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515" yWindow="45" windowWidth="27075" windowHeight="11655" tabRatio="680" firstSheet="14" activeTab="20"/>
  </bookViews>
  <sheets>
    <sheet name="Init" sheetId="11" r:id="rId1"/>
    <sheet name="TOCA_previous" sheetId="10" r:id="rId2"/>
    <sheet name="TOCA_current" sheetId="9" r:id="rId3"/>
    <sheet name="LS_previous" sheetId="8" r:id="rId4"/>
    <sheet name="LS_current" sheetId="7" r:id="rId5"/>
    <sheet name="Demand_previous" sheetId="6" r:id="rId6"/>
    <sheet name="Demand_current" sheetId="4" r:id="rId7"/>
    <sheet name="Rates_previous" sheetId="2" r:id="rId8"/>
    <sheet name="Rates_current" sheetId="3" r:id="rId9"/>
    <sheet name="IRD" sheetId="1" r:id="rId10"/>
    <sheet name="REP_previous" sheetId="29" r:id="rId11"/>
    <sheet name="REP_current" sheetId="28" r:id="rId12"/>
    <sheet name="RT1SC" sheetId="16" r:id="rId13"/>
    <sheet name="LS_Demand_Rates_Restatement" sheetId="13" r:id="rId14"/>
    <sheet name="Staging Table" sheetId="27" r:id="rId15"/>
    <sheet name="Charges_Including Slice and LS" sheetId="12" r:id="rId16"/>
    <sheet name="Charges_NonSlice" sheetId="30" r:id="rId17"/>
    <sheet name="Charges_NonSlice &amp; Excl LS" sheetId="31" r:id="rId18"/>
    <sheet name="Outputs" sheetId="20" r:id="rId19"/>
    <sheet name="Restatement" sheetId="23" r:id="rId20"/>
    <sheet name="NonSlice Chart" sheetId="24" r:id="rId21"/>
    <sheet name="NonSlice - Ordered Chart" sheetId="25" r:id="rId22"/>
  </sheets>
  <externalReferences>
    <externalReference r:id="rId23"/>
  </externalReferences>
  <definedNames>
    <definedName name="_xlnm._FilterDatabase" localSheetId="19" hidden="1">Restatement!$X$3:$AB$3</definedName>
    <definedName name="CurrentYear">Init!$AS$3:$AS$4</definedName>
    <definedName name="DemandRateSelect" localSheetId="16">[1]Rates_TRM_12!#REF!</definedName>
    <definedName name="DemandRateSelect" localSheetId="17">[1]Rates_TRM_12!#REF!</definedName>
    <definedName name="DemandRateSelect">[1]Rates_TRM_12!#REF!</definedName>
    <definedName name="No" localSheetId="16">[1]Rates_TRM_12!#REF!</definedName>
    <definedName name="No" localSheetId="17">[1]Rates_TRM_12!#REF!</definedName>
    <definedName name="No">[1]Rates_TRM_12!#REF!</definedName>
    <definedName name="_xlnm.Print_Area" localSheetId="8">Rates_current!$A$1:$O$81</definedName>
    <definedName name="YesNo">Init!$AT$3:$AT$4</definedName>
  </definedNames>
  <calcPr calcId="145621"/>
</workbook>
</file>

<file path=xl/calcChain.xml><?xml version="1.0" encoding="utf-8"?>
<calcChain xmlns="http://schemas.openxmlformats.org/spreadsheetml/2006/main">
  <c r="D88" i="3" l="1"/>
  <c r="C88" i="3"/>
  <c r="D88" i="2"/>
  <c r="C88" i="2"/>
  <c r="BV81" i="27" l="1"/>
  <c r="BV59" i="27"/>
  <c r="H59" i="27"/>
  <c r="H81" i="27"/>
  <c r="R3" i="11" l="1"/>
  <c r="Z9" i="31" l="1"/>
  <c r="Z11" i="31"/>
  <c r="Z44" i="31"/>
  <c r="Z50" i="31"/>
  <c r="Z51" i="31"/>
  <c r="Z53" i="31"/>
  <c r="Z61" i="31"/>
  <c r="Z78" i="31"/>
  <c r="Z80" i="31"/>
  <c r="Z90" i="31"/>
  <c r="Z93" i="31"/>
  <c r="Z95" i="31"/>
  <c r="Z102" i="31"/>
  <c r="Z118" i="31"/>
  <c r="Z129" i="31"/>
  <c r="Y9" i="31"/>
  <c r="Y11" i="31"/>
  <c r="Y44" i="31"/>
  <c r="Y50" i="31"/>
  <c r="Y51" i="31"/>
  <c r="Y53" i="31"/>
  <c r="Y61" i="31"/>
  <c r="Y78" i="31"/>
  <c r="Y80" i="31"/>
  <c r="Y90" i="31"/>
  <c r="Y93" i="31"/>
  <c r="Y95" i="31"/>
  <c r="Y102" i="31"/>
  <c r="Y118" i="31"/>
  <c r="Y129" i="31"/>
  <c r="Z9" i="30"/>
  <c r="Z11" i="30"/>
  <c r="Z44" i="30"/>
  <c r="Z50" i="30"/>
  <c r="Z51" i="30"/>
  <c r="Z53" i="30"/>
  <c r="Z61" i="30"/>
  <c r="Z78" i="30"/>
  <c r="Z80" i="30"/>
  <c r="Z90" i="30"/>
  <c r="Z93" i="30"/>
  <c r="Z95" i="30"/>
  <c r="Z102" i="30"/>
  <c r="Z118" i="30"/>
  <c r="Z129" i="30"/>
  <c r="Y9" i="30"/>
  <c r="Y11" i="30"/>
  <c r="Y44" i="30"/>
  <c r="Y50" i="30"/>
  <c r="Y51" i="30"/>
  <c r="Y53" i="30"/>
  <c r="Y61" i="30"/>
  <c r="Y78" i="30"/>
  <c r="Y80" i="30"/>
  <c r="Y90" i="30"/>
  <c r="Y93" i="30"/>
  <c r="Y95" i="30"/>
  <c r="Y102" i="30"/>
  <c r="Y118" i="30"/>
  <c r="Y129" i="30"/>
  <c r="Z9" i="12"/>
  <c r="Z11" i="12"/>
  <c r="Z44" i="12"/>
  <c r="Z50" i="12"/>
  <c r="Z51" i="12"/>
  <c r="Z53" i="12"/>
  <c r="Z61" i="12"/>
  <c r="Z78" i="12"/>
  <c r="Z80" i="12"/>
  <c r="Z90" i="12"/>
  <c r="Z93" i="12"/>
  <c r="Z95" i="12"/>
  <c r="Z102" i="12"/>
  <c r="Z118" i="12"/>
  <c r="Z129" i="12"/>
  <c r="Y9" i="12"/>
  <c r="Y11" i="12"/>
  <c r="Y44" i="12"/>
  <c r="Y50" i="12"/>
  <c r="Y51" i="12"/>
  <c r="Y53" i="12"/>
  <c r="Y61" i="12"/>
  <c r="Y78" i="12"/>
  <c r="Y80" i="12"/>
  <c r="Y90" i="12"/>
  <c r="Y93" i="12"/>
  <c r="Y95" i="12"/>
  <c r="Y102" i="12"/>
  <c r="Y118" i="12"/>
  <c r="Y129" i="12"/>
  <c r="M9" i="12" l="1"/>
  <c r="N9" i="12"/>
  <c r="O9" i="12"/>
  <c r="M11" i="12"/>
  <c r="N11" i="12"/>
  <c r="O11" i="12"/>
  <c r="M44" i="12"/>
  <c r="N44" i="12"/>
  <c r="O44" i="12"/>
  <c r="M50" i="12"/>
  <c r="N50" i="12"/>
  <c r="O50" i="12"/>
  <c r="M51" i="12"/>
  <c r="N51" i="12"/>
  <c r="O51" i="12"/>
  <c r="M53" i="12"/>
  <c r="N53" i="12"/>
  <c r="O53" i="12"/>
  <c r="M61" i="12"/>
  <c r="N61" i="12"/>
  <c r="O61" i="12"/>
  <c r="M78" i="12"/>
  <c r="N78" i="12"/>
  <c r="O78" i="12"/>
  <c r="M80" i="12"/>
  <c r="N80" i="12"/>
  <c r="O80" i="12"/>
  <c r="M90" i="12"/>
  <c r="N90" i="12"/>
  <c r="O90" i="12"/>
  <c r="M93" i="12"/>
  <c r="N93" i="12"/>
  <c r="O93" i="12"/>
  <c r="M95" i="12"/>
  <c r="N95" i="12"/>
  <c r="O95" i="12"/>
  <c r="M102" i="12"/>
  <c r="N102" i="12"/>
  <c r="O102" i="12"/>
  <c r="M118" i="12"/>
  <c r="N118" i="12"/>
  <c r="O118" i="12"/>
  <c r="M129" i="12"/>
  <c r="N129" i="12"/>
  <c r="O129" i="12"/>
  <c r="L133" i="12"/>
  <c r="AA9" i="12"/>
  <c r="AA11" i="12"/>
  <c r="AA44" i="12"/>
  <c r="AA50" i="12"/>
  <c r="AA51" i="12"/>
  <c r="AA53" i="12"/>
  <c r="AA61" i="12"/>
  <c r="AA78" i="12"/>
  <c r="AA80" i="12"/>
  <c r="AA90" i="12"/>
  <c r="AA93" i="12"/>
  <c r="AA95" i="12"/>
  <c r="AA102" i="12"/>
  <c r="AA118" i="12"/>
  <c r="AA129" i="12"/>
  <c r="X133" i="12"/>
  <c r="X133" i="30"/>
  <c r="O9" i="30"/>
  <c r="O11" i="30"/>
  <c r="O44" i="30"/>
  <c r="O50" i="30"/>
  <c r="O51" i="30"/>
  <c r="O53" i="30"/>
  <c r="O61" i="30"/>
  <c r="O78" i="30"/>
  <c r="O80" i="30"/>
  <c r="O90" i="30"/>
  <c r="O93" i="30"/>
  <c r="O95" i="30"/>
  <c r="O102" i="30"/>
  <c r="O118" i="30"/>
  <c r="O129" i="30"/>
  <c r="M9" i="30"/>
  <c r="N9" i="30"/>
  <c r="M11" i="30"/>
  <c r="N11" i="30"/>
  <c r="M44" i="30"/>
  <c r="N44" i="30"/>
  <c r="M50" i="30"/>
  <c r="N50" i="30"/>
  <c r="M51" i="30"/>
  <c r="N51" i="30"/>
  <c r="M53" i="30"/>
  <c r="N53" i="30"/>
  <c r="M61" i="30"/>
  <c r="N61" i="30"/>
  <c r="M78" i="30"/>
  <c r="N78" i="30"/>
  <c r="M80" i="30"/>
  <c r="N80" i="30"/>
  <c r="M90" i="30"/>
  <c r="N90" i="30"/>
  <c r="M93" i="30"/>
  <c r="N93" i="30"/>
  <c r="M95" i="30"/>
  <c r="N95" i="30"/>
  <c r="M102" i="30"/>
  <c r="N102" i="30"/>
  <c r="M118" i="30"/>
  <c r="N118" i="30"/>
  <c r="M129" i="30"/>
  <c r="N129" i="30"/>
  <c r="AA9" i="31" l="1"/>
  <c r="AA11" i="31"/>
  <c r="AA44" i="31"/>
  <c r="AA50" i="31"/>
  <c r="AA51" i="31"/>
  <c r="AA53" i="31"/>
  <c r="AA61" i="31"/>
  <c r="AA78" i="31"/>
  <c r="AA80" i="31"/>
  <c r="AA90" i="31"/>
  <c r="AA93" i="31"/>
  <c r="AA95" i="31"/>
  <c r="AA102" i="31"/>
  <c r="AA118" i="31"/>
  <c r="AA129" i="31"/>
  <c r="AA44" i="30"/>
  <c r="AA50" i="30"/>
  <c r="AA51" i="30"/>
  <c r="AA53" i="30"/>
  <c r="AA61" i="30"/>
  <c r="AA78" i="30"/>
  <c r="AA80" i="30"/>
  <c r="AA90" i="30"/>
  <c r="AA93" i="30"/>
  <c r="AA95" i="30"/>
  <c r="AA102" i="30"/>
  <c r="AA118" i="30"/>
  <c r="AA129" i="30"/>
  <c r="AB9" i="12"/>
  <c r="AC9" i="12" s="1"/>
  <c r="AB11" i="12"/>
  <c r="AC11" i="12" s="1"/>
  <c r="AB44" i="12"/>
  <c r="AC44" i="12" s="1"/>
  <c r="AB50" i="12"/>
  <c r="AC50" i="12" s="1"/>
  <c r="AB51" i="12"/>
  <c r="AC51" i="12" s="1"/>
  <c r="AB53" i="12"/>
  <c r="AC53" i="12" s="1"/>
  <c r="AB61" i="12"/>
  <c r="AC61" i="12" s="1"/>
  <c r="AB78" i="12"/>
  <c r="AC78" i="12" s="1"/>
  <c r="AB80" i="12"/>
  <c r="AC80" i="12" s="1"/>
  <c r="AB90" i="12"/>
  <c r="AC90" i="12" s="1"/>
  <c r="AB93" i="12"/>
  <c r="AC93" i="12" s="1"/>
  <c r="AB95" i="12"/>
  <c r="AC95" i="12" s="1"/>
  <c r="AB9" i="31"/>
  <c r="AC9" i="31" s="1"/>
  <c r="AB11" i="31"/>
  <c r="AC11" i="31" s="1"/>
  <c r="AB44" i="31"/>
  <c r="AC44" i="31" s="1"/>
  <c r="AB50" i="31"/>
  <c r="AC50" i="31" s="1"/>
  <c r="AB51" i="31"/>
  <c r="AC51" i="31" s="1"/>
  <c r="AB53" i="31"/>
  <c r="AC53" i="31" s="1"/>
  <c r="AB61" i="31"/>
  <c r="AC61" i="31" s="1"/>
  <c r="AB78" i="31"/>
  <c r="AC78" i="31" s="1"/>
  <c r="AB80" i="31"/>
  <c r="AC80" i="31" s="1"/>
  <c r="AB90" i="31"/>
  <c r="AC90" i="31" s="1"/>
  <c r="AB93" i="31"/>
  <c r="AC93" i="31" s="1"/>
  <c r="AB95" i="31"/>
  <c r="AC95" i="31" s="1"/>
  <c r="AB102" i="31"/>
  <c r="AC102" i="31" s="1"/>
  <c r="AB118" i="31"/>
  <c r="AC118" i="31" s="1"/>
  <c r="AB129" i="31"/>
  <c r="AC129" i="31" s="1"/>
  <c r="AB78" i="30"/>
  <c r="AB80" i="30"/>
  <c r="AB90" i="30"/>
  <c r="AB93" i="30"/>
  <c r="AB95" i="30"/>
  <c r="AB102" i="30"/>
  <c r="AB118" i="30"/>
  <c r="AB129" i="30"/>
  <c r="AB9" i="30"/>
  <c r="AB11" i="30"/>
  <c r="AB44" i="30"/>
  <c r="AB50" i="30"/>
  <c r="AB51" i="30"/>
  <c r="AB53" i="30"/>
  <c r="AB61" i="30"/>
  <c r="N9" i="31"/>
  <c r="N11" i="31"/>
  <c r="N44" i="31"/>
  <c r="N50" i="31"/>
  <c r="N51" i="31"/>
  <c r="N53" i="31"/>
  <c r="N61" i="31"/>
  <c r="N78" i="31"/>
  <c r="N80" i="31"/>
  <c r="N90" i="31"/>
  <c r="N93" i="31"/>
  <c r="N95" i="31"/>
  <c r="N102" i="31"/>
  <c r="N118" i="31"/>
  <c r="N129" i="31"/>
  <c r="X133" i="31"/>
  <c r="O129" i="31"/>
  <c r="M129" i="31"/>
  <c r="O118" i="31"/>
  <c r="M118" i="31"/>
  <c r="O102" i="31"/>
  <c r="M102" i="31"/>
  <c r="O95" i="31"/>
  <c r="M95" i="31"/>
  <c r="O93" i="31"/>
  <c r="M93" i="31"/>
  <c r="O90" i="31"/>
  <c r="M90" i="31"/>
  <c r="O80" i="31"/>
  <c r="M80" i="31"/>
  <c r="O78" i="31"/>
  <c r="M78" i="31"/>
  <c r="O61" i="31"/>
  <c r="M61" i="31"/>
  <c r="O53" i="31"/>
  <c r="M53" i="31"/>
  <c r="O51" i="31"/>
  <c r="M51" i="31"/>
  <c r="O50" i="31"/>
  <c r="M50" i="31"/>
  <c r="O44" i="31"/>
  <c r="M44" i="31"/>
  <c r="O11" i="31"/>
  <c r="M11" i="31"/>
  <c r="O9" i="31"/>
  <c r="M9" i="31"/>
  <c r="AA11" i="30"/>
  <c r="AA9" i="30"/>
  <c r="AC50" i="30" l="1"/>
  <c r="AC129" i="30"/>
  <c r="AC93" i="30"/>
  <c r="AC61" i="30"/>
  <c r="AC44" i="30"/>
  <c r="AC118" i="30"/>
  <c r="AC90" i="30"/>
  <c r="AC53" i="30"/>
  <c r="AC11" i="30"/>
  <c r="AC102" i="30"/>
  <c r="AC80" i="30"/>
  <c r="AC51" i="30"/>
  <c r="AC9" i="30"/>
  <c r="AC95" i="30"/>
  <c r="AC78" i="30"/>
  <c r="AC67" i="12"/>
  <c r="AC67" i="30"/>
  <c r="AC67" i="31"/>
  <c r="E2" i="13" l="1"/>
  <c r="G2" i="13" s="1"/>
  <c r="I2" i="13" s="1"/>
  <c r="K2" i="13" s="1"/>
  <c r="M2" i="13" s="1"/>
  <c r="O2" i="13" s="1"/>
  <c r="Q2" i="13" s="1"/>
  <c r="S2" i="13" s="1"/>
  <c r="U2" i="13" s="1"/>
  <c r="W2" i="13" s="1"/>
  <c r="Y2" i="13" s="1"/>
  <c r="AA2" i="13" s="1"/>
  <c r="AC2" i="13" s="1"/>
  <c r="AE2" i="13" s="1"/>
  <c r="AG2" i="13" s="1"/>
  <c r="AI2" i="13" s="1"/>
  <c r="AK2" i="13" s="1"/>
  <c r="AM2" i="13" s="1"/>
  <c r="AO2" i="13" s="1"/>
  <c r="AQ2" i="13" s="1"/>
  <c r="AS2" i="13" s="1"/>
  <c r="AU2" i="13" s="1"/>
  <c r="AW2" i="13" s="1"/>
  <c r="D2" i="13"/>
  <c r="F2" i="13" s="1"/>
  <c r="H2" i="13" s="1"/>
  <c r="J2" i="13" s="1"/>
  <c r="L2" i="13" s="1"/>
  <c r="N2" i="13" s="1"/>
  <c r="P2" i="13" s="1"/>
  <c r="R2" i="13" s="1"/>
  <c r="T2" i="13" s="1"/>
  <c r="V2" i="13" s="1"/>
  <c r="X2" i="13" s="1"/>
  <c r="Z2" i="13" s="1"/>
  <c r="AB2" i="13" s="1"/>
  <c r="AD2" i="13" s="1"/>
  <c r="AF2" i="13" s="1"/>
  <c r="AH2" i="13" s="1"/>
  <c r="AJ2" i="13" s="1"/>
  <c r="AL2" i="13" s="1"/>
  <c r="AN2" i="13" s="1"/>
  <c r="AP2" i="13" s="1"/>
  <c r="AR2" i="13" s="1"/>
  <c r="AT2" i="13" s="1"/>
  <c r="AV2" i="13" s="1"/>
  <c r="AX2" i="13" s="1"/>
  <c r="DV8" i="27"/>
  <c r="DV11" i="27"/>
  <c r="DV13" i="27"/>
  <c r="DV44" i="27"/>
  <c r="DV45" i="27"/>
  <c r="DV46" i="27"/>
  <c r="DV52" i="27"/>
  <c r="DV53" i="27"/>
  <c r="DV54" i="27"/>
  <c r="DV55" i="27"/>
  <c r="DV59" i="27"/>
  <c r="DV61" i="27"/>
  <c r="DV63" i="27"/>
  <c r="DV67" i="27"/>
  <c r="DV70" i="27"/>
  <c r="DV74" i="27"/>
  <c r="DV80" i="27"/>
  <c r="DV81" i="27"/>
  <c r="DV82" i="27"/>
  <c r="DV92" i="27"/>
  <c r="DV95" i="27"/>
  <c r="DV96" i="27"/>
  <c r="DV97" i="27"/>
  <c r="DV99" i="27"/>
  <c r="DV101" i="27"/>
  <c r="DV104" i="27"/>
  <c r="DV109" i="27"/>
  <c r="DV111" i="27"/>
  <c r="DV115" i="27"/>
  <c r="DV120" i="27"/>
  <c r="DV131" i="27"/>
  <c r="BH8" i="27"/>
  <c r="BH11" i="27"/>
  <c r="BH13" i="27"/>
  <c r="BH44" i="27"/>
  <c r="BH45" i="27"/>
  <c r="BH46" i="27"/>
  <c r="BH52" i="27"/>
  <c r="BH53" i="27"/>
  <c r="BH54" i="27"/>
  <c r="BH55" i="27"/>
  <c r="BH59" i="27"/>
  <c r="BH61" i="27"/>
  <c r="BH63" i="27"/>
  <c r="BH67" i="27"/>
  <c r="BH70" i="27"/>
  <c r="BH74" i="27"/>
  <c r="BH80" i="27"/>
  <c r="BH81" i="27"/>
  <c r="BH82" i="27"/>
  <c r="BH92" i="27"/>
  <c r="BH95" i="27"/>
  <c r="BH96" i="27"/>
  <c r="BH97" i="27"/>
  <c r="BH99" i="27"/>
  <c r="BH101" i="27"/>
  <c r="BH104" i="27"/>
  <c r="BH109" i="27"/>
  <c r="BH111" i="27"/>
  <c r="BH115" i="27"/>
  <c r="BH120" i="27"/>
  <c r="BH131" i="27"/>
  <c r="E1" i="6" l="1"/>
  <c r="F1" i="6" s="1"/>
  <c r="G1" i="6" s="1"/>
  <c r="H1" i="6" s="1"/>
  <c r="I1" i="6" s="1"/>
  <c r="J1" i="6" s="1"/>
  <c r="K1" i="6" s="1"/>
  <c r="L1" i="6" s="1"/>
  <c r="M1" i="6" s="1"/>
  <c r="N1" i="6" s="1"/>
  <c r="O1" i="6" s="1"/>
  <c r="P1" i="6" s="1"/>
  <c r="Q1" i="6" s="1"/>
  <c r="R1" i="6" s="1"/>
  <c r="S1" i="6" s="1"/>
  <c r="T1" i="6" s="1"/>
  <c r="U1" i="6" s="1"/>
  <c r="V1" i="6" s="1"/>
  <c r="W1" i="6" s="1"/>
  <c r="X1" i="6" s="1"/>
  <c r="Y1" i="6" s="1"/>
  <c r="Z1" i="6" s="1"/>
  <c r="AA1" i="6" s="1"/>
  <c r="AB1" i="6" s="1"/>
  <c r="AC1" i="6" s="1"/>
  <c r="AD1" i="6" s="1"/>
  <c r="AE1" i="6" s="1"/>
  <c r="AF1" i="6" s="1"/>
  <c r="AG1" i="6" s="1"/>
  <c r="AH1" i="6" s="1"/>
  <c r="AI1" i="6" s="1"/>
  <c r="AJ1" i="6" s="1"/>
  <c r="AK1" i="6" s="1"/>
  <c r="AL1" i="6" s="1"/>
  <c r="AM1" i="6" s="1"/>
  <c r="AN1" i="6" s="1"/>
  <c r="AO1" i="6" s="1"/>
  <c r="AP1" i="6" s="1"/>
  <c r="AQ1" i="6" s="1"/>
  <c r="AR1" i="6" s="1"/>
  <c r="AS1" i="6" s="1"/>
  <c r="AT1" i="6" s="1"/>
  <c r="AU1" i="6" s="1"/>
  <c r="AV1" i="6" s="1"/>
  <c r="AW1" i="6" s="1"/>
  <c r="AX1" i="6" s="1"/>
  <c r="AY1" i="6" s="1"/>
  <c r="Y1" i="10"/>
  <c r="Z1" i="10" s="1"/>
  <c r="AA1" i="10" s="1"/>
  <c r="AB1" i="10" s="1"/>
  <c r="AC1" i="10" s="1"/>
  <c r="AD1" i="10" s="1"/>
  <c r="AE1" i="10" s="1"/>
  <c r="AF1" i="10" s="1"/>
  <c r="AG1" i="10" s="1"/>
  <c r="AH1" i="10" s="1"/>
  <c r="AI1" i="10" s="1"/>
  <c r="F1" i="10"/>
  <c r="G1" i="10" s="1"/>
  <c r="H1" i="10" s="1"/>
  <c r="I1" i="10" s="1"/>
  <c r="J1" i="10" s="1"/>
  <c r="K1" i="10" s="1"/>
  <c r="L1" i="10" s="1"/>
  <c r="M1" i="10" s="1"/>
  <c r="N1" i="10" s="1"/>
  <c r="O1" i="10" s="1"/>
  <c r="P1" i="10" s="1"/>
  <c r="Q1" i="10" s="1"/>
  <c r="R1" i="10" s="1"/>
  <c r="S1" i="10" s="1"/>
  <c r="E1" i="8" l="1"/>
  <c r="F1" i="8" s="1"/>
  <c r="G1" i="8" s="1"/>
  <c r="H1" i="8" s="1"/>
  <c r="I1" i="8" s="1"/>
  <c r="J1" i="8" s="1"/>
  <c r="K1" i="8" s="1"/>
  <c r="L1" i="8" s="1"/>
  <c r="M1" i="8" s="1"/>
  <c r="N1" i="8" s="1"/>
  <c r="O1" i="8" s="1"/>
  <c r="P1" i="8" s="1"/>
  <c r="Q1" i="8" s="1"/>
  <c r="R1" i="8" s="1"/>
  <c r="S1" i="8" s="1"/>
  <c r="T1" i="8" s="1"/>
  <c r="U1" i="8" s="1"/>
  <c r="V1" i="8" s="1"/>
  <c r="W1" i="8" s="1"/>
  <c r="X1" i="8" s="1"/>
  <c r="Y1" i="8" s="1"/>
  <c r="Z1" i="8" s="1"/>
  <c r="AA1" i="8" s="1"/>
  <c r="AB1" i="8" s="1"/>
  <c r="AC1" i="8" s="1"/>
  <c r="AD1" i="8" s="1"/>
  <c r="AE1" i="8" s="1"/>
  <c r="AF1" i="8" s="1"/>
  <c r="AG1" i="8" s="1"/>
  <c r="AH1" i="8" s="1"/>
  <c r="AI1" i="8" s="1"/>
  <c r="AJ1" i="8" s="1"/>
  <c r="AK1" i="8" s="1"/>
  <c r="AL1" i="8" s="1"/>
  <c r="AM1" i="8" s="1"/>
  <c r="AN1" i="8" s="1"/>
  <c r="AO1" i="8" s="1"/>
  <c r="AP1" i="8" s="1"/>
  <c r="AQ1" i="8" s="1"/>
  <c r="AR1" i="8" s="1"/>
  <c r="AS1" i="8" s="1"/>
  <c r="AT1" i="8" s="1"/>
  <c r="AU1" i="8" s="1"/>
  <c r="AV1" i="8" s="1"/>
  <c r="AW1" i="8" s="1"/>
  <c r="AX1" i="8" s="1"/>
  <c r="AY1" i="8" s="1"/>
  <c r="F1" i="27" l="1"/>
  <c r="BL4" i="27" l="1"/>
  <c r="BW7" i="27"/>
  <c r="BX7" i="27"/>
  <c r="BW8" i="27"/>
  <c r="BX8" i="27"/>
  <c r="BW9" i="27"/>
  <c r="BX9" i="27"/>
  <c r="BW10" i="27"/>
  <c r="BX10" i="27"/>
  <c r="BW12" i="27"/>
  <c r="BX12" i="27"/>
  <c r="BW14" i="27"/>
  <c r="BX14" i="27"/>
  <c r="BW15" i="27"/>
  <c r="BX15" i="27"/>
  <c r="BW16" i="27"/>
  <c r="BX16" i="27"/>
  <c r="BW17" i="27"/>
  <c r="BX17" i="27"/>
  <c r="BW18" i="27"/>
  <c r="BX18" i="27"/>
  <c r="BW19" i="27"/>
  <c r="BX19" i="27"/>
  <c r="BW20" i="27"/>
  <c r="BX20" i="27"/>
  <c r="BW21" i="27"/>
  <c r="BX21" i="27"/>
  <c r="BW22" i="27"/>
  <c r="BX22" i="27"/>
  <c r="BW23" i="27"/>
  <c r="BX23" i="27"/>
  <c r="BW24" i="27"/>
  <c r="BX24" i="27"/>
  <c r="BW25" i="27"/>
  <c r="BX25" i="27"/>
  <c r="BW26" i="27"/>
  <c r="BX26" i="27"/>
  <c r="BW27" i="27"/>
  <c r="BX27" i="27"/>
  <c r="BW28" i="27"/>
  <c r="BX28" i="27"/>
  <c r="BW29" i="27"/>
  <c r="BX29" i="27"/>
  <c r="BW30" i="27"/>
  <c r="BX30" i="27"/>
  <c r="BW31" i="27"/>
  <c r="BX31" i="27"/>
  <c r="BW32" i="27"/>
  <c r="BX32" i="27"/>
  <c r="BW33" i="27"/>
  <c r="BX33" i="27"/>
  <c r="BW34" i="27"/>
  <c r="BX34" i="27"/>
  <c r="BW35" i="27"/>
  <c r="BX35" i="27"/>
  <c r="BW36" i="27"/>
  <c r="BX36" i="27"/>
  <c r="BW37" i="27"/>
  <c r="BX37" i="27"/>
  <c r="BW38" i="27"/>
  <c r="BX38" i="27"/>
  <c r="BW39" i="27"/>
  <c r="BX39" i="27"/>
  <c r="BW40" i="27"/>
  <c r="BX40" i="27"/>
  <c r="BW41" i="27"/>
  <c r="BX41" i="27"/>
  <c r="BW42" i="27"/>
  <c r="BX42" i="27"/>
  <c r="BW43" i="27"/>
  <c r="BX43" i="27"/>
  <c r="BW44" i="27"/>
  <c r="BX44" i="27"/>
  <c r="BW45" i="27"/>
  <c r="BX45" i="27"/>
  <c r="BW47" i="27"/>
  <c r="BX47" i="27"/>
  <c r="BW48" i="27"/>
  <c r="BX48" i="27"/>
  <c r="BW49" i="27"/>
  <c r="BX49" i="27"/>
  <c r="BW50" i="27"/>
  <c r="BX50" i="27"/>
  <c r="BW51" i="27"/>
  <c r="BX51" i="27"/>
  <c r="BW54" i="27"/>
  <c r="BX54" i="27"/>
  <c r="BW56" i="27"/>
  <c r="BX56" i="27"/>
  <c r="BW57" i="27"/>
  <c r="BX57" i="27"/>
  <c r="BW58" i="27"/>
  <c r="BX58" i="27"/>
  <c r="BW59" i="27"/>
  <c r="BX59" i="27"/>
  <c r="BW60" i="27"/>
  <c r="BX60" i="27"/>
  <c r="BW61" i="27"/>
  <c r="BX61" i="27"/>
  <c r="BW62" i="27"/>
  <c r="BX62" i="27"/>
  <c r="BW64" i="27"/>
  <c r="BX64" i="27"/>
  <c r="BW65" i="27"/>
  <c r="BX65" i="27"/>
  <c r="BW66" i="27"/>
  <c r="BX66" i="27"/>
  <c r="BW67" i="27"/>
  <c r="BX67" i="27"/>
  <c r="BW68" i="27"/>
  <c r="BX68" i="27"/>
  <c r="BW69" i="27"/>
  <c r="BX69" i="27"/>
  <c r="BW70" i="27"/>
  <c r="BX70" i="27"/>
  <c r="BW71" i="27"/>
  <c r="BX71" i="27"/>
  <c r="BW72" i="27"/>
  <c r="BX72" i="27"/>
  <c r="BW73" i="27"/>
  <c r="BX73" i="27"/>
  <c r="BW74" i="27"/>
  <c r="BX74" i="27"/>
  <c r="BW75" i="27"/>
  <c r="BX75" i="27"/>
  <c r="BW76" i="27"/>
  <c r="BX76" i="27"/>
  <c r="BW77" i="27"/>
  <c r="BX77" i="27"/>
  <c r="BW78" i="27"/>
  <c r="BX78" i="27"/>
  <c r="BW79" i="27"/>
  <c r="BX79" i="27"/>
  <c r="BW81" i="27"/>
  <c r="BX81" i="27"/>
  <c r="BW83" i="27"/>
  <c r="BX83" i="27"/>
  <c r="BW84" i="27"/>
  <c r="BX84" i="27"/>
  <c r="BW85" i="27"/>
  <c r="BX85" i="27"/>
  <c r="BW86" i="27"/>
  <c r="BX86" i="27"/>
  <c r="BW87" i="27"/>
  <c r="BX87" i="27"/>
  <c r="BW88" i="27"/>
  <c r="BX88" i="27"/>
  <c r="BW89" i="27"/>
  <c r="BX89" i="27"/>
  <c r="BW90" i="27"/>
  <c r="BX90" i="27"/>
  <c r="BW91" i="27"/>
  <c r="BX91" i="27"/>
  <c r="BW93" i="27"/>
  <c r="BX93" i="27"/>
  <c r="BW94" i="27"/>
  <c r="BX94" i="27"/>
  <c r="BW96" i="27"/>
  <c r="BX96" i="27"/>
  <c r="BW98" i="27"/>
  <c r="BX98" i="27"/>
  <c r="BW99" i="27"/>
  <c r="BX99" i="27"/>
  <c r="BW100" i="27"/>
  <c r="BX100" i="27"/>
  <c r="BW101" i="27"/>
  <c r="BX101" i="27"/>
  <c r="BW102" i="27"/>
  <c r="BX102" i="27"/>
  <c r="BW103" i="27"/>
  <c r="BX103" i="27"/>
  <c r="BW105" i="27"/>
  <c r="BX105" i="27"/>
  <c r="BW106" i="27"/>
  <c r="BX106" i="27"/>
  <c r="BW107" i="27"/>
  <c r="BX107" i="27"/>
  <c r="BW108" i="27"/>
  <c r="BX108" i="27"/>
  <c r="BW109" i="27"/>
  <c r="BX109" i="27"/>
  <c r="BW110" i="27"/>
  <c r="BX110" i="27"/>
  <c r="BW111" i="27"/>
  <c r="BX111" i="27"/>
  <c r="BW112" i="27"/>
  <c r="BX112" i="27"/>
  <c r="BW113" i="27"/>
  <c r="BX113" i="27"/>
  <c r="BW114" i="27"/>
  <c r="BX114" i="27"/>
  <c r="BW115" i="27"/>
  <c r="BX115" i="27"/>
  <c r="BW116" i="27"/>
  <c r="BX116" i="27"/>
  <c r="BW117" i="27"/>
  <c r="BX117" i="27"/>
  <c r="BW118" i="27"/>
  <c r="BX118" i="27"/>
  <c r="BW119" i="27"/>
  <c r="BX119" i="27"/>
  <c r="BW121" i="27"/>
  <c r="BX121" i="27"/>
  <c r="BW122" i="27"/>
  <c r="BX122" i="27"/>
  <c r="BW123" i="27"/>
  <c r="BX123" i="27"/>
  <c r="BW124" i="27"/>
  <c r="BX124" i="27"/>
  <c r="BW125" i="27"/>
  <c r="BX125" i="27"/>
  <c r="BW126" i="27"/>
  <c r="BX126" i="27"/>
  <c r="BW127" i="27"/>
  <c r="BX127" i="27"/>
  <c r="BW128" i="27"/>
  <c r="BX128" i="27"/>
  <c r="BW129" i="27"/>
  <c r="BX129" i="27"/>
  <c r="BW130" i="27"/>
  <c r="BX130" i="27"/>
  <c r="BW132" i="27"/>
  <c r="BX132" i="27"/>
  <c r="BW133" i="27"/>
  <c r="BX133" i="27"/>
  <c r="BW134" i="27"/>
  <c r="BX134" i="27"/>
  <c r="BW135" i="27"/>
  <c r="BX135" i="27"/>
  <c r="BW136" i="27"/>
  <c r="BX136" i="27"/>
  <c r="BW137" i="27"/>
  <c r="BX137" i="27"/>
  <c r="BW138" i="27"/>
  <c r="BX138" i="27"/>
  <c r="BW139" i="27"/>
  <c r="BX139" i="27"/>
  <c r="BW140" i="27"/>
  <c r="BX140" i="27"/>
  <c r="BX6" i="27"/>
  <c r="BW6" i="27"/>
  <c r="J7" i="27"/>
  <c r="J8" i="27"/>
  <c r="J9" i="27"/>
  <c r="J10" i="27"/>
  <c r="J12" i="27"/>
  <c r="J14" i="27"/>
  <c r="J15" i="27"/>
  <c r="J16" i="27"/>
  <c r="J17" i="27"/>
  <c r="J18" i="27"/>
  <c r="J19" i="27"/>
  <c r="J20" i="27"/>
  <c r="J21" i="27"/>
  <c r="J22" i="27"/>
  <c r="J23" i="27"/>
  <c r="J24" i="27"/>
  <c r="J25" i="27"/>
  <c r="J26" i="27"/>
  <c r="J27" i="27"/>
  <c r="J28" i="27"/>
  <c r="J29" i="27"/>
  <c r="J30" i="27"/>
  <c r="J31" i="27"/>
  <c r="J32" i="27"/>
  <c r="J33" i="27"/>
  <c r="J34" i="27"/>
  <c r="J35" i="27"/>
  <c r="J36" i="27"/>
  <c r="J37" i="27"/>
  <c r="J38" i="27"/>
  <c r="J39" i="27"/>
  <c r="J40" i="27"/>
  <c r="J41" i="27"/>
  <c r="J42" i="27"/>
  <c r="J43" i="27"/>
  <c r="J44" i="27"/>
  <c r="J45" i="27"/>
  <c r="J47" i="27"/>
  <c r="J48" i="27"/>
  <c r="J49" i="27"/>
  <c r="J50" i="27"/>
  <c r="J51" i="27"/>
  <c r="J54" i="27"/>
  <c r="J56" i="27"/>
  <c r="J57" i="27"/>
  <c r="J58" i="27"/>
  <c r="J59" i="27"/>
  <c r="J60" i="27"/>
  <c r="J61" i="27"/>
  <c r="J62" i="27"/>
  <c r="J64" i="27"/>
  <c r="J65" i="27"/>
  <c r="J66" i="27"/>
  <c r="J67" i="27"/>
  <c r="J68" i="27"/>
  <c r="J69" i="27"/>
  <c r="J70" i="27"/>
  <c r="J71" i="27"/>
  <c r="J72" i="27"/>
  <c r="J73" i="27"/>
  <c r="J74" i="27"/>
  <c r="J75" i="27"/>
  <c r="J76" i="27"/>
  <c r="J77" i="27"/>
  <c r="J78" i="27"/>
  <c r="J79" i="27"/>
  <c r="J81" i="27"/>
  <c r="J83" i="27"/>
  <c r="J84" i="27"/>
  <c r="J85" i="27"/>
  <c r="J86" i="27"/>
  <c r="J87" i="27"/>
  <c r="J88" i="27"/>
  <c r="J89" i="27"/>
  <c r="J90" i="27"/>
  <c r="J91" i="27"/>
  <c r="J93" i="27"/>
  <c r="J94" i="27"/>
  <c r="J96" i="27"/>
  <c r="J98" i="27"/>
  <c r="J99" i="27"/>
  <c r="J100" i="27"/>
  <c r="J101" i="27"/>
  <c r="J102" i="27"/>
  <c r="J103" i="27"/>
  <c r="J105" i="27"/>
  <c r="J106" i="27"/>
  <c r="J107" i="27"/>
  <c r="J108" i="27"/>
  <c r="J109" i="27"/>
  <c r="J110" i="27"/>
  <c r="J111" i="27"/>
  <c r="J112" i="27"/>
  <c r="J113" i="27"/>
  <c r="J114" i="27"/>
  <c r="J115" i="27"/>
  <c r="J116" i="27"/>
  <c r="J117" i="27"/>
  <c r="J118" i="27"/>
  <c r="J119" i="27"/>
  <c r="J121" i="27"/>
  <c r="J122" i="27"/>
  <c r="J123" i="27"/>
  <c r="J124" i="27"/>
  <c r="J125" i="27"/>
  <c r="J126" i="27"/>
  <c r="J127" i="27"/>
  <c r="J128" i="27"/>
  <c r="J129" i="27"/>
  <c r="J130" i="27"/>
  <c r="J132" i="27"/>
  <c r="J133" i="27"/>
  <c r="J134" i="27"/>
  <c r="J135" i="27"/>
  <c r="J136" i="27"/>
  <c r="J137" i="27"/>
  <c r="J138" i="27"/>
  <c r="J139" i="27"/>
  <c r="J140" i="27"/>
  <c r="J6" i="27"/>
  <c r="I7" i="27"/>
  <c r="I8" i="27"/>
  <c r="I9" i="27"/>
  <c r="I10" i="27"/>
  <c r="I12" i="27"/>
  <c r="I14" i="27"/>
  <c r="I15" i="27"/>
  <c r="I16" i="27"/>
  <c r="I17" i="27"/>
  <c r="I18" i="27"/>
  <c r="I19" i="27"/>
  <c r="I20" i="27"/>
  <c r="I21" i="27"/>
  <c r="I22" i="27"/>
  <c r="I23" i="27"/>
  <c r="I24" i="27"/>
  <c r="I25" i="27"/>
  <c r="I26" i="27"/>
  <c r="I27" i="27"/>
  <c r="I28" i="27"/>
  <c r="I29" i="27"/>
  <c r="I30" i="27"/>
  <c r="I31" i="27"/>
  <c r="I32" i="27"/>
  <c r="I33" i="27"/>
  <c r="I34" i="27"/>
  <c r="I35" i="27"/>
  <c r="I36" i="27"/>
  <c r="I37" i="27"/>
  <c r="I38" i="27"/>
  <c r="I39" i="27"/>
  <c r="I40" i="27"/>
  <c r="I41" i="27"/>
  <c r="I42" i="27"/>
  <c r="I43" i="27"/>
  <c r="I44" i="27"/>
  <c r="I45" i="27"/>
  <c r="I47" i="27"/>
  <c r="I48" i="27"/>
  <c r="I49" i="27"/>
  <c r="I50" i="27"/>
  <c r="I51" i="27"/>
  <c r="I54" i="27"/>
  <c r="I56" i="27"/>
  <c r="I57" i="27"/>
  <c r="I58" i="27"/>
  <c r="I59" i="27"/>
  <c r="I60" i="27"/>
  <c r="I61" i="27"/>
  <c r="I62" i="27"/>
  <c r="I64" i="27"/>
  <c r="I65" i="27"/>
  <c r="I66" i="27"/>
  <c r="I67" i="27"/>
  <c r="I68" i="27"/>
  <c r="I69" i="27"/>
  <c r="I70" i="27"/>
  <c r="I71" i="27"/>
  <c r="I72" i="27"/>
  <c r="I73" i="27"/>
  <c r="I74" i="27"/>
  <c r="I75" i="27"/>
  <c r="I76" i="27"/>
  <c r="I77" i="27"/>
  <c r="I78" i="27"/>
  <c r="I79" i="27"/>
  <c r="I81" i="27"/>
  <c r="I83" i="27"/>
  <c r="I84" i="27"/>
  <c r="I85" i="27"/>
  <c r="I86" i="27"/>
  <c r="I87" i="27"/>
  <c r="I88" i="27"/>
  <c r="I89" i="27"/>
  <c r="I90" i="27"/>
  <c r="I91" i="27"/>
  <c r="I93" i="27"/>
  <c r="I94" i="27"/>
  <c r="I96" i="27"/>
  <c r="I98" i="27"/>
  <c r="I99" i="27"/>
  <c r="I100" i="27"/>
  <c r="I101" i="27"/>
  <c r="I102" i="27"/>
  <c r="I103" i="27"/>
  <c r="I105" i="27"/>
  <c r="I106" i="27"/>
  <c r="I107" i="27"/>
  <c r="I108" i="27"/>
  <c r="I109" i="27"/>
  <c r="I110" i="27"/>
  <c r="I111" i="27"/>
  <c r="I112" i="27"/>
  <c r="I113" i="27"/>
  <c r="I114" i="27"/>
  <c r="I115" i="27"/>
  <c r="I116" i="27"/>
  <c r="I117" i="27"/>
  <c r="I118" i="27"/>
  <c r="I119" i="27"/>
  <c r="I121" i="27"/>
  <c r="I122" i="27"/>
  <c r="I123" i="27"/>
  <c r="I124" i="27"/>
  <c r="I125" i="27"/>
  <c r="I126" i="27"/>
  <c r="I127" i="27"/>
  <c r="I128" i="27"/>
  <c r="I129" i="27"/>
  <c r="I130" i="27"/>
  <c r="I132" i="27"/>
  <c r="I133" i="27"/>
  <c r="I134" i="27"/>
  <c r="I135" i="27"/>
  <c r="I136" i="27"/>
  <c r="I137" i="27"/>
  <c r="I138" i="27"/>
  <c r="I139" i="27"/>
  <c r="I140" i="27"/>
  <c r="I6" i="27"/>
  <c r="A5" i="23" l="1"/>
  <c r="A6" i="23"/>
  <c r="A7" i="23"/>
  <c r="A8" i="23"/>
  <c r="A9" i="23"/>
  <c r="A10" i="23"/>
  <c r="A11" i="23"/>
  <c r="A12" i="23"/>
  <c r="A13" i="23"/>
  <c r="A14" i="23"/>
  <c r="A15" i="23"/>
  <c r="A16" i="23"/>
  <c r="A17" i="23"/>
  <c r="A18" i="23"/>
  <c r="A19" i="23"/>
  <c r="A20" i="23"/>
  <c r="A21" i="23"/>
  <c r="A22" i="23"/>
  <c r="A23" i="23"/>
  <c r="A24" i="23"/>
  <c r="A25" i="23"/>
  <c r="A26" i="23"/>
  <c r="A27" i="23"/>
  <c r="A28" i="23"/>
  <c r="A29" i="23"/>
  <c r="A30" i="23"/>
  <c r="A31" i="23"/>
  <c r="A32" i="23"/>
  <c r="A33" i="23"/>
  <c r="A34" i="23"/>
  <c r="A35" i="23"/>
  <c r="A36" i="23"/>
  <c r="A37" i="23"/>
  <c r="A38" i="23"/>
  <c r="A39" i="23"/>
  <c r="A40" i="23"/>
  <c r="A41" i="23"/>
  <c r="A42" i="23"/>
  <c r="A43" i="23"/>
  <c r="A44" i="23"/>
  <c r="A45" i="23"/>
  <c r="A46" i="23"/>
  <c r="A47" i="23"/>
  <c r="A48" i="23"/>
  <c r="A49" i="23"/>
  <c r="A50" i="23"/>
  <c r="A51" i="23"/>
  <c r="A52" i="23"/>
  <c r="A53" i="23"/>
  <c r="A54" i="23"/>
  <c r="A55" i="23"/>
  <c r="A56" i="23"/>
  <c r="A57" i="23"/>
  <c r="A58" i="23"/>
  <c r="A59" i="23"/>
  <c r="A60" i="23"/>
  <c r="A61" i="23"/>
  <c r="A62" i="23"/>
  <c r="A63" i="23"/>
  <c r="A64" i="23"/>
  <c r="A65" i="23"/>
  <c r="A66" i="23"/>
  <c r="A67" i="23"/>
  <c r="A68" i="23"/>
  <c r="A69" i="23"/>
  <c r="A70" i="23"/>
  <c r="A71" i="23"/>
  <c r="A72" i="23"/>
  <c r="A73" i="23"/>
  <c r="A74" i="23"/>
  <c r="A75" i="23"/>
  <c r="A76" i="23"/>
  <c r="A77" i="23"/>
  <c r="A78" i="23"/>
  <c r="A79" i="23"/>
  <c r="A80" i="23"/>
  <c r="A81" i="23"/>
  <c r="A82" i="23"/>
  <c r="A83" i="23"/>
  <c r="A84" i="23"/>
  <c r="A85" i="23"/>
  <c r="A86" i="23"/>
  <c r="A87" i="23"/>
  <c r="A88" i="23"/>
  <c r="A89" i="23"/>
  <c r="A90" i="23"/>
  <c r="A91" i="23"/>
  <c r="A92" i="23"/>
  <c r="A93" i="23"/>
  <c r="A94" i="23"/>
  <c r="A95" i="23"/>
  <c r="A96" i="23"/>
  <c r="A97" i="23"/>
  <c r="A98" i="23"/>
  <c r="A99" i="23"/>
  <c r="A100" i="23"/>
  <c r="A101" i="23"/>
  <c r="A102" i="23"/>
  <c r="A103" i="23"/>
  <c r="A104" i="23"/>
  <c r="A105" i="23"/>
  <c r="A106" i="23"/>
  <c r="A107" i="23"/>
  <c r="A108" i="23"/>
  <c r="A109" i="23"/>
  <c r="A110" i="23"/>
  <c r="A111" i="23"/>
  <c r="A112" i="23"/>
  <c r="A113" i="23"/>
  <c r="A114" i="23"/>
  <c r="A115" i="23"/>
  <c r="A116" i="23"/>
  <c r="A117" i="23"/>
  <c r="A118" i="23"/>
  <c r="A119" i="23"/>
  <c r="A120" i="23"/>
  <c r="A121" i="23"/>
  <c r="A122" i="23"/>
  <c r="A4" i="23"/>
  <c r="BI7" i="27" l="1"/>
  <c r="L5" i="12" s="1"/>
  <c r="BI8" i="27"/>
  <c r="L6" i="12" s="1"/>
  <c r="BI9" i="27"/>
  <c r="L7" i="12" s="1"/>
  <c r="BI10" i="27"/>
  <c r="L8" i="12" s="1"/>
  <c r="BI11" i="27"/>
  <c r="L9" i="12" s="1"/>
  <c r="BI12" i="27"/>
  <c r="L10" i="12" s="1"/>
  <c r="BI13" i="27"/>
  <c r="L11" i="12" s="1"/>
  <c r="BI14" i="27"/>
  <c r="L12" i="12" s="1"/>
  <c r="BI15" i="27"/>
  <c r="L13" i="12" s="1"/>
  <c r="BI16" i="27"/>
  <c r="L14" i="12" s="1"/>
  <c r="BI17" i="27"/>
  <c r="L15" i="12" s="1"/>
  <c r="BI18" i="27"/>
  <c r="L16" i="12" s="1"/>
  <c r="BI19" i="27"/>
  <c r="L17" i="12" s="1"/>
  <c r="BI20" i="27"/>
  <c r="L18" i="12" s="1"/>
  <c r="BI21" i="27"/>
  <c r="L19" i="12" s="1"/>
  <c r="BI22" i="27"/>
  <c r="L20" i="12" s="1"/>
  <c r="BI23" i="27"/>
  <c r="L21" i="12" s="1"/>
  <c r="BI24" i="27"/>
  <c r="L22" i="12" s="1"/>
  <c r="BI25" i="27"/>
  <c r="L23" i="12" s="1"/>
  <c r="BI26" i="27"/>
  <c r="L24" i="12" s="1"/>
  <c r="BI27" i="27"/>
  <c r="L25" i="12" s="1"/>
  <c r="BI28" i="27"/>
  <c r="L26" i="12" s="1"/>
  <c r="BI29" i="27"/>
  <c r="L27" i="12" s="1"/>
  <c r="BI30" i="27"/>
  <c r="L28" i="12" s="1"/>
  <c r="BI31" i="27"/>
  <c r="L29" i="12" s="1"/>
  <c r="BI32" i="27"/>
  <c r="L30" i="12" s="1"/>
  <c r="BI33" i="27"/>
  <c r="L31" i="12" s="1"/>
  <c r="BI34" i="27"/>
  <c r="L32" i="12" s="1"/>
  <c r="BI35" i="27"/>
  <c r="L33" i="12" s="1"/>
  <c r="BI36" i="27"/>
  <c r="L34" i="12" s="1"/>
  <c r="BI37" i="27"/>
  <c r="L35" i="12" s="1"/>
  <c r="BI38" i="27"/>
  <c r="L36" i="12" s="1"/>
  <c r="BI39" i="27"/>
  <c r="L37" i="12" s="1"/>
  <c r="BI40" i="27"/>
  <c r="L38" i="12" s="1"/>
  <c r="BI41" i="27"/>
  <c r="L39" i="12" s="1"/>
  <c r="BI42" i="27"/>
  <c r="L40" i="12" s="1"/>
  <c r="BI43" i="27"/>
  <c r="L41" i="12" s="1"/>
  <c r="BI44" i="27"/>
  <c r="L42" i="12" s="1"/>
  <c r="BI45" i="27"/>
  <c r="L43" i="12" s="1"/>
  <c r="BI46" i="27"/>
  <c r="L44" i="12" s="1"/>
  <c r="BI47" i="27"/>
  <c r="L45" i="12" s="1"/>
  <c r="BI48" i="27"/>
  <c r="L46" i="12" s="1"/>
  <c r="BI49" i="27"/>
  <c r="L47" i="12" s="1"/>
  <c r="BI50" i="27"/>
  <c r="L48" i="12" s="1"/>
  <c r="BI51" i="27"/>
  <c r="L49" i="12" s="1"/>
  <c r="BI52" i="27"/>
  <c r="L50" i="12" s="1"/>
  <c r="BI53" i="27"/>
  <c r="L51" i="12" s="1"/>
  <c r="BI54" i="27"/>
  <c r="L52" i="12" s="1"/>
  <c r="BI55" i="27"/>
  <c r="L53" i="12" s="1"/>
  <c r="BI56" i="27"/>
  <c r="L54" i="12" s="1"/>
  <c r="BI57" i="27"/>
  <c r="L55" i="12" s="1"/>
  <c r="BI58" i="27"/>
  <c r="L56" i="12" s="1"/>
  <c r="BI59" i="27"/>
  <c r="L57" i="12" s="1"/>
  <c r="BI60" i="27"/>
  <c r="L58" i="12" s="1"/>
  <c r="BI61" i="27"/>
  <c r="L59" i="12" s="1"/>
  <c r="BI62" i="27"/>
  <c r="L60" i="12" s="1"/>
  <c r="BI63" i="27"/>
  <c r="L61" i="12" s="1"/>
  <c r="BI64" i="27"/>
  <c r="L62" i="12" s="1"/>
  <c r="BI65" i="27"/>
  <c r="L63" i="12" s="1"/>
  <c r="BI66" i="27"/>
  <c r="L64" i="12" s="1"/>
  <c r="BI67" i="27"/>
  <c r="L65" i="12" s="1"/>
  <c r="BI68" i="27"/>
  <c r="L66" i="12" s="1"/>
  <c r="BI69" i="27"/>
  <c r="L67" i="12" s="1"/>
  <c r="BI70" i="27"/>
  <c r="L68" i="12" s="1"/>
  <c r="BI71" i="27"/>
  <c r="L69" i="12" s="1"/>
  <c r="BI72" i="27"/>
  <c r="L70" i="12" s="1"/>
  <c r="BI73" i="27"/>
  <c r="L71" i="12" s="1"/>
  <c r="BI74" i="27"/>
  <c r="L72" i="12" s="1"/>
  <c r="BI75" i="27"/>
  <c r="L73" i="12" s="1"/>
  <c r="BI76" i="27"/>
  <c r="L74" i="12" s="1"/>
  <c r="BI77" i="27"/>
  <c r="L75" i="12" s="1"/>
  <c r="BI78" i="27"/>
  <c r="L76" i="12" s="1"/>
  <c r="BI79" i="27"/>
  <c r="L77" i="12" s="1"/>
  <c r="BI80" i="27"/>
  <c r="L78" i="12" s="1"/>
  <c r="BI81" i="27"/>
  <c r="L79" i="12" s="1"/>
  <c r="BI82" i="27"/>
  <c r="L80" i="12" s="1"/>
  <c r="BI83" i="27"/>
  <c r="L81" i="12" s="1"/>
  <c r="BI84" i="27"/>
  <c r="L82" i="12" s="1"/>
  <c r="BI85" i="27"/>
  <c r="L83" i="12" s="1"/>
  <c r="BI86" i="27"/>
  <c r="L84" i="12" s="1"/>
  <c r="BI87" i="27"/>
  <c r="L85" i="12" s="1"/>
  <c r="BI88" i="27"/>
  <c r="L86" i="12" s="1"/>
  <c r="BI89" i="27"/>
  <c r="L87" i="12" s="1"/>
  <c r="BI90" i="27"/>
  <c r="L88" i="12" s="1"/>
  <c r="BI91" i="27"/>
  <c r="L89" i="12" s="1"/>
  <c r="BI92" i="27"/>
  <c r="L90" i="12" s="1"/>
  <c r="BI93" i="27"/>
  <c r="L91" i="12" s="1"/>
  <c r="BI94" i="27"/>
  <c r="L92" i="12" s="1"/>
  <c r="BI95" i="27"/>
  <c r="L93" i="12" s="1"/>
  <c r="BI96" i="27"/>
  <c r="L94" i="12" s="1"/>
  <c r="BI97" i="27"/>
  <c r="L95" i="12" s="1"/>
  <c r="BI98" i="27"/>
  <c r="L96" i="12" s="1"/>
  <c r="BI99" i="27"/>
  <c r="L97" i="12" s="1"/>
  <c r="BI100" i="27"/>
  <c r="L98" i="12" s="1"/>
  <c r="BI101" i="27"/>
  <c r="L99" i="12" s="1"/>
  <c r="BI102" i="27"/>
  <c r="L100" i="12" s="1"/>
  <c r="BI103" i="27"/>
  <c r="L101" i="12" s="1"/>
  <c r="BI104" i="27"/>
  <c r="L102" i="12" s="1"/>
  <c r="BI105" i="27"/>
  <c r="L103" i="12" s="1"/>
  <c r="BI106" i="27"/>
  <c r="L104" i="12" s="1"/>
  <c r="BI107" i="27"/>
  <c r="L105" i="12" s="1"/>
  <c r="BI108" i="27"/>
  <c r="L106" i="12" s="1"/>
  <c r="BI109" i="27"/>
  <c r="L107" i="12" s="1"/>
  <c r="BI110" i="27"/>
  <c r="L108" i="12" s="1"/>
  <c r="BI111" i="27"/>
  <c r="L109" i="12" s="1"/>
  <c r="BI112" i="27"/>
  <c r="L110" i="12" s="1"/>
  <c r="BI113" i="27"/>
  <c r="L111" i="12" s="1"/>
  <c r="BI114" i="27"/>
  <c r="L112" i="12" s="1"/>
  <c r="BI115" i="27"/>
  <c r="L113" i="12" s="1"/>
  <c r="BI116" i="27"/>
  <c r="L114" i="12" s="1"/>
  <c r="BI117" i="27"/>
  <c r="L115" i="12" s="1"/>
  <c r="BI118" i="27"/>
  <c r="L116" i="12" s="1"/>
  <c r="BI119" i="27"/>
  <c r="L117" i="12" s="1"/>
  <c r="BI120" i="27"/>
  <c r="L118" i="12" s="1"/>
  <c r="BI121" i="27"/>
  <c r="L119" i="12" s="1"/>
  <c r="BI122" i="27"/>
  <c r="L120" i="12" s="1"/>
  <c r="BI123" i="27"/>
  <c r="L121" i="12" s="1"/>
  <c r="BI124" i="27"/>
  <c r="L122" i="12" s="1"/>
  <c r="BI125" i="27"/>
  <c r="L123" i="12" s="1"/>
  <c r="BI126" i="27"/>
  <c r="L124" i="12" s="1"/>
  <c r="BI127" i="27"/>
  <c r="L125" i="12" s="1"/>
  <c r="BI128" i="27"/>
  <c r="L126" i="12" s="1"/>
  <c r="BI129" i="27"/>
  <c r="L127" i="12" s="1"/>
  <c r="BI130" i="27"/>
  <c r="L128" i="12" s="1"/>
  <c r="BI131" i="27"/>
  <c r="L129" i="12" s="1"/>
  <c r="BI132" i="27"/>
  <c r="L130" i="12" s="1"/>
  <c r="BI133" i="27"/>
  <c r="L131" i="12" s="1"/>
  <c r="BI134" i="27"/>
  <c r="L132" i="12" s="1"/>
  <c r="BI136" i="27"/>
  <c r="L134" i="12" s="1"/>
  <c r="BI137" i="27"/>
  <c r="L135" i="12" s="1"/>
  <c r="BI138" i="27"/>
  <c r="L136" i="12" s="1"/>
  <c r="BI139" i="27"/>
  <c r="L137" i="12" s="1"/>
  <c r="BI140" i="27"/>
  <c r="L138" i="12" s="1"/>
  <c r="BI6" i="27"/>
  <c r="L4" i="12" s="1"/>
  <c r="AB102" i="12" l="1"/>
  <c r="AC102" i="12" s="1"/>
  <c r="AB118" i="12"/>
  <c r="AC118" i="12" s="1"/>
  <c r="AB129" i="12"/>
  <c r="AC129" i="12" s="1"/>
  <c r="D9" i="13" l="1"/>
  <c r="K9" i="13"/>
  <c r="C9" i="13"/>
  <c r="F12" i="13"/>
  <c r="F9" i="13" s="1"/>
  <c r="G12" i="13"/>
  <c r="H12" i="13" s="1"/>
  <c r="I12" i="13" s="1"/>
  <c r="J12" i="13" s="1"/>
  <c r="K12" i="13" s="1"/>
  <c r="L12" i="13" s="1"/>
  <c r="M12" i="13" s="1"/>
  <c r="N12" i="13" s="1"/>
  <c r="O12" i="13" s="1"/>
  <c r="P12" i="13" s="1"/>
  <c r="Q12" i="13" s="1"/>
  <c r="R12" i="13" s="1"/>
  <c r="S12" i="13" s="1"/>
  <c r="E12" i="13"/>
  <c r="E9" i="13" s="1"/>
  <c r="EF8" i="27"/>
  <c r="EF44" i="27"/>
  <c r="EF45" i="27"/>
  <c r="EF54" i="27"/>
  <c r="EF59" i="27"/>
  <c r="EF61" i="27"/>
  <c r="EF67" i="27"/>
  <c r="EF70" i="27"/>
  <c r="EF74" i="27"/>
  <c r="EF81" i="27"/>
  <c r="EF96" i="27"/>
  <c r="EF99" i="27"/>
  <c r="EF101" i="27"/>
  <c r="EF109" i="27"/>
  <c r="EF111" i="27"/>
  <c r="EF115" i="27"/>
  <c r="BR8" i="27"/>
  <c r="BR44" i="27"/>
  <c r="BR45" i="27"/>
  <c r="BR54" i="27"/>
  <c r="BR59" i="27"/>
  <c r="BR61" i="27"/>
  <c r="BR67" i="27"/>
  <c r="BR70" i="27"/>
  <c r="BR74" i="27"/>
  <c r="BR81" i="27"/>
  <c r="BR96" i="27"/>
  <c r="BR99" i="27"/>
  <c r="BR101" i="27"/>
  <c r="BR109" i="27"/>
  <c r="BR111" i="27"/>
  <c r="BR115" i="27"/>
  <c r="T68" i="12" l="1"/>
  <c r="T68" i="30"/>
  <c r="T107" i="30"/>
  <c r="T107" i="12"/>
  <c r="T79" i="30"/>
  <c r="T79" i="12"/>
  <c r="T59" i="30"/>
  <c r="T59" i="12"/>
  <c r="T42" i="12"/>
  <c r="T42" i="30"/>
  <c r="T97" i="30"/>
  <c r="T97" i="12"/>
  <c r="T99" i="30"/>
  <c r="T99" i="12"/>
  <c r="T72" i="12"/>
  <c r="T72" i="30"/>
  <c r="T57" i="30"/>
  <c r="T57" i="12"/>
  <c r="T6" i="12"/>
  <c r="T6" i="30"/>
  <c r="T113" i="30"/>
  <c r="T113" i="12"/>
  <c r="T52" i="12"/>
  <c r="T52" i="30"/>
  <c r="T109" i="30"/>
  <c r="T109" i="12"/>
  <c r="T94" i="12"/>
  <c r="T94" i="30"/>
  <c r="T65" i="30"/>
  <c r="T65" i="12"/>
  <c r="T43" i="30"/>
  <c r="T43" i="12"/>
  <c r="H107" i="12"/>
  <c r="H107" i="30"/>
  <c r="H79" i="12"/>
  <c r="H79" i="30"/>
  <c r="H59" i="12"/>
  <c r="H59" i="30"/>
  <c r="H42" i="12"/>
  <c r="H42" i="30"/>
  <c r="H99" i="12"/>
  <c r="H99" i="30"/>
  <c r="H72" i="12"/>
  <c r="H72" i="30"/>
  <c r="H57" i="12"/>
  <c r="H57" i="30"/>
  <c r="H6" i="12"/>
  <c r="H6" i="30"/>
  <c r="H113" i="12"/>
  <c r="H113" i="30"/>
  <c r="H97" i="12"/>
  <c r="H97" i="30"/>
  <c r="H68" i="12"/>
  <c r="H68" i="30"/>
  <c r="H52" i="12"/>
  <c r="H52" i="30"/>
  <c r="H109" i="12"/>
  <c r="H109" i="30"/>
  <c r="H94" i="12"/>
  <c r="H94" i="30"/>
  <c r="H65" i="12"/>
  <c r="H65" i="30"/>
  <c r="H43" i="12"/>
  <c r="H43" i="30"/>
  <c r="T12" i="13"/>
  <c r="T9" i="13" s="1"/>
  <c r="S9" i="13"/>
  <c r="I9" i="13"/>
  <c r="R9" i="13"/>
  <c r="J9" i="13"/>
  <c r="Q9" i="13"/>
  <c r="P9" i="13"/>
  <c r="H9" i="13"/>
  <c r="N9" i="13"/>
  <c r="O9" i="13"/>
  <c r="M9" i="13"/>
  <c r="G9" i="13"/>
  <c r="L9" i="13"/>
  <c r="U12" i="13"/>
  <c r="V12" i="13" l="1"/>
  <c r="U9" i="13"/>
  <c r="F2" i="27"/>
  <c r="BL6" i="27" s="1"/>
  <c r="W12" i="13" l="1"/>
  <c r="V9" i="13"/>
  <c r="BJ12" i="27"/>
  <c r="BN12" i="27" s="1"/>
  <c r="BJ28" i="27"/>
  <c r="BN28" i="27" s="1"/>
  <c r="BJ44" i="27"/>
  <c r="BN44" i="27" s="1"/>
  <c r="BJ60" i="27"/>
  <c r="BN60" i="27" s="1"/>
  <c r="BJ76" i="27"/>
  <c r="BN76" i="27" s="1"/>
  <c r="BJ92" i="27"/>
  <c r="BN92" i="27" s="1"/>
  <c r="BJ108" i="27"/>
  <c r="BN108" i="27" s="1"/>
  <c r="BJ124" i="27"/>
  <c r="BN124" i="27" s="1"/>
  <c r="BJ140" i="27"/>
  <c r="BN140" i="27" s="1"/>
  <c r="BJ58" i="27"/>
  <c r="BN58" i="27" s="1"/>
  <c r="BJ94" i="27"/>
  <c r="BN94" i="27" s="1"/>
  <c r="BJ122" i="27"/>
  <c r="BN122" i="27" s="1"/>
  <c r="BJ27" i="27"/>
  <c r="BN27" i="27" s="1"/>
  <c r="BJ55" i="27"/>
  <c r="BN55" i="27" s="1"/>
  <c r="BJ87" i="27"/>
  <c r="BN87" i="27" s="1"/>
  <c r="BJ119" i="27"/>
  <c r="BN119" i="27" s="1"/>
  <c r="BJ13" i="27"/>
  <c r="BN13" i="27" s="1"/>
  <c r="BJ29" i="27"/>
  <c r="BN29" i="27" s="1"/>
  <c r="BJ45" i="27"/>
  <c r="BN45" i="27" s="1"/>
  <c r="BJ61" i="27"/>
  <c r="BN61" i="27" s="1"/>
  <c r="BJ77" i="27"/>
  <c r="BN77" i="27" s="1"/>
  <c r="BJ93" i="27"/>
  <c r="BN93" i="27" s="1"/>
  <c r="BJ109" i="27"/>
  <c r="BN109" i="27" s="1"/>
  <c r="BJ125" i="27"/>
  <c r="BN125" i="27" s="1"/>
  <c r="BJ10" i="27"/>
  <c r="BN10" i="27" s="1"/>
  <c r="BJ30" i="27"/>
  <c r="BN30" i="27" s="1"/>
  <c r="BJ54" i="27"/>
  <c r="BN54" i="27" s="1"/>
  <c r="BJ82" i="27"/>
  <c r="BN82" i="27" s="1"/>
  <c r="BJ118" i="27"/>
  <c r="BN118" i="27" s="1"/>
  <c r="BJ11" i="27"/>
  <c r="BN11" i="27" s="1"/>
  <c r="BJ43" i="27"/>
  <c r="BN43" i="27" s="1"/>
  <c r="BJ75" i="27"/>
  <c r="BN75" i="27" s="1"/>
  <c r="BJ107" i="27"/>
  <c r="BN107" i="27" s="1"/>
  <c r="BJ139" i="27"/>
  <c r="BN139" i="27" s="1"/>
  <c r="BJ6" i="27"/>
  <c r="BN6" i="27" s="1"/>
  <c r="BJ36" i="27"/>
  <c r="BN36" i="27" s="1"/>
  <c r="BJ52" i="27"/>
  <c r="BN52" i="27" s="1"/>
  <c r="BJ68" i="27"/>
  <c r="BN68" i="27" s="1"/>
  <c r="BJ84" i="27"/>
  <c r="BN84" i="27" s="1"/>
  <c r="BJ100" i="27"/>
  <c r="BN100" i="27" s="1"/>
  <c r="BJ116" i="27"/>
  <c r="BN116" i="27" s="1"/>
  <c r="BJ132" i="27"/>
  <c r="BN132" i="27" s="1"/>
  <c r="BJ42" i="27"/>
  <c r="BN42" i="27" s="1"/>
  <c r="BJ106" i="27"/>
  <c r="BN106" i="27" s="1"/>
  <c r="BJ39" i="27"/>
  <c r="BN39" i="27" s="1"/>
  <c r="BJ71" i="27"/>
  <c r="BN71" i="27" s="1"/>
  <c r="BJ135" i="27"/>
  <c r="BN135" i="27" s="1"/>
  <c r="BJ37" i="27"/>
  <c r="BN37" i="27" s="1"/>
  <c r="BJ69" i="27"/>
  <c r="BN69" i="27" s="1"/>
  <c r="BJ101" i="27"/>
  <c r="BN101" i="27" s="1"/>
  <c r="BJ8" i="27"/>
  <c r="BN8" i="27" s="1"/>
  <c r="BJ40" i="27"/>
  <c r="BN40" i="27" s="1"/>
  <c r="BJ56" i="27"/>
  <c r="BN56" i="27" s="1"/>
  <c r="BJ88" i="27"/>
  <c r="BN88" i="27" s="1"/>
  <c r="BJ120" i="27"/>
  <c r="BN120" i="27" s="1"/>
  <c r="BJ50" i="27"/>
  <c r="BN50" i="27" s="1"/>
  <c r="BJ114" i="27"/>
  <c r="BN114" i="27" s="1"/>
  <c r="BJ15" i="27"/>
  <c r="BN15" i="27" s="1"/>
  <c r="BJ79" i="27"/>
  <c r="BN79" i="27" s="1"/>
  <c r="BJ9" i="27"/>
  <c r="BN9" i="27" s="1"/>
  <c r="BJ41" i="27"/>
  <c r="BN41" i="27" s="1"/>
  <c r="BJ73" i="27"/>
  <c r="BN73" i="27" s="1"/>
  <c r="BJ105" i="27"/>
  <c r="BN105" i="27" s="1"/>
  <c r="BJ137" i="27"/>
  <c r="BN137" i="27" s="1"/>
  <c r="BJ46" i="27"/>
  <c r="BN46" i="27" s="1"/>
  <c r="BJ110" i="27"/>
  <c r="BN110" i="27" s="1"/>
  <c r="BJ31" i="27"/>
  <c r="BN31" i="27" s="1"/>
  <c r="BJ99" i="27"/>
  <c r="BN99" i="27" s="1"/>
  <c r="BJ16" i="27"/>
  <c r="BN16" i="27" s="1"/>
  <c r="BJ32" i="27"/>
  <c r="BN32" i="27" s="1"/>
  <c r="BJ48" i="27"/>
  <c r="BN48" i="27" s="1"/>
  <c r="BJ64" i="27"/>
  <c r="BN64" i="27" s="1"/>
  <c r="BJ80" i="27"/>
  <c r="BN80" i="27" s="1"/>
  <c r="BJ96" i="27"/>
  <c r="BN96" i="27" s="1"/>
  <c r="BJ112" i="27"/>
  <c r="BN112" i="27" s="1"/>
  <c r="BJ128" i="27"/>
  <c r="BN128" i="27" s="1"/>
  <c r="BJ22" i="27"/>
  <c r="BN22" i="27" s="1"/>
  <c r="BJ66" i="27"/>
  <c r="BN66" i="27" s="1"/>
  <c r="BJ98" i="27"/>
  <c r="BN98" i="27" s="1"/>
  <c r="BJ126" i="27"/>
  <c r="BN126" i="27" s="1"/>
  <c r="BJ35" i="27"/>
  <c r="BN35" i="27" s="1"/>
  <c r="BJ63" i="27"/>
  <c r="BN63" i="27" s="1"/>
  <c r="BJ95" i="27"/>
  <c r="BN95" i="27" s="1"/>
  <c r="BJ127" i="27"/>
  <c r="BN127" i="27" s="1"/>
  <c r="BJ17" i="27"/>
  <c r="BN17" i="27" s="1"/>
  <c r="BJ33" i="27"/>
  <c r="BN33" i="27" s="1"/>
  <c r="BJ49" i="27"/>
  <c r="BN49" i="27" s="1"/>
  <c r="BJ65" i="27"/>
  <c r="BN65" i="27" s="1"/>
  <c r="BJ81" i="27"/>
  <c r="BN81" i="27" s="1"/>
  <c r="BJ97" i="27"/>
  <c r="BN97" i="27" s="1"/>
  <c r="BJ113" i="27"/>
  <c r="BN113" i="27" s="1"/>
  <c r="BJ129" i="27"/>
  <c r="BN129" i="27" s="1"/>
  <c r="BJ14" i="27"/>
  <c r="BN14" i="27" s="1"/>
  <c r="BJ34" i="27"/>
  <c r="BN34" i="27" s="1"/>
  <c r="BJ62" i="27"/>
  <c r="BN62" i="27" s="1"/>
  <c r="BJ90" i="27"/>
  <c r="BN90" i="27" s="1"/>
  <c r="BJ130" i="27"/>
  <c r="BN130" i="27" s="1"/>
  <c r="BJ19" i="27"/>
  <c r="BN19" i="27" s="1"/>
  <c r="BJ51" i="27"/>
  <c r="BN51" i="27" s="1"/>
  <c r="BJ83" i="27"/>
  <c r="BN83" i="27" s="1"/>
  <c r="BJ115" i="27"/>
  <c r="BN115" i="27" s="1"/>
  <c r="BJ20" i="27"/>
  <c r="BN20" i="27" s="1"/>
  <c r="BJ74" i="27"/>
  <c r="BN74" i="27" s="1"/>
  <c r="BJ134" i="27"/>
  <c r="BN134" i="27" s="1"/>
  <c r="BJ103" i="27"/>
  <c r="BN103" i="27" s="1"/>
  <c r="BJ21" i="27"/>
  <c r="BN21" i="27" s="1"/>
  <c r="BJ53" i="27"/>
  <c r="BN53" i="27" s="1"/>
  <c r="BJ85" i="27"/>
  <c r="BN85" i="27" s="1"/>
  <c r="BJ117" i="27"/>
  <c r="BN117" i="27" s="1"/>
  <c r="BJ133" i="27"/>
  <c r="BN133" i="27" s="1"/>
  <c r="BJ18" i="27"/>
  <c r="BN18" i="27" s="1"/>
  <c r="BJ38" i="27"/>
  <c r="BN38" i="27" s="1"/>
  <c r="BJ70" i="27"/>
  <c r="BN70" i="27" s="1"/>
  <c r="BJ102" i="27"/>
  <c r="BN102" i="27" s="1"/>
  <c r="BJ138" i="27"/>
  <c r="BN138" i="27" s="1"/>
  <c r="BJ23" i="27"/>
  <c r="BN23" i="27" s="1"/>
  <c r="BJ59" i="27"/>
  <c r="BN59" i="27" s="1"/>
  <c r="BJ91" i="27"/>
  <c r="BN91" i="27" s="1"/>
  <c r="BJ123" i="27"/>
  <c r="BN123" i="27" s="1"/>
  <c r="BJ24" i="27"/>
  <c r="BN24" i="27" s="1"/>
  <c r="BJ72" i="27"/>
  <c r="BN72" i="27" s="1"/>
  <c r="BJ104" i="27"/>
  <c r="BN104" i="27" s="1"/>
  <c r="BJ136" i="27"/>
  <c r="BN136" i="27" s="1"/>
  <c r="BJ86" i="27"/>
  <c r="BN86" i="27" s="1"/>
  <c r="BJ47" i="27"/>
  <c r="BN47" i="27" s="1"/>
  <c r="BJ111" i="27"/>
  <c r="BN111" i="27" s="1"/>
  <c r="BJ25" i="27"/>
  <c r="BN25" i="27" s="1"/>
  <c r="BJ57" i="27"/>
  <c r="BN57" i="27" s="1"/>
  <c r="BJ89" i="27"/>
  <c r="BN89" i="27" s="1"/>
  <c r="BJ121" i="27"/>
  <c r="BN121" i="27" s="1"/>
  <c r="BJ26" i="27"/>
  <c r="BN26" i="27" s="1"/>
  <c r="BJ78" i="27"/>
  <c r="BN78" i="27" s="1"/>
  <c r="BJ7" i="27"/>
  <c r="BN7" i="27" s="1"/>
  <c r="BJ67" i="27"/>
  <c r="BN67" i="27" s="1"/>
  <c r="BJ131" i="27"/>
  <c r="BN131" i="27" s="1"/>
  <c r="BL9" i="27"/>
  <c r="BL25" i="27"/>
  <c r="BL41" i="27"/>
  <c r="BL57" i="27"/>
  <c r="BL73" i="27"/>
  <c r="BL89" i="27"/>
  <c r="BL105" i="27"/>
  <c r="BL121" i="27"/>
  <c r="BL137" i="27"/>
  <c r="BL38" i="27"/>
  <c r="BL70" i="27"/>
  <c r="BL102" i="27"/>
  <c r="BL134" i="27"/>
  <c r="BL19" i="27"/>
  <c r="BL35" i="27"/>
  <c r="BL51" i="27"/>
  <c r="BL67" i="27"/>
  <c r="BL83" i="27"/>
  <c r="BL99" i="27"/>
  <c r="BL115" i="27"/>
  <c r="BL131" i="27"/>
  <c r="BL12" i="27"/>
  <c r="BL28" i="27"/>
  <c r="BL44" i="27"/>
  <c r="BL60" i="27"/>
  <c r="BL76" i="27"/>
  <c r="BL92" i="27"/>
  <c r="BL108" i="27"/>
  <c r="BL124" i="27"/>
  <c r="BL140" i="27"/>
  <c r="BL30" i="27"/>
  <c r="BL58" i="27"/>
  <c r="BL90" i="27"/>
  <c r="BL122" i="27"/>
  <c r="BL17" i="27"/>
  <c r="BL33" i="27"/>
  <c r="BL49" i="27"/>
  <c r="BL65" i="27"/>
  <c r="BL81" i="27"/>
  <c r="BL97" i="27"/>
  <c r="BL113" i="27"/>
  <c r="BL129" i="27"/>
  <c r="BL18" i="27"/>
  <c r="BL54" i="27"/>
  <c r="BL86" i="27"/>
  <c r="BL118" i="27"/>
  <c r="BL11" i="27"/>
  <c r="BL27" i="27"/>
  <c r="BL43" i="27"/>
  <c r="BL59" i="27"/>
  <c r="BL75" i="27"/>
  <c r="BL91" i="27"/>
  <c r="BL107" i="27"/>
  <c r="BL123" i="27"/>
  <c r="BL139" i="27"/>
  <c r="BL20" i="27"/>
  <c r="BL36" i="27"/>
  <c r="BL52" i="27"/>
  <c r="BL68" i="27"/>
  <c r="BL84" i="27"/>
  <c r="BL100" i="27"/>
  <c r="BL116" i="27"/>
  <c r="BL132" i="27"/>
  <c r="BL14" i="27"/>
  <c r="BL42" i="27"/>
  <c r="BL74" i="27"/>
  <c r="BL106" i="27"/>
  <c r="BL138" i="27"/>
  <c r="BL37" i="27"/>
  <c r="BL69" i="27"/>
  <c r="BL101" i="27"/>
  <c r="BL133" i="27"/>
  <c r="BL62" i="27"/>
  <c r="BL126" i="27"/>
  <c r="BL31" i="27"/>
  <c r="BL63" i="27"/>
  <c r="BL95" i="27"/>
  <c r="BL127" i="27"/>
  <c r="BL24" i="27"/>
  <c r="BL56" i="27"/>
  <c r="BL88" i="27"/>
  <c r="BL120" i="27"/>
  <c r="BL22" i="27"/>
  <c r="BL82" i="27"/>
  <c r="BL117" i="27"/>
  <c r="BL15" i="27"/>
  <c r="BL79" i="27"/>
  <c r="BL72" i="27"/>
  <c r="BL136" i="27"/>
  <c r="BL29" i="27"/>
  <c r="BL61" i="27"/>
  <c r="BL125" i="27"/>
  <c r="BL23" i="27"/>
  <c r="BL55" i="27"/>
  <c r="BL119" i="27"/>
  <c r="BL48" i="27"/>
  <c r="BL112" i="27"/>
  <c r="BL130" i="27"/>
  <c r="BL13" i="27"/>
  <c r="BL45" i="27"/>
  <c r="BL77" i="27"/>
  <c r="BL109" i="27"/>
  <c r="BL8" i="27"/>
  <c r="BL78" i="27"/>
  <c r="BL7" i="27"/>
  <c r="BL39" i="27"/>
  <c r="BL71" i="27"/>
  <c r="BL103" i="27"/>
  <c r="BL135" i="27"/>
  <c r="BL32" i="27"/>
  <c r="BL64" i="27"/>
  <c r="BL96" i="27"/>
  <c r="BL128" i="27"/>
  <c r="BL34" i="27"/>
  <c r="BL98" i="27"/>
  <c r="BL21" i="27"/>
  <c r="BL53" i="27"/>
  <c r="BL85" i="27"/>
  <c r="BL26" i="27"/>
  <c r="BL94" i="27"/>
  <c r="BL47" i="27"/>
  <c r="BL111" i="27"/>
  <c r="BL40" i="27"/>
  <c r="BL104" i="27"/>
  <c r="BL50" i="27"/>
  <c r="BL114" i="27"/>
  <c r="BL93" i="27"/>
  <c r="BL46" i="27"/>
  <c r="BL110" i="27"/>
  <c r="BL87" i="27"/>
  <c r="BL16" i="27"/>
  <c r="BL80" i="27"/>
  <c r="BL10" i="27"/>
  <c r="BL66" i="27"/>
  <c r="BJ4" i="27"/>
  <c r="BK4" i="27"/>
  <c r="BM4" i="27"/>
  <c r="BN4" i="27"/>
  <c r="C8" i="16"/>
  <c r="BR4" i="27"/>
  <c r="X12" i="13" l="1"/>
  <c r="W9" i="13"/>
  <c r="BY7" i="27"/>
  <c r="BY8" i="27"/>
  <c r="BY9" i="27"/>
  <c r="BY10" i="27"/>
  <c r="BY11" i="27"/>
  <c r="BY12" i="27"/>
  <c r="BY13" i="27"/>
  <c r="BY14" i="27"/>
  <c r="BY15" i="27"/>
  <c r="BY16" i="27"/>
  <c r="BY17" i="27"/>
  <c r="BY18" i="27"/>
  <c r="BY19" i="27"/>
  <c r="BY20" i="27"/>
  <c r="BY21" i="27"/>
  <c r="BY22" i="27"/>
  <c r="BY23" i="27"/>
  <c r="BY24" i="27"/>
  <c r="BY25" i="27"/>
  <c r="BY26" i="27"/>
  <c r="BY27" i="27"/>
  <c r="BY28" i="27"/>
  <c r="BY29" i="27"/>
  <c r="BY30" i="27"/>
  <c r="BY31" i="27"/>
  <c r="BY32" i="27"/>
  <c r="BY33" i="27"/>
  <c r="BY34" i="27"/>
  <c r="BY35" i="27"/>
  <c r="BY36" i="27"/>
  <c r="BY37" i="27"/>
  <c r="BY38" i="27"/>
  <c r="BY39" i="27"/>
  <c r="BY40" i="27"/>
  <c r="BY41" i="27"/>
  <c r="BY42" i="27"/>
  <c r="BY43" i="27"/>
  <c r="BY44" i="27"/>
  <c r="BY45" i="27"/>
  <c r="BY46" i="27"/>
  <c r="BY47" i="27"/>
  <c r="BY48" i="27"/>
  <c r="BY49" i="27"/>
  <c r="BY50" i="27"/>
  <c r="BY51" i="27"/>
  <c r="BY52" i="27"/>
  <c r="BY53" i="27"/>
  <c r="BY54" i="27"/>
  <c r="BY55" i="27"/>
  <c r="BY56" i="27"/>
  <c r="BY57" i="27"/>
  <c r="BY58" i="27"/>
  <c r="BY59" i="27"/>
  <c r="BY60" i="27"/>
  <c r="BY61" i="27"/>
  <c r="BY62" i="27"/>
  <c r="BY63" i="27"/>
  <c r="BY64" i="27"/>
  <c r="BY65" i="27"/>
  <c r="BY66" i="27"/>
  <c r="BY67" i="27"/>
  <c r="BY68" i="27"/>
  <c r="BY69" i="27"/>
  <c r="BY70" i="27"/>
  <c r="BY71" i="27"/>
  <c r="BY72" i="27"/>
  <c r="BY73" i="27"/>
  <c r="BY74" i="27"/>
  <c r="BY75" i="27"/>
  <c r="BY76" i="27"/>
  <c r="BY77" i="27"/>
  <c r="BY78" i="27"/>
  <c r="BY79" i="27"/>
  <c r="BY80" i="27"/>
  <c r="BY81" i="27"/>
  <c r="BY82" i="27"/>
  <c r="BY83" i="27"/>
  <c r="BY84" i="27"/>
  <c r="BY85" i="27"/>
  <c r="BY86" i="27"/>
  <c r="BY87" i="27"/>
  <c r="BY88" i="27"/>
  <c r="BY89" i="27"/>
  <c r="BY90" i="27"/>
  <c r="BY91" i="27"/>
  <c r="BY92" i="27"/>
  <c r="BY93" i="27"/>
  <c r="BY94" i="27"/>
  <c r="BY95" i="27"/>
  <c r="BY96" i="27"/>
  <c r="BY97" i="27"/>
  <c r="BY98" i="27"/>
  <c r="BY99" i="27"/>
  <c r="BY100" i="27"/>
  <c r="BY101" i="27"/>
  <c r="BY102" i="27"/>
  <c r="BY103" i="27"/>
  <c r="BY104" i="27"/>
  <c r="BY105" i="27"/>
  <c r="BY106" i="27"/>
  <c r="BY107" i="27"/>
  <c r="BY108" i="27"/>
  <c r="BY109" i="27"/>
  <c r="BY110" i="27"/>
  <c r="BY111" i="27"/>
  <c r="BY112" i="27"/>
  <c r="BY113" i="27"/>
  <c r="BY114" i="27"/>
  <c r="BY115" i="27"/>
  <c r="BY116" i="27"/>
  <c r="BY117" i="27"/>
  <c r="BY118" i="27"/>
  <c r="BY119" i="27"/>
  <c r="BY120" i="27"/>
  <c r="BY121" i="27"/>
  <c r="BY122" i="27"/>
  <c r="BY123" i="27"/>
  <c r="BY124" i="27"/>
  <c r="BY125" i="27"/>
  <c r="BY126" i="27"/>
  <c r="BY127" i="27"/>
  <c r="BY128" i="27"/>
  <c r="BY129" i="27"/>
  <c r="BY130" i="27"/>
  <c r="BY131" i="27"/>
  <c r="BY132" i="27"/>
  <c r="BY133" i="27"/>
  <c r="BY134" i="27"/>
  <c r="BY135" i="27"/>
  <c r="BY136" i="27"/>
  <c r="BY137" i="27"/>
  <c r="BY138" i="27"/>
  <c r="BY139" i="27"/>
  <c r="BY6" i="27"/>
  <c r="Y12" i="13" l="1"/>
  <c r="X9" i="13"/>
  <c r="W136" i="12"/>
  <c r="W136" i="30"/>
  <c r="W136" i="31"/>
  <c r="W128" i="12"/>
  <c r="W128" i="30"/>
  <c r="W128" i="31"/>
  <c r="W120" i="12"/>
  <c r="W120" i="30"/>
  <c r="W120" i="31"/>
  <c r="W112" i="30"/>
  <c r="W112" i="12"/>
  <c r="W112" i="31"/>
  <c r="W104" i="12"/>
  <c r="W104" i="30"/>
  <c r="W104" i="31"/>
  <c r="W96" i="12"/>
  <c r="W96" i="30"/>
  <c r="W96" i="31"/>
  <c r="W88" i="12"/>
  <c r="W88" i="30"/>
  <c r="W88" i="31"/>
  <c r="W80" i="12"/>
  <c r="W80" i="30"/>
  <c r="W80" i="31"/>
  <c r="W72" i="30"/>
  <c r="W72" i="12"/>
  <c r="W72" i="31"/>
  <c r="W64" i="12"/>
  <c r="W64" i="30"/>
  <c r="W64" i="31"/>
  <c r="W56" i="12"/>
  <c r="W56" i="30"/>
  <c r="W56" i="31"/>
  <c r="W48" i="12"/>
  <c r="W48" i="30"/>
  <c r="W48" i="31"/>
  <c r="W40" i="12"/>
  <c r="W40" i="30"/>
  <c r="W40" i="31"/>
  <c r="W32" i="12"/>
  <c r="W32" i="30"/>
  <c r="W32" i="31"/>
  <c r="W24" i="12"/>
  <c r="W24" i="30"/>
  <c r="W24" i="31"/>
  <c r="W20" i="12"/>
  <c r="W20" i="30"/>
  <c r="W20" i="31"/>
  <c r="W16" i="12"/>
  <c r="W16" i="30"/>
  <c r="W16" i="31"/>
  <c r="W8" i="12"/>
  <c r="W8" i="30"/>
  <c r="W8" i="31"/>
  <c r="W131" i="12"/>
  <c r="W131" i="30"/>
  <c r="W131" i="31"/>
  <c r="W123" i="12"/>
  <c r="W123" i="30"/>
  <c r="W123" i="31"/>
  <c r="W115" i="30"/>
  <c r="W115" i="12"/>
  <c r="W115" i="31"/>
  <c r="W107" i="12"/>
  <c r="W107" i="30"/>
  <c r="W107" i="31"/>
  <c r="W99" i="12"/>
  <c r="W99" i="30"/>
  <c r="W99" i="31"/>
  <c r="W91" i="12"/>
  <c r="W91" i="30"/>
  <c r="W91" i="31"/>
  <c r="W83" i="12"/>
  <c r="W83" i="30"/>
  <c r="W83" i="31"/>
  <c r="W75" i="12"/>
  <c r="W75" i="30"/>
  <c r="W75" i="31"/>
  <c r="W67" i="12"/>
  <c r="W67" i="30"/>
  <c r="W67" i="31"/>
  <c r="W59" i="12"/>
  <c r="W59" i="30"/>
  <c r="W59" i="31"/>
  <c r="W51" i="12"/>
  <c r="W51" i="30"/>
  <c r="W51" i="31"/>
  <c r="W47" i="12"/>
  <c r="W47" i="30"/>
  <c r="W47" i="31"/>
  <c r="W39" i="12"/>
  <c r="W39" i="30"/>
  <c r="W39" i="31"/>
  <c r="W35" i="12"/>
  <c r="W35" i="30"/>
  <c r="W35" i="31"/>
  <c r="W31" i="12"/>
  <c r="W31" i="30"/>
  <c r="W31" i="31"/>
  <c r="W27" i="12"/>
  <c r="W27" i="30"/>
  <c r="W27" i="31"/>
  <c r="W23" i="12"/>
  <c r="W23" i="30"/>
  <c r="W23" i="31"/>
  <c r="W19" i="12"/>
  <c r="W19" i="30"/>
  <c r="W19" i="31"/>
  <c r="W15" i="12"/>
  <c r="W15" i="30"/>
  <c r="W15" i="31"/>
  <c r="W11" i="12"/>
  <c r="W11" i="30"/>
  <c r="W11" i="31"/>
  <c r="W7" i="12"/>
  <c r="W7" i="30"/>
  <c r="W7" i="31"/>
  <c r="W4" i="31"/>
  <c r="W4" i="30"/>
  <c r="W134" i="12"/>
  <c r="W134" i="30"/>
  <c r="W134" i="31"/>
  <c r="W130" i="30"/>
  <c r="W130" i="12"/>
  <c r="W130" i="31"/>
  <c r="W126" i="30"/>
  <c r="W126" i="12"/>
  <c r="W126" i="31"/>
  <c r="W122" i="12"/>
  <c r="W122" i="30"/>
  <c r="W122" i="31"/>
  <c r="W118" i="12"/>
  <c r="W118" i="30"/>
  <c r="W118" i="31"/>
  <c r="W114" i="12"/>
  <c r="W114" i="30"/>
  <c r="W114" i="31"/>
  <c r="W110" i="12"/>
  <c r="W110" i="30"/>
  <c r="W110" i="31"/>
  <c r="W106" i="30"/>
  <c r="W106" i="12"/>
  <c r="W106" i="31"/>
  <c r="W102" i="12"/>
  <c r="W102" i="30"/>
  <c r="W102" i="31"/>
  <c r="W98" i="12"/>
  <c r="W98" i="30"/>
  <c r="W98" i="31"/>
  <c r="W94" i="30"/>
  <c r="W94" i="12"/>
  <c r="W94" i="31"/>
  <c r="W90" i="12"/>
  <c r="W90" i="30"/>
  <c r="W90" i="31"/>
  <c r="W86" i="12"/>
  <c r="W86" i="30"/>
  <c r="W86" i="31"/>
  <c r="W82" i="12"/>
  <c r="W82" i="30"/>
  <c r="W82" i="31"/>
  <c r="W78" i="12"/>
  <c r="W78" i="30"/>
  <c r="W78" i="31"/>
  <c r="W74" i="12"/>
  <c r="W74" i="30"/>
  <c r="W74" i="31"/>
  <c r="W70" i="30"/>
  <c r="W70" i="12"/>
  <c r="W70" i="31"/>
  <c r="W66" i="12"/>
  <c r="W66" i="30"/>
  <c r="W66" i="31"/>
  <c r="W62" i="12"/>
  <c r="W62" i="30"/>
  <c r="W62" i="31"/>
  <c r="W58" i="12"/>
  <c r="W58" i="30"/>
  <c r="W58" i="31"/>
  <c r="W54" i="30"/>
  <c r="W54" i="12"/>
  <c r="W54" i="31"/>
  <c r="W50" i="12"/>
  <c r="W50" i="30"/>
  <c r="W50" i="31"/>
  <c r="W46" i="12"/>
  <c r="W46" i="30"/>
  <c r="W46" i="31"/>
  <c r="W42" i="12"/>
  <c r="W42" i="30"/>
  <c r="W42" i="31"/>
  <c r="W38" i="12"/>
  <c r="W38" i="30"/>
  <c r="W38" i="31"/>
  <c r="W34" i="12"/>
  <c r="W34" i="30"/>
  <c r="W34" i="31"/>
  <c r="W30" i="12"/>
  <c r="W30" i="30"/>
  <c r="W30" i="31"/>
  <c r="W26" i="30"/>
  <c r="W26" i="12"/>
  <c r="W26" i="31"/>
  <c r="W22" i="12"/>
  <c r="W22" i="30"/>
  <c r="W22" i="31"/>
  <c r="W18" i="12"/>
  <c r="W18" i="30"/>
  <c r="W18" i="31"/>
  <c r="W14" i="12"/>
  <c r="W14" i="30"/>
  <c r="W14" i="31"/>
  <c r="W10" i="12"/>
  <c r="W10" i="30"/>
  <c r="W10" i="31"/>
  <c r="W6" i="12"/>
  <c r="W6" i="30"/>
  <c r="W6" i="31"/>
  <c r="W132" i="12"/>
  <c r="W132" i="30"/>
  <c r="W132" i="31"/>
  <c r="W124" i="12"/>
  <c r="W124" i="30"/>
  <c r="W124" i="31"/>
  <c r="W116" i="30"/>
  <c r="W116" i="12"/>
  <c r="W116" i="31"/>
  <c r="W108" i="12"/>
  <c r="W108" i="30"/>
  <c r="W108" i="31"/>
  <c r="W100" i="12"/>
  <c r="W100" i="30"/>
  <c r="W100" i="31"/>
  <c r="W92" i="30"/>
  <c r="W92" i="12"/>
  <c r="W92" i="31"/>
  <c r="W84" i="12"/>
  <c r="W84" i="30"/>
  <c r="W84" i="31"/>
  <c r="W76" i="12"/>
  <c r="W76" i="30"/>
  <c r="W76" i="31"/>
  <c r="W68" i="12"/>
  <c r="W68" i="30"/>
  <c r="W68" i="31"/>
  <c r="W60" i="12"/>
  <c r="W60" i="30"/>
  <c r="W60" i="31"/>
  <c r="W52" i="12"/>
  <c r="W52" i="30"/>
  <c r="W52" i="31"/>
  <c r="W44" i="12"/>
  <c r="W44" i="30"/>
  <c r="W44" i="31"/>
  <c r="W36" i="12"/>
  <c r="W36" i="30"/>
  <c r="W36" i="31"/>
  <c r="W28" i="12"/>
  <c r="W28" i="30"/>
  <c r="W28" i="31"/>
  <c r="W12" i="12"/>
  <c r="W12" i="30"/>
  <c r="W12" i="31"/>
  <c r="W135" i="12"/>
  <c r="W135" i="30"/>
  <c r="W135" i="31"/>
  <c r="W127" i="30"/>
  <c r="W127" i="12"/>
  <c r="W127" i="31"/>
  <c r="W119" i="12"/>
  <c r="W119" i="30"/>
  <c r="W119" i="31"/>
  <c r="W111" i="12"/>
  <c r="W111" i="30"/>
  <c r="W111" i="31"/>
  <c r="W103" i="12"/>
  <c r="W103" i="30"/>
  <c r="W103" i="31"/>
  <c r="W95" i="12"/>
  <c r="W95" i="30"/>
  <c r="W95" i="31"/>
  <c r="W87" i="12"/>
  <c r="W87" i="30"/>
  <c r="W87" i="31"/>
  <c r="W79" i="12"/>
  <c r="W79" i="30"/>
  <c r="W79" i="31"/>
  <c r="W71" i="12"/>
  <c r="W71" i="30"/>
  <c r="W71" i="31"/>
  <c r="W63" i="30"/>
  <c r="W63" i="12"/>
  <c r="W63" i="31"/>
  <c r="W55" i="12"/>
  <c r="W55" i="30"/>
  <c r="W55" i="31"/>
  <c r="W43" i="12"/>
  <c r="W43" i="30"/>
  <c r="W43" i="31"/>
  <c r="W137" i="12"/>
  <c r="W137" i="30"/>
  <c r="W137" i="31"/>
  <c r="W133" i="12"/>
  <c r="W133" i="30"/>
  <c r="W133" i="31"/>
  <c r="W129" i="12"/>
  <c r="W129" i="30"/>
  <c r="W129" i="31"/>
  <c r="W125" i="12"/>
  <c r="W125" i="30"/>
  <c r="W125" i="31"/>
  <c r="W121" i="12"/>
  <c r="W121" i="30"/>
  <c r="W121" i="31"/>
  <c r="W117" i="12"/>
  <c r="W117" i="30"/>
  <c r="W117" i="31"/>
  <c r="W113" i="12"/>
  <c r="W113" i="30"/>
  <c r="W113" i="31"/>
  <c r="W109" i="12"/>
  <c r="W109" i="30"/>
  <c r="W109" i="31"/>
  <c r="W105" i="12"/>
  <c r="W105" i="30"/>
  <c r="W105" i="31"/>
  <c r="W101" i="12"/>
  <c r="W101" i="30"/>
  <c r="W101" i="31"/>
  <c r="W97" i="12"/>
  <c r="W97" i="30"/>
  <c r="W97" i="31"/>
  <c r="W93" i="12"/>
  <c r="W93" i="30"/>
  <c r="W93" i="31"/>
  <c r="W89" i="30"/>
  <c r="W89" i="12"/>
  <c r="W89" i="31"/>
  <c r="W85" i="12"/>
  <c r="W85" i="30"/>
  <c r="W85" i="31"/>
  <c r="W81" i="12"/>
  <c r="W81" i="30"/>
  <c r="W81" i="31"/>
  <c r="W77" i="30"/>
  <c r="W77" i="12"/>
  <c r="W77" i="31"/>
  <c r="W73" i="12"/>
  <c r="W73" i="30"/>
  <c r="W73" i="31"/>
  <c r="W69" i="30"/>
  <c r="W69" i="12"/>
  <c r="W69" i="31"/>
  <c r="W65" i="12"/>
  <c r="W65" i="30"/>
  <c r="W65" i="31"/>
  <c r="W61" i="12"/>
  <c r="W61" i="30"/>
  <c r="W61" i="31"/>
  <c r="W57" i="12"/>
  <c r="W57" i="30"/>
  <c r="W57" i="31"/>
  <c r="W53" i="12"/>
  <c r="W53" i="30"/>
  <c r="W53" i="31"/>
  <c r="W49" i="12"/>
  <c r="W49" i="30"/>
  <c r="W49" i="31"/>
  <c r="W45" i="12"/>
  <c r="W45" i="30"/>
  <c r="W45" i="31"/>
  <c r="W41" i="12"/>
  <c r="W41" i="30"/>
  <c r="W41" i="31"/>
  <c r="W37" i="12"/>
  <c r="W37" i="30"/>
  <c r="W37" i="31"/>
  <c r="W33" i="12"/>
  <c r="W33" i="30"/>
  <c r="W33" i="31"/>
  <c r="W29" i="30"/>
  <c r="W29" i="12"/>
  <c r="W29" i="31"/>
  <c r="W25" i="12"/>
  <c r="W25" i="30"/>
  <c r="W25" i="31"/>
  <c r="W21" i="12"/>
  <c r="W21" i="30"/>
  <c r="W21" i="31"/>
  <c r="W17" i="12"/>
  <c r="W17" i="30"/>
  <c r="W17" i="31"/>
  <c r="W13" i="30"/>
  <c r="W13" i="12"/>
  <c r="W13" i="31"/>
  <c r="W9" i="12"/>
  <c r="W9" i="30"/>
  <c r="W9" i="31"/>
  <c r="W5" i="12"/>
  <c r="W5" i="30"/>
  <c r="W5" i="31"/>
  <c r="W4" i="12"/>
  <c r="BH4" i="27"/>
  <c r="Z12" i="13" l="1"/>
  <c r="Z9" i="13" s="1"/>
  <c r="Y9" i="13"/>
  <c r="K7" i="27"/>
  <c r="K8" i="27"/>
  <c r="K9" i="27"/>
  <c r="K10" i="27"/>
  <c r="K11" i="27"/>
  <c r="K12" i="27"/>
  <c r="K13" i="27"/>
  <c r="K14" i="27"/>
  <c r="K15" i="27"/>
  <c r="K16" i="27"/>
  <c r="K17" i="27"/>
  <c r="K18" i="27"/>
  <c r="K19" i="27"/>
  <c r="K20" i="27"/>
  <c r="K21" i="27"/>
  <c r="K22" i="27"/>
  <c r="K23" i="27"/>
  <c r="K24" i="27"/>
  <c r="K25" i="27"/>
  <c r="K26" i="27"/>
  <c r="K27" i="27"/>
  <c r="K28" i="27"/>
  <c r="K29" i="27"/>
  <c r="K30" i="27"/>
  <c r="K31" i="27"/>
  <c r="K32" i="27"/>
  <c r="K33" i="27"/>
  <c r="K34" i="27"/>
  <c r="K35" i="27"/>
  <c r="K36" i="27"/>
  <c r="K37" i="27"/>
  <c r="K38" i="27"/>
  <c r="K39" i="27"/>
  <c r="K40" i="27"/>
  <c r="K41" i="27"/>
  <c r="K42" i="27"/>
  <c r="K43" i="27"/>
  <c r="K44" i="27"/>
  <c r="K45" i="27"/>
  <c r="K46" i="27"/>
  <c r="K47" i="27"/>
  <c r="K48" i="27"/>
  <c r="K49" i="27"/>
  <c r="K50" i="27"/>
  <c r="K51" i="27"/>
  <c r="K52" i="27"/>
  <c r="K53" i="27"/>
  <c r="K54" i="27"/>
  <c r="K55" i="27"/>
  <c r="K56" i="27"/>
  <c r="K57" i="27"/>
  <c r="K58" i="27"/>
  <c r="K59" i="27"/>
  <c r="K60" i="27"/>
  <c r="K61" i="27"/>
  <c r="K62" i="27"/>
  <c r="K63" i="27"/>
  <c r="K64" i="27"/>
  <c r="K65" i="27"/>
  <c r="K66" i="27"/>
  <c r="K67" i="27"/>
  <c r="K68" i="27"/>
  <c r="K69" i="27"/>
  <c r="K70" i="27"/>
  <c r="K71" i="27"/>
  <c r="K72" i="27"/>
  <c r="K73" i="27"/>
  <c r="K74" i="27"/>
  <c r="K75" i="27"/>
  <c r="K76" i="27"/>
  <c r="K77" i="27"/>
  <c r="K78" i="27"/>
  <c r="K79" i="27"/>
  <c r="K80" i="27"/>
  <c r="K81" i="27"/>
  <c r="K82" i="27"/>
  <c r="K83" i="27"/>
  <c r="K84" i="27"/>
  <c r="K85" i="27"/>
  <c r="K86" i="27"/>
  <c r="K87" i="27"/>
  <c r="K88" i="27"/>
  <c r="K89" i="27"/>
  <c r="K90" i="27"/>
  <c r="K91" i="27"/>
  <c r="K92" i="27"/>
  <c r="K93" i="27"/>
  <c r="K94" i="27"/>
  <c r="K95" i="27"/>
  <c r="K96" i="27"/>
  <c r="K97" i="27"/>
  <c r="K98" i="27"/>
  <c r="K99" i="27"/>
  <c r="K100" i="27"/>
  <c r="K101" i="27"/>
  <c r="K102" i="27"/>
  <c r="K103" i="27"/>
  <c r="K104" i="27"/>
  <c r="K105" i="27"/>
  <c r="K106" i="27"/>
  <c r="K107" i="27"/>
  <c r="K108" i="27"/>
  <c r="K109" i="27"/>
  <c r="K110" i="27"/>
  <c r="K111" i="27"/>
  <c r="K112" i="27"/>
  <c r="K113" i="27"/>
  <c r="K114" i="27"/>
  <c r="K115" i="27"/>
  <c r="K116" i="27"/>
  <c r="K117" i="27"/>
  <c r="K118" i="27"/>
  <c r="K119" i="27"/>
  <c r="K120" i="27"/>
  <c r="K121" i="27"/>
  <c r="K122" i="27"/>
  <c r="K123" i="27"/>
  <c r="K124" i="27"/>
  <c r="K125" i="27"/>
  <c r="K126" i="27"/>
  <c r="K127" i="27"/>
  <c r="K128" i="27"/>
  <c r="K129" i="27"/>
  <c r="K130" i="27"/>
  <c r="K131" i="27"/>
  <c r="K132" i="27"/>
  <c r="K133" i="27"/>
  <c r="K134" i="27"/>
  <c r="K135" i="27"/>
  <c r="K136" i="27"/>
  <c r="K137" i="27"/>
  <c r="K138" i="27"/>
  <c r="K139" i="27"/>
  <c r="K6" i="27"/>
  <c r="BT1" i="27"/>
  <c r="H4" i="27"/>
  <c r="H6" i="27" s="1"/>
  <c r="K136" i="12" l="1"/>
  <c r="K136" i="30"/>
  <c r="K136" i="31"/>
  <c r="K128" i="12"/>
  <c r="K128" i="30"/>
  <c r="K128" i="31"/>
  <c r="K120" i="12"/>
  <c r="K120" i="30"/>
  <c r="K120" i="31"/>
  <c r="K112" i="12"/>
  <c r="K112" i="30"/>
  <c r="K112" i="31"/>
  <c r="K104" i="12"/>
  <c r="K104" i="30"/>
  <c r="K104" i="31"/>
  <c r="K96" i="12"/>
  <c r="K96" i="30"/>
  <c r="K96" i="31"/>
  <c r="K88" i="12"/>
  <c r="K88" i="30"/>
  <c r="K88" i="31"/>
  <c r="K80" i="12"/>
  <c r="K80" i="30"/>
  <c r="K80" i="31"/>
  <c r="K72" i="12"/>
  <c r="K72" i="30"/>
  <c r="K72" i="31"/>
  <c r="K64" i="12"/>
  <c r="K64" i="30"/>
  <c r="K64" i="31"/>
  <c r="K56" i="12"/>
  <c r="K56" i="30"/>
  <c r="K56" i="31"/>
  <c r="K48" i="12"/>
  <c r="K48" i="30"/>
  <c r="K48" i="31"/>
  <c r="K40" i="12"/>
  <c r="K40" i="30"/>
  <c r="K40" i="31"/>
  <c r="K32" i="12"/>
  <c r="K32" i="30"/>
  <c r="K32" i="31"/>
  <c r="K28" i="12"/>
  <c r="K28" i="30"/>
  <c r="K28" i="31"/>
  <c r="K20" i="12"/>
  <c r="K20" i="30"/>
  <c r="K20" i="31"/>
  <c r="K16" i="12"/>
  <c r="K16" i="30"/>
  <c r="K16" i="31"/>
  <c r="K8" i="12"/>
  <c r="K8" i="30"/>
  <c r="K8" i="31"/>
  <c r="K131" i="30"/>
  <c r="K131" i="12"/>
  <c r="K131" i="31"/>
  <c r="K123" i="12"/>
  <c r="K123" i="30"/>
  <c r="K123" i="31"/>
  <c r="K115" i="12"/>
  <c r="K115" i="30"/>
  <c r="K115" i="31"/>
  <c r="K107" i="12"/>
  <c r="K107" i="30"/>
  <c r="K107" i="31"/>
  <c r="K99" i="12"/>
  <c r="K99" i="30"/>
  <c r="K99" i="31"/>
  <c r="K91" i="12"/>
  <c r="K91" i="30"/>
  <c r="K91" i="31"/>
  <c r="K79" i="12"/>
  <c r="K79" i="30"/>
  <c r="K79" i="31"/>
  <c r="K71" i="12"/>
  <c r="K71" i="30"/>
  <c r="K71" i="31"/>
  <c r="K63" i="12"/>
  <c r="K63" i="30"/>
  <c r="K63" i="31"/>
  <c r="K59" i="12"/>
  <c r="K59" i="30"/>
  <c r="K59" i="31"/>
  <c r="K51" i="30"/>
  <c r="K51" i="12"/>
  <c r="K51" i="31"/>
  <c r="K47" i="12"/>
  <c r="K47" i="30"/>
  <c r="K47" i="31"/>
  <c r="K43" i="12"/>
  <c r="K43" i="30"/>
  <c r="K43" i="31"/>
  <c r="K39" i="12"/>
  <c r="K39" i="30"/>
  <c r="K39" i="31"/>
  <c r="K35" i="12"/>
  <c r="K35" i="30"/>
  <c r="K35" i="31"/>
  <c r="K31" i="12"/>
  <c r="K31" i="30"/>
  <c r="K31" i="31"/>
  <c r="K27" i="12"/>
  <c r="K27" i="30"/>
  <c r="K27" i="31"/>
  <c r="K23" i="12"/>
  <c r="K23" i="30"/>
  <c r="K23" i="31"/>
  <c r="K19" i="12"/>
  <c r="K19" i="30"/>
  <c r="K19" i="31"/>
  <c r="K15" i="12"/>
  <c r="K15" i="30"/>
  <c r="K15" i="31"/>
  <c r="K11" i="12"/>
  <c r="K11" i="30"/>
  <c r="K11" i="31"/>
  <c r="K7" i="12"/>
  <c r="K7" i="30"/>
  <c r="K7" i="31"/>
  <c r="K4" i="30"/>
  <c r="K4" i="31"/>
  <c r="K134" i="12"/>
  <c r="K134" i="30"/>
  <c r="K134" i="31"/>
  <c r="K130" i="12"/>
  <c r="K130" i="30"/>
  <c r="K130" i="31"/>
  <c r="K126" i="12"/>
  <c r="K126" i="30"/>
  <c r="K126" i="31"/>
  <c r="K122" i="12"/>
  <c r="K122" i="30"/>
  <c r="K122" i="31"/>
  <c r="K118" i="12"/>
  <c r="K118" i="30"/>
  <c r="K118" i="31"/>
  <c r="K114" i="12"/>
  <c r="K114" i="30"/>
  <c r="K114" i="31"/>
  <c r="K110" i="12"/>
  <c r="K110" i="30"/>
  <c r="K110" i="31"/>
  <c r="K106" i="12"/>
  <c r="K106" i="30"/>
  <c r="K106" i="31"/>
  <c r="K102" i="12"/>
  <c r="K102" i="30"/>
  <c r="K102" i="31"/>
  <c r="K98" i="12"/>
  <c r="K98" i="30"/>
  <c r="K98" i="31"/>
  <c r="K94" i="12"/>
  <c r="K94" i="30"/>
  <c r="K94" i="31"/>
  <c r="K90" i="12"/>
  <c r="K90" i="30"/>
  <c r="K90" i="31"/>
  <c r="K86" i="12"/>
  <c r="K86" i="30"/>
  <c r="K86" i="31"/>
  <c r="K82" i="12"/>
  <c r="K82" i="30"/>
  <c r="K82" i="31"/>
  <c r="K78" i="12"/>
  <c r="K78" i="30"/>
  <c r="K78" i="31"/>
  <c r="K74" i="12"/>
  <c r="K74" i="30"/>
  <c r="K74" i="31"/>
  <c r="K70" i="12"/>
  <c r="K70" i="30"/>
  <c r="K70" i="31"/>
  <c r="K66" i="12"/>
  <c r="K66" i="30"/>
  <c r="K66" i="31"/>
  <c r="K62" i="12"/>
  <c r="K62" i="30"/>
  <c r="K62" i="31"/>
  <c r="K58" i="12"/>
  <c r="K58" i="30"/>
  <c r="K58" i="31"/>
  <c r="K54" i="12"/>
  <c r="K54" i="30"/>
  <c r="K54" i="31"/>
  <c r="K50" i="30"/>
  <c r="K50" i="12"/>
  <c r="K50" i="31"/>
  <c r="K46" i="12"/>
  <c r="K46" i="30"/>
  <c r="K46" i="31"/>
  <c r="K42" i="12"/>
  <c r="K42" i="30"/>
  <c r="K42" i="31"/>
  <c r="K38" i="12"/>
  <c r="K38" i="30"/>
  <c r="K38" i="31"/>
  <c r="K34" i="12"/>
  <c r="K34" i="30"/>
  <c r="K34" i="31"/>
  <c r="K30" i="12"/>
  <c r="K30" i="30"/>
  <c r="K30" i="31"/>
  <c r="K26" i="12"/>
  <c r="K26" i="30"/>
  <c r="K26" i="31"/>
  <c r="K22" i="12"/>
  <c r="K22" i="30"/>
  <c r="K22" i="31"/>
  <c r="K18" i="12"/>
  <c r="K18" i="30"/>
  <c r="K18" i="31"/>
  <c r="K14" i="30"/>
  <c r="K14" i="12"/>
  <c r="K14" i="31"/>
  <c r="K10" i="12"/>
  <c r="K10" i="30"/>
  <c r="K10" i="31"/>
  <c r="K6" i="12"/>
  <c r="K6" i="30"/>
  <c r="K6" i="31"/>
  <c r="K132" i="12"/>
  <c r="K132" i="30"/>
  <c r="K132" i="31"/>
  <c r="K124" i="12"/>
  <c r="K124" i="30"/>
  <c r="K124" i="31"/>
  <c r="K116" i="12"/>
  <c r="K116" i="30"/>
  <c r="K116" i="31"/>
  <c r="K108" i="12"/>
  <c r="K108" i="30"/>
  <c r="K108" i="31"/>
  <c r="K100" i="12"/>
  <c r="K100" i="30"/>
  <c r="K100" i="31"/>
  <c r="K92" i="12"/>
  <c r="K92" i="30"/>
  <c r="K92" i="31"/>
  <c r="K84" i="12"/>
  <c r="K84" i="30"/>
  <c r="K84" i="31"/>
  <c r="K76" i="12"/>
  <c r="K76" i="30"/>
  <c r="K76" i="31"/>
  <c r="K68" i="12"/>
  <c r="K68" i="30"/>
  <c r="K68" i="31"/>
  <c r="K60" i="12"/>
  <c r="K60" i="30"/>
  <c r="K60" i="31"/>
  <c r="K52" i="12"/>
  <c r="K52" i="30"/>
  <c r="K52" i="31"/>
  <c r="K44" i="12"/>
  <c r="K44" i="30"/>
  <c r="K44" i="31"/>
  <c r="K36" i="12"/>
  <c r="K36" i="30"/>
  <c r="K36" i="31"/>
  <c r="K24" i="12"/>
  <c r="K24" i="30"/>
  <c r="K24" i="31"/>
  <c r="K12" i="12"/>
  <c r="K12" i="30"/>
  <c r="K12" i="31"/>
  <c r="K135" i="12"/>
  <c r="K135" i="30"/>
  <c r="K135" i="31"/>
  <c r="K127" i="12"/>
  <c r="K127" i="30"/>
  <c r="K127" i="31"/>
  <c r="K119" i="12"/>
  <c r="K119" i="30"/>
  <c r="K119" i="31"/>
  <c r="K111" i="12"/>
  <c r="K111" i="30"/>
  <c r="K111" i="31"/>
  <c r="K103" i="12"/>
  <c r="K103" i="30"/>
  <c r="K103" i="31"/>
  <c r="K95" i="12"/>
  <c r="K95" i="30"/>
  <c r="K95" i="31"/>
  <c r="K87" i="12"/>
  <c r="K87" i="30"/>
  <c r="K87" i="31"/>
  <c r="K83" i="12"/>
  <c r="K83" i="30"/>
  <c r="K83" i="31"/>
  <c r="K75" i="12"/>
  <c r="K75" i="30"/>
  <c r="K75" i="31"/>
  <c r="K67" i="12"/>
  <c r="K67" i="30"/>
  <c r="K67" i="31"/>
  <c r="K55" i="12"/>
  <c r="K55" i="30"/>
  <c r="K55" i="31"/>
  <c r="K137" i="12"/>
  <c r="K137" i="30"/>
  <c r="K137" i="31"/>
  <c r="K133" i="12"/>
  <c r="K133" i="30"/>
  <c r="K133" i="31"/>
  <c r="K129" i="12"/>
  <c r="K129" i="30"/>
  <c r="K129" i="31"/>
  <c r="K125" i="30"/>
  <c r="K125" i="12"/>
  <c r="K125" i="31"/>
  <c r="K121" i="12"/>
  <c r="K121" i="30"/>
  <c r="K121" i="31"/>
  <c r="K117" i="12"/>
  <c r="K117" i="30"/>
  <c r="K117" i="31"/>
  <c r="K113" i="12"/>
  <c r="K113" i="30"/>
  <c r="K113" i="31"/>
  <c r="K109" i="12"/>
  <c r="K109" i="30"/>
  <c r="K109" i="31"/>
  <c r="K105" i="12"/>
  <c r="K105" i="30"/>
  <c r="K105" i="31"/>
  <c r="K101" i="12"/>
  <c r="K101" i="30"/>
  <c r="K101" i="31"/>
  <c r="K97" i="12"/>
  <c r="K97" i="30"/>
  <c r="K97" i="31"/>
  <c r="K93" i="12"/>
  <c r="K93" i="30"/>
  <c r="K93" i="31"/>
  <c r="K89" i="12"/>
  <c r="K89" i="30"/>
  <c r="K89" i="31"/>
  <c r="K85" i="12"/>
  <c r="K85" i="30"/>
  <c r="K85" i="31"/>
  <c r="K81" i="12"/>
  <c r="K81" i="30"/>
  <c r="K81" i="31"/>
  <c r="K77" i="12"/>
  <c r="K77" i="30"/>
  <c r="K77" i="31"/>
  <c r="K73" i="12"/>
  <c r="K73" i="30"/>
  <c r="K73" i="31"/>
  <c r="K69" i="12"/>
  <c r="K69" i="30"/>
  <c r="K69" i="31"/>
  <c r="K65" i="12"/>
  <c r="K65" i="30"/>
  <c r="K65" i="31"/>
  <c r="K61" i="12"/>
  <c r="K61" i="30"/>
  <c r="K61" i="31"/>
  <c r="K57" i="12"/>
  <c r="K57" i="30"/>
  <c r="K57" i="31"/>
  <c r="K53" i="12"/>
  <c r="K53" i="30"/>
  <c r="K53" i="31"/>
  <c r="K49" i="12"/>
  <c r="K49" i="30"/>
  <c r="K49" i="31"/>
  <c r="K45" i="12"/>
  <c r="K45" i="30"/>
  <c r="K45" i="31"/>
  <c r="K41" i="30"/>
  <c r="K41" i="12"/>
  <c r="K41" i="31"/>
  <c r="K37" i="12"/>
  <c r="K37" i="30"/>
  <c r="K37" i="31"/>
  <c r="K33" i="12"/>
  <c r="K33" i="30"/>
  <c r="K33" i="31"/>
  <c r="K29" i="12"/>
  <c r="K29" i="30"/>
  <c r="K29" i="31"/>
  <c r="K25" i="12"/>
  <c r="K25" i="30"/>
  <c r="K25" i="31"/>
  <c r="K21" i="12"/>
  <c r="K21" i="30"/>
  <c r="K21" i="31"/>
  <c r="K17" i="12"/>
  <c r="K17" i="30"/>
  <c r="K17" i="31"/>
  <c r="K13" i="12"/>
  <c r="K13" i="30"/>
  <c r="K13" i="31"/>
  <c r="K9" i="12"/>
  <c r="K9" i="30"/>
  <c r="K9" i="31"/>
  <c r="K5" i="12"/>
  <c r="K5" i="30"/>
  <c r="K5" i="31"/>
  <c r="DZ4" i="27"/>
  <c r="DW10" i="27"/>
  <c r="DW14" i="27"/>
  <c r="DW18" i="27"/>
  <c r="DW22" i="27"/>
  <c r="DW26" i="27"/>
  <c r="DW30" i="27"/>
  <c r="DW34" i="27"/>
  <c r="DW38" i="27"/>
  <c r="DW42" i="27"/>
  <c r="DW46" i="27"/>
  <c r="DW50" i="27"/>
  <c r="DW54" i="27"/>
  <c r="DW58" i="27"/>
  <c r="DW62" i="27"/>
  <c r="DW66" i="27"/>
  <c r="DW70" i="27"/>
  <c r="DW74" i="27"/>
  <c r="DW78" i="27"/>
  <c r="DW82" i="27"/>
  <c r="DW86" i="27"/>
  <c r="DW90" i="27"/>
  <c r="DW94" i="27"/>
  <c r="DW98" i="27"/>
  <c r="DW102" i="27"/>
  <c r="DW106" i="27"/>
  <c r="DW110" i="27"/>
  <c r="DW114" i="27"/>
  <c r="DW118" i="27"/>
  <c r="DW122" i="27"/>
  <c r="DW126" i="27"/>
  <c r="DW130" i="27"/>
  <c r="DW134" i="27"/>
  <c r="DW139" i="27"/>
  <c r="DW7" i="27"/>
  <c r="DW8" i="27"/>
  <c r="DW12" i="27"/>
  <c r="DW16" i="27"/>
  <c r="DW20" i="27"/>
  <c r="DW24" i="27"/>
  <c r="DW28" i="27"/>
  <c r="DW32" i="27"/>
  <c r="DW36" i="27"/>
  <c r="DW40" i="27"/>
  <c r="DW44" i="27"/>
  <c r="DW48" i="27"/>
  <c r="DW52" i="27"/>
  <c r="DW56" i="27"/>
  <c r="DW60" i="27"/>
  <c r="DW64" i="27"/>
  <c r="DW68" i="27"/>
  <c r="DW72" i="27"/>
  <c r="DW76" i="27"/>
  <c r="DW80" i="27"/>
  <c r="DW84" i="27"/>
  <c r="DW88" i="27"/>
  <c r="DW92" i="27"/>
  <c r="DW96" i="27"/>
  <c r="DW100" i="27"/>
  <c r="DW104" i="27"/>
  <c r="DW108" i="27"/>
  <c r="DW9" i="27"/>
  <c r="DW13" i="27"/>
  <c r="DW17" i="27"/>
  <c r="DW21" i="27"/>
  <c r="DW25" i="27"/>
  <c r="DW29" i="27"/>
  <c r="DW33" i="27"/>
  <c r="DW37" i="27"/>
  <c r="DW41" i="27"/>
  <c r="DW45" i="27"/>
  <c r="DW49" i="27"/>
  <c r="DW53" i="27"/>
  <c r="DW57" i="27"/>
  <c r="DW61" i="27"/>
  <c r="DW65" i="27"/>
  <c r="DW69" i="27"/>
  <c r="DW73" i="27"/>
  <c r="DW77" i="27"/>
  <c r="DW81" i="27"/>
  <c r="DW85" i="27"/>
  <c r="DW89" i="27"/>
  <c r="DW93" i="27"/>
  <c r="DW97" i="27"/>
  <c r="DW101" i="27"/>
  <c r="DW105" i="27"/>
  <c r="DW109" i="27"/>
  <c r="DW113" i="27"/>
  <c r="DW117" i="27"/>
  <c r="DW121" i="27"/>
  <c r="DW125" i="27"/>
  <c r="DW129" i="27"/>
  <c r="DW133" i="27"/>
  <c r="DW138" i="27"/>
  <c r="DW19" i="27"/>
  <c r="DW35" i="27"/>
  <c r="DW51" i="27"/>
  <c r="DW67" i="27"/>
  <c r="DW83" i="27"/>
  <c r="DW99" i="27"/>
  <c r="DW112" i="27"/>
  <c r="DW120" i="27"/>
  <c r="DW128" i="27"/>
  <c r="DW137" i="27"/>
  <c r="DW23" i="27"/>
  <c r="DW39" i="27"/>
  <c r="DW55" i="27"/>
  <c r="DW71" i="27"/>
  <c r="DW87" i="27"/>
  <c r="DW103" i="27"/>
  <c r="DW115" i="27"/>
  <c r="DW123" i="27"/>
  <c r="DW131" i="27"/>
  <c r="DW140" i="27"/>
  <c r="DW11" i="27"/>
  <c r="DW27" i="27"/>
  <c r="DW43" i="27"/>
  <c r="DW59" i="27"/>
  <c r="DW75" i="27"/>
  <c r="DW91" i="27"/>
  <c r="DW107" i="27"/>
  <c r="DW116" i="27"/>
  <c r="DW124" i="27"/>
  <c r="DW132" i="27"/>
  <c r="DW6" i="27"/>
  <c r="DW15" i="27"/>
  <c r="DW31" i="27"/>
  <c r="DW47" i="27"/>
  <c r="DW63" i="27"/>
  <c r="DW79" i="27"/>
  <c r="DW95" i="27"/>
  <c r="DW111" i="27"/>
  <c r="DW119" i="27"/>
  <c r="DW127" i="27"/>
  <c r="DW136" i="27"/>
  <c r="K4" i="12"/>
  <c r="DX4" i="27"/>
  <c r="EF4" i="27"/>
  <c r="DV4" i="27"/>
  <c r="EB4" i="27"/>
  <c r="DY4" i="27"/>
  <c r="BT2" i="27"/>
  <c r="DX23" i="27" s="1"/>
  <c r="EA4" i="27"/>
  <c r="CT4" i="27"/>
  <c r="CH4" i="27"/>
  <c r="BV4" i="27"/>
  <c r="CR4" i="27"/>
  <c r="CP4" i="27"/>
  <c r="CF4" i="27"/>
  <c r="CN4" i="27"/>
  <c r="CD4" i="27"/>
  <c r="CL4" i="27"/>
  <c r="CB4" i="27"/>
  <c r="CV4" i="27"/>
  <c r="CJ4" i="27"/>
  <c r="BZ4" i="27"/>
  <c r="BU4" i="27"/>
  <c r="BS4" i="27"/>
  <c r="BS55" i="27" s="1"/>
  <c r="P53" i="12" s="1"/>
  <c r="BY4" i="27"/>
  <c r="BT4" i="27"/>
  <c r="BT135" i="27" s="1"/>
  <c r="K4" i="27"/>
  <c r="G4" i="27"/>
  <c r="R4" i="27"/>
  <c r="AM4" i="27" s="1"/>
  <c r="V4" i="27"/>
  <c r="AO4" i="27" s="1"/>
  <c r="AD4" i="27"/>
  <c r="AS4" i="27" s="1"/>
  <c r="X4" i="27"/>
  <c r="AP4" i="27" s="1"/>
  <c r="AF4" i="27"/>
  <c r="AT4" i="27" s="1"/>
  <c r="Z4" i="27"/>
  <c r="AQ4" i="27" s="1"/>
  <c r="AH4" i="27"/>
  <c r="AU4" i="27" s="1"/>
  <c r="T4" i="27"/>
  <c r="AN4" i="27" s="1"/>
  <c r="AB4" i="27"/>
  <c r="AR4" i="27" s="1"/>
  <c r="L4" i="27"/>
  <c r="AJ4" i="27" s="1"/>
  <c r="P4" i="27"/>
  <c r="AL4" i="27" s="1"/>
  <c r="N4" i="27"/>
  <c r="E4" i="27"/>
  <c r="E6" i="27" s="1"/>
  <c r="H10" i="27"/>
  <c r="H14" i="27"/>
  <c r="H18" i="27"/>
  <c r="H22" i="27"/>
  <c r="H26" i="27"/>
  <c r="H30" i="27"/>
  <c r="H34" i="27"/>
  <c r="H38" i="27"/>
  <c r="H42" i="27"/>
  <c r="H46" i="27"/>
  <c r="H50" i="27"/>
  <c r="H54" i="27"/>
  <c r="H58" i="27"/>
  <c r="H62" i="27"/>
  <c r="H66" i="27"/>
  <c r="H70" i="27"/>
  <c r="H74" i="27"/>
  <c r="H78" i="27"/>
  <c r="H82" i="27"/>
  <c r="H86" i="27"/>
  <c r="H90" i="27"/>
  <c r="H94" i="27"/>
  <c r="H98" i="27"/>
  <c r="H102" i="27"/>
  <c r="H106" i="27"/>
  <c r="H110" i="27"/>
  <c r="H114" i="27"/>
  <c r="H118" i="27"/>
  <c r="H122" i="27"/>
  <c r="H126" i="27"/>
  <c r="H130" i="27"/>
  <c r="H134" i="27"/>
  <c r="H138" i="27"/>
  <c r="H7" i="27"/>
  <c r="H11" i="27"/>
  <c r="H15" i="27"/>
  <c r="H19" i="27"/>
  <c r="H23" i="27"/>
  <c r="H27" i="27"/>
  <c r="H31" i="27"/>
  <c r="H35" i="27"/>
  <c r="H39" i="27"/>
  <c r="H43" i="27"/>
  <c r="H47" i="27"/>
  <c r="H51" i="27"/>
  <c r="H55" i="27"/>
  <c r="H63" i="27"/>
  <c r="H67" i="27"/>
  <c r="H71" i="27"/>
  <c r="H75" i="27"/>
  <c r="H79" i="27"/>
  <c r="H83" i="27"/>
  <c r="H87" i="27"/>
  <c r="H91" i="27"/>
  <c r="H95" i="27"/>
  <c r="H99" i="27"/>
  <c r="H103" i="27"/>
  <c r="H107" i="27"/>
  <c r="H111" i="27"/>
  <c r="H115" i="27"/>
  <c r="H119" i="27"/>
  <c r="H123" i="27"/>
  <c r="H127" i="27"/>
  <c r="H131" i="27"/>
  <c r="H135" i="27"/>
  <c r="H139" i="27"/>
  <c r="H93" i="27"/>
  <c r="H101" i="27"/>
  <c r="H109" i="27"/>
  <c r="H117" i="27"/>
  <c r="H125" i="27"/>
  <c r="H133" i="27"/>
  <c r="H8" i="27"/>
  <c r="H12" i="27"/>
  <c r="H16" i="27"/>
  <c r="H20" i="27"/>
  <c r="H24" i="27"/>
  <c r="H28" i="27"/>
  <c r="H32" i="27"/>
  <c r="H36" i="27"/>
  <c r="H40" i="27"/>
  <c r="H44" i="27"/>
  <c r="H48" i="27"/>
  <c r="H52" i="27"/>
  <c r="H56" i="27"/>
  <c r="H60" i="27"/>
  <c r="H64" i="27"/>
  <c r="H68" i="27"/>
  <c r="H72" i="27"/>
  <c r="H76" i="27"/>
  <c r="H80" i="27"/>
  <c r="H84" i="27"/>
  <c r="H88" i="27"/>
  <c r="H92" i="27"/>
  <c r="H96" i="27"/>
  <c r="H100" i="27"/>
  <c r="H104" i="27"/>
  <c r="H108" i="27"/>
  <c r="H112" i="27"/>
  <c r="H116" i="27"/>
  <c r="H120" i="27"/>
  <c r="H124" i="27"/>
  <c r="H128" i="27"/>
  <c r="H132" i="27"/>
  <c r="H136" i="27"/>
  <c r="H9" i="27"/>
  <c r="H13" i="27"/>
  <c r="H17" i="27"/>
  <c r="H21" i="27"/>
  <c r="H25" i="27"/>
  <c r="H29" i="27"/>
  <c r="H33" i="27"/>
  <c r="H37" i="27"/>
  <c r="H41" i="27"/>
  <c r="H45" i="27"/>
  <c r="H49" i="27"/>
  <c r="H53" i="27"/>
  <c r="H57" i="27"/>
  <c r="H61" i="27"/>
  <c r="H65" i="27"/>
  <c r="H69" i="27"/>
  <c r="H73" i="27"/>
  <c r="H77" i="27"/>
  <c r="H85" i="27"/>
  <c r="H89" i="27"/>
  <c r="H97" i="27"/>
  <c r="H105" i="27"/>
  <c r="H113" i="27"/>
  <c r="H121" i="27"/>
  <c r="H129" i="27"/>
  <c r="H137" i="27"/>
  <c r="F4" i="27"/>
  <c r="F133" i="27" s="1"/>
  <c r="BS17" i="27" l="1"/>
  <c r="BB4" i="27"/>
  <c r="BB133" i="27" s="1"/>
  <c r="AP23" i="27" a="1"/>
  <c r="AP23" i="27" s="1"/>
  <c r="AP28" i="27" a="1"/>
  <c r="AP28" i="27" s="1"/>
  <c r="AP32" i="27" a="1"/>
  <c r="AP32" i="27" s="1"/>
  <c r="AP13" i="27" a="1"/>
  <c r="AP13" i="27" s="1"/>
  <c r="AP18" i="27" a="1"/>
  <c r="AP18" i="27" s="1"/>
  <c r="AP25" i="27" a="1"/>
  <c r="AP25" i="27" s="1"/>
  <c r="AP31" i="27" a="1"/>
  <c r="AP31" i="27" s="1"/>
  <c r="AP34" i="27" a="1"/>
  <c r="AP34" i="27" s="1"/>
  <c r="AP39" i="27" a="1"/>
  <c r="AP39" i="27" s="1"/>
  <c r="AP44" i="27" a="1"/>
  <c r="AP44" i="27" s="1"/>
  <c r="AP8" i="27" a="1"/>
  <c r="AP8" i="27" s="1"/>
  <c r="AP20" i="27" a="1"/>
  <c r="AP20" i="27" s="1"/>
  <c r="AP41" i="27" a="1"/>
  <c r="AP41" i="27" s="1"/>
  <c r="AP10" i="27" a="1"/>
  <c r="AP10" i="27" s="1"/>
  <c r="AP15" i="27" a="1"/>
  <c r="AP15" i="27" s="1"/>
  <c r="AP17" i="27" a="1"/>
  <c r="AP17" i="27" s="1"/>
  <c r="AP22" i="27" a="1"/>
  <c r="AP22" i="27" s="1"/>
  <c r="AP27" i="27" a="1"/>
  <c r="AP27" i="27" s="1"/>
  <c r="AP30" i="27" a="1"/>
  <c r="AP30" i="27" s="1"/>
  <c r="AP36" i="27" a="1"/>
  <c r="AP36" i="27" s="1"/>
  <c r="AP38" i="27" a="1"/>
  <c r="AP38" i="27" s="1"/>
  <c r="AP43" i="27" a="1"/>
  <c r="AP43" i="27" s="1"/>
  <c r="AP48" i="27" a="1"/>
  <c r="AP48" i="27" s="1"/>
  <c r="AP12" i="27" a="1"/>
  <c r="AP12" i="27" s="1"/>
  <c r="AP33" i="27" a="1"/>
  <c r="AP33" i="27" s="1"/>
  <c r="AP14" i="27" a="1"/>
  <c r="AP14" i="27" s="1"/>
  <c r="AP24" i="27" a="1"/>
  <c r="AP24" i="27" s="1"/>
  <c r="AP29" i="27" a="1"/>
  <c r="AP29" i="27" s="1"/>
  <c r="AP35" i="27" a="1"/>
  <c r="AP35" i="27" s="1"/>
  <c r="AP40" i="27" a="1"/>
  <c r="AP40" i="27" s="1"/>
  <c r="AP45" i="27" a="1"/>
  <c r="AP45" i="27" s="1"/>
  <c r="AP7" i="27" a="1"/>
  <c r="AP7" i="27" s="1"/>
  <c r="AP9" i="27" a="1"/>
  <c r="AP9" i="27" s="1"/>
  <c r="AP19" i="27" a="1"/>
  <c r="AP19" i="27" s="1"/>
  <c r="AP26" i="27" a="1"/>
  <c r="AP26" i="27" s="1"/>
  <c r="AP61" i="27" a="1"/>
  <c r="AP61" i="27" s="1"/>
  <c r="AP64" i="27" a="1"/>
  <c r="AP64" i="27" s="1"/>
  <c r="AP66" i="27" a="1"/>
  <c r="AP66" i="27" s="1"/>
  <c r="AP68" i="27" a="1"/>
  <c r="AP68" i="27" s="1"/>
  <c r="AP75" i="27" a="1"/>
  <c r="AP75" i="27" s="1"/>
  <c r="AP77" i="27" a="1"/>
  <c r="AP77" i="27" s="1"/>
  <c r="AP79" i="27" a="1"/>
  <c r="AP79" i="27" s="1"/>
  <c r="AP86" i="27" a="1"/>
  <c r="AP86" i="27" s="1"/>
  <c r="AP88" i="27" a="1"/>
  <c r="AP88" i="27" s="1"/>
  <c r="AP37" i="27" a="1"/>
  <c r="AP37" i="27" s="1"/>
  <c r="AP42" i="27" a="1"/>
  <c r="AP42" i="27" s="1"/>
  <c r="AP50" i="27" a="1"/>
  <c r="AP50" i="27" s="1"/>
  <c r="AP55" i="27" a="1"/>
  <c r="AP55" i="27" s="1"/>
  <c r="AP57" i="27" a="1"/>
  <c r="AP57" i="27" s="1"/>
  <c r="AP60" i="27" a="1"/>
  <c r="AP60" i="27" s="1"/>
  <c r="AP63" i="27" a="1"/>
  <c r="AP63" i="27" s="1"/>
  <c r="AP70" i="27" a="1"/>
  <c r="AP70" i="27" s="1"/>
  <c r="AP72" i="27" a="1"/>
  <c r="AP72" i="27" s="1"/>
  <c r="AP81" i="27" a="1"/>
  <c r="AP81" i="27" s="1"/>
  <c r="AP83" i="27" a="1"/>
  <c r="AP83" i="27" s="1"/>
  <c r="AP92" i="27" a="1"/>
  <c r="AP92" i="27" s="1"/>
  <c r="AP94" i="27" a="1"/>
  <c r="AP94" i="27" s="1"/>
  <c r="AP52" i="27" a="1"/>
  <c r="AP52" i="27" s="1"/>
  <c r="AP54" i="27" a="1"/>
  <c r="AP54" i="27" s="1"/>
  <c r="AP74" i="27" a="1"/>
  <c r="AP74" i="27" s="1"/>
  <c r="AP46" i="27" a="1"/>
  <c r="AP46" i="27" s="1"/>
  <c r="AP47" i="27" a="1"/>
  <c r="AP47" i="27" s="1"/>
  <c r="AP49" i="27" a="1"/>
  <c r="AP49" i="27" s="1"/>
  <c r="AP65" i="27" a="1"/>
  <c r="AP65" i="27" s="1"/>
  <c r="AP67" i="27" a="1"/>
  <c r="AP67" i="27" s="1"/>
  <c r="AP76" i="27" a="1"/>
  <c r="AP76" i="27" s="1"/>
  <c r="AP51" i="27" a="1"/>
  <c r="AP51" i="27" s="1"/>
  <c r="AP56" i="27" a="1"/>
  <c r="AP56" i="27" s="1"/>
  <c r="AP59" i="27" a="1"/>
  <c r="AP59" i="27" s="1"/>
  <c r="AP69" i="27" a="1"/>
  <c r="AP69" i="27" s="1"/>
  <c r="AP62" i="27" a="1"/>
  <c r="AP62" i="27" s="1"/>
  <c r="AP71" i="27" a="1"/>
  <c r="AP71" i="27" s="1"/>
  <c r="AP73" i="27" a="1"/>
  <c r="AP73" i="27" s="1"/>
  <c r="AP80" i="27" a="1"/>
  <c r="AP80" i="27" s="1"/>
  <c r="AP82" i="27" a="1"/>
  <c r="AP82" i="27" s="1"/>
  <c r="AP84" i="27" a="1"/>
  <c r="AP84" i="27" s="1"/>
  <c r="AP91" i="27" a="1"/>
  <c r="AP91" i="27" s="1"/>
  <c r="AP93" i="27" a="1"/>
  <c r="AP93" i="27" s="1"/>
  <c r="AP111" i="27" a="1"/>
  <c r="AP111" i="27" s="1"/>
  <c r="AP95" i="27" a="1"/>
  <c r="AP95" i="27" s="1"/>
  <c r="AP102" i="27" a="1"/>
  <c r="AP102" i="27" s="1"/>
  <c r="AP104" i="27" a="1"/>
  <c r="AP104" i="27" s="1"/>
  <c r="AP115" i="27" a="1"/>
  <c r="AP115" i="27" s="1"/>
  <c r="AP116" i="27" a="1"/>
  <c r="AP116" i="27" s="1"/>
  <c r="AP120" i="27" a="1"/>
  <c r="AP120" i="27" s="1"/>
  <c r="AP11" i="27" a="1"/>
  <c r="AP11" i="27" s="1"/>
  <c r="AP106" i="27" a="1"/>
  <c r="AP106" i="27" s="1"/>
  <c r="AP130" i="27" a="1"/>
  <c r="AP130" i="27" s="1"/>
  <c r="AP16" i="27" a="1"/>
  <c r="AP16" i="27" s="1"/>
  <c r="AP53" i="27" a="1"/>
  <c r="AP53" i="27" s="1"/>
  <c r="AP58" i="27" a="1"/>
  <c r="AP58" i="27" s="1"/>
  <c r="AP87" i="27" a="1"/>
  <c r="AP87" i="27" s="1"/>
  <c r="AP97" i="27" a="1"/>
  <c r="AP97" i="27" s="1"/>
  <c r="AP99" i="27" a="1"/>
  <c r="AP99" i="27" s="1"/>
  <c r="AP108" i="27" a="1"/>
  <c r="AP108" i="27" s="1"/>
  <c r="AP110" i="27" a="1"/>
  <c r="AP110" i="27" s="1"/>
  <c r="AP113" i="27" a="1"/>
  <c r="AP113" i="27" s="1"/>
  <c r="AP114" i="27" a="1"/>
  <c r="AP114" i="27" s="1"/>
  <c r="AP123" i="27" a="1"/>
  <c r="AP123" i="27" s="1"/>
  <c r="AP21" i="27" a="1"/>
  <c r="AP21" i="27" s="1"/>
  <c r="AP101" i="27" a="1"/>
  <c r="AP101" i="27" s="1"/>
  <c r="AP78" i="27" a="1"/>
  <c r="AP78" i="27" s="1"/>
  <c r="AP90" i="27" a="1"/>
  <c r="AP90" i="27" s="1"/>
  <c r="AP103" i="27" a="1"/>
  <c r="AP103" i="27" s="1"/>
  <c r="AP105" i="27" a="1"/>
  <c r="AP105" i="27" s="1"/>
  <c r="AP112" i="27" a="1"/>
  <c r="AP112" i="27" s="1"/>
  <c r="AP122" i="27" a="1"/>
  <c r="AP122" i="27" s="1"/>
  <c r="AP85" i="27" a="1"/>
  <c r="AP85" i="27" s="1"/>
  <c r="AP118" i="27" a="1"/>
  <c r="AP118" i="27" s="1"/>
  <c r="AP125" i="27" a="1"/>
  <c r="AP125" i="27" s="1"/>
  <c r="AP109" i="27" a="1"/>
  <c r="AP109" i="27" s="1"/>
  <c r="AP128" i="27" a="1"/>
  <c r="AP128" i="27" s="1"/>
  <c r="AP131" i="27" a="1"/>
  <c r="AP131" i="27" s="1"/>
  <c r="AP134" i="27" a="1"/>
  <c r="AP134" i="27" s="1"/>
  <c r="AP138" i="27" a="1"/>
  <c r="AP138" i="27" s="1"/>
  <c r="AP6" i="27" a="1"/>
  <c r="AP6" i="27" s="1"/>
  <c r="AP136" i="27" a="1"/>
  <c r="AP136" i="27" s="1"/>
  <c r="AP124" i="27" a="1"/>
  <c r="AP124" i="27" s="1"/>
  <c r="AP100" i="27" a="1"/>
  <c r="AP100" i="27" s="1"/>
  <c r="AP129" i="27" a="1"/>
  <c r="AP129" i="27" s="1"/>
  <c r="AP132" i="27" a="1"/>
  <c r="AP132" i="27" s="1"/>
  <c r="AP137" i="27" a="1"/>
  <c r="AP137" i="27" s="1"/>
  <c r="AP139" i="27" a="1"/>
  <c r="AP139" i="27" s="1"/>
  <c r="AP126" i="27" a="1"/>
  <c r="AP126" i="27" s="1"/>
  <c r="AP96" i="27" a="1"/>
  <c r="AP96" i="27" s="1"/>
  <c r="AP121" i="27" a="1"/>
  <c r="AP121" i="27" s="1"/>
  <c r="AP89" i="27" a="1"/>
  <c r="AP89" i="27" s="1"/>
  <c r="AP107" i="27" a="1"/>
  <c r="AP107" i="27" s="1"/>
  <c r="AP119" i="27" a="1"/>
  <c r="AP119" i="27" s="1"/>
  <c r="AP133" i="27" a="1"/>
  <c r="AP133" i="27" s="1"/>
  <c r="AP140" i="27" a="1"/>
  <c r="AP140" i="27" s="1"/>
  <c r="AP98" i="27" a="1"/>
  <c r="AP98" i="27" s="1"/>
  <c r="AP117" i="27" a="1"/>
  <c r="AP117" i="27" s="1"/>
  <c r="AP127" i="27" a="1"/>
  <c r="AP127" i="27" s="1"/>
  <c r="AP135" i="27" a="1"/>
  <c r="AP135" i="27" s="1"/>
  <c r="AX4" i="27"/>
  <c r="AX133" i="27" s="1"/>
  <c r="AL29" i="27" a="1"/>
  <c r="AL29" i="27" s="1"/>
  <c r="AL33" i="27" a="1"/>
  <c r="AL33" i="27" s="1"/>
  <c r="AL14" i="27" a="1"/>
  <c r="AL14" i="27" s="1"/>
  <c r="AL19" i="27" a="1"/>
  <c r="AL19" i="27" s="1"/>
  <c r="AL24" i="27" a="1"/>
  <c r="AL24" i="27" s="1"/>
  <c r="AL35" i="27" a="1"/>
  <c r="AL35" i="27" s="1"/>
  <c r="AL40" i="27" a="1"/>
  <c r="AL40" i="27" s="1"/>
  <c r="AL45" i="27" a="1"/>
  <c r="AL45" i="27" s="1"/>
  <c r="AL7" i="27" a="1"/>
  <c r="AL7" i="27" s="1"/>
  <c r="AL9" i="27" a="1"/>
  <c r="AL9" i="27" s="1"/>
  <c r="AL21" i="27" a="1"/>
  <c r="AL21" i="27" s="1"/>
  <c r="AL26" i="27" a="1"/>
  <c r="AL26" i="27" s="1"/>
  <c r="AL11" i="27" a="1"/>
  <c r="AL11" i="27" s="1"/>
  <c r="AL16" i="27" a="1"/>
  <c r="AL16" i="27" s="1"/>
  <c r="AL28" i="27" a="1"/>
  <c r="AL28" i="27" s="1"/>
  <c r="AL32" i="27" a="1"/>
  <c r="AL32" i="27" s="1"/>
  <c r="AL37" i="27" a="1"/>
  <c r="AL37" i="27" s="1"/>
  <c r="AL42" i="27" a="1"/>
  <c r="AL42" i="27" s="1"/>
  <c r="AL47" i="27" a="1"/>
  <c r="AL47" i="27" s="1"/>
  <c r="AL49" i="27" a="1"/>
  <c r="AL49" i="27" s="1"/>
  <c r="AL23" i="27" a="1"/>
  <c r="AL23" i="27" s="1"/>
  <c r="AL44" i="27" a="1"/>
  <c r="AL44" i="27" s="1"/>
  <c r="AL13" i="27" a="1"/>
  <c r="AL13" i="27" s="1"/>
  <c r="AL18" i="27" a="1"/>
  <c r="AL18" i="27" s="1"/>
  <c r="AL25" i="27" a="1"/>
  <c r="AL25" i="27" s="1"/>
  <c r="AL30" i="27" a="1"/>
  <c r="AL30" i="27" s="1"/>
  <c r="AL31" i="27" a="1"/>
  <c r="AL31" i="27" s="1"/>
  <c r="AL34" i="27" a="1"/>
  <c r="AL34" i="27" s="1"/>
  <c r="AL39" i="27" a="1"/>
  <c r="AL39" i="27" s="1"/>
  <c r="AL41" i="27" a="1"/>
  <c r="AL41" i="27" s="1"/>
  <c r="AL8" i="27" a="1"/>
  <c r="AL8" i="27" s="1"/>
  <c r="AL15" i="27" a="1"/>
  <c r="AL15" i="27" s="1"/>
  <c r="AL20" i="27" a="1"/>
  <c r="AL20" i="27" s="1"/>
  <c r="AL36" i="27" a="1"/>
  <c r="AL36" i="27" s="1"/>
  <c r="AL12" i="27" a="1"/>
  <c r="AL12" i="27" s="1"/>
  <c r="AL17" i="27" a="1"/>
  <c r="AL17" i="27" s="1"/>
  <c r="AL22" i="27" a="1"/>
  <c r="AL22" i="27" s="1"/>
  <c r="AL27" i="27" a="1"/>
  <c r="AL27" i="27" s="1"/>
  <c r="AL59" i="27" a="1"/>
  <c r="AL59" i="27" s="1"/>
  <c r="AL65" i="27" a="1"/>
  <c r="AL65" i="27" s="1"/>
  <c r="AL67" i="27" a="1"/>
  <c r="AL67" i="27" s="1"/>
  <c r="AL76" i="27" a="1"/>
  <c r="AL76" i="27" s="1"/>
  <c r="AL78" i="27" a="1"/>
  <c r="AL78" i="27" s="1"/>
  <c r="AL87" i="27" a="1"/>
  <c r="AL87" i="27" s="1"/>
  <c r="AL89" i="27" a="1"/>
  <c r="AL89" i="27" s="1"/>
  <c r="AL46" i="27" a="1"/>
  <c r="AL46" i="27" s="1"/>
  <c r="AL48" i="27" a="1"/>
  <c r="AL48" i="27" s="1"/>
  <c r="AL51" i="27" a="1"/>
  <c r="AL51" i="27" s="1"/>
  <c r="AL56" i="27" a="1"/>
  <c r="AL56" i="27" s="1"/>
  <c r="AL69" i="27" a="1"/>
  <c r="AL69" i="27" s="1"/>
  <c r="AL80" i="27" a="1"/>
  <c r="AL80" i="27" s="1"/>
  <c r="AL38" i="27" a="1"/>
  <c r="AL38" i="27" s="1"/>
  <c r="AL43" i="27" a="1"/>
  <c r="AL43" i="27" s="1"/>
  <c r="AL61" i="27" a="1"/>
  <c r="AL61" i="27" s="1"/>
  <c r="AL62" i="27" a="1"/>
  <c r="AL62" i="27" s="1"/>
  <c r="AL71" i="27" a="1"/>
  <c r="AL71" i="27" s="1"/>
  <c r="AL73" i="27" a="1"/>
  <c r="AL73" i="27" s="1"/>
  <c r="AL82" i="27" a="1"/>
  <c r="AL82" i="27" s="1"/>
  <c r="AL84" i="27" a="1"/>
  <c r="AL84" i="27" s="1"/>
  <c r="AL91" i="27" a="1"/>
  <c r="AL91" i="27" s="1"/>
  <c r="AL93" i="27" a="1"/>
  <c r="AL93" i="27" s="1"/>
  <c r="AL53" i="27" a="1"/>
  <c r="AL53" i="27" s="1"/>
  <c r="AL58" i="27" a="1"/>
  <c r="AL58" i="27" s="1"/>
  <c r="AL64" i="27" a="1"/>
  <c r="AL64" i="27" s="1"/>
  <c r="AL66" i="27" a="1"/>
  <c r="AL66" i="27" s="1"/>
  <c r="AL68" i="27" a="1"/>
  <c r="AL68" i="27" s="1"/>
  <c r="AL75" i="27" a="1"/>
  <c r="AL75" i="27" s="1"/>
  <c r="AL10" i="27" a="1"/>
  <c r="AL10" i="27" s="1"/>
  <c r="AL50" i="27" a="1"/>
  <c r="AL50" i="27" s="1"/>
  <c r="AL55" i="27" a="1"/>
  <c r="AL55" i="27" s="1"/>
  <c r="AL57" i="27" a="1"/>
  <c r="AL57" i="27" s="1"/>
  <c r="AL52" i="27" a="1"/>
  <c r="AL52" i="27" s="1"/>
  <c r="AL60" i="27" a="1"/>
  <c r="AL60" i="27" s="1"/>
  <c r="AL63" i="27" a="1"/>
  <c r="AL63" i="27" s="1"/>
  <c r="AL70" i="27" a="1"/>
  <c r="AL70" i="27" s="1"/>
  <c r="AL72" i="27" a="1"/>
  <c r="AL72" i="27" s="1"/>
  <c r="AL74" i="27" a="1"/>
  <c r="AL74" i="27" s="1"/>
  <c r="AL81" i="27" a="1"/>
  <c r="AL81" i="27" s="1"/>
  <c r="AL83" i="27" a="1"/>
  <c r="AL83" i="27" s="1"/>
  <c r="AL92" i="27" a="1"/>
  <c r="AL92" i="27" s="1"/>
  <c r="AL94" i="27" a="1"/>
  <c r="AL94" i="27" s="1"/>
  <c r="AL101" i="27" a="1"/>
  <c r="AL101" i="27" s="1"/>
  <c r="AL119" i="27" a="1"/>
  <c r="AL119" i="27" s="1"/>
  <c r="AL122" i="27" a="1"/>
  <c r="AL122" i="27" s="1"/>
  <c r="AL77" i="27" a="1"/>
  <c r="AL77" i="27" s="1"/>
  <c r="AL103" i="27" a="1"/>
  <c r="AL103" i="27" s="1"/>
  <c r="AL105" i="27" a="1"/>
  <c r="AL105" i="27" s="1"/>
  <c r="AL112" i="27" a="1"/>
  <c r="AL112" i="27" s="1"/>
  <c r="AL118" i="27" a="1"/>
  <c r="AL118" i="27" s="1"/>
  <c r="AL96" i="27" a="1"/>
  <c r="AL96" i="27" s="1"/>
  <c r="AL121" i="27" a="1"/>
  <c r="AL121" i="27" s="1"/>
  <c r="AL128" i="27" a="1"/>
  <c r="AL128" i="27" s="1"/>
  <c r="AL132" i="27" a="1"/>
  <c r="AL132" i="27" s="1"/>
  <c r="AL86" i="27" a="1"/>
  <c r="AL86" i="27" s="1"/>
  <c r="AL90" i="27" a="1"/>
  <c r="AL90" i="27" s="1"/>
  <c r="AL98" i="27" a="1"/>
  <c r="AL98" i="27" s="1"/>
  <c r="AL100" i="27" a="1"/>
  <c r="AL100" i="27" s="1"/>
  <c r="AL107" i="27" a="1"/>
  <c r="AL107" i="27" s="1"/>
  <c r="AL109" i="27" a="1"/>
  <c r="AL109" i="27" s="1"/>
  <c r="AL111" i="27" a="1"/>
  <c r="AL111" i="27" s="1"/>
  <c r="AL116" i="27" a="1"/>
  <c r="AL116" i="27" s="1"/>
  <c r="AL117" i="27" a="1"/>
  <c r="AL117" i="27" s="1"/>
  <c r="AL54" i="27" a="1"/>
  <c r="AL54" i="27" s="1"/>
  <c r="AL85" i="27" a="1"/>
  <c r="AL85" i="27" s="1"/>
  <c r="AL95" i="27" a="1"/>
  <c r="AL95" i="27" s="1"/>
  <c r="AL102" i="27" a="1"/>
  <c r="AL102" i="27" s="1"/>
  <c r="AL104" i="27" a="1"/>
  <c r="AL104" i="27" s="1"/>
  <c r="AL106" i="27" a="1"/>
  <c r="AL106" i="27" s="1"/>
  <c r="AL114" i="27" a="1"/>
  <c r="AL114" i="27" s="1"/>
  <c r="AL115" i="27" a="1"/>
  <c r="AL115" i="27" s="1"/>
  <c r="AL130" i="27" a="1"/>
  <c r="AL130" i="27" s="1"/>
  <c r="AL99" i="27" a="1"/>
  <c r="AL99" i="27" s="1"/>
  <c r="AL126" i="27" a="1"/>
  <c r="AL126" i="27" s="1"/>
  <c r="AL140" i="27" a="1"/>
  <c r="AL140" i="27" s="1"/>
  <c r="AL135" i="27" a="1"/>
  <c r="AL135" i="27" s="1"/>
  <c r="AL110" i="27" a="1"/>
  <c r="AL110" i="27" s="1"/>
  <c r="AL133" i="27" a="1"/>
  <c r="AL133" i="27" s="1"/>
  <c r="AL123" i="27" a="1"/>
  <c r="AL123" i="27" s="1"/>
  <c r="AL139" i="27" a="1"/>
  <c r="AL139" i="27" s="1"/>
  <c r="AL136" i="27" a="1"/>
  <c r="AL136" i="27" s="1"/>
  <c r="AL127" i="27" a="1"/>
  <c r="AL127" i="27" s="1"/>
  <c r="AL88" i="27" a="1"/>
  <c r="AL88" i="27" s="1"/>
  <c r="AL131" i="27" a="1"/>
  <c r="AL131" i="27" s="1"/>
  <c r="AL134" i="27" a="1"/>
  <c r="AL134" i="27" s="1"/>
  <c r="AL138" i="27" a="1"/>
  <c r="AL138" i="27" s="1"/>
  <c r="AL97" i="27" a="1"/>
  <c r="AL97" i="27" s="1"/>
  <c r="AL137" i="27" a="1"/>
  <c r="AL137" i="27" s="1"/>
  <c r="AL6" i="27" a="1"/>
  <c r="AL6" i="27" s="1"/>
  <c r="AL120" i="27" a="1"/>
  <c r="AL120" i="27" s="1"/>
  <c r="AL108" i="27" a="1"/>
  <c r="AL108" i="27" s="1"/>
  <c r="AL113" i="27" a="1"/>
  <c r="AL113" i="27" s="1"/>
  <c r="AL124" i="27" a="1"/>
  <c r="AL124" i="27" s="1"/>
  <c r="AL125" i="27" a="1"/>
  <c r="AL125" i="27" s="1"/>
  <c r="AL129" i="27" a="1"/>
  <c r="AL129" i="27" s="1"/>
  <c r="AL79" i="27" a="1"/>
  <c r="AL79" i="27" s="1"/>
  <c r="BE4" i="27"/>
  <c r="BE133" i="27" s="1"/>
  <c r="AS12" i="27" a="1"/>
  <c r="AS12" i="27" s="1"/>
  <c r="AS14" i="27" a="1"/>
  <c r="AS14" i="27" s="1"/>
  <c r="AS24" i="27" a="1"/>
  <c r="AS24" i="27" s="1"/>
  <c r="AS29" i="27" a="1"/>
  <c r="AS29" i="27" s="1"/>
  <c r="AS33" i="27" a="1"/>
  <c r="AS33" i="27" s="1"/>
  <c r="AS35" i="27" a="1"/>
  <c r="AS35" i="27" s="1"/>
  <c r="AS40" i="27" a="1"/>
  <c r="AS40" i="27" s="1"/>
  <c r="AS45" i="27" a="1"/>
  <c r="AS45" i="27" s="1"/>
  <c r="AS7" i="27" a="1"/>
  <c r="AS7" i="27" s="1"/>
  <c r="AS9" i="27" a="1"/>
  <c r="AS9" i="27" s="1"/>
  <c r="AS19" i="27" a="1"/>
  <c r="AS19" i="27" s="1"/>
  <c r="AS26" i="27" a="1"/>
  <c r="AS26" i="27" s="1"/>
  <c r="AS11" i="27" a="1"/>
  <c r="AS11" i="27" s="1"/>
  <c r="AS16" i="27" a="1"/>
  <c r="AS16" i="27" s="1"/>
  <c r="AS21" i="27" a="1"/>
  <c r="AS21" i="27" s="1"/>
  <c r="AS37" i="27" a="1"/>
  <c r="AS37" i="27" s="1"/>
  <c r="AS42" i="27" a="1"/>
  <c r="AS42" i="27" s="1"/>
  <c r="AS23" i="27" a="1"/>
  <c r="AS23" i="27" s="1"/>
  <c r="AS28" i="27" a="1"/>
  <c r="AS28" i="27" s="1"/>
  <c r="AS32" i="27" a="1"/>
  <c r="AS32" i="27" s="1"/>
  <c r="AS13" i="27" a="1"/>
  <c r="AS13" i="27" s="1"/>
  <c r="AS18" i="27" a="1"/>
  <c r="AS18" i="27" s="1"/>
  <c r="AS25" i="27" a="1"/>
  <c r="AS25" i="27" s="1"/>
  <c r="AS31" i="27" a="1"/>
  <c r="AS31" i="27" s="1"/>
  <c r="AS34" i="27" a="1"/>
  <c r="AS34" i="27" s="1"/>
  <c r="AS39" i="27" a="1"/>
  <c r="AS39" i="27" s="1"/>
  <c r="AS44" i="27" a="1"/>
  <c r="AS44" i="27" s="1"/>
  <c r="AS8" i="27" a="1"/>
  <c r="AS8" i="27" s="1"/>
  <c r="AS20" i="27" a="1"/>
  <c r="AS20" i="27" s="1"/>
  <c r="AS10" i="27" a="1"/>
  <c r="AS10" i="27" s="1"/>
  <c r="AS15" i="27" a="1"/>
  <c r="AS15" i="27" s="1"/>
  <c r="AS17" i="27" a="1"/>
  <c r="AS17" i="27" s="1"/>
  <c r="AS22" i="27" a="1"/>
  <c r="AS22" i="27" s="1"/>
  <c r="AS27" i="27" a="1"/>
  <c r="AS27" i="27" s="1"/>
  <c r="AS30" i="27" a="1"/>
  <c r="AS30" i="27" s="1"/>
  <c r="AS36" i="27" a="1"/>
  <c r="AS36" i="27" s="1"/>
  <c r="AS41" i="27" a="1"/>
  <c r="AS41" i="27" s="1"/>
  <c r="AS43" i="27" a="1"/>
  <c r="AS43" i="27" s="1"/>
  <c r="AS48" i="27" a="1"/>
  <c r="AS48" i="27" s="1"/>
  <c r="AS49" i="27" a="1"/>
  <c r="AS49" i="27" s="1"/>
  <c r="AS51" i="27" a="1"/>
  <c r="AS51" i="27" s="1"/>
  <c r="AS56" i="27" a="1"/>
  <c r="AS56" i="27" s="1"/>
  <c r="AS59" i="27" a="1"/>
  <c r="AS59" i="27" s="1"/>
  <c r="AS62" i="27" a="1"/>
  <c r="AS62" i="27" s="1"/>
  <c r="AS69" i="27" a="1"/>
  <c r="AS69" i="27" s="1"/>
  <c r="AS71" i="27" a="1"/>
  <c r="AS71" i="27" s="1"/>
  <c r="AS73" i="27" a="1"/>
  <c r="AS73" i="27" s="1"/>
  <c r="AS80" i="27" a="1"/>
  <c r="AS80" i="27" s="1"/>
  <c r="AS82" i="27" a="1"/>
  <c r="AS82" i="27" s="1"/>
  <c r="AS53" i="27" a="1"/>
  <c r="AS53" i="27" s="1"/>
  <c r="AS38" i="27" a="1"/>
  <c r="AS38" i="27" s="1"/>
  <c r="AS58" i="27" a="1"/>
  <c r="AS58" i="27" s="1"/>
  <c r="AS64" i="27" a="1"/>
  <c r="AS64" i="27" s="1"/>
  <c r="AS66" i="27" a="1"/>
  <c r="AS66" i="27" s="1"/>
  <c r="AS68" i="27" a="1"/>
  <c r="AS68" i="27" s="1"/>
  <c r="AS75" i="27" a="1"/>
  <c r="AS75" i="27" s="1"/>
  <c r="AS77" i="27" a="1"/>
  <c r="AS77" i="27" s="1"/>
  <c r="AS50" i="27" a="1"/>
  <c r="AS50" i="27" s="1"/>
  <c r="AS55" i="27" a="1"/>
  <c r="AS55" i="27" s="1"/>
  <c r="AS61" i="27" a="1"/>
  <c r="AS61" i="27" s="1"/>
  <c r="AS60" i="27" a="1"/>
  <c r="AS60" i="27" s="1"/>
  <c r="AS70" i="27" a="1"/>
  <c r="AS70" i="27" s="1"/>
  <c r="AS72" i="27" a="1"/>
  <c r="AS72" i="27" s="1"/>
  <c r="AS81" i="27" a="1"/>
  <c r="AS81" i="27" s="1"/>
  <c r="AS83" i="27" a="1"/>
  <c r="AS83" i="27" s="1"/>
  <c r="AS92" i="27" a="1"/>
  <c r="AS92" i="27" s="1"/>
  <c r="AS46" i="27" a="1"/>
  <c r="AS46" i="27" s="1"/>
  <c r="AS52" i="27" a="1"/>
  <c r="AS52" i="27" s="1"/>
  <c r="AS57" i="27" a="1"/>
  <c r="AS57" i="27" s="1"/>
  <c r="AS63" i="27" a="1"/>
  <c r="AS63" i="27" s="1"/>
  <c r="AS74" i="27" a="1"/>
  <c r="AS74" i="27" s="1"/>
  <c r="AS76" i="27" a="1"/>
  <c r="AS76" i="27" s="1"/>
  <c r="AS85" i="27" a="1"/>
  <c r="AS85" i="27" s="1"/>
  <c r="AS89" i="27" a="1"/>
  <c r="AS89" i="27" s="1"/>
  <c r="AS94" i="27" a="1"/>
  <c r="AS94" i="27" s="1"/>
  <c r="AS101" i="27" a="1"/>
  <c r="AS101" i="27" s="1"/>
  <c r="AS103" i="27" a="1"/>
  <c r="AS103" i="27" s="1"/>
  <c r="AS105" i="27" a="1"/>
  <c r="AS105" i="27" s="1"/>
  <c r="AS112" i="27" a="1"/>
  <c r="AS112" i="27" s="1"/>
  <c r="AS113" i="27" a="1"/>
  <c r="AS113" i="27" s="1"/>
  <c r="AS122" i="27" a="1"/>
  <c r="AS122" i="27" s="1"/>
  <c r="AS79" i="27" a="1"/>
  <c r="AS79" i="27" s="1"/>
  <c r="AS84" i="27" a="1"/>
  <c r="AS84" i="27" s="1"/>
  <c r="AS93" i="27" a="1"/>
  <c r="AS93" i="27" s="1"/>
  <c r="AS118" i="27" a="1"/>
  <c r="AS118" i="27" s="1"/>
  <c r="AS67" i="27" a="1"/>
  <c r="AS67" i="27" s="1"/>
  <c r="AS88" i="27" a="1"/>
  <c r="AS88" i="27" s="1"/>
  <c r="AS96" i="27" a="1"/>
  <c r="AS96" i="27" s="1"/>
  <c r="AS98" i="27" a="1"/>
  <c r="AS98" i="27" s="1"/>
  <c r="AS100" i="27" a="1"/>
  <c r="AS100" i="27" s="1"/>
  <c r="AS107" i="27" a="1"/>
  <c r="AS107" i="27" s="1"/>
  <c r="AS109" i="27" a="1"/>
  <c r="AS109" i="27" s="1"/>
  <c r="AS121" i="27" a="1"/>
  <c r="AS121" i="27" s="1"/>
  <c r="AS128" i="27" a="1"/>
  <c r="AS128" i="27" s="1"/>
  <c r="AS132" i="27" a="1"/>
  <c r="AS132" i="27" s="1"/>
  <c r="AS47" i="27" a="1"/>
  <c r="AS47" i="27" s="1"/>
  <c r="AS87" i="27" a="1"/>
  <c r="AS87" i="27" s="1"/>
  <c r="AS102" i="27" a="1"/>
  <c r="AS102" i="27" s="1"/>
  <c r="AS104" i="27" a="1"/>
  <c r="AS104" i="27" s="1"/>
  <c r="AS111" i="27" a="1"/>
  <c r="AS111" i="27" s="1"/>
  <c r="AS116" i="27" a="1"/>
  <c r="AS116" i="27" s="1"/>
  <c r="AS54" i="27" a="1"/>
  <c r="AS54" i="27" s="1"/>
  <c r="AS91" i="27" a="1"/>
  <c r="AS91" i="27" s="1"/>
  <c r="AS95" i="27" a="1"/>
  <c r="AS95" i="27" s="1"/>
  <c r="AS106" i="27" a="1"/>
  <c r="AS106" i="27" s="1"/>
  <c r="AS78" i="27" a="1"/>
  <c r="AS78" i="27" s="1"/>
  <c r="AS86" i="27" a="1"/>
  <c r="AS86" i="27" s="1"/>
  <c r="AS97" i="27" a="1"/>
  <c r="AS97" i="27" s="1"/>
  <c r="AS99" i="27" a="1"/>
  <c r="AS99" i="27" s="1"/>
  <c r="AS108" i="27" a="1"/>
  <c r="AS108" i="27" s="1"/>
  <c r="AS110" i="27" a="1"/>
  <c r="AS110" i="27" s="1"/>
  <c r="AS114" i="27" a="1"/>
  <c r="AS114" i="27" s="1"/>
  <c r="AS115" i="27" a="1"/>
  <c r="AS115" i="27" s="1"/>
  <c r="AS123" i="27" a="1"/>
  <c r="AS123" i="27" s="1"/>
  <c r="AS126" i="27" a="1"/>
  <c r="AS126" i="27" s="1"/>
  <c r="AS134" i="27" a="1"/>
  <c r="AS134" i="27" s="1"/>
  <c r="AS127" i="27" a="1"/>
  <c r="AS127" i="27" s="1"/>
  <c r="AS140" i="27" a="1"/>
  <c r="AS140" i="27" s="1"/>
  <c r="AS136" i="27" a="1"/>
  <c r="AS136" i="27" s="1"/>
  <c r="AS120" i="27" a="1"/>
  <c r="AS120" i="27" s="1"/>
  <c r="AS135" i="27" a="1"/>
  <c r="AS135" i="27" s="1"/>
  <c r="AS131" i="27" a="1"/>
  <c r="AS131" i="27" s="1"/>
  <c r="AS139" i="27" a="1"/>
  <c r="AS139" i="27" s="1"/>
  <c r="AS138" i="27" a="1"/>
  <c r="AS138" i="27" s="1"/>
  <c r="AS124" i="27" a="1"/>
  <c r="AS124" i="27" s="1"/>
  <c r="AS65" i="27" a="1"/>
  <c r="AS65" i="27" s="1"/>
  <c r="AS125" i="27" a="1"/>
  <c r="AS125" i="27" s="1"/>
  <c r="AS129" i="27" a="1"/>
  <c r="AS129" i="27" s="1"/>
  <c r="AS137" i="27" a="1"/>
  <c r="AS137" i="27" s="1"/>
  <c r="AS6" i="27" a="1"/>
  <c r="AS6" i="27" s="1"/>
  <c r="AS130" i="27" a="1"/>
  <c r="AS130" i="27" s="1"/>
  <c r="AS90" i="27" a="1"/>
  <c r="AS90" i="27" s="1"/>
  <c r="AS119" i="27" a="1"/>
  <c r="AS119" i="27" s="1"/>
  <c r="AS117" i="27" a="1"/>
  <c r="AS117" i="27" s="1"/>
  <c r="AS133" i="27" a="1"/>
  <c r="AS133" i="27" s="1"/>
  <c r="AV4" i="27"/>
  <c r="AV133" i="27" s="1"/>
  <c r="AJ7" i="27" a="1"/>
  <c r="AJ7" i="27" s="1"/>
  <c r="AJ9" i="27" a="1"/>
  <c r="AJ9" i="27" s="1"/>
  <c r="AJ21" i="27" a="1"/>
  <c r="AJ21" i="27" s="1"/>
  <c r="AJ26" i="27" a="1"/>
  <c r="AJ26" i="27" s="1"/>
  <c r="AJ32" i="27" a="1"/>
  <c r="AJ32" i="27" s="1"/>
  <c r="AJ11" i="27" a="1"/>
  <c r="AJ11" i="27" s="1"/>
  <c r="AJ16" i="27" a="1"/>
  <c r="AJ16" i="27" s="1"/>
  <c r="AJ23" i="27" a="1"/>
  <c r="AJ23" i="27" s="1"/>
  <c r="AJ28" i="27" a="1"/>
  <c r="AJ28" i="27" s="1"/>
  <c r="AJ37" i="27" a="1"/>
  <c r="AJ37" i="27" s="1"/>
  <c r="AJ42" i="27" a="1"/>
  <c r="AJ42" i="27" s="1"/>
  <c r="AJ39" i="27" a="1"/>
  <c r="AJ39" i="27" s="1"/>
  <c r="AJ44" i="27" a="1"/>
  <c r="AJ44" i="27" s="1"/>
  <c r="AJ13" i="27" a="1"/>
  <c r="AJ13" i="27" s="1"/>
  <c r="AJ15" i="27" a="1"/>
  <c r="AJ15" i="27" s="1"/>
  <c r="AJ18" i="27" a="1"/>
  <c r="AJ18" i="27" s="1"/>
  <c r="AJ25" i="27" a="1"/>
  <c r="AJ25" i="27" s="1"/>
  <c r="AJ30" i="27" a="1"/>
  <c r="AJ30" i="27" s="1"/>
  <c r="AJ31" i="27" a="1"/>
  <c r="AJ31" i="27" s="1"/>
  <c r="AJ34" i="27" a="1"/>
  <c r="AJ34" i="27" s="1"/>
  <c r="AJ41" i="27" a="1"/>
  <c r="AJ41" i="27" s="1"/>
  <c r="AJ46" i="27" a="1"/>
  <c r="AJ46" i="27" s="1"/>
  <c r="AJ8" i="27" a="1"/>
  <c r="AJ8" i="27" s="1"/>
  <c r="AJ20" i="27" a="1"/>
  <c r="AJ20" i="27" s="1"/>
  <c r="AJ36" i="27" a="1"/>
  <c r="AJ36" i="27" s="1"/>
  <c r="AJ10" i="27" a="1"/>
  <c r="AJ10" i="27" s="1"/>
  <c r="AJ12" i="27" a="1"/>
  <c r="AJ12" i="27" s="1"/>
  <c r="AJ17" i="27" a="1"/>
  <c r="AJ17" i="27" s="1"/>
  <c r="AJ22" i="27" a="1"/>
  <c r="AJ22" i="27" s="1"/>
  <c r="AJ27" i="27" a="1"/>
  <c r="AJ27" i="27" s="1"/>
  <c r="AJ38" i="27" a="1"/>
  <c r="AJ38" i="27" s="1"/>
  <c r="AJ43" i="27" a="1"/>
  <c r="AJ43" i="27" s="1"/>
  <c r="AJ24" i="27" a="1"/>
  <c r="AJ24" i="27" s="1"/>
  <c r="AJ29" i="27" a="1"/>
  <c r="AJ29" i="27" s="1"/>
  <c r="AJ33" i="27" a="1"/>
  <c r="AJ33" i="27" s="1"/>
  <c r="AJ47" i="27" a="1"/>
  <c r="AJ47" i="27" s="1"/>
  <c r="AJ48" i="27" a="1"/>
  <c r="AJ48" i="27" s="1"/>
  <c r="AJ49" i="27" a="1"/>
  <c r="AJ49" i="27" s="1"/>
  <c r="AJ61" i="27" a="1"/>
  <c r="AJ61" i="27" s="1"/>
  <c r="AJ62" i="27" a="1"/>
  <c r="AJ62" i="27" s="1"/>
  <c r="AJ71" i="27" a="1"/>
  <c r="AJ71" i="27" s="1"/>
  <c r="AJ73" i="27" a="1"/>
  <c r="AJ73" i="27" s="1"/>
  <c r="AJ82" i="27" a="1"/>
  <c r="AJ82" i="27" s="1"/>
  <c r="AJ84" i="27" a="1"/>
  <c r="AJ84" i="27" s="1"/>
  <c r="AJ93" i="27" a="1"/>
  <c r="AJ93" i="27" s="1"/>
  <c r="AJ53" i="27" a="1"/>
  <c r="AJ53" i="27" s="1"/>
  <c r="AJ58" i="27" a="1"/>
  <c r="AJ58" i="27" s="1"/>
  <c r="AJ64" i="27" a="1"/>
  <c r="AJ64" i="27" s="1"/>
  <c r="AJ75" i="27" a="1"/>
  <c r="AJ75" i="27" s="1"/>
  <c r="AJ55" i="27" a="1"/>
  <c r="AJ55" i="27" s="1"/>
  <c r="AJ66" i="27" a="1"/>
  <c r="AJ66" i="27" s="1"/>
  <c r="AJ68" i="27" a="1"/>
  <c r="AJ68" i="27" s="1"/>
  <c r="AJ77" i="27" a="1"/>
  <c r="AJ77" i="27" s="1"/>
  <c r="AJ79" i="27" a="1"/>
  <c r="AJ79" i="27" s="1"/>
  <c r="AJ86" i="27" a="1"/>
  <c r="AJ86" i="27" s="1"/>
  <c r="AJ88" i="27" a="1"/>
  <c r="AJ88" i="27" s="1"/>
  <c r="AJ90" i="27" a="1"/>
  <c r="AJ90" i="27" s="1"/>
  <c r="AJ14" i="27" a="1"/>
  <c r="AJ14" i="27" s="1"/>
  <c r="AJ19" i="27" a="1"/>
  <c r="AJ19" i="27" s="1"/>
  <c r="AJ50" i="27" a="1"/>
  <c r="AJ50" i="27" s="1"/>
  <c r="AJ57" i="27" a="1"/>
  <c r="AJ57" i="27" s="1"/>
  <c r="AJ52" i="27" a="1"/>
  <c r="AJ52" i="27" s="1"/>
  <c r="AJ60" i="27" a="1"/>
  <c r="AJ60" i="27" s="1"/>
  <c r="AJ63" i="27" a="1"/>
  <c r="AJ63" i="27" s="1"/>
  <c r="AJ70" i="27" a="1"/>
  <c r="AJ70" i="27" s="1"/>
  <c r="AJ72" i="27" a="1"/>
  <c r="AJ72" i="27" s="1"/>
  <c r="AJ74" i="27" a="1"/>
  <c r="AJ74" i="27" s="1"/>
  <c r="AJ35" i="27" a="1"/>
  <c r="AJ35" i="27" s="1"/>
  <c r="AJ40" i="27" a="1"/>
  <c r="AJ40" i="27" s="1"/>
  <c r="AJ45" i="27" a="1"/>
  <c r="AJ45" i="27" s="1"/>
  <c r="AJ54" i="27" a="1"/>
  <c r="AJ54" i="27" s="1"/>
  <c r="AJ59" i="27" a="1"/>
  <c r="AJ59" i="27" s="1"/>
  <c r="AJ65" i="27" a="1"/>
  <c r="AJ65" i="27" s="1"/>
  <c r="AJ67" i="27" a="1"/>
  <c r="AJ67" i="27" s="1"/>
  <c r="AJ69" i="27" a="1"/>
  <c r="AJ69" i="27" s="1"/>
  <c r="AJ76" i="27" a="1"/>
  <c r="AJ76" i="27" s="1"/>
  <c r="AJ78" i="27" a="1"/>
  <c r="AJ78" i="27" s="1"/>
  <c r="AJ87" i="27" a="1"/>
  <c r="AJ87" i="27" s="1"/>
  <c r="AJ89" i="27" a="1"/>
  <c r="AJ89" i="27" s="1"/>
  <c r="AJ91" i="27" a="1"/>
  <c r="AJ91" i="27" s="1"/>
  <c r="AJ96" i="27" a="1"/>
  <c r="AJ96" i="27" s="1"/>
  <c r="AJ107" i="27" a="1"/>
  <c r="AJ107" i="27" s="1"/>
  <c r="AJ117" i="27" a="1"/>
  <c r="AJ117" i="27" s="1"/>
  <c r="AJ121" i="27" a="1"/>
  <c r="AJ121" i="27" s="1"/>
  <c r="AJ98" i="27" a="1"/>
  <c r="AJ98" i="27" s="1"/>
  <c r="AJ100" i="27" a="1"/>
  <c r="AJ100" i="27" s="1"/>
  <c r="AJ109" i="27" a="1"/>
  <c r="AJ109" i="27" s="1"/>
  <c r="AJ111" i="27" a="1"/>
  <c r="AJ111" i="27" s="1"/>
  <c r="AJ116" i="27" a="1"/>
  <c r="AJ116" i="27" s="1"/>
  <c r="AJ124" i="27" a="1"/>
  <c r="AJ124" i="27" s="1"/>
  <c r="AJ80" i="27" a="1"/>
  <c r="AJ80" i="27" s="1"/>
  <c r="AJ115" i="27" a="1"/>
  <c r="AJ115" i="27" s="1"/>
  <c r="AJ120" i="27" a="1"/>
  <c r="AJ120" i="27" s="1"/>
  <c r="AJ127" i="27" a="1"/>
  <c r="AJ127" i="27" s="1"/>
  <c r="AJ83" i="27" a="1"/>
  <c r="AJ83" i="27" s="1"/>
  <c r="AJ85" i="27" a="1"/>
  <c r="AJ85" i="27" s="1"/>
  <c r="AJ94" i="27" a="1"/>
  <c r="AJ94" i="27" s="1"/>
  <c r="AJ95" i="27" a="1"/>
  <c r="AJ95" i="27" s="1"/>
  <c r="AJ102" i="27" a="1"/>
  <c r="AJ102" i="27" s="1"/>
  <c r="AJ104" i="27" a="1"/>
  <c r="AJ104" i="27" s="1"/>
  <c r="AJ106" i="27" a="1"/>
  <c r="AJ106" i="27" s="1"/>
  <c r="AJ114" i="27" a="1"/>
  <c r="AJ114" i="27" s="1"/>
  <c r="AJ81" i="27" a="1"/>
  <c r="AJ81" i="27" s="1"/>
  <c r="AJ97" i="27" a="1"/>
  <c r="AJ97" i="27" s="1"/>
  <c r="AJ99" i="27" a="1"/>
  <c r="AJ99" i="27" s="1"/>
  <c r="AJ101" i="27" a="1"/>
  <c r="AJ101" i="27" s="1"/>
  <c r="AJ108" i="27" a="1"/>
  <c r="AJ108" i="27" s="1"/>
  <c r="AJ110" i="27" a="1"/>
  <c r="AJ110" i="27" s="1"/>
  <c r="AJ113" i="27" a="1"/>
  <c r="AJ113" i="27" s="1"/>
  <c r="AJ119" i="27" a="1"/>
  <c r="AJ119" i="27" s="1"/>
  <c r="AJ122" i="27" a="1"/>
  <c r="AJ122" i="27" s="1"/>
  <c r="AJ133" i="27" a="1"/>
  <c r="AJ133" i="27" s="1"/>
  <c r="AJ118" i="27" a="1"/>
  <c r="AJ118" i="27" s="1"/>
  <c r="AJ6" i="27" a="1"/>
  <c r="AJ6" i="27" s="1"/>
  <c r="AJ138" i="27" a="1"/>
  <c r="AJ138" i="27" s="1"/>
  <c r="AJ51" i="27" a="1"/>
  <c r="AJ51" i="27" s="1"/>
  <c r="AJ105" i="27" a="1"/>
  <c r="AJ105" i="27" s="1"/>
  <c r="AJ123" i="27" a="1"/>
  <c r="AJ123" i="27" s="1"/>
  <c r="AJ139" i="27" a="1"/>
  <c r="AJ139" i="27" s="1"/>
  <c r="AJ56" i="27" a="1"/>
  <c r="AJ56" i="27" s="1"/>
  <c r="AJ128" i="27" a="1"/>
  <c r="AJ128" i="27" s="1"/>
  <c r="AJ131" i="27" a="1"/>
  <c r="AJ131" i="27" s="1"/>
  <c r="AJ134" i="27" a="1"/>
  <c r="AJ134" i="27" s="1"/>
  <c r="AJ137" i="27" a="1"/>
  <c r="AJ137" i="27" s="1"/>
  <c r="AJ136" i="27" a="1"/>
  <c r="AJ136" i="27" s="1"/>
  <c r="AJ112" i="27" a="1"/>
  <c r="AJ112" i="27" s="1"/>
  <c r="AJ132" i="27" a="1"/>
  <c r="AJ132" i="27" s="1"/>
  <c r="AJ125" i="27" a="1"/>
  <c r="AJ125" i="27" s="1"/>
  <c r="AJ129" i="27" a="1"/>
  <c r="AJ129" i="27" s="1"/>
  <c r="AJ140" i="27" a="1"/>
  <c r="AJ140" i="27" s="1"/>
  <c r="AJ126" i="27" a="1"/>
  <c r="AJ126" i="27" s="1"/>
  <c r="AJ103" i="27" a="1"/>
  <c r="AJ103" i="27" s="1"/>
  <c r="AJ135" i="27" a="1"/>
  <c r="AJ135" i="27" s="1"/>
  <c r="AJ92" i="27" a="1"/>
  <c r="AJ92" i="27" s="1"/>
  <c r="AJ130" i="27" a="1"/>
  <c r="AJ130" i="27" s="1"/>
  <c r="BA4" i="27"/>
  <c r="BA133" i="27" s="1"/>
  <c r="AO13" i="27" a="1"/>
  <c r="AO13" i="27" s="1"/>
  <c r="AO18" i="27" a="1"/>
  <c r="AO18" i="27" s="1"/>
  <c r="AO25" i="27" a="1"/>
  <c r="AO25" i="27" s="1"/>
  <c r="AO31" i="27" a="1"/>
  <c r="AO31" i="27" s="1"/>
  <c r="AO34" i="27" a="1"/>
  <c r="AO34" i="27" s="1"/>
  <c r="AO39" i="27" a="1"/>
  <c r="AO39" i="27" s="1"/>
  <c r="AO44" i="27" a="1"/>
  <c r="AO44" i="27" s="1"/>
  <c r="AO8" i="27" a="1"/>
  <c r="AO8" i="27" s="1"/>
  <c r="AO20" i="27" a="1"/>
  <c r="AO20" i="27" s="1"/>
  <c r="AO30" i="27" a="1"/>
  <c r="AO30" i="27" s="1"/>
  <c r="AO41" i="27" a="1"/>
  <c r="AO41" i="27" s="1"/>
  <c r="AO10" i="27" a="1"/>
  <c r="AO10" i="27" s="1"/>
  <c r="AO12" i="27" a="1"/>
  <c r="AO12" i="27" s="1"/>
  <c r="AO15" i="27" a="1"/>
  <c r="AO15" i="27" s="1"/>
  <c r="AO17" i="27" a="1"/>
  <c r="AO17" i="27" s="1"/>
  <c r="AO22" i="27" a="1"/>
  <c r="AO22" i="27" s="1"/>
  <c r="AO27" i="27" a="1"/>
  <c r="AO27" i="27" s="1"/>
  <c r="AO36" i="27" a="1"/>
  <c r="AO36" i="27" s="1"/>
  <c r="AO38" i="27" a="1"/>
  <c r="AO38" i="27" s="1"/>
  <c r="AO43" i="27" a="1"/>
  <c r="AO43" i="27" s="1"/>
  <c r="AO29" i="27" a="1"/>
  <c r="AO29" i="27" s="1"/>
  <c r="AO33" i="27" a="1"/>
  <c r="AO33" i="27" s="1"/>
  <c r="AO14" i="27" a="1"/>
  <c r="AO14" i="27" s="1"/>
  <c r="AO24" i="27" a="1"/>
  <c r="AO24" i="27" s="1"/>
  <c r="AO35" i="27" a="1"/>
  <c r="AO35" i="27" s="1"/>
  <c r="AO40" i="27" a="1"/>
  <c r="AO40" i="27" s="1"/>
  <c r="AO45" i="27" a="1"/>
  <c r="AO45" i="27" s="1"/>
  <c r="AO7" i="27" a="1"/>
  <c r="AO7" i="27" s="1"/>
  <c r="AO9" i="27" a="1"/>
  <c r="AO9" i="27" s="1"/>
  <c r="AO19" i="27" a="1"/>
  <c r="AO19" i="27" s="1"/>
  <c r="AO21" i="27" a="1"/>
  <c r="AO21" i="27" s="1"/>
  <c r="AO26" i="27" a="1"/>
  <c r="AO26" i="27" s="1"/>
  <c r="AO11" i="27" a="1"/>
  <c r="AO11" i="27" s="1"/>
  <c r="AO16" i="27" a="1"/>
  <c r="AO16" i="27" s="1"/>
  <c r="AO28" i="27" a="1"/>
  <c r="AO28" i="27" s="1"/>
  <c r="AO37" i="27" a="1"/>
  <c r="AO37" i="27" s="1"/>
  <c r="AO42" i="27" a="1"/>
  <c r="AO42" i="27" s="1"/>
  <c r="AO47" i="27" a="1"/>
  <c r="AO47" i="27" s="1"/>
  <c r="AO50" i="27" a="1"/>
  <c r="AO50" i="27" s="1"/>
  <c r="AO55" i="27" a="1"/>
  <c r="AO55" i="27" s="1"/>
  <c r="AO90" i="27" a="1"/>
  <c r="AO90" i="27" s="1"/>
  <c r="AO32" i="27" a="1"/>
  <c r="AO32" i="27" s="1"/>
  <c r="AO57" i="27" a="1"/>
  <c r="AO57" i="27" s="1"/>
  <c r="AO60" i="27" a="1"/>
  <c r="AO60" i="27" s="1"/>
  <c r="AO63" i="27" a="1"/>
  <c r="AO63" i="27" s="1"/>
  <c r="AO70" i="27" a="1"/>
  <c r="AO70" i="27" s="1"/>
  <c r="AO72" i="27" a="1"/>
  <c r="AO72" i="27" s="1"/>
  <c r="AO81" i="27" a="1"/>
  <c r="AO81" i="27" s="1"/>
  <c r="AO83" i="27" a="1"/>
  <c r="AO83" i="27" s="1"/>
  <c r="AO23" i="27" a="1"/>
  <c r="AO23" i="27" s="1"/>
  <c r="AO52" i="27" a="1"/>
  <c r="AO52" i="27" s="1"/>
  <c r="AO54" i="27" a="1"/>
  <c r="AO54" i="27" s="1"/>
  <c r="AO74" i="27" a="1"/>
  <c r="AO74" i="27" s="1"/>
  <c r="AO85" i="27" a="1"/>
  <c r="AO85" i="27" s="1"/>
  <c r="AO46" i="27" a="1"/>
  <c r="AO46" i="27" s="1"/>
  <c r="AO49" i="27" a="1"/>
  <c r="AO49" i="27" s="1"/>
  <c r="AO65" i="27" a="1"/>
  <c r="AO65" i="27" s="1"/>
  <c r="AO67" i="27" a="1"/>
  <c r="AO67" i="27" s="1"/>
  <c r="AO76" i="27" a="1"/>
  <c r="AO76" i="27" s="1"/>
  <c r="AO78" i="27" a="1"/>
  <c r="AO78" i="27" s="1"/>
  <c r="AO48" i="27" a="1"/>
  <c r="AO48" i="27" s="1"/>
  <c r="AO51" i="27" a="1"/>
  <c r="AO51" i="27" s="1"/>
  <c r="AO56" i="27" a="1"/>
  <c r="AO56" i="27" s="1"/>
  <c r="AO59" i="27" a="1"/>
  <c r="AO59" i="27" s="1"/>
  <c r="AO69" i="27" a="1"/>
  <c r="AO69" i="27" s="1"/>
  <c r="AO62" i="27" a="1"/>
  <c r="AO62" i="27" s="1"/>
  <c r="AO71" i="27" a="1"/>
  <c r="AO71" i="27" s="1"/>
  <c r="AO73" i="27" a="1"/>
  <c r="AO73" i="27" s="1"/>
  <c r="AO80" i="27" a="1"/>
  <c r="AO80" i="27" s="1"/>
  <c r="AO82" i="27" a="1"/>
  <c r="AO82" i="27" s="1"/>
  <c r="AO84" i="27" a="1"/>
  <c r="AO84" i="27" s="1"/>
  <c r="AO91" i="27" a="1"/>
  <c r="AO91" i="27" s="1"/>
  <c r="AO93" i="27" a="1"/>
  <c r="AO93" i="27" s="1"/>
  <c r="AO53" i="27" a="1"/>
  <c r="AO53" i="27" s="1"/>
  <c r="AO58" i="27" a="1"/>
  <c r="AO58" i="27" s="1"/>
  <c r="AO61" i="27" a="1"/>
  <c r="AO61" i="27" s="1"/>
  <c r="AO66" i="27" a="1"/>
  <c r="AO66" i="27" s="1"/>
  <c r="AO79" i="27" a="1"/>
  <c r="AO79" i="27" s="1"/>
  <c r="AO88" i="27" a="1"/>
  <c r="AO88" i="27" s="1"/>
  <c r="AO95" i="27" a="1"/>
  <c r="AO95" i="27" s="1"/>
  <c r="AO102" i="27" a="1"/>
  <c r="AO102" i="27" s="1"/>
  <c r="AO104" i="27" a="1"/>
  <c r="AO104" i="27" s="1"/>
  <c r="AO115" i="27" a="1"/>
  <c r="AO115" i="27" s="1"/>
  <c r="AO116" i="27" a="1"/>
  <c r="AO116" i="27" s="1"/>
  <c r="AO92" i="27" a="1"/>
  <c r="AO92" i="27" s="1"/>
  <c r="AO106" i="27" a="1"/>
  <c r="AO106" i="27" s="1"/>
  <c r="AO77" i="27" a="1"/>
  <c r="AO77" i="27" s="1"/>
  <c r="AO87" i="27" a="1"/>
  <c r="AO87" i="27" s="1"/>
  <c r="AO97" i="27" a="1"/>
  <c r="AO97" i="27" s="1"/>
  <c r="AO99" i="27" a="1"/>
  <c r="AO99" i="27" s="1"/>
  <c r="AO108" i="27" a="1"/>
  <c r="AO108" i="27" s="1"/>
  <c r="AO110" i="27" a="1"/>
  <c r="AO110" i="27" s="1"/>
  <c r="AO113" i="27" a="1"/>
  <c r="AO113" i="27" s="1"/>
  <c r="AO114" i="27" a="1"/>
  <c r="AO114" i="27" s="1"/>
  <c r="AO123" i="27" a="1"/>
  <c r="AO123" i="27" s="1"/>
  <c r="AO126" i="27" a="1"/>
  <c r="AO126" i="27" s="1"/>
  <c r="AO129" i="27" a="1"/>
  <c r="AO129" i="27" s="1"/>
  <c r="AO68" i="27" a="1"/>
  <c r="AO68" i="27" s="1"/>
  <c r="AO101" i="27" a="1"/>
  <c r="AO101" i="27" s="1"/>
  <c r="AO119" i="27" a="1"/>
  <c r="AO119" i="27" s="1"/>
  <c r="AO86" i="27" a="1"/>
  <c r="AO86" i="27" s="1"/>
  <c r="AO103" i="27" a="1"/>
  <c r="AO103" i="27" s="1"/>
  <c r="AO105" i="27" a="1"/>
  <c r="AO105" i="27" s="1"/>
  <c r="AO112" i="27" a="1"/>
  <c r="AO112" i="27" s="1"/>
  <c r="AO64" i="27" a="1"/>
  <c r="AO64" i="27" s="1"/>
  <c r="AO94" i="27" a="1"/>
  <c r="AO94" i="27" s="1"/>
  <c r="AO121" i="27" a="1"/>
  <c r="AO121" i="27" s="1"/>
  <c r="AO75" i="27" a="1"/>
  <c r="AO75" i="27" s="1"/>
  <c r="AO89" i="27" a="1"/>
  <c r="AO89" i="27" s="1"/>
  <c r="AO96" i="27" a="1"/>
  <c r="AO96" i="27" s="1"/>
  <c r="AO98" i="27" a="1"/>
  <c r="AO98" i="27" s="1"/>
  <c r="AO100" i="27" a="1"/>
  <c r="AO100" i="27" s="1"/>
  <c r="AO107" i="27" a="1"/>
  <c r="AO107" i="27" s="1"/>
  <c r="AO109" i="27" a="1"/>
  <c r="AO109" i="27" s="1"/>
  <c r="AO111" i="27" a="1"/>
  <c r="AO111" i="27" s="1"/>
  <c r="AO117" i="27" a="1"/>
  <c r="AO117" i="27" s="1"/>
  <c r="AO120" i="27" a="1"/>
  <c r="AO120" i="27" s="1"/>
  <c r="AO124" i="27" a="1"/>
  <c r="AO124" i="27" s="1"/>
  <c r="AO125" i="27" a="1"/>
  <c r="AO125" i="27" s="1"/>
  <c r="AO137" i="27" a="1"/>
  <c r="AO137" i="27" s="1"/>
  <c r="AO6" i="27" a="1"/>
  <c r="AO6" i="27" s="1"/>
  <c r="AO132" i="27" a="1"/>
  <c r="AO132" i="27" s="1"/>
  <c r="AO118" i="27" a="1"/>
  <c r="AO118" i="27" s="1"/>
  <c r="AO136" i="27" a="1"/>
  <c r="AO136" i="27" s="1"/>
  <c r="AO133" i="27" a="1"/>
  <c r="AO133" i="27" s="1"/>
  <c r="AO140" i="27" a="1"/>
  <c r="AO140" i="27" s="1"/>
  <c r="AO130" i="27" a="1"/>
  <c r="AO130" i="27" s="1"/>
  <c r="AO135" i="27" a="1"/>
  <c r="AO135" i="27" s="1"/>
  <c r="AO127" i="27" a="1"/>
  <c r="AO127" i="27" s="1"/>
  <c r="AO139" i="27" a="1"/>
  <c r="AO139" i="27" s="1"/>
  <c r="AO134" i="27" a="1"/>
  <c r="AO134" i="27" s="1"/>
  <c r="AO131" i="27" a="1"/>
  <c r="AO131" i="27" s="1"/>
  <c r="AO122" i="27" a="1"/>
  <c r="AO122" i="27" s="1"/>
  <c r="AO128" i="27" a="1"/>
  <c r="AO128" i="27" s="1"/>
  <c r="AO138" i="27" a="1"/>
  <c r="AO138" i="27" s="1"/>
  <c r="BD4" i="27"/>
  <c r="BD133" i="27" s="1"/>
  <c r="AR7" i="27" a="1"/>
  <c r="AR7" i="27" s="1"/>
  <c r="AR9" i="27" a="1"/>
  <c r="AR9" i="27" s="1"/>
  <c r="AR19" i="27" a="1"/>
  <c r="AR19" i="27" s="1"/>
  <c r="AR26" i="27" a="1"/>
  <c r="AR26" i="27" s="1"/>
  <c r="AR11" i="27" a="1"/>
  <c r="AR11" i="27" s="1"/>
  <c r="AR16" i="27" a="1"/>
  <c r="AR16" i="27" s="1"/>
  <c r="AR21" i="27" a="1"/>
  <c r="AR21" i="27" s="1"/>
  <c r="AR37" i="27" a="1"/>
  <c r="AR37" i="27" s="1"/>
  <c r="AR42" i="27" a="1"/>
  <c r="AR42" i="27" s="1"/>
  <c r="AR23" i="27" a="1"/>
  <c r="AR23" i="27" s="1"/>
  <c r="AR28" i="27" a="1"/>
  <c r="AR28" i="27" s="1"/>
  <c r="AR32" i="27" a="1"/>
  <c r="AR32" i="27" s="1"/>
  <c r="AR13" i="27" a="1"/>
  <c r="AR13" i="27" s="1"/>
  <c r="AR18" i="27" a="1"/>
  <c r="AR18" i="27" s="1"/>
  <c r="AR25" i="27" a="1"/>
  <c r="AR25" i="27" s="1"/>
  <c r="AR31" i="27" a="1"/>
  <c r="AR31" i="27" s="1"/>
  <c r="AR34" i="27" a="1"/>
  <c r="AR34" i="27" s="1"/>
  <c r="AR39" i="27" a="1"/>
  <c r="AR39" i="27" s="1"/>
  <c r="AR44" i="27" a="1"/>
  <c r="AR44" i="27" s="1"/>
  <c r="AR8" i="27" a="1"/>
  <c r="AR8" i="27" s="1"/>
  <c r="AR20" i="27" a="1"/>
  <c r="AR20" i="27" s="1"/>
  <c r="AR41" i="27" a="1"/>
  <c r="AR41" i="27" s="1"/>
  <c r="AR46" i="27" a="1"/>
  <c r="AR46" i="27" s="1"/>
  <c r="AR10" i="27" a="1"/>
  <c r="AR10" i="27" s="1"/>
  <c r="AR15" i="27" a="1"/>
  <c r="AR15" i="27" s="1"/>
  <c r="AR17" i="27" a="1"/>
  <c r="AR17" i="27" s="1"/>
  <c r="AR22" i="27" a="1"/>
  <c r="AR22" i="27" s="1"/>
  <c r="AR27" i="27" a="1"/>
  <c r="AR27" i="27" s="1"/>
  <c r="AR30" i="27" a="1"/>
  <c r="AR30" i="27" s="1"/>
  <c r="AR36" i="27" a="1"/>
  <c r="AR36" i="27" s="1"/>
  <c r="AR43" i="27" a="1"/>
  <c r="AR43" i="27" s="1"/>
  <c r="AR33" i="27" a="1"/>
  <c r="AR33" i="27" s="1"/>
  <c r="AR38" i="27" a="1"/>
  <c r="AR38" i="27" s="1"/>
  <c r="AR62" i="27" a="1"/>
  <c r="AR62" i="27" s="1"/>
  <c r="AR71" i="27" a="1"/>
  <c r="AR71" i="27" s="1"/>
  <c r="AR73" i="27" a="1"/>
  <c r="AR73" i="27" s="1"/>
  <c r="AR80" i="27" a="1"/>
  <c r="AR80" i="27" s="1"/>
  <c r="AR82" i="27" a="1"/>
  <c r="AR82" i="27" s="1"/>
  <c r="AR84" i="27" a="1"/>
  <c r="AR84" i="27" s="1"/>
  <c r="AR91" i="27" a="1"/>
  <c r="AR91" i="27" s="1"/>
  <c r="AR93" i="27" a="1"/>
  <c r="AR93" i="27" s="1"/>
  <c r="AR12" i="27" a="1"/>
  <c r="AR12" i="27" s="1"/>
  <c r="AR53" i="27" a="1"/>
  <c r="AR53" i="27" s="1"/>
  <c r="AR58" i="27" a="1"/>
  <c r="AR58" i="27" s="1"/>
  <c r="AR61" i="27" a="1"/>
  <c r="AR61" i="27" s="1"/>
  <c r="AR64" i="27" a="1"/>
  <c r="AR64" i="27" s="1"/>
  <c r="AR66" i="27" a="1"/>
  <c r="AR66" i="27" s="1"/>
  <c r="AR68" i="27" a="1"/>
  <c r="AR68" i="27" s="1"/>
  <c r="AR75" i="27" a="1"/>
  <c r="AR75" i="27" s="1"/>
  <c r="AR77" i="27" a="1"/>
  <c r="AR77" i="27" s="1"/>
  <c r="AR79" i="27" a="1"/>
  <c r="AR79" i="27" s="1"/>
  <c r="AR86" i="27" a="1"/>
  <c r="AR86" i="27" s="1"/>
  <c r="AR88" i="27" a="1"/>
  <c r="AR88" i="27" s="1"/>
  <c r="AR50" i="27" a="1"/>
  <c r="AR50" i="27" s="1"/>
  <c r="AR55" i="27" a="1"/>
  <c r="AR55" i="27" s="1"/>
  <c r="AR14" i="27" a="1"/>
  <c r="AR14" i="27" s="1"/>
  <c r="AR24" i="27" a="1"/>
  <c r="AR24" i="27" s="1"/>
  <c r="AR29" i="27" a="1"/>
  <c r="AR29" i="27" s="1"/>
  <c r="AR57" i="27" a="1"/>
  <c r="AR57" i="27" s="1"/>
  <c r="AR60" i="27" a="1"/>
  <c r="AR60" i="27" s="1"/>
  <c r="AR63" i="27" a="1"/>
  <c r="AR63" i="27" s="1"/>
  <c r="AR70" i="27" a="1"/>
  <c r="AR70" i="27" s="1"/>
  <c r="AR72" i="27" a="1"/>
  <c r="AR72" i="27" s="1"/>
  <c r="AR48" i="27" a="1"/>
  <c r="AR48" i="27" s="1"/>
  <c r="AR52" i="27" a="1"/>
  <c r="AR52" i="27" s="1"/>
  <c r="AR74" i="27" a="1"/>
  <c r="AR74" i="27" s="1"/>
  <c r="AR85" i="27" a="1"/>
  <c r="AR85" i="27" s="1"/>
  <c r="AR35" i="27" a="1"/>
  <c r="AR35" i="27" s="1"/>
  <c r="AR40" i="27" a="1"/>
  <c r="AR40" i="27" s="1"/>
  <c r="AR45" i="27" a="1"/>
  <c r="AR45" i="27" s="1"/>
  <c r="AR47" i="27" a="1"/>
  <c r="AR47" i="27" s="1"/>
  <c r="AR49" i="27" a="1"/>
  <c r="AR49" i="27" s="1"/>
  <c r="AR54" i="27" a="1"/>
  <c r="AR54" i="27" s="1"/>
  <c r="AR65" i="27" a="1"/>
  <c r="AR65" i="27" s="1"/>
  <c r="AR67" i="27" a="1"/>
  <c r="AR67" i="27" s="1"/>
  <c r="AR76" i="27" a="1"/>
  <c r="AR76" i="27" s="1"/>
  <c r="AR78" i="27" a="1"/>
  <c r="AR78" i="27" s="1"/>
  <c r="AR87" i="27" a="1"/>
  <c r="AR87" i="27" s="1"/>
  <c r="AR89" i="27" a="1"/>
  <c r="AR89" i="27" s="1"/>
  <c r="AR51" i="27" a="1"/>
  <c r="AR51" i="27" s="1"/>
  <c r="AR56" i="27" a="1"/>
  <c r="AR56" i="27" s="1"/>
  <c r="AR118" i="27" a="1"/>
  <c r="AR118" i="27" s="1"/>
  <c r="AR96" i="27" a="1"/>
  <c r="AR96" i="27" s="1"/>
  <c r="AR98" i="27" a="1"/>
  <c r="AR98" i="27" s="1"/>
  <c r="AR100" i="27" a="1"/>
  <c r="AR100" i="27" s="1"/>
  <c r="AR107" i="27" a="1"/>
  <c r="AR107" i="27" s="1"/>
  <c r="AR109" i="27" a="1"/>
  <c r="AR109" i="27" s="1"/>
  <c r="AR121" i="27" a="1"/>
  <c r="AR121" i="27" s="1"/>
  <c r="AR117" i="27" a="1"/>
  <c r="AR117" i="27" s="1"/>
  <c r="AR92" i="27" a="1"/>
  <c r="AR92" i="27" s="1"/>
  <c r="AR95" i="27" a="1"/>
  <c r="AR95" i="27" s="1"/>
  <c r="AR102" i="27" a="1"/>
  <c r="AR102" i="27" s="1"/>
  <c r="AR104" i="27" a="1"/>
  <c r="AR104" i="27" s="1"/>
  <c r="AR111" i="27" a="1"/>
  <c r="AR111" i="27" s="1"/>
  <c r="AR116" i="27" a="1"/>
  <c r="AR116" i="27" s="1"/>
  <c r="AR120" i="27" a="1"/>
  <c r="AR120" i="27" s="1"/>
  <c r="AR106" i="27" a="1"/>
  <c r="AR106" i="27" s="1"/>
  <c r="AR115" i="27" a="1"/>
  <c r="AR115" i="27" s="1"/>
  <c r="AR59" i="27" a="1"/>
  <c r="AR59" i="27" s="1"/>
  <c r="AR69" i="27" a="1"/>
  <c r="AR69" i="27" s="1"/>
  <c r="AR83" i="27" a="1"/>
  <c r="AR83" i="27" s="1"/>
  <c r="AR97" i="27" a="1"/>
  <c r="AR97" i="27" s="1"/>
  <c r="AR99" i="27" a="1"/>
  <c r="AR99" i="27" s="1"/>
  <c r="AR108" i="27" a="1"/>
  <c r="AR108" i="27" s="1"/>
  <c r="AR110" i="27" a="1"/>
  <c r="AR110" i="27" s="1"/>
  <c r="AR114" i="27" a="1"/>
  <c r="AR114" i="27" s="1"/>
  <c r="AR123" i="27" a="1"/>
  <c r="AR123" i="27" s="1"/>
  <c r="AR90" i="27" a="1"/>
  <c r="AR90" i="27" s="1"/>
  <c r="AR101" i="27" a="1"/>
  <c r="AR101" i="27" s="1"/>
  <c r="AR113" i="27" a="1"/>
  <c r="AR113" i="27" s="1"/>
  <c r="AR119" i="27" a="1"/>
  <c r="AR119" i="27" s="1"/>
  <c r="AR129" i="27" a="1"/>
  <c r="AR129" i="27" s="1"/>
  <c r="AR81" i="27" a="1"/>
  <c r="AR81" i="27" s="1"/>
  <c r="AR122" i="27" a="1"/>
  <c r="AR122" i="27" s="1"/>
  <c r="AR135" i="27" a="1"/>
  <c r="AR135" i="27" s="1"/>
  <c r="AR139" i="27" a="1"/>
  <c r="AR139" i="27" s="1"/>
  <c r="AR140" i="27" a="1"/>
  <c r="AR140" i="27" s="1"/>
  <c r="AR94" i="27" a="1"/>
  <c r="AR94" i="27" s="1"/>
  <c r="AR131" i="27" a="1"/>
  <c r="AR131" i="27" s="1"/>
  <c r="AR6" i="27" a="1"/>
  <c r="AR6" i="27" s="1"/>
  <c r="AR105" i="27" a="1"/>
  <c r="AR105" i="27" s="1"/>
  <c r="AR124" i="27" a="1"/>
  <c r="AR124" i="27" s="1"/>
  <c r="AR128" i="27" a="1"/>
  <c r="AR128" i="27" s="1"/>
  <c r="AR134" i="27" a="1"/>
  <c r="AR134" i="27" s="1"/>
  <c r="AR138" i="27" a="1"/>
  <c r="AR138" i="27" s="1"/>
  <c r="AR137" i="27" a="1"/>
  <c r="AR137" i="27" s="1"/>
  <c r="AR125" i="27" a="1"/>
  <c r="AR125" i="27" s="1"/>
  <c r="AR132" i="27" a="1"/>
  <c r="AR132" i="27" s="1"/>
  <c r="AR112" i="27" a="1"/>
  <c r="AR112" i="27" s="1"/>
  <c r="AR126" i="27" a="1"/>
  <c r="AR126" i="27" s="1"/>
  <c r="AR127" i="27" a="1"/>
  <c r="AR127" i="27" s="1"/>
  <c r="AR130" i="27" a="1"/>
  <c r="AR130" i="27" s="1"/>
  <c r="AR133" i="27" a="1"/>
  <c r="AR133" i="27" s="1"/>
  <c r="AR136" i="27" a="1"/>
  <c r="AR136" i="27" s="1"/>
  <c r="AR103" i="27" a="1"/>
  <c r="AR103" i="27" s="1"/>
  <c r="AY4" i="27"/>
  <c r="AY133" i="27" s="1"/>
  <c r="AM10" i="27" a="1"/>
  <c r="AM10" i="27" s="1"/>
  <c r="AM12" i="27" a="1"/>
  <c r="AM12" i="27" s="1"/>
  <c r="AM17" i="27" a="1"/>
  <c r="AM17" i="27" s="1"/>
  <c r="AM22" i="27" a="1"/>
  <c r="AM22" i="27" s="1"/>
  <c r="AM27" i="27" a="1"/>
  <c r="AM27" i="27" s="1"/>
  <c r="AM38" i="27" a="1"/>
  <c r="AM38" i="27" s="1"/>
  <c r="AM43" i="27" a="1"/>
  <c r="AM43" i="27" s="1"/>
  <c r="AM29" i="27" a="1"/>
  <c r="AM29" i="27" s="1"/>
  <c r="AM33" i="27" a="1"/>
  <c r="AM33" i="27" s="1"/>
  <c r="AM14" i="27" a="1"/>
  <c r="AM14" i="27" s="1"/>
  <c r="AM19" i="27" a="1"/>
  <c r="AM19" i="27" s="1"/>
  <c r="AM24" i="27" a="1"/>
  <c r="AM24" i="27" s="1"/>
  <c r="AM35" i="27" a="1"/>
  <c r="AM35" i="27" s="1"/>
  <c r="AM40" i="27" a="1"/>
  <c r="AM40" i="27" s="1"/>
  <c r="AM45" i="27" a="1"/>
  <c r="AM45" i="27" s="1"/>
  <c r="AM7" i="27" a="1"/>
  <c r="AM7" i="27" s="1"/>
  <c r="AM9" i="27" a="1"/>
  <c r="AM9" i="27" s="1"/>
  <c r="AM21" i="27" a="1"/>
  <c r="AM21" i="27" s="1"/>
  <c r="AM26" i="27" a="1"/>
  <c r="AM26" i="27" s="1"/>
  <c r="AM11" i="27" a="1"/>
  <c r="AM11" i="27" s="1"/>
  <c r="AM16" i="27" a="1"/>
  <c r="AM16" i="27" s="1"/>
  <c r="AM28" i="27" a="1"/>
  <c r="AM28" i="27" s="1"/>
  <c r="AM32" i="27" a="1"/>
  <c r="AM32" i="27" s="1"/>
  <c r="AM37" i="27" a="1"/>
  <c r="AM37" i="27" s="1"/>
  <c r="AM42" i="27" a="1"/>
  <c r="AM42" i="27" s="1"/>
  <c r="AM47" i="27" a="1"/>
  <c r="AM47" i="27" s="1"/>
  <c r="AM23" i="27" a="1"/>
  <c r="AM23" i="27" s="1"/>
  <c r="AM44" i="27" a="1"/>
  <c r="AM44" i="27" s="1"/>
  <c r="AM13" i="27" a="1"/>
  <c r="AM13" i="27" s="1"/>
  <c r="AM18" i="27" a="1"/>
  <c r="AM18" i="27" s="1"/>
  <c r="AM25" i="27" a="1"/>
  <c r="AM25" i="27" s="1"/>
  <c r="AM30" i="27" a="1"/>
  <c r="AM30" i="27" s="1"/>
  <c r="AM31" i="27" a="1"/>
  <c r="AM31" i="27" s="1"/>
  <c r="AM34" i="27" a="1"/>
  <c r="AM34" i="27" s="1"/>
  <c r="AM39" i="27" a="1"/>
  <c r="AM39" i="27" s="1"/>
  <c r="AM46" i="27" a="1"/>
  <c r="AM46" i="27" s="1"/>
  <c r="AM54" i="27" a="1"/>
  <c r="AM54" i="27" s="1"/>
  <c r="AM85" i="27" a="1"/>
  <c r="AM85" i="27" s="1"/>
  <c r="AM65" i="27" a="1"/>
  <c r="AM65" i="27" s="1"/>
  <c r="AM67" i="27" a="1"/>
  <c r="AM67" i="27" s="1"/>
  <c r="AM76" i="27" a="1"/>
  <c r="AM76" i="27" s="1"/>
  <c r="AM78" i="27" a="1"/>
  <c r="AM78" i="27" s="1"/>
  <c r="AM8" i="27" a="1"/>
  <c r="AM8" i="27" s="1"/>
  <c r="AM48" i="27" a="1"/>
  <c r="AM48" i="27" s="1"/>
  <c r="AM49" i="27" a="1"/>
  <c r="AM49" i="27" s="1"/>
  <c r="AM51" i="27" a="1"/>
  <c r="AM51" i="27" s="1"/>
  <c r="AM56" i="27" a="1"/>
  <c r="AM56" i="27" s="1"/>
  <c r="AM59" i="27" a="1"/>
  <c r="AM59" i="27" s="1"/>
  <c r="AM69" i="27" a="1"/>
  <c r="AM69" i="27" s="1"/>
  <c r="AM80" i="27" a="1"/>
  <c r="AM80" i="27" s="1"/>
  <c r="AM62" i="27" a="1"/>
  <c r="AM62" i="27" s="1"/>
  <c r="AM71" i="27" a="1"/>
  <c r="AM71" i="27" s="1"/>
  <c r="AM73" i="27" a="1"/>
  <c r="AM73" i="27" s="1"/>
  <c r="AM82" i="27" a="1"/>
  <c r="AM82" i="27" s="1"/>
  <c r="AM84" i="27" a="1"/>
  <c r="AM84" i="27" s="1"/>
  <c r="AM53" i="27" a="1"/>
  <c r="AM53" i="27" s="1"/>
  <c r="AM58" i="27" a="1"/>
  <c r="AM58" i="27" s="1"/>
  <c r="AM61" i="27" a="1"/>
  <c r="AM61" i="27" s="1"/>
  <c r="AM64" i="27" a="1"/>
  <c r="AM64" i="27" s="1"/>
  <c r="AM15" i="27" a="1"/>
  <c r="AM15" i="27" s="1"/>
  <c r="AM20" i="27" a="1"/>
  <c r="AM20" i="27" s="1"/>
  <c r="AM66" i="27" a="1"/>
  <c r="AM66" i="27" s="1"/>
  <c r="AM68" i="27" a="1"/>
  <c r="AM68" i="27" s="1"/>
  <c r="AM75" i="27" a="1"/>
  <c r="AM75" i="27" s="1"/>
  <c r="AM77" i="27" a="1"/>
  <c r="AM77" i="27" s="1"/>
  <c r="AM79" i="27" a="1"/>
  <c r="AM79" i="27" s="1"/>
  <c r="AM86" i="27" a="1"/>
  <c r="AM86" i="27" s="1"/>
  <c r="AM88" i="27" a="1"/>
  <c r="AM88" i="27" s="1"/>
  <c r="AM90" i="27" a="1"/>
  <c r="AM90" i="27" s="1"/>
  <c r="AM50" i="27" a="1"/>
  <c r="AM50" i="27" s="1"/>
  <c r="AM55" i="27" a="1"/>
  <c r="AM55" i="27" s="1"/>
  <c r="AM41" i="27" a="1"/>
  <c r="AM41" i="27" s="1"/>
  <c r="AM92" i="27" a="1"/>
  <c r="AM92" i="27" s="1"/>
  <c r="AM97" i="27" a="1"/>
  <c r="AM97" i="27" s="1"/>
  <c r="AM99" i="27" a="1"/>
  <c r="AM99" i="27" s="1"/>
  <c r="AM108" i="27" a="1"/>
  <c r="AM108" i="27" s="1"/>
  <c r="AM110" i="27" a="1"/>
  <c r="AM110" i="27" s="1"/>
  <c r="AM113" i="27" a="1"/>
  <c r="AM113" i="27" s="1"/>
  <c r="AM123" i="27" a="1"/>
  <c r="AM123" i="27" s="1"/>
  <c r="AM52" i="27" a="1"/>
  <c r="AM52" i="27" s="1"/>
  <c r="AM57" i="27" a="1"/>
  <c r="AM57" i="27" s="1"/>
  <c r="AM72" i="27" a="1"/>
  <c r="AM72" i="27" s="1"/>
  <c r="AM87" i="27" a="1"/>
  <c r="AM87" i="27" s="1"/>
  <c r="AM101" i="27" a="1"/>
  <c r="AM101" i="27" s="1"/>
  <c r="AM119" i="27" a="1"/>
  <c r="AM119" i="27" s="1"/>
  <c r="AM122" i="27" a="1"/>
  <c r="AM122" i="27" s="1"/>
  <c r="AM91" i="27" a="1"/>
  <c r="AM91" i="27" s="1"/>
  <c r="AM103" i="27" a="1"/>
  <c r="AM103" i="27" s="1"/>
  <c r="AM105" i="27" a="1"/>
  <c r="AM105" i="27" s="1"/>
  <c r="AM112" i="27" a="1"/>
  <c r="AM112" i="27" s="1"/>
  <c r="AM118" i="27" a="1"/>
  <c r="AM118" i="27" s="1"/>
  <c r="AM125" i="27" a="1"/>
  <c r="AM125" i="27" s="1"/>
  <c r="AM63" i="27" a="1"/>
  <c r="AM63" i="27" s="1"/>
  <c r="AM96" i="27" a="1"/>
  <c r="AM96" i="27" s="1"/>
  <c r="AM121" i="27" a="1"/>
  <c r="AM121" i="27" s="1"/>
  <c r="AM74" i="27" a="1"/>
  <c r="AM74" i="27" s="1"/>
  <c r="AM83" i="27" a="1"/>
  <c r="AM83" i="27" s="1"/>
  <c r="AM94" i="27" a="1"/>
  <c r="AM94" i="27" s="1"/>
  <c r="AM98" i="27" a="1"/>
  <c r="AM98" i="27" s="1"/>
  <c r="AM100" i="27" a="1"/>
  <c r="AM100" i="27" s="1"/>
  <c r="AM107" i="27" a="1"/>
  <c r="AM107" i="27" s="1"/>
  <c r="AM109" i="27" a="1"/>
  <c r="AM109" i="27" s="1"/>
  <c r="AM111" i="27" a="1"/>
  <c r="AM111" i="27" s="1"/>
  <c r="AM117" i="27" a="1"/>
  <c r="AM117" i="27" s="1"/>
  <c r="AM89" i="27" a="1"/>
  <c r="AM89" i="27" s="1"/>
  <c r="AM116" i="27" a="1"/>
  <c r="AM116" i="27" s="1"/>
  <c r="AM120" i="27" a="1"/>
  <c r="AM120" i="27" s="1"/>
  <c r="AM60" i="27" a="1"/>
  <c r="AM60" i="27" s="1"/>
  <c r="AM70" i="27" a="1"/>
  <c r="AM70" i="27" s="1"/>
  <c r="AM81" i="27" a="1"/>
  <c r="AM81" i="27" s="1"/>
  <c r="AM93" i="27" a="1"/>
  <c r="AM93" i="27" s="1"/>
  <c r="AM95" i="27" a="1"/>
  <c r="AM95" i="27" s="1"/>
  <c r="AM102" i="27" a="1"/>
  <c r="AM102" i="27" s="1"/>
  <c r="AM104" i="27" a="1"/>
  <c r="AM104" i="27" s="1"/>
  <c r="AM106" i="27" a="1"/>
  <c r="AM106" i="27" s="1"/>
  <c r="AM115" i="27" a="1"/>
  <c r="AM115" i="27" s="1"/>
  <c r="AM127" i="27" a="1"/>
  <c r="AM127" i="27" s="1"/>
  <c r="AM36" i="27" a="1"/>
  <c r="AM36" i="27" s="1"/>
  <c r="AM114" i="27" a="1"/>
  <c r="AM114" i="27" s="1"/>
  <c r="AM136" i="27" a="1"/>
  <c r="AM136" i="27" s="1"/>
  <c r="AM126" i="27" a="1"/>
  <c r="AM126" i="27" s="1"/>
  <c r="AM140" i="27" a="1"/>
  <c r="AM140" i="27" s="1"/>
  <c r="AM130" i="27" a="1"/>
  <c r="AM130" i="27" s="1"/>
  <c r="AM133" i="27" a="1"/>
  <c r="AM133" i="27" s="1"/>
  <c r="AM135" i="27" a="1"/>
  <c r="AM135" i="27" s="1"/>
  <c r="AM139" i="27" a="1"/>
  <c r="AM139" i="27" s="1"/>
  <c r="AM128" i="27" a="1"/>
  <c r="AM128" i="27" s="1"/>
  <c r="AM131" i="27" a="1"/>
  <c r="AM131" i="27" s="1"/>
  <c r="AM134" i="27" a="1"/>
  <c r="AM134" i="27" s="1"/>
  <c r="AM138" i="27" a="1"/>
  <c r="AM138" i="27" s="1"/>
  <c r="AM124" i="27" a="1"/>
  <c r="AM124" i="27" s="1"/>
  <c r="AM129" i="27" a="1"/>
  <c r="AM129" i="27" s="1"/>
  <c r="AM137" i="27" a="1"/>
  <c r="AM137" i="27" s="1"/>
  <c r="AM6" i="27" a="1"/>
  <c r="AM6" i="27" s="1"/>
  <c r="AM132" i="27" a="1"/>
  <c r="AM132" i="27" s="1"/>
  <c r="AZ4" i="27"/>
  <c r="AZ133" i="27" s="1"/>
  <c r="AN8" i="27" a="1"/>
  <c r="AN8" i="27" s="1"/>
  <c r="AN20" i="27" a="1"/>
  <c r="AN20" i="27" s="1"/>
  <c r="AN30" i="27" a="1"/>
  <c r="AN30" i="27" s="1"/>
  <c r="AN36" i="27" a="1"/>
  <c r="AN36" i="27" s="1"/>
  <c r="AN41" i="27" a="1"/>
  <c r="AN41" i="27" s="1"/>
  <c r="AN10" i="27" a="1"/>
  <c r="AN10" i="27" s="1"/>
  <c r="AN12" i="27" a="1"/>
  <c r="AN12" i="27" s="1"/>
  <c r="AN15" i="27" a="1"/>
  <c r="AN15" i="27" s="1"/>
  <c r="AN17" i="27" a="1"/>
  <c r="AN17" i="27" s="1"/>
  <c r="AN22" i="27" a="1"/>
  <c r="AN22" i="27" s="1"/>
  <c r="AN27" i="27" a="1"/>
  <c r="AN27" i="27" s="1"/>
  <c r="AN38" i="27" a="1"/>
  <c r="AN38" i="27" s="1"/>
  <c r="AN43" i="27" a="1"/>
  <c r="AN43" i="27" s="1"/>
  <c r="AN29" i="27" a="1"/>
  <c r="AN29" i="27" s="1"/>
  <c r="AN33" i="27" a="1"/>
  <c r="AN33" i="27" s="1"/>
  <c r="AN14" i="27" a="1"/>
  <c r="AN14" i="27" s="1"/>
  <c r="AN24" i="27" a="1"/>
  <c r="AN24" i="27" s="1"/>
  <c r="AN35" i="27" a="1"/>
  <c r="AN35" i="27" s="1"/>
  <c r="AN40" i="27" a="1"/>
  <c r="AN40" i="27" s="1"/>
  <c r="AN45" i="27" a="1"/>
  <c r="AN45" i="27" s="1"/>
  <c r="AN7" i="27" a="1"/>
  <c r="AN7" i="27" s="1"/>
  <c r="AN9" i="27" a="1"/>
  <c r="AN9" i="27" s="1"/>
  <c r="AN19" i="27" a="1"/>
  <c r="AN19" i="27" s="1"/>
  <c r="AN21" i="27" a="1"/>
  <c r="AN21" i="27" s="1"/>
  <c r="AN26" i="27" a="1"/>
  <c r="AN26" i="27" s="1"/>
  <c r="AN11" i="27" a="1"/>
  <c r="AN11" i="27" s="1"/>
  <c r="AN16" i="27" a="1"/>
  <c r="AN16" i="27" s="1"/>
  <c r="AN28" i="27" a="1"/>
  <c r="AN28" i="27" s="1"/>
  <c r="AN37" i="27" a="1"/>
  <c r="AN37" i="27" s="1"/>
  <c r="AN42" i="27" a="1"/>
  <c r="AN42" i="27" s="1"/>
  <c r="AN23" i="27" a="1"/>
  <c r="AN23" i="27" s="1"/>
  <c r="AN32" i="27" a="1"/>
  <c r="AN32" i="27" s="1"/>
  <c r="AN44" i="27" a="1"/>
  <c r="AN44" i="27" s="1"/>
  <c r="AN49" i="27" a="1"/>
  <c r="AN49" i="27" s="1"/>
  <c r="AN52" i="27" a="1"/>
  <c r="AN52" i="27" s="1"/>
  <c r="AN57" i="27" a="1"/>
  <c r="AN57" i="27" s="1"/>
  <c r="AN60" i="27" a="1"/>
  <c r="AN60" i="27" s="1"/>
  <c r="AN63" i="27" a="1"/>
  <c r="AN63" i="27" s="1"/>
  <c r="AN70" i="27" a="1"/>
  <c r="AN70" i="27" s="1"/>
  <c r="AN72" i="27" a="1"/>
  <c r="AN72" i="27" s="1"/>
  <c r="AN74" i="27" a="1"/>
  <c r="AN74" i="27" s="1"/>
  <c r="AN81" i="27" a="1"/>
  <c r="AN81" i="27" s="1"/>
  <c r="AN83" i="27" a="1"/>
  <c r="AN83" i="27" s="1"/>
  <c r="AN92" i="27" a="1"/>
  <c r="AN92" i="27" s="1"/>
  <c r="AN94" i="27" a="1"/>
  <c r="AN94" i="27" s="1"/>
  <c r="AN54" i="27" a="1"/>
  <c r="AN54" i="27" s="1"/>
  <c r="AN13" i="27" a="1"/>
  <c r="AN13" i="27" s="1"/>
  <c r="AN18" i="27" a="1"/>
  <c r="AN18" i="27" s="1"/>
  <c r="AN46" i="27" a="1"/>
  <c r="AN46" i="27" s="1"/>
  <c r="AN65" i="27" a="1"/>
  <c r="AN65" i="27" s="1"/>
  <c r="AN67" i="27" a="1"/>
  <c r="AN67" i="27" s="1"/>
  <c r="AN76" i="27" a="1"/>
  <c r="AN76" i="27" s="1"/>
  <c r="AN78" i="27" a="1"/>
  <c r="AN78" i="27" s="1"/>
  <c r="AN87" i="27" a="1"/>
  <c r="AN87" i="27" s="1"/>
  <c r="AN89" i="27" a="1"/>
  <c r="AN89" i="27" s="1"/>
  <c r="AN47" i="27" a="1"/>
  <c r="AN47" i="27" s="1"/>
  <c r="AN48" i="27" a="1"/>
  <c r="AN48" i="27" s="1"/>
  <c r="AN51" i="27" a="1"/>
  <c r="AN51" i="27" s="1"/>
  <c r="AN56" i="27" a="1"/>
  <c r="AN56" i="27" s="1"/>
  <c r="AN59" i="27" a="1"/>
  <c r="AN59" i="27" s="1"/>
  <c r="AN69" i="27" a="1"/>
  <c r="AN69" i="27" s="1"/>
  <c r="AN80" i="27" a="1"/>
  <c r="AN80" i="27" s="1"/>
  <c r="AN34" i="27" a="1"/>
  <c r="AN34" i="27" s="1"/>
  <c r="AN39" i="27" a="1"/>
  <c r="AN39" i="27" s="1"/>
  <c r="AN62" i="27" a="1"/>
  <c r="AN62" i="27" s="1"/>
  <c r="AN71" i="27" a="1"/>
  <c r="AN71" i="27" s="1"/>
  <c r="AN73" i="27" a="1"/>
  <c r="AN73" i="27" s="1"/>
  <c r="AN25" i="27" a="1"/>
  <c r="AN25" i="27" s="1"/>
  <c r="AN53" i="27" a="1"/>
  <c r="AN53" i="27" s="1"/>
  <c r="AN58" i="27" a="1"/>
  <c r="AN58" i="27" s="1"/>
  <c r="AN61" i="27" a="1"/>
  <c r="AN61" i="27" s="1"/>
  <c r="AN64" i="27" a="1"/>
  <c r="AN64" i="27" s="1"/>
  <c r="AN66" i="27" a="1"/>
  <c r="AN66" i="27" s="1"/>
  <c r="AN68" i="27" a="1"/>
  <c r="AN68" i="27" s="1"/>
  <c r="AN75" i="27" a="1"/>
  <c r="AN75" i="27" s="1"/>
  <c r="AN77" i="27" a="1"/>
  <c r="AN77" i="27" s="1"/>
  <c r="AN79" i="27" a="1"/>
  <c r="AN79" i="27" s="1"/>
  <c r="AN86" i="27" a="1"/>
  <c r="AN86" i="27" s="1"/>
  <c r="AN88" i="27" a="1"/>
  <c r="AN88" i="27" s="1"/>
  <c r="AN90" i="27" a="1"/>
  <c r="AN90" i="27" s="1"/>
  <c r="AN114" i="27" a="1"/>
  <c r="AN114" i="27" s="1"/>
  <c r="AN82" i="27" a="1"/>
  <c r="AN82" i="27" s="1"/>
  <c r="AN97" i="27" a="1"/>
  <c r="AN97" i="27" s="1"/>
  <c r="AN99" i="27" a="1"/>
  <c r="AN99" i="27" s="1"/>
  <c r="AN108" i="27" a="1"/>
  <c r="AN108" i="27" s="1"/>
  <c r="AN110" i="27" a="1"/>
  <c r="AN110" i="27" s="1"/>
  <c r="AN113" i="27" a="1"/>
  <c r="AN113" i="27" s="1"/>
  <c r="AN123" i="27" a="1"/>
  <c r="AN123" i="27" s="1"/>
  <c r="AN101" i="27" a="1"/>
  <c r="AN101" i="27" s="1"/>
  <c r="AN119" i="27" a="1"/>
  <c r="AN119" i="27" s="1"/>
  <c r="AN133" i="27" a="1"/>
  <c r="AN133" i="27" s="1"/>
  <c r="AN91" i="27" a="1"/>
  <c r="AN91" i="27" s="1"/>
  <c r="AN103" i="27" a="1"/>
  <c r="AN103" i="27" s="1"/>
  <c r="AN105" i="27" a="1"/>
  <c r="AN105" i="27" s="1"/>
  <c r="AN112" i="27" a="1"/>
  <c r="AN112" i="27" s="1"/>
  <c r="AN118" i="27" a="1"/>
  <c r="AN118" i="27" s="1"/>
  <c r="AN122" i="27" a="1"/>
  <c r="AN122" i="27" s="1"/>
  <c r="AN96" i="27" a="1"/>
  <c r="AN96" i="27" s="1"/>
  <c r="AN85" i="27" a="1"/>
  <c r="AN85" i="27" s="1"/>
  <c r="AN98" i="27" a="1"/>
  <c r="AN98" i="27" s="1"/>
  <c r="AN100" i="27" a="1"/>
  <c r="AN100" i="27" s="1"/>
  <c r="AN107" i="27" a="1"/>
  <c r="AN107" i="27" s="1"/>
  <c r="AN109" i="27" a="1"/>
  <c r="AN109" i="27" s="1"/>
  <c r="AN111" i="27" a="1"/>
  <c r="AN111" i="27" s="1"/>
  <c r="AN117" i="27" a="1"/>
  <c r="AN117" i="27" s="1"/>
  <c r="AN31" i="27" a="1"/>
  <c r="AN31" i="27" s="1"/>
  <c r="AN50" i="27" a="1"/>
  <c r="AN50" i="27" s="1"/>
  <c r="AN55" i="27" a="1"/>
  <c r="AN55" i="27" s="1"/>
  <c r="AN116" i="27" a="1"/>
  <c r="AN116" i="27" s="1"/>
  <c r="AN120" i="27" a="1"/>
  <c r="AN120" i="27" s="1"/>
  <c r="AN124" i="27" a="1"/>
  <c r="AN124" i="27" s="1"/>
  <c r="AN131" i="27" a="1"/>
  <c r="AN131" i="27" s="1"/>
  <c r="AN93" i="27" a="1"/>
  <c r="AN93" i="27" s="1"/>
  <c r="AN104" i="27" a="1"/>
  <c r="AN104" i="27" s="1"/>
  <c r="AN129" i="27" a="1"/>
  <c r="AN129" i="27" s="1"/>
  <c r="AN132" i="27" a="1"/>
  <c r="AN132" i="27" s="1"/>
  <c r="AN136" i="27" a="1"/>
  <c r="AN136" i="27" s="1"/>
  <c r="AN139" i="27" a="1"/>
  <c r="AN139" i="27" s="1"/>
  <c r="AN84" i="27" a="1"/>
  <c r="AN84" i="27" s="1"/>
  <c r="AN95" i="27" a="1"/>
  <c r="AN95" i="27" s="1"/>
  <c r="AN115" i="27" a="1"/>
  <c r="AN115" i="27" s="1"/>
  <c r="AN126" i="27" a="1"/>
  <c r="AN126" i="27" s="1"/>
  <c r="AN140" i="27" a="1"/>
  <c r="AN140" i="27" s="1"/>
  <c r="AN135" i="27" a="1"/>
  <c r="AN135" i="27" s="1"/>
  <c r="AN106" i="27" a="1"/>
  <c r="AN106" i="27" s="1"/>
  <c r="AN121" i="27" a="1"/>
  <c r="AN121" i="27" s="1"/>
  <c r="AN130" i="27" a="1"/>
  <c r="AN130" i="27" s="1"/>
  <c r="AN127" i="27" a="1"/>
  <c r="AN127" i="27" s="1"/>
  <c r="AN102" i="27" a="1"/>
  <c r="AN102" i="27" s="1"/>
  <c r="AN137" i="27" a="1"/>
  <c r="AN137" i="27" s="1"/>
  <c r="AN6" i="27" a="1"/>
  <c r="AN6" i="27" s="1"/>
  <c r="AN128" i="27" a="1"/>
  <c r="AN128" i="27" s="1"/>
  <c r="AN134" i="27" a="1"/>
  <c r="AN134" i="27" s="1"/>
  <c r="AN138" i="27" a="1"/>
  <c r="AN138" i="27" s="1"/>
  <c r="AN125" i="27" a="1"/>
  <c r="AN125" i="27" s="1"/>
  <c r="BG4" i="27"/>
  <c r="BG133" i="27" s="1"/>
  <c r="AU10" i="27" a="1"/>
  <c r="AU10" i="27" s="1"/>
  <c r="AU15" i="27" a="1"/>
  <c r="AU15" i="27" s="1"/>
  <c r="AU22" i="27" a="1"/>
  <c r="AU22" i="27" s="1"/>
  <c r="AU27" i="27" a="1"/>
  <c r="AU27" i="27" s="1"/>
  <c r="AU36" i="27" a="1"/>
  <c r="AU36" i="27" s="1"/>
  <c r="AU41" i="27" a="1"/>
  <c r="AU41" i="27" s="1"/>
  <c r="AU17" i="27" a="1"/>
  <c r="AU17" i="27" s="1"/>
  <c r="AU30" i="27" a="1"/>
  <c r="AU30" i="27" s="1"/>
  <c r="AU38" i="27" a="1"/>
  <c r="AU38" i="27" s="1"/>
  <c r="AU43" i="27" a="1"/>
  <c r="AU43" i="27" s="1"/>
  <c r="AU12" i="27" a="1"/>
  <c r="AU12" i="27" s="1"/>
  <c r="AU14" i="27" a="1"/>
  <c r="AU14" i="27" s="1"/>
  <c r="AU24" i="27" a="1"/>
  <c r="AU24" i="27" s="1"/>
  <c r="AU29" i="27" a="1"/>
  <c r="AU29" i="27" s="1"/>
  <c r="AU33" i="27" a="1"/>
  <c r="AU33" i="27" s="1"/>
  <c r="AU40" i="27" a="1"/>
  <c r="AU40" i="27" s="1"/>
  <c r="AU7" i="27" a="1"/>
  <c r="AU7" i="27" s="1"/>
  <c r="AU9" i="27" a="1"/>
  <c r="AU9" i="27" s="1"/>
  <c r="AU19" i="27" a="1"/>
  <c r="AU19" i="27" s="1"/>
  <c r="AU35" i="27" a="1"/>
  <c r="AU35" i="27" s="1"/>
  <c r="AU11" i="27" a="1"/>
  <c r="AU11" i="27" s="1"/>
  <c r="AU16" i="27" a="1"/>
  <c r="AU16" i="27" s="1"/>
  <c r="AU21" i="27" a="1"/>
  <c r="AU21" i="27" s="1"/>
  <c r="AU26" i="27" a="1"/>
  <c r="AU26" i="27" s="1"/>
  <c r="AU37" i="27" a="1"/>
  <c r="AU37" i="27" s="1"/>
  <c r="AU42" i="27" a="1"/>
  <c r="AU42" i="27" s="1"/>
  <c r="AU47" i="27" a="1"/>
  <c r="AU47" i="27" s="1"/>
  <c r="AU23" i="27" a="1"/>
  <c r="AU23" i="27" s="1"/>
  <c r="AU28" i="27" a="1"/>
  <c r="AU28" i="27" s="1"/>
  <c r="AU32" i="27" a="1"/>
  <c r="AU32" i="27" s="1"/>
  <c r="AU13" i="27" a="1"/>
  <c r="AU13" i="27" s="1"/>
  <c r="AU18" i="27" a="1"/>
  <c r="AU18" i="27" s="1"/>
  <c r="AU34" i="27" a="1"/>
  <c r="AU34" i="27" s="1"/>
  <c r="AU39" i="27" a="1"/>
  <c r="AU39" i="27" s="1"/>
  <c r="AU44" i="27" a="1"/>
  <c r="AU44" i="27" s="1"/>
  <c r="AU31" i="27" a="1"/>
  <c r="AU31" i="27" s="1"/>
  <c r="AU45" i="27" a="1"/>
  <c r="AU45" i="27" s="1"/>
  <c r="AU52" i="27" a="1"/>
  <c r="AU52" i="27" s="1"/>
  <c r="AU57" i="27" a="1"/>
  <c r="AU57" i="27" s="1"/>
  <c r="AU63" i="27" a="1"/>
  <c r="AU63" i="27" s="1"/>
  <c r="AU74" i="27" a="1"/>
  <c r="AU74" i="27" s="1"/>
  <c r="AU54" i="27" a="1"/>
  <c r="AU54" i="27" s="1"/>
  <c r="AU65" i="27" a="1"/>
  <c r="AU65" i="27" s="1"/>
  <c r="AU67" i="27" a="1"/>
  <c r="AU67" i="27" s="1"/>
  <c r="AU76" i="27" a="1"/>
  <c r="AU76" i="27" s="1"/>
  <c r="AU78" i="27" a="1"/>
  <c r="AU78" i="27" s="1"/>
  <c r="AU49" i="27" a="1"/>
  <c r="AU49" i="27" s="1"/>
  <c r="AU56" i="27" a="1"/>
  <c r="AU56" i="27" s="1"/>
  <c r="AU8" i="27" a="1"/>
  <c r="AU8" i="27" s="1"/>
  <c r="AU51" i="27" a="1"/>
  <c r="AU51" i="27" s="1"/>
  <c r="AU59" i="27" a="1"/>
  <c r="AU59" i="27" s="1"/>
  <c r="AU62" i="27" a="1"/>
  <c r="AU62" i="27" s="1"/>
  <c r="AU69" i="27" a="1"/>
  <c r="AU69" i="27" s="1"/>
  <c r="AU71" i="27" a="1"/>
  <c r="AU71" i="27" s="1"/>
  <c r="AU73" i="27" a="1"/>
  <c r="AU73" i="27" s="1"/>
  <c r="AU80" i="27" a="1"/>
  <c r="AU80" i="27" s="1"/>
  <c r="AU82" i="27" a="1"/>
  <c r="AU82" i="27" s="1"/>
  <c r="AU53" i="27" a="1"/>
  <c r="AU53" i="27" s="1"/>
  <c r="AU58" i="27" a="1"/>
  <c r="AU58" i="27" s="1"/>
  <c r="AU64" i="27" a="1"/>
  <c r="AU64" i="27" s="1"/>
  <c r="AU66" i="27" a="1"/>
  <c r="AU66" i="27" s="1"/>
  <c r="AU68" i="27" a="1"/>
  <c r="AU68" i="27" s="1"/>
  <c r="AU75" i="27" a="1"/>
  <c r="AU75" i="27" s="1"/>
  <c r="AU77" i="27" a="1"/>
  <c r="AU77" i="27" s="1"/>
  <c r="AU86" i="27" a="1"/>
  <c r="AU86" i="27" s="1"/>
  <c r="AU88" i="27" a="1"/>
  <c r="AU88" i="27" s="1"/>
  <c r="AU20" i="27" a="1"/>
  <c r="AU20" i="27" s="1"/>
  <c r="AU25" i="27" a="1"/>
  <c r="AU25" i="27" s="1"/>
  <c r="AU50" i="27" a="1"/>
  <c r="AU50" i="27" s="1"/>
  <c r="AU55" i="27" a="1"/>
  <c r="AU55" i="27" s="1"/>
  <c r="AU79" i="27" a="1"/>
  <c r="AU79" i="27" s="1"/>
  <c r="AU90" i="27" a="1"/>
  <c r="AU90" i="27" s="1"/>
  <c r="AU81" i="27" a="1"/>
  <c r="AU81" i="27" s="1"/>
  <c r="AU97" i="27" a="1"/>
  <c r="AU97" i="27" s="1"/>
  <c r="AU99" i="27" a="1"/>
  <c r="AU99" i="27" s="1"/>
  <c r="AU108" i="27" a="1"/>
  <c r="AU108" i="27" s="1"/>
  <c r="AU110" i="27" a="1"/>
  <c r="AU110" i="27" s="1"/>
  <c r="AU115" i="27" a="1"/>
  <c r="AU115" i="27" s="1"/>
  <c r="AU123" i="27" a="1"/>
  <c r="AU123" i="27" s="1"/>
  <c r="AU61" i="27" a="1"/>
  <c r="AU61" i="27" s="1"/>
  <c r="AU85" i="27" a="1"/>
  <c r="AU85" i="27" s="1"/>
  <c r="AU89" i="27" a="1"/>
  <c r="AU89" i="27" s="1"/>
  <c r="AU114" i="27" a="1"/>
  <c r="AU114" i="27" s="1"/>
  <c r="AU119" i="27" a="1"/>
  <c r="AU119" i="27" s="1"/>
  <c r="AU46" i="27" a="1"/>
  <c r="AU46" i="27" s="1"/>
  <c r="AU72" i="27" a="1"/>
  <c r="AU72" i="27" s="1"/>
  <c r="AU84" i="27" a="1"/>
  <c r="AU84" i="27" s="1"/>
  <c r="AU93" i="27" a="1"/>
  <c r="AU93" i="27" s="1"/>
  <c r="AU94" i="27" a="1"/>
  <c r="AU94" i="27" s="1"/>
  <c r="AU101" i="27" a="1"/>
  <c r="AU101" i="27" s="1"/>
  <c r="AU103" i="27" a="1"/>
  <c r="AU103" i="27" s="1"/>
  <c r="AU105" i="27" a="1"/>
  <c r="AU105" i="27" s="1"/>
  <c r="AU113" i="27" a="1"/>
  <c r="AU113" i="27" s="1"/>
  <c r="AU129" i="27" a="1"/>
  <c r="AU129" i="27" s="1"/>
  <c r="AU112" i="27" a="1"/>
  <c r="AU112" i="27" s="1"/>
  <c r="AU118" i="27" a="1"/>
  <c r="AU118" i="27" s="1"/>
  <c r="AU122" i="27" a="1"/>
  <c r="AU122" i="27" s="1"/>
  <c r="AU48" i="27" a="1"/>
  <c r="AU48" i="27" s="1"/>
  <c r="AU92" i="27" a="1"/>
  <c r="AU92" i="27" s="1"/>
  <c r="AU96" i="27" a="1"/>
  <c r="AU96" i="27" s="1"/>
  <c r="AU98" i="27" a="1"/>
  <c r="AU98" i="27" s="1"/>
  <c r="AU100" i="27" a="1"/>
  <c r="AU100" i="27" s="1"/>
  <c r="AU107" i="27" a="1"/>
  <c r="AU107" i="27" s="1"/>
  <c r="AU109" i="27" a="1"/>
  <c r="AU109" i="27" s="1"/>
  <c r="AU87" i="27" a="1"/>
  <c r="AU87" i="27" s="1"/>
  <c r="AU121" i="27" a="1"/>
  <c r="AU121" i="27" s="1"/>
  <c r="AU83" i="27" a="1"/>
  <c r="AU83" i="27" s="1"/>
  <c r="AU91" i="27" a="1"/>
  <c r="AU91" i="27" s="1"/>
  <c r="AU102" i="27" a="1"/>
  <c r="AU102" i="27" s="1"/>
  <c r="AU104" i="27" a="1"/>
  <c r="AU104" i="27" s="1"/>
  <c r="AU111" i="27" a="1"/>
  <c r="AU111" i="27" s="1"/>
  <c r="AU117" i="27" a="1"/>
  <c r="AU117" i="27" s="1"/>
  <c r="AU120" i="27" a="1"/>
  <c r="AU120" i="27" s="1"/>
  <c r="AU124" i="27" a="1"/>
  <c r="AU124" i="27" s="1"/>
  <c r="AU127" i="27" a="1"/>
  <c r="AU127" i="27" s="1"/>
  <c r="AU131" i="27" a="1"/>
  <c r="AU131" i="27" s="1"/>
  <c r="AU126" i="27" a="1"/>
  <c r="AU126" i="27" s="1"/>
  <c r="AU137" i="27" a="1"/>
  <c r="AU137" i="27" s="1"/>
  <c r="AU130" i="27" a="1"/>
  <c r="AU130" i="27" s="1"/>
  <c r="AU133" i="27" a="1"/>
  <c r="AU133" i="27" s="1"/>
  <c r="AU136" i="27" a="1"/>
  <c r="AU136" i="27" s="1"/>
  <c r="AU140" i="27" a="1"/>
  <c r="AU140" i="27" s="1"/>
  <c r="AU60" i="27" a="1"/>
  <c r="AU60" i="27" s="1"/>
  <c r="AU95" i="27" a="1"/>
  <c r="AU95" i="27" s="1"/>
  <c r="AU135" i="27" a="1"/>
  <c r="AU135" i="27" s="1"/>
  <c r="AU139" i="27" a="1"/>
  <c r="AU139" i="27" s="1"/>
  <c r="AU6" i="27" a="1"/>
  <c r="AU6" i="27" s="1"/>
  <c r="AU106" i="27" a="1"/>
  <c r="AU106" i="27" s="1"/>
  <c r="AU128" i="27" a="1"/>
  <c r="AU128" i="27" s="1"/>
  <c r="AU70" i="27" a="1"/>
  <c r="AU70" i="27" s="1"/>
  <c r="AU116" i="27" a="1"/>
  <c r="AU116" i="27" s="1"/>
  <c r="AU134" i="27" a="1"/>
  <c r="AU134" i="27" s="1"/>
  <c r="AU132" i="27" a="1"/>
  <c r="AU132" i="27" s="1"/>
  <c r="AU125" i="27" a="1"/>
  <c r="AU125" i="27" s="1"/>
  <c r="AU138" i="27" a="1"/>
  <c r="AU138" i="27" s="1"/>
  <c r="BF4" i="27"/>
  <c r="BF133" i="27" s="1"/>
  <c r="AT17" i="27" a="1"/>
  <c r="AT17" i="27" s="1"/>
  <c r="AT30" i="27" a="1"/>
  <c r="AT30" i="27" s="1"/>
  <c r="AT38" i="27" a="1"/>
  <c r="AT38" i="27" s="1"/>
  <c r="AT12" i="27" a="1"/>
  <c r="AT12" i="27" s="1"/>
  <c r="AT14" i="27" a="1"/>
  <c r="AT14" i="27" s="1"/>
  <c r="AT24" i="27" a="1"/>
  <c r="AT24" i="27" s="1"/>
  <c r="AT29" i="27" a="1"/>
  <c r="AT29" i="27" s="1"/>
  <c r="AT33" i="27" a="1"/>
  <c r="AT33" i="27" s="1"/>
  <c r="AT35" i="27" a="1"/>
  <c r="AT35" i="27" s="1"/>
  <c r="AT40" i="27" a="1"/>
  <c r="AT40" i="27" s="1"/>
  <c r="AT7" i="27" a="1"/>
  <c r="AT7" i="27" s="1"/>
  <c r="AT9" i="27" a="1"/>
  <c r="AT9" i="27" s="1"/>
  <c r="AT19" i="27" a="1"/>
  <c r="AT19" i="27" s="1"/>
  <c r="AT11" i="27" a="1"/>
  <c r="AT11" i="27" s="1"/>
  <c r="AT16" i="27" a="1"/>
  <c r="AT16" i="27" s="1"/>
  <c r="AT21" i="27" a="1"/>
  <c r="AT21" i="27" s="1"/>
  <c r="AT26" i="27" a="1"/>
  <c r="AT26" i="27" s="1"/>
  <c r="AT37" i="27" a="1"/>
  <c r="AT37" i="27" s="1"/>
  <c r="AT42" i="27" a="1"/>
  <c r="AT42" i="27" s="1"/>
  <c r="AT47" i="27" a="1"/>
  <c r="AT47" i="27" s="1"/>
  <c r="AT23" i="27" a="1"/>
  <c r="AT23" i="27" s="1"/>
  <c r="AT28" i="27" a="1"/>
  <c r="AT28" i="27" s="1"/>
  <c r="AT32" i="27" a="1"/>
  <c r="AT32" i="27" s="1"/>
  <c r="AT13" i="27" a="1"/>
  <c r="AT13" i="27" s="1"/>
  <c r="AT18" i="27" a="1"/>
  <c r="AT18" i="27" s="1"/>
  <c r="AT31" i="27" a="1"/>
  <c r="AT31" i="27" s="1"/>
  <c r="AT34" i="27" a="1"/>
  <c r="AT34" i="27" s="1"/>
  <c r="AT39" i="27" a="1"/>
  <c r="AT39" i="27" s="1"/>
  <c r="AT44" i="27" a="1"/>
  <c r="AT44" i="27" s="1"/>
  <c r="AT8" i="27" a="1"/>
  <c r="AT8" i="27" s="1"/>
  <c r="AT20" i="27" a="1"/>
  <c r="AT20" i="27" s="1"/>
  <c r="AT25" i="27" a="1"/>
  <c r="AT25" i="27" s="1"/>
  <c r="AT46" i="27" a="1"/>
  <c r="AT46" i="27" s="1"/>
  <c r="AT36" i="27" a="1"/>
  <c r="AT36" i="27" s="1"/>
  <c r="AT41" i="27" a="1"/>
  <c r="AT41" i="27" s="1"/>
  <c r="AT54" i="27" a="1"/>
  <c r="AT54" i="27" s="1"/>
  <c r="AT65" i="27" a="1"/>
  <c r="AT65" i="27" s="1"/>
  <c r="AT67" i="27" a="1"/>
  <c r="AT67" i="27" s="1"/>
  <c r="AT76" i="27" a="1"/>
  <c r="AT76" i="27" s="1"/>
  <c r="AT78" i="27" a="1"/>
  <c r="AT78" i="27" s="1"/>
  <c r="AT85" i="27" a="1"/>
  <c r="AT85" i="27" s="1"/>
  <c r="AT87" i="27" a="1"/>
  <c r="AT87" i="27" s="1"/>
  <c r="AT89" i="27" a="1"/>
  <c r="AT89" i="27" s="1"/>
  <c r="AT22" i="27" a="1"/>
  <c r="AT22" i="27" s="1"/>
  <c r="AT27" i="27" a="1"/>
  <c r="AT27" i="27" s="1"/>
  <c r="AT49" i="27" a="1"/>
  <c r="AT49" i="27" s="1"/>
  <c r="AT51" i="27" a="1"/>
  <c r="AT51" i="27" s="1"/>
  <c r="AT56" i="27" a="1"/>
  <c r="AT56" i="27" s="1"/>
  <c r="AT59" i="27" a="1"/>
  <c r="AT59" i="27" s="1"/>
  <c r="AT62" i="27" a="1"/>
  <c r="AT62" i="27" s="1"/>
  <c r="AT69" i="27" a="1"/>
  <c r="AT69" i="27" s="1"/>
  <c r="AT71" i="27" a="1"/>
  <c r="AT71" i="27" s="1"/>
  <c r="AT73" i="27" a="1"/>
  <c r="AT73" i="27" s="1"/>
  <c r="AT80" i="27" a="1"/>
  <c r="AT80" i="27" s="1"/>
  <c r="AT82" i="27" a="1"/>
  <c r="AT82" i="27" s="1"/>
  <c r="AT84" i="27" a="1"/>
  <c r="AT84" i="27" s="1"/>
  <c r="AT91" i="27" a="1"/>
  <c r="AT91" i="27" s="1"/>
  <c r="AT93" i="27" a="1"/>
  <c r="AT93" i="27" s="1"/>
  <c r="AT43" i="27" a="1"/>
  <c r="AT43" i="27" s="1"/>
  <c r="AT53" i="27" a="1"/>
  <c r="AT53" i="27" s="1"/>
  <c r="AT58" i="27" a="1"/>
  <c r="AT58" i="27" s="1"/>
  <c r="AT64" i="27" a="1"/>
  <c r="AT64" i="27" s="1"/>
  <c r="AT66" i="27" a="1"/>
  <c r="AT66" i="27" s="1"/>
  <c r="AT68" i="27" a="1"/>
  <c r="AT68" i="27" s="1"/>
  <c r="AT75" i="27" a="1"/>
  <c r="AT75" i="27" s="1"/>
  <c r="AT50" i="27" a="1"/>
  <c r="AT50" i="27" s="1"/>
  <c r="AT55" i="27" a="1"/>
  <c r="AT55" i="27" s="1"/>
  <c r="AT61" i="27" a="1"/>
  <c r="AT61" i="27" s="1"/>
  <c r="AT79" i="27" a="1"/>
  <c r="AT79" i="27" s="1"/>
  <c r="AT90" i="27" a="1"/>
  <c r="AT90" i="27" s="1"/>
  <c r="AT10" i="27" a="1"/>
  <c r="AT10" i="27" s="1"/>
  <c r="AT15" i="27" a="1"/>
  <c r="AT15" i="27" s="1"/>
  <c r="AT48" i="27" a="1"/>
  <c r="AT48" i="27" s="1"/>
  <c r="AT60" i="27" a="1"/>
  <c r="AT60" i="27" s="1"/>
  <c r="AT70" i="27" a="1"/>
  <c r="AT70" i="27" s="1"/>
  <c r="AT72" i="27" a="1"/>
  <c r="AT72" i="27" s="1"/>
  <c r="AT81" i="27" a="1"/>
  <c r="AT81" i="27" s="1"/>
  <c r="AT83" i="27" a="1"/>
  <c r="AT83" i="27" s="1"/>
  <c r="AT92" i="27" a="1"/>
  <c r="AT92" i="27" s="1"/>
  <c r="AT119" i="27" a="1"/>
  <c r="AT119" i="27" s="1"/>
  <c r="AT45" i="27" a="1"/>
  <c r="AT45" i="27" s="1"/>
  <c r="AT94" i="27" a="1"/>
  <c r="AT94" i="27" s="1"/>
  <c r="AT101" i="27" a="1"/>
  <c r="AT101" i="27" s="1"/>
  <c r="AT103" i="27" a="1"/>
  <c r="AT103" i="27" s="1"/>
  <c r="AT105" i="27" a="1"/>
  <c r="AT105" i="27" s="1"/>
  <c r="AT113" i="27" a="1"/>
  <c r="AT113" i="27" s="1"/>
  <c r="AT52" i="27" a="1"/>
  <c r="AT52" i="27" s="1"/>
  <c r="AT57" i="27" a="1"/>
  <c r="AT57" i="27" s="1"/>
  <c r="AT112" i="27" a="1"/>
  <c r="AT112" i="27" s="1"/>
  <c r="AT118" i="27" a="1"/>
  <c r="AT118" i="27" s="1"/>
  <c r="AT122" i="27" a="1"/>
  <c r="AT122" i="27" s="1"/>
  <c r="AT133" i="27" a="1"/>
  <c r="AT133" i="27" s="1"/>
  <c r="AT77" i="27" a="1"/>
  <c r="AT77" i="27" s="1"/>
  <c r="AT88" i="27" a="1"/>
  <c r="AT88" i="27" s="1"/>
  <c r="AT96" i="27" a="1"/>
  <c r="AT96" i="27" s="1"/>
  <c r="AT98" i="27" a="1"/>
  <c r="AT98" i="27" s="1"/>
  <c r="AT100" i="27" a="1"/>
  <c r="AT100" i="27" s="1"/>
  <c r="AT107" i="27" a="1"/>
  <c r="AT107" i="27" s="1"/>
  <c r="AT109" i="27" a="1"/>
  <c r="AT109" i="27" s="1"/>
  <c r="AT63" i="27" a="1"/>
  <c r="AT63" i="27" s="1"/>
  <c r="AT74" i="27" a="1"/>
  <c r="AT74" i="27" s="1"/>
  <c r="AT102" i="27" a="1"/>
  <c r="AT102" i="27" s="1"/>
  <c r="AT104" i="27" a="1"/>
  <c r="AT104" i="27" s="1"/>
  <c r="AT111" i="27" a="1"/>
  <c r="AT111" i="27" s="1"/>
  <c r="AT116" i="27" a="1"/>
  <c r="AT116" i="27" s="1"/>
  <c r="AT117" i="27" a="1"/>
  <c r="AT117" i="27" s="1"/>
  <c r="AT120" i="27" a="1"/>
  <c r="AT120" i="27" s="1"/>
  <c r="AT95" i="27" a="1"/>
  <c r="AT95" i="27" s="1"/>
  <c r="AT106" i="27" a="1"/>
  <c r="AT106" i="27" s="1"/>
  <c r="AT130" i="27" a="1"/>
  <c r="AT130" i="27" s="1"/>
  <c r="AT127" i="27" a="1"/>
  <c r="AT127" i="27" s="1"/>
  <c r="AT99" i="27" a="1"/>
  <c r="AT99" i="27" s="1"/>
  <c r="AT114" i="27" a="1"/>
  <c r="AT114" i="27" s="1"/>
  <c r="AT136" i="27" a="1"/>
  <c r="AT136" i="27" s="1"/>
  <c r="AT110" i="27" a="1"/>
  <c r="AT110" i="27" s="1"/>
  <c r="AT135" i="27" a="1"/>
  <c r="AT135" i="27" s="1"/>
  <c r="AT140" i="27" a="1"/>
  <c r="AT140" i="27" s="1"/>
  <c r="AT131" i="27" a="1"/>
  <c r="AT131" i="27" s="1"/>
  <c r="AT139" i="27" a="1"/>
  <c r="AT139" i="27" s="1"/>
  <c r="AT86" i="27" a="1"/>
  <c r="AT86" i="27" s="1"/>
  <c r="AT115" i="27" a="1"/>
  <c r="AT115" i="27" s="1"/>
  <c r="AT128" i="27" a="1"/>
  <c r="AT128" i="27" s="1"/>
  <c r="AT137" i="27" a="1"/>
  <c r="AT137" i="27" s="1"/>
  <c r="AT123" i="27" a="1"/>
  <c r="AT123" i="27" s="1"/>
  <c r="AT124" i="27" a="1"/>
  <c r="AT124" i="27" s="1"/>
  <c r="AT134" i="27" a="1"/>
  <c r="AT134" i="27" s="1"/>
  <c r="AT121" i="27" a="1"/>
  <c r="AT121" i="27" s="1"/>
  <c r="AT125" i="27" a="1"/>
  <c r="AT125" i="27" s="1"/>
  <c r="AT138" i="27" a="1"/>
  <c r="AT138" i="27" s="1"/>
  <c r="AT108" i="27" a="1"/>
  <c r="AT108" i="27" s="1"/>
  <c r="AT97" i="27" a="1"/>
  <c r="AT97" i="27" s="1"/>
  <c r="AT129" i="27" a="1"/>
  <c r="AT129" i="27" s="1"/>
  <c r="AT132" i="27" a="1"/>
  <c r="AT132" i="27" s="1"/>
  <c r="AT6" i="27" a="1"/>
  <c r="AT6" i="27" s="1"/>
  <c r="AT126" i="27" a="1"/>
  <c r="AT126" i="27" s="1"/>
  <c r="BC4" i="27"/>
  <c r="BC133" i="27" s="1"/>
  <c r="AQ11" i="27" a="1"/>
  <c r="AQ11" i="27" s="1"/>
  <c r="AQ16" i="27" a="1"/>
  <c r="AQ16" i="27" s="1"/>
  <c r="AQ21" i="27" a="1"/>
  <c r="AQ21" i="27" s="1"/>
  <c r="AQ37" i="27" a="1"/>
  <c r="AQ37" i="27" s="1"/>
  <c r="AQ42" i="27" a="1"/>
  <c r="AQ42" i="27" s="1"/>
  <c r="AQ23" i="27" a="1"/>
  <c r="AQ23" i="27" s="1"/>
  <c r="AQ28" i="27" a="1"/>
  <c r="AQ28" i="27" s="1"/>
  <c r="AQ32" i="27" a="1"/>
  <c r="AQ32" i="27" s="1"/>
  <c r="AQ13" i="27" a="1"/>
  <c r="AQ13" i="27" s="1"/>
  <c r="AQ18" i="27" a="1"/>
  <c r="AQ18" i="27" s="1"/>
  <c r="AQ25" i="27" a="1"/>
  <c r="AQ25" i="27" s="1"/>
  <c r="AQ31" i="27" a="1"/>
  <c r="AQ31" i="27" s="1"/>
  <c r="AQ34" i="27" a="1"/>
  <c r="AQ34" i="27" s="1"/>
  <c r="AQ39" i="27" a="1"/>
  <c r="AQ39" i="27" s="1"/>
  <c r="AQ44" i="27" a="1"/>
  <c r="AQ44" i="27" s="1"/>
  <c r="AQ8" i="27" a="1"/>
  <c r="AQ8" i="27" s="1"/>
  <c r="AQ20" i="27" a="1"/>
  <c r="AQ20" i="27" s="1"/>
  <c r="AQ41" i="27" a="1"/>
  <c r="AQ41" i="27" s="1"/>
  <c r="AQ46" i="27" a="1"/>
  <c r="AQ46" i="27" s="1"/>
  <c r="AQ10" i="27" a="1"/>
  <c r="AQ10" i="27" s="1"/>
  <c r="AQ15" i="27" a="1"/>
  <c r="AQ15" i="27" s="1"/>
  <c r="AQ17" i="27" a="1"/>
  <c r="AQ17" i="27" s="1"/>
  <c r="AQ22" i="27" a="1"/>
  <c r="AQ22" i="27" s="1"/>
  <c r="AQ27" i="27" a="1"/>
  <c r="AQ27" i="27" s="1"/>
  <c r="AQ30" i="27" a="1"/>
  <c r="AQ30" i="27" s="1"/>
  <c r="AQ36" i="27" a="1"/>
  <c r="AQ36" i="27" s="1"/>
  <c r="AQ43" i="27" a="1"/>
  <c r="AQ43" i="27" s="1"/>
  <c r="AQ48" i="27" a="1"/>
  <c r="AQ48" i="27" s="1"/>
  <c r="AQ12" i="27" a="1"/>
  <c r="AQ12" i="27" s="1"/>
  <c r="AQ33" i="27" a="1"/>
  <c r="AQ33" i="27" s="1"/>
  <c r="AQ38" i="27" a="1"/>
  <c r="AQ38" i="27" s="1"/>
  <c r="AQ14" i="27" a="1"/>
  <c r="AQ14" i="27" s="1"/>
  <c r="AQ24" i="27" a="1"/>
  <c r="AQ24" i="27" s="1"/>
  <c r="AQ29" i="27" a="1"/>
  <c r="AQ29" i="27" s="1"/>
  <c r="AQ35" i="27" a="1"/>
  <c r="AQ35" i="27" s="1"/>
  <c r="AQ40" i="27" a="1"/>
  <c r="AQ40" i="27" s="1"/>
  <c r="AQ45" i="27" a="1"/>
  <c r="AQ45" i="27" s="1"/>
  <c r="AQ53" i="27" a="1"/>
  <c r="AQ53" i="27" s="1"/>
  <c r="AQ58" i="27" a="1"/>
  <c r="AQ58" i="27" s="1"/>
  <c r="AQ7" i="27" a="1"/>
  <c r="AQ7" i="27" s="1"/>
  <c r="AQ61" i="27" a="1"/>
  <c r="AQ61" i="27" s="1"/>
  <c r="AQ64" i="27" a="1"/>
  <c r="AQ64" i="27" s="1"/>
  <c r="AQ66" i="27" a="1"/>
  <c r="AQ66" i="27" s="1"/>
  <c r="AQ68" i="27" a="1"/>
  <c r="AQ68" i="27" s="1"/>
  <c r="AQ75" i="27" a="1"/>
  <c r="AQ75" i="27" s="1"/>
  <c r="AQ77" i="27" a="1"/>
  <c r="AQ77" i="27" s="1"/>
  <c r="AQ79" i="27" a="1"/>
  <c r="AQ79" i="27" s="1"/>
  <c r="AQ50" i="27" a="1"/>
  <c r="AQ50" i="27" s="1"/>
  <c r="AQ55" i="27" a="1"/>
  <c r="AQ55" i="27" s="1"/>
  <c r="AQ90" i="27" a="1"/>
  <c r="AQ90" i="27" s="1"/>
  <c r="AQ57" i="27" a="1"/>
  <c r="AQ57" i="27" s="1"/>
  <c r="AQ60" i="27" a="1"/>
  <c r="AQ60" i="27" s="1"/>
  <c r="AQ63" i="27" a="1"/>
  <c r="AQ63" i="27" s="1"/>
  <c r="AQ70" i="27" a="1"/>
  <c r="AQ70" i="27" s="1"/>
  <c r="AQ72" i="27" a="1"/>
  <c r="AQ72" i="27" s="1"/>
  <c r="AQ81" i="27" a="1"/>
  <c r="AQ81" i="27" s="1"/>
  <c r="AQ83" i="27" a="1"/>
  <c r="AQ83" i="27" s="1"/>
  <c r="AQ9" i="27" a="1"/>
  <c r="AQ9" i="27" s="1"/>
  <c r="AQ19" i="27" a="1"/>
  <c r="AQ19" i="27" s="1"/>
  <c r="AQ52" i="27" a="1"/>
  <c r="AQ52" i="27" s="1"/>
  <c r="AQ74" i="27" a="1"/>
  <c r="AQ74" i="27" s="1"/>
  <c r="AQ47" i="27" a="1"/>
  <c r="AQ47" i="27" s="1"/>
  <c r="AQ49" i="27" a="1"/>
  <c r="AQ49" i="27" s="1"/>
  <c r="AQ54" i="27" a="1"/>
  <c r="AQ54" i="27" s="1"/>
  <c r="AQ65" i="27" a="1"/>
  <c r="AQ65" i="27" s="1"/>
  <c r="AQ67" i="27" a="1"/>
  <c r="AQ67" i="27" s="1"/>
  <c r="AQ76" i="27" a="1"/>
  <c r="AQ76" i="27" s="1"/>
  <c r="AQ78" i="27" a="1"/>
  <c r="AQ78" i="27" s="1"/>
  <c r="AQ87" i="27" a="1"/>
  <c r="AQ87" i="27" s="1"/>
  <c r="AQ89" i="27" a="1"/>
  <c r="AQ89" i="27" s="1"/>
  <c r="AQ51" i="27" a="1"/>
  <c r="AQ51" i="27" s="1"/>
  <c r="AQ56" i="27" a="1"/>
  <c r="AQ56" i="27" s="1"/>
  <c r="AQ59" i="27" a="1"/>
  <c r="AQ59" i="27" s="1"/>
  <c r="AQ69" i="27" a="1"/>
  <c r="AQ69" i="27" s="1"/>
  <c r="AQ71" i="27" a="1"/>
  <c r="AQ71" i="27" s="1"/>
  <c r="AQ84" i="27" a="1"/>
  <c r="AQ84" i="27" s="1"/>
  <c r="AQ93" i="27" a="1"/>
  <c r="AQ93" i="27" s="1"/>
  <c r="AQ96" i="27" a="1"/>
  <c r="AQ96" i="27" s="1"/>
  <c r="AQ98" i="27" a="1"/>
  <c r="AQ98" i="27" s="1"/>
  <c r="AQ100" i="27" a="1"/>
  <c r="AQ100" i="27" s="1"/>
  <c r="AQ107" i="27" a="1"/>
  <c r="AQ107" i="27" s="1"/>
  <c r="AQ109" i="27" a="1"/>
  <c r="AQ109" i="27" s="1"/>
  <c r="AQ121" i="27" a="1"/>
  <c r="AQ121" i="27" s="1"/>
  <c r="AQ88" i="27" a="1"/>
  <c r="AQ88" i="27" s="1"/>
  <c r="AQ111" i="27" a="1"/>
  <c r="AQ111" i="27" s="1"/>
  <c r="AQ117" i="27" a="1"/>
  <c r="AQ117" i="27" s="1"/>
  <c r="AQ62" i="27" a="1"/>
  <c r="AQ62" i="27" s="1"/>
  <c r="AQ82" i="27" a="1"/>
  <c r="AQ82" i="27" s="1"/>
  <c r="AQ92" i="27" a="1"/>
  <c r="AQ92" i="27" s="1"/>
  <c r="AQ95" i="27" a="1"/>
  <c r="AQ95" i="27" s="1"/>
  <c r="AQ102" i="27" a="1"/>
  <c r="AQ102" i="27" s="1"/>
  <c r="AQ104" i="27" a="1"/>
  <c r="AQ104" i="27" s="1"/>
  <c r="AQ116" i="27" a="1"/>
  <c r="AQ116" i="27" s="1"/>
  <c r="AQ120" i="27" a="1"/>
  <c r="AQ120" i="27" s="1"/>
  <c r="AQ124" i="27" a="1"/>
  <c r="AQ124" i="27" s="1"/>
  <c r="AQ127" i="27" a="1"/>
  <c r="AQ127" i="27" s="1"/>
  <c r="AQ131" i="27" a="1"/>
  <c r="AQ131" i="27" s="1"/>
  <c r="AQ73" i="27" a="1"/>
  <c r="AQ73" i="27" s="1"/>
  <c r="AQ106" i="27" a="1"/>
  <c r="AQ106" i="27" s="1"/>
  <c r="AQ115" i="27" a="1"/>
  <c r="AQ115" i="27" s="1"/>
  <c r="AQ80" i="27" a="1"/>
  <c r="AQ80" i="27" s="1"/>
  <c r="AQ91" i="27" a="1"/>
  <c r="AQ91" i="27" s="1"/>
  <c r="AQ97" i="27" a="1"/>
  <c r="AQ97" i="27" s="1"/>
  <c r="AQ99" i="27" a="1"/>
  <c r="AQ99" i="27" s="1"/>
  <c r="AQ108" i="27" a="1"/>
  <c r="AQ108" i="27" s="1"/>
  <c r="AQ110" i="27" a="1"/>
  <c r="AQ110" i="27" s="1"/>
  <c r="AQ114" i="27" a="1"/>
  <c r="AQ114" i="27" s="1"/>
  <c r="AQ26" i="27" a="1"/>
  <c r="AQ26" i="27" s="1"/>
  <c r="AQ86" i="27" a="1"/>
  <c r="AQ86" i="27" s="1"/>
  <c r="AQ101" i="27" a="1"/>
  <c r="AQ101" i="27" s="1"/>
  <c r="AQ113" i="27" a="1"/>
  <c r="AQ113" i="27" s="1"/>
  <c r="AQ119" i="27" a="1"/>
  <c r="AQ119" i="27" s="1"/>
  <c r="AQ94" i="27" a="1"/>
  <c r="AQ94" i="27" s="1"/>
  <c r="AQ103" i="27" a="1"/>
  <c r="AQ103" i="27" s="1"/>
  <c r="AQ105" i="27" a="1"/>
  <c r="AQ105" i="27" s="1"/>
  <c r="AQ112" i="27" a="1"/>
  <c r="AQ112" i="27" s="1"/>
  <c r="AQ122" i="27" a="1"/>
  <c r="AQ122" i="27" s="1"/>
  <c r="AQ133" i="27" a="1"/>
  <c r="AQ133" i="27" s="1"/>
  <c r="AQ139" i="27" a="1"/>
  <c r="AQ139" i="27" s="1"/>
  <c r="AQ6" i="27" a="1"/>
  <c r="AQ6" i="27" s="1"/>
  <c r="AQ128" i="27" a="1"/>
  <c r="AQ128" i="27" s="1"/>
  <c r="AQ134" i="27" a="1"/>
  <c r="AQ134" i="27" s="1"/>
  <c r="AQ138" i="27" a="1"/>
  <c r="AQ138" i="27" s="1"/>
  <c r="AQ135" i="27" a="1"/>
  <c r="AQ135" i="27" s="1"/>
  <c r="AQ85" i="27" a="1"/>
  <c r="AQ85" i="27" s="1"/>
  <c r="AQ118" i="27" a="1"/>
  <c r="AQ118" i="27" s="1"/>
  <c r="AQ125" i="27" a="1"/>
  <c r="AQ125" i="27" s="1"/>
  <c r="AQ129" i="27" a="1"/>
  <c r="AQ129" i="27" s="1"/>
  <c r="AQ123" i="27" a="1"/>
  <c r="AQ123" i="27" s="1"/>
  <c r="AQ132" i="27" a="1"/>
  <c r="AQ132" i="27" s="1"/>
  <c r="AQ137" i="27" a="1"/>
  <c r="AQ137" i="27" s="1"/>
  <c r="AQ126" i="27" a="1"/>
  <c r="AQ126" i="27" s="1"/>
  <c r="AQ130" i="27" a="1"/>
  <c r="AQ130" i="27" s="1"/>
  <c r="AQ136" i="27" a="1"/>
  <c r="AQ136" i="27" s="1"/>
  <c r="AQ140" i="27" a="1"/>
  <c r="AQ140" i="27" s="1"/>
  <c r="DX25" i="27"/>
  <c r="EB25" i="27" s="1"/>
  <c r="DX24" i="27"/>
  <c r="EB24" i="27" s="1"/>
  <c r="DX65" i="27"/>
  <c r="EB65" i="27" s="1"/>
  <c r="DX43" i="27"/>
  <c r="EB43" i="27" s="1"/>
  <c r="DX90" i="27"/>
  <c r="EB90" i="27" s="1"/>
  <c r="DX120" i="27"/>
  <c r="EB120" i="27" s="1"/>
  <c r="DX114" i="27"/>
  <c r="EB114" i="27" s="1"/>
  <c r="DX139" i="27"/>
  <c r="EB139" i="27" s="1"/>
  <c r="DX11" i="27"/>
  <c r="EB11" i="27" s="1"/>
  <c r="DX26" i="27"/>
  <c r="EB26" i="27" s="1"/>
  <c r="DX88" i="27"/>
  <c r="EB88" i="27" s="1"/>
  <c r="DX54" i="27"/>
  <c r="EB54" i="27" s="1"/>
  <c r="DX107" i="27"/>
  <c r="EB107" i="27" s="1"/>
  <c r="BS101" i="27"/>
  <c r="P99" i="12" s="1"/>
  <c r="BS78" i="27"/>
  <c r="P76" i="12" s="1"/>
  <c r="BS30" i="27"/>
  <c r="P28" i="12" s="1"/>
  <c r="DX89" i="27"/>
  <c r="EB89" i="27" s="1"/>
  <c r="DX56" i="27"/>
  <c r="EB56" i="27" s="1"/>
  <c r="DX129" i="27"/>
  <c r="EB129" i="27" s="1"/>
  <c r="DX75" i="27"/>
  <c r="EB75" i="27" s="1"/>
  <c r="DX86" i="27"/>
  <c r="EB86" i="27" s="1"/>
  <c r="DX18" i="27"/>
  <c r="EB18" i="27" s="1"/>
  <c r="DX116" i="27"/>
  <c r="EB116" i="27" s="1"/>
  <c r="DX52" i="27"/>
  <c r="EB52" i="27" s="1"/>
  <c r="DX20" i="27"/>
  <c r="EB20" i="27" s="1"/>
  <c r="DX121" i="27"/>
  <c r="EB121" i="27" s="1"/>
  <c r="DX135" i="27"/>
  <c r="EB135" i="27" s="1"/>
  <c r="DX71" i="27"/>
  <c r="EB71" i="27" s="1"/>
  <c r="DX7" i="27"/>
  <c r="EB7" i="27" s="1"/>
  <c r="BS123" i="27"/>
  <c r="P121" i="12" s="1"/>
  <c r="BS66" i="27"/>
  <c r="P64" i="12" s="1"/>
  <c r="DX126" i="27"/>
  <c r="EB126" i="27" s="1"/>
  <c r="DX58" i="27"/>
  <c r="EB58" i="27" s="1"/>
  <c r="DX125" i="27"/>
  <c r="EB125" i="27" s="1"/>
  <c r="DX61" i="27"/>
  <c r="EB61" i="27" s="1"/>
  <c r="DX136" i="27"/>
  <c r="EB136" i="27" s="1"/>
  <c r="DX104" i="27"/>
  <c r="EB104" i="27" s="1"/>
  <c r="DX72" i="27"/>
  <c r="EB72" i="27" s="1"/>
  <c r="DX40" i="27"/>
  <c r="EB40" i="27" s="1"/>
  <c r="DX8" i="27"/>
  <c r="EB8" i="27" s="1"/>
  <c r="DX82" i="27"/>
  <c r="EB82" i="27" s="1"/>
  <c r="DX22" i="27"/>
  <c r="EB22" i="27" s="1"/>
  <c r="DX97" i="27"/>
  <c r="EB97" i="27" s="1"/>
  <c r="DX37" i="27"/>
  <c r="EB37" i="27" s="1"/>
  <c r="DX123" i="27"/>
  <c r="EB123" i="27" s="1"/>
  <c r="DX91" i="27"/>
  <c r="EB91" i="27" s="1"/>
  <c r="DX59" i="27"/>
  <c r="EB59" i="27" s="1"/>
  <c r="DX27" i="27"/>
  <c r="EB27" i="27" s="1"/>
  <c r="DX81" i="27"/>
  <c r="EB81" i="27" s="1"/>
  <c r="DX17" i="27"/>
  <c r="EB17" i="27" s="1"/>
  <c r="DX84" i="27"/>
  <c r="EB84" i="27" s="1"/>
  <c r="DX106" i="27"/>
  <c r="EB106" i="27" s="1"/>
  <c r="DX46" i="27"/>
  <c r="EB46" i="27" s="1"/>
  <c r="DX57" i="27"/>
  <c r="EB57" i="27" s="1"/>
  <c r="DX103" i="27"/>
  <c r="EB103" i="27" s="1"/>
  <c r="DX39" i="27"/>
  <c r="EB39" i="27" s="1"/>
  <c r="BS113" i="27"/>
  <c r="P111" i="12" s="1"/>
  <c r="DX118" i="27"/>
  <c r="EB118" i="27" s="1"/>
  <c r="DX50" i="27"/>
  <c r="EB50" i="27" s="1"/>
  <c r="DX117" i="27"/>
  <c r="EB117" i="27" s="1"/>
  <c r="DX53" i="27"/>
  <c r="EB53" i="27" s="1"/>
  <c r="DX132" i="27"/>
  <c r="EB132" i="27" s="1"/>
  <c r="DX100" i="27"/>
  <c r="EB100" i="27" s="1"/>
  <c r="DX68" i="27"/>
  <c r="EB68" i="27" s="1"/>
  <c r="DX36" i="27"/>
  <c r="EB36" i="27" s="1"/>
  <c r="DX138" i="27"/>
  <c r="EB138" i="27" s="1"/>
  <c r="DX74" i="27"/>
  <c r="EB74" i="27" s="1"/>
  <c r="DX14" i="27"/>
  <c r="EB14" i="27" s="1"/>
  <c r="DX93" i="27"/>
  <c r="EB93" i="27" s="1"/>
  <c r="DX29" i="27"/>
  <c r="EB29" i="27" s="1"/>
  <c r="DX119" i="27"/>
  <c r="EB119" i="27" s="1"/>
  <c r="DX87" i="27"/>
  <c r="EB87" i="27" s="1"/>
  <c r="DX55" i="27"/>
  <c r="EB55" i="27" s="1"/>
  <c r="X109" i="12"/>
  <c r="X109" i="30"/>
  <c r="X109" i="31"/>
  <c r="X130" i="12"/>
  <c r="X130" i="30"/>
  <c r="X130" i="31"/>
  <c r="X121" i="12"/>
  <c r="X121" i="30"/>
  <c r="X121" i="31"/>
  <c r="X135" i="12"/>
  <c r="X135" i="30"/>
  <c r="X135" i="31"/>
  <c r="X127" i="12"/>
  <c r="X127" i="30"/>
  <c r="X127" i="31"/>
  <c r="X95" i="12"/>
  <c r="X95" i="30"/>
  <c r="X95" i="31"/>
  <c r="X63" i="30"/>
  <c r="X63" i="12"/>
  <c r="X63" i="31"/>
  <c r="X31" i="12"/>
  <c r="X31" i="30"/>
  <c r="X31" i="31"/>
  <c r="X102" i="12"/>
  <c r="X102" i="30"/>
  <c r="X102" i="31"/>
  <c r="X70" i="12"/>
  <c r="X70" i="30"/>
  <c r="X70" i="31"/>
  <c r="X38" i="12"/>
  <c r="X38" i="30"/>
  <c r="X38" i="31"/>
  <c r="X6" i="30"/>
  <c r="X6" i="12"/>
  <c r="X6" i="31"/>
  <c r="X112" i="12"/>
  <c r="X112" i="30"/>
  <c r="X112" i="31"/>
  <c r="X80" i="12"/>
  <c r="X80" i="30"/>
  <c r="X80" i="31"/>
  <c r="X48" i="12"/>
  <c r="X48" i="30"/>
  <c r="X48" i="31"/>
  <c r="X16" i="12"/>
  <c r="X16" i="30"/>
  <c r="X16" i="31"/>
  <c r="X93" i="12"/>
  <c r="X93" i="30"/>
  <c r="X93" i="31"/>
  <c r="X122" i="12"/>
  <c r="X122" i="30"/>
  <c r="X122" i="31"/>
  <c r="X113" i="12"/>
  <c r="X113" i="30"/>
  <c r="X113" i="31"/>
  <c r="X126" i="12"/>
  <c r="X126" i="30"/>
  <c r="X126" i="31"/>
  <c r="X17" i="12"/>
  <c r="X17" i="30"/>
  <c r="X17" i="31"/>
  <c r="X107" i="12"/>
  <c r="X107" i="30"/>
  <c r="X107" i="31"/>
  <c r="X75" i="12"/>
  <c r="X75" i="30"/>
  <c r="X75" i="31"/>
  <c r="X43" i="30"/>
  <c r="X43" i="12"/>
  <c r="X43" i="31"/>
  <c r="X11" i="12"/>
  <c r="X11" i="30"/>
  <c r="X11" i="31"/>
  <c r="X82" i="12"/>
  <c r="X82" i="30"/>
  <c r="X82" i="31"/>
  <c r="X50" i="30"/>
  <c r="X50" i="12"/>
  <c r="X50" i="31"/>
  <c r="X18" i="12"/>
  <c r="X18" i="30"/>
  <c r="X18" i="31"/>
  <c r="X124" i="12"/>
  <c r="X124" i="30"/>
  <c r="X124" i="31"/>
  <c r="X92" i="12"/>
  <c r="X92" i="30"/>
  <c r="X92" i="31"/>
  <c r="X60" i="12"/>
  <c r="X60" i="30"/>
  <c r="X60" i="31"/>
  <c r="X28" i="12"/>
  <c r="X28" i="30"/>
  <c r="X28" i="31"/>
  <c r="P15" i="12"/>
  <c r="EB23" i="27"/>
  <c r="X125" i="12"/>
  <c r="X125" i="30"/>
  <c r="X125" i="31"/>
  <c r="X77" i="12"/>
  <c r="X77" i="30"/>
  <c r="X77" i="31"/>
  <c r="X13" i="12"/>
  <c r="X13" i="30"/>
  <c r="X13" i="31"/>
  <c r="X114" i="12"/>
  <c r="X114" i="30"/>
  <c r="X114" i="31"/>
  <c r="X57" i="30"/>
  <c r="X57" i="12"/>
  <c r="X57" i="31"/>
  <c r="X138" i="12"/>
  <c r="X138" i="30"/>
  <c r="X138" i="31"/>
  <c r="X101" i="12"/>
  <c r="X101" i="30"/>
  <c r="X101" i="31"/>
  <c r="X37" i="12"/>
  <c r="X37" i="30"/>
  <c r="X37" i="31"/>
  <c r="X118" i="12"/>
  <c r="X118" i="30"/>
  <c r="X118" i="31"/>
  <c r="X65" i="12"/>
  <c r="X65" i="30"/>
  <c r="X65" i="31"/>
  <c r="X136" i="12"/>
  <c r="X136" i="30"/>
  <c r="X136" i="31"/>
  <c r="X119" i="12"/>
  <c r="X119" i="30"/>
  <c r="X119" i="31"/>
  <c r="X103" i="12"/>
  <c r="X103" i="30"/>
  <c r="X103" i="31"/>
  <c r="X87" i="12"/>
  <c r="X87" i="30"/>
  <c r="X87" i="31"/>
  <c r="X71" i="12"/>
  <c r="X71" i="30"/>
  <c r="X71" i="31"/>
  <c r="X55" i="12"/>
  <c r="X55" i="30"/>
  <c r="X55" i="31"/>
  <c r="X39" i="12"/>
  <c r="X39" i="30"/>
  <c r="X39" i="31"/>
  <c r="X23" i="12"/>
  <c r="X23" i="30"/>
  <c r="X23" i="31"/>
  <c r="X7" i="30"/>
  <c r="X7" i="12"/>
  <c r="X7" i="31"/>
  <c r="X94" i="30"/>
  <c r="X94" i="12"/>
  <c r="X94" i="31"/>
  <c r="X78" i="12"/>
  <c r="X78" i="30"/>
  <c r="X78" i="31"/>
  <c r="X62" i="12"/>
  <c r="X62" i="30"/>
  <c r="X62" i="31"/>
  <c r="X46" i="30"/>
  <c r="X46" i="12"/>
  <c r="X46" i="31"/>
  <c r="X30" i="12"/>
  <c r="X30" i="30"/>
  <c r="X30" i="31"/>
  <c r="X14" i="12"/>
  <c r="X14" i="30"/>
  <c r="X14" i="31"/>
  <c r="X137" i="12"/>
  <c r="X137" i="30"/>
  <c r="X137" i="31"/>
  <c r="X120" i="12"/>
  <c r="X120" i="30"/>
  <c r="X120" i="31"/>
  <c r="X104" i="12"/>
  <c r="X104" i="30"/>
  <c r="X104" i="31"/>
  <c r="X88" i="12"/>
  <c r="X88" i="30"/>
  <c r="X88" i="31"/>
  <c r="X72" i="12"/>
  <c r="X72" i="30"/>
  <c r="X72" i="31"/>
  <c r="X56" i="12"/>
  <c r="X56" i="30"/>
  <c r="X56" i="31"/>
  <c r="X40" i="12"/>
  <c r="X40" i="30"/>
  <c r="X40" i="31"/>
  <c r="X24" i="12"/>
  <c r="X24" i="30"/>
  <c r="X24" i="31"/>
  <c r="X8" i="12"/>
  <c r="X8" i="30"/>
  <c r="X8" i="31"/>
  <c r="DX110" i="27"/>
  <c r="EB110" i="27" s="1"/>
  <c r="DX78" i="27"/>
  <c r="EB78" i="27" s="1"/>
  <c r="DX42" i="27"/>
  <c r="EB42" i="27" s="1"/>
  <c r="DX10" i="27"/>
  <c r="EB10" i="27" s="1"/>
  <c r="DX109" i="27"/>
  <c r="EB109" i="27" s="1"/>
  <c r="DX73" i="27"/>
  <c r="EB73" i="27" s="1"/>
  <c r="DX41" i="27"/>
  <c r="EB41" i="27" s="1"/>
  <c r="DX9" i="27"/>
  <c r="EB9" i="27" s="1"/>
  <c r="DX128" i="27"/>
  <c r="EB128" i="27" s="1"/>
  <c r="DX112" i="27"/>
  <c r="EB112" i="27" s="1"/>
  <c r="DX96" i="27"/>
  <c r="EB96" i="27" s="1"/>
  <c r="DX80" i="27"/>
  <c r="EB80" i="27" s="1"/>
  <c r="DX64" i="27"/>
  <c r="EB64" i="27" s="1"/>
  <c r="DX48" i="27"/>
  <c r="EB48" i="27" s="1"/>
  <c r="DX32" i="27"/>
  <c r="EB32" i="27" s="1"/>
  <c r="DX16" i="27"/>
  <c r="EB16" i="27" s="1"/>
  <c r="DX130" i="27"/>
  <c r="EB130" i="27" s="1"/>
  <c r="DX102" i="27"/>
  <c r="EB102" i="27" s="1"/>
  <c r="DX66" i="27"/>
  <c r="EB66" i="27" s="1"/>
  <c r="DX38" i="27"/>
  <c r="EB38" i="27" s="1"/>
  <c r="DX6" i="27"/>
  <c r="EB6" i="27" s="1"/>
  <c r="DX113" i="27"/>
  <c r="EB113" i="27" s="1"/>
  <c r="DX85" i="27"/>
  <c r="EB85" i="27" s="1"/>
  <c r="DX49" i="27"/>
  <c r="EB49" i="27" s="1"/>
  <c r="DX21" i="27"/>
  <c r="EB21" i="27" s="1"/>
  <c r="DX131" i="27"/>
  <c r="EB131" i="27" s="1"/>
  <c r="DX115" i="27"/>
  <c r="EB115" i="27" s="1"/>
  <c r="DX99" i="27"/>
  <c r="EB99" i="27" s="1"/>
  <c r="DX83" i="27"/>
  <c r="EB83" i="27" s="1"/>
  <c r="DX67" i="27"/>
  <c r="EB67" i="27" s="1"/>
  <c r="DX51" i="27"/>
  <c r="EB51" i="27" s="1"/>
  <c r="DX35" i="27"/>
  <c r="EB35" i="27" s="1"/>
  <c r="DX19" i="27"/>
  <c r="EB19" i="27" s="1"/>
  <c r="Z133" i="31"/>
  <c r="Q133" i="12"/>
  <c r="P133" i="30"/>
  <c r="Q133" i="30"/>
  <c r="Q133" i="31"/>
  <c r="P133" i="31"/>
  <c r="X45" i="12"/>
  <c r="X45" i="30"/>
  <c r="X45" i="31"/>
  <c r="X89" i="30"/>
  <c r="X89" i="12"/>
  <c r="X89" i="31"/>
  <c r="X25" i="12"/>
  <c r="X25" i="30"/>
  <c r="X25" i="31"/>
  <c r="X69" i="30"/>
  <c r="X69" i="12"/>
  <c r="X69" i="31"/>
  <c r="X97" i="12"/>
  <c r="X97" i="30"/>
  <c r="X97" i="31"/>
  <c r="X33" i="12"/>
  <c r="X33" i="30"/>
  <c r="X33" i="31"/>
  <c r="X111" i="12"/>
  <c r="X111" i="30"/>
  <c r="X111" i="31"/>
  <c r="X79" i="12"/>
  <c r="X79" i="30"/>
  <c r="X79" i="31"/>
  <c r="X47" i="12"/>
  <c r="X47" i="30"/>
  <c r="X47" i="31"/>
  <c r="X15" i="12"/>
  <c r="X15" i="30"/>
  <c r="X15" i="31"/>
  <c r="X86" i="12"/>
  <c r="X86" i="30"/>
  <c r="X86" i="31"/>
  <c r="X54" i="30"/>
  <c r="X54" i="12"/>
  <c r="X54" i="31"/>
  <c r="X22" i="12"/>
  <c r="X22" i="30"/>
  <c r="X22" i="31"/>
  <c r="X128" i="12"/>
  <c r="X128" i="30"/>
  <c r="X128" i="31"/>
  <c r="X96" i="12"/>
  <c r="X96" i="30"/>
  <c r="X96" i="31"/>
  <c r="X64" i="12"/>
  <c r="X64" i="30"/>
  <c r="X64" i="31"/>
  <c r="X32" i="30"/>
  <c r="X32" i="12"/>
  <c r="X32" i="31"/>
  <c r="X134" i="12"/>
  <c r="X134" i="30"/>
  <c r="X134" i="31"/>
  <c r="X29" i="12"/>
  <c r="X29" i="30"/>
  <c r="X29" i="31"/>
  <c r="X73" i="12"/>
  <c r="X73" i="30"/>
  <c r="X73" i="31"/>
  <c r="X9" i="12"/>
  <c r="X9" i="30"/>
  <c r="X9" i="31"/>
  <c r="X53" i="12"/>
  <c r="X53" i="30"/>
  <c r="X53" i="31"/>
  <c r="X81" i="12"/>
  <c r="X81" i="30"/>
  <c r="X81" i="31"/>
  <c r="X123" i="12"/>
  <c r="X123" i="30"/>
  <c r="X123" i="31"/>
  <c r="X91" i="12"/>
  <c r="X91" i="30"/>
  <c r="X91" i="31"/>
  <c r="X59" i="12"/>
  <c r="X59" i="30"/>
  <c r="X59" i="31"/>
  <c r="X27" i="12"/>
  <c r="X27" i="30"/>
  <c r="X27" i="31"/>
  <c r="X98" i="12"/>
  <c r="X98" i="30"/>
  <c r="X98" i="31"/>
  <c r="X66" i="30"/>
  <c r="X66" i="12"/>
  <c r="X66" i="31"/>
  <c r="X34" i="12"/>
  <c r="X34" i="30"/>
  <c r="X34" i="31"/>
  <c r="X5" i="12"/>
  <c r="X5" i="30"/>
  <c r="X5" i="31"/>
  <c r="X108" i="12"/>
  <c r="X108" i="30"/>
  <c r="X108" i="31"/>
  <c r="X76" i="12"/>
  <c r="X76" i="30"/>
  <c r="X76" i="31"/>
  <c r="X44" i="12"/>
  <c r="X44" i="30"/>
  <c r="X44" i="31"/>
  <c r="X12" i="12"/>
  <c r="X12" i="30"/>
  <c r="X12" i="31"/>
  <c r="X117" i="12"/>
  <c r="X117" i="30"/>
  <c r="X117" i="31"/>
  <c r="X61" i="12"/>
  <c r="X61" i="30"/>
  <c r="X61" i="31"/>
  <c r="X4" i="31"/>
  <c r="X4" i="30"/>
  <c r="X4" i="12"/>
  <c r="X105" i="12"/>
  <c r="X105" i="30"/>
  <c r="X105" i="31"/>
  <c r="X41" i="12"/>
  <c r="X41" i="30"/>
  <c r="X41" i="31"/>
  <c r="X129" i="30"/>
  <c r="X129" i="12"/>
  <c r="X129" i="31"/>
  <c r="X85" i="12"/>
  <c r="X85" i="30"/>
  <c r="X85" i="31"/>
  <c r="X21" i="12"/>
  <c r="X21" i="30"/>
  <c r="X21" i="31"/>
  <c r="X110" i="12"/>
  <c r="X110" i="30"/>
  <c r="X110" i="31"/>
  <c r="X49" i="30"/>
  <c r="X49" i="12"/>
  <c r="X49" i="31"/>
  <c r="X131" i="12"/>
  <c r="X131" i="30"/>
  <c r="X131" i="31"/>
  <c r="X115" i="12"/>
  <c r="X115" i="30"/>
  <c r="X115" i="31"/>
  <c r="X99" i="12"/>
  <c r="X99" i="30"/>
  <c r="X99" i="31"/>
  <c r="X83" i="12"/>
  <c r="X83" i="30"/>
  <c r="X83" i="31"/>
  <c r="X67" i="12"/>
  <c r="X67" i="30"/>
  <c r="X67" i="31"/>
  <c r="X51" i="12"/>
  <c r="X51" i="30"/>
  <c r="X51" i="31"/>
  <c r="X35" i="12"/>
  <c r="X35" i="30"/>
  <c r="X35" i="31"/>
  <c r="X19" i="12"/>
  <c r="X19" i="30"/>
  <c r="X19" i="31"/>
  <c r="X106" i="12"/>
  <c r="X106" i="30"/>
  <c r="X106" i="31"/>
  <c r="X90" i="12"/>
  <c r="X90" i="30"/>
  <c r="X90" i="31"/>
  <c r="X74" i="12"/>
  <c r="X74" i="30"/>
  <c r="X74" i="31"/>
  <c r="X58" i="12"/>
  <c r="X58" i="30"/>
  <c r="X58" i="31"/>
  <c r="X42" i="12"/>
  <c r="X42" i="30"/>
  <c r="X42" i="31"/>
  <c r="X26" i="12"/>
  <c r="X26" i="30"/>
  <c r="X26" i="31"/>
  <c r="X10" i="30"/>
  <c r="X10" i="12"/>
  <c r="X10" i="31"/>
  <c r="X132" i="12"/>
  <c r="X132" i="30"/>
  <c r="X132" i="31"/>
  <c r="X116" i="12"/>
  <c r="X116" i="30"/>
  <c r="X116" i="31"/>
  <c r="X100" i="12"/>
  <c r="X100" i="30"/>
  <c r="X100" i="31"/>
  <c r="X84" i="12"/>
  <c r="X84" i="30"/>
  <c r="X84" i="31"/>
  <c r="X68" i="12"/>
  <c r="X68" i="30"/>
  <c r="X68" i="31"/>
  <c r="X52" i="12"/>
  <c r="X52" i="30"/>
  <c r="X52" i="31"/>
  <c r="X36" i="12"/>
  <c r="X36" i="30"/>
  <c r="X36" i="31"/>
  <c r="X20" i="12"/>
  <c r="X20" i="30"/>
  <c r="X20" i="31"/>
  <c r="DX134" i="27"/>
  <c r="EB134" i="27" s="1"/>
  <c r="DX98" i="27"/>
  <c r="EB98" i="27" s="1"/>
  <c r="DX70" i="27"/>
  <c r="EB70" i="27" s="1"/>
  <c r="DX34" i="27"/>
  <c r="EB34" i="27" s="1"/>
  <c r="DX133" i="27"/>
  <c r="EB133" i="27" s="1"/>
  <c r="DX101" i="27"/>
  <c r="EB101" i="27" s="1"/>
  <c r="DX69" i="27"/>
  <c r="EB69" i="27" s="1"/>
  <c r="DX33" i="27"/>
  <c r="EB33" i="27" s="1"/>
  <c r="DX140" i="27"/>
  <c r="EB140" i="27" s="1"/>
  <c r="DX124" i="27"/>
  <c r="EB124" i="27" s="1"/>
  <c r="DX108" i="27"/>
  <c r="EB108" i="27" s="1"/>
  <c r="DX92" i="27"/>
  <c r="EB92" i="27" s="1"/>
  <c r="DX76" i="27"/>
  <c r="EB76" i="27" s="1"/>
  <c r="DX60" i="27"/>
  <c r="EB60" i="27" s="1"/>
  <c r="DX44" i="27"/>
  <c r="EB44" i="27" s="1"/>
  <c r="DX28" i="27"/>
  <c r="EB28" i="27" s="1"/>
  <c r="DX12" i="27"/>
  <c r="EB12" i="27" s="1"/>
  <c r="DX122" i="27"/>
  <c r="EB122" i="27" s="1"/>
  <c r="DX94" i="27"/>
  <c r="EB94" i="27" s="1"/>
  <c r="DX62" i="27"/>
  <c r="EB62" i="27" s="1"/>
  <c r="DX30" i="27"/>
  <c r="EB30" i="27" s="1"/>
  <c r="DX137" i="27"/>
  <c r="EB137" i="27" s="1"/>
  <c r="DX105" i="27"/>
  <c r="EB105" i="27" s="1"/>
  <c r="DX77" i="27"/>
  <c r="EB77" i="27" s="1"/>
  <c r="DX45" i="27"/>
  <c r="EB45" i="27" s="1"/>
  <c r="DX13" i="27"/>
  <c r="EB13" i="27" s="1"/>
  <c r="DX127" i="27"/>
  <c r="EB127" i="27" s="1"/>
  <c r="DX111" i="27"/>
  <c r="EB111" i="27" s="1"/>
  <c r="DX95" i="27"/>
  <c r="EB95" i="27" s="1"/>
  <c r="DX79" i="27"/>
  <c r="EB79" i="27" s="1"/>
  <c r="DX63" i="27"/>
  <c r="EB63" i="27" s="1"/>
  <c r="DX47" i="27"/>
  <c r="EB47" i="27" s="1"/>
  <c r="DX31" i="27"/>
  <c r="EB31" i="27" s="1"/>
  <c r="DX15" i="27"/>
  <c r="EB15" i="27" s="1"/>
  <c r="J57" i="12"/>
  <c r="J79" i="12"/>
  <c r="J68" i="12"/>
  <c r="DZ21" i="27"/>
  <c r="DZ37" i="27"/>
  <c r="DZ53" i="27"/>
  <c r="DZ69" i="27"/>
  <c r="DZ85" i="27"/>
  <c r="DZ101" i="27"/>
  <c r="DZ117" i="27"/>
  <c r="DZ133" i="27"/>
  <c r="DZ26" i="27"/>
  <c r="DZ42" i="27"/>
  <c r="DZ58" i="27"/>
  <c r="DZ74" i="27"/>
  <c r="DZ90" i="27"/>
  <c r="DZ106" i="27"/>
  <c r="DZ122" i="27"/>
  <c r="DZ138" i="27"/>
  <c r="DZ19" i="27"/>
  <c r="DZ35" i="27"/>
  <c r="DZ51" i="27"/>
  <c r="DZ67" i="27"/>
  <c r="DZ83" i="27"/>
  <c r="DZ99" i="27"/>
  <c r="DZ115" i="27"/>
  <c r="DZ131" i="27"/>
  <c r="DZ18" i="27"/>
  <c r="DZ16" i="27"/>
  <c r="DZ32" i="27"/>
  <c r="DZ48" i="27"/>
  <c r="DZ64" i="27"/>
  <c r="DZ80" i="27"/>
  <c r="DZ96" i="27"/>
  <c r="DZ112" i="27"/>
  <c r="DZ128" i="27"/>
  <c r="DZ6" i="27"/>
  <c r="DZ9" i="27"/>
  <c r="DZ25" i="27"/>
  <c r="DZ41" i="27"/>
  <c r="DZ57" i="27"/>
  <c r="DZ73" i="27"/>
  <c r="DZ89" i="27"/>
  <c r="DZ105" i="27"/>
  <c r="DZ121" i="27"/>
  <c r="DZ137" i="27"/>
  <c r="DZ30" i="27"/>
  <c r="DZ46" i="27"/>
  <c r="DZ62" i="27"/>
  <c r="DZ78" i="27"/>
  <c r="DZ94" i="27"/>
  <c r="DZ110" i="27"/>
  <c r="DZ126" i="27"/>
  <c r="DZ23" i="27"/>
  <c r="DZ39" i="27"/>
  <c r="DZ55" i="27"/>
  <c r="DZ71" i="27"/>
  <c r="DZ87" i="27"/>
  <c r="DZ103" i="27"/>
  <c r="DZ119" i="27"/>
  <c r="DZ135" i="27"/>
  <c r="DZ11" i="27"/>
  <c r="DZ20" i="27"/>
  <c r="DZ36" i="27"/>
  <c r="DZ52" i="27"/>
  <c r="DZ68" i="27"/>
  <c r="DZ84" i="27"/>
  <c r="DZ100" i="27"/>
  <c r="DZ116" i="27"/>
  <c r="DZ132" i="27"/>
  <c r="DZ13" i="27"/>
  <c r="DZ29" i="27"/>
  <c r="DZ45" i="27"/>
  <c r="DZ61" i="27"/>
  <c r="DZ77" i="27"/>
  <c r="DZ93" i="27"/>
  <c r="DZ109" i="27"/>
  <c r="DZ125" i="27"/>
  <c r="DZ14" i="27"/>
  <c r="DZ34" i="27"/>
  <c r="DZ50" i="27"/>
  <c r="DZ66" i="27"/>
  <c r="DZ82" i="27"/>
  <c r="DZ98" i="27"/>
  <c r="DZ114" i="27"/>
  <c r="DZ130" i="27"/>
  <c r="DZ7" i="27"/>
  <c r="DZ27" i="27"/>
  <c r="DZ43" i="27"/>
  <c r="DZ59" i="27"/>
  <c r="DZ75" i="27"/>
  <c r="DZ91" i="27"/>
  <c r="DZ107" i="27"/>
  <c r="DZ123" i="27"/>
  <c r="DZ139" i="27"/>
  <c r="DZ8" i="27"/>
  <c r="DZ24" i="27"/>
  <c r="DZ40" i="27"/>
  <c r="DZ56" i="27"/>
  <c r="DZ72" i="27"/>
  <c r="DZ88" i="27"/>
  <c r="DZ104" i="27"/>
  <c r="DZ120" i="27"/>
  <c r="DZ136" i="27"/>
  <c r="DZ17" i="27"/>
  <c r="DZ33" i="27"/>
  <c r="DZ49" i="27"/>
  <c r="DZ65" i="27"/>
  <c r="DZ81" i="27"/>
  <c r="DZ97" i="27"/>
  <c r="DZ113" i="27"/>
  <c r="DZ129" i="27"/>
  <c r="DZ22" i="27"/>
  <c r="DZ38" i="27"/>
  <c r="DZ54" i="27"/>
  <c r="DZ70" i="27"/>
  <c r="DZ86" i="27"/>
  <c r="DZ102" i="27"/>
  <c r="DZ118" i="27"/>
  <c r="DZ134" i="27"/>
  <c r="DZ15" i="27"/>
  <c r="DZ31" i="27"/>
  <c r="DZ47" i="27"/>
  <c r="DZ63" i="27"/>
  <c r="DZ79" i="27"/>
  <c r="DZ95" i="27"/>
  <c r="DZ111" i="27"/>
  <c r="DZ127" i="27"/>
  <c r="DZ10" i="27"/>
  <c r="DZ12" i="27"/>
  <c r="DZ28" i="27"/>
  <c r="DZ44" i="27"/>
  <c r="DZ60" i="27"/>
  <c r="DZ76" i="27"/>
  <c r="DZ92" i="27"/>
  <c r="DZ108" i="27"/>
  <c r="DZ124" i="27"/>
  <c r="DZ140" i="27"/>
  <c r="BX55" i="27"/>
  <c r="I95" i="27"/>
  <c r="I63" i="27"/>
  <c r="I82" i="27"/>
  <c r="I53" i="27"/>
  <c r="I120" i="27"/>
  <c r="I104" i="27"/>
  <c r="I55" i="27"/>
  <c r="I46" i="27"/>
  <c r="I97" i="27"/>
  <c r="I13" i="27"/>
  <c r="I80" i="27"/>
  <c r="I92" i="27"/>
  <c r="I11" i="27"/>
  <c r="I52" i="27"/>
  <c r="I131" i="27"/>
  <c r="E106" i="27"/>
  <c r="E42" i="27"/>
  <c r="E10" i="27"/>
  <c r="D8" i="12" s="1"/>
  <c r="E139" i="27"/>
  <c r="F101" i="27"/>
  <c r="BS10" i="27"/>
  <c r="BS6" i="27"/>
  <c r="D4" i="12" s="1"/>
  <c r="BS136" i="27"/>
  <c r="BS89" i="27"/>
  <c r="BS43" i="27"/>
  <c r="BT112" i="27"/>
  <c r="E74" i="27"/>
  <c r="BS132" i="27"/>
  <c r="BS98" i="27"/>
  <c r="BS63" i="27"/>
  <c r="P61" i="12" s="1"/>
  <c r="BS139" i="27"/>
  <c r="BS127" i="27"/>
  <c r="BS115" i="27"/>
  <c r="BS103" i="27"/>
  <c r="BS92" i="27"/>
  <c r="P90" i="12" s="1"/>
  <c r="BS80" i="27"/>
  <c r="P78" i="12" s="1"/>
  <c r="BS69" i="27"/>
  <c r="BS57" i="27"/>
  <c r="BS45" i="27"/>
  <c r="BS35" i="27"/>
  <c r="BS19" i="27"/>
  <c r="BS121" i="27"/>
  <c r="BS109" i="27"/>
  <c r="BS86" i="27"/>
  <c r="BS74" i="27"/>
  <c r="BS51" i="27"/>
  <c r="BS41" i="27"/>
  <c r="BS27" i="27"/>
  <c r="BS12" i="27"/>
  <c r="BS129" i="27"/>
  <c r="BS117" i="27"/>
  <c r="BS107" i="27"/>
  <c r="BS95" i="27"/>
  <c r="P93" i="12" s="1"/>
  <c r="BS84" i="27"/>
  <c r="BS72" i="27"/>
  <c r="BS60" i="27"/>
  <c r="BS49" i="27"/>
  <c r="BS37" i="27"/>
  <c r="BS24" i="27"/>
  <c r="BS9" i="27"/>
  <c r="BS140" i="27"/>
  <c r="BS134" i="27"/>
  <c r="BS128" i="27"/>
  <c r="BS122" i="27"/>
  <c r="BS116" i="27"/>
  <c r="BS110" i="27"/>
  <c r="BS105" i="27"/>
  <c r="BS99" i="27"/>
  <c r="BS93" i="27"/>
  <c r="BS87" i="27"/>
  <c r="BS81" i="27"/>
  <c r="BS77" i="27"/>
  <c r="BS71" i="27"/>
  <c r="BS65" i="27"/>
  <c r="BS59" i="27"/>
  <c r="BS53" i="27"/>
  <c r="P51" i="12" s="1"/>
  <c r="BS48" i="27"/>
  <c r="BS42" i="27"/>
  <c r="BS36" i="27"/>
  <c r="BS29" i="27"/>
  <c r="BS21" i="27"/>
  <c r="BS15" i="27"/>
  <c r="BS7" i="27"/>
  <c r="BS138" i="27"/>
  <c r="BS131" i="27"/>
  <c r="P129" i="12" s="1"/>
  <c r="BS125" i="27"/>
  <c r="BS120" i="27"/>
  <c r="P118" i="12" s="1"/>
  <c r="BS114" i="27"/>
  <c r="BS108" i="27"/>
  <c r="BS102" i="27"/>
  <c r="BS96" i="27"/>
  <c r="BS91" i="27"/>
  <c r="BS85" i="27"/>
  <c r="BS79" i="27"/>
  <c r="BS73" i="27"/>
  <c r="BS67" i="27"/>
  <c r="BS62" i="27"/>
  <c r="BS56" i="27"/>
  <c r="BS50" i="27"/>
  <c r="BS44" i="27"/>
  <c r="BS38" i="27"/>
  <c r="BS33" i="27"/>
  <c r="BS25" i="27"/>
  <c r="BS18" i="27"/>
  <c r="BS11" i="27"/>
  <c r="P9" i="12" s="1"/>
  <c r="BT40" i="27"/>
  <c r="BT82" i="27"/>
  <c r="BT10" i="27"/>
  <c r="BT76" i="27"/>
  <c r="BT118" i="27"/>
  <c r="BT46" i="27"/>
  <c r="BT106" i="27"/>
  <c r="BT70" i="27"/>
  <c r="BT34" i="27"/>
  <c r="BT137" i="27"/>
  <c r="BT100" i="27"/>
  <c r="BT64" i="27"/>
  <c r="BT28" i="27"/>
  <c r="BS133" i="27"/>
  <c r="BS126" i="27"/>
  <c r="BS119" i="27"/>
  <c r="BS111" i="27"/>
  <c r="BS104" i="27"/>
  <c r="P102" i="12" s="1"/>
  <c r="BS97" i="27"/>
  <c r="P95" i="12" s="1"/>
  <c r="BS90" i="27"/>
  <c r="BS83" i="27"/>
  <c r="BS75" i="27"/>
  <c r="BS68" i="27"/>
  <c r="BS61" i="27"/>
  <c r="BS54" i="27"/>
  <c r="BS47" i="27"/>
  <c r="BS39" i="27"/>
  <c r="BS31" i="27"/>
  <c r="BS23" i="27"/>
  <c r="BS13" i="27"/>
  <c r="P11" i="12" s="1"/>
  <c r="BT130" i="27"/>
  <c r="BT94" i="27"/>
  <c r="BT58" i="27"/>
  <c r="BT22" i="27"/>
  <c r="BT124" i="27"/>
  <c r="BT88" i="27"/>
  <c r="BT52" i="27"/>
  <c r="BT16" i="27"/>
  <c r="BS32" i="27"/>
  <c r="BS26" i="27"/>
  <c r="BS20" i="27"/>
  <c r="BS14" i="27"/>
  <c r="BS8" i="27"/>
  <c r="BS135" i="27"/>
  <c r="BS137" i="27"/>
  <c r="BS130" i="27"/>
  <c r="BS124" i="27"/>
  <c r="BS118" i="27"/>
  <c r="BS112" i="27"/>
  <c r="BS106" i="27"/>
  <c r="BS100" i="27"/>
  <c r="BS94" i="27"/>
  <c r="BS88" i="27"/>
  <c r="BS82" i="27"/>
  <c r="P80" i="12" s="1"/>
  <c r="BS76" i="27"/>
  <c r="BS70" i="27"/>
  <c r="BS64" i="27"/>
  <c r="BS58" i="27"/>
  <c r="BS52" i="27"/>
  <c r="P50" i="12" s="1"/>
  <c r="BS46" i="27"/>
  <c r="P44" i="12" s="1"/>
  <c r="BS40" i="27"/>
  <c r="BS34" i="27"/>
  <c r="BS28" i="27"/>
  <c r="BS22" i="27"/>
  <c r="BS16" i="27"/>
  <c r="BT127" i="27"/>
  <c r="BT138" i="27"/>
  <c r="BT131" i="27"/>
  <c r="BT125" i="27"/>
  <c r="BT119" i="27"/>
  <c r="BT113" i="27"/>
  <c r="BT107" i="27"/>
  <c r="BT101" i="27"/>
  <c r="BT95" i="27"/>
  <c r="BT89" i="27"/>
  <c r="BT83" i="27"/>
  <c r="BT77" i="27"/>
  <c r="BT71" i="27"/>
  <c r="BT65" i="27"/>
  <c r="BT59" i="27"/>
  <c r="BT53" i="27"/>
  <c r="BT47" i="27"/>
  <c r="BT41" i="27"/>
  <c r="BT35" i="27"/>
  <c r="BT29" i="27"/>
  <c r="BT23" i="27"/>
  <c r="BT17" i="27"/>
  <c r="BT11" i="27"/>
  <c r="BT136" i="27"/>
  <c r="BT129" i="27"/>
  <c r="BT123" i="27"/>
  <c r="BT117" i="27"/>
  <c r="BT111" i="27"/>
  <c r="BT105" i="27"/>
  <c r="BT99" i="27"/>
  <c r="BT93" i="27"/>
  <c r="BT87" i="27"/>
  <c r="BT81" i="27"/>
  <c r="BT75" i="27"/>
  <c r="BT69" i="27"/>
  <c r="BT63" i="27"/>
  <c r="BT57" i="27"/>
  <c r="BT51" i="27"/>
  <c r="BT45" i="27"/>
  <c r="BT39" i="27"/>
  <c r="BT33" i="27"/>
  <c r="BT27" i="27"/>
  <c r="BT21" i="27"/>
  <c r="BT15" i="27"/>
  <c r="BT9" i="27"/>
  <c r="BT6" i="27"/>
  <c r="BT134" i="27"/>
  <c r="BT128" i="27"/>
  <c r="BT122" i="27"/>
  <c r="BT116" i="27"/>
  <c r="BT110" i="27"/>
  <c r="BT104" i="27"/>
  <c r="BT98" i="27"/>
  <c r="BT92" i="27"/>
  <c r="BT86" i="27"/>
  <c r="BT80" i="27"/>
  <c r="BT74" i="27"/>
  <c r="BT68" i="27"/>
  <c r="BT62" i="27"/>
  <c r="BT56" i="27"/>
  <c r="BT50" i="27"/>
  <c r="BT44" i="27"/>
  <c r="BT38" i="27"/>
  <c r="BT32" i="27"/>
  <c r="BT26" i="27"/>
  <c r="BT20" i="27"/>
  <c r="BT14" i="27"/>
  <c r="BT8" i="27"/>
  <c r="BT133" i="27"/>
  <c r="E131" i="12" s="1"/>
  <c r="BT121" i="27"/>
  <c r="BT115" i="27"/>
  <c r="BT103" i="27"/>
  <c r="BT97" i="27"/>
  <c r="BT91" i="27"/>
  <c r="BT85" i="27"/>
  <c r="BT79" i="27"/>
  <c r="BT73" i="27"/>
  <c r="BT67" i="27"/>
  <c r="BT61" i="27"/>
  <c r="BT55" i="27"/>
  <c r="BT49" i="27"/>
  <c r="BT43" i="27"/>
  <c r="BT37" i="27"/>
  <c r="BT31" i="27"/>
  <c r="BT25" i="27"/>
  <c r="BT19" i="27"/>
  <c r="BT13" i="27"/>
  <c r="BT7" i="27"/>
  <c r="BT140" i="27"/>
  <c r="BT109" i="27"/>
  <c r="BT139" i="27"/>
  <c r="BT132" i="27"/>
  <c r="BT126" i="27"/>
  <c r="BT120" i="27"/>
  <c r="BT114" i="27"/>
  <c r="BT108" i="27"/>
  <c r="BT102" i="27"/>
  <c r="BT96" i="27"/>
  <c r="BT90" i="27"/>
  <c r="BT84" i="27"/>
  <c r="BT78" i="27"/>
  <c r="BT72" i="27"/>
  <c r="BT66" i="27"/>
  <c r="BT60" i="27"/>
  <c r="BT54" i="27"/>
  <c r="BT48" i="27"/>
  <c r="BT42" i="27"/>
  <c r="BT36" i="27"/>
  <c r="BT30" i="27"/>
  <c r="BT24" i="27"/>
  <c r="BT18" i="27"/>
  <c r="BT12" i="27"/>
  <c r="F69" i="27"/>
  <c r="E133" i="27"/>
  <c r="D131" i="12" s="1"/>
  <c r="E101" i="27"/>
  <c r="E69" i="27"/>
  <c r="D67" i="12" s="1"/>
  <c r="E37" i="27"/>
  <c r="E126" i="27"/>
  <c r="D124" i="12" s="1"/>
  <c r="E94" i="27"/>
  <c r="D92" i="12" s="1"/>
  <c r="E62" i="27"/>
  <c r="D60" i="12" s="1"/>
  <c r="E30" i="27"/>
  <c r="E122" i="27"/>
  <c r="D120" i="12" s="1"/>
  <c r="E90" i="27"/>
  <c r="D88" i="12" s="1"/>
  <c r="E58" i="27"/>
  <c r="E26" i="27"/>
  <c r="E117" i="27"/>
  <c r="E85" i="27"/>
  <c r="D83" i="12" s="1"/>
  <c r="E53" i="27"/>
  <c r="E21" i="27"/>
  <c r="E110" i="27"/>
  <c r="E78" i="27"/>
  <c r="E46" i="27"/>
  <c r="E14" i="27"/>
  <c r="D12" i="12" s="1"/>
  <c r="BU17" i="27"/>
  <c r="CD17" i="27" s="1" a="1"/>
  <c r="CD17" i="27" s="1"/>
  <c r="CK4" i="27"/>
  <c r="DC4" i="27"/>
  <c r="DO4" i="27" s="1"/>
  <c r="DO135" i="27" s="1"/>
  <c r="CG4" i="27"/>
  <c r="DA4" i="27"/>
  <c r="DM4" i="27" s="1"/>
  <c r="DM135" i="27" s="1"/>
  <c r="DI4" i="27"/>
  <c r="DU4" i="27" s="1"/>
  <c r="DU135" i="27" s="1"/>
  <c r="CW4" i="27"/>
  <c r="DF4" i="27"/>
  <c r="DR4" i="27" s="1"/>
  <c r="DR135" i="27" s="1"/>
  <c r="CQ4" i="27"/>
  <c r="CC4" i="27"/>
  <c r="CY4" i="27"/>
  <c r="DK4" i="27" s="1"/>
  <c r="DK135" i="27" s="1"/>
  <c r="CS4" i="27"/>
  <c r="DG4" i="27"/>
  <c r="DS4" i="27" s="1"/>
  <c r="DS135" i="27" s="1"/>
  <c r="CM4" i="27"/>
  <c r="DD4" i="27"/>
  <c r="DP4" i="27" s="1"/>
  <c r="DP135" i="27" s="1"/>
  <c r="BV10" i="27"/>
  <c r="BV16" i="27"/>
  <c r="BV22" i="27"/>
  <c r="BV28" i="27"/>
  <c r="BV34" i="27"/>
  <c r="BV40" i="27"/>
  <c r="BV46" i="27"/>
  <c r="BV52" i="27"/>
  <c r="BV58" i="27"/>
  <c r="BV64" i="27"/>
  <c r="BV70" i="27"/>
  <c r="BV76" i="27"/>
  <c r="BV82" i="27"/>
  <c r="BV88" i="27"/>
  <c r="BV94" i="27"/>
  <c r="BV100" i="27"/>
  <c r="BV106" i="27"/>
  <c r="BV112" i="27"/>
  <c r="BV118" i="27"/>
  <c r="BV124" i="27"/>
  <c r="BV130" i="27"/>
  <c r="BV136" i="27"/>
  <c r="BV90" i="27"/>
  <c r="BV132" i="27"/>
  <c r="BV67" i="27"/>
  <c r="J65" i="12" s="1"/>
  <c r="BV97" i="27"/>
  <c r="BW97" i="27" s="1"/>
  <c r="BV121" i="27"/>
  <c r="BV11" i="27"/>
  <c r="BV17" i="27"/>
  <c r="BV23" i="27"/>
  <c r="BV29" i="27"/>
  <c r="BV35" i="27"/>
  <c r="BV41" i="27"/>
  <c r="BV47" i="27"/>
  <c r="BV53" i="27"/>
  <c r="BV65" i="27"/>
  <c r="BV71" i="27"/>
  <c r="BV77" i="27"/>
  <c r="BV83" i="27"/>
  <c r="BV89" i="27"/>
  <c r="BV95" i="27"/>
  <c r="BW95" i="27" s="1"/>
  <c r="BV101" i="27"/>
  <c r="J99" i="12" s="1"/>
  <c r="BV107" i="27"/>
  <c r="BV113" i="27"/>
  <c r="BV119" i="27"/>
  <c r="BV125" i="27"/>
  <c r="BV131" i="27"/>
  <c r="BW131" i="27" s="1"/>
  <c r="BV137" i="27"/>
  <c r="BV12" i="27"/>
  <c r="BV18" i="27"/>
  <c r="BV30" i="27"/>
  <c r="BV36" i="27"/>
  <c r="BV48" i="27"/>
  <c r="BV60" i="27"/>
  <c r="BV78" i="27"/>
  <c r="BV96" i="27"/>
  <c r="J94" i="12" s="1"/>
  <c r="BV120" i="27"/>
  <c r="BW120" i="27" s="1"/>
  <c r="BV138" i="27"/>
  <c r="BV49" i="27"/>
  <c r="BV85" i="27"/>
  <c r="BV109" i="27"/>
  <c r="J107" i="12" s="1"/>
  <c r="BV127" i="27"/>
  <c r="BV24" i="27"/>
  <c r="BV66" i="27"/>
  <c r="BV108" i="27"/>
  <c r="BV7" i="27"/>
  <c r="BV13" i="27"/>
  <c r="BV19" i="27"/>
  <c r="BV25" i="27"/>
  <c r="BV31" i="27"/>
  <c r="BV37" i="27"/>
  <c r="BV43" i="27"/>
  <c r="BV61" i="27"/>
  <c r="J59" i="12" s="1"/>
  <c r="BV73" i="27"/>
  <c r="BV79" i="27"/>
  <c r="BV103" i="27"/>
  <c r="BV139" i="27"/>
  <c r="BV8" i="27"/>
  <c r="J6" i="12" s="1"/>
  <c r="BV14" i="27"/>
  <c r="BV20" i="27"/>
  <c r="BV26" i="27"/>
  <c r="BV32" i="27"/>
  <c r="BV38" i="27"/>
  <c r="BV44" i="27"/>
  <c r="J42" i="12" s="1"/>
  <c r="BV50" i="27"/>
  <c r="BV56" i="27"/>
  <c r="BV62" i="27"/>
  <c r="BV68" i="27"/>
  <c r="BV74" i="27"/>
  <c r="J72" i="12" s="1"/>
  <c r="BV80" i="27"/>
  <c r="BV86" i="27"/>
  <c r="BV92" i="27"/>
  <c r="BW92" i="27" s="1"/>
  <c r="BV98" i="27"/>
  <c r="BV104" i="27"/>
  <c r="BW104" i="27" s="1"/>
  <c r="BV110" i="27"/>
  <c r="BV116" i="27"/>
  <c r="BV122" i="27"/>
  <c r="BV128" i="27"/>
  <c r="BV134" i="27"/>
  <c r="BV9" i="27"/>
  <c r="BV15" i="27"/>
  <c r="BV21" i="27"/>
  <c r="BV27" i="27"/>
  <c r="BV33" i="27"/>
  <c r="BV39" i="27"/>
  <c r="BV45" i="27"/>
  <c r="J43" i="12" s="1"/>
  <c r="BV51" i="27"/>
  <c r="BV57" i="27"/>
  <c r="BV63" i="27"/>
  <c r="BV69" i="27"/>
  <c r="BV75" i="27"/>
  <c r="BV87" i="27"/>
  <c r="BV93" i="27"/>
  <c r="BV99" i="27"/>
  <c r="J97" i="12" s="1"/>
  <c r="BV105" i="27"/>
  <c r="BV111" i="27"/>
  <c r="J109" i="12" s="1"/>
  <c r="BV117" i="27"/>
  <c r="BV123" i="27"/>
  <c r="BV129" i="27"/>
  <c r="BV135" i="27"/>
  <c r="BV6" i="27"/>
  <c r="BV42" i="27"/>
  <c r="BV54" i="27"/>
  <c r="J52" i="12" s="1"/>
  <c r="BV72" i="27"/>
  <c r="BV84" i="27"/>
  <c r="BV102" i="27"/>
  <c r="BV114" i="27"/>
  <c r="BV126" i="27"/>
  <c r="BV55" i="27"/>
  <c r="BV91" i="27"/>
  <c r="BV115" i="27"/>
  <c r="J113" i="12" s="1"/>
  <c r="BV133" i="27"/>
  <c r="CZ4" i="27"/>
  <c r="DL4" i="27" s="1"/>
  <c r="DL135" i="27" s="1"/>
  <c r="CE4" i="27"/>
  <c r="DB4" i="27"/>
  <c r="DN4" i="27" s="1"/>
  <c r="DN135" i="27" s="1"/>
  <c r="CI4" i="27"/>
  <c r="CX4" i="27"/>
  <c r="DJ4" i="27" s="1"/>
  <c r="DJ135" i="27" s="1"/>
  <c r="CA4" i="27"/>
  <c r="DE4" i="27"/>
  <c r="DQ4" i="27" s="1"/>
  <c r="DQ135" i="27" s="1"/>
  <c r="CO4" i="27"/>
  <c r="CU4" i="27"/>
  <c r="DH4" i="27"/>
  <c r="DT4" i="27" s="1"/>
  <c r="DT135" i="27" s="1"/>
  <c r="AK4" i="27"/>
  <c r="F6" i="27"/>
  <c r="F37" i="27"/>
  <c r="Q4" i="27"/>
  <c r="AI4" i="27"/>
  <c r="AE4" i="27"/>
  <c r="E130" i="27"/>
  <c r="D128" i="12" s="1"/>
  <c r="E118" i="27"/>
  <c r="E109" i="27"/>
  <c r="E98" i="27"/>
  <c r="D96" i="12" s="1"/>
  <c r="E86" i="27"/>
  <c r="E77" i="27"/>
  <c r="D75" i="12" s="1"/>
  <c r="E66" i="27"/>
  <c r="E54" i="27"/>
  <c r="D52" i="12" s="1"/>
  <c r="E45" i="27"/>
  <c r="E34" i="27"/>
  <c r="D32" i="12" s="1"/>
  <c r="E22" i="27"/>
  <c r="D20" i="12" s="1"/>
  <c r="E13" i="27"/>
  <c r="F105" i="27"/>
  <c r="F41" i="27"/>
  <c r="M4" i="27"/>
  <c r="AA4" i="27"/>
  <c r="W4" i="27"/>
  <c r="AC4" i="27"/>
  <c r="AG4" i="27"/>
  <c r="S4" i="27"/>
  <c r="E134" i="27"/>
  <c r="E125" i="27"/>
  <c r="E114" i="27"/>
  <c r="E102" i="27"/>
  <c r="D100" i="12" s="1"/>
  <c r="E93" i="27"/>
  <c r="E82" i="27"/>
  <c r="E70" i="27"/>
  <c r="D68" i="12" s="1"/>
  <c r="E61" i="27"/>
  <c r="D59" i="12" s="1"/>
  <c r="E50" i="27"/>
  <c r="E38" i="27"/>
  <c r="D36" i="12" s="1"/>
  <c r="E29" i="27"/>
  <c r="E18" i="27"/>
  <c r="F138" i="27"/>
  <c r="F73" i="27"/>
  <c r="F9" i="27"/>
  <c r="O4" i="27"/>
  <c r="U4" i="27"/>
  <c r="Y4" i="27"/>
  <c r="F121" i="27"/>
  <c r="F89" i="27"/>
  <c r="F57" i="27"/>
  <c r="F25" i="27"/>
  <c r="E138" i="27"/>
  <c r="E129" i="27"/>
  <c r="D127" i="12" s="1"/>
  <c r="E121" i="27"/>
  <c r="E113" i="27"/>
  <c r="E105" i="27"/>
  <c r="E97" i="27"/>
  <c r="E89" i="27"/>
  <c r="E81" i="27"/>
  <c r="E73" i="27"/>
  <c r="E65" i="27"/>
  <c r="D63" i="12" s="1"/>
  <c r="E57" i="27"/>
  <c r="E49" i="27"/>
  <c r="D47" i="12" s="1"/>
  <c r="E41" i="27"/>
  <c r="E33" i="27"/>
  <c r="D31" i="12" s="1"/>
  <c r="E25" i="27"/>
  <c r="E17" i="27"/>
  <c r="D15" i="12" s="1"/>
  <c r="E9" i="27"/>
  <c r="F117" i="27"/>
  <c r="F85" i="27"/>
  <c r="F53" i="27"/>
  <c r="F21" i="27"/>
  <c r="E124" i="27"/>
  <c r="E140" i="27"/>
  <c r="E136" i="27"/>
  <c r="E131" i="27"/>
  <c r="E127" i="27"/>
  <c r="E123" i="27"/>
  <c r="E119" i="27"/>
  <c r="E115" i="27"/>
  <c r="D113" i="12" s="1"/>
  <c r="E111" i="27"/>
  <c r="D109" i="12" s="1"/>
  <c r="E107" i="27"/>
  <c r="E103" i="27"/>
  <c r="E99" i="27"/>
  <c r="E95" i="27"/>
  <c r="E91" i="27"/>
  <c r="E87" i="27"/>
  <c r="E83" i="27"/>
  <c r="E79" i="27"/>
  <c r="D77" i="12" s="1"/>
  <c r="E75" i="27"/>
  <c r="D73" i="12" s="1"/>
  <c r="E71" i="27"/>
  <c r="D69" i="12" s="1"/>
  <c r="E67" i="27"/>
  <c r="E63" i="27"/>
  <c r="E59" i="27"/>
  <c r="E55" i="27"/>
  <c r="E51" i="27"/>
  <c r="E47" i="27"/>
  <c r="E43" i="27"/>
  <c r="E39" i="27"/>
  <c r="D37" i="12" s="1"/>
  <c r="E35" i="27"/>
  <c r="E31" i="27"/>
  <c r="D29" i="12" s="1"/>
  <c r="E27" i="27"/>
  <c r="E23" i="27"/>
  <c r="E19" i="27"/>
  <c r="D17" i="12" s="1"/>
  <c r="E15" i="27"/>
  <c r="D13" i="12" s="1"/>
  <c r="E11" i="27"/>
  <c r="E7" i="27"/>
  <c r="F125" i="27"/>
  <c r="F109" i="27"/>
  <c r="F93" i="27"/>
  <c r="F77" i="27"/>
  <c r="F61" i="27"/>
  <c r="F45" i="27"/>
  <c r="F29" i="27"/>
  <c r="F13" i="27"/>
  <c r="E135" i="27"/>
  <c r="D133" i="12" s="1"/>
  <c r="E137" i="27"/>
  <c r="D135" i="12" s="1"/>
  <c r="E132" i="27"/>
  <c r="E128" i="27"/>
  <c r="E120" i="27"/>
  <c r="E116" i="27"/>
  <c r="D114" i="12" s="1"/>
  <c r="E112" i="27"/>
  <c r="E108" i="27"/>
  <c r="D106" i="12" s="1"/>
  <c r="E104" i="27"/>
  <c r="E100" i="27"/>
  <c r="E96" i="27"/>
  <c r="E92" i="27"/>
  <c r="E88" i="27"/>
  <c r="E84" i="27"/>
  <c r="D82" i="12" s="1"/>
  <c r="E80" i="27"/>
  <c r="E76" i="27"/>
  <c r="D74" i="12" s="1"/>
  <c r="E72" i="27"/>
  <c r="E68" i="27"/>
  <c r="E64" i="27"/>
  <c r="E60" i="27"/>
  <c r="D58" i="12" s="1"/>
  <c r="E56" i="27"/>
  <c r="E52" i="27"/>
  <c r="E48" i="27"/>
  <c r="E44" i="27"/>
  <c r="D42" i="12" s="1"/>
  <c r="E40" i="27"/>
  <c r="E36" i="27"/>
  <c r="E32" i="27"/>
  <c r="E28" i="27"/>
  <c r="D26" i="12" s="1"/>
  <c r="E24" i="27"/>
  <c r="E20" i="27"/>
  <c r="D18" i="12" s="1"/>
  <c r="E16" i="27"/>
  <c r="E12" i="27"/>
  <c r="D10" i="12" s="1"/>
  <c r="E8" i="27"/>
  <c r="F129" i="27"/>
  <c r="F113" i="27"/>
  <c r="F97" i="27"/>
  <c r="F81" i="27"/>
  <c r="F65" i="27"/>
  <c r="F49" i="27"/>
  <c r="F33" i="27"/>
  <c r="F17" i="27"/>
  <c r="F132" i="27"/>
  <c r="F124" i="27"/>
  <c r="F116" i="27"/>
  <c r="F108" i="27"/>
  <c r="F100" i="27"/>
  <c r="F92" i="27"/>
  <c r="F84" i="27"/>
  <c r="F76" i="27"/>
  <c r="F68" i="27"/>
  <c r="F56" i="27"/>
  <c r="F44" i="27"/>
  <c r="F135" i="27"/>
  <c r="F140" i="27"/>
  <c r="F136" i="27"/>
  <c r="F131" i="27"/>
  <c r="F127" i="27"/>
  <c r="F123" i="27"/>
  <c r="F119" i="27"/>
  <c r="F115" i="27"/>
  <c r="F111" i="27"/>
  <c r="F107" i="27"/>
  <c r="F103" i="27"/>
  <c r="F99" i="27"/>
  <c r="F95" i="27"/>
  <c r="F91" i="27"/>
  <c r="F87" i="27"/>
  <c r="F83" i="27"/>
  <c r="F79" i="27"/>
  <c r="F75" i="27"/>
  <c r="F71" i="27"/>
  <c r="F67" i="27"/>
  <c r="F63" i="27"/>
  <c r="F59" i="27"/>
  <c r="F55" i="27"/>
  <c r="F51" i="27"/>
  <c r="F47" i="27"/>
  <c r="F43" i="27"/>
  <c r="F39" i="27"/>
  <c r="F35" i="27"/>
  <c r="F31" i="27"/>
  <c r="F27" i="27"/>
  <c r="F23" i="27"/>
  <c r="F19" i="27"/>
  <c r="F15" i="27"/>
  <c r="F11" i="27"/>
  <c r="F7" i="27"/>
  <c r="F137" i="27"/>
  <c r="F128" i="27"/>
  <c r="F120" i="27"/>
  <c r="F112" i="27"/>
  <c r="F104" i="27"/>
  <c r="F96" i="27"/>
  <c r="F88" i="27"/>
  <c r="F80" i="27"/>
  <c r="F72" i="27"/>
  <c r="F64" i="27"/>
  <c r="F60" i="27"/>
  <c r="F52" i="27"/>
  <c r="F48" i="27"/>
  <c r="F40" i="27"/>
  <c r="F36" i="27"/>
  <c r="F32" i="27"/>
  <c r="F28" i="27"/>
  <c r="F24" i="27"/>
  <c r="F20" i="27"/>
  <c r="F16" i="27"/>
  <c r="F12" i="27"/>
  <c r="F8" i="27"/>
  <c r="F139" i="27"/>
  <c r="F134" i="27"/>
  <c r="F130" i="27"/>
  <c r="F126" i="27"/>
  <c r="F122" i="27"/>
  <c r="F118" i="27"/>
  <c r="F114" i="27"/>
  <c r="F110" i="27"/>
  <c r="F106" i="27"/>
  <c r="F102" i="27"/>
  <c r="F98" i="27"/>
  <c r="F94" i="27"/>
  <c r="F90" i="27"/>
  <c r="F86" i="27"/>
  <c r="F82" i="27"/>
  <c r="F78" i="27"/>
  <c r="F74" i="27"/>
  <c r="F70" i="27"/>
  <c r="F66" i="27"/>
  <c r="F62" i="27"/>
  <c r="F58" i="27"/>
  <c r="F54" i="27"/>
  <c r="F50" i="27"/>
  <c r="F46" i="27"/>
  <c r="F42" i="27"/>
  <c r="F38" i="27"/>
  <c r="F34" i="27"/>
  <c r="F30" i="27"/>
  <c r="F26" i="27"/>
  <c r="F22" i="27"/>
  <c r="F18" i="27"/>
  <c r="F14" i="27"/>
  <c r="F10" i="27"/>
  <c r="I131" i="30" l="1"/>
  <c r="I131" i="31"/>
  <c r="U133" i="31"/>
  <c r="U133" i="30"/>
  <c r="U133" i="12"/>
  <c r="D131" i="30"/>
  <c r="J72" i="31"/>
  <c r="D34" i="12"/>
  <c r="D45" i="12"/>
  <c r="D125" i="12"/>
  <c r="D66" i="12"/>
  <c r="D98" i="12"/>
  <c r="D122" i="12"/>
  <c r="D16" i="12"/>
  <c r="BD6" i="27"/>
  <c r="AV6" i="27"/>
  <c r="D56" i="12"/>
  <c r="J6" i="30"/>
  <c r="J99" i="30"/>
  <c r="D99" i="12"/>
  <c r="J59" i="30"/>
  <c r="D111" i="12"/>
  <c r="BD7" i="27"/>
  <c r="D30" i="12"/>
  <c r="D46" i="12"/>
  <c r="D130" i="12"/>
  <c r="D25" i="12"/>
  <c r="D41" i="12"/>
  <c r="D89" i="12"/>
  <c r="D105" i="12"/>
  <c r="D138" i="12"/>
  <c r="D87" i="12"/>
  <c r="D91" i="12"/>
  <c r="D84" i="12"/>
  <c r="D19" i="12"/>
  <c r="D28" i="12"/>
  <c r="D72" i="12"/>
  <c r="D6" i="12"/>
  <c r="D54" i="12"/>
  <c r="D33" i="12"/>
  <c r="D49" i="12"/>
  <c r="D65" i="12"/>
  <c r="D97" i="12"/>
  <c r="D7" i="12"/>
  <c r="D136" i="12"/>
  <c r="D27" i="12"/>
  <c r="D112" i="12"/>
  <c r="J109" i="30"/>
  <c r="D38" i="12"/>
  <c r="D70" i="12"/>
  <c r="D81" i="12"/>
  <c r="D39" i="12"/>
  <c r="D103" i="12"/>
  <c r="D64" i="12"/>
  <c r="D126" i="12"/>
  <c r="D101" i="12"/>
  <c r="D134" i="12"/>
  <c r="D123" i="12"/>
  <c r="D116" i="12"/>
  <c r="D108" i="12"/>
  <c r="D115" i="12"/>
  <c r="D40" i="12"/>
  <c r="E131" i="31"/>
  <c r="E131" i="30"/>
  <c r="D137" i="12"/>
  <c r="J6" i="31"/>
  <c r="J79" i="31"/>
  <c r="D22" i="12"/>
  <c r="D86" i="12"/>
  <c r="D71" i="12"/>
  <c r="D107" i="12"/>
  <c r="D76" i="12"/>
  <c r="J43" i="30"/>
  <c r="J42" i="31"/>
  <c r="D5" i="12"/>
  <c r="D21" i="12"/>
  <c r="D85" i="12"/>
  <c r="D117" i="12"/>
  <c r="D79" i="12"/>
  <c r="J68" i="31"/>
  <c r="D14" i="12"/>
  <c r="D62" i="12"/>
  <c r="D94" i="12"/>
  <c r="D110" i="12"/>
  <c r="D57" i="12"/>
  <c r="D121" i="12"/>
  <c r="D23" i="12"/>
  <c r="D55" i="12"/>
  <c r="D119" i="12"/>
  <c r="D48" i="12"/>
  <c r="D132" i="12"/>
  <c r="D43" i="12"/>
  <c r="D24" i="12"/>
  <c r="D35" i="12"/>
  <c r="J52" i="30"/>
  <c r="J72" i="30"/>
  <c r="D104" i="12"/>
  <c r="D131" i="31"/>
  <c r="J113" i="31"/>
  <c r="J65" i="30"/>
  <c r="J42" i="30"/>
  <c r="J97" i="30"/>
  <c r="J107" i="31"/>
  <c r="J113" i="30"/>
  <c r="AW4" i="27"/>
  <c r="AW133" i="27" s="1"/>
  <c r="AK14" i="27" a="1"/>
  <c r="AK14" i="27" s="1"/>
  <c r="AK19" i="27" a="1"/>
  <c r="AK19" i="27" s="1"/>
  <c r="AK35" i="27" a="1"/>
  <c r="AK35" i="27" s="1"/>
  <c r="AK40" i="27" a="1"/>
  <c r="AK40" i="27" s="1"/>
  <c r="AK45" i="27" a="1"/>
  <c r="AK45" i="27" s="1"/>
  <c r="AK7" i="27" a="1"/>
  <c r="AK7" i="27" s="1"/>
  <c r="AK9" i="27" a="1"/>
  <c r="AK9" i="27" s="1"/>
  <c r="AK21" i="27" a="1"/>
  <c r="AK21" i="27" s="1"/>
  <c r="AK26" i="27" a="1"/>
  <c r="AK26" i="27" s="1"/>
  <c r="AK32" i="27" a="1"/>
  <c r="AK32" i="27" s="1"/>
  <c r="AK11" i="27" a="1"/>
  <c r="AK11" i="27" s="1"/>
  <c r="AK16" i="27" a="1"/>
  <c r="AK16" i="27" s="1"/>
  <c r="AK23" i="27" a="1"/>
  <c r="AK23" i="27" s="1"/>
  <c r="AK28" i="27" a="1"/>
  <c r="AK28" i="27" s="1"/>
  <c r="AK37" i="27" a="1"/>
  <c r="AK37" i="27" s="1"/>
  <c r="AK42" i="27" a="1"/>
  <c r="AK42" i="27" s="1"/>
  <c r="AK44" i="27" a="1"/>
  <c r="AK44" i="27" s="1"/>
  <c r="AK13" i="27" a="1"/>
  <c r="AK13" i="27" s="1"/>
  <c r="AK15" i="27" a="1"/>
  <c r="AK15" i="27" s="1"/>
  <c r="AK18" i="27" a="1"/>
  <c r="AK18" i="27" s="1"/>
  <c r="AK25" i="27" a="1"/>
  <c r="AK25" i="27" s="1"/>
  <c r="AK30" i="27" a="1"/>
  <c r="AK30" i="27" s="1"/>
  <c r="AK31" i="27" a="1"/>
  <c r="AK31" i="27" s="1"/>
  <c r="AK34" i="27" a="1"/>
  <c r="AK34" i="27" s="1"/>
  <c r="AK39" i="27" a="1"/>
  <c r="AK39" i="27" s="1"/>
  <c r="AK41" i="27" a="1"/>
  <c r="AK41" i="27" s="1"/>
  <c r="AK46" i="27" a="1"/>
  <c r="AK46" i="27" s="1"/>
  <c r="AK8" i="27" a="1"/>
  <c r="AK8" i="27" s="1"/>
  <c r="AK20" i="27" a="1"/>
  <c r="AK20" i="27" s="1"/>
  <c r="AK36" i="27" a="1"/>
  <c r="AK36" i="27" s="1"/>
  <c r="AK10" i="27" a="1"/>
  <c r="AK10" i="27" s="1"/>
  <c r="AK12" i="27" a="1"/>
  <c r="AK12" i="27" s="1"/>
  <c r="AK17" i="27" a="1"/>
  <c r="AK17" i="27" s="1"/>
  <c r="AK22" i="27" a="1"/>
  <c r="AK22" i="27" s="1"/>
  <c r="AK27" i="27" a="1"/>
  <c r="AK27" i="27" s="1"/>
  <c r="AK38" i="27" a="1"/>
  <c r="AK38" i="27" s="1"/>
  <c r="AK43" i="27" a="1"/>
  <c r="AK43" i="27" s="1"/>
  <c r="AK48" i="27" a="1"/>
  <c r="AK48" i="27" s="1"/>
  <c r="AK51" i="27" a="1"/>
  <c r="AK51" i="27" s="1"/>
  <c r="AK56" i="27" a="1"/>
  <c r="AK56" i="27" s="1"/>
  <c r="AK69" i="27" a="1"/>
  <c r="AK69" i="27" s="1"/>
  <c r="AK80" i="27" a="1"/>
  <c r="AK80" i="27" s="1"/>
  <c r="AK49" i="27" a="1"/>
  <c r="AK49" i="27" s="1"/>
  <c r="AK61" i="27" a="1"/>
  <c r="AK61" i="27" s="1"/>
  <c r="AK62" i="27" a="1"/>
  <c r="AK62" i="27" s="1"/>
  <c r="AK71" i="27" a="1"/>
  <c r="AK71" i="27" s="1"/>
  <c r="AK73" i="27" a="1"/>
  <c r="AK73" i="27" s="1"/>
  <c r="AK82" i="27" a="1"/>
  <c r="AK82" i="27" s="1"/>
  <c r="AK84" i="27" a="1"/>
  <c r="AK84" i="27" s="1"/>
  <c r="AK33" i="27" a="1"/>
  <c r="AK33" i="27" s="1"/>
  <c r="AK47" i="27" a="1"/>
  <c r="AK47" i="27" s="1"/>
  <c r="AK53" i="27" a="1"/>
  <c r="AK53" i="27" s="1"/>
  <c r="AK58" i="27" a="1"/>
  <c r="AK58" i="27" s="1"/>
  <c r="AK64" i="27" a="1"/>
  <c r="AK64" i="27" s="1"/>
  <c r="AK24" i="27" a="1"/>
  <c r="AK24" i="27" s="1"/>
  <c r="AK29" i="27" a="1"/>
  <c r="AK29" i="27" s="1"/>
  <c r="AK66" i="27" a="1"/>
  <c r="AK66" i="27" s="1"/>
  <c r="AK68" i="27" a="1"/>
  <c r="AK68" i="27" s="1"/>
  <c r="AK75" i="27" a="1"/>
  <c r="AK75" i="27" s="1"/>
  <c r="AK77" i="27" a="1"/>
  <c r="AK77" i="27" s="1"/>
  <c r="AK79" i="27" a="1"/>
  <c r="AK79" i="27" s="1"/>
  <c r="AK50" i="27" a="1"/>
  <c r="AK50" i="27" s="1"/>
  <c r="AK55" i="27" a="1"/>
  <c r="AK55" i="27" s="1"/>
  <c r="AK57" i="27" a="1"/>
  <c r="AK57" i="27" s="1"/>
  <c r="AK52" i="27" a="1"/>
  <c r="AK52" i="27" s="1"/>
  <c r="AK60" i="27" a="1"/>
  <c r="AK60" i="27" s="1"/>
  <c r="AK63" i="27" a="1"/>
  <c r="AK63" i="27" s="1"/>
  <c r="AK70" i="27" a="1"/>
  <c r="AK70" i="27" s="1"/>
  <c r="AK72" i="27" a="1"/>
  <c r="AK72" i="27" s="1"/>
  <c r="AK74" i="27" a="1"/>
  <c r="AK74" i="27" s="1"/>
  <c r="AK81" i="27" a="1"/>
  <c r="AK81" i="27" s="1"/>
  <c r="AK83" i="27" a="1"/>
  <c r="AK83" i="27" s="1"/>
  <c r="AK92" i="27" a="1"/>
  <c r="AK92" i="27" s="1"/>
  <c r="AK94" i="27" a="1"/>
  <c r="AK94" i="27" s="1"/>
  <c r="AK54" i="27" a="1"/>
  <c r="AK54" i="27" s="1"/>
  <c r="AK85" i="27" a="1"/>
  <c r="AK85" i="27" s="1"/>
  <c r="AK87" i="27" a="1"/>
  <c r="AK87" i="27" s="1"/>
  <c r="AK103" i="27" a="1"/>
  <c r="AK103" i="27" s="1"/>
  <c r="AK105" i="27" a="1"/>
  <c r="AK105" i="27" s="1"/>
  <c r="AK112" i="27" a="1"/>
  <c r="AK112" i="27" s="1"/>
  <c r="AK118" i="27" a="1"/>
  <c r="AK118" i="27" s="1"/>
  <c r="AK125" i="27" a="1"/>
  <c r="AK125" i="27" s="1"/>
  <c r="AK67" i="27" a="1"/>
  <c r="AK67" i="27" s="1"/>
  <c r="AK91" i="27" a="1"/>
  <c r="AK91" i="27" s="1"/>
  <c r="AK96" i="27" a="1"/>
  <c r="AK96" i="27" s="1"/>
  <c r="AK121" i="27" a="1"/>
  <c r="AK121" i="27" s="1"/>
  <c r="AK86" i="27" a="1"/>
  <c r="AK86" i="27" s="1"/>
  <c r="AK90" i="27" a="1"/>
  <c r="AK90" i="27" s="1"/>
  <c r="AK98" i="27" a="1"/>
  <c r="AK98" i="27" s="1"/>
  <c r="AK100" i="27" a="1"/>
  <c r="AK100" i="27" s="1"/>
  <c r="AK107" i="27" a="1"/>
  <c r="AK107" i="27" s="1"/>
  <c r="AK109" i="27" a="1"/>
  <c r="AK109" i="27" s="1"/>
  <c r="AK111" i="27" a="1"/>
  <c r="AK111" i="27" s="1"/>
  <c r="AK116" i="27" a="1"/>
  <c r="AK116" i="27" s="1"/>
  <c r="AK117" i="27" a="1"/>
  <c r="AK117" i="27" s="1"/>
  <c r="AK124" i="27" a="1"/>
  <c r="AK124" i="27" s="1"/>
  <c r="AK131" i="27" a="1"/>
  <c r="AK131" i="27" s="1"/>
  <c r="AK120" i="27" a="1"/>
  <c r="AK120" i="27" s="1"/>
  <c r="AK59" i="27" a="1"/>
  <c r="AK59" i="27" s="1"/>
  <c r="AK78" i="27" a="1"/>
  <c r="AK78" i="27" s="1"/>
  <c r="AK89" i="27" a="1"/>
  <c r="AK89" i="27" s="1"/>
  <c r="AK95" i="27" a="1"/>
  <c r="AK95" i="27" s="1"/>
  <c r="AK102" i="27" a="1"/>
  <c r="AK102" i="27" s="1"/>
  <c r="AK104" i="27" a="1"/>
  <c r="AK104" i="27" s="1"/>
  <c r="AK106" i="27" a="1"/>
  <c r="AK106" i="27" s="1"/>
  <c r="AK114" i="27" a="1"/>
  <c r="AK114" i="27" s="1"/>
  <c r="AK115" i="27" a="1"/>
  <c r="AK115" i="27" s="1"/>
  <c r="AK93" i="27" a="1"/>
  <c r="AK93" i="27" s="1"/>
  <c r="AK123" i="27" a="1"/>
  <c r="AK123" i="27" s="1"/>
  <c r="AK65" i="27" a="1"/>
  <c r="AK65" i="27" s="1"/>
  <c r="AK88" i="27" a="1"/>
  <c r="AK88" i="27" s="1"/>
  <c r="AK97" i="27" a="1"/>
  <c r="AK97" i="27" s="1"/>
  <c r="AK99" i="27" a="1"/>
  <c r="AK99" i="27" s="1"/>
  <c r="AK108" i="27" a="1"/>
  <c r="AK108" i="27" s="1"/>
  <c r="AK110" i="27" a="1"/>
  <c r="AK110" i="27" s="1"/>
  <c r="AK113" i="27" a="1"/>
  <c r="AK113" i="27" s="1"/>
  <c r="AK119" i="27" a="1"/>
  <c r="AK119" i="27" s="1"/>
  <c r="AK126" i="27" a="1"/>
  <c r="AK126" i="27" s="1"/>
  <c r="AK129" i="27" a="1"/>
  <c r="AK129" i="27" s="1"/>
  <c r="AK130" i="27" a="1"/>
  <c r="AK130" i="27" s="1"/>
  <c r="AK133" i="27" a="1"/>
  <c r="AK133" i="27" s="1"/>
  <c r="AK139" i="27" a="1"/>
  <c r="AK139" i="27" s="1"/>
  <c r="AK127" i="27" a="1"/>
  <c r="AK127" i="27" s="1"/>
  <c r="AK137" i="27" a="1"/>
  <c r="AK137" i="27" s="1"/>
  <c r="AK138" i="27" a="1"/>
  <c r="AK138" i="27" s="1"/>
  <c r="AK128" i="27" a="1"/>
  <c r="AK128" i="27" s="1"/>
  <c r="AK6" i="27" a="1"/>
  <c r="AK6" i="27" s="1"/>
  <c r="AK101" i="27" a="1"/>
  <c r="AK101" i="27" s="1"/>
  <c r="AK134" i="27" a="1"/>
  <c r="AK134" i="27" s="1"/>
  <c r="AK132" i="27" a="1"/>
  <c r="AK132" i="27" s="1"/>
  <c r="AK136" i="27" a="1"/>
  <c r="AK136" i="27" s="1"/>
  <c r="AK76" i="27" a="1"/>
  <c r="AK76" i="27" s="1"/>
  <c r="AK122" i="27" a="1"/>
  <c r="AK122" i="27" s="1"/>
  <c r="AK140" i="27" a="1"/>
  <c r="AK140" i="27" s="1"/>
  <c r="AK135" i="27" a="1"/>
  <c r="AK135" i="27" s="1"/>
  <c r="J65" i="31"/>
  <c r="J97" i="31"/>
  <c r="J94" i="30"/>
  <c r="J107" i="30"/>
  <c r="J68" i="30"/>
  <c r="J57" i="31"/>
  <c r="J43" i="31"/>
  <c r="J94" i="31"/>
  <c r="V113" i="31"/>
  <c r="V113" i="30"/>
  <c r="V52" i="31"/>
  <c r="V52" i="30"/>
  <c r="V68" i="31"/>
  <c r="V68" i="30"/>
  <c r="V57" i="31"/>
  <c r="V57" i="30"/>
  <c r="J57" i="30"/>
  <c r="V97" i="31"/>
  <c r="V97" i="30"/>
  <c r="V43" i="30"/>
  <c r="V43" i="31"/>
  <c r="V6" i="31"/>
  <c r="V6" i="30"/>
  <c r="V99" i="30"/>
  <c r="V99" i="31"/>
  <c r="V72" i="31"/>
  <c r="V72" i="30"/>
  <c r="V59" i="30"/>
  <c r="V59" i="31"/>
  <c r="V107" i="30"/>
  <c r="V107" i="31"/>
  <c r="V65" i="31"/>
  <c r="V65" i="30"/>
  <c r="V79" i="30"/>
  <c r="V79" i="31"/>
  <c r="J79" i="30"/>
  <c r="V109" i="31"/>
  <c r="V109" i="30"/>
  <c r="V42" i="31"/>
  <c r="V42" i="30"/>
  <c r="V94" i="30"/>
  <c r="V94" i="31"/>
  <c r="J109" i="31"/>
  <c r="J59" i="31"/>
  <c r="J52" i="31"/>
  <c r="J99" i="31"/>
  <c r="DL24" i="27"/>
  <c r="DP24" i="27"/>
  <c r="DT24" i="27"/>
  <c r="DK24" i="27"/>
  <c r="DQ24" i="27"/>
  <c r="DJ24" i="27"/>
  <c r="DR24" i="27"/>
  <c r="DN24" i="27"/>
  <c r="DU24" i="27"/>
  <c r="DM24" i="27"/>
  <c r="DS24" i="27"/>
  <c r="DO24" i="27"/>
  <c r="DM48" i="27"/>
  <c r="DQ48" i="27"/>
  <c r="DU48" i="27"/>
  <c r="DL48" i="27"/>
  <c r="DR48" i="27"/>
  <c r="DJ48" i="27"/>
  <c r="DO48" i="27"/>
  <c r="DT48" i="27"/>
  <c r="DN48" i="27"/>
  <c r="DS48" i="27"/>
  <c r="DK48" i="27"/>
  <c r="DP48" i="27"/>
  <c r="DJ72" i="27"/>
  <c r="DN72" i="27"/>
  <c r="DR72" i="27"/>
  <c r="DO72" i="27"/>
  <c r="DT72" i="27"/>
  <c r="DL72" i="27"/>
  <c r="DQ72" i="27"/>
  <c r="DM72" i="27"/>
  <c r="DS72" i="27"/>
  <c r="DU72" i="27"/>
  <c r="DK72" i="27"/>
  <c r="DP72" i="27"/>
  <c r="DJ96" i="27"/>
  <c r="DN96" i="27"/>
  <c r="DR96" i="27"/>
  <c r="DO96" i="27"/>
  <c r="DT96" i="27"/>
  <c r="DL96" i="27"/>
  <c r="DQ96" i="27"/>
  <c r="DP96" i="27"/>
  <c r="DM96" i="27"/>
  <c r="DS96" i="27"/>
  <c r="DU96" i="27"/>
  <c r="DK96" i="27"/>
  <c r="DJ120" i="27"/>
  <c r="DN120" i="27"/>
  <c r="DR120" i="27"/>
  <c r="DL120" i="27"/>
  <c r="DQ120" i="27"/>
  <c r="DK120" i="27"/>
  <c r="DS120" i="27"/>
  <c r="DT120" i="27"/>
  <c r="DM120" i="27"/>
  <c r="DU120" i="27"/>
  <c r="DO120" i="27"/>
  <c r="DP120" i="27"/>
  <c r="DJ109" i="27"/>
  <c r="DN109" i="27"/>
  <c r="DR109" i="27"/>
  <c r="DK109" i="27"/>
  <c r="DP109" i="27"/>
  <c r="DU109" i="27"/>
  <c r="DO109" i="27"/>
  <c r="DS109" i="27"/>
  <c r="DL109" i="27"/>
  <c r="DT109" i="27"/>
  <c r="DM109" i="27"/>
  <c r="DQ109" i="27"/>
  <c r="DL19" i="27"/>
  <c r="DP19" i="27"/>
  <c r="DT19" i="27"/>
  <c r="DM19" i="27"/>
  <c r="DR19" i="27"/>
  <c r="DN19" i="27"/>
  <c r="DU19" i="27"/>
  <c r="DJ19" i="27"/>
  <c r="DQ19" i="27"/>
  <c r="DO19" i="27"/>
  <c r="DK19" i="27"/>
  <c r="DS19" i="27"/>
  <c r="DM43" i="27"/>
  <c r="DQ43" i="27"/>
  <c r="DU43" i="27"/>
  <c r="DN43" i="27"/>
  <c r="DS43" i="27"/>
  <c r="DK43" i="27"/>
  <c r="DP43" i="27"/>
  <c r="DJ43" i="27"/>
  <c r="DT43" i="27"/>
  <c r="DO43" i="27"/>
  <c r="DR43" i="27"/>
  <c r="DL43" i="27"/>
  <c r="DM67" i="27"/>
  <c r="DQ67" i="27"/>
  <c r="DU67" i="27"/>
  <c r="DK67" i="27"/>
  <c r="DP67" i="27"/>
  <c r="DJ67" i="27"/>
  <c r="DR67" i="27"/>
  <c r="DN67" i="27"/>
  <c r="DT67" i="27"/>
  <c r="DO67" i="27"/>
  <c r="DL67" i="27"/>
  <c r="DS67" i="27"/>
  <c r="DJ91" i="27"/>
  <c r="DN91" i="27"/>
  <c r="DR91" i="27"/>
  <c r="DK91" i="27"/>
  <c r="DP91" i="27"/>
  <c r="DU91" i="27"/>
  <c r="DM91" i="27"/>
  <c r="DS91" i="27"/>
  <c r="DL91" i="27"/>
  <c r="DQ91" i="27"/>
  <c r="DT91" i="27"/>
  <c r="DO91" i="27"/>
  <c r="DJ121" i="27"/>
  <c r="DN121" i="27"/>
  <c r="DR121" i="27"/>
  <c r="DK121" i="27"/>
  <c r="DP121" i="27"/>
  <c r="DU121" i="27"/>
  <c r="DM121" i="27"/>
  <c r="DT121" i="27"/>
  <c r="DQ121" i="27"/>
  <c r="DS121" i="27"/>
  <c r="DO121" i="27"/>
  <c r="DL121" i="27"/>
  <c r="DL20" i="27"/>
  <c r="DP20" i="27"/>
  <c r="DT20" i="27"/>
  <c r="DK20" i="27"/>
  <c r="DQ20" i="27"/>
  <c r="DO20" i="27"/>
  <c r="DM20" i="27"/>
  <c r="DS20" i="27"/>
  <c r="DR20" i="27"/>
  <c r="DJ20" i="27"/>
  <c r="DN20" i="27"/>
  <c r="DU20" i="27"/>
  <c r="DM44" i="27"/>
  <c r="DQ44" i="27"/>
  <c r="DU44" i="27"/>
  <c r="DL44" i="27"/>
  <c r="DR44" i="27"/>
  <c r="DJ44" i="27"/>
  <c r="DO44" i="27"/>
  <c r="DT44" i="27"/>
  <c r="DS44" i="27"/>
  <c r="DN44" i="27"/>
  <c r="DP44" i="27"/>
  <c r="DK44" i="27"/>
  <c r="DM68" i="27"/>
  <c r="DQ68" i="27"/>
  <c r="DU68" i="27"/>
  <c r="DJ68" i="27"/>
  <c r="DO68" i="27"/>
  <c r="DT68" i="27"/>
  <c r="DL68" i="27"/>
  <c r="DS68" i="27"/>
  <c r="DP68" i="27"/>
  <c r="DK68" i="27"/>
  <c r="DR68" i="27"/>
  <c r="DN68" i="27"/>
  <c r="DJ92" i="27"/>
  <c r="DN92" i="27"/>
  <c r="DR92" i="27"/>
  <c r="DO92" i="27"/>
  <c r="DT92" i="27"/>
  <c r="DL92" i="27"/>
  <c r="DQ92" i="27"/>
  <c r="DK92" i="27"/>
  <c r="DU92" i="27"/>
  <c r="DS92" i="27"/>
  <c r="DM92" i="27"/>
  <c r="DP92" i="27"/>
  <c r="DJ116" i="27"/>
  <c r="DN116" i="27"/>
  <c r="DR116" i="27"/>
  <c r="DL116" i="27"/>
  <c r="DQ116" i="27"/>
  <c r="DP116" i="27"/>
  <c r="DK116" i="27"/>
  <c r="DT116" i="27"/>
  <c r="DM116" i="27"/>
  <c r="DU116" i="27"/>
  <c r="DS116" i="27"/>
  <c r="DO116" i="27"/>
  <c r="DK6" i="27"/>
  <c r="DO6" i="27"/>
  <c r="DS6" i="27"/>
  <c r="DL6" i="27"/>
  <c r="DQ6" i="27"/>
  <c r="DJ6" i="27"/>
  <c r="DP6" i="27"/>
  <c r="DR6" i="27"/>
  <c r="DM6" i="27"/>
  <c r="DT6" i="27"/>
  <c r="DN6" i="27"/>
  <c r="DU6" i="27"/>
  <c r="DL27" i="27"/>
  <c r="DP27" i="27"/>
  <c r="DT27" i="27"/>
  <c r="DM27" i="27"/>
  <c r="DR27" i="27"/>
  <c r="DJ27" i="27"/>
  <c r="DQ27" i="27"/>
  <c r="DN27" i="27"/>
  <c r="DU27" i="27"/>
  <c r="DS27" i="27"/>
  <c r="DK27" i="27"/>
  <c r="DO27" i="27"/>
  <c r="DM51" i="27"/>
  <c r="DQ51" i="27"/>
  <c r="DU51" i="27"/>
  <c r="DN51" i="27"/>
  <c r="DS51" i="27"/>
  <c r="DK51" i="27"/>
  <c r="DP51" i="27"/>
  <c r="DJ51" i="27"/>
  <c r="DT51" i="27"/>
  <c r="DO51" i="27"/>
  <c r="DR51" i="27"/>
  <c r="DL51" i="27"/>
  <c r="DJ75" i="27"/>
  <c r="DN75" i="27"/>
  <c r="DR75" i="27"/>
  <c r="DK75" i="27"/>
  <c r="DP75" i="27"/>
  <c r="DU75" i="27"/>
  <c r="DM75" i="27"/>
  <c r="DS75" i="27"/>
  <c r="DO75" i="27"/>
  <c r="DT75" i="27"/>
  <c r="DL75" i="27"/>
  <c r="DQ75" i="27"/>
  <c r="DJ99" i="27"/>
  <c r="DN99" i="27"/>
  <c r="DR99" i="27"/>
  <c r="DK99" i="27"/>
  <c r="DP99" i="27"/>
  <c r="DU99" i="27"/>
  <c r="DM99" i="27"/>
  <c r="DS99" i="27"/>
  <c r="DL99" i="27"/>
  <c r="DT99" i="27"/>
  <c r="DO99" i="27"/>
  <c r="DQ99" i="27"/>
  <c r="DJ123" i="27"/>
  <c r="DN123" i="27"/>
  <c r="DR123" i="27"/>
  <c r="DM123" i="27"/>
  <c r="DS123" i="27"/>
  <c r="DK123" i="27"/>
  <c r="DQ123" i="27"/>
  <c r="DL123" i="27"/>
  <c r="DU123" i="27"/>
  <c r="DO123" i="27"/>
  <c r="DP123" i="27"/>
  <c r="DT123" i="27"/>
  <c r="DL17" i="27"/>
  <c r="DP17" i="27"/>
  <c r="DT17" i="27"/>
  <c r="DJ17" i="27"/>
  <c r="DO17" i="27"/>
  <c r="DU17" i="27"/>
  <c r="DQ17" i="27"/>
  <c r="DM17" i="27"/>
  <c r="DS17" i="27"/>
  <c r="DK17" i="27"/>
  <c r="DR17" i="27"/>
  <c r="DN17" i="27"/>
  <c r="DM41" i="27"/>
  <c r="DQ41" i="27"/>
  <c r="DU41" i="27"/>
  <c r="DK41" i="27"/>
  <c r="DP41" i="27"/>
  <c r="DN41" i="27"/>
  <c r="DS41" i="27"/>
  <c r="DL41" i="27"/>
  <c r="DR41" i="27"/>
  <c r="DJ41" i="27"/>
  <c r="DT41" i="27"/>
  <c r="DO41" i="27"/>
  <c r="DM65" i="27"/>
  <c r="DQ65" i="27"/>
  <c r="DU65" i="27"/>
  <c r="DN65" i="27"/>
  <c r="DS65" i="27"/>
  <c r="DL65" i="27"/>
  <c r="DT65" i="27"/>
  <c r="DJ65" i="27"/>
  <c r="DP65" i="27"/>
  <c r="DK65" i="27"/>
  <c r="DR65" i="27"/>
  <c r="DO65" i="27"/>
  <c r="DJ89" i="27"/>
  <c r="DN89" i="27"/>
  <c r="DR89" i="27"/>
  <c r="DM89" i="27"/>
  <c r="DS89" i="27"/>
  <c r="DK89" i="27"/>
  <c r="DP89" i="27"/>
  <c r="DU89" i="27"/>
  <c r="DO89" i="27"/>
  <c r="DL89" i="27"/>
  <c r="DQ89" i="27"/>
  <c r="DT89" i="27"/>
  <c r="DJ113" i="27"/>
  <c r="DN113" i="27"/>
  <c r="DR113" i="27"/>
  <c r="DK113" i="27"/>
  <c r="DP113" i="27"/>
  <c r="DU113" i="27"/>
  <c r="DQ113" i="27"/>
  <c r="DS113" i="27"/>
  <c r="DL113" i="27"/>
  <c r="DT113" i="27"/>
  <c r="DO113" i="27"/>
  <c r="DM113" i="27"/>
  <c r="DJ138" i="27"/>
  <c r="DN138" i="27"/>
  <c r="DR138" i="27"/>
  <c r="DO138" i="27"/>
  <c r="DT138" i="27"/>
  <c r="DP138" i="27"/>
  <c r="DK138" i="27"/>
  <c r="DQ138" i="27"/>
  <c r="DL138" i="27"/>
  <c r="DS138" i="27"/>
  <c r="DM138" i="27"/>
  <c r="DU138" i="27"/>
  <c r="DJ124" i="27"/>
  <c r="DN124" i="27"/>
  <c r="DR124" i="27"/>
  <c r="DL124" i="27"/>
  <c r="DQ124" i="27"/>
  <c r="DM124" i="27"/>
  <c r="DT124" i="27"/>
  <c r="DS124" i="27"/>
  <c r="DK124" i="27"/>
  <c r="DU124" i="27"/>
  <c r="DP124" i="27"/>
  <c r="DO124" i="27"/>
  <c r="DJ130" i="27"/>
  <c r="DN130" i="27"/>
  <c r="DR130" i="27"/>
  <c r="DO130" i="27"/>
  <c r="DT130" i="27"/>
  <c r="DL130" i="27"/>
  <c r="DS130" i="27"/>
  <c r="DM130" i="27"/>
  <c r="DU130" i="27"/>
  <c r="DP130" i="27"/>
  <c r="DK130" i="27"/>
  <c r="DQ130" i="27"/>
  <c r="DJ100" i="27"/>
  <c r="DN100" i="27"/>
  <c r="DR100" i="27"/>
  <c r="DO100" i="27"/>
  <c r="DT100" i="27"/>
  <c r="DL100" i="27"/>
  <c r="DQ100" i="27"/>
  <c r="DK100" i="27"/>
  <c r="DU100" i="27"/>
  <c r="DM100" i="27"/>
  <c r="DP100" i="27"/>
  <c r="DS100" i="27"/>
  <c r="DJ106" i="27"/>
  <c r="DN106" i="27"/>
  <c r="DR106" i="27"/>
  <c r="DO106" i="27"/>
  <c r="DT106" i="27"/>
  <c r="DP106" i="27"/>
  <c r="DQ106" i="27"/>
  <c r="DK106" i="27"/>
  <c r="DS106" i="27"/>
  <c r="DL106" i="27"/>
  <c r="DM106" i="27"/>
  <c r="DU106" i="27"/>
  <c r="DJ76" i="27"/>
  <c r="DN76" i="27"/>
  <c r="DR76" i="27"/>
  <c r="DO76" i="27"/>
  <c r="DT76" i="27"/>
  <c r="DL76" i="27"/>
  <c r="DQ76" i="27"/>
  <c r="DM76" i="27"/>
  <c r="DS76" i="27"/>
  <c r="DP76" i="27"/>
  <c r="DU76" i="27"/>
  <c r="DK76" i="27"/>
  <c r="DL30" i="27"/>
  <c r="DP30" i="27"/>
  <c r="DT30" i="27"/>
  <c r="DN30" i="27"/>
  <c r="DS30" i="27"/>
  <c r="DJ30" i="27"/>
  <c r="DQ30" i="27"/>
  <c r="DM30" i="27"/>
  <c r="DU30" i="27"/>
  <c r="DK30" i="27"/>
  <c r="DR30" i="27"/>
  <c r="DO30" i="27"/>
  <c r="DM54" i="27"/>
  <c r="DQ54" i="27"/>
  <c r="DU54" i="27"/>
  <c r="DL54" i="27"/>
  <c r="DR54" i="27"/>
  <c r="DJ54" i="27"/>
  <c r="DP54" i="27"/>
  <c r="DN54" i="27"/>
  <c r="DT54" i="27"/>
  <c r="DO54" i="27"/>
  <c r="DS54" i="27"/>
  <c r="DK54" i="27"/>
  <c r="DJ78" i="27"/>
  <c r="DN78" i="27"/>
  <c r="DR78" i="27"/>
  <c r="DL78" i="27"/>
  <c r="DQ78" i="27"/>
  <c r="DO78" i="27"/>
  <c r="DT78" i="27"/>
  <c r="DK78" i="27"/>
  <c r="DP78" i="27"/>
  <c r="DU78" i="27"/>
  <c r="DM78" i="27"/>
  <c r="DS78" i="27"/>
  <c r="DJ102" i="27"/>
  <c r="DN102" i="27"/>
  <c r="DR102" i="27"/>
  <c r="DL102" i="27"/>
  <c r="DQ102" i="27"/>
  <c r="DO102" i="27"/>
  <c r="DT102" i="27"/>
  <c r="DS102" i="27"/>
  <c r="DM102" i="27"/>
  <c r="DP102" i="27"/>
  <c r="DU102" i="27"/>
  <c r="DK102" i="27"/>
  <c r="DJ126" i="27"/>
  <c r="DN126" i="27"/>
  <c r="DR126" i="27"/>
  <c r="DO126" i="27"/>
  <c r="DT126" i="27"/>
  <c r="DL126" i="27"/>
  <c r="DS126" i="27"/>
  <c r="DM126" i="27"/>
  <c r="DU126" i="27"/>
  <c r="DK126" i="27"/>
  <c r="DP126" i="27"/>
  <c r="DQ126" i="27"/>
  <c r="DJ140" i="27"/>
  <c r="DN140" i="27"/>
  <c r="DR140" i="27"/>
  <c r="DL140" i="27"/>
  <c r="DQ140" i="27"/>
  <c r="DM140" i="27"/>
  <c r="DT140" i="27"/>
  <c r="DO140" i="27"/>
  <c r="DU140" i="27"/>
  <c r="DP140" i="27"/>
  <c r="DK140" i="27"/>
  <c r="DS140" i="27"/>
  <c r="DL25" i="27"/>
  <c r="DP25" i="27"/>
  <c r="DT25" i="27"/>
  <c r="DJ25" i="27"/>
  <c r="DO25" i="27"/>
  <c r="DU25" i="27"/>
  <c r="DM25" i="27"/>
  <c r="DS25" i="27"/>
  <c r="DQ25" i="27"/>
  <c r="DN25" i="27"/>
  <c r="DK25" i="27"/>
  <c r="DR25" i="27"/>
  <c r="DM49" i="27"/>
  <c r="DQ49" i="27"/>
  <c r="DU49" i="27"/>
  <c r="DK49" i="27"/>
  <c r="DP49" i="27"/>
  <c r="DN49" i="27"/>
  <c r="DS49" i="27"/>
  <c r="DL49" i="27"/>
  <c r="DR49" i="27"/>
  <c r="DJ49" i="27"/>
  <c r="DT49" i="27"/>
  <c r="DO49" i="27"/>
  <c r="DJ73" i="27"/>
  <c r="DN73" i="27"/>
  <c r="DR73" i="27"/>
  <c r="DM73" i="27"/>
  <c r="DS73" i="27"/>
  <c r="DK73" i="27"/>
  <c r="DP73" i="27"/>
  <c r="DU73" i="27"/>
  <c r="DL73" i="27"/>
  <c r="DQ73" i="27"/>
  <c r="DO73" i="27"/>
  <c r="DT73" i="27"/>
  <c r="DJ97" i="27"/>
  <c r="DN97" i="27"/>
  <c r="DR97" i="27"/>
  <c r="DM97" i="27"/>
  <c r="DS97" i="27"/>
  <c r="DK97" i="27"/>
  <c r="DP97" i="27"/>
  <c r="DU97" i="27"/>
  <c r="DO97" i="27"/>
  <c r="DQ97" i="27"/>
  <c r="DT97" i="27"/>
  <c r="DL97" i="27"/>
  <c r="DJ133" i="27"/>
  <c r="DN133" i="27"/>
  <c r="DR133" i="27"/>
  <c r="DK133" i="27"/>
  <c r="DP133" i="27"/>
  <c r="DU133" i="27"/>
  <c r="DL133" i="27"/>
  <c r="DS133" i="27"/>
  <c r="DM133" i="27"/>
  <c r="DT133" i="27"/>
  <c r="DO133" i="27"/>
  <c r="DQ133" i="27"/>
  <c r="DL26" i="27"/>
  <c r="DP26" i="27"/>
  <c r="DT26" i="27"/>
  <c r="DN26" i="27"/>
  <c r="DS26" i="27"/>
  <c r="DO26" i="27"/>
  <c r="DK26" i="27"/>
  <c r="DR26" i="27"/>
  <c r="DQ26" i="27"/>
  <c r="DJ26" i="27"/>
  <c r="DM26" i="27"/>
  <c r="DU26" i="27"/>
  <c r="DM50" i="27"/>
  <c r="DQ50" i="27"/>
  <c r="DU50" i="27"/>
  <c r="DJ50" i="27"/>
  <c r="DO50" i="27"/>
  <c r="DT50" i="27"/>
  <c r="DL50" i="27"/>
  <c r="DR50" i="27"/>
  <c r="DK50" i="27"/>
  <c r="DP50" i="27"/>
  <c r="DS50" i="27"/>
  <c r="DN50" i="27"/>
  <c r="DJ74" i="27"/>
  <c r="DN74" i="27"/>
  <c r="DR74" i="27"/>
  <c r="DL74" i="27"/>
  <c r="DQ74" i="27"/>
  <c r="DO74" i="27"/>
  <c r="DT74" i="27"/>
  <c r="DK74" i="27"/>
  <c r="DP74" i="27"/>
  <c r="DU74" i="27"/>
  <c r="DS74" i="27"/>
  <c r="DM74" i="27"/>
  <c r="DJ98" i="27"/>
  <c r="DN98" i="27"/>
  <c r="DR98" i="27"/>
  <c r="DL98" i="27"/>
  <c r="DQ98" i="27"/>
  <c r="DO98" i="27"/>
  <c r="DT98" i="27"/>
  <c r="DM98" i="27"/>
  <c r="DS98" i="27"/>
  <c r="DU98" i="27"/>
  <c r="DK98" i="27"/>
  <c r="DP98" i="27"/>
  <c r="DJ122" i="27"/>
  <c r="DN122" i="27"/>
  <c r="DR122" i="27"/>
  <c r="DO122" i="27"/>
  <c r="DT122" i="27"/>
  <c r="DP122" i="27"/>
  <c r="DM122" i="27"/>
  <c r="DQ122" i="27"/>
  <c r="DU122" i="27"/>
  <c r="DK122" i="27"/>
  <c r="DL122" i="27"/>
  <c r="DS122" i="27"/>
  <c r="DL9" i="27"/>
  <c r="DP9" i="27"/>
  <c r="DT9" i="27"/>
  <c r="DM9" i="27"/>
  <c r="DR9" i="27"/>
  <c r="DJ9" i="27"/>
  <c r="DO9" i="27"/>
  <c r="DU9" i="27"/>
  <c r="DS9" i="27"/>
  <c r="DN9" i="27"/>
  <c r="DK9" i="27"/>
  <c r="DQ9" i="27"/>
  <c r="DL33" i="27"/>
  <c r="DP33" i="27"/>
  <c r="DT33" i="27"/>
  <c r="DJ33" i="27"/>
  <c r="DO33" i="27"/>
  <c r="DU33" i="27"/>
  <c r="DQ33" i="27"/>
  <c r="DM33" i="27"/>
  <c r="DS33" i="27"/>
  <c r="DR33" i="27"/>
  <c r="DK33" i="27"/>
  <c r="DN33" i="27"/>
  <c r="DM57" i="27"/>
  <c r="DQ57" i="27"/>
  <c r="DU57" i="27"/>
  <c r="DN57" i="27"/>
  <c r="DS57" i="27"/>
  <c r="DJ57" i="27"/>
  <c r="DP57" i="27"/>
  <c r="DL57" i="27"/>
  <c r="DT57" i="27"/>
  <c r="DO57" i="27"/>
  <c r="DK57" i="27"/>
  <c r="DR57" i="27"/>
  <c r="DJ81" i="27"/>
  <c r="DN81" i="27"/>
  <c r="DR81" i="27"/>
  <c r="DM81" i="27"/>
  <c r="DS81" i="27"/>
  <c r="DK81" i="27"/>
  <c r="DP81" i="27"/>
  <c r="DU81" i="27"/>
  <c r="DL81" i="27"/>
  <c r="DQ81" i="27"/>
  <c r="DT81" i="27"/>
  <c r="DO81" i="27"/>
  <c r="DJ105" i="27"/>
  <c r="DN105" i="27"/>
  <c r="DR105" i="27"/>
  <c r="DK105" i="27"/>
  <c r="DP105" i="27"/>
  <c r="DU105" i="27"/>
  <c r="DM105" i="27"/>
  <c r="DT105" i="27"/>
  <c r="DQ105" i="27"/>
  <c r="DS105" i="27"/>
  <c r="DL105" i="27"/>
  <c r="DO105" i="27"/>
  <c r="DJ129" i="27"/>
  <c r="DN129" i="27"/>
  <c r="DR129" i="27"/>
  <c r="DK129" i="27"/>
  <c r="DP129" i="27"/>
  <c r="DU129" i="27"/>
  <c r="DL129" i="27"/>
  <c r="DQ129" i="27"/>
  <c r="DO129" i="27"/>
  <c r="DS129" i="27"/>
  <c r="DT129" i="27"/>
  <c r="DM129" i="27"/>
  <c r="DL23" i="27"/>
  <c r="DP23" i="27"/>
  <c r="DT23" i="27"/>
  <c r="DM23" i="27"/>
  <c r="DR23" i="27"/>
  <c r="DO23" i="27"/>
  <c r="DK23" i="27"/>
  <c r="DS23" i="27"/>
  <c r="DJ23" i="27"/>
  <c r="DQ23" i="27"/>
  <c r="DU23" i="27"/>
  <c r="DN23" i="27"/>
  <c r="DM47" i="27"/>
  <c r="DQ47" i="27"/>
  <c r="DU47" i="27"/>
  <c r="DN47" i="27"/>
  <c r="DS47" i="27"/>
  <c r="DK47" i="27"/>
  <c r="DP47" i="27"/>
  <c r="DO47" i="27"/>
  <c r="DJ47" i="27"/>
  <c r="DT47" i="27"/>
  <c r="DL47" i="27"/>
  <c r="DR47" i="27"/>
  <c r="DJ71" i="27"/>
  <c r="DN71" i="27"/>
  <c r="DR71" i="27"/>
  <c r="DK71" i="27"/>
  <c r="DP71" i="27"/>
  <c r="DU71" i="27"/>
  <c r="DM71" i="27"/>
  <c r="DS71" i="27"/>
  <c r="DO71" i="27"/>
  <c r="DT71" i="27"/>
  <c r="DL71" i="27"/>
  <c r="DQ71" i="27"/>
  <c r="DJ95" i="27"/>
  <c r="DN95" i="27"/>
  <c r="DR95" i="27"/>
  <c r="DK95" i="27"/>
  <c r="DP95" i="27"/>
  <c r="DU95" i="27"/>
  <c r="DM95" i="27"/>
  <c r="DS95" i="27"/>
  <c r="DQ95" i="27"/>
  <c r="DL95" i="27"/>
  <c r="DO95" i="27"/>
  <c r="DT95" i="27"/>
  <c r="DJ119" i="27"/>
  <c r="DN119" i="27"/>
  <c r="DR119" i="27"/>
  <c r="DM119" i="27"/>
  <c r="DS119" i="27"/>
  <c r="DP119" i="27"/>
  <c r="DL119" i="27"/>
  <c r="DU119" i="27"/>
  <c r="DO119" i="27"/>
  <c r="DT119" i="27"/>
  <c r="DK119" i="27"/>
  <c r="DQ119" i="27"/>
  <c r="DJ127" i="27"/>
  <c r="DN127" i="27"/>
  <c r="DR127" i="27"/>
  <c r="DM127" i="27"/>
  <c r="DS127" i="27"/>
  <c r="DO127" i="27"/>
  <c r="DU127" i="27"/>
  <c r="DP127" i="27"/>
  <c r="DL127" i="27"/>
  <c r="DQ127" i="27"/>
  <c r="DT127" i="27"/>
  <c r="DK127" i="27"/>
  <c r="DL16" i="27"/>
  <c r="DP16" i="27"/>
  <c r="DT16" i="27"/>
  <c r="DK16" i="27"/>
  <c r="DQ16" i="27"/>
  <c r="DN16" i="27"/>
  <c r="DU16" i="27"/>
  <c r="DJ16" i="27"/>
  <c r="DR16" i="27"/>
  <c r="DO16" i="27"/>
  <c r="DS16" i="27"/>
  <c r="DM16" i="27"/>
  <c r="DL22" i="27"/>
  <c r="DP22" i="27"/>
  <c r="DT22" i="27"/>
  <c r="DN22" i="27"/>
  <c r="DS22" i="27"/>
  <c r="DM22" i="27"/>
  <c r="DU22" i="27"/>
  <c r="DJ22" i="27"/>
  <c r="DQ22" i="27"/>
  <c r="DO22" i="27"/>
  <c r="DR22" i="27"/>
  <c r="DK22" i="27"/>
  <c r="DJ137" i="27"/>
  <c r="DN137" i="27"/>
  <c r="DR137" i="27"/>
  <c r="DK137" i="27"/>
  <c r="DP137" i="27"/>
  <c r="DU137" i="27"/>
  <c r="DM137" i="27"/>
  <c r="DT137" i="27"/>
  <c r="DO137" i="27"/>
  <c r="DQ137" i="27"/>
  <c r="DL137" i="27"/>
  <c r="DS137" i="27"/>
  <c r="DL10" i="27"/>
  <c r="DP10" i="27"/>
  <c r="DT10" i="27"/>
  <c r="DK10" i="27"/>
  <c r="DQ10" i="27"/>
  <c r="DN10" i="27"/>
  <c r="DS10" i="27"/>
  <c r="DR10" i="27"/>
  <c r="DM10" i="27"/>
  <c r="DU10" i="27"/>
  <c r="DJ10" i="27"/>
  <c r="DO10" i="27"/>
  <c r="DL12" i="27"/>
  <c r="DP12" i="27"/>
  <c r="DT12" i="27"/>
  <c r="DK12" i="27"/>
  <c r="DQ12" i="27"/>
  <c r="DM12" i="27"/>
  <c r="DS12" i="27"/>
  <c r="DO12" i="27"/>
  <c r="DN12" i="27"/>
  <c r="DU12" i="27"/>
  <c r="DJ12" i="27"/>
  <c r="DR12" i="27"/>
  <c r="DM36" i="27"/>
  <c r="DQ36" i="27"/>
  <c r="DU36" i="27"/>
  <c r="DL36" i="27"/>
  <c r="DR36" i="27"/>
  <c r="DJ36" i="27"/>
  <c r="DO36" i="27"/>
  <c r="DT36" i="27"/>
  <c r="DS36" i="27"/>
  <c r="DN36" i="27"/>
  <c r="DP36" i="27"/>
  <c r="DK36" i="27"/>
  <c r="DM60" i="27"/>
  <c r="DQ60" i="27"/>
  <c r="DU60" i="27"/>
  <c r="DJ60" i="27"/>
  <c r="DO60" i="27"/>
  <c r="DT60" i="27"/>
  <c r="DP60" i="27"/>
  <c r="DL60" i="27"/>
  <c r="DS60" i="27"/>
  <c r="DN60" i="27"/>
  <c r="DK60" i="27"/>
  <c r="DR60" i="27"/>
  <c r="DJ84" i="27"/>
  <c r="DN84" i="27"/>
  <c r="DR84" i="27"/>
  <c r="DO84" i="27"/>
  <c r="DT84" i="27"/>
  <c r="DL84" i="27"/>
  <c r="DQ84" i="27"/>
  <c r="DK84" i="27"/>
  <c r="DU84" i="27"/>
  <c r="DP84" i="27"/>
  <c r="DS84" i="27"/>
  <c r="DM84" i="27"/>
  <c r="DJ108" i="27"/>
  <c r="DN108" i="27"/>
  <c r="DR108" i="27"/>
  <c r="DL108" i="27"/>
  <c r="DQ108" i="27"/>
  <c r="DM108" i="27"/>
  <c r="DT108" i="27"/>
  <c r="DK108" i="27"/>
  <c r="DU108" i="27"/>
  <c r="DO108" i="27"/>
  <c r="DS108" i="27"/>
  <c r="DP108" i="27"/>
  <c r="DJ132" i="27"/>
  <c r="DN132" i="27"/>
  <c r="DR132" i="27"/>
  <c r="DL132" i="27"/>
  <c r="DQ132" i="27"/>
  <c r="DP132" i="27"/>
  <c r="DK132" i="27"/>
  <c r="DS132" i="27"/>
  <c r="DM132" i="27"/>
  <c r="DT132" i="27"/>
  <c r="DO132" i="27"/>
  <c r="DU132" i="27"/>
  <c r="DL7" i="27"/>
  <c r="DP7" i="27"/>
  <c r="DT7" i="27"/>
  <c r="DJ7" i="27"/>
  <c r="DO7" i="27"/>
  <c r="DU7" i="27"/>
  <c r="DM7" i="27"/>
  <c r="DR7" i="27"/>
  <c r="DK7" i="27"/>
  <c r="DQ7" i="27"/>
  <c r="DN7" i="27"/>
  <c r="DS7" i="27"/>
  <c r="DL31" i="27"/>
  <c r="DP31" i="27"/>
  <c r="DT31" i="27"/>
  <c r="DM31" i="27"/>
  <c r="DR31" i="27"/>
  <c r="DK31" i="27"/>
  <c r="DS31" i="27"/>
  <c r="DO31" i="27"/>
  <c r="DN31" i="27"/>
  <c r="DU31" i="27"/>
  <c r="DJ31" i="27"/>
  <c r="DQ31" i="27"/>
  <c r="DM55" i="27"/>
  <c r="DQ55" i="27"/>
  <c r="DU55" i="27"/>
  <c r="DK55" i="27"/>
  <c r="DP55" i="27"/>
  <c r="DL55" i="27"/>
  <c r="DS55" i="27"/>
  <c r="DO55" i="27"/>
  <c r="DJ55" i="27"/>
  <c r="DR55" i="27"/>
  <c r="DN55" i="27"/>
  <c r="DT55" i="27"/>
  <c r="DJ79" i="27"/>
  <c r="DN79" i="27"/>
  <c r="DR79" i="27"/>
  <c r="DK79" i="27"/>
  <c r="DP79" i="27"/>
  <c r="DU79" i="27"/>
  <c r="DM79" i="27"/>
  <c r="DS79" i="27"/>
  <c r="DO79" i="27"/>
  <c r="DT79" i="27"/>
  <c r="DL79" i="27"/>
  <c r="DQ79" i="27"/>
  <c r="DJ103" i="27"/>
  <c r="DN103" i="27"/>
  <c r="DR103" i="27"/>
  <c r="DK103" i="27"/>
  <c r="DP103" i="27"/>
  <c r="DU103" i="27"/>
  <c r="DM103" i="27"/>
  <c r="DS103" i="27"/>
  <c r="DQ103" i="27"/>
  <c r="DO103" i="27"/>
  <c r="DT103" i="27"/>
  <c r="DL103" i="27"/>
  <c r="DL8" i="27"/>
  <c r="DP8" i="27"/>
  <c r="DT8" i="27"/>
  <c r="DN8" i="27"/>
  <c r="DS8" i="27"/>
  <c r="DK8" i="27"/>
  <c r="DQ8" i="27"/>
  <c r="DJ8" i="27"/>
  <c r="DU8" i="27"/>
  <c r="DO8" i="27"/>
  <c r="DM8" i="27"/>
  <c r="DR8" i="27"/>
  <c r="DL32" i="27"/>
  <c r="DP32" i="27"/>
  <c r="DT32" i="27"/>
  <c r="DK32" i="27"/>
  <c r="DQ32" i="27"/>
  <c r="DN32" i="27"/>
  <c r="DU32" i="27"/>
  <c r="DJ32" i="27"/>
  <c r="DR32" i="27"/>
  <c r="DO32" i="27"/>
  <c r="DM32" i="27"/>
  <c r="DS32" i="27"/>
  <c r="DM56" i="27"/>
  <c r="DQ56" i="27"/>
  <c r="DU56" i="27"/>
  <c r="DJ56" i="27"/>
  <c r="DO56" i="27"/>
  <c r="DT56" i="27"/>
  <c r="DN56" i="27"/>
  <c r="DK56" i="27"/>
  <c r="DR56" i="27"/>
  <c r="DL56" i="27"/>
  <c r="DS56" i="27"/>
  <c r="DP56" i="27"/>
  <c r="DJ80" i="27"/>
  <c r="DN80" i="27"/>
  <c r="DR80" i="27"/>
  <c r="DO80" i="27"/>
  <c r="DT80" i="27"/>
  <c r="DL80" i="27"/>
  <c r="DQ80" i="27"/>
  <c r="DM80" i="27"/>
  <c r="DS80" i="27"/>
  <c r="DK80" i="27"/>
  <c r="DP80" i="27"/>
  <c r="DU80" i="27"/>
  <c r="DJ104" i="27"/>
  <c r="DN104" i="27"/>
  <c r="DR104" i="27"/>
  <c r="DO104" i="27"/>
  <c r="DT104" i="27"/>
  <c r="DL104" i="27"/>
  <c r="DQ104" i="27"/>
  <c r="DP104" i="27"/>
  <c r="DS104" i="27"/>
  <c r="DU104" i="27"/>
  <c r="DK104" i="27"/>
  <c r="DM104" i="27"/>
  <c r="DJ128" i="27"/>
  <c r="DN128" i="27"/>
  <c r="DR128" i="27"/>
  <c r="DL128" i="27"/>
  <c r="DQ128" i="27"/>
  <c r="DP128" i="27"/>
  <c r="DK128" i="27"/>
  <c r="DS128" i="27"/>
  <c r="DO128" i="27"/>
  <c r="DT128" i="27"/>
  <c r="DU128" i="27"/>
  <c r="DM128" i="27"/>
  <c r="DL15" i="27"/>
  <c r="DP15" i="27"/>
  <c r="DT15" i="27"/>
  <c r="DM15" i="27"/>
  <c r="DR15" i="27"/>
  <c r="DK15" i="27"/>
  <c r="DS15" i="27"/>
  <c r="DO15" i="27"/>
  <c r="DU15" i="27"/>
  <c r="DN15" i="27"/>
  <c r="DQ15" i="27"/>
  <c r="DJ15" i="27"/>
  <c r="DM39" i="27"/>
  <c r="DQ39" i="27"/>
  <c r="DU39" i="27"/>
  <c r="DN39" i="27"/>
  <c r="DS39" i="27"/>
  <c r="DK39" i="27"/>
  <c r="DP39" i="27"/>
  <c r="DO39" i="27"/>
  <c r="DJ39" i="27"/>
  <c r="DT39" i="27"/>
  <c r="DL39" i="27"/>
  <c r="DR39" i="27"/>
  <c r="DM63" i="27"/>
  <c r="DQ63" i="27"/>
  <c r="DU63" i="27"/>
  <c r="DK63" i="27"/>
  <c r="DP63" i="27"/>
  <c r="DO63" i="27"/>
  <c r="DL63" i="27"/>
  <c r="DS63" i="27"/>
  <c r="DN63" i="27"/>
  <c r="DT63" i="27"/>
  <c r="DJ63" i="27"/>
  <c r="DR63" i="27"/>
  <c r="DJ87" i="27"/>
  <c r="DN87" i="27"/>
  <c r="DR87" i="27"/>
  <c r="DK87" i="27"/>
  <c r="DP87" i="27"/>
  <c r="DU87" i="27"/>
  <c r="DM87" i="27"/>
  <c r="DS87" i="27"/>
  <c r="DQ87" i="27"/>
  <c r="DL87" i="27"/>
  <c r="DO87" i="27"/>
  <c r="DT87" i="27"/>
  <c r="DJ111" i="27"/>
  <c r="DN111" i="27"/>
  <c r="DR111" i="27"/>
  <c r="DM111" i="27"/>
  <c r="DS111" i="27"/>
  <c r="DL111" i="27"/>
  <c r="DT111" i="27"/>
  <c r="DO111" i="27"/>
  <c r="DP111" i="27"/>
  <c r="DU111" i="27"/>
  <c r="DK111" i="27"/>
  <c r="DQ111" i="27"/>
  <c r="DJ136" i="27"/>
  <c r="DN136" i="27"/>
  <c r="DR136" i="27"/>
  <c r="DL136" i="27"/>
  <c r="DQ136" i="27"/>
  <c r="DK136" i="27"/>
  <c r="DS136" i="27"/>
  <c r="DM136" i="27"/>
  <c r="DT136" i="27"/>
  <c r="DO136" i="27"/>
  <c r="DU136" i="27"/>
  <c r="DP136" i="27"/>
  <c r="DL29" i="27"/>
  <c r="DP29" i="27"/>
  <c r="DT29" i="27"/>
  <c r="DJ29" i="27"/>
  <c r="DO29" i="27"/>
  <c r="DU29" i="27"/>
  <c r="DN29" i="27"/>
  <c r="DK29" i="27"/>
  <c r="DR29" i="27"/>
  <c r="DQ29" i="27"/>
  <c r="DS29" i="27"/>
  <c r="DM29" i="27"/>
  <c r="DM53" i="27"/>
  <c r="DQ53" i="27"/>
  <c r="DU53" i="27"/>
  <c r="DN53" i="27"/>
  <c r="DS53" i="27"/>
  <c r="DO53" i="27"/>
  <c r="DK53" i="27"/>
  <c r="DR53" i="27"/>
  <c r="DL53" i="27"/>
  <c r="DT53" i="27"/>
  <c r="DP53" i="27"/>
  <c r="DJ53" i="27"/>
  <c r="DJ77" i="27"/>
  <c r="DN77" i="27"/>
  <c r="DR77" i="27"/>
  <c r="DM77" i="27"/>
  <c r="DS77" i="27"/>
  <c r="DK77" i="27"/>
  <c r="DP77" i="27"/>
  <c r="DU77" i="27"/>
  <c r="DL77" i="27"/>
  <c r="DQ77" i="27"/>
  <c r="DO77" i="27"/>
  <c r="DT77" i="27"/>
  <c r="DJ101" i="27"/>
  <c r="DN101" i="27"/>
  <c r="DR101" i="27"/>
  <c r="DM101" i="27"/>
  <c r="DS101" i="27"/>
  <c r="DK101" i="27"/>
  <c r="DP101" i="27"/>
  <c r="DU101" i="27"/>
  <c r="DT101" i="27"/>
  <c r="DL101" i="27"/>
  <c r="DO101" i="27"/>
  <c r="DQ101" i="27"/>
  <c r="DJ125" i="27"/>
  <c r="DN125" i="27"/>
  <c r="DR125" i="27"/>
  <c r="DK125" i="27"/>
  <c r="DP125" i="27"/>
  <c r="DU125" i="27"/>
  <c r="DO125" i="27"/>
  <c r="DQ125" i="27"/>
  <c r="DS125" i="27"/>
  <c r="DL125" i="27"/>
  <c r="DM125" i="27"/>
  <c r="DT125" i="27"/>
  <c r="DM52" i="27"/>
  <c r="DQ52" i="27"/>
  <c r="DU52" i="27"/>
  <c r="DL52" i="27"/>
  <c r="DR52" i="27"/>
  <c r="DJ52" i="27"/>
  <c r="DO52" i="27"/>
  <c r="DT52" i="27"/>
  <c r="DS52" i="27"/>
  <c r="DN52" i="27"/>
  <c r="DP52" i="27"/>
  <c r="DK52" i="27"/>
  <c r="DM58" i="27"/>
  <c r="DQ58" i="27"/>
  <c r="DU58" i="27"/>
  <c r="DL58" i="27"/>
  <c r="DR58" i="27"/>
  <c r="DK58" i="27"/>
  <c r="DS58" i="27"/>
  <c r="DO58" i="27"/>
  <c r="DJ58" i="27"/>
  <c r="DP58" i="27"/>
  <c r="DN58" i="27"/>
  <c r="DT58" i="27"/>
  <c r="DL28" i="27"/>
  <c r="DP28" i="27"/>
  <c r="DT28" i="27"/>
  <c r="DK28" i="27"/>
  <c r="DQ28" i="27"/>
  <c r="DM28" i="27"/>
  <c r="DS28" i="27"/>
  <c r="DO28" i="27"/>
  <c r="DU28" i="27"/>
  <c r="DN28" i="27"/>
  <c r="DR28" i="27"/>
  <c r="DJ28" i="27"/>
  <c r="DL34" i="27"/>
  <c r="DP34" i="27"/>
  <c r="DT34" i="27"/>
  <c r="DN34" i="27"/>
  <c r="DS34" i="27"/>
  <c r="DK34" i="27"/>
  <c r="DR34" i="27"/>
  <c r="DO34" i="27"/>
  <c r="DU34" i="27"/>
  <c r="DM34" i="27"/>
  <c r="DQ34" i="27"/>
  <c r="DJ34" i="27"/>
  <c r="DM46" i="27"/>
  <c r="DQ46" i="27"/>
  <c r="DU46" i="27"/>
  <c r="DJ46" i="27"/>
  <c r="DO46" i="27"/>
  <c r="DT46" i="27"/>
  <c r="DL46" i="27"/>
  <c r="DR46" i="27"/>
  <c r="DP46" i="27"/>
  <c r="DK46" i="27"/>
  <c r="DN46" i="27"/>
  <c r="DS46" i="27"/>
  <c r="DJ82" i="27"/>
  <c r="DN82" i="27"/>
  <c r="DR82" i="27"/>
  <c r="DL82" i="27"/>
  <c r="DQ82" i="27"/>
  <c r="DO82" i="27"/>
  <c r="DT82" i="27"/>
  <c r="DK82" i="27"/>
  <c r="DP82" i="27"/>
  <c r="DM82" i="27"/>
  <c r="DS82" i="27"/>
  <c r="DU82" i="27"/>
  <c r="DL18" i="27"/>
  <c r="DP18" i="27"/>
  <c r="DT18" i="27"/>
  <c r="DN18" i="27"/>
  <c r="DS18" i="27"/>
  <c r="DK18" i="27"/>
  <c r="DR18" i="27"/>
  <c r="DO18" i="27"/>
  <c r="DM18" i="27"/>
  <c r="DU18" i="27"/>
  <c r="DJ18" i="27"/>
  <c r="DQ18" i="27"/>
  <c r="DM42" i="27"/>
  <c r="DQ42" i="27"/>
  <c r="DU42" i="27"/>
  <c r="DJ42" i="27"/>
  <c r="DO42" i="27"/>
  <c r="DT42" i="27"/>
  <c r="DL42" i="27"/>
  <c r="DR42" i="27"/>
  <c r="DK42" i="27"/>
  <c r="DP42" i="27"/>
  <c r="DS42" i="27"/>
  <c r="DN42" i="27"/>
  <c r="DM66" i="27"/>
  <c r="DQ66" i="27"/>
  <c r="DU66" i="27"/>
  <c r="DL66" i="27"/>
  <c r="DR66" i="27"/>
  <c r="DO66" i="27"/>
  <c r="DK66" i="27"/>
  <c r="DS66" i="27"/>
  <c r="DN66" i="27"/>
  <c r="DT66" i="27"/>
  <c r="DP66" i="27"/>
  <c r="DJ66" i="27"/>
  <c r="DJ90" i="27"/>
  <c r="DN90" i="27"/>
  <c r="DR90" i="27"/>
  <c r="DL90" i="27"/>
  <c r="DQ90" i="27"/>
  <c r="DO90" i="27"/>
  <c r="DT90" i="27"/>
  <c r="DM90" i="27"/>
  <c r="DP90" i="27"/>
  <c r="DS90" i="27"/>
  <c r="DU90" i="27"/>
  <c r="DK90" i="27"/>
  <c r="DJ114" i="27"/>
  <c r="DN114" i="27"/>
  <c r="DR114" i="27"/>
  <c r="DO114" i="27"/>
  <c r="DT114" i="27"/>
  <c r="DL114" i="27"/>
  <c r="DS114" i="27"/>
  <c r="DP114" i="27"/>
  <c r="DQ114" i="27"/>
  <c r="DK114" i="27"/>
  <c r="DM114" i="27"/>
  <c r="DU114" i="27"/>
  <c r="DJ139" i="27"/>
  <c r="DN139" i="27"/>
  <c r="DR139" i="27"/>
  <c r="DM139" i="27"/>
  <c r="DS139" i="27"/>
  <c r="DK139" i="27"/>
  <c r="DQ139" i="27"/>
  <c r="DL139" i="27"/>
  <c r="DT139" i="27"/>
  <c r="DO139" i="27"/>
  <c r="DU139" i="27"/>
  <c r="DP139" i="27"/>
  <c r="DL13" i="27"/>
  <c r="DP13" i="27"/>
  <c r="DT13" i="27"/>
  <c r="DJ13" i="27"/>
  <c r="DO13" i="27"/>
  <c r="DU13" i="27"/>
  <c r="DN13" i="27"/>
  <c r="DK13" i="27"/>
  <c r="DR13" i="27"/>
  <c r="DQ13" i="27"/>
  <c r="DM13" i="27"/>
  <c r="DS13" i="27"/>
  <c r="DM37" i="27"/>
  <c r="DQ37" i="27"/>
  <c r="DU37" i="27"/>
  <c r="DK37" i="27"/>
  <c r="DP37" i="27"/>
  <c r="DN37" i="27"/>
  <c r="DS37" i="27"/>
  <c r="DR37" i="27"/>
  <c r="DL37" i="27"/>
  <c r="DO37" i="27"/>
  <c r="DT37" i="27"/>
  <c r="DJ37" i="27"/>
  <c r="DM61" i="27"/>
  <c r="DQ61" i="27"/>
  <c r="DU61" i="27"/>
  <c r="DN61" i="27"/>
  <c r="DS61" i="27"/>
  <c r="DK61" i="27"/>
  <c r="DR61" i="27"/>
  <c r="DO61" i="27"/>
  <c r="DJ61" i="27"/>
  <c r="DP61" i="27"/>
  <c r="DT61" i="27"/>
  <c r="DL61" i="27"/>
  <c r="DJ85" i="27"/>
  <c r="DN85" i="27"/>
  <c r="DR85" i="27"/>
  <c r="DM85" i="27"/>
  <c r="DS85" i="27"/>
  <c r="DK85" i="27"/>
  <c r="DP85" i="27"/>
  <c r="DU85" i="27"/>
  <c r="DT85" i="27"/>
  <c r="DQ85" i="27"/>
  <c r="DL85" i="27"/>
  <c r="DO85" i="27"/>
  <c r="DJ115" i="27"/>
  <c r="DN115" i="27"/>
  <c r="DR115" i="27"/>
  <c r="DM115" i="27"/>
  <c r="DS115" i="27"/>
  <c r="DO115" i="27"/>
  <c r="DU115" i="27"/>
  <c r="DL115" i="27"/>
  <c r="DP115" i="27"/>
  <c r="DK115" i="27"/>
  <c r="DQ115" i="27"/>
  <c r="DT115" i="27"/>
  <c r="DL14" i="27"/>
  <c r="DP14" i="27"/>
  <c r="DT14" i="27"/>
  <c r="DN14" i="27"/>
  <c r="DS14" i="27"/>
  <c r="DJ14" i="27"/>
  <c r="DQ14" i="27"/>
  <c r="DM14" i="27"/>
  <c r="DU14" i="27"/>
  <c r="DR14" i="27"/>
  <c r="DK14" i="27"/>
  <c r="DO14" i="27"/>
  <c r="DM38" i="27"/>
  <c r="DQ38" i="27"/>
  <c r="DU38" i="27"/>
  <c r="DJ38" i="27"/>
  <c r="DO38" i="27"/>
  <c r="DT38" i="27"/>
  <c r="DL38" i="27"/>
  <c r="DR38" i="27"/>
  <c r="DP38" i="27"/>
  <c r="DK38" i="27"/>
  <c r="DN38" i="27"/>
  <c r="DS38" i="27"/>
  <c r="DM62" i="27"/>
  <c r="DQ62" i="27"/>
  <c r="DU62" i="27"/>
  <c r="DL62" i="27"/>
  <c r="DR62" i="27"/>
  <c r="DN62" i="27"/>
  <c r="DT62" i="27"/>
  <c r="DJ62" i="27"/>
  <c r="DP62" i="27"/>
  <c r="DK62" i="27"/>
  <c r="DS62" i="27"/>
  <c r="DO62" i="27"/>
  <c r="DJ86" i="27"/>
  <c r="DN86" i="27"/>
  <c r="DR86" i="27"/>
  <c r="DL86" i="27"/>
  <c r="DQ86" i="27"/>
  <c r="DO86" i="27"/>
  <c r="DT86" i="27"/>
  <c r="DS86" i="27"/>
  <c r="DU86" i="27"/>
  <c r="DK86" i="27"/>
  <c r="DM86" i="27"/>
  <c r="DP86" i="27"/>
  <c r="DJ110" i="27"/>
  <c r="DN110" i="27"/>
  <c r="DR110" i="27"/>
  <c r="DO110" i="27"/>
  <c r="DT110" i="27"/>
  <c r="DK110" i="27"/>
  <c r="DQ110" i="27"/>
  <c r="DP110" i="27"/>
  <c r="DS110" i="27"/>
  <c r="DM110" i="27"/>
  <c r="DU110" i="27"/>
  <c r="DL110" i="27"/>
  <c r="DJ134" i="27"/>
  <c r="DN134" i="27"/>
  <c r="DR134" i="27"/>
  <c r="DO134" i="27"/>
  <c r="DT134" i="27"/>
  <c r="DM134" i="27"/>
  <c r="DU134" i="27"/>
  <c r="DP134" i="27"/>
  <c r="DK134" i="27"/>
  <c r="DQ134" i="27"/>
  <c r="DL134" i="27"/>
  <c r="DS134" i="27"/>
  <c r="DL21" i="27"/>
  <c r="DP21" i="27"/>
  <c r="DT21" i="27"/>
  <c r="DJ21" i="27"/>
  <c r="DO21" i="27"/>
  <c r="DU21" i="27"/>
  <c r="DK21" i="27"/>
  <c r="DR21" i="27"/>
  <c r="DN21" i="27"/>
  <c r="DS21" i="27"/>
  <c r="DM21" i="27"/>
  <c r="DQ21" i="27"/>
  <c r="DM45" i="27"/>
  <c r="DQ45" i="27"/>
  <c r="DU45" i="27"/>
  <c r="DK45" i="27"/>
  <c r="DP45" i="27"/>
  <c r="DN45" i="27"/>
  <c r="DS45" i="27"/>
  <c r="DR45" i="27"/>
  <c r="DL45" i="27"/>
  <c r="DO45" i="27"/>
  <c r="DJ45" i="27"/>
  <c r="DT45" i="27"/>
  <c r="DM69" i="27"/>
  <c r="DQ69" i="27"/>
  <c r="DU69" i="27"/>
  <c r="DN69" i="27"/>
  <c r="DS69" i="27"/>
  <c r="DO69" i="27"/>
  <c r="DK69" i="27"/>
  <c r="DR69" i="27"/>
  <c r="DL69" i="27"/>
  <c r="DT69" i="27"/>
  <c r="DJ69" i="27"/>
  <c r="DP69" i="27"/>
  <c r="DJ93" i="27"/>
  <c r="DN93" i="27"/>
  <c r="DR93" i="27"/>
  <c r="DM93" i="27"/>
  <c r="DS93" i="27"/>
  <c r="DK93" i="27"/>
  <c r="DP93" i="27"/>
  <c r="DU93" i="27"/>
  <c r="DT93" i="27"/>
  <c r="DL93" i="27"/>
  <c r="DO93" i="27"/>
  <c r="DQ93" i="27"/>
  <c r="DJ117" i="27"/>
  <c r="DN117" i="27"/>
  <c r="DR117" i="27"/>
  <c r="DK117" i="27"/>
  <c r="DP117" i="27"/>
  <c r="DU117" i="27"/>
  <c r="DL117" i="27"/>
  <c r="DS117" i="27"/>
  <c r="DQ117" i="27"/>
  <c r="DT117" i="27"/>
  <c r="DM117" i="27"/>
  <c r="DO117" i="27"/>
  <c r="DL11" i="27"/>
  <c r="DP11" i="27"/>
  <c r="DT11" i="27"/>
  <c r="DJ11" i="27"/>
  <c r="DO11" i="27"/>
  <c r="DM11" i="27"/>
  <c r="DR11" i="27"/>
  <c r="DQ11" i="27"/>
  <c r="DK11" i="27"/>
  <c r="DU11" i="27"/>
  <c r="DS11" i="27"/>
  <c r="DN11" i="27"/>
  <c r="DL35" i="27"/>
  <c r="DM35" i="27"/>
  <c r="DQ35" i="27"/>
  <c r="DU35" i="27"/>
  <c r="DN35" i="27"/>
  <c r="DS35" i="27"/>
  <c r="DJ35" i="27"/>
  <c r="DP35" i="27"/>
  <c r="DT35" i="27"/>
  <c r="DO35" i="27"/>
  <c r="DR35" i="27"/>
  <c r="DK35" i="27"/>
  <c r="DM59" i="27"/>
  <c r="DQ59" i="27"/>
  <c r="DU59" i="27"/>
  <c r="DK59" i="27"/>
  <c r="DP59" i="27"/>
  <c r="DN59" i="27"/>
  <c r="DT59" i="27"/>
  <c r="DJ59" i="27"/>
  <c r="DR59" i="27"/>
  <c r="DL59" i="27"/>
  <c r="DS59" i="27"/>
  <c r="DO59" i="27"/>
  <c r="DJ83" i="27"/>
  <c r="DN83" i="27"/>
  <c r="DR83" i="27"/>
  <c r="DK83" i="27"/>
  <c r="DP83" i="27"/>
  <c r="DU83" i="27"/>
  <c r="DM83" i="27"/>
  <c r="DS83" i="27"/>
  <c r="DL83" i="27"/>
  <c r="DO83" i="27"/>
  <c r="DQ83" i="27"/>
  <c r="DT83" i="27"/>
  <c r="DJ107" i="27"/>
  <c r="DN107" i="27"/>
  <c r="DR107" i="27"/>
  <c r="DM107" i="27"/>
  <c r="DS107" i="27"/>
  <c r="DK107" i="27"/>
  <c r="DQ107" i="27"/>
  <c r="DO107" i="27"/>
  <c r="DP107" i="27"/>
  <c r="DL107" i="27"/>
  <c r="DT107" i="27"/>
  <c r="DU107" i="27"/>
  <c r="DJ131" i="27"/>
  <c r="DN131" i="27"/>
  <c r="DR131" i="27"/>
  <c r="DM131" i="27"/>
  <c r="DS131" i="27"/>
  <c r="DO131" i="27"/>
  <c r="DU131" i="27"/>
  <c r="DP131" i="27"/>
  <c r="DK131" i="27"/>
  <c r="DQ131" i="27"/>
  <c r="DL131" i="27"/>
  <c r="DT131" i="27"/>
  <c r="DJ88" i="27"/>
  <c r="DN88" i="27"/>
  <c r="DR88" i="27"/>
  <c r="DO88" i="27"/>
  <c r="DT88" i="27"/>
  <c r="DL88" i="27"/>
  <c r="DQ88" i="27"/>
  <c r="DP88" i="27"/>
  <c r="DK88" i="27"/>
  <c r="DM88" i="27"/>
  <c r="DS88" i="27"/>
  <c r="DU88" i="27"/>
  <c r="DJ94" i="27"/>
  <c r="DN94" i="27"/>
  <c r="DR94" i="27"/>
  <c r="DL94" i="27"/>
  <c r="DQ94" i="27"/>
  <c r="DO94" i="27"/>
  <c r="DT94" i="27"/>
  <c r="DS94" i="27"/>
  <c r="DK94" i="27"/>
  <c r="DM94" i="27"/>
  <c r="DP94" i="27"/>
  <c r="DU94" i="27"/>
  <c r="DM64" i="27"/>
  <c r="DQ64" i="27"/>
  <c r="DU64" i="27"/>
  <c r="DJ64" i="27"/>
  <c r="DO64" i="27"/>
  <c r="DT64" i="27"/>
  <c r="DK64" i="27"/>
  <c r="DR64" i="27"/>
  <c r="DN64" i="27"/>
  <c r="DP64" i="27"/>
  <c r="DL64" i="27"/>
  <c r="DS64" i="27"/>
  <c r="DM70" i="27"/>
  <c r="DQ70" i="27"/>
  <c r="DL70" i="27"/>
  <c r="DR70" i="27"/>
  <c r="DJ70" i="27"/>
  <c r="DP70" i="27"/>
  <c r="DN70" i="27"/>
  <c r="DT70" i="27"/>
  <c r="DO70" i="27"/>
  <c r="DU70" i="27"/>
  <c r="DK70" i="27"/>
  <c r="DS70" i="27"/>
  <c r="DJ118" i="27"/>
  <c r="DN118" i="27"/>
  <c r="DR118" i="27"/>
  <c r="DO118" i="27"/>
  <c r="DT118" i="27"/>
  <c r="DM118" i="27"/>
  <c r="DU118" i="27"/>
  <c r="DP118" i="27"/>
  <c r="DQ118" i="27"/>
  <c r="DL118" i="27"/>
  <c r="DS118" i="27"/>
  <c r="DK118" i="27"/>
  <c r="DM40" i="27"/>
  <c r="DQ40" i="27"/>
  <c r="DU40" i="27"/>
  <c r="DL40" i="27"/>
  <c r="DR40" i="27"/>
  <c r="DJ40" i="27"/>
  <c r="DO40" i="27"/>
  <c r="DT40" i="27"/>
  <c r="DN40" i="27"/>
  <c r="DS40" i="27"/>
  <c r="DK40" i="27"/>
  <c r="DP40" i="27"/>
  <c r="DJ112" i="27"/>
  <c r="DN112" i="27"/>
  <c r="DR112" i="27"/>
  <c r="DL112" i="27"/>
  <c r="DQ112" i="27"/>
  <c r="DO112" i="27"/>
  <c r="DU112" i="27"/>
  <c r="DK112" i="27"/>
  <c r="DT112" i="27"/>
  <c r="DM112" i="27"/>
  <c r="DP112" i="27"/>
  <c r="DS112" i="27"/>
  <c r="AX26" i="27"/>
  <c r="BB26" i="27"/>
  <c r="BF26" i="27"/>
  <c r="AW26" i="27"/>
  <c r="BC26" i="27"/>
  <c r="AZ26" i="27"/>
  <c r="BG26" i="27"/>
  <c r="BA26" i="27"/>
  <c r="AV26" i="27"/>
  <c r="BE26" i="27"/>
  <c r="AY26" i="27"/>
  <c r="BD26" i="27"/>
  <c r="AV58" i="27"/>
  <c r="AZ58" i="27"/>
  <c r="BD58" i="27"/>
  <c r="AY58" i="27"/>
  <c r="BE58" i="27"/>
  <c r="BB58" i="27"/>
  <c r="BG58" i="27"/>
  <c r="BA58" i="27"/>
  <c r="BC58" i="27"/>
  <c r="BF58" i="27"/>
  <c r="AX58" i="27"/>
  <c r="AX18" i="27"/>
  <c r="BB18" i="27"/>
  <c r="BF18" i="27"/>
  <c r="BC18" i="27"/>
  <c r="AV18" i="27"/>
  <c r="BD18" i="27"/>
  <c r="AZ18" i="27"/>
  <c r="BG18" i="27"/>
  <c r="AY18" i="27"/>
  <c r="BE18" i="27"/>
  <c r="BA18" i="27"/>
  <c r="AX34" i="27"/>
  <c r="BB34" i="27"/>
  <c r="BF34" i="27"/>
  <c r="BC34" i="27"/>
  <c r="AV34" i="27"/>
  <c r="BD34" i="27"/>
  <c r="AZ34" i="27"/>
  <c r="BE34" i="27"/>
  <c r="AY34" i="27"/>
  <c r="BA34" i="27"/>
  <c r="BG34" i="27"/>
  <c r="AV50" i="27"/>
  <c r="AZ50" i="27"/>
  <c r="BD50" i="27"/>
  <c r="AY50" i="27"/>
  <c r="BE50" i="27"/>
  <c r="BB50" i="27"/>
  <c r="BG50" i="27"/>
  <c r="BA50" i="27"/>
  <c r="BC50" i="27"/>
  <c r="BF50" i="27"/>
  <c r="AX50" i="27"/>
  <c r="AV66" i="27"/>
  <c r="AZ66" i="27"/>
  <c r="BD66" i="27"/>
  <c r="AY66" i="27"/>
  <c r="BE66" i="27"/>
  <c r="BB66" i="27"/>
  <c r="BG66" i="27"/>
  <c r="BA66" i="27"/>
  <c r="BC66" i="27"/>
  <c r="BF66" i="27"/>
  <c r="AX66" i="27"/>
  <c r="AX82" i="27"/>
  <c r="BB82" i="27"/>
  <c r="BF82" i="27"/>
  <c r="AV82" i="27"/>
  <c r="AZ82" i="27"/>
  <c r="BD82" i="27"/>
  <c r="BC82" i="27"/>
  <c r="BE82" i="27"/>
  <c r="AY82" i="27"/>
  <c r="BG82" i="27"/>
  <c r="BA82" i="27"/>
  <c r="AY98" i="27"/>
  <c r="BC98" i="27"/>
  <c r="BG98" i="27"/>
  <c r="AV98" i="27"/>
  <c r="AZ98" i="27"/>
  <c r="BD98" i="27"/>
  <c r="BA98" i="27"/>
  <c r="BE98" i="27"/>
  <c r="AX98" i="27"/>
  <c r="BB98" i="27"/>
  <c r="BF98" i="27"/>
  <c r="AY114" i="27"/>
  <c r="BC114" i="27"/>
  <c r="BG114" i="27"/>
  <c r="AW114" i="27"/>
  <c r="BA114" i="27"/>
  <c r="BE114" i="27"/>
  <c r="AZ114" i="27"/>
  <c r="BB114" i="27"/>
  <c r="AV114" i="27"/>
  <c r="BD114" i="27"/>
  <c r="AX114" i="27"/>
  <c r="BF114" i="27"/>
  <c r="AY130" i="27"/>
  <c r="BC130" i="27"/>
  <c r="BG130" i="27"/>
  <c r="AW130" i="27"/>
  <c r="BA130" i="27"/>
  <c r="BE130" i="27"/>
  <c r="AZ130" i="27"/>
  <c r="BB130" i="27"/>
  <c r="AV130" i="27"/>
  <c r="BD130" i="27"/>
  <c r="AX130" i="27"/>
  <c r="BF130" i="27"/>
  <c r="AX12" i="27"/>
  <c r="BB12" i="27"/>
  <c r="BF12" i="27"/>
  <c r="AZ12" i="27"/>
  <c r="BE12" i="27"/>
  <c r="BD12" i="27"/>
  <c r="BA12" i="27"/>
  <c r="AY12" i="27"/>
  <c r="BG12" i="27"/>
  <c r="BC12" i="27"/>
  <c r="AV12" i="27"/>
  <c r="AX28" i="27"/>
  <c r="BB28" i="27"/>
  <c r="BF28" i="27"/>
  <c r="AZ28" i="27"/>
  <c r="BE28" i="27"/>
  <c r="BD28" i="27"/>
  <c r="AV28" i="27"/>
  <c r="BG28" i="27"/>
  <c r="BA28" i="27"/>
  <c r="AY28" i="27"/>
  <c r="BC28" i="27"/>
  <c r="AV48" i="27"/>
  <c r="AZ48" i="27"/>
  <c r="BD48" i="27"/>
  <c r="AW48" i="27"/>
  <c r="BB48" i="27"/>
  <c r="BG48" i="27"/>
  <c r="AY48" i="27"/>
  <c r="BE48" i="27"/>
  <c r="BC48" i="27"/>
  <c r="BF48" i="27"/>
  <c r="AX48" i="27"/>
  <c r="BA48" i="27"/>
  <c r="AV72" i="27"/>
  <c r="AZ72" i="27"/>
  <c r="BD72" i="27"/>
  <c r="AW72" i="27"/>
  <c r="BB72" i="27"/>
  <c r="BG72" i="27"/>
  <c r="AY72" i="27"/>
  <c r="BE72" i="27"/>
  <c r="BC72" i="27"/>
  <c r="BF72" i="27"/>
  <c r="AX72" i="27"/>
  <c r="BA72" i="27"/>
  <c r="AY104" i="27"/>
  <c r="BC104" i="27"/>
  <c r="BG104" i="27"/>
  <c r="AW104" i="27"/>
  <c r="BA104" i="27"/>
  <c r="BE104" i="27"/>
  <c r="AZ104" i="27"/>
  <c r="BB104" i="27"/>
  <c r="AV104" i="27"/>
  <c r="BD104" i="27"/>
  <c r="AX104" i="27"/>
  <c r="BF104" i="27"/>
  <c r="AY137" i="27"/>
  <c r="BC137" i="27"/>
  <c r="BG137" i="27"/>
  <c r="AW137" i="27"/>
  <c r="BA137" i="27"/>
  <c r="BE137" i="27"/>
  <c r="AV137" i="27"/>
  <c r="BD137" i="27"/>
  <c r="AX137" i="27"/>
  <c r="BF137" i="27"/>
  <c r="AZ137" i="27"/>
  <c r="BB137" i="27"/>
  <c r="AX19" i="27"/>
  <c r="BB19" i="27"/>
  <c r="BF19" i="27"/>
  <c r="AV19" i="27"/>
  <c r="BA19" i="27"/>
  <c r="BG19" i="27"/>
  <c r="AY19" i="27"/>
  <c r="BE19" i="27"/>
  <c r="BC19" i="27"/>
  <c r="AZ19" i="27"/>
  <c r="BD19" i="27"/>
  <c r="AW19" i="27"/>
  <c r="AX35" i="27"/>
  <c r="AV35" i="27"/>
  <c r="BA35" i="27"/>
  <c r="BE35" i="27"/>
  <c r="AY35" i="27"/>
  <c r="BD35" i="27"/>
  <c r="BF35" i="27"/>
  <c r="BB35" i="27"/>
  <c r="AZ35" i="27"/>
  <c r="BC35" i="27"/>
  <c r="BG35" i="27"/>
  <c r="AV51" i="27"/>
  <c r="AZ51" i="27"/>
  <c r="BD51" i="27"/>
  <c r="AX51" i="27"/>
  <c r="BC51" i="27"/>
  <c r="BA51" i="27"/>
  <c r="BF51" i="27"/>
  <c r="AY51" i="27"/>
  <c r="BB51" i="27"/>
  <c r="BE51" i="27"/>
  <c r="BG51" i="27"/>
  <c r="AV67" i="27"/>
  <c r="AZ67" i="27"/>
  <c r="BD67" i="27"/>
  <c r="AX67" i="27"/>
  <c r="BC67" i="27"/>
  <c r="BA67" i="27"/>
  <c r="BF67" i="27"/>
  <c r="AY67" i="27"/>
  <c r="BB67" i="27"/>
  <c r="BE67" i="27"/>
  <c r="BG67" i="27"/>
  <c r="AX83" i="27"/>
  <c r="BB83" i="27"/>
  <c r="BF83" i="27"/>
  <c r="AV83" i="27"/>
  <c r="AZ83" i="27"/>
  <c r="BD83" i="27"/>
  <c r="AY83" i="27"/>
  <c r="BG83" i="27"/>
  <c r="BA83" i="27"/>
  <c r="BC83" i="27"/>
  <c r="BE83" i="27"/>
  <c r="AY99" i="27"/>
  <c r="BC99" i="27"/>
  <c r="BG99" i="27"/>
  <c r="AV99" i="27"/>
  <c r="AZ99" i="27"/>
  <c r="BD99" i="27"/>
  <c r="BA99" i="27"/>
  <c r="BE99" i="27"/>
  <c r="AX99" i="27"/>
  <c r="BB99" i="27"/>
  <c r="BF99" i="27"/>
  <c r="AY115" i="27"/>
  <c r="BC115" i="27"/>
  <c r="BG115" i="27"/>
  <c r="BA115" i="27"/>
  <c r="BE115" i="27"/>
  <c r="AV115" i="27"/>
  <c r="BD115" i="27"/>
  <c r="AX115" i="27"/>
  <c r="BF115" i="27"/>
  <c r="AZ115" i="27"/>
  <c r="BB115" i="27"/>
  <c r="AY131" i="27"/>
  <c r="BC131" i="27"/>
  <c r="BG131" i="27"/>
  <c r="BA131" i="27"/>
  <c r="BE131" i="27"/>
  <c r="AV131" i="27"/>
  <c r="BD131" i="27"/>
  <c r="AX131" i="27"/>
  <c r="BF131" i="27"/>
  <c r="AZ131" i="27"/>
  <c r="BB131" i="27"/>
  <c r="AV44" i="27"/>
  <c r="AZ44" i="27"/>
  <c r="BD44" i="27"/>
  <c r="BB44" i="27"/>
  <c r="BG44" i="27"/>
  <c r="AY44" i="27"/>
  <c r="BE44" i="27"/>
  <c r="AX44" i="27"/>
  <c r="BA44" i="27"/>
  <c r="BC44" i="27"/>
  <c r="BF44" i="27"/>
  <c r="AX84" i="27"/>
  <c r="BB84" i="27"/>
  <c r="BF84" i="27"/>
  <c r="AV84" i="27"/>
  <c r="AZ84" i="27"/>
  <c r="BD84" i="27"/>
  <c r="BC84" i="27"/>
  <c r="BE84" i="27"/>
  <c r="AY84" i="27"/>
  <c r="BG84" i="27"/>
  <c r="BA84" i="27"/>
  <c r="AY116" i="27"/>
  <c r="BC116" i="27"/>
  <c r="BG116" i="27"/>
  <c r="BA116" i="27"/>
  <c r="BE116" i="27"/>
  <c r="AZ116" i="27"/>
  <c r="BB116" i="27"/>
  <c r="AV116" i="27"/>
  <c r="BD116" i="27"/>
  <c r="AX116" i="27"/>
  <c r="BF116" i="27"/>
  <c r="AX33" i="27"/>
  <c r="BB33" i="27"/>
  <c r="BF33" i="27"/>
  <c r="AY33" i="27"/>
  <c r="BD33" i="27"/>
  <c r="BA33" i="27"/>
  <c r="BC33" i="27"/>
  <c r="BG33" i="27"/>
  <c r="BE33" i="27"/>
  <c r="AV33" i="27"/>
  <c r="AZ33" i="27"/>
  <c r="AY97" i="27"/>
  <c r="BC97" i="27"/>
  <c r="BG97" i="27"/>
  <c r="AV97" i="27"/>
  <c r="AZ97" i="27"/>
  <c r="BD97" i="27"/>
  <c r="BA97" i="27"/>
  <c r="BE97" i="27"/>
  <c r="AX97" i="27"/>
  <c r="BB97" i="27"/>
  <c r="BF97" i="27"/>
  <c r="AX13" i="27"/>
  <c r="BB13" i="27"/>
  <c r="BF13" i="27"/>
  <c r="AY13" i="27"/>
  <c r="BD13" i="27"/>
  <c r="AZ13" i="27"/>
  <c r="BG13" i="27"/>
  <c r="AV13" i="27"/>
  <c r="BC13" i="27"/>
  <c r="BA13" i="27"/>
  <c r="BE13" i="27"/>
  <c r="AV77" i="27"/>
  <c r="AZ77" i="27"/>
  <c r="BD77" i="27"/>
  <c r="BA77" i="27"/>
  <c r="BF77" i="27"/>
  <c r="AX77" i="27"/>
  <c r="BC77" i="27"/>
  <c r="BG77" i="27"/>
  <c r="AY77" i="27"/>
  <c r="BB77" i="27"/>
  <c r="BE77" i="27"/>
  <c r="AV53" i="27"/>
  <c r="AZ53" i="27"/>
  <c r="BD53" i="27"/>
  <c r="BA53" i="27"/>
  <c r="BF53" i="27"/>
  <c r="AX53" i="27"/>
  <c r="BC53" i="27"/>
  <c r="BG53" i="27"/>
  <c r="AY53" i="27"/>
  <c r="BB53" i="27"/>
  <c r="BE53" i="27"/>
  <c r="AX25" i="27"/>
  <c r="BB25" i="27"/>
  <c r="BF25" i="27"/>
  <c r="AY25" i="27"/>
  <c r="BD25" i="27"/>
  <c r="BE25" i="27"/>
  <c r="BC25" i="27"/>
  <c r="AZ25" i="27"/>
  <c r="BG25" i="27"/>
  <c r="AV25" i="27"/>
  <c r="BA25" i="27"/>
  <c r="AV73" i="27"/>
  <c r="AZ73" i="27"/>
  <c r="BD73" i="27"/>
  <c r="BA73" i="27"/>
  <c r="BF73" i="27"/>
  <c r="AX73" i="27"/>
  <c r="BC73" i="27"/>
  <c r="BB73" i="27"/>
  <c r="BE73" i="27"/>
  <c r="BG73" i="27"/>
  <c r="AY73" i="27"/>
  <c r="AW41" i="27"/>
  <c r="BA41" i="27"/>
  <c r="BE41" i="27"/>
  <c r="AV41" i="27"/>
  <c r="BB41" i="27"/>
  <c r="BG41" i="27"/>
  <c r="AX41" i="27"/>
  <c r="BD41" i="27"/>
  <c r="AZ41" i="27"/>
  <c r="AY41" i="27"/>
  <c r="BC41" i="27"/>
  <c r="BF41" i="27"/>
  <c r="AX22" i="27"/>
  <c r="BB22" i="27"/>
  <c r="BF22" i="27"/>
  <c r="BC22" i="27"/>
  <c r="AY22" i="27"/>
  <c r="BE22" i="27"/>
  <c r="BA22" i="27"/>
  <c r="BG22" i="27"/>
  <c r="AZ22" i="27"/>
  <c r="AV22" i="27"/>
  <c r="BD22" i="27"/>
  <c r="AW38" i="27"/>
  <c r="BA38" i="27"/>
  <c r="BE38" i="27"/>
  <c r="AZ38" i="27"/>
  <c r="BF38" i="27"/>
  <c r="AX38" i="27"/>
  <c r="BD38" i="27"/>
  <c r="BB38" i="27"/>
  <c r="BG38" i="27"/>
  <c r="AV38" i="27"/>
  <c r="AY38" i="27"/>
  <c r="BC38" i="27"/>
  <c r="AV54" i="27"/>
  <c r="AZ54" i="27"/>
  <c r="BD54" i="27"/>
  <c r="AY54" i="27"/>
  <c r="BE54" i="27"/>
  <c r="BB54" i="27"/>
  <c r="BG54" i="27"/>
  <c r="BF54" i="27"/>
  <c r="AX54" i="27"/>
  <c r="BA54" i="27"/>
  <c r="BC54" i="27"/>
  <c r="AV70" i="27"/>
  <c r="AZ70" i="27"/>
  <c r="BD70" i="27"/>
  <c r="AY70" i="27"/>
  <c r="BE70" i="27"/>
  <c r="BB70" i="27"/>
  <c r="BG70" i="27"/>
  <c r="BF70" i="27"/>
  <c r="AX70" i="27"/>
  <c r="BA70" i="27"/>
  <c r="BC70" i="27"/>
  <c r="AX86" i="27"/>
  <c r="BB86" i="27"/>
  <c r="BF86" i="27"/>
  <c r="AV86" i="27"/>
  <c r="AZ86" i="27"/>
  <c r="BD86" i="27"/>
  <c r="BC86" i="27"/>
  <c r="BE86" i="27"/>
  <c r="AY86" i="27"/>
  <c r="BG86" i="27"/>
  <c r="BA86" i="27"/>
  <c r="AY102" i="27"/>
  <c r="BC102" i="27"/>
  <c r="BG102" i="27"/>
  <c r="BA102" i="27"/>
  <c r="BE102" i="27"/>
  <c r="AX102" i="27"/>
  <c r="BB102" i="27"/>
  <c r="BF102" i="27"/>
  <c r="BD102" i="27"/>
  <c r="AV102" i="27"/>
  <c r="AZ102" i="27"/>
  <c r="AY118" i="27"/>
  <c r="BC118" i="27"/>
  <c r="BG118" i="27"/>
  <c r="BA118" i="27"/>
  <c r="BE118" i="27"/>
  <c r="AZ118" i="27"/>
  <c r="BB118" i="27"/>
  <c r="AV118" i="27"/>
  <c r="BD118" i="27"/>
  <c r="AX118" i="27"/>
  <c r="BF118" i="27"/>
  <c r="AY134" i="27"/>
  <c r="BC134" i="27"/>
  <c r="BG134" i="27"/>
  <c r="BA134" i="27"/>
  <c r="BE134" i="27"/>
  <c r="AZ134" i="27"/>
  <c r="BB134" i="27"/>
  <c r="AV134" i="27"/>
  <c r="BD134" i="27"/>
  <c r="AX134" i="27"/>
  <c r="BF134" i="27"/>
  <c r="AX16" i="27"/>
  <c r="BB16" i="27"/>
  <c r="BF16" i="27"/>
  <c r="AZ16" i="27"/>
  <c r="BE16" i="27"/>
  <c r="AY16" i="27"/>
  <c r="BG16" i="27"/>
  <c r="AV16" i="27"/>
  <c r="BC16" i="27"/>
  <c r="BA16" i="27"/>
  <c r="BD16" i="27"/>
  <c r="AX32" i="27"/>
  <c r="BB32" i="27"/>
  <c r="BF32" i="27"/>
  <c r="AZ32" i="27"/>
  <c r="BE32" i="27"/>
  <c r="AY32" i="27"/>
  <c r="BG32" i="27"/>
  <c r="AV32" i="27"/>
  <c r="BD32" i="27"/>
  <c r="BA32" i="27"/>
  <c r="BC32" i="27"/>
  <c r="AV52" i="27"/>
  <c r="AZ52" i="27"/>
  <c r="BD52" i="27"/>
  <c r="BB52" i="27"/>
  <c r="BG52" i="27"/>
  <c r="AY52" i="27"/>
  <c r="BE52" i="27"/>
  <c r="AX52" i="27"/>
  <c r="BA52" i="27"/>
  <c r="BC52" i="27"/>
  <c r="BF52" i="27"/>
  <c r="AX80" i="27"/>
  <c r="BB80" i="27"/>
  <c r="BF80" i="27"/>
  <c r="AV80" i="27"/>
  <c r="AZ80" i="27"/>
  <c r="BD80" i="27"/>
  <c r="BC80" i="27"/>
  <c r="BE80" i="27"/>
  <c r="AY80" i="27"/>
  <c r="BG80" i="27"/>
  <c r="BA80" i="27"/>
  <c r="AY112" i="27"/>
  <c r="BC112" i="27"/>
  <c r="BG112" i="27"/>
  <c r="BA112" i="27"/>
  <c r="BE112" i="27"/>
  <c r="AZ112" i="27"/>
  <c r="BB112" i="27"/>
  <c r="AV112" i="27"/>
  <c r="BD112" i="27"/>
  <c r="AX112" i="27"/>
  <c r="BF112" i="27"/>
  <c r="AX7" i="27"/>
  <c r="BB7" i="27"/>
  <c r="BF7" i="27"/>
  <c r="AV7" i="27"/>
  <c r="BA7" i="27"/>
  <c r="BG7" i="27"/>
  <c r="AY7" i="27"/>
  <c r="BC7" i="27"/>
  <c r="AZ7" i="27"/>
  <c r="BE7" i="27"/>
  <c r="AX23" i="27"/>
  <c r="BB23" i="27"/>
  <c r="BF23" i="27"/>
  <c r="AV23" i="27"/>
  <c r="BA23" i="27"/>
  <c r="BG23" i="27"/>
  <c r="AZ23" i="27"/>
  <c r="BD23" i="27"/>
  <c r="BC23" i="27"/>
  <c r="AY23" i="27"/>
  <c r="BE23" i="27"/>
  <c r="AW39" i="27"/>
  <c r="BA39" i="27"/>
  <c r="BE39" i="27"/>
  <c r="AY39" i="27"/>
  <c r="BD39" i="27"/>
  <c r="AZ39" i="27"/>
  <c r="BG39" i="27"/>
  <c r="AV39" i="27"/>
  <c r="BC39" i="27"/>
  <c r="AX39" i="27"/>
  <c r="BB39" i="27"/>
  <c r="BF39" i="27"/>
  <c r="AV55" i="27"/>
  <c r="AZ55" i="27"/>
  <c r="BD55" i="27"/>
  <c r="AX55" i="27"/>
  <c r="BC55" i="27"/>
  <c r="BA55" i="27"/>
  <c r="BF55" i="27"/>
  <c r="BE55" i="27"/>
  <c r="AW55" i="27"/>
  <c r="BG55" i="27"/>
  <c r="AY55" i="27"/>
  <c r="BB55" i="27"/>
  <c r="AV71" i="27"/>
  <c r="AZ71" i="27"/>
  <c r="BD71" i="27"/>
  <c r="AX71" i="27"/>
  <c r="BC71" i="27"/>
  <c r="BA71" i="27"/>
  <c r="BF71" i="27"/>
  <c r="BE71" i="27"/>
  <c r="AW71" i="27"/>
  <c r="BG71" i="27"/>
  <c r="AY71" i="27"/>
  <c r="BB71" i="27"/>
  <c r="AX87" i="27"/>
  <c r="BB87" i="27"/>
  <c r="BF87" i="27"/>
  <c r="AV87" i="27"/>
  <c r="AZ87" i="27"/>
  <c r="BD87" i="27"/>
  <c r="AY87" i="27"/>
  <c r="BG87" i="27"/>
  <c r="BA87" i="27"/>
  <c r="BC87" i="27"/>
  <c r="BE87" i="27"/>
  <c r="AY103" i="27"/>
  <c r="BC103" i="27"/>
  <c r="BG103" i="27"/>
  <c r="BA103" i="27"/>
  <c r="BE103" i="27"/>
  <c r="AX103" i="27"/>
  <c r="BD103" i="27"/>
  <c r="AV103" i="27"/>
  <c r="BF103" i="27"/>
  <c r="AZ103" i="27"/>
  <c r="BB103" i="27"/>
  <c r="AY119" i="27"/>
  <c r="BC119" i="27"/>
  <c r="BG119" i="27"/>
  <c r="BA119" i="27"/>
  <c r="BE119" i="27"/>
  <c r="AV119" i="27"/>
  <c r="BD119" i="27"/>
  <c r="AX119" i="27"/>
  <c r="BF119" i="27"/>
  <c r="AZ119" i="27"/>
  <c r="BB119" i="27"/>
  <c r="AY136" i="27"/>
  <c r="BC136" i="27"/>
  <c r="BG136" i="27"/>
  <c r="BA136" i="27"/>
  <c r="BE136" i="27"/>
  <c r="AZ136" i="27"/>
  <c r="BB136" i="27"/>
  <c r="AV136" i="27"/>
  <c r="BD136" i="27"/>
  <c r="AX136" i="27"/>
  <c r="BF136" i="27"/>
  <c r="AV56" i="27"/>
  <c r="AZ56" i="27"/>
  <c r="BD56" i="27"/>
  <c r="BB56" i="27"/>
  <c r="BG56" i="27"/>
  <c r="AY56" i="27"/>
  <c r="BE56" i="27"/>
  <c r="BC56" i="27"/>
  <c r="BF56" i="27"/>
  <c r="AX56" i="27"/>
  <c r="BA56" i="27"/>
  <c r="AX92" i="27"/>
  <c r="BB92" i="27"/>
  <c r="BF92" i="27"/>
  <c r="AV92" i="27"/>
  <c r="AZ92" i="27"/>
  <c r="BD92" i="27"/>
  <c r="BC92" i="27"/>
  <c r="BE92" i="27"/>
  <c r="AY92" i="27"/>
  <c r="BG92" i="27"/>
  <c r="BA92" i="27"/>
  <c r="AY124" i="27"/>
  <c r="BC124" i="27"/>
  <c r="BG124" i="27"/>
  <c r="BA124" i="27"/>
  <c r="BE124" i="27"/>
  <c r="AZ124" i="27"/>
  <c r="BB124" i="27"/>
  <c r="AV124" i="27"/>
  <c r="BD124" i="27"/>
  <c r="AX124" i="27"/>
  <c r="BF124" i="27"/>
  <c r="AV49" i="27"/>
  <c r="AZ49" i="27"/>
  <c r="BD49" i="27"/>
  <c r="BA49" i="27"/>
  <c r="BF49" i="27"/>
  <c r="AX49" i="27"/>
  <c r="BC49" i="27"/>
  <c r="BB49" i="27"/>
  <c r="BE49" i="27"/>
  <c r="AW49" i="27"/>
  <c r="BG49" i="27"/>
  <c r="AY49" i="27"/>
  <c r="AY113" i="27"/>
  <c r="BC113" i="27"/>
  <c r="BG113" i="27"/>
  <c r="BA113" i="27"/>
  <c r="BE113" i="27"/>
  <c r="AV113" i="27"/>
  <c r="BD113" i="27"/>
  <c r="AX113" i="27"/>
  <c r="BF113" i="27"/>
  <c r="AZ113" i="27"/>
  <c r="BB113" i="27"/>
  <c r="AX29" i="27"/>
  <c r="BB29" i="27"/>
  <c r="BF29" i="27"/>
  <c r="AY29" i="27"/>
  <c r="BD29" i="27"/>
  <c r="AZ29" i="27"/>
  <c r="BG29" i="27"/>
  <c r="BC29" i="27"/>
  <c r="AW29" i="27"/>
  <c r="AV29" i="27"/>
  <c r="BA29" i="27"/>
  <c r="BE29" i="27"/>
  <c r="AX93" i="27"/>
  <c r="BB93" i="27"/>
  <c r="BF93" i="27"/>
  <c r="AV93" i="27"/>
  <c r="AZ93" i="27"/>
  <c r="BD93" i="27"/>
  <c r="AY93" i="27"/>
  <c r="BG93" i="27"/>
  <c r="BA93" i="27"/>
  <c r="BC93" i="27"/>
  <c r="BE93" i="27"/>
  <c r="AX85" i="27"/>
  <c r="BB85" i="27"/>
  <c r="BF85" i="27"/>
  <c r="AV85" i="27"/>
  <c r="AZ85" i="27"/>
  <c r="BD85" i="27"/>
  <c r="AY85" i="27"/>
  <c r="BG85" i="27"/>
  <c r="BA85" i="27"/>
  <c r="BC85" i="27"/>
  <c r="BE85" i="27"/>
  <c r="AV57" i="27"/>
  <c r="AZ57" i="27"/>
  <c r="BD57" i="27"/>
  <c r="BA57" i="27"/>
  <c r="BF57" i="27"/>
  <c r="AX57" i="27"/>
  <c r="BC57" i="27"/>
  <c r="BB57" i="27"/>
  <c r="BE57" i="27"/>
  <c r="BG57" i="27"/>
  <c r="AY57" i="27"/>
  <c r="AY138" i="27"/>
  <c r="BC138" i="27"/>
  <c r="BG138" i="27"/>
  <c r="BA138" i="27"/>
  <c r="BE138" i="27"/>
  <c r="AZ138" i="27"/>
  <c r="BB138" i="27"/>
  <c r="AV138" i="27"/>
  <c r="BD138" i="27"/>
  <c r="AX138" i="27"/>
  <c r="BF138" i="27"/>
  <c r="AY105" i="27"/>
  <c r="BC105" i="27"/>
  <c r="BG105" i="27"/>
  <c r="BA105" i="27"/>
  <c r="BE105" i="27"/>
  <c r="AV105" i="27"/>
  <c r="BD105" i="27"/>
  <c r="AX105" i="27"/>
  <c r="BF105" i="27"/>
  <c r="AZ105" i="27"/>
  <c r="BB105" i="27"/>
  <c r="AW37" i="27"/>
  <c r="BA37" i="27"/>
  <c r="BE37" i="27"/>
  <c r="AV37" i="27"/>
  <c r="BB37" i="27"/>
  <c r="BG37" i="27"/>
  <c r="BC37" i="27"/>
  <c r="AY37" i="27"/>
  <c r="BF37" i="27"/>
  <c r="BD37" i="27"/>
  <c r="AX37" i="27"/>
  <c r="AZ37" i="27"/>
  <c r="AX10" i="27"/>
  <c r="BB10" i="27"/>
  <c r="BF10" i="27"/>
  <c r="BC10" i="27"/>
  <c r="AZ10" i="27"/>
  <c r="BG10" i="27"/>
  <c r="AV10" i="27"/>
  <c r="BD10" i="27"/>
  <c r="BA10" i="27"/>
  <c r="AY10" i="27"/>
  <c r="BE10" i="27"/>
  <c r="AZ42" i="27"/>
  <c r="BD42" i="27"/>
  <c r="AY42" i="27"/>
  <c r="BE42" i="27"/>
  <c r="AV42" i="27"/>
  <c r="BB42" i="27"/>
  <c r="BG42" i="27"/>
  <c r="BA42" i="27"/>
  <c r="BC42" i="27"/>
  <c r="BF42" i="27"/>
  <c r="AX42" i="27"/>
  <c r="AV74" i="27"/>
  <c r="AZ74" i="27"/>
  <c r="BD74" i="27"/>
  <c r="AY74" i="27"/>
  <c r="BE74" i="27"/>
  <c r="AW74" i="27"/>
  <c r="BB74" i="27"/>
  <c r="BG74" i="27"/>
  <c r="BA74" i="27"/>
  <c r="BC74" i="27"/>
  <c r="BF74" i="27"/>
  <c r="AX74" i="27"/>
  <c r="AX90" i="27"/>
  <c r="BB90" i="27"/>
  <c r="BF90" i="27"/>
  <c r="AV90" i="27"/>
  <c r="AZ90" i="27"/>
  <c r="BD90" i="27"/>
  <c r="BC90" i="27"/>
  <c r="BE90" i="27"/>
  <c r="AY90" i="27"/>
  <c r="BG90" i="27"/>
  <c r="BA90" i="27"/>
  <c r="AY106" i="27"/>
  <c r="BC106" i="27"/>
  <c r="BG106" i="27"/>
  <c r="BA106" i="27"/>
  <c r="BE106" i="27"/>
  <c r="AZ106" i="27"/>
  <c r="BB106" i="27"/>
  <c r="AV106" i="27"/>
  <c r="BD106" i="27"/>
  <c r="AX106" i="27"/>
  <c r="BF106" i="27"/>
  <c r="AY122" i="27"/>
  <c r="BC122" i="27"/>
  <c r="BG122" i="27"/>
  <c r="BA122" i="27"/>
  <c r="BE122" i="27"/>
  <c r="AZ122" i="27"/>
  <c r="BB122" i="27"/>
  <c r="AV122" i="27"/>
  <c r="BD122" i="27"/>
  <c r="AX122" i="27"/>
  <c r="BF122" i="27"/>
  <c r="AY139" i="27"/>
  <c r="BC139" i="27"/>
  <c r="BG139" i="27"/>
  <c r="BA139" i="27"/>
  <c r="BE139" i="27"/>
  <c r="AV139" i="27"/>
  <c r="BD139" i="27"/>
  <c r="AX139" i="27"/>
  <c r="BF139" i="27"/>
  <c r="AZ139" i="27"/>
  <c r="BB139" i="27"/>
  <c r="AX20" i="27"/>
  <c r="BB20" i="27"/>
  <c r="BF20" i="27"/>
  <c r="AZ20" i="27"/>
  <c r="BE20" i="27"/>
  <c r="BA20" i="27"/>
  <c r="BD20" i="27"/>
  <c r="BC20" i="27"/>
  <c r="AV20" i="27"/>
  <c r="AY20" i="27"/>
  <c r="BG20" i="27"/>
  <c r="AW36" i="27"/>
  <c r="BA36" i="27"/>
  <c r="BE36" i="27"/>
  <c r="AX36" i="27"/>
  <c r="BC36" i="27"/>
  <c r="AZ36" i="27"/>
  <c r="BG36" i="27"/>
  <c r="AV36" i="27"/>
  <c r="BD36" i="27"/>
  <c r="BB36" i="27"/>
  <c r="BF36" i="27"/>
  <c r="AY36" i="27"/>
  <c r="AV60" i="27"/>
  <c r="AZ60" i="27"/>
  <c r="BD60" i="27"/>
  <c r="BB60" i="27"/>
  <c r="BG60" i="27"/>
  <c r="AY60" i="27"/>
  <c r="BE60" i="27"/>
  <c r="AX60" i="27"/>
  <c r="BA60" i="27"/>
  <c r="BC60" i="27"/>
  <c r="BF60" i="27"/>
  <c r="AX88" i="27"/>
  <c r="BB88" i="27"/>
  <c r="BF88" i="27"/>
  <c r="AV88" i="27"/>
  <c r="AZ88" i="27"/>
  <c r="BD88" i="27"/>
  <c r="BC88" i="27"/>
  <c r="BE88" i="27"/>
  <c r="AY88" i="27"/>
  <c r="BG88" i="27"/>
  <c r="BA88" i="27"/>
  <c r="AY120" i="27"/>
  <c r="BC120" i="27"/>
  <c r="BG120" i="27"/>
  <c r="BA120" i="27"/>
  <c r="BE120" i="27"/>
  <c r="AZ120" i="27"/>
  <c r="BB120" i="27"/>
  <c r="AV120" i="27"/>
  <c r="BD120" i="27"/>
  <c r="AX120" i="27"/>
  <c r="BF120" i="27"/>
  <c r="AX11" i="27"/>
  <c r="BB11" i="27"/>
  <c r="BF11" i="27"/>
  <c r="AV11" i="27"/>
  <c r="BA11" i="27"/>
  <c r="BG11" i="27"/>
  <c r="BC11" i="27"/>
  <c r="AY11" i="27"/>
  <c r="BE11" i="27"/>
  <c r="AW11" i="27"/>
  <c r="BD11" i="27"/>
  <c r="AZ11" i="27"/>
  <c r="AX27" i="27"/>
  <c r="BB27" i="27"/>
  <c r="BF27" i="27"/>
  <c r="AV27" i="27"/>
  <c r="BA27" i="27"/>
  <c r="BG27" i="27"/>
  <c r="BC27" i="27"/>
  <c r="AY27" i="27"/>
  <c r="BD27" i="27"/>
  <c r="AZ27" i="27"/>
  <c r="BE27" i="27"/>
  <c r="AV43" i="27"/>
  <c r="AZ43" i="27"/>
  <c r="BD43" i="27"/>
  <c r="AX43" i="27"/>
  <c r="BC43" i="27"/>
  <c r="BA43" i="27"/>
  <c r="BF43" i="27"/>
  <c r="AY43" i="27"/>
  <c r="BB43" i="27"/>
  <c r="BE43" i="27"/>
  <c r="BG43" i="27"/>
  <c r="AV59" i="27"/>
  <c r="AZ59" i="27"/>
  <c r="BD59" i="27"/>
  <c r="AX59" i="27"/>
  <c r="BC59" i="27"/>
  <c r="BA59" i="27"/>
  <c r="BF59" i="27"/>
  <c r="AY59" i="27"/>
  <c r="BB59" i="27"/>
  <c r="BE59" i="27"/>
  <c r="BG59" i="27"/>
  <c r="AV75" i="27"/>
  <c r="AZ75" i="27"/>
  <c r="BD75" i="27"/>
  <c r="AX75" i="27"/>
  <c r="BC75" i="27"/>
  <c r="BA75" i="27"/>
  <c r="BF75" i="27"/>
  <c r="AY75" i="27"/>
  <c r="BB75" i="27"/>
  <c r="BE75" i="27"/>
  <c r="BG75" i="27"/>
  <c r="AX91" i="27"/>
  <c r="BB91" i="27"/>
  <c r="BF91" i="27"/>
  <c r="AV91" i="27"/>
  <c r="AZ91" i="27"/>
  <c r="BD91" i="27"/>
  <c r="AY91" i="27"/>
  <c r="BG91" i="27"/>
  <c r="BA91" i="27"/>
  <c r="BC91" i="27"/>
  <c r="BE91" i="27"/>
  <c r="AY107" i="27"/>
  <c r="BC107" i="27"/>
  <c r="BG107" i="27"/>
  <c r="BA107" i="27"/>
  <c r="BE107" i="27"/>
  <c r="AV107" i="27"/>
  <c r="BD107" i="27"/>
  <c r="AX107" i="27"/>
  <c r="BF107" i="27"/>
  <c r="AZ107" i="27"/>
  <c r="BB107" i="27"/>
  <c r="AY123" i="27"/>
  <c r="BC123" i="27"/>
  <c r="BG123" i="27"/>
  <c r="BA123" i="27"/>
  <c r="BE123" i="27"/>
  <c r="AV123" i="27"/>
  <c r="BD123" i="27"/>
  <c r="AX123" i="27"/>
  <c r="BF123" i="27"/>
  <c r="AZ123" i="27"/>
  <c r="BB123" i="27"/>
  <c r="AY140" i="27"/>
  <c r="BC140" i="27"/>
  <c r="BG140" i="27"/>
  <c r="BA140" i="27"/>
  <c r="BE140" i="27"/>
  <c r="AZ140" i="27"/>
  <c r="BB140" i="27"/>
  <c r="AV140" i="27"/>
  <c r="BD140" i="27"/>
  <c r="AX140" i="27"/>
  <c r="BF140" i="27"/>
  <c r="AV68" i="27"/>
  <c r="AZ68" i="27"/>
  <c r="BD68" i="27"/>
  <c r="BB68" i="27"/>
  <c r="BG68" i="27"/>
  <c r="AY68" i="27"/>
  <c r="BE68" i="27"/>
  <c r="AX68" i="27"/>
  <c r="BA68" i="27"/>
  <c r="BC68" i="27"/>
  <c r="BF68" i="27"/>
  <c r="AY100" i="27"/>
  <c r="BC100" i="27"/>
  <c r="BG100" i="27"/>
  <c r="AV100" i="27"/>
  <c r="AZ100" i="27"/>
  <c r="BD100" i="27"/>
  <c r="BA100" i="27"/>
  <c r="BE100" i="27"/>
  <c r="AX100" i="27"/>
  <c r="BB100" i="27"/>
  <c r="BF100" i="27"/>
  <c r="AY132" i="27"/>
  <c r="BC132" i="27"/>
  <c r="BG132" i="27"/>
  <c r="BA132" i="27"/>
  <c r="BE132" i="27"/>
  <c r="AZ132" i="27"/>
  <c r="BB132" i="27"/>
  <c r="AV132" i="27"/>
  <c r="BD132" i="27"/>
  <c r="AX132" i="27"/>
  <c r="BF132" i="27"/>
  <c r="AV65" i="27"/>
  <c r="AZ65" i="27"/>
  <c r="BD65" i="27"/>
  <c r="BA65" i="27"/>
  <c r="BF65" i="27"/>
  <c r="AX65" i="27"/>
  <c r="BC65" i="27"/>
  <c r="BB65" i="27"/>
  <c r="BE65" i="27"/>
  <c r="BG65" i="27"/>
  <c r="AY65" i="27"/>
  <c r="AY129" i="27"/>
  <c r="BC129" i="27"/>
  <c r="BG129" i="27"/>
  <c r="BA129" i="27"/>
  <c r="BE129" i="27"/>
  <c r="AV129" i="27"/>
  <c r="BD129" i="27"/>
  <c r="AX129" i="27"/>
  <c r="BF129" i="27"/>
  <c r="AZ129" i="27"/>
  <c r="BB129" i="27"/>
  <c r="AV45" i="27"/>
  <c r="AZ45" i="27"/>
  <c r="BD45" i="27"/>
  <c r="BA45" i="27"/>
  <c r="BF45" i="27"/>
  <c r="AX45" i="27"/>
  <c r="BC45" i="27"/>
  <c r="BG45" i="27"/>
  <c r="AY45" i="27"/>
  <c r="BB45" i="27"/>
  <c r="BE45" i="27"/>
  <c r="AY109" i="27"/>
  <c r="BC109" i="27"/>
  <c r="BG109" i="27"/>
  <c r="BA109" i="27"/>
  <c r="BE109" i="27"/>
  <c r="AV109" i="27"/>
  <c r="BD109" i="27"/>
  <c r="AX109" i="27"/>
  <c r="BF109" i="27"/>
  <c r="AZ109" i="27"/>
  <c r="BB109" i="27"/>
  <c r="AY117" i="27"/>
  <c r="BC117" i="27"/>
  <c r="BG117" i="27"/>
  <c r="BA117" i="27"/>
  <c r="BE117" i="27"/>
  <c r="AV117" i="27"/>
  <c r="BD117" i="27"/>
  <c r="AX117" i="27"/>
  <c r="BF117" i="27"/>
  <c r="AZ117" i="27"/>
  <c r="BB117" i="27"/>
  <c r="AX89" i="27"/>
  <c r="BB89" i="27"/>
  <c r="BF89" i="27"/>
  <c r="AV89" i="27"/>
  <c r="AZ89" i="27"/>
  <c r="BD89" i="27"/>
  <c r="AY89" i="27"/>
  <c r="BG89" i="27"/>
  <c r="BA89" i="27"/>
  <c r="BC89" i="27"/>
  <c r="BE89" i="27"/>
  <c r="AZ6" i="27"/>
  <c r="AX6" i="27"/>
  <c r="BB6" i="27"/>
  <c r="BF6" i="27"/>
  <c r="AW6" i="27"/>
  <c r="BE6" i="27"/>
  <c r="AY6" i="27"/>
  <c r="BG6" i="27"/>
  <c r="BA6" i="27"/>
  <c r="BC6" i="27"/>
  <c r="AX14" i="27"/>
  <c r="BB14" i="27"/>
  <c r="BF14" i="27"/>
  <c r="BC14" i="27"/>
  <c r="BA14" i="27"/>
  <c r="AY14" i="27"/>
  <c r="BE14" i="27"/>
  <c r="BD14" i="27"/>
  <c r="AV14" i="27"/>
  <c r="BG14" i="27"/>
  <c r="AZ14" i="27"/>
  <c r="AX30" i="27"/>
  <c r="BB30" i="27"/>
  <c r="BF30" i="27"/>
  <c r="BC30" i="27"/>
  <c r="BA30" i="27"/>
  <c r="AZ30" i="27"/>
  <c r="AV30" i="27"/>
  <c r="BE30" i="27"/>
  <c r="BD30" i="27"/>
  <c r="BG30" i="27"/>
  <c r="AY30" i="27"/>
  <c r="AV46" i="27"/>
  <c r="AZ46" i="27"/>
  <c r="BD46" i="27"/>
  <c r="AY46" i="27"/>
  <c r="BE46" i="27"/>
  <c r="BB46" i="27"/>
  <c r="BG46" i="27"/>
  <c r="BF46" i="27"/>
  <c r="AX46" i="27"/>
  <c r="BA46" i="27"/>
  <c r="BC46" i="27"/>
  <c r="AV62" i="27"/>
  <c r="AZ62" i="27"/>
  <c r="BD62" i="27"/>
  <c r="AY62" i="27"/>
  <c r="BE62" i="27"/>
  <c r="BB62" i="27"/>
  <c r="BG62" i="27"/>
  <c r="BF62" i="27"/>
  <c r="AX62" i="27"/>
  <c r="BA62" i="27"/>
  <c r="BC62" i="27"/>
  <c r="AX78" i="27"/>
  <c r="BB78" i="27"/>
  <c r="BF78" i="27"/>
  <c r="AV78" i="27"/>
  <c r="AZ78" i="27"/>
  <c r="BD78" i="27"/>
  <c r="BC78" i="27"/>
  <c r="BE78" i="27"/>
  <c r="AY78" i="27"/>
  <c r="BG78" i="27"/>
  <c r="BA78" i="27"/>
  <c r="AX94" i="27"/>
  <c r="BB94" i="27"/>
  <c r="AV94" i="27"/>
  <c r="AZ94" i="27"/>
  <c r="BC94" i="27"/>
  <c r="BG94" i="27"/>
  <c r="BD94" i="27"/>
  <c r="AY94" i="27"/>
  <c r="BE94" i="27"/>
  <c r="BA94" i="27"/>
  <c r="BF94" i="27"/>
  <c r="AY110" i="27"/>
  <c r="BC110" i="27"/>
  <c r="BG110" i="27"/>
  <c r="BA110" i="27"/>
  <c r="BE110" i="27"/>
  <c r="AZ110" i="27"/>
  <c r="BB110" i="27"/>
  <c r="AV110" i="27"/>
  <c r="BD110" i="27"/>
  <c r="AX110" i="27"/>
  <c r="BF110" i="27"/>
  <c r="AY126" i="27"/>
  <c r="BC126" i="27"/>
  <c r="BG126" i="27"/>
  <c r="BA126" i="27"/>
  <c r="BE126" i="27"/>
  <c r="AZ126" i="27"/>
  <c r="BB126" i="27"/>
  <c r="AV126" i="27"/>
  <c r="BD126" i="27"/>
  <c r="AX126" i="27"/>
  <c r="BF126" i="27"/>
  <c r="AX8" i="27"/>
  <c r="BB8" i="27"/>
  <c r="BF8" i="27"/>
  <c r="AZ8" i="27"/>
  <c r="BE8" i="27"/>
  <c r="AV8" i="27"/>
  <c r="BC8" i="27"/>
  <c r="AY8" i="27"/>
  <c r="BG8" i="27"/>
  <c r="BD8" i="27"/>
  <c r="BA8" i="27"/>
  <c r="AX24" i="27"/>
  <c r="BB24" i="27"/>
  <c r="BF24" i="27"/>
  <c r="AZ24" i="27"/>
  <c r="BE24" i="27"/>
  <c r="AV24" i="27"/>
  <c r="BC24" i="27"/>
  <c r="BG24" i="27"/>
  <c r="BA24" i="27"/>
  <c r="AY24" i="27"/>
  <c r="BD24" i="27"/>
  <c r="BA40" i="27"/>
  <c r="BE40" i="27"/>
  <c r="AX40" i="27"/>
  <c r="BC40" i="27"/>
  <c r="BB40" i="27"/>
  <c r="AY40" i="27"/>
  <c r="BF40" i="27"/>
  <c r="AV40" i="27"/>
  <c r="AZ40" i="27"/>
  <c r="BD40" i="27"/>
  <c r="BG40" i="27"/>
  <c r="AV64" i="27"/>
  <c r="AZ64" i="27"/>
  <c r="BD64" i="27"/>
  <c r="BB64" i="27"/>
  <c r="BG64" i="27"/>
  <c r="AY64" i="27"/>
  <c r="BE64" i="27"/>
  <c r="BC64" i="27"/>
  <c r="BF64" i="27"/>
  <c r="AX64" i="27"/>
  <c r="BA64" i="27"/>
  <c r="AY96" i="27"/>
  <c r="BC96" i="27"/>
  <c r="BG96" i="27"/>
  <c r="AV96" i="27"/>
  <c r="AZ96" i="27"/>
  <c r="BD96" i="27"/>
  <c r="AW96" i="27"/>
  <c r="BA96" i="27"/>
  <c r="BE96" i="27"/>
  <c r="AX96" i="27"/>
  <c r="BB96" i="27"/>
  <c r="BF96" i="27"/>
  <c r="AY128" i="27"/>
  <c r="BC128" i="27"/>
  <c r="BG128" i="27"/>
  <c r="BA128" i="27"/>
  <c r="BE128" i="27"/>
  <c r="AZ128" i="27"/>
  <c r="BB128" i="27"/>
  <c r="AV128" i="27"/>
  <c r="BD128" i="27"/>
  <c r="AX128" i="27"/>
  <c r="BF128" i="27"/>
  <c r="AX15" i="27"/>
  <c r="BB15" i="27"/>
  <c r="BF15" i="27"/>
  <c r="AV15" i="27"/>
  <c r="BA15" i="27"/>
  <c r="BG15" i="27"/>
  <c r="BD15" i="27"/>
  <c r="AZ15" i="27"/>
  <c r="BE15" i="27"/>
  <c r="AY15" i="27"/>
  <c r="BC15" i="27"/>
  <c r="AX31" i="27"/>
  <c r="BB31" i="27"/>
  <c r="BF31" i="27"/>
  <c r="AV31" i="27"/>
  <c r="BA31" i="27"/>
  <c r="BG31" i="27"/>
  <c r="BD31" i="27"/>
  <c r="AY31" i="27"/>
  <c r="BC31" i="27"/>
  <c r="AZ31" i="27"/>
  <c r="BE31" i="27"/>
  <c r="AV47" i="27"/>
  <c r="AZ47" i="27"/>
  <c r="BD47" i="27"/>
  <c r="AX47" i="27"/>
  <c r="BC47" i="27"/>
  <c r="BA47" i="27"/>
  <c r="BF47" i="27"/>
  <c r="BE47" i="27"/>
  <c r="BG47" i="27"/>
  <c r="AY47" i="27"/>
  <c r="BB47" i="27"/>
  <c r="AV63" i="27"/>
  <c r="AZ63" i="27"/>
  <c r="BD63" i="27"/>
  <c r="AX63" i="27"/>
  <c r="BC63" i="27"/>
  <c r="BA63" i="27"/>
  <c r="BF63" i="27"/>
  <c r="BE63" i="27"/>
  <c r="BG63" i="27"/>
  <c r="AY63" i="27"/>
  <c r="BB63" i="27"/>
  <c r="AX79" i="27"/>
  <c r="BB79" i="27"/>
  <c r="BF79" i="27"/>
  <c r="AV79" i="27"/>
  <c r="AZ79" i="27"/>
  <c r="BD79" i="27"/>
  <c r="AY79" i="27"/>
  <c r="BG79" i="27"/>
  <c r="BA79" i="27"/>
  <c r="BC79" i="27"/>
  <c r="BE79" i="27"/>
  <c r="AY95" i="27"/>
  <c r="BC95" i="27"/>
  <c r="BG95" i="27"/>
  <c r="AV95" i="27"/>
  <c r="AZ95" i="27"/>
  <c r="BD95" i="27"/>
  <c r="BA95" i="27"/>
  <c r="BE95" i="27"/>
  <c r="AX95" i="27"/>
  <c r="BB95" i="27"/>
  <c r="BF95" i="27"/>
  <c r="AY111" i="27"/>
  <c r="BC111" i="27"/>
  <c r="BG111" i="27"/>
  <c r="BA111" i="27"/>
  <c r="BE111" i="27"/>
  <c r="AV111" i="27"/>
  <c r="BD111" i="27"/>
  <c r="AX111" i="27"/>
  <c r="BF111" i="27"/>
  <c r="AZ111" i="27"/>
  <c r="BB111" i="27"/>
  <c r="AY127" i="27"/>
  <c r="BC127" i="27"/>
  <c r="BG127" i="27"/>
  <c r="BA127" i="27"/>
  <c r="BE127" i="27"/>
  <c r="AV127" i="27"/>
  <c r="BD127" i="27"/>
  <c r="AX127" i="27"/>
  <c r="BF127" i="27"/>
  <c r="AZ127" i="27"/>
  <c r="BB127" i="27"/>
  <c r="AY135" i="27"/>
  <c r="BC135" i="27"/>
  <c r="BG135" i="27"/>
  <c r="BA135" i="27"/>
  <c r="BE135" i="27"/>
  <c r="AV135" i="27"/>
  <c r="BD135" i="27"/>
  <c r="AX135" i="27"/>
  <c r="BF135" i="27"/>
  <c r="AZ135" i="27"/>
  <c r="BB135" i="27"/>
  <c r="AV76" i="27"/>
  <c r="AZ76" i="27"/>
  <c r="BD76" i="27"/>
  <c r="BB76" i="27"/>
  <c r="BG76" i="27"/>
  <c r="AY76" i="27"/>
  <c r="BE76" i="27"/>
  <c r="AX76" i="27"/>
  <c r="BA76" i="27"/>
  <c r="BC76" i="27"/>
  <c r="BF76" i="27"/>
  <c r="AY108" i="27"/>
  <c r="BC108" i="27"/>
  <c r="BG108" i="27"/>
  <c r="BA108" i="27"/>
  <c r="BE108" i="27"/>
  <c r="AZ108" i="27"/>
  <c r="BB108" i="27"/>
  <c r="AV108" i="27"/>
  <c r="BD108" i="27"/>
  <c r="AX108" i="27"/>
  <c r="BF108" i="27"/>
  <c r="AX17" i="27"/>
  <c r="BB17" i="27"/>
  <c r="BF17" i="27"/>
  <c r="AY17" i="27"/>
  <c r="BD17" i="27"/>
  <c r="BA17" i="27"/>
  <c r="AW17" i="27"/>
  <c r="BE17" i="27"/>
  <c r="AV17" i="27"/>
  <c r="BC17" i="27"/>
  <c r="AZ17" i="27"/>
  <c r="BG17" i="27"/>
  <c r="AX81" i="27"/>
  <c r="BB81" i="27"/>
  <c r="BF81" i="27"/>
  <c r="AV81" i="27"/>
  <c r="AZ81" i="27"/>
  <c r="BD81" i="27"/>
  <c r="AY81" i="27"/>
  <c r="BG81" i="27"/>
  <c r="BA81" i="27"/>
  <c r="BC81" i="27"/>
  <c r="AW81" i="27"/>
  <c r="BE81" i="27"/>
  <c r="AV61" i="27"/>
  <c r="AZ61" i="27"/>
  <c r="BD61" i="27"/>
  <c r="BA61" i="27"/>
  <c r="BF61" i="27"/>
  <c r="AX61" i="27"/>
  <c r="BC61" i="27"/>
  <c r="BG61" i="27"/>
  <c r="AY61" i="27"/>
  <c r="BB61" i="27"/>
  <c r="BE61" i="27"/>
  <c r="AY125" i="27"/>
  <c r="BC125" i="27"/>
  <c r="BG125" i="27"/>
  <c r="BA125" i="27"/>
  <c r="BE125" i="27"/>
  <c r="AV125" i="27"/>
  <c r="BD125" i="27"/>
  <c r="AX125" i="27"/>
  <c r="BF125" i="27"/>
  <c r="AZ125" i="27"/>
  <c r="BB125" i="27"/>
  <c r="AX21" i="27"/>
  <c r="BB21" i="27"/>
  <c r="BF21" i="27"/>
  <c r="AY21" i="27"/>
  <c r="BD21" i="27"/>
  <c r="AV21" i="27"/>
  <c r="BC21" i="27"/>
  <c r="AZ21" i="27"/>
  <c r="BG21" i="27"/>
  <c r="BE21" i="27"/>
  <c r="AW21" i="27"/>
  <c r="BA21" i="27"/>
  <c r="AY121" i="27"/>
  <c r="BC121" i="27"/>
  <c r="BG121" i="27"/>
  <c r="BA121" i="27"/>
  <c r="BE121" i="27"/>
  <c r="AV121" i="27"/>
  <c r="BD121" i="27"/>
  <c r="AX121" i="27"/>
  <c r="BF121" i="27"/>
  <c r="AZ121" i="27"/>
  <c r="BB121" i="27"/>
  <c r="AX9" i="27"/>
  <c r="BB9" i="27"/>
  <c r="BF9" i="27"/>
  <c r="AY9" i="27"/>
  <c r="BD9" i="27"/>
  <c r="AW9" i="27"/>
  <c r="BE9" i="27"/>
  <c r="BA9" i="27"/>
  <c r="BG9" i="27"/>
  <c r="AZ9" i="27"/>
  <c r="AV9" i="27"/>
  <c r="BC9" i="27"/>
  <c r="AV69" i="27"/>
  <c r="AZ69" i="27"/>
  <c r="BD69" i="27"/>
  <c r="BA69" i="27"/>
  <c r="BF69" i="27"/>
  <c r="AX69" i="27"/>
  <c r="BC69" i="27"/>
  <c r="BG69" i="27"/>
  <c r="AY69" i="27"/>
  <c r="BB69" i="27"/>
  <c r="BE69" i="27"/>
  <c r="AY101" i="27"/>
  <c r="BC101" i="27"/>
  <c r="BG101" i="27"/>
  <c r="AV101" i="27"/>
  <c r="BA101" i="27"/>
  <c r="BE101" i="27"/>
  <c r="AX101" i="27"/>
  <c r="BB101" i="27"/>
  <c r="BF101" i="27"/>
  <c r="AZ101" i="27"/>
  <c r="BD101" i="27"/>
  <c r="V79" i="12"/>
  <c r="V94" i="12"/>
  <c r="V65" i="12"/>
  <c r="Z28" i="31"/>
  <c r="N28" i="31" s="1"/>
  <c r="Q28" i="12"/>
  <c r="P28" i="30"/>
  <c r="Q28" i="30"/>
  <c r="P28" i="31"/>
  <c r="Q28" i="31"/>
  <c r="Z76" i="31"/>
  <c r="N76" i="31" s="1"/>
  <c r="Q76" i="12"/>
  <c r="P76" i="30"/>
  <c r="Q76" i="30"/>
  <c r="Q76" i="31"/>
  <c r="P76" i="31"/>
  <c r="Z124" i="31"/>
  <c r="N124" i="31" s="1"/>
  <c r="Q124" i="12"/>
  <c r="Q124" i="30"/>
  <c r="P124" i="30"/>
  <c r="Q124" i="31"/>
  <c r="P124" i="31"/>
  <c r="Z23" i="31"/>
  <c r="N23" i="31" s="1"/>
  <c r="Q23" i="12"/>
  <c r="Q23" i="30"/>
  <c r="P23" i="30"/>
  <c r="Q23" i="31"/>
  <c r="P23" i="31"/>
  <c r="Z71" i="31"/>
  <c r="Q71" i="12"/>
  <c r="P71" i="30"/>
  <c r="Q71" i="30"/>
  <c r="Q71" i="31"/>
  <c r="P71" i="31"/>
  <c r="Q95" i="12"/>
  <c r="P95" i="30"/>
  <c r="Q95" i="30"/>
  <c r="P95" i="31"/>
  <c r="Q95" i="31"/>
  <c r="Z24" i="31"/>
  <c r="N24" i="31" s="1"/>
  <c r="Q24" i="12"/>
  <c r="Q24" i="30"/>
  <c r="P24" i="30"/>
  <c r="P24" i="31"/>
  <c r="Q24" i="31"/>
  <c r="Z72" i="31"/>
  <c r="N72" i="31" s="1"/>
  <c r="Q72" i="12"/>
  <c r="Q72" i="30"/>
  <c r="P72" i="30"/>
  <c r="Q72" i="31"/>
  <c r="P72" i="31"/>
  <c r="Z96" i="31"/>
  <c r="N96" i="31" s="1"/>
  <c r="Q96" i="12"/>
  <c r="P96" i="30"/>
  <c r="Q96" i="30"/>
  <c r="Q96" i="31"/>
  <c r="P96" i="31"/>
  <c r="Z7" i="31"/>
  <c r="N7" i="31" s="1"/>
  <c r="Q7" i="12"/>
  <c r="Q7" i="30"/>
  <c r="P7" i="30"/>
  <c r="Q7" i="31"/>
  <c r="P7" i="31"/>
  <c r="Z31" i="31"/>
  <c r="N31" i="31" s="1"/>
  <c r="Q31" i="12"/>
  <c r="Q31" i="30"/>
  <c r="P31" i="30"/>
  <c r="Q31" i="31"/>
  <c r="P31" i="31"/>
  <c r="Z55" i="31"/>
  <c r="Q55" i="12"/>
  <c r="P55" i="30"/>
  <c r="Q55" i="30"/>
  <c r="Q55" i="31"/>
  <c r="P55" i="31"/>
  <c r="Z79" i="31"/>
  <c r="N79" i="31" s="1"/>
  <c r="Q79" i="12"/>
  <c r="P79" i="30"/>
  <c r="Q79" i="30"/>
  <c r="Q79" i="31"/>
  <c r="P79" i="31"/>
  <c r="Z103" i="31"/>
  <c r="Q103" i="12"/>
  <c r="P103" i="30"/>
  <c r="Q103" i="30"/>
  <c r="P103" i="31"/>
  <c r="Q103" i="31"/>
  <c r="Z127" i="31"/>
  <c r="N127" i="31" s="1"/>
  <c r="Q127" i="12"/>
  <c r="P127" i="30"/>
  <c r="Q127" i="30"/>
  <c r="P127" i="31"/>
  <c r="Q127" i="31"/>
  <c r="Z117" i="31"/>
  <c r="Q117" i="12"/>
  <c r="P117" i="30"/>
  <c r="Q117" i="30"/>
  <c r="Q117" i="31"/>
  <c r="P117" i="31"/>
  <c r="P32" i="12"/>
  <c r="P128" i="12"/>
  <c r="Z14" i="31"/>
  <c r="N14" i="31" s="1"/>
  <c r="Q14" i="12"/>
  <c r="Q14" i="30"/>
  <c r="P14" i="30"/>
  <c r="P14" i="31"/>
  <c r="Q14" i="31"/>
  <c r="P73" i="12"/>
  <c r="P131" i="12"/>
  <c r="Z8" i="31"/>
  <c r="Q8" i="12"/>
  <c r="Q8" i="30"/>
  <c r="P8" i="30"/>
  <c r="P8" i="31"/>
  <c r="Q8" i="31"/>
  <c r="P16" i="12"/>
  <c r="P89" i="12"/>
  <c r="P112" i="12"/>
  <c r="P27" i="12"/>
  <c r="P75" i="12"/>
  <c r="P120" i="12"/>
  <c r="P58" i="12"/>
  <c r="P25" i="12"/>
  <c r="P33" i="12"/>
  <c r="P125" i="12"/>
  <c r="P87" i="12"/>
  <c r="V97" i="12"/>
  <c r="Z34" i="31"/>
  <c r="N34" i="31" s="1"/>
  <c r="Q34" i="12"/>
  <c r="P34" i="30"/>
  <c r="Q34" i="30"/>
  <c r="P34" i="31"/>
  <c r="Q34" i="31"/>
  <c r="Z82" i="31"/>
  <c r="Q82" i="12"/>
  <c r="Q82" i="30"/>
  <c r="P82" i="30"/>
  <c r="Q82" i="31"/>
  <c r="P82" i="31"/>
  <c r="Z130" i="31"/>
  <c r="N130" i="31" s="1"/>
  <c r="Q130" i="12"/>
  <c r="P130" i="30"/>
  <c r="Q130" i="30"/>
  <c r="Q130" i="31"/>
  <c r="P130" i="31"/>
  <c r="Z29" i="31"/>
  <c r="N29" i="31" s="1"/>
  <c r="Q29" i="12"/>
  <c r="Q29" i="30"/>
  <c r="P29" i="30"/>
  <c r="P29" i="31"/>
  <c r="Q29" i="31"/>
  <c r="Z77" i="31"/>
  <c r="Q77" i="12"/>
  <c r="Q77" i="30"/>
  <c r="P77" i="30"/>
  <c r="P77" i="31"/>
  <c r="Q77" i="31"/>
  <c r="Z6" i="31"/>
  <c r="N6" i="31" s="1"/>
  <c r="Q6" i="12"/>
  <c r="Q6" i="30"/>
  <c r="P6" i="30"/>
  <c r="Q6" i="31"/>
  <c r="P6" i="31"/>
  <c r="Z54" i="31"/>
  <c r="N54" i="31" s="1"/>
  <c r="Q54" i="12"/>
  <c r="Q54" i="30"/>
  <c r="P54" i="30"/>
  <c r="Q54" i="31"/>
  <c r="P54" i="31"/>
  <c r="Q102" i="12"/>
  <c r="Q102" i="30"/>
  <c r="P102" i="30"/>
  <c r="Q102" i="31"/>
  <c r="P102" i="31"/>
  <c r="Z13" i="31"/>
  <c r="N13" i="31" s="1"/>
  <c r="Q13" i="12"/>
  <c r="Q13" i="30"/>
  <c r="P13" i="30"/>
  <c r="P13" i="31"/>
  <c r="Q13" i="31"/>
  <c r="Q61" i="12"/>
  <c r="Q61" i="30"/>
  <c r="P61" i="30"/>
  <c r="Q61" i="31"/>
  <c r="P61" i="31"/>
  <c r="Z109" i="31"/>
  <c r="N109" i="31" s="1"/>
  <c r="Q109" i="12"/>
  <c r="Q109" i="30"/>
  <c r="P109" i="30"/>
  <c r="P109" i="31"/>
  <c r="Q109" i="31"/>
  <c r="Z27" i="31"/>
  <c r="N27" i="31" s="1"/>
  <c r="Q27" i="12"/>
  <c r="Q27" i="30"/>
  <c r="P27" i="30"/>
  <c r="Q27" i="31"/>
  <c r="P27" i="31"/>
  <c r="Q51" i="30"/>
  <c r="P51" i="30"/>
  <c r="Q51" i="12"/>
  <c r="Q51" i="31"/>
  <c r="P51" i="31"/>
  <c r="Z99" i="31"/>
  <c r="N99" i="31" s="1"/>
  <c r="Q99" i="12"/>
  <c r="P99" i="30"/>
  <c r="Q99" i="30"/>
  <c r="Q99" i="31"/>
  <c r="P99" i="31"/>
  <c r="P14" i="12"/>
  <c r="P62" i="12"/>
  <c r="P110" i="12"/>
  <c r="P18" i="12"/>
  <c r="Z56" i="31"/>
  <c r="Q56" i="12"/>
  <c r="Q56" i="30"/>
  <c r="P56" i="30"/>
  <c r="Q56" i="31"/>
  <c r="P56" i="31"/>
  <c r="P52" i="12"/>
  <c r="P109" i="12"/>
  <c r="Z32" i="31"/>
  <c r="N32" i="31" s="1"/>
  <c r="Q32" i="12"/>
  <c r="P32" i="30"/>
  <c r="Q32" i="30"/>
  <c r="P32" i="31"/>
  <c r="Q32" i="31"/>
  <c r="Q80" i="12"/>
  <c r="Q80" i="30"/>
  <c r="P80" i="30"/>
  <c r="Q80" i="31"/>
  <c r="P80" i="31"/>
  <c r="P48" i="12"/>
  <c r="P94" i="12"/>
  <c r="P5" i="12"/>
  <c r="P57" i="12"/>
  <c r="P103" i="12"/>
  <c r="P22" i="12"/>
  <c r="P115" i="12"/>
  <c r="P39" i="12"/>
  <c r="P134" i="12"/>
  <c r="V109" i="12"/>
  <c r="V72" i="12"/>
  <c r="V59" i="12"/>
  <c r="V107" i="12"/>
  <c r="Z22" i="31"/>
  <c r="N22" i="31" s="1"/>
  <c r="Q22" i="12"/>
  <c r="P22" i="30"/>
  <c r="Q22" i="30"/>
  <c r="P22" i="31"/>
  <c r="Q22" i="31"/>
  <c r="Z46" i="31"/>
  <c r="N46" i="31" s="1"/>
  <c r="Q46" i="12"/>
  <c r="Q46" i="30"/>
  <c r="P46" i="30"/>
  <c r="P46" i="31"/>
  <c r="Q46" i="31"/>
  <c r="Z70" i="31"/>
  <c r="N70" i="31" s="1"/>
  <c r="Q70" i="12"/>
  <c r="Q70" i="30"/>
  <c r="P70" i="30"/>
  <c r="Q70" i="31"/>
  <c r="P70" i="31"/>
  <c r="Z94" i="31"/>
  <c r="N94" i="31" s="1"/>
  <c r="Q94" i="12"/>
  <c r="P94" i="30"/>
  <c r="Q94" i="30"/>
  <c r="Q94" i="31"/>
  <c r="P94" i="31"/>
  <c r="Q118" i="12"/>
  <c r="P118" i="30"/>
  <c r="Q118" i="30"/>
  <c r="Q118" i="31"/>
  <c r="P118" i="31"/>
  <c r="Z107" i="31"/>
  <c r="N107" i="31" s="1"/>
  <c r="Q107" i="12"/>
  <c r="P107" i="30"/>
  <c r="Q107" i="30"/>
  <c r="P107" i="31"/>
  <c r="Q107" i="31"/>
  <c r="Z17" i="31"/>
  <c r="N17" i="31" s="1"/>
  <c r="Q17" i="12"/>
  <c r="Q17" i="30"/>
  <c r="P17" i="30"/>
  <c r="Q17" i="31"/>
  <c r="P17" i="31"/>
  <c r="Z41" i="31"/>
  <c r="N41" i="31" s="1"/>
  <c r="Q41" i="12"/>
  <c r="Q41" i="30"/>
  <c r="P41" i="30"/>
  <c r="Q41" i="31"/>
  <c r="P41" i="31"/>
  <c r="Z65" i="31"/>
  <c r="N65" i="31" s="1"/>
  <c r="Q65" i="30"/>
  <c r="Q65" i="12"/>
  <c r="P65" i="30"/>
  <c r="Q65" i="31"/>
  <c r="P65" i="31"/>
  <c r="Z89" i="31"/>
  <c r="Q89" i="12"/>
  <c r="Q89" i="30"/>
  <c r="P89" i="30"/>
  <c r="P89" i="31"/>
  <c r="Q89" i="31"/>
  <c r="Z119" i="31"/>
  <c r="N119" i="31" s="1"/>
  <c r="Q119" i="12"/>
  <c r="P119" i="30"/>
  <c r="Q119" i="30"/>
  <c r="P119" i="31"/>
  <c r="Q119" i="31"/>
  <c r="Z18" i="31"/>
  <c r="N18" i="31" s="1"/>
  <c r="Q18" i="12"/>
  <c r="Q18" i="30"/>
  <c r="P18" i="30"/>
  <c r="P18" i="31"/>
  <c r="Q18" i="31"/>
  <c r="Z42" i="31"/>
  <c r="N42" i="31" s="1"/>
  <c r="Q42" i="12"/>
  <c r="P42" i="30"/>
  <c r="Q42" i="30"/>
  <c r="P42" i="31"/>
  <c r="Q42" i="31"/>
  <c r="Z66" i="31"/>
  <c r="Q66" i="12"/>
  <c r="Q66" i="30"/>
  <c r="P66" i="30"/>
  <c r="P66" i="31"/>
  <c r="Q66" i="31"/>
  <c r="Q90" i="12"/>
  <c r="Q90" i="30"/>
  <c r="P90" i="30"/>
  <c r="Q90" i="31"/>
  <c r="P90" i="31"/>
  <c r="Z114" i="31"/>
  <c r="Q114" i="12"/>
  <c r="Q114" i="30"/>
  <c r="P114" i="30"/>
  <c r="P114" i="31"/>
  <c r="Q114" i="31"/>
  <c r="Z4" i="31"/>
  <c r="N4" i="31" s="1"/>
  <c r="Q4" i="31"/>
  <c r="Q4" i="30"/>
  <c r="P4" i="31"/>
  <c r="P4" i="30"/>
  <c r="Z25" i="31"/>
  <c r="N25" i="31" s="1"/>
  <c r="Q25" i="12"/>
  <c r="Q25" i="30"/>
  <c r="P25" i="30"/>
  <c r="Q25" i="31"/>
  <c r="P25" i="31"/>
  <c r="Z49" i="31"/>
  <c r="N49" i="31" s="1"/>
  <c r="Q49" i="12"/>
  <c r="Q49" i="30"/>
  <c r="P49" i="30"/>
  <c r="Q49" i="31"/>
  <c r="P49" i="31"/>
  <c r="Z73" i="31"/>
  <c r="N73" i="31" s="1"/>
  <c r="Q73" i="12"/>
  <c r="Q73" i="30"/>
  <c r="P73" i="30"/>
  <c r="P73" i="31"/>
  <c r="Q73" i="31"/>
  <c r="Z97" i="31"/>
  <c r="N97" i="31" s="1"/>
  <c r="Q97" i="12"/>
  <c r="Q97" i="30"/>
  <c r="P97" i="30"/>
  <c r="P97" i="31"/>
  <c r="Q97" i="31"/>
  <c r="Z121" i="31"/>
  <c r="N121" i="31" s="1"/>
  <c r="Q121" i="12"/>
  <c r="Q121" i="30"/>
  <c r="P121" i="30"/>
  <c r="Q121" i="31"/>
  <c r="P121" i="31"/>
  <c r="Z15" i="31"/>
  <c r="Q15" i="12"/>
  <c r="Q15" i="30"/>
  <c r="P15" i="30"/>
  <c r="Q15" i="31"/>
  <c r="P15" i="31"/>
  <c r="Z39" i="31"/>
  <c r="N39" i="31" s="1"/>
  <c r="Q39" i="30"/>
  <c r="P39" i="30"/>
  <c r="Q39" i="12"/>
  <c r="Q39" i="31"/>
  <c r="P39" i="31"/>
  <c r="Z63" i="31"/>
  <c r="Q63" i="12"/>
  <c r="Q63" i="30"/>
  <c r="P63" i="30"/>
  <c r="Q63" i="31"/>
  <c r="P63" i="31"/>
  <c r="Z87" i="31"/>
  <c r="Q87" i="12"/>
  <c r="Q87" i="30"/>
  <c r="P87" i="30"/>
  <c r="Q87" i="31"/>
  <c r="P87" i="31"/>
  <c r="Z111" i="31"/>
  <c r="Q111" i="12"/>
  <c r="P111" i="30"/>
  <c r="Q111" i="30"/>
  <c r="Q111" i="31"/>
  <c r="P111" i="31"/>
  <c r="Z136" i="31"/>
  <c r="Q136" i="12"/>
  <c r="Q136" i="30"/>
  <c r="P136" i="30"/>
  <c r="Q136" i="31"/>
  <c r="P136" i="31"/>
  <c r="P26" i="12"/>
  <c r="P74" i="12"/>
  <c r="P98" i="12"/>
  <c r="P122" i="12"/>
  <c r="P6" i="12"/>
  <c r="P30" i="12"/>
  <c r="Z122" i="31"/>
  <c r="N122" i="31" s="1"/>
  <c r="Q122" i="12"/>
  <c r="P122" i="30"/>
  <c r="Q122" i="30"/>
  <c r="Q122" i="31"/>
  <c r="P122" i="31"/>
  <c r="Z128" i="31"/>
  <c r="N128" i="31" s="1"/>
  <c r="Q128" i="12"/>
  <c r="P128" i="30"/>
  <c r="Q128" i="30"/>
  <c r="Q128" i="31"/>
  <c r="P128" i="31"/>
  <c r="P37" i="12"/>
  <c r="P66" i="12"/>
  <c r="P124" i="12"/>
  <c r="Z98" i="31"/>
  <c r="N98" i="31" s="1"/>
  <c r="Q98" i="12"/>
  <c r="Q98" i="30"/>
  <c r="P98" i="30"/>
  <c r="Q98" i="31"/>
  <c r="P98" i="31"/>
  <c r="Z104" i="31"/>
  <c r="N104" i="31" s="1"/>
  <c r="Q104" i="12"/>
  <c r="Q104" i="30"/>
  <c r="P104" i="30"/>
  <c r="Q104" i="31"/>
  <c r="P104" i="31"/>
  <c r="Z74" i="31"/>
  <c r="N74" i="31" s="1"/>
  <c r="Q74" i="12"/>
  <c r="P74" i="30"/>
  <c r="Q74" i="30"/>
  <c r="Q74" i="31"/>
  <c r="P74" i="31"/>
  <c r="P36" i="12"/>
  <c r="P60" i="12"/>
  <c r="P83" i="12"/>
  <c r="P106" i="12"/>
  <c r="P19" i="12"/>
  <c r="P46" i="12"/>
  <c r="P69" i="12"/>
  <c r="P91" i="12"/>
  <c r="P114" i="12"/>
  <c r="P138" i="12"/>
  <c r="P47" i="12"/>
  <c r="P10" i="12"/>
  <c r="P72" i="12"/>
  <c r="P17" i="12"/>
  <c r="P67" i="12"/>
  <c r="P113" i="12"/>
  <c r="P96" i="12"/>
  <c r="P41" i="12"/>
  <c r="P8" i="12"/>
  <c r="Z45" i="31"/>
  <c r="N45" i="31" s="1"/>
  <c r="Q45" i="12"/>
  <c r="Q45" i="30"/>
  <c r="P45" i="30"/>
  <c r="Q45" i="31"/>
  <c r="P45" i="31"/>
  <c r="Z21" i="31"/>
  <c r="N21" i="31" s="1"/>
  <c r="Q21" i="12"/>
  <c r="Q21" i="30"/>
  <c r="P21" i="30"/>
  <c r="P21" i="31"/>
  <c r="Q21" i="31"/>
  <c r="V113" i="12"/>
  <c r="V52" i="12"/>
  <c r="V42" i="12"/>
  <c r="Z52" i="31"/>
  <c r="N52" i="31" s="1"/>
  <c r="Q52" i="12"/>
  <c r="Q52" i="30"/>
  <c r="P52" i="30"/>
  <c r="P52" i="31"/>
  <c r="Q52" i="31"/>
  <c r="Z100" i="31"/>
  <c r="N100" i="31" s="1"/>
  <c r="Q100" i="12"/>
  <c r="Q100" i="30"/>
  <c r="P100" i="30"/>
  <c r="P100" i="31"/>
  <c r="Q100" i="31"/>
  <c r="Z138" i="31"/>
  <c r="N138" i="31" s="1"/>
  <c r="Q138" i="12"/>
  <c r="P138" i="30"/>
  <c r="Q138" i="30"/>
  <c r="Q138" i="31"/>
  <c r="P138" i="31"/>
  <c r="Z47" i="31"/>
  <c r="N47" i="31" s="1"/>
  <c r="Q47" i="12"/>
  <c r="Q47" i="30"/>
  <c r="P47" i="30"/>
  <c r="P47" i="31"/>
  <c r="Q47" i="31"/>
  <c r="Z131" i="31"/>
  <c r="N131" i="31" s="1"/>
  <c r="Q131" i="12"/>
  <c r="P131" i="30"/>
  <c r="Q131" i="30"/>
  <c r="Q131" i="31"/>
  <c r="P131" i="31"/>
  <c r="Z48" i="31"/>
  <c r="Q48" i="30"/>
  <c r="P48" i="30"/>
  <c r="Q48" i="12"/>
  <c r="P48" i="31"/>
  <c r="Q48" i="31"/>
  <c r="Z120" i="31"/>
  <c r="N120" i="31" s="1"/>
  <c r="P120" i="30"/>
  <c r="Q120" i="12"/>
  <c r="Q120" i="30"/>
  <c r="Q120" i="31"/>
  <c r="P120" i="31"/>
  <c r="Z69" i="31"/>
  <c r="Q69" i="12"/>
  <c r="Q69" i="30"/>
  <c r="P69" i="30"/>
  <c r="Q69" i="31"/>
  <c r="P69" i="31"/>
  <c r="Q93" i="12"/>
  <c r="P93" i="30"/>
  <c r="Q93" i="30"/>
  <c r="Q93" i="31"/>
  <c r="P93" i="31"/>
  <c r="Z125" i="31"/>
  <c r="N125" i="31" s="1"/>
  <c r="Q125" i="12"/>
  <c r="Q125" i="30"/>
  <c r="P125" i="30"/>
  <c r="Q125" i="31"/>
  <c r="P125" i="31"/>
  <c r="P56" i="12"/>
  <c r="P104" i="12"/>
  <c r="P12" i="12"/>
  <c r="Z20" i="31"/>
  <c r="Q20" i="12"/>
  <c r="P20" i="30"/>
  <c r="Q20" i="30"/>
  <c r="P20" i="31"/>
  <c r="Q20" i="31"/>
  <c r="P45" i="12"/>
  <c r="Z135" i="31"/>
  <c r="N135" i="31" s="1"/>
  <c r="Q135" i="12"/>
  <c r="P135" i="30"/>
  <c r="Q135" i="30"/>
  <c r="Q135" i="31"/>
  <c r="P135" i="31"/>
  <c r="P42" i="12"/>
  <c r="P65" i="12"/>
  <c r="P136" i="12"/>
  <c r="P97" i="12"/>
  <c r="P7" i="12"/>
  <c r="P105" i="12"/>
  <c r="P84" i="12"/>
  <c r="P130" i="12"/>
  <c r="V57" i="12"/>
  <c r="Z10" i="31"/>
  <c r="N10" i="31" s="1"/>
  <c r="Q10" i="12"/>
  <c r="Q10" i="30"/>
  <c r="P10" i="30"/>
  <c r="P10" i="31"/>
  <c r="Q10" i="31"/>
  <c r="Z58" i="31"/>
  <c r="Q58" i="12"/>
  <c r="Q58" i="30"/>
  <c r="P58" i="30"/>
  <c r="P58" i="31"/>
  <c r="Q58" i="31"/>
  <c r="Z106" i="31"/>
  <c r="N106" i="31" s="1"/>
  <c r="Q106" i="12"/>
  <c r="Q106" i="30"/>
  <c r="P106" i="30"/>
  <c r="Q106" i="31"/>
  <c r="P106" i="31"/>
  <c r="Z5" i="31"/>
  <c r="N5" i="31" s="1"/>
  <c r="Q5" i="12"/>
  <c r="Q5" i="30"/>
  <c r="P5" i="30"/>
  <c r="Q5" i="31"/>
  <c r="P5" i="31"/>
  <c r="Q53" i="12"/>
  <c r="P53" i="30"/>
  <c r="Q53" i="30"/>
  <c r="Q53" i="31"/>
  <c r="P53" i="31"/>
  <c r="Z101" i="31"/>
  <c r="N101" i="31" s="1"/>
  <c r="Q101" i="12"/>
  <c r="Q101" i="30"/>
  <c r="P101" i="30"/>
  <c r="Q101" i="31"/>
  <c r="P101" i="31"/>
  <c r="Z30" i="31"/>
  <c r="N30" i="31" s="1"/>
  <c r="Q30" i="12"/>
  <c r="Q30" i="30"/>
  <c r="P30" i="30"/>
  <c r="P30" i="31"/>
  <c r="Q30" i="31"/>
  <c r="Q78" i="12"/>
  <c r="Q78" i="30"/>
  <c r="P78" i="30"/>
  <c r="P78" i="31"/>
  <c r="Q78" i="31"/>
  <c r="Z126" i="31"/>
  <c r="N126" i="31" s="1"/>
  <c r="Q126" i="12"/>
  <c r="P126" i="30"/>
  <c r="Q126" i="30"/>
  <c r="Q126" i="31"/>
  <c r="P126" i="31"/>
  <c r="Z37" i="31"/>
  <c r="N37" i="31" s="1"/>
  <c r="Q37" i="12"/>
  <c r="Q37" i="30"/>
  <c r="P37" i="30"/>
  <c r="P37" i="31"/>
  <c r="Q37" i="31"/>
  <c r="Z85" i="31"/>
  <c r="Q85" i="12"/>
  <c r="P85" i="30"/>
  <c r="Q85" i="30"/>
  <c r="P85" i="31"/>
  <c r="Q85" i="31"/>
  <c r="Z134" i="31"/>
  <c r="N134" i="31" s="1"/>
  <c r="Q134" i="12"/>
  <c r="Q134" i="30"/>
  <c r="P134" i="30"/>
  <c r="Q134" i="31"/>
  <c r="P134" i="31"/>
  <c r="Z75" i="31"/>
  <c r="Q75" i="12"/>
  <c r="Q75" i="30"/>
  <c r="P75" i="30"/>
  <c r="P75" i="31"/>
  <c r="Q75" i="31"/>
  <c r="Z123" i="31"/>
  <c r="N123" i="31" s="1"/>
  <c r="Q123" i="12"/>
  <c r="P123" i="30"/>
  <c r="Q123" i="30"/>
  <c r="P123" i="31"/>
  <c r="Q123" i="31"/>
  <c r="P38" i="12"/>
  <c r="P86" i="12"/>
  <c r="P135" i="12"/>
  <c r="Q50" i="12"/>
  <c r="Q50" i="30"/>
  <c r="P50" i="30"/>
  <c r="P50" i="31"/>
  <c r="Q50" i="31"/>
  <c r="P21" i="12"/>
  <c r="P81" i="12"/>
  <c r="Z26" i="31"/>
  <c r="N26" i="31" s="1"/>
  <c r="Q26" i="12"/>
  <c r="P26" i="30"/>
  <c r="Q26" i="30"/>
  <c r="P26" i="31"/>
  <c r="Q26" i="31"/>
  <c r="Q44" i="12"/>
  <c r="Q44" i="30"/>
  <c r="P44" i="30"/>
  <c r="P44" i="31"/>
  <c r="Q44" i="31"/>
  <c r="P23" i="12"/>
  <c r="P71" i="12"/>
  <c r="P34" i="12"/>
  <c r="P79" i="12"/>
  <c r="P126" i="12"/>
  <c r="P70" i="12"/>
  <c r="P107" i="12"/>
  <c r="P43" i="12"/>
  <c r="P137" i="12"/>
  <c r="V43" i="12"/>
  <c r="V6" i="12"/>
  <c r="V99" i="12"/>
  <c r="V68" i="12"/>
  <c r="Z16" i="31"/>
  <c r="N16" i="31" s="1"/>
  <c r="Q16" i="12"/>
  <c r="P16" i="30"/>
  <c r="Q16" i="30"/>
  <c r="P16" i="31"/>
  <c r="Q16" i="31"/>
  <c r="Z40" i="31"/>
  <c r="Q40" i="12"/>
  <c r="Q40" i="30"/>
  <c r="P40" i="30"/>
  <c r="P40" i="31"/>
  <c r="Q40" i="31"/>
  <c r="Z64" i="31"/>
  <c r="N64" i="31" s="1"/>
  <c r="Q64" i="12"/>
  <c r="Q64" i="30"/>
  <c r="P64" i="30"/>
  <c r="Q64" i="31"/>
  <c r="P64" i="31"/>
  <c r="Z88" i="31"/>
  <c r="N88" i="31" s="1"/>
  <c r="Q88" i="12"/>
  <c r="Q88" i="30"/>
  <c r="P88" i="30"/>
  <c r="Q88" i="31"/>
  <c r="P88" i="31"/>
  <c r="Z112" i="31"/>
  <c r="N112" i="31" s="1"/>
  <c r="Q112" i="12"/>
  <c r="Q112" i="30"/>
  <c r="P112" i="30"/>
  <c r="P112" i="31"/>
  <c r="Q112" i="31"/>
  <c r="Z137" i="31"/>
  <c r="N137" i="31" s="1"/>
  <c r="Q137" i="12"/>
  <c r="Q137" i="30"/>
  <c r="P137" i="30"/>
  <c r="Q137" i="31"/>
  <c r="P137" i="31"/>
  <c r="Q11" i="12"/>
  <c r="Q11" i="30"/>
  <c r="P11" i="30"/>
  <c r="Q11" i="31"/>
  <c r="P11" i="31"/>
  <c r="Z35" i="31"/>
  <c r="N35" i="31" s="1"/>
  <c r="Q35" i="12"/>
  <c r="Q35" i="30"/>
  <c r="P35" i="30"/>
  <c r="Q35" i="31"/>
  <c r="P35" i="31"/>
  <c r="Z59" i="31"/>
  <c r="N59" i="31" s="1"/>
  <c r="Q59" i="12"/>
  <c r="P59" i="30"/>
  <c r="Q59" i="30"/>
  <c r="Q59" i="31"/>
  <c r="P59" i="31"/>
  <c r="Z83" i="31"/>
  <c r="N83" i="31" s="1"/>
  <c r="Q83" i="30"/>
  <c r="P83" i="30"/>
  <c r="Q83" i="12"/>
  <c r="Q83" i="31"/>
  <c r="P83" i="31"/>
  <c r="Z113" i="31"/>
  <c r="N113" i="31" s="1"/>
  <c r="Q113" i="12"/>
  <c r="P113" i="30"/>
  <c r="Q113" i="30"/>
  <c r="Q113" i="31"/>
  <c r="P113" i="31"/>
  <c r="Z12" i="31"/>
  <c r="Q12" i="12"/>
  <c r="P12" i="30"/>
  <c r="Q12" i="30"/>
  <c r="P12" i="31"/>
  <c r="Q12" i="31"/>
  <c r="Z36" i="31"/>
  <c r="N36" i="31" s="1"/>
  <c r="Q36" i="12"/>
  <c r="P36" i="30"/>
  <c r="Q36" i="30"/>
  <c r="P36" i="31"/>
  <c r="Q36" i="31"/>
  <c r="Z60" i="31"/>
  <c r="N60" i="31" s="1"/>
  <c r="Q60" i="12"/>
  <c r="Q60" i="30"/>
  <c r="P60" i="30"/>
  <c r="Q60" i="31"/>
  <c r="P60" i="31"/>
  <c r="Z84" i="31"/>
  <c r="N84" i="31" s="1"/>
  <c r="Q84" i="12"/>
  <c r="Q84" i="30"/>
  <c r="P84" i="30"/>
  <c r="Q84" i="31"/>
  <c r="P84" i="31"/>
  <c r="Z108" i="31"/>
  <c r="N108" i="31" s="1"/>
  <c r="Q108" i="12"/>
  <c r="Q108" i="30"/>
  <c r="P108" i="30"/>
  <c r="Q108" i="31"/>
  <c r="P108" i="31"/>
  <c r="Z132" i="31"/>
  <c r="Q132" i="12"/>
  <c r="Q132" i="30"/>
  <c r="P132" i="30"/>
  <c r="P132" i="31"/>
  <c r="Q132" i="31"/>
  <c r="Z19" i="31"/>
  <c r="N19" i="31" s="1"/>
  <c r="Q19" i="12"/>
  <c r="Q19" i="30"/>
  <c r="P19" i="30"/>
  <c r="Q19" i="31"/>
  <c r="P19" i="31"/>
  <c r="Z43" i="31"/>
  <c r="N43" i="31" s="1"/>
  <c r="Q43" i="12"/>
  <c r="Q43" i="30"/>
  <c r="P43" i="30"/>
  <c r="Q43" i="31"/>
  <c r="P43" i="31"/>
  <c r="Z67" i="31"/>
  <c r="N67" i="31" s="1"/>
  <c r="Q67" i="12"/>
  <c r="Q67" i="30"/>
  <c r="P67" i="30"/>
  <c r="Q67" i="31"/>
  <c r="P67" i="31"/>
  <c r="Z91" i="31"/>
  <c r="N91" i="31" s="1"/>
  <c r="Q91" i="12"/>
  <c r="Q91" i="30"/>
  <c r="P91" i="30"/>
  <c r="Q91" i="31"/>
  <c r="P91" i="31"/>
  <c r="Z115" i="31"/>
  <c r="Q115" i="12"/>
  <c r="P115" i="30"/>
  <c r="Q115" i="30"/>
  <c r="Q115" i="31"/>
  <c r="P115" i="31"/>
  <c r="Q9" i="12"/>
  <c r="Q9" i="30"/>
  <c r="P9" i="30"/>
  <c r="P9" i="31"/>
  <c r="Q9" i="31"/>
  <c r="Z33" i="31"/>
  <c r="N33" i="31" s="1"/>
  <c r="Q33" i="12"/>
  <c r="Q33" i="30"/>
  <c r="P33" i="30"/>
  <c r="Q33" i="31"/>
  <c r="P33" i="31"/>
  <c r="Z57" i="31"/>
  <c r="N57" i="31" s="1"/>
  <c r="Q57" i="12"/>
  <c r="Q57" i="30"/>
  <c r="P57" i="30"/>
  <c r="Q57" i="31"/>
  <c r="P57" i="31"/>
  <c r="Z81" i="31"/>
  <c r="N81" i="31" s="1"/>
  <c r="Q81" i="12"/>
  <c r="Q81" i="30"/>
  <c r="P81" i="30"/>
  <c r="P81" i="31"/>
  <c r="Q81" i="31"/>
  <c r="Z105" i="31"/>
  <c r="Q105" i="12"/>
  <c r="Q105" i="30"/>
  <c r="P105" i="30"/>
  <c r="P105" i="31"/>
  <c r="Q105" i="31"/>
  <c r="Q129" i="12"/>
  <c r="P129" i="30"/>
  <c r="Q129" i="30"/>
  <c r="Q129" i="31"/>
  <c r="P129" i="31"/>
  <c r="P20" i="12"/>
  <c r="P68" i="12"/>
  <c r="P92" i="12"/>
  <c r="P116" i="12"/>
  <c r="P133" i="12"/>
  <c r="P24" i="12"/>
  <c r="Z86" i="31"/>
  <c r="N86" i="31" s="1"/>
  <c r="Q86" i="12"/>
  <c r="P86" i="30"/>
  <c r="Q86" i="30"/>
  <c r="Q86" i="31"/>
  <c r="P86" i="31"/>
  <c r="Z92" i="31"/>
  <c r="N92" i="31" s="1"/>
  <c r="Q92" i="12"/>
  <c r="Q92" i="30"/>
  <c r="P92" i="30"/>
  <c r="P92" i="31"/>
  <c r="Q92" i="31"/>
  <c r="P29" i="12"/>
  <c r="P59" i="12"/>
  <c r="P88" i="12"/>
  <c r="P117" i="12"/>
  <c r="Z62" i="31"/>
  <c r="N62" i="31" s="1"/>
  <c r="Q62" i="30"/>
  <c r="Q62" i="12"/>
  <c r="P62" i="30"/>
  <c r="Q62" i="31"/>
  <c r="P62" i="31"/>
  <c r="Z68" i="31"/>
  <c r="N68" i="31" s="1"/>
  <c r="Q68" i="30"/>
  <c r="Q68" i="12"/>
  <c r="P68" i="30"/>
  <c r="P68" i="31"/>
  <c r="Q68" i="31"/>
  <c r="Z116" i="31"/>
  <c r="Q116" i="12"/>
  <c r="Q116" i="30"/>
  <c r="P116" i="30"/>
  <c r="Q116" i="31"/>
  <c r="P116" i="31"/>
  <c r="Z38" i="31"/>
  <c r="N38" i="31" s="1"/>
  <c r="Q38" i="12"/>
  <c r="P38" i="30"/>
  <c r="Q38" i="30"/>
  <c r="P38" i="31"/>
  <c r="Q38" i="31"/>
  <c r="P31" i="12"/>
  <c r="P54" i="12"/>
  <c r="P77" i="12"/>
  <c r="P100" i="12"/>
  <c r="P123" i="12"/>
  <c r="P13" i="12"/>
  <c r="P40" i="12"/>
  <c r="P63" i="12"/>
  <c r="P85" i="12"/>
  <c r="P108" i="12"/>
  <c r="P132" i="12"/>
  <c r="P35" i="12"/>
  <c r="P82" i="12"/>
  <c r="P127" i="12"/>
  <c r="P49" i="12"/>
  <c r="P119" i="12"/>
  <c r="P55" i="12"/>
  <c r="P101" i="12"/>
  <c r="Z110" i="31"/>
  <c r="N110" i="31" s="1"/>
  <c r="Q110" i="12"/>
  <c r="Q110" i="30"/>
  <c r="P110" i="30"/>
  <c r="P110" i="31"/>
  <c r="Q110" i="31"/>
  <c r="L131" i="31"/>
  <c r="E32" i="12"/>
  <c r="L32" i="30"/>
  <c r="E32" i="30"/>
  <c r="D32" i="30"/>
  <c r="L32" i="31"/>
  <c r="E32" i="31"/>
  <c r="D32" i="31"/>
  <c r="E64" i="12"/>
  <c r="E64" i="30"/>
  <c r="L64" i="30"/>
  <c r="D64" i="30"/>
  <c r="L64" i="31"/>
  <c r="E64" i="31"/>
  <c r="D64" i="31"/>
  <c r="E96" i="12"/>
  <c r="L96" i="30"/>
  <c r="D96" i="30"/>
  <c r="E96" i="30"/>
  <c r="L96" i="31"/>
  <c r="E96" i="31"/>
  <c r="D96" i="31"/>
  <c r="E128" i="12"/>
  <c r="E128" i="30"/>
  <c r="D128" i="30"/>
  <c r="L128" i="30"/>
  <c r="L128" i="31"/>
  <c r="E128" i="31"/>
  <c r="D128" i="31"/>
  <c r="E26" i="12"/>
  <c r="L26" i="30"/>
  <c r="E26" i="30"/>
  <c r="D26" i="30"/>
  <c r="L26" i="31"/>
  <c r="E26" i="31"/>
  <c r="D26" i="31"/>
  <c r="E70" i="12"/>
  <c r="L70" i="30"/>
  <c r="E70" i="30"/>
  <c r="D70" i="30"/>
  <c r="L70" i="31"/>
  <c r="E70" i="31"/>
  <c r="D70" i="31"/>
  <c r="E135" i="12"/>
  <c r="L135" i="30"/>
  <c r="E135" i="30"/>
  <c r="D135" i="30"/>
  <c r="L135" i="31"/>
  <c r="D135" i="31"/>
  <c r="E135" i="31"/>
  <c r="E33" i="12"/>
  <c r="L33" i="30"/>
  <c r="E33" i="30"/>
  <c r="D33" i="30"/>
  <c r="L33" i="31"/>
  <c r="D33" i="31"/>
  <c r="E33" i="31"/>
  <c r="E65" i="12"/>
  <c r="E65" i="30"/>
  <c r="L65" i="30"/>
  <c r="D65" i="30"/>
  <c r="L65" i="31"/>
  <c r="D65" i="31"/>
  <c r="E65" i="31"/>
  <c r="E97" i="12"/>
  <c r="E97" i="30"/>
  <c r="D97" i="30"/>
  <c r="L97" i="30"/>
  <c r="L97" i="31"/>
  <c r="D97" i="31"/>
  <c r="E97" i="31"/>
  <c r="E129" i="12"/>
  <c r="E129" i="30"/>
  <c r="L129" i="30"/>
  <c r="D129" i="30"/>
  <c r="L129" i="31"/>
  <c r="E129" i="31"/>
  <c r="D129" i="31"/>
  <c r="E114" i="12"/>
  <c r="L114" i="30"/>
  <c r="E114" i="30"/>
  <c r="D114" i="30"/>
  <c r="L114" i="31"/>
  <c r="N114" i="31"/>
  <c r="E114" i="31"/>
  <c r="D114" i="31"/>
  <c r="E95" i="12"/>
  <c r="L95" i="30"/>
  <c r="E95" i="30"/>
  <c r="D95" i="30"/>
  <c r="L95" i="31"/>
  <c r="D95" i="31"/>
  <c r="E95" i="31"/>
  <c r="J92" i="27"/>
  <c r="D90" i="12"/>
  <c r="E75" i="12"/>
  <c r="E75" i="30"/>
  <c r="L75" i="30"/>
  <c r="D75" i="30"/>
  <c r="L75" i="31"/>
  <c r="D75" i="31"/>
  <c r="N75" i="31"/>
  <c r="E75" i="31"/>
  <c r="J55" i="27"/>
  <c r="D53" i="12"/>
  <c r="E51" i="12"/>
  <c r="E51" i="30"/>
  <c r="D51" i="30"/>
  <c r="L51" i="30"/>
  <c r="L51" i="31"/>
  <c r="D51" i="31"/>
  <c r="E51" i="31"/>
  <c r="E71" i="12"/>
  <c r="L71" i="30"/>
  <c r="E71" i="30"/>
  <c r="D71" i="30"/>
  <c r="L71" i="31"/>
  <c r="D71" i="31"/>
  <c r="E71" i="31"/>
  <c r="N71" i="31"/>
  <c r="E39" i="12"/>
  <c r="L39" i="30"/>
  <c r="D39" i="30"/>
  <c r="E39" i="30"/>
  <c r="L39" i="31"/>
  <c r="E39" i="31"/>
  <c r="D39" i="31"/>
  <c r="J46" i="27"/>
  <c r="D44" i="12"/>
  <c r="E36" i="12"/>
  <c r="L36" i="30"/>
  <c r="E36" i="30"/>
  <c r="D36" i="30"/>
  <c r="L36" i="31"/>
  <c r="E36" i="31"/>
  <c r="D36" i="31"/>
  <c r="E68" i="30"/>
  <c r="L68" i="30"/>
  <c r="E68" i="12"/>
  <c r="D68" i="30"/>
  <c r="L68" i="31"/>
  <c r="E68" i="31"/>
  <c r="D68" i="31"/>
  <c r="L100" i="30"/>
  <c r="E100" i="12"/>
  <c r="E100" i="30"/>
  <c r="D100" i="30"/>
  <c r="L100" i="31"/>
  <c r="E100" i="31"/>
  <c r="D100" i="31"/>
  <c r="D132" i="30"/>
  <c r="L132" i="30"/>
  <c r="E132" i="30"/>
  <c r="E132" i="12"/>
  <c r="L132" i="31"/>
  <c r="E132" i="31"/>
  <c r="N132" i="31"/>
  <c r="D132" i="31"/>
  <c r="E50" i="12"/>
  <c r="L50" i="30"/>
  <c r="E50" i="30"/>
  <c r="D50" i="30"/>
  <c r="L50" i="31"/>
  <c r="E50" i="31"/>
  <c r="D50" i="31"/>
  <c r="E110" i="12"/>
  <c r="L110" i="30"/>
  <c r="E110" i="30"/>
  <c r="D110" i="30"/>
  <c r="L110" i="31"/>
  <c r="E110" i="31"/>
  <c r="D110" i="31"/>
  <c r="E5" i="30"/>
  <c r="L5" i="30"/>
  <c r="E5" i="12"/>
  <c r="D5" i="30"/>
  <c r="L5" i="31"/>
  <c r="E5" i="31"/>
  <c r="D5" i="31"/>
  <c r="E37" i="12"/>
  <c r="L37" i="30"/>
  <c r="E37" i="30"/>
  <c r="D37" i="30"/>
  <c r="L37" i="31"/>
  <c r="D37" i="31"/>
  <c r="E37" i="31"/>
  <c r="E69" i="12"/>
  <c r="L69" i="30"/>
  <c r="D69" i="30"/>
  <c r="E69" i="30"/>
  <c r="L69" i="31"/>
  <c r="N69" i="31"/>
  <c r="D69" i="31"/>
  <c r="E69" i="31"/>
  <c r="L101" i="30"/>
  <c r="E101" i="12"/>
  <c r="E101" i="30"/>
  <c r="D101" i="30"/>
  <c r="L101" i="31"/>
  <c r="D101" i="31"/>
  <c r="E101" i="31"/>
  <c r="E134" i="12"/>
  <c r="L134" i="30"/>
  <c r="E134" i="30"/>
  <c r="D134" i="30"/>
  <c r="L134" i="31"/>
  <c r="E134" i="31"/>
  <c r="D134" i="31"/>
  <c r="E90" i="12"/>
  <c r="E90" i="30"/>
  <c r="L90" i="30"/>
  <c r="D90" i="30"/>
  <c r="L90" i="31"/>
  <c r="E90" i="31"/>
  <c r="D90" i="31"/>
  <c r="L111" i="30"/>
  <c r="E111" i="30"/>
  <c r="E111" i="12"/>
  <c r="D111" i="30"/>
  <c r="L111" i="31"/>
  <c r="D111" i="31"/>
  <c r="N111" i="31"/>
  <c r="E111" i="31"/>
  <c r="J80" i="27"/>
  <c r="D78" i="12"/>
  <c r="E27" i="12"/>
  <c r="L27" i="30"/>
  <c r="D27" i="30"/>
  <c r="E27" i="30"/>
  <c r="L27" i="31"/>
  <c r="D27" i="31"/>
  <c r="E27" i="31"/>
  <c r="J11" i="27"/>
  <c r="D9" i="12"/>
  <c r="E55" i="30"/>
  <c r="L55" i="30"/>
  <c r="E55" i="12"/>
  <c r="D55" i="30"/>
  <c r="L55" i="31"/>
  <c r="D55" i="31"/>
  <c r="E55" i="31"/>
  <c r="N55" i="31"/>
  <c r="E103" i="12"/>
  <c r="E103" i="30"/>
  <c r="L103" i="30"/>
  <c r="D103" i="30"/>
  <c r="L103" i="31"/>
  <c r="D103" i="31"/>
  <c r="E103" i="31"/>
  <c r="N103" i="31"/>
  <c r="E35" i="12"/>
  <c r="L35" i="30"/>
  <c r="D35" i="30"/>
  <c r="E35" i="30"/>
  <c r="L35" i="31"/>
  <c r="D35" i="31"/>
  <c r="E35" i="31"/>
  <c r="E8" i="12"/>
  <c r="L8" i="30"/>
  <c r="E8" i="30"/>
  <c r="D8" i="30"/>
  <c r="L8" i="31"/>
  <c r="E8" i="31"/>
  <c r="D8" i="31"/>
  <c r="N8" i="31"/>
  <c r="E24" i="12"/>
  <c r="L24" i="30"/>
  <c r="E24" i="30"/>
  <c r="D24" i="30"/>
  <c r="L24" i="31"/>
  <c r="E24" i="31"/>
  <c r="D24" i="31"/>
  <c r="E40" i="12"/>
  <c r="L40" i="30"/>
  <c r="E40" i="30"/>
  <c r="D40" i="30"/>
  <c r="L40" i="31"/>
  <c r="E40" i="31"/>
  <c r="D40" i="31"/>
  <c r="N40" i="31"/>
  <c r="E56" i="12"/>
  <c r="E56" i="30"/>
  <c r="D56" i="30"/>
  <c r="L56" i="30"/>
  <c r="L56" i="31"/>
  <c r="D56" i="31"/>
  <c r="E56" i="31"/>
  <c r="N56" i="31"/>
  <c r="E72" i="12"/>
  <c r="D72" i="30"/>
  <c r="L72" i="30"/>
  <c r="E72" i="30"/>
  <c r="L72" i="31"/>
  <c r="E72" i="31"/>
  <c r="D72" i="31"/>
  <c r="E88" i="30"/>
  <c r="E88" i="12"/>
  <c r="D88" i="30"/>
  <c r="L88" i="30"/>
  <c r="L88" i="31"/>
  <c r="E88" i="31"/>
  <c r="D88" i="31"/>
  <c r="E104" i="12"/>
  <c r="D104" i="30"/>
  <c r="E104" i="30"/>
  <c r="L104" i="30"/>
  <c r="L104" i="31"/>
  <c r="E104" i="31"/>
  <c r="D104" i="31"/>
  <c r="E120" i="12"/>
  <c r="E120" i="30"/>
  <c r="D120" i="30"/>
  <c r="L120" i="30"/>
  <c r="L120" i="31"/>
  <c r="D120" i="31"/>
  <c r="E120" i="31"/>
  <c r="E137" i="12"/>
  <c r="D137" i="30"/>
  <c r="L137" i="30"/>
  <c r="E137" i="30"/>
  <c r="L137" i="31"/>
  <c r="D137" i="31"/>
  <c r="E137" i="31"/>
  <c r="E18" i="12"/>
  <c r="L18" i="30"/>
  <c r="E18" i="30"/>
  <c r="D18" i="30"/>
  <c r="L18" i="31"/>
  <c r="E18" i="31"/>
  <c r="D18" i="31"/>
  <c r="E34" i="12"/>
  <c r="L34" i="30"/>
  <c r="E34" i="30"/>
  <c r="D34" i="30"/>
  <c r="L34" i="31"/>
  <c r="D34" i="31"/>
  <c r="E34" i="31"/>
  <c r="E58" i="12"/>
  <c r="L58" i="30"/>
  <c r="E58" i="30"/>
  <c r="D58" i="30"/>
  <c r="L58" i="31"/>
  <c r="E58" i="31"/>
  <c r="N58" i="31"/>
  <c r="D58" i="31"/>
  <c r="E86" i="12"/>
  <c r="E86" i="30"/>
  <c r="L86" i="30"/>
  <c r="D86" i="30"/>
  <c r="L86" i="31"/>
  <c r="D86" i="31"/>
  <c r="E86" i="31"/>
  <c r="E118" i="12"/>
  <c r="L118" i="30"/>
  <c r="E118" i="30"/>
  <c r="D118" i="30"/>
  <c r="L118" i="31"/>
  <c r="E118" i="31"/>
  <c r="D118" i="31"/>
  <c r="E9" i="12"/>
  <c r="L9" i="30"/>
  <c r="E9" i="30"/>
  <c r="D9" i="30"/>
  <c r="L9" i="31"/>
  <c r="D9" i="31"/>
  <c r="E9" i="31"/>
  <c r="E25" i="12"/>
  <c r="L25" i="30"/>
  <c r="E25" i="30"/>
  <c r="D25" i="30"/>
  <c r="L25" i="31"/>
  <c r="D25" i="31"/>
  <c r="E25" i="31"/>
  <c r="E41" i="12"/>
  <c r="L41" i="30"/>
  <c r="E41" i="30"/>
  <c r="D41" i="30"/>
  <c r="L41" i="31"/>
  <c r="D41" i="31"/>
  <c r="E41" i="31"/>
  <c r="E57" i="12"/>
  <c r="E57" i="30"/>
  <c r="L57" i="30"/>
  <c r="D57" i="30"/>
  <c r="L57" i="31"/>
  <c r="D57" i="31"/>
  <c r="E57" i="31"/>
  <c r="E73" i="12"/>
  <c r="L73" i="30"/>
  <c r="D73" i="30"/>
  <c r="E73" i="30"/>
  <c r="L73" i="31"/>
  <c r="D73" i="31"/>
  <c r="E73" i="31"/>
  <c r="E89" i="30"/>
  <c r="L89" i="30"/>
  <c r="E89" i="12"/>
  <c r="D89" i="30"/>
  <c r="L89" i="31"/>
  <c r="N89" i="31"/>
  <c r="D89" i="31"/>
  <c r="E89" i="31"/>
  <c r="E105" i="12"/>
  <c r="L105" i="30"/>
  <c r="D105" i="30"/>
  <c r="E105" i="30"/>
  <c r="L105" i="31"/>
  <c r="N105" i="31"/>
  <c r="D105" i="31"/>
  <c r="E105" i="31"/>
  <c r="E121" i="12"/>
  <c r="E121" i="30"/>
  <c r="L121" i="30"/>
  <c r="D121" i="30"/>
  <c r="L121" i="31"/>
  <c r="D121" i="31"/>
  <c r="E121" i="31"/>
  <c r="E138" i="12"/>
  <c r="L138" i="30"/>
  <c r="D138" i="30"/>
  <c r="E138" i="30"/>
  <c r="L138" i="31"/>
  <c r="D138" i="31"/>
  <c r="E138" i="31"/>
  <c r="E66" i="12"/>
  <c r="L66" i="30"/>
  <c r="E66" i="30"/>
  <c r="D66" i="30"/>
  <c r="L66" i="31"/>
  <c r="E66" i="31"/>
  <c r="N66" i="31"/>
  <c r="D66" i="31"/>
  <c r="E98" i="30"/>
  <c r="L98" i="30"/>
  <c r="D98" i="30"/>
  <c r="E98" i="12"/>
  <c r="L98" i="31"/>
  <c r="E98" i="31"/>
  <c r="D98" i="31"/>
  <c r="E130" i="12"/>
  <c r="D130" i="30"/>
  <c r="L130" i="30"/>
  <c r="E130" i="30"/>
  <c r="L130" i="31"/>
  <c r="D130" i="31"/>
  <c r="E130" i="31"/>
  <c r="E63" i="12"/>
  <c r="E63" i="30"/>
  <c r="L63" i="30"/>
  <c r="D63" i="30"/>
  <c r="L63" i="31"/>
  <c r="E63" i="31"/>
  <c r="N63" i="31"/>
  <c r="D63" i="31"/>
  <c r="E127" i="30"/>
  <c r="L127" i="30"/>
  <c r="E127" i="12"/>
  <c r="D127" i="30"/>
  <c r="L127" i="31"/>
  <c r="D127" i="31"/>
  <c r="E127" i="31"/>
  <c r="J52" i="27"/>
  <c r="D50" i="12"/>
  <c r="E43" i="12"/>
  <c r="D43" i="30"/>
  <c r="E43" i="30"/>
  <c r="L43" i="30"/>
  <c r="L43" i="31"/>
  <c r="D43" i="31"/>
  <c r="E43" i="31"/>
  <c r="E107" i="12"/>
  <c r="E107" i="30"/>
  <c r="L107" i="30"/>
  <c r="D107" i="30"/>
  <c r="L107" i="31"/>
  <c r="D107" i="31"/>
  <c r="E107" i="31"/>
  <c r="J63" i="27"/>
  <c r="D61" i="12"/>
  <c r="J95" i="27"/>
  <c r="D93" i="12"/>
  <c r="E115" i="12"/>
  <c r="L115" i="30"/>
  <c r="E115" i="30"/>
  <c r="D115" i="30"/>
  <c r="L115" i="31"/>
  <c r="N115" i="31"/>
  <c r="D115" i="31"/>
  <c r="E115" i="31"/>
  <c r="J97" i="27"/>
  <c r="D95" i="12"/>
  <c r="E87" i="12"/>
  <c r="E87" i="30"/>
  <c r="L87" i="30"/>
  <c r="D87" i="30"/>
  <c r="L87" i="31"/>
  <c r="D87" i="31"/>
  <c r="E87" i="31"/>
  <c r="N87" i="31"/>
  <c r="J13" i="27"/>
  <c r="D11" i="12"/>
  <c r="L4" i="31"/>
  <c r="L4" i="30"/>
  <c r="D4" i="30"/>
  <c r="E4" i="31"/>
  <c r="D4" i="31"/>
  <c r="E4" i="30"/>
  <c r="E16" i="12"/>
  <c r="L16" i="30"/>
  <c r="E16" i="30"/>
  <c r="D16" i="30"/>
  <c r="L16" i="31"/>
  <c r="E16" i="31"/>
  <c r="D16" i="31"/>
  <c r="L48" i="30"/>
  <c r="E48" i="30"/>
  <c r="D48" i="30"/>
  <c r="E48" i="12"/>
  <c r="L48" i="31"/>
  <c r="E48" i="31"/>
  <c r="N48" i="31"/>
  <c r="D48" i="31"/>
  <c r="E80" i="12"/>
  <c r="L80" i="30"/>
  <c r="D80" i="30"/>
  <c r="E80" i="30"/>
  <c r="L80" i="31"/>
  <c r="E80" i="31"/>
  <c r="D80" i="31"/>
  <c r="L112" i="30"/>
  <c r="E112" i="30"/>
  <c r="E112" i="12"/>
  <c r="D112" i="30"/>
  <c r="L112" i="31"/>
  <c r="E112" i="31"/>
  <c r="D112" i="31"/>
  <c r="E10" i="12"/>
  <c r="L10" i="30"/>
  <c r="D10" i="30"/>
  <c r="E10" i="30"/>
  <c r="L10" i="31"/>
  <c r="E10" i="31"/>
  <c r="D10" i="31"/>
  <c r="E46" i="12"/>
  <c r="L46" i="30"/>
  <c r="E46" i="30"/>
  <c r="D46" i="30"/>
  <c r="L46" i="31"/>
  <c r="E46" i="31"/>
  <c r="D46" i="31"/>
  <c r="E102" i="12"/>
  <c r="L102" i="30"/>
  <c r="E102" i="30"/>
  <c r="D102" i="30"/>
  <c r="L102" i="31"/>
  <c r="E102" i="31"/>
  <c r="D102" i="31"/>
  <c r="E17" i="12"/>
  <c r="L17" i="30"/>
  <c r="E17" i="30"/>
  <c r="D17" i="30"/>
  <c r="L17" i="31"/>
  <c r="D17" i="31"/>
  <c r="E17" i="31"/>
  <c r="L49" i="30"/>
  <c r="E49" i="12"/>
  <c r="E49" i="30"/>
  <c r="D49" i="30"/>
  <c r="L49" i="31"/>
  <c r="E49" i="31"/>
  <c r="D49" i="31"/>
  <c r="E81" i="12"/>
  <c r="E81" i="30"/>
  <c r="L81" i="30"/>
  <c r="D81" i="30"/>
  <c r="L81" i="31"/>
  <c r="D81" i="31"/>
  <c r="E81" i="31"/>
  <c r="E113" i="12"/>
  <c r="E113" i="30"/>
  <c r="L113" i="30"/>
  <c r="D113" i="30"/>
  <c r="L113" i="31"/>
  <c r="E113" i="31"/>
  <c r="D113" i="31"/>
  <c r="E42" i="12"/>
  <c r="E42" i="30"/>
  <c r="L42" i="30"/>
  <c r="D42" i="30"/>
  <c r="L42" i="31"/>
  <c r="D42" i="31"/>
  <c r="E42" i="31"/>
  <c r="E82" i="12"/>
  <c r="E82" i="30"/>
  <c r="D82" i="30"/>
  <c r="L82" i="30"/>
  <c r="L82" i="31"/>
  <c r="D82" i="31"/>
  <c r="N82" i="31"/>
  <c r="E82" i="31"/>
  <c r="E31" i="12"/>
  <c r="L31" i="30"/>
  <c r="D31" i="30"/>
  <c r="E31" i="30"/>
  <c r="L31" i="31"/>
  <c r="E31" i="31"/>
  <c r="D31" i="31"/>
  <c r="E11" i="12"/>
  <c r="D11" i="30"/>
  <c r="L11" i="30"/>
  <c r="E11" i="30"/>
  <c r="L11" i="31"/>
  <c r="D11" i="31"/>
  <c r="E11" i="31"/>
  <c r="E23" i="12"/>
  <c r="L23" i="30"/>
  <c r="D23" i="30"/>
  <c r="E23" i="30"/>
  <c r="L23" i="31"/>
  <c r="D23" i="31"/>
  <c r="E23" i="31"/>
  <c r="J82" i="27"/>
  <c r="D80" i="12"/>
  <c r="J53" i="27"/>
  <c r="D51" i="12"/>
  <c r="E20" i="12"/>
  <c r="L20" i="30"/>
  <c r="E20" i="30"/>
  <c r="D20" i="30"/>
  <c r="L20" i="31"/>
  <c r="E20" i="31"/>
  <c r="N20" i="31"/>
  <c r="D20" i="31"/>
  <c r="E52" i="12"/>
  <c r="E52" i="30"/>
  <c r="L52" i="30"/>
  <c r="D52" i="30"/>
  <c r="L52" i="31"/>
  <c r="E52" i="31"/>
  <c r="D52" i="31"/>
  <c r="E84" i="30"/>
  <c r="D84" i="30"/>
  <c r="E84" i="12"/>
  <c r="L84" i="30"/>
  <c r="L84" i="31"/>
  <c r="E84" i="31"/>
  <c r="D84" i="31"/>
  <c r="E116" i="12"/>
  <c r="L116" i="30"/>
  <c r="D116" i="30"/>
  <c r="E116" i="30"/>
  <c r="L116" i="31"/>
  <c r="E116" i="31"/>
  <c r="D116" i="31"/>
  <c r="N116" i="31"/>
  <c r="E14" i="12"/>
  <c r="L14" i="30"/>
  <c r="E14" i="30"/>
  <c r="D14" i="30"/>
  <c r="L14" i="31"/>
  <c r="E14" i="31"/>
  <c r="D14" i="31"/>
  <c r="E30" i="12"/>
  <c r="L30" i="30"/>
  <c r="E30" i="30"/>
  <c r="D30" i="30"/>
  <c r="L30" i="31"/>
  <c r="E30" i="31"/>
  <c r="D30" i="31"/>
  <c r="E78" i="12"/>
  <c r="L78" i="30"/>
  <c r="E78" i="30"/>
  <c r="D78" i="30"/>
  <c r="L78" i="31"/>
  <c r="E78" i="31"/>
  <c r="D78" i="31"/>
  <c r="E21" i="12"/>
  <c r="L21" i="30"/>
  <c r="E21" i="30"/>
  <c r="D21" i="30"/>
  <c r="L21" i="31"/>
  <c r="D21" i="31"/>
  <c r="E21" i="31"/>
  <c r="E53" i="12"/>
  <c r="L53" i="30"/>
  <c r="E53" i="30"/>
  <c r="D53" i="30"/>
  <c r="L53" i="31"/>
  <c r="D53" i="31"/>
  <c r="E53" i="31"/>
  <c r="E85" i="12"/>
  <c r="E85" i="30"/>
  <c r="L85" i="30"/>
  <c r="D85" i="30"/>
  <c r="L85" i="31"/>
  <c r="N85" i="31"/>
  <c r="D85" i="31"/>
  <c r="E85" i="31"/>
  <c r="E117" i="12"/>
  <c r="L117" i="30"/>
  <c r="E117" i="30"/>
  <c r="D117" i="30"/>
  <c r="L117" i="31"/>
  <c r="N117" i="31"/>
  <c r="D117" i="31"/>
  <c r="E117" i="31"/>
  <c r="E54" i="30"/>
  <c r="E54" i="12"/>
  <c r="D54" i="30"/>
  <c r="L54" i="30"/>
  <c r="L54" i="31"/>
  <c r="E54" i="31"/>
  <c r="D54" i="31"/>
  <c r="E122" i="30"/>
  <c r="E122" i="12"/>
  <c r="D122" i="30"/>
  <c r="L122" i="30"/>
  <c r="L122" i="31"/>
  <c r="E122" i="31"/>
  <c r="D122" i="31"/>
  <c r="E47" i="12"/>
  <c r="L47" i="30"/>
  <c r="E47" i="30"/>
  <c r="D47" i="30"/>
  <c r="L47" i="31"/>
  <c r="D47" i="31"/>
  <c r="E47" i="31"/>
  <c r="E91" i="12"/>
  <c r="L91" i="30"/>
  <c r="E91" i="30"/>
  <c r="D91" i="30"/>
  <c r="L91" i="31"/>
  <c r="D91" i="31"/>
  <c r="E91" i="31"/>
  <c r="E83" i="12"/>
  <c r="E83" i="30"/>
  <c r="L83" i="30"/>
  <c r="D83" i="30"/>
  <c r="L83" i="31"/>
  <c r="D83" i="31"/>
  <c r="E83" i="31"/>
  <c r="E136" i="12"/>
  <c r="D136" i="30"/>
  <c r="L136" i="30"/>
  <c r="E136" i="30"/>
  <c r="L136" i="31"/>
  <c r="E136" i="31"/>
  <c r="D136" i="31"/>
  <c r="N136" i="31"/>
  <c r="E12" i="12"/>
  <c r="L12" i="30"/>
  <c r="E12" i="30"/>
  <c r="D12" i="30"/>
  <c r="L12" i="31"/>
  <c r="E12" i="31"/>
  <c r="D12" i="31"/>
  <c r="N12" i="31"/>
  <c r="E28" i="12"/>
  <c r="L28" i="30"/>
  <c r="E28" i="30"/>
  <c r="D28" i="30"/>
  <c r="L28" i="31"/>
  <c r="E28" i="31"/>
  <c r="D28" i="31"/>
  <c r="E44" i="12"/>
  <c r="L44" i="30"/>
  <c r="D44" i="30"/>
  <c r="E44" i="30"/>
  <c r="L44" i="31"/>
  <c r="E44" i="31"/>
  <c r="D44" i="31"/>
  <c r="E60" i="12"/>
  <c r="L60" i="30"/>
  <c r="D60" i="30"/>
  <c r="E60" i="30"/>
  <c r="L60" i="31"/>
  <c r="E60" i="31"/>
  <c r="D60" i="31"/>
  <c r="E76" i="12"/>
  <c r="E76" i="30"/>
  <c r="D76" i="30"/>
  <c r="L76" i="30"/>
  <c r="L76" i="31"/>
  <c r="E76" i="31"/>
  <c r="D76" i="31"/>
  <c r="E92" i="12"/>
  <c r="L92" i="30"/>
  <c r="E92" i="30"/>
  <c r="D92" i="30"/>
  <c r="L92" i="31"/>
  <c r="E92" i="31"/>
  <c r="D92" i="31"/>
  <c r="E108" i="30"/>
  <c r="E108" i="12"/>
  <c r="L108" i="30"/>
  <c r="D108" i="30"/>
  <c r="L108" i="31"/>
  <c r="E108" i="31"/>
  <c r="D108" i="31"/>
  <c r="E124" i="12"/>
  <c r="E124" i="30"/>
  <c r="D124" i="30"/>
  <c r="L124" i="30"/>
  <c r="L124" i="31"/>
  <c r="E124" i="31"/>
  <c r="D124" i="31"/>
  <c r="E6" i="12"/>
  <c r="E6" i="30"/>
  <c r="L6" i="30"/>
  <c r="D6" i="30"/>
  <c r="L6" i="31"/>
  <c r="E6" i="31"/>
  <c r="D6" i="31"/>
  <c r="E22" i="12"/>
  <c r="L22" i="30"/>
  <c r="E22" i="30"/>
  <c r="D22" i="30"/>
  <c r="L22" i="31"/>
  <c r="D22" i="31"/>
  <c r="E22" i="31"/>
  <c r="E38" i="12"/>
  <c r="L38" i="30"/>
  <c r="E38" i="30"/>
  <c r="D38" i="30"/>
  <c r="L38" i="31"/>
  <c r="E38" i="31"/>
  <c r="D38" i="31"/>
  <c r="E62" i="12"/>
  <c r="E62" i="30"/>
  <c r="L62" i="30"/>
  <c r="D62" i="30"/>
  <c r="L62" i="31"/>
  <c r="D62" i="31"/>
  <c r="E62" i="31"/>
  <c r="E94" i="30"/>
  <c r="L94" i="30"/>
  <c r="E94" i="12"/>
  <c r="D94" i="30"/>
  <c r="L94" i="31"/>
  <c r="D94" i="31"/>
  <c r="E94" i="31"/>
  <c r="E126" i="30"/>
  <c r="E126" i="12"/>
  <c r="L126" i="30"/>
  <c r="D126" i="30"/>
  <c r="L126" i="31"/>
  <c r="E126" i="31"/>
  <c r="D126" i="31"/>
  <c r="E13" i="12"/>
  <c r="L13" i="30"/>
  <c r="E13" i="30"/>
  <c r="D13" i="30"/>
  <c r="L13" i="31"/>
  <c r="D13" i="31"/>
  <c r="E13" i="31"/>
  <c r="E29" i="12"/>
  <c r="L29" i="30"/>
  <c r="E29" i="30"/>
  <c r="D29" i="30"/>
  <c r="L29" i="31"/>
  <c r="D29" i="31"/>
  <c r="E29" i="31"/>
  <c r="L45" i="30"/>
  <c r="E45" i="12"/>
  <c r="E45" i="30"/>
  <c r="D45" i="30"/>
  <c r="L45" i="31"/>
  <c r="E45" i="31"/>
  <c r="D45" i="31"/>
  <c r="L61" i="30"/>
  <c r="D61" i="30"/>
  <c r="E61" i="30"/>
  <c r="E61" i="12"/>
  <c r="L61" i="31"/>
  <c r="E61" i="31"/>
  <c r="D61" i="31"/>
  <c r="L77" i="30"/>
  <c r="D77" i="30"/>
  <c r="E77" i="30"/>
  <c r="E77" i="12"/>
  <c r="L77" i="31"/>
  <c r="N77" i="31"/>
  <c r="E77" i="31"/>
  <c r="D77" i="31"/>
  <c r="E93" i="12"/>
  <c r="L93" i="30"/>
  <c r="D93" i="30"/>
  <c r="E93" i="30"/>
  <c r="L93" i="31"/>
  <c r="E93" i="31"/>
  <c r="D93" i="31"/>
  <c r="E109" i="30"/>
  <c r="L109" i="30"/>
  <c r="E109" i="12"/>
  <c r="D109" i="30"/>
  <c r="L109" i="31"/>
  <c r="D109" i="31"/>
  <c r="E109" i="31"/>
  <c r="E125" i="12"/>
  <c r="E125" i="30"/>
  <c r="L125" i="30"/>
  <c r="D125" i="30"/>
  <c r="L125" i="31"/>
  <c r="E125" i="31"/>
  <c r="D125" i="31"/>
  <c r="E133" i="12"/>
  <c r="D133" i="30"/>
  <c r="L133" i="30"/>
  <c r="E133" i="30"/>
  <c r="L133" i="31"/>
  <c r="N133" i="31"/>
  <c r="D133" i="31"/>
  <c r="E133" i="31"/>
  <c r="E74" i="12"/>
  <c r="L74" i="30"/>
  <c r="E74" i="30"/>
  <c r="D74" i="30"/>
  <c r="L74" i="31"/>
  <c r="E74" i="31"/>
  <c r="D74" i="31"/>
  <c r="E106" i="30"/>
  <c r="D106" i="30"/>
  <c r="E106" i="12"/>
  <c r="L106" i="30"/>
  <c r="L106" i="31"/>
  <c r="E106" i="31"/>
  <c r="D106" i="31"/>
  <c r="E15" i="12"/>
  <c r="L15" i="30"/>
  <c r="D15" i="30"/>
  <c r="E15" i="30"/>
  <c r="L15" i="31"/>
  <c r="E15" i="31"/>
  <c r="N15" i="31"/>
  <c r="D15" i="31"/>
  <c r="E79" i="30"/>
  <c r="L79" i="30"/>
  <c r="E79" i="12"/>
  <c r="D79" i="30"/>
  <c r="L79" i="31"/>
  <c r="D79" i="31"/>
  <c r="E79" i="31"/>
  <c r="J104" i="27"/>
  <c r="D102" i="12"/>
  <c r="J120" i="27"/>
  <c r="D118" i="12"/>
  <c r="E59" i="12"/>
  <c r="E59" i="30"/>
  <c r="L59" i="30"/>
  <c r="D59" i="30"/>
  <c r="L59" i="31"/>
  <c r="E59" i="31"/>
  <c r="D59" i="31"/>
  <c r="E123" i="30"/>
  <c r="E123" i="12"/>
  <c r="L123" i="30"/>
  <c r="D123" i="30"/>
  <c r="L123" i="31"/>
  <c r="D123" i="31"/>
  <c r="E123" i="31"/>
  <c r="J131" i="27"/>
  <c r="D129" i="12"/>
  <c r="E19" i="12"/>
  <c r="L19" i="30"/>
  <c r="D19" i="30"/>
  <c r="E19" i="30"/>
  <c r="L19" i="31"/>
  <c r="D19" i="31"/>
  <c r="E19" i="31"/>
  <c r="E119" i="30"/>
  <c r="L119" i="30"/>
  <c r="E119" i="12"/>
  <c r="D119" i="30"/>
  <c r="L119" i="31"/>
  <c r="D119" i="31"/>
  <c r="E119" i="31"/>
  <c r="E7" i="12"/>
  <c r="L7" i="30"/>
  <c r="D7" i="30"/>
  <c r="E7" i="30"/>
  <c r="L7" i="31"/>
  <c r="E7" i="31"/>
  <c r="D7" i="31"/>
  <c r="E67" i="12"/>
  <c r="L67" i="30"/>
  <c r="E67" i="30"/>
  <c r="D67" i="30"/>
  <c r="L67" i="31"/>
  <c r="D67" i="31"/>
  <c r="E67" i="31"/>
  <c r="E99" i="12"/>
  <c r="E99" i="30"/>
  <c r="L99" i="30"/>
  <c r="D99" i="30"/>
  <c r="L99" i="31"/>
  <c r="D99" i="31"/>
  <c r="E99" i="31"/>
  <c r="L131" i="30"/>
  <c r="BX63" i="27"/>
  <c r="BX46" i="27"/>
  <c r="EE62" i="27"/>
  <c r="BX131" i="27"/>
  <c r="BX95" i="27"/>
  <c r="BX52" i="27"/>
  <c r="BX97" i="27"/>
  <c r="BX53" i="27"/>
  <c r="BX80" i="27"/>
  <c r="BX82" i="27"/>
  <c r="BX13" i="27"/>
  <c r="BX104" i="27"/>
  <c r="BX120" i="27"/>
  <c r="BX92" i="27"/>
  <c r="BW52" i="27"/>
  <c r="BW63" i="27"/>
  <c r="BW13" i="27"/>
  <c r="BW11" i="27"/>
  <c r="BW55" i="27"/>
  <c r="BW80" i="27"/>
  <c r="BW53" i="27"/>
  <c r="BW46" i="27"/>
  <c r="BW82" i="27"/>
  <c r="BU74" i="27"/>
  <c r="CC74" i="27" s="1" a="1"/>
  <c r="CC74" i="27" s="1"/>
  <c r="BX11" i="27"/>
  <c r="EE65" i="27"/>
  <c r="EE21" i="27"/>
  <c r="EE74" i="27"/>
  <c r="E4" i="12"/>
  <c r="EE129" i="27"/>
  <c r="EE86" i="27"/>
  <c r="EE139" i="27"/>
  <c r="BU124" i="27"/>
  <c r="CG124" i="27" s="1" a="1"/>
  <c r="CG124" i="27" s="1"/>
  <c r="EE125" i="27"/>
  <c r="EE80" i="27"/>
  <c r="BU94" i="27"/>
  <c r="CH94" i="27" s="1" a="1"/>
  <c r="CH94" i="27" s="1"/>
  <c r="EE73" i="27"/>
  <c r="EE41" i="27"/>
  <c r="EE136" i="27"/>
  <c r="BU137" i="27"/>
  <c r="CN137" i="27" s="1" a="1"/>
  <c r="CN137" i="27" s="1"/>
  <c r="EE72" i="27"/>
  <c r="EE37" i="27"/>
  <c r="EE103" i="27"/>
  <c r="EE19" i="27"/>
  <c r="EE27" i="27"/>
  <c r="BU114" i="27"/>
  <c r="CL114" i="27" s="1" a="1"/>
  <c r="CL114" i="27" s="1"/>
  <c r="EE117" i="27"/>
  <c r="BU28" i="27"/>
  <c r="CN28" i="27" s="1" a="1"/>
  <c r="CN28" i="27" s="1"/>
  <c r="EE44" i="27"/>
  <c r="BU115" i="27"/>
  <c r="CV115" i="27" s="1" a="1"/>
  <c r="CV115" i="27" s="1"/>
  <c r="BU82" i="27"/>
  <c r="CV82" i="27" s="1" a="1"/>
  <c r="CV82" i="27" s="1"/>
  <c r="EE101" i="27"/>
  <c r="BU21" i="27"/>
  <c r="CQ21" i="27" s="1" a="1"/>
  <c r="CQ21" i="27" s="1"/>
  <c r="BU34" i="27"/>
  <c r="CV34" i="27" s="1" a="1"/>
  <c r="CV34" i="27" s="1"/>
  <c r="EE55" i="27"/>
  <c r="BU11" i="27"/>
  <c r="CR11" i="27" s="1" a="1"/>
  <c r="CR11" i="27" s="1"/>
  <c r="BU40" i="27"/>
  <c r="CE40" i="27" s="1" a="1"/>
  <c r="CE40" i="27" s="1"/>
  <c r="BU100" i="27"/>
  <c r="CN100" i="27" s="1" a="1"/>
  <c r="CN100" i="27" s="1"/>
  <c r="BU76" i="27"/>
  <c r="CO76" i="27" s="1" a="1"/>
  <c r="CO76" i="27" s="1"/>
  <c r="BU51" i="27"/>
  <c r="CI51" i="27" s="1" a="1"/>
  <c r="CI51" i="27" s="1"/>
  <c r="BU9" i="27"/>
  <c r="CE9" i="27" s="1" a="1"/>
  <c r="CE9" i="27" s="1"/>
  <c r="BU23" i="27"/>
  <c r="CS23" i="27" s="1" a="1"/>
  <c r="CS23" i="27" s="1"/>
  <c r="BU46" i="27"/>
  <c r="CG46" i="27" s="1" a="1"/>
  <c r="CG46" i="27" s="1"/>
  <c r="EE48" i="27"/>
  <c r="BU27" i="27"/>
  <c r="CU27" i="27" s="1" a="1"/>
  <c r="CU27" i="27" s="1"/>
  <c r="BU123" i="27"/>
  <c r="CO123" i="27" s="1" a="1"/>
  <c r="CO123" i="27" s="1"/>
  <c r="BU89" i="27"/>
  <c r="CS89" i="27" s="1" a="1"/>
  <c r="CS89" i="27" s="1"/>
  <c r="BU73" i="27"/>
  <c r="CM73" i="27" s="1" a="1"/>
  <c r="CM73" i="27" s="1"/>
  <c r="BU120" i="27"/>
  <c r="CN120" i="27" s="1" a="1"/>
  <c r="CN120" i="27" s="1"/>
  <c r="BU128" i="27"/>
  <c r="BU125" i="27"/>
  <c r="CK125" i="27" s="1" a="1"/>
  <c r="CK125" i="27" s="1"/>
  <c r="BU10" i="27"/>
  <c r="CC10" i="27" s="1" a="1"/>
  <c r="CC10" i="27" s="1"/>
  <c r="BU119" i="27"/>
  <c r="CA119" i="27" s="1" a="1"/>
  <c r="CA119" i="27" s="1"/>
  <c r="EE108" i="27"/>
  <c r="EE131" i="27"/>
  <c r="CF94" i="27" a="1"/>
  <c r="CF94" i="27" s="1"/>
  <c r="BU87" i="27"/>
  <c r="CJ87" i="27" s="1" a="1"/>
  <c r="CJ87" i="27" s="1"/>
  <c r="BU53" i="27"/>
  <c r="BU78" i="27"/>
  <c r="CE78" i="27" s="1" a="1"/>
  <c r="CE78" i="27" s="1"/>
  <c r="BU109" i="27"/>
  <c r="CK109" i="27" s="1" a="1"/>
  <c r="CK109" i="27" s="1"/>
  <c r="EE123" i="27"/>
  <c r="EE89" i="27"/>
  <c r="BU129" i="27"/>
  <c r="CC129" i="27" s="1" a="1"/>
  <c r="CC129" i="27" s="1"/>
  <c r="BU15" i="27"/>
  <c r="CN15" i="27" s="1" a="1"/>
  <c r="CN15" i="27" s="1"/>
  <c r="BU127" i="27"/>
  <c r="CE127" i="27" s="1" a="1"/>
  <c r="CE127" i="27" s="1"/>
  <c r="EE99" i="27"/>
  <c r="BU56" i="27"/>
  <c r="CQ56" i="27" s="1" a="1"/>
  <c r="CQ56" i="27" s="1"/>
  <c r="BU25" i="27"/>
  <c r="CM25" i="27" s="1" a="1"/>
  <c r="CM25" i="27" s="1"/>
  <c r="BU49" i="27"/>
  <c r="CB49" i="27" s="1" a="1"/>
  <c r="CB49" i="27" s="1"/>
  <c r="BU97" i="27"/>
  <c r="CU97" i="27" s="1" a="1"/>
  <c r="CU97" i="27" s="1"/>
  <c r="BU20" i="27"/>
  <c r="CU20" i="27" s="1" a="1"/>
  <c r="CU20" i="27" s="1"/>
  <c r="BU44" i="27"/>
  <c r="CW44" i="27" s="1" a="1"/>
  <c r="CW44" i="27" s="1"/>
  <c r="BU92" i="27"/>
  <c r="CR92" i="27" s="1" a="1"/>
  <c r="CR92" i="27" s="1"/>
  <c r="BU116" i="27"/>
  <c r="CS116" i="27" s="1" a="1"/>
  <c r="CS116" i="27" s="1"/>
  <c r="BU6" i="27"/>
  <c r="CJ6" i="27" s="1" a="1"/>
  <c r="CJ6" i="27" s="1"/>
  <c r="Q4" i="12"/>
  <c r="BU99" i="27"/>
  <c r="CF99" i="27" s="1" a="1"/>
  <c r="CF99" i="27" s="1"/>
  <c r="BU41" i="27"/>
  <c r="CW41" i="27" s="1" a="1"/>
  <c r="CW41" i="27" s="1"/>
  <c r="BU65" i="27"/>
  <c r="CS65" i="27" s="1" a="1"/>
  <c r="CS65" i="27" s="1"/>
  <c r="BU113" i="27"/>
  <c r="CC113" i="27" s="1" a="1"/>
  <c r="CC113" i="27" s="1"/>
  <c r="BU138" i="27"/>
  <c r="CA138" i="27" s="1" a="1"/>
  <c r="CA138" i="27" s="1"/>
  <c r="EE24" i="27"/>
  <c r="BU12" i="27"/>
  <c r="BZ12" i="27" s="1" a="1"/>
  <c r="BZ12" i="27" s="1"/>
  <c r="BU36" i="27"/>
  <c r="CE36" i="27" s="1" a="1"/>
  <c r="CE36" i="27" s="1"/>
  <c r="BU60" i="27"/>
  <c r="CN60" i="27" s="1" a="1"/>
  <c r="CN60" i="27" s="1"/>
  <c r="BU84" i="27"/>
  <c r="CO84" i="27" s="1" a="1"/>
  <c r="CO84" i="27" s="1"/>
  <c r="BU108" i="27"/>
  <c r="CS108" i="27" s="1" a="1"/>
  <c r="CS108" i="27" s="1"/>
  <c r="BU132" i="27"/>
  <c r="CG132" i="27" s="1" a="1"/>
  <c r="CG132" i="27" s="1"/>
  <c r="BU18" i="27"/>
  <c r="CE18" i="27" s="1" a="1"/>
  <c r="CE18" i="27" s="1"/>
  <c r="BU66" i="27"/>
  <c r="CU66" i="27" s="1" a="1"/>
  <c r="CU66" i="27" s="1"/>
  <c r="BU139" i="27"/>
  <c r="CU139" i="27" s="1" a="1"/>
  <c r="CU139" i="27" s="1"/>
  <c r="BU7" i="27"/>
  <c r="CI7" i="27" s="1" a="1"/>
  <c r="CI7" i="27" s="1"/>
  <c r="BU55" i="27"/>
  <c r="CF55" i="27" s="1" a="1"/>
  <c r="CF55" i="27" s="1"/>
  <c r="BU79" i="27"/>
  <c r="CE79" i="27" s="1" a="1"/>
  <c r="CE79" i="27" s="1"/>
  <c r="BU103" i="27"/>
  <c r="CC103" i="27" s="1" a="1"/>
  <c r="CC103" i="27" s="1"/>
  <c r="BU26" i="27"/>
  <c r="CQ26" i="27" s="1" a="1"/>
  <c r="CQ26" i="27" s="1"/>
  <c r="BU50" i="27"/>
  <c r="CR50" i="27" s="1" a="1"/>
  <c r="CR50" i="27" s="1"/>
  <c r="BU98" i="27"/>
  <c r="CK98" i="27" s="1" a="1"/>
  <c r="CK98" i="27" s="1"/>
  <c r="BU122" i="27"/>
  <c r="CQ122" i="27" s="1" a="1"/>
  <c r="CQ122" i="27" s="1"/>
  <c r="BU33" i="27"/>
  <c r="CD33" i="27" s="1" a="1"/>
  <c r="CD33" i="27" s="1"/>
  <c r="BU57" i="27"/>
  <c r="CN57" i="27" s="1" a="1"/>
  <c r="CN57" i="27" s="1"/>
  <c r="BU81" i="27"/>
  <c r="CR81" i="27" s="1" a="1"/>
  <c r="CR81" i="27" s="1"/>
  <c r="BU105" i="27"/>
  <c r="CU105" i="27" s="1" a="1"/>
  <c r="CU105" i="27" s="1"/>
  <c r="BU71" i="27"/>
  <c r="CH71" i="27" s="1" a="1"/>
  <c r="CH71" i="27" s="1"/>
  <c r="BU95" i="27"/>
  <c r="CI95" i="27" s="1" a="1"/>
  <c r="CI95" i="27" s="1"/>
  <c r="EE104" i="27"/>
  <c r="BU42" i="27"/>
  <c r="CA42" i="27" s="1" a="1"/>
  <c r="CA42" i="27" s="1"/>
  <c r="BU24" i="27"/>
  <c r="CI24" i="27" s="1" a="1"/>
  <c r="CI24" i="27" s="1"/>
  <c r="BU72" i="27"/>
  <c r="CQ72" i="27" s="1" a="1"/>
  <c r="CQ72" i="27" s="1"/>
  <c r="BU96" i="27"/>
  <c r="BU13" i="27"/>
  <c r="BU37" i="27"/>
  <c r="CL37" i="27" s="1" a="1"/>
  <c r="CL37" i="27" s="1"/>
  <c r="BU61" i="27"/>
  <c r="BU85" i="27"/>
  <c r="CP85" i="27" s="1" a="1"/>
  <c r="CP85" i="27" s="1"/>
  <c r="BU32" i="27"/>
  <c r="CO32" i="27" s="1" a="1"/>
  <c r="CO32" i="27" s="1"/>
  <c r="BU80" i="27"/>
  <c r="CH80" i="27" s="1" a="1"/>
  <c r="CH80" i="27" s="1"/>
  <c r="BU104" i="27"/>
  <c r="CM104" i="27" s="1" a="1"/>
  <c r="CM104" i="27" s="1"/>
  <c r="BU39" i="27"/>
  <c r="CL39" i="27" s="1" a="1"/>
  <c r="CL39" i="27" s="1"/>
  <c r="BU63" i="27"/>
  <c r="CN63" i="27" s="1" a="1"/>
  <c r="CN63" i="27" s="1"/>
  <c r="BU136" i="27"/>
  <c r="CM136" i="27" s="1" a="1"/>
  <c r="CM136" i="27" s="1"/>
  <c r="BU29" i="27"/>
  <c r="CC29" i="27" s="1" a="1"/>
  <c r="CC29" i="27" s="1"/>
  <c r="BU77" i="27"/>
  <c r="CB77" i="27" s="1" a="1"/>
  <c r="CB77" i="27" s="1"/>
  <c r="BU101" i="27"/>
  <c r="CA101" i="27" s="1" a="1"/>
  <c r="CA101" i="27" s="1"/>
  <c r="EE64" i="27"/>
  <c r="P4" i="12"/>
  <c r="BU48" i="27"/>
  <c r="CU48" i="27" s="1" a="1"/>
  <c r="CU48" i="27" s="1"/>
  <c r="BU30" i="27"/>
  <c r="CI30" i="27" s="1" a="1"/>
  <c r="CI30" i="27" s="1"/>
  <c r="BU54" i="27"/>
  <c r="BU102" i="27"/>
  <c r="CI102" i="27" s="1" a="1"/>
  <c r="CI102" i="27" s="1"/>
  <c r="BU126" i="27"/>
  <c r="CO126" i="27" s="1" a="1"/>
  <c r="CO126" i="27" s="1"/>
  <c r="BU64" i="27"/>
  <c r="CG64" i="27" s="1" a="1"/>
  <c r="CG64" i="27" s="1"/>
  <c r="BU140" i="27"/>
  <c r="CC140" i="27" s="1" a="1"/>
  <c r="CC140" i="27" s="1"/>
  <c r="BU19" i="27"/>
  <c r="CQ19" i="27" s="1" a="1"/>
  <c r="CQ19" i="27" s="1"/>
  <c r="BU43" i="27"/>
  <c r="CQ43" i="27" s="1" a="1"/>
  <c r="CQ43" i="27" s="1"/>
  <c r="BU67" i="27"/>
  <c r="BU91" i="27"/>
  <c r="CG91" i="27" s="1" a="1"/>
  <c r="CG91" i="27" s="1"/>
  <c r="BU121" i="27"/>
  <c r="CO121" i="27" s="1" a="1"/>
  <c r="CO121" i="27" s="1"/>
  <c r="BU38" i="27"/>
  <c r="CS38" i="27" s="1" a="1"/>
  <c r="CS38" i="27" s="1"/>
  <c r="BU62" i="27"/>
  <c r="BU86" i="27"/>
  <c r="CM86" i="27" s="1" a="1"/>
  <c r="CM86" i="27" s="1"/>
  <c r="BU110" i="27"/>
  <c r="BU134" i="27"/>
  <c r="BU45" i="27"/>
  <c r="CS45" i="27" s="1" a="1"/>
  <c r="CS45" i="27" s="1"/>
  <c r="BU69" i="27"/>
  <c r="CT69" i="27" s="1" a="1"/>
  <c r="CT69" i="27" s="1"/>
  <c r="BU93" i="27"/>
  <c r="CI93" i="27" s="1" a="1"/>
  <c r="CI93" i="27" s="1"/>
  <c r="BU117" i="27"/>
  <c r="CL117" i="27" s="1" a="1"/>
  <c r="CL117" i="27" s="1"/>
  <c r="BU35" i="27"/>
  <c r="CB35" i="27" s="1" a="1"/>
  <c r="CB35" i="27" s="1"/>
  <c r="BU59" i="27"/>
  <c r="BU83" i="27"/>
  <c r="CI83" i="27" s="1" a="1"/>
  <c r="CI83" i="27" s="1"/>
  <c r="BU107" i="27"/>
  <c r="CU107" i="27" s="1" a="1"/>
  <c r="CU107" i="27" s="1"/>
  <c r="BU131" i="27"/>
  <c r="EE17" i="27"/>
  <c r="CB17" i="27" a="1"/>
  <c r="CB17" i="27" s="1"/>
  <c r="EE51" i="27"/>
  <c r="EE113" i="27"/>
  <c r="CF17" i="27" a="1"/>
  <c r="CF17" i="27" s="1"/>
  <c r="BU70" i="27"/>
  <c r="CC70" i="27" s="1" a="1"/>
  <c r="CC70" i="27" s="1"/>
  <c r="BU106" i="27"/>
  <c r="CU106" i="27" s="1" a="1"/>
  <c r="CU106" i="27" s="1"/>
  <c r="BU135" i="27"/>
  <c r="CU135" i="27" s="1" a="1"/>
  <c r="CU135" i="27" s="1"/>
  <c r="BU47" i="27"/>
  <c r="CE47" i="27" s="1" a="1"/>
  <c r="CE47" i="27" s="1"/>
  <c r="EE47" i="27"/>
  <c r="BU90" i="27"/>
  <c r="CK90" i="27" s="1" a="1"/>
  <c r="CK90" i="27" s="1"/>
  <c r="BU112" i="27"/>
  <c r="CP112" i="27" s="1" a="1"/>
  <c r="CP112" i="27" s="1"/>
  <c r="BU118" i="27"/>
  <c r="CI118" i="27" s="1" a="1"/>
  <c r="CI118" i="27" s="1"/>
  <c r="EE12" i="27"/>
  <c r="BU52" i="27"/>
  <c r="CO52" i="27" s="1" a="1"/>
  <c r="CO52" i="27" s="1"/>
  <c r="BU88" i="27"/>
  <c r="CW88" i="27" s="1" a="1"/>
  <c r="CW88" i="27" s="1"/>
  <c r="EE121" i="27"/>
  <c r="EE15" i="27"/>
  <c r="EE93" i="27"/>
  <c r="BU22" i="27"/>
  <c r="BU58" i="27"/>
  <c r="CS58" i="27" s="1" a="1"/>
  <c r="CS58" i="27" s="1"/>
  <c r="BU130" i="27"/>
  <c r="BU31" i="27"/>
  <c r="CU31" i="27" s="1" a="1"/>
  <c r="CU31" i="27" s="1"/>
  <c r="BU16" i="27"/>
  <c r="CE16" i="27" s="1" a="1"/>
  <c r="CE16" i="27" s="1"/>
  <c r="BU133" i="27"/>
  <c r="CJ133" i="27" s="1" a="1"/>
  <c r="CJ133" i="27" s="1"/>
  <c r="BU68" i="27"/>
  <c r="BU75" i="27"/>
  <c r="CA75" i="27" s="1" a="1"/>
  <c r="CA75" i="27" s="1"/>
  <c r="BU111" i="27"/>
  <c r="CK111" i="27" s="1" a="1"/>
  <c r="CK111" i="27" s="1"/>
  <c r="CW28" i="27" a="1"/>
  <c r="CW28" i="27" s="1"/>
  <c r="BU8" i="27"/>
  <c r="CB8" i="27" s="1" a="1"/>
  <c r="CB8" i="27" s="1"/>
  <c r="BU14" i="27"/>
  <c r="CW14" i="27" s="1" a="1"/>
  <c r="CW14" i="27" s="1"/>
  <c r="CS17" i="27" a="1"/>
  <c r="CS17" i="27" s="1"/>
  <c r="CT17" i="27" a="1"/>
  <c r="CT17" i="27" s="1"/>
  <c r="CV17" i="27" a="1"/>
  <c r="CV17" i="27" s="1"/>
  <c r="CN17" i="27" a="1"/>
  <c r="CN17" i="27" s="1"/>
  <c r="CJ17" i="27" a="1"/>
  <c r="CJ17" i="27" s="1"/>
  <c r="CL17" i="27" a="1"/>
  <c r="CL17" i="27" s="1"/>
  <c r="CR17" i="27" a="1"/>
  <c r="CR17" i="27" s="1"/>
  <c r="BZ17" i="27" a="1"/>
  <c r="BZ17" i="27" s="1"/>
  <c r="CG17" i="27" a="1"/>
  <c r="CG17" i="27" s="1"/>
  <c r="CH17" i="27" a="1"/>
  <c r="CH17" i="27" s="1"/>
  <c r="CP17" i="27" a="1"/>
  <c r="CP17" i="27" s="1"/>
  <c r="CW17" i="27" a="1"/>
  <c r="CW17" i="27" s="1"/>
  <c r="G133" i="27"/>
  <c r="G101" i="27"/>
  <c r="G69" i="27"/>
  <c r="CK17" i="27" a="1"/>
  <c r="CK17" i="27" s="1"/>
  <c r="CC17" i="27" a="1"/>
  <c r="CC17" i="27" s="1"/>
  <c r="G6" i="27"/>
  <c r="CQ17" i="27" a="1"/>
  <c r="CQ17" i="27" s="1"/>
  <c r="CI17" i="27" a="1"/>
  <c r="CI17" i="27" s="1"/>
  <c r="G37" i="27"/>
  <c r="CX7" i="27" a="1"/>
  <c r="CX7" i="27" s="1"/>
  <c r="CX9" i="27" a="1"/>
  <c r="CX9" i="27" s="1"/>
  <c r="CX11" i="27" a="1"/>
  <c r="CX11" i="27" s="1"/>
  <c r="CX13" i="27" a="1"/>
  <c r="CX13" i="27" s="1"/>
  <c r="CX15" i="27" a="1"/>
  <c r="CX15" i="27" s="1"/>
  <c r="CX17" i="27" a="1"/>
  <c r="CX17" i="27" s="1"/>
  <c r="CX19" i="27" a="1"/>
  <c r="CX19" i="27" s="1"/>
  <c r="CX21" i="27" a="1"/>
  <c r="CX21" i="27" s="1"/>
  <c r="CX22" i="27" a="1"/>
  <c r="CX22" i="27" s="1"/>
  <c r="CX24" i="27" a="1"/>
  <c r="CX24" i="27" s="1"/>
  <c r="CX26" i="27" a="1"/>
  <c r="CX26" i="27" s="1"/>
  <c r="CX28" i="27" a="1"/>
  <c r="CX28" i="27" s="1"/>
  <c r="CX30" i="27" a="1"/>
  <c r="CX30" i="27" s="1"/>
  <c r="CX32" i="27" a="1"/>
  <c r="CX32" i="27" s="1"/>
  <c r="CX36" i="27" a="1"/>
  <c r="CX36" i="27" s="1"/>
  <c r="CX38" i="27" a="1"/>
  <c r="CX38" i="27" s="1"/>
  <c r="CX40" i="27" a="1"/>
  <c r="CX40" i="27" s="1"/>
  <c r="CX34" i="27" a="1"/>
  <c r="CX34" i="27" s="1"/>
  <c r="CX8" i="27" a="1"/>
  <c r="CX8" i="27" s="1"/>
  <c r="CX10" i="27" a="1"/>
  <c r="CX10" i="27" s="1"/>
  <c r="CX12" i="27" a="1"/>
  <c r="CX12" i="27" s="1"/>
  <c r="CX14" i="27" a="1"/>
  <c r="CX14" i="27" s="1"/>
  <c r="CX16" i="27" a="1"/>
  <c r="CX16" i="27" s="1"/>
  <c r="CX18" i="27" a="1"/>
  <c r="CX18" i="27" s="1"/>
  <c r="CX20" i="27" a="1"/>
  <c r="CX20" i="27" s="1"/>
  <c r="CX23" i="27" a="1"/>
  <c r="CX23" i="27" s="1"/>
  <c r="CX25" i="27" a="1"/>
  <c r="CX25" i="27" s="1"/>
  <c r="CX27" i="27" a="1"/>
  <c r="CX27" i="27" s="1"/>
  <c r="CX29" i="27" a="1"/>
  <c r="CX29" i="27" s="1"/>
  <c r="CX31" i="27" a="1"/>
  <c r="CX31" i="27" s="1"/>
  <c r="CX33" i="27" a="1"/>
  <c r="CX33" i="27" s="1"/>
  <c r="CX37" i="27" a="1"/>
  <c r="CX37" i="27" s="1"/>
  <c r="CX39" i="27" a="1"/>
  <c r="CX39" i="27" s="1"/>
  <c r="CX56" i="27" a="1"/>
  <c r="CX56" i="27" s="1"/>
  <c r="CX60" i="27" a="1"/>
  <c r="CX60" i="27" s="1"/>
  <c r="CX62" i="27" a="1"/>
  <c r="CX62" i="27" s="1"/>
  <c r="CX64" i="27" a="1"/>
  <c r="CX64" i="27" s="1"/>
  <c r="CX66" i="27" a="1"/>
  <c r="CX66" i="27" s="1"/>
  <c r="CX68" i="27" a="1"/>
  <c r="CX68" i="27" s="1"/>
  <c r="CX70" i="27" a="1"/>
  <c r="CX70" i="27" s="1"/>
  <c r="CX42" i="27" a="1"/>
  <c r="CX42" i="27" s="1"/>
  <c r="CX44" i="27" a="1"/>
  <c r="CX44" i="27" s="1"/>
  <c r="CX46" i="27" a="1"/>
  <c r="CX46" i="27" s="1"/>
  <c r="CX48" i="27" a="1"/>
  <c r="CX48" i="27" s="1"/>
  <c r="CX50" i="27" a="1"/>
  <c r="CX50" i="27" s="1"/>
  <c r="CX52" i="27" a="1"/>
  <c r="CX52" i="27" s="1"/>
  <c r="CX54" i="27" a="1"/>
  <c r="CX54" i="27" s="1"/>
  <c r="CX35" i="27" a="1"/>
  <c r="CX35" i="27" s="1"/>
  <c r="CX57" i="27" a="1"/>
  <c r="CX57" i="27" s="1"/>
  <c r="CX59" i="27" a="1"/>
  <c r="CX59" i="27" s="1"/>
  <c r="CX41" i="27" a="1"/>
  <c r="CX41" i="27" s="1"/>
  <c r="CX43" i="27" a="1"/>
  <c r="CX43" i="27" s="1"/>
  <c r="CX45" i="27" a="1"/>
  <c r="CX45" i="27" s="1"/>
  <c r="CX47" i="27" a="1"/>
  <c r="CX47" i="27" s="1"/>
  <c r="CX49" i="27" a="1"/>
  <c r="CX49" i="27" s="1"/>
  <c r="CX51" i="27" a="1"/>
  <c r="CX51" i="27" s="1"/>
  <c r="CX53" i="27" a="1"/>
  <c r="CX53" i="27" s="1"/>
  <c r="CX55" i="27" a="1"/>
  <c r="CX55" i="27" s="1"/>
  <c r="CX58" i="27" a="1"/>
  <c r="CX58" i="27" s="1"/>
  <c r="CX63" i="27" a="1"/>
  <c r="CX63" i="27" s="1"/>
  <c r="CX71" i="27" a="1"/>
  <c r="CX71" i="27" s="1"/>
  <c r="CX61" i="27" a="1"/>
  <c r="CX61" i="27" s="1"/>
  <c r="CX67" i="27" a="1"/>
  <c r="CX67" i="27" s="1"/>
  <c r="CX72" i="27" a="1"/>
  <c r="CX72" i="27" s="1"/>
  <c r="CX74" i="27" a="1"/>
  <c r="CX74" i="27" s="1"/>
  <c r="CX76" i="27" a="1"/>
  <c r="CX76" i="27" s="1"/>
  <c r="CX78" i="27" a="1"/>
  <c r="CX78" i="27" s="1"/>
  <c r="CX80" i="27" a="1"/>
  <c r="CX80" i="27" s="1"/>
  <c r="CX82" i="27" a="1"/>
  <c r="CX82" i="27" s="1"/>
  <c r="CX84" i="27" a="1"/>
  <c r="CX84" i="27" s="1"/>
  <c r="CX86" i="27" a="1"/>
  <c r="CX86" i="27" s="1"/>
  <c r="CX88" i="27" a="1"/>
  <c r="CX88" i="27" s="1"/>
  <c r="CX65" i="27" a="1"/>
  <c r="CX65" i="27" s="1"/>
  <c r="CX69" i="27" a="1"/>
  <c r="CX69" i="27" s="1"/>
  <c r="CX73" i="27" a="1"/>
  <c r="CX73" i="27" s="1"/>
  <c r="CX75" i="27" a="1"/>
  <c r="CX75" i="27" s="1"/>
  <c r="CX77" i="27" a="1"/>
  <c r="CX77" i="27" s="1"/>
  <c r="CX79" i="27" a="1"/>
  <c r="CX79" i="27" s="1"/>
  <c r="CX81" i="27" a="1"/>
  <c r="CX81" i="27" s="1"/>
  <c r="CX83" i="27" a="1"/>
  <c r="CX83" i="27" s="1"/>
  <c r="CX85" i="27" a="1"/>
  <c r="CX85" i="27" s="1"/>
  <c r="CX87" i="27" a="1"/>
  <c r="CX87" i="27" s="1"/>
  <c r="CX89" i="27" a="1"/>
  <c r="CX89" i="27" s="1"/>
  <c r="CX91" i="27" a="1"/>
  <c r="CX91" i="27" s="1"/>
  <c r="CX93" i="27" a="1"/>
  <c r="CX93" i="27" s="1"/>
  <c r="CX95" i="27" a="1"/>
  <c r="CX95" i="27" s="1"/>
  <c r="CX97" i="27" a="1"/>
  <c r="CX97" i="27" s="1"/>
  <c r="CX99" i="27" a="1"/>
  <c r="CX99" i="27" s="1"/>
  <c r="CX118" i="27" a="1"/>
  <c r="CX118" i="27" s="1"/>
  <c r="CX122" i="27" a="1"/>
  <c r="CX122" i="27" s="1"/>
  <c r="CX90" i="27" a="1"/>
  <c r="CX90" i="27" s="1"/>
  <c r="CX92" i="27" a="1"/>
  <c r="CX92" i="27" s="1"/>
  <c r="CX96" i="27" a="1"/>
  <c r="CX96" i="27" s="1"/>
  <c r="CX100" i="27" a="1"/>
  <c r="CX100" i="27" s="1"/>
  <c r="CX103" i="27" a="1"/>
  <c r="CX103" i="27" s="1"/>
  <c r="CX105" i="27" a="1"/>
  <c r="CX105" i="27" s="1"/>
  <c r="CX107" i="27" a="1"/>
  <c r="CX107" i="27" s="1"/>
  <c r="CX109" i="27" a="1"/>
  <c r="CX109" i="27" s="1"/>
  <c r="CX111" i="27" a="1"/>
  <c r="CX111" i="27" s="1"/>
  <c r="CX112" i="27" a="1"/>
  <c r="CX112" i="27" s="1"/>
  <c r="CX113" i="27" a="1"/>
  <c r="CX113" i="27" s="1"/>
  <c r="CX114" i="27" a="1"/>
  <c r="CX114" i="27" s="1"/>
  <c r="CX115" i="27" a="1"/>
  <c r="CX115" i="27" s="1"/>
  <c r="CX94" i="27" a="1"/>
  <c r="CX94" i="27" s="1"/>
  <c r="CX98" i="27" a="1"/>
  <c r="CX98" i="27" s="1"/>
  <c r="CX101" i="27" a="1"/>
  <c r="CX101" i="27" s="1"/>
  <c r="CX124" i="27" a="1"/>
  <c r="CX124" i="27" s="1"/>
  <c r="CX126" i="27" a="1"/>
  <c r="CX126" i="27" s="1"/>
  <c r="CX102" i="27" a="1"/>
  <c r="CX102" i="27" s="1"/>
  <c r="CX104" i="27" a="1"/>
  <c r="CX104" i="27" s="1"/>
  <c r="CX106" i="27" a="1"/>
  <c r="CX106" i="27" s="1"/>
  <c r="CX108" i="27" a="1"/>
  <c r="CX108" i="27" s="1"/>
  <c r="CX110" i="27" a="1"/>
  <c r="CX110" i="27" s="1"/>
  <c r="CX121" i="27" a="1"/>
  <c r="CX121" i="27" s="1"/>
  <c r="CX127" i="27" a="1"/>
  <c r="CX127" i="27" s="1"/>
  <c r="CX120" i="27" a="1"/>
  <c r="CX120" i="27" s="1"/>
  <c r="CX139" i="27" a="1"/>
  <c r="CX139" i="27" s="1"/>
  <c r="CX119" i="27" a="1"/>
  <c r="CX119" i="27" s="1"/>
  <c r="CX123" i="27" a="1"/>
  <c r="CX123" i="27" s="1"/>
  <c r="CX128" i="27" a="1"/>
  <c r="CX128" i="27" s="1"/>
  <c r="CX129" i="27" a="1"/>
  <c r="CX129" i="27" s="1"/>
  <c r="CX133" i="27" a="1"/>
  <c r="CX133" i="27" s="1"/>
  <c r="CX130" i="27" a="1"/>
  <c r="CX130" i="27" s="1"/>
  <c r="CX132" i="27" a="1"/>
  <c r="CX132" i="27" s="1"/>
  <c r="CX140" i="27" a="1"/>
  <c r="CX140" i="27" s="1"/>
  <c r="CX116" i="27" a="1"/>
  <c r="CX116" i="27" s="1"/>
  <c r="CX117" i="27" a="1"/>
  <c r="CX117" i="27" s="1"/>
  <c r="CX125" i="27" a="1"/>
  <c r="CX125" i="27" s="1"/>
  <c r="CX131" i="27" a="1"/>
  <c r="CX131" i="27" s="1"/>
  <c r="CX134" i="27" a="1"/>
  <c r="CX134" i="27" s="1"/>
  <c r="CX135" i="27" a="1"/>
  <c r="CX135" i="27" s="1"/>
  <c r="CX136" i="27" a="1"/>
  <c r="CX136" i="27" s="1"/>
  <c r="CX137" i="27" a="1"/>
  <c r="CX137" i="27" s="1"/>
  <c r="CX138" i="27" a="1"/>
  <c r="CX138" i="27" s="1"/>
  <c r="CX6" i="27" a="1"/>
  <c r="CX6" i="27" s="1"/>
  <c r="CM17" i="27" a="1"/>
  <c r="CM17" i="27" s="1"/>
  <c r="CA17" i="27" a="1"/>
  <c r="CA17" i="27" s="1"/>
  <c r="CY7" i="27" a="1"/>
  <c r="CY7" i="27" s="1"/>
  <c r="CY9" i="27" a="1"/>
  <c r="CY9" i="27" s="1"/>
  <c r="CY11" i="27" a="1"/>
  <c r="CY11" i="27" s="1"/>
  <c r="CY13" i="27" a="1"/>
  <c r="CY13" i="27" s="1"/>
  <c r="CY15" i="27" a="1"/>
  <c r="CY15" i="27" s="1"/>
  <c r="CY17" i="27" a="1"/>
  <c r="CY17" i="27" s="1"/>
  <c r="CY19" i="27" a="1"/>
  <c r="CY19" i="27" s="1"/>
  <c r="CY21" i="27" a="1"/>
  <c r="CY21" i="27" s="1"/>
  <c r="CY22" i="27" a="1"/>
  <c r="CY22" i="27" s="1"/>
  <c r="CY24" i="27" a="1"/>
  <c r="CY24" i="27" s="1"/>
  <c r="CY26" i="27" a="1"/>
  <c r="CY26" i="27" s="1"/>
  <c r="CY28" i="27" a="1"/>
  <c r="CY28" i="27" s="1"/>
  <c r="CY30" i="27" a="1"/>
  <c r="CY30" i="27" s="1"/>
  <c r="CY32" i="27" a="1"/>
  <c r="CY32" i="27" s="1"/>
  <c r="CY36" i="27" a="1"/>
  <c r="CY36" i="27" s="1"/>
  <c r="CY38" i="27" a="1"/>
  <c r="CY38" i="27" s="1"/>
  <c r="CY40" i="27" a="1"/>
  <c r="CY40" i="27" s="1"/>
  <c r="CY8" i="27" a="1"/>
  <c r="CY8" i="27" s="1"/>
  <c r="CY10" i="27" a="1"/>
  <c r="CY10" i="27" s="1"/>
  <c r="CY12" i="27" a="1"/>
  <c r="CY12" i="27" s="1"/>
  <c r="CY14" i="27" a="1"/>
  <c r="CY14" i="27" s="1"/>
  <c r="CY16" i="27" a="1"/>
  <c r="CY16" i="27" s="1"/>
  <c r="CY18" i="27" a="1"/>
  <c r="CY18" i="27" s="1"/>
  <c r="CY20" i="27" a="1"/>
  <c r="CY20" i="27" s="1"/>
  <c r="CY23" i="27" a="1"/>
  <c r="CY23" i="27" s="1"/>
  <c r="CY25" i="27" a="1"/>
  <c r="CY25" i="27" s="1"/>
  <c r="CY27" i="27" a="1"/>
  <c r="CY27" i="27" s="1"/>
  <c r="CY29" i="27" a="1"/>
  <c r="CY29" i="27" s="1"/>
  <c r="CY31" i="27" a="1"/>
  <c r="CY31" i="27" s="1"/>
  <c r="CY35" i="27" a="1"/>
  <c r="CY35" i="27" s="1"/>
  <c r="CY33" i="27" a="1"/>
  <c r="CY33" i="27" s="1"/>
  <c r="CY37" i="27" a="1"/>
  <c r="CY37" i="27" s="1"/>
  <c r="CY39" i="27" a="1"/>
  <c r="CY39" i="27" s="1"/>
  <c r="CY41" i="27" a="1"/>
  <c r="CY41" i="27" s="1"/>
  <c r="CY43" i="27" a="1"/>
  <c r="CY43" i="27" s="1"/>
  <c r="CY45" i="27" a="1"/>
  <c r="CY45" i="27" s="1"/>
  <c r="CY47" i="27" a="1"/>
  <c r="CY47" i="27" s="1"/>
  <c r="CY49" i="27" a="1"/>
  <c r="CY49" i="27" s="1"/>
  <c r="CY51" i="27" a="1"/>
  <c r="CY51" i="27" s="1"/>
  <c r="CY53" i="27" a="1"/>
  <c r="CY53" i="27" s="1"/>
  <c r="CY55" i="27" a="1"/>
  <c r="CY55" i="27" s="1"/>
  <c r="CY58" i="27" a="1"/>
  <c r="CY58" i="27" s="1"/>
  <c r="CY56" i="27" a="1"/>
  <c r="CY56" i="27" s="1"/>
  <c r="CY60" i="27" a="1"/>
  <c r="CY60" i="27" s="1"/>
  <c r="CY42" i="27" a="1"/>
  <c r="CY42" i="27" s="1"/>
  <c r="CY44" i="27" a="1"/>
  <c r="CY44" i="27" s="1"/>
  <c r="CY46" i="27" a="1"/>
  <c r="CY46" i="27" s="1"/>
  <c r="CY48" i="27" a="1"/>
  <c r="CY48" i="27" s="1"/>
  <c r="CY50" i="27" a="1"/>
  <c r="CY50" i="27" s="1"/>
  <c r="CY52" i="27" a="1"/>
  <c r="CY52" i="27" s="1"/>
  <c r="CY54" i="27" a="1"/>
  <c r="CY54" i="27" s="1"/>
  <c r="CY61" i="27" a="1"/>
  <c r="CY61" i="27" s="1"/>
  <c r="CY63" i="27" a="1"/>
  <c r="CY63" i="27" s="1"/>
  <c r="CY65" i="27" a="1"/>
  <c r="CY65" i="27" s="1"/>
  <c r="CY67" i="27" a="1"/>
  <c r="CY67" i="27" s="1"/>
  <c r="CY34" i="27" a="1"/>
  <c r="CY34" i="27" s="1"/>
  <c r="CY57" i="27" a="1"/>
  <c r="CY57" i="27" s="1"/>
  <c r="CY59" i="27" a="1"/>
  <c r="CY59" i="27" s="1"/>
  <c r="CY69" i="27" a="1"/>
  <c r="CY69" i="27" s="1"/>
  <c r="CY73" i="27" a="1"/>
  <c r="CY73" i="27" s="1"/>
  <c r="CY75" i="27" a="1"/>
  <c r="CY75" i="27" s="1"/>
  <c r="CY77" i="27" a="1"/>
  <c r="CY77" i="27" s="1"/>
  <c r="CY79" i="27" a="1"/>
  <c r="CY79" i="27" s="1"/>
  <c r="CY81" i="27" a="1"/>
  <c r="CY81" i="27" s="1"/>
  <c r="CY83" i="27" a="1"/>
  <c r="CY83" i="27" s="1"/>
  <c r="CY85" i="27" a="1"/>
  <c r="CY85" i="27" s="1"/>
  <c r="CY87" i="27" a="1"/>
  <c r="CY87" i="27" s="1"/>
  <c r="CY89" i="27" a="1"/>
  <c r="CY89" i="27" s="1"/>
  <c r="CY91" i="27" a="1"/>
  <c r="CY91" i="27" s="1"/>
  <c r="CY93" i="27" a="1"/>
  <c r="CY93" i="27" s="1"/>
  <c r="CY95" i="27" a="1"/>
  <c r="CY95" i="27" s="1"/>
  <c r="CY97" i="27" a="1"/>
  <c r="CY97" i="27" s="1"/>
  <c r="CY99" i="27" a="1"/>
  <c r="CY99" i="27" s="1"/>
  <c r="CY101" i="27" a="1"/>
  <c r="CY101" i="27" s="1"/>
  <c r="CY62" i="27" a="1"/>
  <c r="CY62" i="27" s="1"/>
  <c r="CY71" i="27" a="1"/>
  <c r="CY71" i="27" s="1"/>
  <c r="CY66" i="27" a="1"/>
  <c r="CY66" i="27" s="1"/>
  <c r="CY68" i="27" a="1"/>
  <c r="CY68" i="27" s="1"/>
  <c r="CY70" i="27" a="1"/>
  <c r="CY70" i="27" s="1"/>
  <c r="CY72" i="27" a="1"/>
  <c r="CY72" i="27" s="1"/>
  <c r="CY74" i="27" a="1"/>
  <c r="CY74" i="27" s="1"/>
  <c r="CY76" i="27" a="1"/>
  <c r="CY76" i="27" s="1"/>
  <c r="CY78" i="27" a="1"/>
  <c r="CY78" i="27" s="1"/>
  <c r="CY80" i="27" a="1"/>
  <c r="CY80" i="27" s="1"/>
  <c r="CY82" i="27" a="1"/>
  <c r="CY82" i="27" s="1"/>
  <c r="CY84" i="27" a="1"/>
  <c r="CY84" i="27" s="1"/>
  <c r="CY86" i="27" a="1"/>
  <c r="CY86" i="27" s="1"/>
  <c r="CY88" i="27" a="1"/>
  <c r="CY88" i="27" s="1"/>
  <c r="CY90" i="27" a="1"/>
  <c r="CY90" i="27" s="1"/>
  <c r="CY64" i="27" a="1"/>
  <c r="CY64" i="27" s="1"/>
  <c r="CY94" i="27" a="1"/>
  <c r="CY94" i="27" s="1"/>
  <c r="CY98" i="27" a="1"/>
  <c r="CY98" i="27" s="1"/>
  <c r="CY121" i="27" a="1"/>
  <c r="CY121" i="27" s="1"/>
  <c r="CY124" i="27" a="1"/>
  <c r="CY124" i="27" s="1"/>
  <c r="CY127" i="27" a="1"/>
  <c r="CY127" i="27" s="1"/>
  <c r="CY128" i="27" a="1"/>
  <c r="CY128" i="27" s="1"/>
  <c r="CY129" i="27" a="1"/>
  <c r="CY129" i="27" s="1"/>
  <c r="CY130" i="27" a="1"/>
  <c r="CY130" i="27" s="1"/>
  <c r="CY102" i="27" a="1"/>
  <c r="CY102" i="27" s="1"/>
  <c r="CY104" i="27" a="1"/>
  <c r="CY104" i="27" s="1"/>
  <c r="CY106" i="27" a="1"/>
  <c r="CY106" i="27" s="1"/>
  <c r="CY108" i="27" a="1"/>
  <c r="CY108" i="27" s="1"/>
  <c r="CY110" i="27" a="1"/>
  <c r="CY110" i="27" s="1"/>
  <c r="CY118" i="27" a="1"/>
  <c r="CY118" i="27" s="1"/>
  <c r="CY122" i="27" a="1"/>
  <c r="CY122" i="27" s="1"/>
  <c r="CY92" i="27" a="1"/>
  <c r="CY92" i="27" s="1"/>
  <c r="CY96" i="27" a="1"/>
  <c r="CY96" i="27" s="1"/>
  <c r="CY100" i="27" a="1"/>
  <c r="CY100" i="27" s="1"/>
  <c r="CY103" i="27" a="1"/>
  <c r="CY103" i="27" s="1"/>
  <c r="CY105" i="27" a="1"/>
  <c r="CY105" i="27" s="1"/>
  <c r="CY107" i="27" a="1"/>
  <c r="CY107" i="27" s="1"/>
  <c r="CY109" i="27" a="1"/>
  <c r="CY109" i="27" s="1"/>
  <c r="CY120" i="27" a="1"/>
  <c r="CY120" i="27" s="1"/>
  <c r="CY111" i="27" a="1"/>
  <c r="CY111" i="27" s="1"/>
  <c r="CY112" i="27" a="1"/>
  <c r="CY112" i="27" s="1"/>
  <c r="CY113" i="27" a="1"/>
  <c r="CY113" i="27" s="1"/>
  <c r="CY114" i="27" a="1"/>
  <c r="CY114" i="27" s="1"/>
  <c r="CY115" i="27" a="1"/>
  <c r="CY115" i="27" s="1"/>
  <c r="CY116" i="27" a="1"/>
  <c r="CY116" i="27" s="1"/>
  <c r="CY117" i="27" a="1"/>
  <c r="CY117" i="27" s="1"/>
  <c r="CY126" i="27" a="1"/>
  <c r="CY126" i="27" s="1"/>
  <c r="CY125" i="27" a="1"/>
  <c r="CY125" i="27" s="1"/>
  <c r="CY131" i="27" a="1"/>
  <c r="CY131" i="27" s="1"/>
  <c r="CY134" i="27" a="1"/>
  <c r="CY134" i="27" s="1"/>
  <c r="CY135" i="27" a="1"/>
  <c r="CY135" i="27" s="1"/>
  <c r="CY136" i="27" a="1"/>
  <c r="CY136" i="27" s="1"/>
  <c r="CY137" i="27" a="1"/>
  <c r="CY137" i="27" s="1"/>
  <c r="CY138" i="27" a="1"/>
  <c r="CY138" i="27" s="1"/>
  <c r="CY6" i="27" a="1"/>
  <c r="CY6" i="27" s="1"/>
  <c r="CY119" i="27" a="1"/>
  <c r="CY119" i="27" s="1"/>
  <c r="CY123" i="27" a="1"/>
  <c r="CY123" i="27" s="1"/>
  <c r="CY133" i="27" a="1"/>
  <c r="CY133" i="27" s="1"/>
  <c r="CY139" i="27" a="1"/>
  <c r="CY139" i="27" s="1"/>
  <c r="CY132" i="27" a="1"/>
  <c r="CY132" i="27" s="1"/>
  <c r="CY140" i="27" a="1"/>
  <c r="CY140" i="27" s="1"/>
  <c r="DH7" i="27" a="1"/>
  <c r="DH7" i="27" s="1"/>
  <c r="DH9" i="27" a="1"/>
  <c r="DH9" i="27" s="1"/>
  <c r="DH11" i="27" a="1"/>
  <c r="DH11" i="27" s="1"/>
  <c r="DH13" i="27" a="1"/>
  <c r="DH13" i="27" s="1"/>
  <c r="DH15" i="27" a="1"/>
  <c r="DH15" i="27" s="1"/>
  <c r="DH17" i="27" a="1"/>
  <c r="DH17" i="27" s="1"/>
  <c r="DH19" i="27" a="1"/>
  <c r="DH19" i="27" s="1"/>
  <c r="DH34" i="27" a="1"/>
  <c r="DH34" i="27" s="1"/>
  <c r="DH22" i="27" a="1"/>
  <c r="DH22" i="27" s="1"/>
  <c r="DH24" i="27" a="1"/>
  <c r="DH24" i="27" s="1"/>
  <c r="DH26" i="27" a="1"/>
  <c r="DH26" i="27" s="1"/>
  <c r="DH28" i="27" a="1"/>
  <c r="DH28" i="27" s="1"/>
  <c r="DH30" i="27" a="1"/>
  <c r="DH30" i="27" s="1"/>
  <c r="DH32" i="27" a="1"/>
  <c r="DH32" i="27" s="1"/>
  <c r="DH36" i="27" a="1"/>
  <c r="DH36" i="27" s="1"/>
  <c r="DH38" i="27" a="1"/>
  <c r="DH38" i="27" s="1"/>
  <c r="DH8" i="27" a="1"/>
  <c r="DH8" i="27" s="1"/>
  <c r="DH10" i="27" a="1"/>
  <c r="DH10" i="27" s="1"/>
  <c r="DH12" i="27" a="1"/>
  <c r="DH12" i="27" s="1"/>
  <c r="DH14" i="27" a="1"/>
  <c r="DH14" i="27" s="1"/>
  <c r="DH16" i="27" a="1"/>
  <c r="DH16" i="27" s="1"/>
  <c r="DH18" i="27" a="1"/>
  <c r="DH18" i="27" s="1"/>
  <c r="DH20" i="27" a="1"/>
  <c r="DH20" i="27" s="1"/>
  <c r="DH21" i="27" a="1"/>
  <c r="DH21" i="27" s="1"/>
  <c r="DH23" i="27" a="1"/>
  <c r="DH23" i="27" s="1"/>
  <c r="DH25" i="27" a="1"/>
  <c r="DH25" i="27" s="1"/>
  <c r="DH27" i="27" a="1"/>
  <c r="DH27" i="27" s="1"/>
  <c r="DH29" i="27" a="1"/>
  <c r="DH29" i="27" s="1"/>
  <c r="DH31" i="27" a="1"/>
  <c r="DH31" i="27" s="1"/>
  <c r="DH35" i="27" a="1"/>
  <c r="DH35" i="27" s="1"/>
  <c r="DH37" i="27" a="1"/>
  <c r="DH37" i="27" s="1"/>
  <c r="DH33" i="27" a="1"/>
  <c r="DH33" i="27" s="1"/>
  <c r="DH39" i="27" a="1"/>
  <c r="DH39" i="27" s="1"/>
  <c r="DH56" i="27" a="1"/>
  <c r="DH56" i="27" s="1"/>
  <c r="DH58" i="27" a="1"/>
  <c r="DH58" i="27" s="1"/>
  <c r="DH60" i="27" a="1"/>
  <c r="DH60" i="27" s="1"/>
  <c r="DH62" i="27" a="1"/>
  <c r="DH62" i="27" s="1"/>
  <c r="DH64" i="27" a="1"/>
  <c r="DH64" i="27" s="1"/>
  <c r="DH66" i="27" a="1"/>
  <c r="DH66" i="27" s="1"/>
  <c r="DH68" i="27" a="1"/>
  <c r="DH68" i="27" s="1"/>
  <c r="DH70" i="27" a="1"/>
  <c r="DH70" i="27" s="1"/>
  <c r="DH40" i="27" a="1"/>
  <c r="DH40" i="27" s="1"/>
  <c r="DH42" i="27" a="1"/>
  <c r="DH42" i="27" s="1"/>
  <c r="DH44" i="27" a="1"/>
  <c r="DH44" i="27" s="1"/>
  <c r="DH46" i="27" a="1"/>
  <c r="DH46" i="27" s="1"/>
  <c r="DH48" i="27" a="1"/>
  <c r="DH48" i="27" s="1"/>
  <c r="DH50" i="27" a="1"/>
  <c r="DH50" i="27" s="1"/>
  <c r="DH52" i="27" a="1"/>
  <c r="DH52" i="27" s="1"/>
  <c r="DH54" i="27" a="1"/>
  <c r="DH54" i="27" s="1"/>
  <c r="DH57" i="27" a="1"/>
  <c r="DH57" i="27" s="1"/>
  <c r="DH55" i="27" a="1"/>
  <c r="DH55" i="27" s="1"/>
  <c r="DH59" i="27" a="1"/>
  <c r="DH59" i="27" s="1"/>
  <c r="DH41" i="27" a="1"/>
  <c r="DH41" i="27" s="1"/>
  <c r="DH43" i="27" a="1"/>
  <c r="DH43" i="27" s="1"/>
  <c r="DH45" i="27" a="1"/>
  <c r="DH45" i="27" s="1"/>
  <c r="DH47" i="27" a="1"/>
  <c r="DH47" i="27" s="1"/>
  <c r="DH49" i="27" a="1"/>
  <c r="DH49" i="27" s="1"/>
  <c r="DH51" i="27" a="1"/>
  <c r="DH51" i="27" s="1"/>
  <c r="DH53" i="27" a="1"/>
  <c r="DH53" i="27" s="1"/>
  <c r="DH61" i="27" a="1"/>
  <c r="DH61" i="27" s="1"/>
  <c r="DH67" i="27" a="1"/>
  <c r="DH67" i="27" s="1"/>
  <c r="DH69" i="27" a="1"/>
  <c r="DH69" i="27" s="1"/>
  <c r="DH65" i="27" a="1"/>
  <c r="DH65" i="27" s="1"/>
  <c r="DH72" i="27" a="1"/>
  <c r="DH72" i="27" s="1"/>
  <c r="DH74" i="27" a="1"/>
  <c r="DH74" i="27" s="1"/>
  <c r="DH76" i="27" a="1"/>
  <c r="DH76" i="27" s="1"/>
  <c r="DH78" i="27" a="1"/>
  <c r="DH78" i="27" s="1"/>
  <c r="DH80" i="27" a="1"/>
  <c r="DH80" i="27" s="1"/>
  <c r="DH82" i="27" a="1"/>
  <c r="DH82" i="27" s="1"/>
  <c r="DH84" i="27" a="1"/>
  <c r="DH84" i="27" s="1"/>
  <c r="DH86" i="27" a="1"/>
  <c r="DH86" i="27" s="1"/>
  <c r="DH88" i="27" a="1"/>
  <c r="DH88" i="27" s="1"/>
  <c r="DH63" i="27" a="1"/>
  <c r="DH63" i="27" s="1"/>
  <c r="DH71" i="27" a="1"/>
  <c r="DH71" i="27" s="1"/>
  <c r="DH73" i="27" a="1"/>
  <c r="DH73" i="27" s="1"/>
  <c r="DH75" i="27" a="1"/>
  <c r="DH75" i="27" s="1"/>
  <c r="DH77" i="27" a="1"/>
  <c r="DH77" i="27" s="1"/>
  <c r="DH79" i="27" a="1"/>
  <c r="DH79" i="27" s="1"/>
  <c r="DH81" i="27" a="1"/>
  <c r="DH81" i="27" s="1"/>
  <c r="DH83" i="27" a="1"/>
  <c r="DH83" i="27" s="1"/>
  <c r="DH85" i="27" a="1"/>
  <c r="DH85" i="27" s="1"/>
  <c r="DH87" i="27" a="1"/>
  <c r="DH87" i="27" s="1"/>
  <c r="DH89" i="27" a="1"/>
  <c r="DH89" i="27" s="1"/>
  <c r="DH91" i="27" a="1"/>
  <c r="DH91" i="27" s="1"/>
  <c r="DH93" i="27" a="1"/>
  <c r="DH93" i="27" s="1"/>
  <c r="DH95" i="27" a="1"/>
  <c r="DH95" i="27" s="1"/>
  <c r="DH97" i="27" a="1"/>
  <c r="DH97" i="27" s="1"/>
  <c r="DH99" i="27" a="1"/>
  <c r="DH99" i="27" s="1"/>
  <c r="DH90" i="27" a="1"/>
  <c r="DH90" i="27" s="1"/>
  <c r="DH102" i="27" a="1"/>
  <c r="DH102" i="27" s="1"/>
  <c r="DH104" i="27" a="1"/>
  <c r="DH104" i="27" s="1"/>
  <c r="DH106" i="27" a="1"/>
  <c r="DH106" i="27" s="1"/>
  <c r="DH108" i="27" a="1"/>
  <c r="DH108" i="27" s="1"/>
  <c r="DH110" i="27" a="1"/>
  <c r="DH110" i="27" s="1"/>
  <c r="DH111" i="27" a="1"/>
  <c r="DH111" i="27" s="1"/>
  <c r="DH112" i="27" a="1"/>
  <c r="DH112" i="27" s="1"/>
  <c r="DH113" i="27" a="1"/>
  <c r="DH113" i="27" s="1"/>
  <c r="DH114" i="27" a="1"/>
  <c r="DH114" i="27" s="1"/>
  <c r="DH115" i="27" a="1"/>
  <c r="DH115" i="27" s="1"/>
  <c r="DH116" i="27" a="1"/>
  <c r="DH116" i="27" s="1"/>
  <c r="DH119" i="27" a="1"/>
  <c r="DH119" i="27" s="1"/>
  <c r="DH92" i="27" a="1"/>
  <c r="DH92" i="27" s="1"/>
  <c r="DH96" i="27" a="1"/>
  <c r="DH96" i="27" s="1"/>
  <c r="DH100" i="27" a="1"/>
  <c r="DH100" i="27" s="1"/>
  <c r="DH101" i="27" a="1"/>
  <c r="DH101" i="27" s="1"/>
  <c r="DH103" i="27" a="1"/>
  <c r="DH103" i="27" s="1"/>
  <c r="DH105" i="27" a="1"/>
  <c r="DH105" i="27" s="1"/>
  <c r="DH107" i="27" a="1"/>
  <c r="DH107" i="27" s="1"/>
  <c r="DH109" i="27" a="1"/>
  <c r="DH109" i="27" s="1"/>
  <c r="DH117" i="27" a="1"/>
  <c r="DH117" i="27" s="1"/>
  <c r="DH121" i="27" a="1"/>
  <c r="DH121" i="27" s="1"/>
  <c r="DH94" i="27" a="1"/>
  <c r="DH94" i="27" s="1"/>
  <c r="DH98" i="27" a="1"/>
  <c r="DH98" i="27" s="1"/>
  <c r="DH118" i="27" a="1"/>
  <c r="DH118" i="27" s="1"/>
  <c r="DH122" i="27" a="1"/>
  <c r="DH122" i="27" s="1"/>
  <c r="DH124" i="27" a="1"/>
  <c r="DH124" i="27" s="1"/>
  <c r="DH127" i="27" a="1"/>
  <c r="DH127" i="27" s="1"/>
  <c r="DH128" i="27" a="1"/>
  <c r="DH128" i="27" s="1"/>
  <c r="DH129" i="27" a="1"/>
  <c r="DH129" i="27" s="1"/>
  <c r="DH131" i="27" a="1"/>
  <c r="DH131" i="27" s="1"/>
  <c r="DH139" i="27" a="1"/>
  <c r="DH139" i="27" s="1"/>
  <c r="DH126" i="27" a="1"/>
  <c r="DH126" i="27" s="1"/>
  <c r="DH120" i="27" a="1"/>
  <c r="DH120" i="27" s="1"/>
  <c r="DH125" i="27" a="1"/>
  <c r="DH125" i="27" s="1"/>
  <c r="DH130" i="27" a="1"/>
  <c r="DH130" i="27" s="1"/>
  <c r="DH133" i="27" a="1"/>
  <c r="DH133" i="27" s="1"/>
  <c r="DH134" i="27" a="1"/>
  <c r="DH134" i="27" s="1"/>
  <c r="DH135" i="27" a="1"/>
  <c r="DH135" i="27" s="1"/>
  <c r="DH136" i="27" a="1"/>
  <c r="DH136" i="27" s="1"/>
  <c r="DH137" i="27" a="1"/>
  <c r="DH137" i="27" s="1"/>
  <c r="DH138" i="27" a="1"/>
  <c r="DH138" i="27" s="1"/>
  <c r="DH140" i="27" a="1"/>
  <c r="DH140" i="27" s="1"/>
  <c r="DH6" i="27" a="1"/>
  <c r="DH6" i="27" s="1"/>
  <c r="DH123" i="27" a="1"/>
  <c r="DH123" i="27" s="1"/>
  <c r="DH132" i="27" a="1"/>
  <c r="DH132" i="27" s="1"/>
  <c r="DB21" i="27" a="1"/>
  <c r="DB21" i="27" s="1"/>
  <c r="DB36" i="27" a="1"/>
  <c r="DB36" i="27" s="1"/>
  <c r="DB38" i="27" a="1"/>
  <c r="DB38" i="27" s="1"/>
  <c r="DB40" i="27" a="1"/>
  <c r="DB40" i="27" s="1"/>
  <c r="DB8" i="27" a="1"/>
  <c r="DB8" i="27" s="1"/>
  <c r="DB10" i="27" a="1"/>
  <c r="DB10" i="27" s="1"/>
  <c r="DB12" i="27" a="1"/>
  <c r="DB12" i="27" s="1"/>
  <c r="DB14" i="27" a="1"/>
  <c r="DB14" i="27" s="1"/>
  <c r="DB16" i="27" a="1"/>
  <c r="DB16" i="27" s="1"/>
  <c r="DB18" i="27" a="1"/>
  <c r="DB18" i="27" s="1"/>
  <c r="DB20" i="27" a="1"/>
  <c r="DB20" i="27" s="1"/>
  <c r="DB23" i="27" a="1"/>
  <c r="DB23" i="27" s="1"/>
  <c r="DB25" i="27" a="1"/>
  <c r="DB25" i="27" s="1"/>
  <c r="DB27" i="27" a="1"/>
  <c r="DB27" i="27" s="1"/>
  <c r="DB29" i="27" a="1"/>
  <c r="DB29" i="27" s="1"/>
  <c r="DB33" i="27" a="1"/>
  <c r="DB33" i="27" s="1"/>
  <c r="DB7" i="27" a="1"/>
  <c r="DB7" i="27" s="1"/>
  <c r="DB9" i="27" a="1"/>
  <c r="DB9" i="27" s="1"/>
  <c r="DB11" i="27" a="1"/>
  <c r="DB11" i="27" s="1"/>
  <c r="DB13" i="27" a="1"/>
  <c r="DB13" i="27" s="1"/>
  <c r="DB15" i="27" a="1"/>
  <c r="DB15" i="27" s="1"/>
  <c r="DB17" i="27" a="1"/>
  <c r="DB17" i="27" s="1"/>
  <c r="DB19" i="27" a="1"/>
  <c r="DB19" i="27" s="1"/>
  <c r="DB22" i="27" a="1"/>
  <c r="DB22" i="27" s="1"/>
  <c r="DB24" i="27" a="1"/>
  <c r="DB24" i="27" s="1"/>
  <c r="DB26" i="27" a="1"/>
  <c r="DB26" i="27" s="1"/>
  <c r="DB28" i="27" a="1"/>
  <c r="DB28" i="27" s="1"/>
  <c r="DB30" i="27" a="1"/>
  <c r="DB30" i="27" s="1"/>
  <c r="DB32" i="27" a="1"/>
  <c r="DB32" i="27" s="1"/>
  <c r="DB34" i="27" a="1"/>
  <c r="DB34" i="27" s="1"/>
  <c r="DB56" i="27" a="1"/>
  <c r="DB56" i="27" s="1"/>
  <c r="DB39" i="27" a="1"/>
  <c r="DB39" i="27" s="1"/>
  <c r="DB42" i="27" a="1"/>
  <c r="DB42" i="27" s="1"/>
  <c r="DB44" i="27" a="1"/>
  <c r="DB44" i="27" s="1"/>
  <c r="DB46" i="27" a="1"/>
  <c r="DB46" i="27" s="1"/>
  <c r="DB48" i="27" a="1"/>
  <c r="DB48" i="27" s="1"/>
  <c r="DB50" i="27" a="1"/>
  <c r="DB50" i="27" s="1"/>
  <c r="DB52" i="27" a="1"/>
  <c r="DB52" i="27" s="1"/>
  <c r="DB54" i="27" a="1"/>
  <c r="DB54" i="27" s="1"/>
  <c r="DB37" i="27" a="1"/>
  <c r="DB37" i="27" s="1"/>
  <c r="DB57" i="27" a="1"/>
  <c r="DB57" i="27" s="1"/>
  <c r="DB41" i="27" a="1"/>
  <c r="DB41" i="27" s="1"/>
  <c r="DB43" i="27" a="1"/>
  <c r="DB43" i="27" s="1"/>
  <c r="DB45" i="27" a="1"/>
  <c r="DB45" i="27" s="1"/>
  <c r="DB47" i="27" a="1"/>
  <c r="DB47" i="27" s="1"/>
  <c r="DB49" i="27" a="1"/>
  <c r="DB49" i="27" s="1"/>
  <c r="DB51" i="27" a="1"/>
  <c r="DB51" i="27" s="1"/>
  <c r="DB53" i="27" a="1"/>
  <c r="DB53" i="27" s="1"/>
  <c r="DB55" i="27" a="1"/>
  <c r="DB55" i="27" s="1"/>
  <c r="DB59" i="27" a="1"/>
  <c r="DB59" i="27" s="1"/>
  <c r="DB31" i="27" a="1"/>
  <c r="DB31" i="27" s="1"/>
  <c r="DB35" i="27" a="1"/>
  <c r="DB35" i="27" s="1"/>
  <c r="DB58" i="27" a="1"/>
  <c r="DB58" i="27" s="1"/>
  <c r="DB60" i="27" a="1"/>
  <c r="DB60" i="27" s="1"/>
  <c r="DB62" i="27" a="1"/>
  <c r="DB62" i="27" s="1"/>
  <c r="DB64" i="27" a="1"/>
  <c r="DB64" i="27" s="1"/>
  <c r="DB66" i="27" a="1"/>
  <c r="DB66" i="27" s="1"/>
  <c r="DB68" i="27" a="1"/>
  <c r="DB68" i="27" s="1"/>
  <c r="DB63" i="27" a="1"/>
  <c r="DB63" i="27" s="1"/>
  <c r="DB70" i="27" a="1"/>
  <c r="DB70" i="27" s="1"/>
  <c r="DB72" i="27" a="1"/>
  <c r="DB72" i="27" s="1"/>
  <c r="DB74" i="27" a="1"/>
  <c r="DB74" i="27" s="1"/>
  <c r="DB76" i="27" a="1"/>
  <c r="DB76" i="27" s="1"/>
  <c r="DB78" i="27" a="1"/>
  <c r="DB78" i="27" s="1"/>
  <c r="DB80" i="27" a="1"/>
  <c r="DB80" i="27" s="1"/>
  <c r="DB82" i="27" a="1"/>
  <c r="DB82" i="27" s="1"/>
  <c r="DB84" i="27" a="1"/>
  <c r="DB84" i="27" s="1"/>
  <c r="DB86" i="27" a="1"/>
  <c r="DB86" i="27" s="1"/>
  <c r="DB88" i="27" a="1"/>
  <c r="DB88" i="27" s="1"/>
  <c r="DB90" i="27" a="1"/>
  <c r="DB90" i="27" s="1"/>
  <c r="DB92" i="27" a="1"/>
  <c r="DB92" i="27" s="1"/>
  <c r="DB94" i="27" a="1"/>
  <c r="DB94" i="27" s="1"/>
  <c r="DB96" i="27" a="1"/>
  <c r="DB96" i="27" s="1"/>
  <c r="DB98" i="27" a="1"/>
  <c r="DB98" i="27" s="1"/>
  <c r="DB100" i="27" a="1"/>
  <c r="DB100" i="27" s="1"/>
  <c r="DB69" i="27" a="1"/>
  <c r="DB69" i="27" s="1"/>
  <c r="DB61" i="27" a="1"/>
  <c r="DB61" i="27" s="1"/>
  <c r="DB67" i="27" a="1"/>
  <c r="DB67" i="27" s="1"/>
  <c r="DB71" i="27" a="1"/>
  <c r="DB71" i="27" s="1"/>
  <c r="DB73" i="27" a="1"/>
  <c r="DB73" i="27" s="1"/>
  <c r="DB75" i="27" a="1"/>
  <c r="DB75" i="27" s="1"/>
  <c r="DB77" i="27" a="1"/>
  <c r="DB77" i="27" s="1"/>
  <c r="DB79" i="27" a="1"/>
  <c r="DB79" i="27" s="1"/>
  <c r="DB81" i="27" a="1"/>
  <c r="DB81" i="27" s="1"/>
  <c r="DB83" i="27" a="1"/>
  <c r="DB83" i="27" s="1"/>
  <c r="DB85" i="27" a="1"/>
  <c r="DB85" i="27" s="1"/>
  <c r="DB87" i="27" a="1"/>
  <c r="DB87" i="27" s="1"/>
  <c r="DB89" i="27" a="1"/>
  <c r="DB89" i="27" s="1"/>
  <c r="DB65" i="27" a="1"/>
  <c r="DB65" i="27" s="1"/>
  <c r="DB93" i="27" a="1"/>
  <c r="DB93" i="27" s="1"/>
  <c r="DB97" i="27" a="1"/>
  <c r="DB97" i="27" s="1"/>
  <c r="DB119" i="27" a="1"/>
  <c r="DB119" i="27" s="1"/>
  <c r="DB123" i="27" a="1"/>
  <c r="DB123" i="27" s="1"/>
  <c r="DB125" i="27" a="1"/>
  <c r="DB125" i="27" s="1"/>
  <c r="DB101" i="27" a="1"/>
  <c r="DB101" i="27" s="1"/>
  <c r="DB103" i="27" a="1"/>
  <c r="DB103" i="27" s="1"/>
  <c r="DB105" i="27" a="1"/>
  <c r="DB105" i="27" s="1"/>
  <c r="DB107" i="27" a="1"/>
  <c r="DB107" i="27" s="1"/>
  <c r="DB109" i="27" a="1"/>
  <c r="DB109" i="27" s="1"/>
  <c r="DB91" i="27" a="1"/>
  <c r="DB91" i="27" s="1"/>
  <c r="DB95" i="27" a="1"/>
  <c r="DB95" i="27" s="1"/>
  <c r="DB99" i="27" a="1"/>
  <c r="DB99" i="27" s="1"/>
  <c r="DB111" i="27" a="1"/>
  <c r="DB111" i="27" s="1"/>
  <c r="DB112" i="27" a="1"/>
  <c r="DB112" i="27" s="1"/>
  <c r="DB113" i="27" a="1"/>
  <c r="DB113" i="27" s="1"/>
  <c r="DB114" i="27" a="1"/>
  <c r="DB114" i="27" s="1"/>
  <c r="DB102" i="27" a="1"/>
  <c r="DB102" i="27" s="1"/>
  <c r="DB104" i="27" a="1"/>
  <c r="DB104" i="27" s="1"/>
  <c r="DB106" i="27" a="1"/>
  <c r="DB106" i="27" s="1"/>
  <c r="DB108" i="27" a="1"/>
  <c r="DB108" i="27" s="1"/>
  <c r="DB110" i="27" a="1"/>
  <c r="DB110" i="27" s="1"/>
  <c r="DB124" i="27" a="1"/>
  <c r="DB124" i="27" s="1"/>
  <c r="DB118" i="27" a="1"/>
  <c r="DB118" i="27" s="1"/>
  <c r="DB122" i="27" a="1"/>
  <c r="DB122" i="27" s="1"/>
  <c r="DB115" i="27" a="1"/>
  <c r="DB115" i="27" s="1"/>
  <c r="DB116" i="27" a="1"/>
  <c r="DB116" i="27" s="1"/>
  <c r="DB117" i="27" a="1"/>
  <c r="DB117" i="27" s="1"/>
  <c r="DB121" i="27" a="1"/>
  <c r="DB121" i="27" s="1"/>
  <c r="DB126" i="27" a="1"/>
  <c r="DB126" i="27" s="1"/>
  <c r="DB132" i="27" a="1"/>
  <c r="DB132" i="27" s="1"/>
  <c r="DB120" i="27" a="1"/>
  <c r="DB120" i="27" s="1"/>
  <c r="DB131" i="27" a="1"/>
  <c r="DB131" i="27" s="1"/>
  <c r="DB140" i="27" a="1"/>
  <c r="DB140" i="27" s="1"/>
  <c r="DB128" i="27" a="1"/>
  <c r="DB128" i="27" s="1"/>
  <c r="DB129" i="27" a="1"/>
  <c r="DB129" i="27" s="1"/>
  <c r="DB134" i="27" a="1"/>
  <c r="DB134" i="27" s="1"/>
  <c r="DB135" i="27" a="1"/>
  <c r="DB135" i="27" s="1"/>
  <c r="DB136" i="27" a="1"/>
  <c r="DB136" i="27" s="1"/>
  <c r="DB137" i="27" a="1"/>
  <c r="DB137" i="27" s="1"/>
  <c r="DB138" i="27" a="1"/>
  <c r="DB138" i="27" s="1"/>
  <c r="DB6" i="27" a="1"/>
  <c r="DB6" i="27" s="1"/>
  <c r="DB127" i="27" a="1"/>
  <c r="DB127" i="27" s="1"/>
  <c r="DB130" i="27" a="1"/>
  <c r="DB130" i="27" s="1"/>
  <c r="DB133" i="27" a="1"/>
  <c r="DB133" i="27" s="1"/>
  <c r="DB139" i="27" a="1"/>
  <c r="DB139" i="27" s="1"/>
  <c r="CO17" i="27" a="1"/>
  <c r="CO17" i="27" s="1"/>
  <c r="DD33" i="27" a="1"/>
  <c r="DD33" i="27" s="1"/>
  <c r="DD7" i="27" a="1"/>
  <c r="DD7" i="27" s="1"/>
  <c r="DD9" i="27" a="1"/>
  <c r="DD9" i="27" s="1"/>
  <c r="DD11" i="27" a="1"/>
  <c r="DD11" i="27" s="1"/>
  <c r="DD13" i="27" a="1"/>
  <c r="DD13" i="27" s="1"/>
  <c r="DD15" i="27" a="1"/>
  <c r="DD15" i="27" s="1"/>
  <c r="DD17" i="27" a="1"/>
  <c r="DD17" i="27" s="1"/>
  <c r="DD19" i="27" a="1"/>
  <c r="DD19" i="27" s="1"/>
  <c r="DD22" i="27" a="1"/>
  <c r="DD22" i="27" s="1"/>
  <c r="DD24" i="27" a="1"/>
  <c r="DD24" i="27" s="1"/>
  <c r="DD26" i="27" a="1"/>
  <c r="DD26" i="27" s="1"/>
  <c r="DD28" i="27" a="1"/>
  <c r="DD28" i="27" s="1"/>
  <c r="DD8" i="27" a="1"/>
  <c r="DD8" i="27" s="1"/>
  <c r="DD10" i="27" a="1"/>
  <c r="DD10" i="27" s="1"/>
  <c r="DD12" i="27" a="1"/>
  <c r="DD12" i="27" s="1"/>
  <c r="DD14" i="27" a="1"/>
  <c r="DD14" i="27" s="1"/>
  <c r="DD16" i="27" a="1"/>
  <c r="DD16" i="27" s="1"/>
  <c r="DD18" i="27" a="1"/>
  <c r="DD18" i="27" s="1"/>
  <c r="DD20" i="27" a="1"/>
  <c r="DD20" i="27" s="1"/>
  <c r="DD21" i="27" a="1"/>
  <c r="DD21" i="27" s="1"/>
  <c r="DD23" i="27" a="1"/>
  <c r="DD23" i="27" s="1"/>
  <c r="DD25" i="27" a="1"/>
  <c r="DD25" i="27" s="1"/>
  <c r="DD27" i="27" a="1"/>
  <c r="DD27" i="27" s="1"/>
  <c r="DD29" i="27" a="1"/>
  <c r="DD29" i="27" s="1"/>
  <c r="DD31" i="27" a="1"/>
  <c r="DD31" i="27" s="1"/>
  <c r="DD35" i="27" a="1"/>
  <c r="DD35" i="27" s="1"/>
  <c r="DD37" i="27" a="1"/>
  <c r="DD37" i="27" s="1"/>
  <c r="DD39" i="27" a="1"/>
  <c r="DD39" i="27" s="1"/>
  <c r="DD34" i="27" a="1"/>
  <c r="DD34" i="27" s="1"/>
  <c r="DD41" i="27" a="1"/>
  <c r="DD41" i="27" s="1"/>
  <c r="DD43" i="27" a="1"/>
  <c r="DD43" i="27" s="1"/>
  <c r="DD45" i="27" a="1"/>
  <c r="DD45" i="27" s="1"/>
  <c r="DD47" i="27" a="1"/>
  <c r="DD47" i="27" s="1"/>
  <c r="DD49" i="27" a="1"/>
  <c r="DD49" i="27" s="1"/>
  <c r="DD51" i="27" a="1"/>
  <c r="DD51" i="27" s="1"/>
  <c r="DD53" i="27" a="1"/>
  <c r="DD53" i="27" s="1"/>
  <c r="DD32" i="27" a="1"/>
  <c r="DD32" i="27" s="1"/>
  <c r="DD58" i="27" a="1"/>
  <c r="DD58" i="27" s="1"/>
  <c r="DD60" i="27" a="1"/>
  <c r="DD60" i="27" s="1"/>
  <c r="DD62" i="27" a="1"/>
  <c r="DD62" i="27" s="1"/>
  <c r="DD64" i="27" a="1"/>
  <c r="DD64" i="27" s="1"/>
  <c r="DD66" i="27" a="1"/>
  <c r="DD66" i="27" s="1"/>
  <c r="DD68" i="27" a="1"/>
  <c r="DD68" i="27" s="1"/>
  <c r="DD70" i="27" a="1"/>
  <c r="DD70" i="27" s="1"/>
  <c r="DD30" i="27" a="1"/>
  <c r="DD30" i="27" s="1"/>
  <c r="DD38" i="27" a="1"/>
  <c r="DD38" i="27" s="1"/>
  <c r="DD56" i="27" a="1"/>
  <c r="DD56" i="27" s="1"/>
  <c r="DD42" i="27" a="1"/>
  <c r="DD42" i="27" s="1"/>
  <c r="DD44" i="27" a="1"/>
  <c r="DD44" i="27" s="1"/>
  <c r="DD46" i="27" a="1"/>
  <c r="DD46" i="27" s="1"/>
  <c r="DD48" i="27" a="1"/>
  <c r="DD48" i="27" s="1"/>
  <c r="DD50" i="27" a="1"/>
  <c r="DD50" i="27" s="1"/>
  <c r="DD52" i="27" a="1"/>
  <c r="DD52" i="27" s="1"/>
  <c r="DD54" i="27" a="1"/>
  <c r="DD54" i="27" s="1"/>
  <c r="DD36" i="27" a="1"/>
  <c r="DD36" i="27" s="1"/>
  <c r="DD40" i="27" a="1"/>
  <c r="DD40" i="27" s="1"/>
  <c r="DD57" i="27" a="1"/>
  <c r="DD57" i="27" s="1"/>
  <c r="DD55" i="27" a="1"/>
  <c r="DD55" i="27" s="1"/>
  <c r="DD59" i="27" a="1"/>
  <c r="DD59" i="27" s="1"/>
  <c r="DD61" i="27" a="1"/>
  <c r="DD61" i="27" s="1"/>
  <c r="DD63" i="27" a="1"/>
  <c r="DD63" i="27" s="1"/>
  <c r="DD65" i="27" a="1"/>
  <c r="DD65" i="27" s="1"/>
  <c r="DD67" i="27" a="1"/>
  <c r="DD67" i="27" s="1"/>
  <c r="DD71" i="27" a="1"/>
  <c r="DD71" i="27" s="1"/>
  <c r="DD73" i="27" a="1"/>
  <c r="DD73" i="27" s="1"/>
  <c r="DD75" i="27" a="1"/>
  <c r="DD75" i="27" s="1"/>
  <c r="DD77" i="27" a="1"/>
  <c r="DD77" i="27" s="1"/>
  <c r="DD79" i="27" a="1"/>
  <c r="DD79" i="27" s="1"/>
  <c r="DD81" i="27" a="1"/>
  <c r="DD81" i="27" s="1"/>
  <c r="DD83" i="27" a="1"/>
  <c r="DD83" i="27" s="1"/>
  <c r="DD85" i="27" a="1"/>
  <c r="DD85" i="27" s="1"/>
  <c r="DD87" i="27" a="1"/>
  <c r="DD87" i="27" s="1"/>
  <c r="DD89" i="27" a="1"/>
  <c r="DD89" i="27" s="1"/>
  <c r="DD91" i="27" a="1"/>
  <c r="DD91" i="27" s="1"/>
  <c r="DD93" i="27" a="1"/>
  <c r="DD93" i="27" s="1"/>
  <c r="DD95" i="27" a="1"/>
  <c r="DD95" i="27" s="1"/>
  <c r="DD97" i="27" a="1"/>
  <c r="DD97" i="27" s="1"/>
  <c r="DD99" i="27" a="1"/>
  <c r="DD99" i="27" s="1"/>
  <c r="DD72" i="27" a="1"/>
  <c r="DD72" i="27" s="1"/>
  <c r="DD74" i="27" a="1"/>
  <c r="DD74" i="27" s="1"/>
  <c r="DD76" i="27" a="1"/>
  <c r="DD76" i="27" s="1"/>
  <c r="DD78" i="27" a="1"/>
  <c r="DD78" i="27" s="1"/>
  <c r="DD80" i="27" a="1"/>
  <c r="DD80" i="27" s="1"/>
  <c r="DD82" i="27" a="1"/>
  <c r="DD82" i="27" s="1"/>
  <c r="DD84" i="27" a="1"/>
  <c r="DD84" i="27" s="1"/>
  <c r="DD86" i="27" a="1"/>
  <c r="DD86" i="27" s="1"/>
  <c r="DD88" i="27" a="1"/>
  <c r="DD88" i="27" s="1"/>
  <c r="DD69" i="27" a="1"/>
  <c r="DD69" i="27" s="1"/>
  <c r="DD102" i="27" a="1"/>
  <c r="DD102" i="27" s="1"/>
  <c r="DD104" i="27" a="1"/>
  <c r="DD104" i="27" s="1"/>
  <c r="DD106" i="27" a="1"/>
  <c r="DD106" i="27" s="1"/>
  <c r="DD108" i="27" a="1"/>
  <c r="DD108" i="27" s="1"/>
  <c r="DD110" i="27" a="1"/>
  <c r="DD110" i="27" s="1"/>
  <c r="DD111" i="27" a="1"/>
  <c r="DD111" i="27" s="1"/>
  <c r="DD112" i="27" a="1"/>
  <c r="DD112" i="27" s="1"/>
  <c r="DD113" i="27" a="1"/>
  <c r="DD113" i="27" s="1"/>
  <c r="DD114" i="27" a="1"/>
  <c r="DD114" i="27" s="1"/>
  <c r="DD115" i="27" a="1"/>
  <c r="DD115" i="27" s="1"/>
  <c r="DD116" i="27" a="1"/>
  <c r="DD116" i="27" s="1"/>
  <c r="DD124" i="27" a="1"/>
  <c r="DD124" i="27" s="1"/>
  <c r="DD118" i="27" a="1"/>
  <c r="DD118" i="27" s="1"/>
  <c r="DD122" i="27" a="1"/>
  <c r="DD122" i="27" s="1"/>
  <c r="DD94" i="27" a="1"/>
  <c r="DD94" i="27" s="1"/>
  <c r="DD98" i="27" a="1"/>
  <c r="DD98" i="27" s="1"/>
  <c r="DD90" i="27" a="1"/>
  <c r="DD90" i="27" s="1"/>
  <c r="DD101" i="27" a="1"/>
  <c r="DD101" i="27" s="1"/>
  <c r="DD103" i="27" a="1"/>
  <c r="DD103" i="27" s="1"/>
  <c r="DD105" i="27" a="1"/>
  <c r="DD105" i="27" s="1"/>
  <c r="DD107" i="27" a="1"/>
  <c r="DD107" i="27" s="1"/>
  <c r="DD109" i="27" a="1"/>
  <c r="DD109" i="27" s="1"/>
  <c r="DD120" i="27" a="1"/>
  <c r="DD120" i="27" s="1"/>
  <c r="DD92" i="27" a="1"/>
  <c r="DD92" i="27" s="1"/>
  <c r="DD96" i="27" a="1"/>
  <c r="DD96" i="27" s="1"/>
  <c r="DD100" i="27" a="1"/>
  <c r="DD100" i="27" s="1"/>
  <c r="DD117" i="27" a="1"/>
  <c r="DD117" i="27" s="1"/>
  <c r="DD121" i="27" a="1"/>
  <c r="DD121" i="27" s="1"/>
  <c r="DD126" i="27" a="1"/>
  <c r="DD126" i="27" s="1"/>
  <c r="DD127" i="27" a="1"/>
  <c r="DD127" i="27" s="1"/>
  <c r="DD130" i="27" a="1"/>
  <c r="DD130" i="27" s="1"/>
  <c r="DD133" i="27" a="1"/>
  <c r="DD133" i="27" s="1"/>
  <c r="DD139" i="27" a="1"/>
  <c r="DD139" i="27" s="1"/>
  <c r="DD125" i="27" a="1"/>
  <c r="DD125" i="27" s="1"/>
  <c r="DD132" i="27" a="1"/>
  <c r="DD132" i="27" s="1"/>
  <c r="DD119" i="27" a="1"/>
  <c r="DD119" i="27" s="1"/>
  <c r="DD123" i="27" a="1"/>
  <c r="DD123" i="27" s="1"/>
  <c r="DD128" i="27" a="1"/>
  <c r="DD128" i="27" s="1"/>
  <c r="DD129" i="27" a="1"/>
  <c r="DD129" i="27" s="1"/>
  <c r="DD131" i="27" a="1"/>
  <c r="DD131" i="27" s="1"/>
  <c r="DD134" i="27" a="1"/>
  <c r="DD134" i="27" s="1"/>
  <c r="DD135" i="27" a="1"/>
  <c r="DD135" i="27" s="1"/>
  <c r="DD136" i="27" a="1"/>
  <c r="DD136" i="27" s="1"/>
  <c r="DD137" i="27" a="1"/>
  <c r="DD137" i="27" s="1"/>
  <c r="DD138" i="27" a="1"/>
  <c r="DD138" i="27" s="1"/>
  <c r="DD140" i="27" a="1"/>
  <c r="DD140" i="27" s="1"/>
  <c r="DD6" i="27" a="1"/>
  <c r="DD6" i="27" s="1"/>
  <c r="DA8" i="27" a="1"/>
  <c r="DA8" i="27" s="1"/>
  <c r="DA10" i="27" a="1"/>
  <c r="DA10" i="27" s="1"/>
  <c r="DA12" i="27" a="1"/>
  <c r="DA12" i="27" s="1"/>
  <c r="DA14" i="27" a="1"/>
  <c r="DA14" i="27" s="1"/>
  <c r="DA16" i="27" a="1"/>
  <c r="DA16" i="27" s="1"/>
  <c r="DA18" i="27" a="1"/>
  <c r="DA18" i="27" s="1"/>
  <c r="DA20" i="27" a="1"/>
  <c r="DA20" i="27" s="1"/>
  <c r="DA23" i="27" a="1"/>
  <c r="DA23" i="27" s="1"/>
  <c r="DA25" i="27" a="1"/>
  <c r="DA25" i="27" s="1"/>
  <c r="DA27" i="27" a="1"/>
  <c r="DA27" i="27" s="1"/>
  <c r="DA29" i="27" a="1"/>
  <c r="DA29" i="27" s="1"/>
  <c r="DA31" i="27" a="1"/>
  <c r="DA31" i="27" s="1"/>
  <c r="DA35" i="27" a="1"/>
  <c r="DA35" i="27" s="1"/>
  <c r="DA37" i="27" a="1"/>
  <c r="DA37" i="27" s="1"/>
  <c r="DA39" i="27" a="1"/>
  <c r="DA39" i="27" s="1"/>
  <c r="DA7" i="27" a="1"/>
  <c r="DA7" i="27" s="1"/>
  <c r="DA9" i="27" a="1"/>
  <c r="DA9" i="27" s="1"/>
  <c r="DA11" i="27" a="1"/>
  <c r="DA11" i="27" s="1"/>
  <c r="DA13" i="27" a="1"/>
  <c r="DA13" i="27" s="1"/>
  <c r="DA15" i="27" a="1"/>
  <c r="DA15" i="27" s="1"/>
  <c r="DA17" i="27" a="1"/>
  <c r="DA17" i="27" s="1"/>
  <c r="DA19" i="27" a="1"/>
  <c r="DA19" i="27" s="1"/>
  <c r="DA21" i="27" a="1"/>
  <c r="DA21" i="27" s="1"/>
  <c r="DA22" i="27" a="1"/>
  <c r="DA22" i="27" s="1"/>
  <c r="DA24" i="27" a="1"/>
  <c r="DA24" i="27" s="1"/>
  <c r="DA26" i="27" a="1"/>
  <c r="DA26" i="27" s="1"/>
  <c r="DA28" i="27" a="1"/>
  <c r="DA28" i="27" s="1"/>
  <c r="DA30" i="27" a="1"/>
  <c r="DA30" i="27" s="1"/>
  <c r="DA32" i="27" a="1"/>
  <c r="DA32" i="27" s="1"/>
  <c r="DA34" i="27" a="1"/>
  <c r="DA34" i="27" s="1"/>
  <c r="DA36" i="27" a="1"/>
  <c r="DA36" i="27" s="1"/>
  <c r="DA38" i="27" a="1"/>
  <c r="DA38" i="27" s="1"/>
  <c r="DA57" i="27" a="1"/>
  <c r="DA57" i="27" s="1"/>
  <c r="DA59" i="27" a="1"/>
  <c r="DA59" i="27" s="1"/>
  <c r="DA61" i="27" a="1"/>
  <c r="DA61" i="27" s="1"/>
  <c r="DA63" i="27" a="1"/>
  <c r="DA63" i="27" s="1"/>
  <c r="DA65" i="27" a="1"/>
  <c r="DA65" i="27" s="1"/>
  <c r="DA67" i="27" a="1"/>
  <c r="DA67" i="27" s="1"/>
  <c r="DA69" i="27" a="1"/>
  <c r="DA69" i="27" s="1"/>
  <c r="DA71" i="27" a="1"/>
  <c r="DA71" i="27" s="1"/>
  <c r="DA41" i="27" a="1"/>
  <c r="DA41" i="27" s="1"/>
  <c r="DA43" i="27" a="1"/>
  <c r="DA43" i="27" s="1"/>
  <c r="DA45" i="27" a="1"/>
  <c r="DA45" i="27" s="1"/>
  <c r="DA47" i="27" a="1"/>
  <c r="DA47" i="27" s="1"/>
  <c r="DA49" i="27" a="1"/>
  <c r="DA49" i="27" s="1"/>
  <c r="DA51" i="27" a="1"/>
  <c r="DA51" i="27" s="1"/>
  <c r="DA53" i="27" a="1"/>
  <c r="DA53" i="27" s="1"/>
  <c r="DA55" i="27" a="1"/>
  <c r="DA55" i="27" s="1"/>
  <c r="DA33" i="27" a="1"/>
  <c r="DA33" i="27" s="1"/>
  <c r="DA40" i="27" a="1"/>
  <c r="DA40" i="27" s="1"/>
  <c r="DA58" i="27" a="1"/>
  <c r="DA58" i="27" s="1"/>
  <c r="DA60" i="27" a="1"/>
  <c r="DA60" i="27" s="1"/>
  <c r="DA56" i="27" a="1"/>
  <c r="DA56" i="27" s="1"/>
  <c r="DA62" i="27" a="1"/>
  <c r="DA62" i="27" s="1"/>
  <c r="DA64" i="27" a="1"/>
  <c r="DA64" i="27" s="1"/>
  <c r="DA66" i="27" a="1"/>
  <c r="DA66" i="27" s="1"/>
  <c r="DA42" i="27" a="1"/>
  <c r="DA42" i="27" s="1"/>
  <c r="DA44" i="27" a="1"/>
  <c r="DA44" i="27" s="1"/>
  <c r="DA46" i="27" a="1"/>
  <c r="DA46" i="27" s="1"/>
  <c r="DA48" i="27" a="1"/>
  <c r="DA48" i="27" s="1"/>
  <c r="DA50" i="27" a="1"/>
  <c r="DA50" i="27" s="1"/>
  <c r="DA52" i="27" a="1"/>
  <c r="DA52" i="27" s="1"/>
  <c r="DA54" i="27" a="1"/>
  <c r="DA54" i="27" s="1"/>
  <c r="DA70" i="27" a="1"/>
  <c r="DA70" i="27" s="1"/>
  <c r="DA72" i="27" a="1"/>
  <c r="DA72" i="27" s="1"/>
  <c r="DA74" i="27" a="1"/>
  <c r="DA74" i="27" s="1"/>
  <c r="DA76" i="27" a="1"/>
  <c r="DA76" i="27" s="1"/>
  <c r="DA78" i="27" a="1"/>
  <c r="DA78" i="27" s="1"/>
  <c r="DA80" i="27" a="1"/>
  <c r="DA80" i="27" s="1"/>
  <c r="DA82" i="27" a="1"/>
  <c r="DA82" i="27" s="1"/>
  <c r="DA84" i="27" a="1"/>
  <c r="DA84" i="27" s="1"/>
  <c r="DA86" i="27" a="1"/>
  <c r="DA86" i="27" s="1"/>
  <c r="DA88" i="27" a="1"/>
  <c r="DA88" i="27" s="1"/>
  <c r="DA90" i="27" a="1"/>
  <c r="DA90" i="27" s="1"/>
  <c r="DA92" i="27" a="1"/>
  <c r="DA92" i="27" s="1"/>
  <c r="DA94" i="27" a="1"/>
  <c r="DA94" i="27" s="1"/>
  <c r="DA96" i="27" a="1"/>
  <c r="DA96" i="27" s="1"/>
  <c r="DA98" i="27" a="1"/>
  <c r="DA98" i="27" s="1"/>
  <c r="DA100" i="27" a="1"/>
  <c r="DA100" i="27" s="1"/>
  <c r="DA73" i="27" a="1"/>
  <c r="DA73" i="27" s="1"/>
  <c r="DA75" i="27" a="1"/>
  <c r="DA75" i="27" s="1"/>
  <c r="DA77" i="27" a="1"/>
  <c r="DA77" i="27" s="1"/>
  <c r="DA79" i="27" a="1"/>
  <c r="DA79" i="27" s="1"/>
  <c r="DA81" i="27" a="1"/>
  <c r="DA81" i="27" s="1"/>
  <c r="DA83" i="27" a="1"/>
  <c r="DA83" i="27" s="1"/>
  <c r="DA85" i="27" a="1"/>
  <c r="DA85" i="27" s="1"/>
  <c r="DA87" i="27" a="1"/>
  <c r="DA87" i="27" s="1"/>
  <c r="DA89" i="27" a="1"/>
  <c r="DA89" i="27" s="1"/>
  <c r="DA68" i="27" a="1"/>
  <c r="DA68" i="27" s="1"/>
  <c r="DA101" i="27" a="1"/>
  <c r="DA101" i="27" s="1"/>
  <c r="DA103" i="27" a="1"/>
  <c r="DA103" i="27" s="1"/>
  <c r="DA105" i="27" a="1"/>
  <c r="DA105" i="27" s="1"/>
  <c r="DA107" i="27" a="1"/>
  <c r="DA107" i="27" s="1"/>
  <c r="DA109" i="27" a="1"/>
  <c r="DA109" i="27" s="1"/>
  <c r="DA120" i="27" a="1"/>
  <c r="DA120" i="27" s="1"/>
  <c r="DA91" i="27" a="1"/>
  <c r="DA91" i="27" s="1"/>
  <c r="DA95" i="27" a="1"/>
  <c r="DA95" i="27" s="1"/>
  <c r="DA99" i="27" a="1"/>
  <c r="DA99" i="27" s="1"/>
  <c r="DA111" i="27" a="1"/>
  <c r="DA111" i="27" s="1"/>
  <c r="DA112" i="27" a="1"/>
  <c r="DA112" i="27" s="1"/>
  <c r="DA113" i="27" a="1"/>
  <c r="DA113" i="27" s="1"/>
  <c r="DA114" i="27" a="1"/>
  <c r="DA114" i="27" s="1"/>
  <c r="DA115" i="27" a="1"/>
  <c r="DA115" i="27" s="1"/>
  <c r="DA102" i="27" a="1"/>
  <c r="DA102" i="27" s="1"/>
  <c r="DA104" i="27" a="1"/>
  <c r="DA104" i="27" s="1"/>
  <c r="DA106" i="27" a="1"/>
  <c r="DA106" i="27" s="1"/>
  <c r="DA108" i="27" a="1"/>
  <c r="DA108" i="27" s="1"/>
  <c r="DA110" i="27" a="1"/>
  <c r="DA110" i="27" s="1"/>
  <c r="DA118" i="27" a="1"/>
  <c r="DA118" i="27" s="1"/>
  <c r="DA122" i="27" a="1"/>
  <c r="DA122" i="27" s="1"/>
  <c r="DA93" i="27" a="1"/>
  <c r="DA93" i="27" s="1"/>
  <c r="DA97" i="27" a="1"/>
  <c r="DA97" i="27" s="1"/>
  <c r="DA119" i="27" a="1"/>
  <c r="DA119" i="27" s="1"/>
  <c r="DA123" i="27" a="1"/>
  <c r="DA123" i="27" s="1"/>
  <c r="DA125" i="27" a="1"/>
  <c r="DA125" i="27" s="1"/>
  <c r="DA131" i="27" a="1"/>
  <c r="DA131" i="27" s="1"/>
  <c r="DA140" i="27" a="1"/>
  <c r="DA140" i="27" s="1"/>
  <c r="DA124" i="27" a="1"/>
  <c r="DA124" i="27" s="1"/>
  <c r="DA128" i="27" a="1"/>
  <c r="DA128" i="27" s="1"/>
  <c r="DA129" i="27" a="1"/>
  <c r="DA129" i="27" s="1"/>
  <c r="DA134" i="27" a="1"/>
  <c r="DA134" i="27" s="1"/>
  <c r="DA135" i="27" a="1"/>
  <c r="DA135" i="27" s="1"/>
  <c r="DA136" i="27" a="1"/>
  <c r="DA136" i="27" s="1"/>
  <c r="DA137" i="27" a="1"/>
  <c r="DA137" i="27" s="1"/>
  <c r="DA138" i="27" a="1"/>
  <c r="DA138" i="27" s="1"/>
  <c r="DA6" i="27" a="1"/>
  <c r="DA6" i="27" s="1"/>
  <c r="DA127" i="27" a="1"/>
  <c r="DA127" i="27" s="1"/>
  <c r="DA130" i="27" a="1"/>
  <c r="DA130" i="27" s="1"/>
  <c r="DA133" i="27" a="1"/>
  <c r="DA133" i="27" s="1"/>
  <c r="DA139" i="27" a="1"/>
  <c r="DA139" i="27" s="1"/>
  <c r="DA116" i="27" a="1"/>
  <c r="DA116" i="27" s="1"/>
  <c r="DA117" i="27" a="1"/>
  <c r="DA117" i="27" s="1"/>
  <c r="DA121" i="27" a="1"/>
  <c r="DA121" i="27" s="1"/>
  <c r="DA126" i="27" a="1"/>
  <c r="DA126" i="27" s="1"/>
  <c r="DA132" i="27" a="1"/>
  <c r="DA132" i="27" s="1"/>
  <c r="CU17" i="27" a="1"/>
  <c r="CU17" i="27" s="1"/>
  <c r="DF8" i="27" a="1"/>
  <c r="DF8" i="27" s="1"/>
  <c r="DF10" i="27" a="1"/>
  <c r="DF10" i="27" s="1"/>
  <c r="DF12" i="27" a="1"/>
  <c r="DF12" i="27" s="1"/>
  <c r="DF14" i="27" a="1"/>
  <c r="DF14" i="27" s="1"/>
  <c r="DF16" i="27" a="1"/>
  <c r="DF16" i="27" s="1"/>
  <c r="DF18" i="27" a="1"/>
  <c r="DF18" i="27" s="1"/>
  <c r="DF20" i="27" a="1"/>
  <c r="DF20" i="27" s="1"/>
  <c r="DF21" i="27" a="1"/>
  <c r="DF21" i="27" s="1"/>
  <c r="DF23" i="27" a="1"/>
  <c r="DF23" i="27" s="1"/>
  <c r="DF25" i="27" a="1"/>
  <c r="DF25" i="27" s="1"/>
  <c r="DF27" i="27" a="1"/>
  <c r="DF27" i="27" s="1"/>
  <c r="DF29" i="27" a="1"/>
  <c r="DF29" i="27" s="1"/>
  <c r="DF31" i="27" a="1"/>
  <c r="DF31" i="27" s="1"/>
  <c r="DF7" i="27" a="1"/>
  <c r="DF7" i="27" s="1"/>
  <c r="DF9" i="27" a="1"/>
  <c r="DF9" i="27" s="1"/>
  <c r="DF11" i="27" a="1"/>
  <c r="DF11" i="27" s="1"/>
  <c r="DF13" i="27" a="1"/>
  <c r="DF13" i="27" s="1"/>
  <c r="DF15" i="27" a="1"/>
  <c r="DF15" i="27" s="1"/>
  <c r="DF17" i="27" a="1"/>
  <c r="DF17" i="27" s="1"/>
  <c r="DF19" i="27" a="1"/>
  <c r="DF19" i="27" s="1"/>
  <c r="DF22" i="27" a="1"/>
  <c r="DF22" i="27" s="1"/>
  <c r="DF24" i="27" a="1"/>
  <c r="DF24" i="27" s="1"/>
  <c r="DF26" i="27" a="1"/>
  <c r="DF26" i="27" s="1"/>
  <c r="DF28" i="27" a="1"/>
  <c r="DF28" i="27" s="1"/>
  <c r="DF30" i="27" a="1"/>
  <c r="DF30" i="27" s="1"/>
  <c r="DF32" i="27" a="1"/>
  <c r="DF32" i="27" s="1"/>
  <c r="DF34" i="27" a="1"/>
  <c r="DF34" i="27" s="1"/>
  <c r="DF36" i="27" a="1"/>
  <c r="DF36" i="27" s="1"/>
  <c r="DF38" i="27" a="1"/>
  <c r="DF38" i="27" s="1"/>
  <c r="DF35" i="27" a="1"/>
  <c r="DF35" i="27" s="1"/>
  <c r="DF40" i="27" a="1"/>
  <c r="DF40" i="27" s="1"/>
  <c r="DF57" i="27" a="1"/>
  <c r="DF57" i="27" s="1"/>
  <c r="DF61" i="27" a="1"/>
  <c r="DF61" i="27" s="1"/>
  <c r="DF63" i="27" a="1"/>
  <c r="DF63" i="27" s="1"/>
  <c r="DF65" i="27" a="1"/>
  <c r="DF65" i="27" s="1"/>
  <c r="DF67" i="27" a="1"/>
  <c r="DF67" i="27" s="1"/>
  <c r="DF69" i="27" a="1"/>
  <c r="DF69" i="27" s="1"/>
  <c r="DF55" i="27" a="1"/>
  <c r="DF55" i="27" s="1"/>
  <c r="DF59" i="27" a="1"/>
  <c r="DF59" i="27" s="1"/>
  <c r="DF41" i="27" a="1"/>
  <c r="DF41" i="27" s="1"/>
  <c r="DF43" i="27" a="1"/>
  <c r="DF43" i="27" s="1"/>
  <c r="DF45" i="27" a="1"/>
  <c r="DF45" i="27" s="1"/>
  <c r="DF47" i="27" a="1"/>
  <c r="DF47" i="27" s="1"/>
  <c r="DF49" i="27" a="1"/>
  <c r="DF49" i="27" s="1"/>
  <c r="DF51" i="27" a="1"/>
  <c r="DF51" i="27" s="1"/>
  <c r="DF53" i="27" a="1"/>
  <c r="DF53" i="27" s="1"/>
  <c r="DF33" i="27" a="1"/>
  <c r="DF33" i="27" s="1"/>
  <c r="DF37" i="27" a="1"/>
  <c r="DF37" i="27" s="1"/>
  <c r="DF39" i="27" a="1"/>
  <c r="DF39" i="27" s="1"/>
  <c r="DF58" i="27" a="1"/>
  <c r="DF58" i="27" s="1"/>
  <c r="DF60" i="27" a="1"/>
  <c r="DF60" i="27" s="1"/>
  <c r="DF62" i="27" a="1"/>
  <c r="DF62" i="27" s="1"/>
  <c r="DF64" i="27" a="1"/>
  <c r="DF64" i="27" s="1"/>
  <c r="DF66" i="27" a="1"/>
  <c r="DF66" i="27" s="1"/>
  <c r="DF42" i="27" a="1"/>
  <c r="DF42" i="27" s="1"/>
  <c r="DF44" i="27" a="1"/>
  <c r="DF44" i="27" s="1"/>
  <c r="DF46" i="27" a="1"/>
  <c r="DF46" i="27" s="1"/>
  <c r="DF48" i="27" a="1"/>
  <c r="DF48" i="27" s="1"/>
  <c r="DF50" i="27" a="1"/>
  <c r="DF50" i="27" s="1"/>
  <c r="DF52" i="27" a="1"/>
  <c r="DF52" i="27" s="1"/>
  <c r="DF54" i="27" a="1"/>
  <c r="DF54" i="27" s="1"/>
  <c r="DF56" i="27" a="1"/>
  <c r="DF56" i="27" s="1"/>
  <c r="DF72" i="27" a="1"/>
  <c r="DF72" i="27" s="1"/>
  <c r="DF74" i="27" a="1"/>
  <c r="DF74" i="27" s="1"/>
  <c r="DF76" i="27" a="1"/>
  <c r="DF76" i="27" s="1"/>
  <c r="DF78" i="27" a="1"/>
  <c r="DF78" i="27" s="1"/>
  <c r="DF80" i="27" a="1"/>
  <c r="DF80" i="27" s="1"/>
  <c r="DF82" i="27" a="1"/>
  <c r="DF82" i="27" s="1"/>
  <c r="DF84" i="27" a="1"/>
  <c r="DF84" i="27" s="1"/>
  <c r="DF86" i="27" a="1"/>
  <c r="DF86" i="27" s="1"/>
  <c r="DF88" i="27" a="1"/>
  <c r="DF88" i="27" s="1"/>
  <c r="DF90" i="27" a="1"/>
  <c r="DF90" i="27" s="1"/>
  <c r="DF92" i="27" a="1"/>
  <c r="DF92" i="27" s="1"/>
  <c r="DF94" i="27" a="1"/>
  <c r="DF94" i="27" s="1"/>
  <c r="DF96" i="27" a="1"/>
  <c r="DF96" i="27" s="1"/>
  <c r="DF98" i="27" a="1"/>
  <c r="DF98" i="27" s="1"/>
  <c r="DF100" i="27" a="1"/>
  <c r="DF100" i="27" s="1"/>
  <c r="DF68" i="27" a="1"/>
  <c r="DF68" i="27" s="1"/>
  <c r="DF71" i="27" a="1"/>
  <c r="DF71" i="27" s="1"/>
  <c r="DF73" i="27" a="1"/>
  <c r="DF73" i="27" s="1"/>
  <c r="DF75" i="27" a="1"/>
  <c r="DF75" i="27" s="1"/>
  <c r="DF77" i="27" a="1"/>
  <c r="DF77" i="27" s="1"/>
  <c r="DF79" i="27" a="1"/>
  <c r="DF79" i="27" s="1"/>
  <c r="DF81" i="27" a="1"/>
  <c r="DF81" i="27" s="1"/>
  <c r="DF83" i="27" a="1"/>
  <c r="DF83" i="27" s="1"/>
  <c r="DF85" i="27" a="1"/>
  <c r="DF85" i="27" s="1"/>
  <c r="DF87" i="27" a="1"/>
  <c r="DF87" i="27" s="1"/>
  <c r="DF70" i="27" a="1"/>
  <c r="DF70" i="27" s="1"/>
  <c r="DF89" i="27" a="1"/>
  <c r="DF89" i="27" s="1"/>
  <c r="DF101" i="27" a="1"/>
  <c r="DF101" i="27" s="1"/>
  <c r="DF103" i="27" a="1"/>
  <c r="DF103" i="27" s="1"/>
  <c r="DF105" i="27" a="1"/>
  <c r="DF105" i="27" s="1"/>
  <c r="DF107" i="27" a="1"/>
  <c r="DF107" i="27" s="1"/>
  <c r="DF109" i="27" a="1"/>
  <c r="DF109" i="27" s="1"/>
  <c r="DF120" i="27" a="1"/>
  <c r="DF120" i="27" s="1"/>
  <c r="DF123" i="27" a="1"/>
  <c r="DF123" i="27" s="1"/>
  <c r="DF125" i="27" a="1"/>
  <c r="DF125" i="27" s="1"/>
  <c r="DF126" i="27" a="1"/>
  <c r="DF126" i="27" s="1"/>
  <c r="DF127" i="27" a="1"/>
  <c r="DF127" i="27" s="1"/>
  <c r="DF128" i="27" a="1"/>
  <c r="DF128" i="27" s="1"/>
  <c r="DF129" i="27" a="1"/>
  <c r="DF129" i="27" s="1"/>
  <c r="DF130" i="27" a="1"/>
  <c r="DF130" i="27" s="1"/>
  <c r="DF131" i="27" a="1"/>
  <c r="DF131" i="27" s="1"/>
  <c r="DF132" i="27" a="1"/>
  <c r="DF132" i="27" s="1"/>
  <c r="DF133" i="27" a="1"/>
  <c r="DF133" i="27" s="1"/>
  <c r="DF93" i="27" a="1"/>
  <c r="DF93" i="27" s="1"/>
  <c r="DF97" i="27" a="1"/>
  <c r="DF97" i="27" s="1"/>
  <c r="DF102" i="27" a="1"/>
  <c r="DF102" i="27" s="1"/>
  <c r="DF104" i="27" a="1"/>
  <c r="DF104" i="27" s="1"/>
  <c r="DF106" i="27" a="1"/>
  <c r="DF106" i="27" s="1"/>
  <c r="DF108" i="27" a="1"/>
  <c r="DF108" i="27" s="1"/>
  <c r="DF110" i="27" a="1"/>
  <c r="DF110" i="27" s="1"/>
  <c r="DF111" i="27" a="1"/>
  <c r="DF111" i="27" s="1"/>
  <c r="DF112" i="27" a="1"/>
  <c r="DF112" i="27" s="1"/>
  <c r="DF113" i="27" a="1"/>
  <c r="DF113" i="27" s="1"/>
  <c r="DF114" i="27" a="1"/>
  <c r="DF114" i="27" s="1"/>
  <c r="DF91" i="27" a="1"/>
  <c r="DF91" i="27" s="1"/>
  <c r="DF95" i="27" a="1"/>
  <c r="DF95" i="27" s="1"/>
  <c r="DF99" i="27" a="1"/>
  <c r="DF99" i="27" s="1"/>
  <c r="DF119" i="27" a="1"/>
  <c r="DF119" i="27" s="1"/>
  <c r="DF118" i="27" a="1"/>
  <c r="DF118" i="27" s="1"/>
  <c r="DF122" i="27" a="1"/>
  <c r="DF122" i="27" s="1"/>
  <c r="DF117" i="27" a="1"/>
  <c r="DF117" i="27" s="1"/>
  <c r="DF121" i="27" a="1"/>
  <c r="DF121" i="27" s="1"/>
  <c r="DF134" i="27" a="1"/>
  <c r="DF134" i="27" s="1"/>
  <c r="DF135" i="27" a="1"/>
  <c r="DF135" i="27" s="1"/>
  <c r="DF136" i="27" a="1"/>
  <c r="DF136" i="27" s="1"/>
  <c r="DF137" i="27" a="1"/>
  <c r="DF137" i="27" s="1"/>
  <c r="DF138" i="27" a="1"/>
  <c r="DF138" i="27" s="1"/>
  <c r="DF140" i="27" a="1"/>
  <c r="DF140" i="27" s="1"/>
  <c r="DF6" i="27" a="1"/>
  <c r="DF6" i="27" s="1"/>
  <c r="DF115" i="27" a="1"/>
  <c r="DF115" i="27" s="1"/>
  <c r="DF116" i="27" a="1"/>
  <c r="DF116" i="27" s="1"/>
  <c r="DF124" i="27" a="1"/>
  <c r="DF124" i="27" s="1"/>
  <c r="DF139" i="27" a="1"/>
  <c r="DF139" i="27" s="1"/>
  <c r="DE8" i="27" a="1"/>
  <c r="DE8" i="27" s="1"/>
  <c r="DE10" i="27" a="1"/>
  <c r="DE10" i="27" s="1"/>
  <c r="DE12" i="27" a="1"/>
  <c r="DE12" i="27" s="1"/>
  <c r="DE14" i="27" a="1"/>
  <c r="DE14" i="27" s="1"/>
  <c r="DE16" i="27" a="1"/>
  <c r="DE16" i="27" s="1"/>
  <c r="DE18" i="27" a="1"/>
  <c r="DE18" i="27" s="1"/>
  <c r="DE20" i="27" a="1"/>
  <c r="DE20" i="27" s="1"/>
  <c r="DE23" i="27" a="1"/>
  <c r="DE23" i="27" s="1"/>
  <c r="DE25" i="27" a="1"/>
  <c r="DE25" i="27" s="1"/>
  <c r="DE27" i="27" a="1"/>
  <c r="DE27" i="27" s="1"/>
  <c r="DE29" i="27" a="1"/>
  <c r="DE29" i="27" s="1"/>
  <c r="DE31" i="27" a="1"/>
  <c r="DE31" i="27" s="1"/>
  <c r="DE35" i="27" a="1"/>
  <c r="DE35" i="27" s="1"/>
  <c r="DE37" i="27" a="1"/>
  <c r="DE37" i="27" s="1"/>
  <c r="DE39" i="27" a="1"/>
  <c r="DE39" i="27" s="1"/>
  <c r="DE33" i="27" a="1"/>
  <c r="DE33" i="27" s="1"/>
  <c r="DE7" i="27" a="1"/>
  <c r="DE7" i="27" s="1"/>
  <c r="DE9" i="27" a="1"/>
  <c r="DE9" i="27" s="1"/>
  <c r="DE11" i="27" a="1"/>
  <c r="DE11" i="27" s="1"/>
  <c r="DE13" i="27" a="1"/>
  <c r="DE13" i="27" s="1"/>
  <c r="DE15" i="27" a="1"/>
  <c r="DE15" i="27" s="1"/>
  <c r="DE17" i="27" a="1"/>
  <c r="DE17" i="27" s="1"/>
  <c r="DE19" i="27" a="1"/>
  <c r="DE19" i="27" s="1"/>
  <c r="DE22" i="27" a="1"/>
  <c r="DE22" i="27" s="1"/>
  <c r="DE24" i="27" a="1"/>
  <c r="DE24" i="27" s="1"/>
  <c r="DE26" i="27" a="1"/>
  <c r="DE26" i="27" s="1"/>
  <c r="DE28" i="27" a="1"/>
  <c r="DE28" i="27" s="1"/>
  <c r="DE30" i="27" a="1"/>
  <c r="DE30" i="27" s="1"/>
  <c r="DE32" i="27" a="1"/>
  <c r="DE32" i="27" s="1"/>
  <c r="DE21" i="27" a="1"/>
  <c r="DE21" i="27" s="1"/>
  <c r="DE55" i="27" a="1"/>
  <c r="DE55" i="27" s="1"/>
  <c r="DE59" i="27" a="1"/>
  <c r="DE59" i="27" s="1"/>
  <c r="DE61" i="27" a="1"/>
  <c r="DE61" i="27" s="1"/>
  <c r="DE63" i="27" a="1"/>
  <c r="DE63" i="27" s="1"/>
  <c r="DE65" i="27" a="1"/>
  <c r="DE65" i="27" s="1"/>
  <c r="DE67" i="27" a="1"/>
  <c r="DE67" i="27" s="1"/>
  <c r="DE69" i="27" a="1"/>
  <c r="DE69" i="27" s="1"/>
  <c r="DE34" i="27" a="1"/>
  <c r="DE34" i="27" s="1"/>
  <c r="DE41" i="27" a="1"/>
  <c r="DE41" i="27" s="1"/>
  <c r="DE43" i="27" a="1"/>
  <c r="DE43" i="27" s="1"/>
  <c r="DE45" i="27" a="1"/>
  <c r="DE45" i="27" s="1"/>
  <c r="DE47" i="27" a="1"/>
  <c r="DE47" i="27" s="1"/>
  <c r="DE49" i="27" a="1"/>
  <c r="DE49" i="27" s="1"/>
  <c r="DE51" i="27" a="1"/>
  <c r="DE51" i="27" s="1"/>
  <c r="DE53" i="27" a="1"/>
  <c r="DE53" i="27" s="1"/>
  <c r="DE58" i="27" a="1"/>
  <c r="DE58" i="27" s="1"/>
  <c r="DE38" i="27" a="1"/>
  <c r="DE38" i="27" s="1"/>
  <c r="DE56" i="27" a="1"/>
  <c r="DE56" i="27" s="1"/>
  <c r="DE60" i="27" a="1"/>
  <c r="DE60" i="27" s="1"/>
  <c r="DE42" i="27" a="1"/>
  <c r="DE42" i="27" s="1"/>
  <c r="DE44" i="27" a="1"/>
  <c r="DE44" i="27" s="1"/>
  <c r="DE46" i="27" a="1"/>
  <c r="DE46" i="27" s="1"/>
  <c r="DE48" i="27" a="1"/>
  <c r="DE48" i="27" s="1"/>
  <c r="DE50" i="27" a="1"/>
  <c r="DE50" i="27" s="1"/>
  <c r="DE52" i="27" a="1"/>
  <c r="DE52" i="27" s="1"/>
  <c r="DE54" i="27" a="1"/>
  <c r="DE54" i="27" s="1"/>
  <c r="DE36" i="27" a="1"/>
  <c r="DE36" i="27" s="1"/>
  <c r="DE40" i="27" a="1"/>
  <c r="DE40" i="27" s="1"/>
  <c r="DE57" i="27" a="1"/>
  <c r="DE57" i="27" s="1"/>
  <c r="DE66" i="27" a="1"/>
  <c r="DE66" i="27" s="1"/>
  <c r="DE68" i="27" a="1"/>
  <c r="DE68" i="27" s="1"/>
  <c r="DE64" i="27" a="1"/>
  <c r="DE64" i="27" s="1"/>
  <c r="DE71" i="27" a="1"/>
  <c r="DE71" i="27" s="1"/>
  <c r="DE73" i="27" a="1"/>
  <c r="DE73" i="27" s="1"/>
  <c r="DE75" i="27" a="1"/>
  <c r="DE75" i="27" s="1"/>
  <c r="DE77" i="27" a="1"/>
  <c r="DE77" i="27" s="1"/>
  <c r="DE79" i="27" a="1"/>
  <c r="DE79" i="27" s="1"/>
  <c r="DE81" i="27" a="1"/>
  <c r="DE81" i="27" s="1"/>
  <c r="DE83" i="27" a="1"/>
  <c r="DE83" i="27" s="1"/>
  <c r="DE85" i="27" a="1"/>
  <c r="DE85" i="27" s="1"/>
  <c r="DE87" i="27" a="1"/>
  <c r="DE87" i="27" s="1"/>
  <c r="DE89" i="27" a="1"/>
  <c r="DE89" i="27" s="1"/>
  <c r="DE70" i="27" a="1"/>
  <c r="DE70" i="27" s="1"/>
  <c r="DE62" i="27" a="1"/>
  <c r="DE62" i="27" s="1"/>
  <c r="DE72" i="27" a="1"/>
  <c r="DE72" i="27" s="1"/>
  <c r="DE74" i="27" a="1"/>
  <c r="DE74" i="27" s="1"/>
  <c r="DE76" i="27" a="1"/>
  <c r="DE76" i="27" s="1"/>
  <c r="DE78" i="27" a="1"/>
  <c r="DE78" i="27" s="1"/>
  <c r="DE80" i="27" a="1"/>
  <c r="DE80" i="27" s="1"/>
  <c r="DE82" i="27" a="1"/>
  <c r="DE82" i="27" s="1"/>
  <c r="DE84" i="27" a="1"/>
  <c r="DE84" i="27" s="1"/>
  <c r="DE86" i="27" a="1"/>
  <c r="DE86" i="27" s="1"/>
  <c r="DE88" i="27" a="1"/>
  <c r="DE88" i="27" s="1"/>
  <c r="DE90" i="27" a="1"/>
  <c r="DE90" i="27" s="1"/>
  <c r="DE92" i="27" a="1"/>
  <c r="DE92" i="27" s="1"/>
  <c r="DE94" i="27" a="1"/>
  <c r="DE94" i="27" s="1"/>
  <c r="DE96" i="27" a="1"/>
  <c r="DE96" i="27" s="1"/>
  <c r="DE98" i="27" a="1"/>
  <c r="DE98" i="27" s="1"/>
  <c r="DE100" i="27" a="1"/>
  <c r="DE100" i="27" s="1"/>
  <c r="DE126" i="27" a="1"/>
  <c r="DE126" i="27" s="1"/>
  <c r="DE127" i="27" a="1"/>
  <c r="DE127" i="27" s="1"/>
  <c r="DE128" i="27" a="1"/>
  <c r="DE128" i="27" s="1"/>
  <c r="DE129" i="27" a="1"/>
  <c r="DE129" i="27" s="1"/>
  <c r="DE93" i="27" a="1"/>
  <c r="DE93" i="27" s="1"/>
  <c r="DE97" i="27" a="1"/>
  <c r="DE97" i="27" s="1"/>
  <c r="DE117" i="27" a="1"/>
  <c r="DE117" i="27" s="1"/>
  <c r="DE121" i="27" a="1"/>
  <c r="DE121" i="27" s="1"/>
  <c r="DE124" i="27" a="1"/>
  <c r="DE124" i="27" s="1"/>
  <c r="DE102" i="27" a="1"/>
  <c r="DE102" i="27" s="1"/>
  <c r="DE104" i="27" a="1"/>
  <c r="DE104" i="27" s="1"/>
  <c r="DE106" i="27" a="1"/>
  <c r="DE106" i="27" s="1"/>
  <c r="DE108" i="27" a="1"/>
  <c r="DE108" i="27" s="1"/>
  <c r="DE110" i="27" a="1"/>
  <c r="DE110" i="27" s="1"/>
  <c r="DE111" i="27" a="1"/>
  <c r="DE111" i="27" s="1"/>
  <c r="DE112" i="27" a="1"/>
  <c r="DE112" i="27" s="1"/>
  <c r="DE113" i="27" a="1"/>
  <c r="DE113" i="27" s="1"/>
  <c r="DE114" i="27" a="1"/>
  <c r="DE114" i="27" s="1"/>
  <c r="DE91" i="27" a="1"/>
  <c r="DE91" i="27" s="1"/>
  <c r="DE95" i="27" a="1"/>
  <c r="DE95" i="27" s="1"/>
  <c r="DE99" i="27" a="1"/>
  <c r="DE99" i="27" s="1"/>
  <c r="DE119" i="27" a="1"/>
  <c r="DE119" i="27" s="1"/>
  <c r="DE101" i="27" a="1"/>
  <c r="DE101" i="27" s="1"/>
  <c r="DE103" i="27" a="1"/>
  <c r="DE103" i="27" s="1"/>
  <c r="DE105" i="27" a="1"/>
  <c r="DE105" i="27" s="1"/>
  <c r="DE107" i="27" a="1"/>
  <c r="DE107" i="27" s="1"/>
  <c r="DE109" i="27" a="1"/>
  <c r="DE109" i="27" s="1"/>
  <c r="DE120" i="27" a="1"/>
  <c r="DE120" i="27" s="1"/>
  <c r="DE123" i="27" a="1"/>
  <c r="DE123" i="27" s="1"/>
  <c r="DE125" i="27" a="1"/>
  <c r="DE125" i="27" s="1"/>
  <c r="DE134" i="27" a="1"/>
  <c r="DE134" i="27" s="1"/>
  <c r="DE135" i="27" a="1"/>
  <c r="DE135" i="27" s="1"/>
  <c r="DE136" i="27" a="1"/>
  <c r="DE136" i="27" s="1"/>
  <c r="DE137" i="27" a="1"/>
  <c r="DE137" i="27" s="1"/>
  <c r="DE138" i="27" a="1"/>
  <c r="DE138" i="27" s="1"/>
  <c r="DE140" i="27" a="1"/>
  <c r="DE140" i="27" s="1"/>
  <c r="DE6" i="27" a="1"/>
  <c r="DE6" i="27" s="1"/>
  <c r="DE115" i="27" a="1"/>
  <c r="DE115" i="27" s="1"/>
  <c r="DE116" i="27" a="1"/>
  <c r="DE116" i="27" s="1"/>
  <c r="DE130" i="27" a="1"/>
  <c r="DE130" i="27" s="1"/>
  <c r="DE133" i="27" a="1"/>
  <c r="DE133" i="27" s="1"/>
  <c r="DE132" i="27" a="1"/>
  <c r="DE132" i="27" s="1"/>
  <c r="DE139" i="27" a="1"/>
  <c r="DE139" i="27" s="1"/>
  <c r="DE118" i="27" a="1"/>
  <c r="DE118" i="27" s="1"/>
  <c r="DE122" i="27" a="1"/>
  <c r="DE122" i="27" s="1"/>
  <c r="DE131" i="27" a="1"/>
  <c r="DE131" i="27" s="1"/>
  <c r="CZ23" i="27" a="1"/>
  <c r="CZ23" i="27" s="1"/>
  <c r="CZ25" i="27" a="1"/>
  <c r="CZ25" i="27" s="1"/>
  <c r="CZ27" i="27" a="1"/>
  <c r="CZ27" i="27" s="1"/>
  <c r="CZ29" i="27" a="1"/>
  <c r="CZ29" i="27" s="1"/>
  <c r="CZ31" i="27" a="1"/>
  <c r="CZ31" i="27" s="1"/>
  <c r="CZ35" i="27" a="1"/>
  <c r="CZ35" i="27" s="1"/>
  <c r="CZ37" i="27" a="1"/>
  <c r="CZ37" i="27" s="1"/>
  <c r="CZ39" i="27" a="1"/>
  <c r="CZ39" i="27" s="1"/>
  <c r="CZ33" i="27" a="1"/>
  <c r="CZ33" i="27" s="1"/>
  <c r="CZ7" i="27" a="1"/>
  <c r="CZ7" i="27" s="1"/>
  <c r="CZ9" i="27" a="1"/>
  <c r="CZ9" i="27" s="1"/>
  <c r="CZ11" i="27" a="1"/>
  <c r="CZ11" i="27" s="1"/>
  <c r="CZ13" i="27" a="1"/>
  <c r="CZ13" i="27" s="1"/>
  <c r="CZ15" i="27" a="1"/>
  <c r="CZ15" i="27" s="1"/>
  <c r="CZ17" i="27" a="1"/>
  <c r="CZ17" i="27" s="1"/>
  <c r="CZ19" i="27" a="1"/>
  <c r="CZ19" i="27" s="1"/>
  <c r="CZ21" i="27" a="1"/>
  <c r="CZ21" i="27" s="1"/>
  <c r="CZ22" i="27" a="1"/>
  <c r="CZ22" i="27" s="1"/>
  <c r="CZ24" i="27" a="1"/>
  <c r="CZ24" i="27" s="1"/>
  <c r="CZ26" i="27" a="1"/>
  <c r="CZ26" i="27" s="1"/>
  <c r="CZ28" i="27" a="1"/>
  <c r="CZ28" i="27" s="1"/>
  <c r="CZ30" i="27" a="1"/>
  <c r="CZ30" i="27" s="1"/>
  <c r="CZ32" i="27" a="1"/>
  <c r="CZ32" i="27" s="1"/>
  <c r="CZ34" i="27" a="1"/>
  <c r="CZ34" i="27" s="1"/>
  <c r="CZ8" i="27" a="1"/>
  <c r="CZ8" i="27" s="1"/>
  <c r="CZ10" i="27" a="1"/>
  <c r="CZ10" i="27" s="1"/>
  <c r="CZ12" i="27" a="1"/>
  <c r="CZ12" i="27" s="1"/>
  <c r="CZ14" i="27" a="1"/>
  <c r="CZ14" i="27" s="1"/>
  <c r="CZ16" i="27" a="1"/>
  <c r="CZ16" i="27" s="1"/>
  <c r="CZ18" i="27" a="1"/>
  <c r="CZ18" i="27" s="1"/>
  <c r="CZ20" i="27" a="1"/>
  <c r="CZ20" i="27" s="1"/>
  <c r="CZ57" i="27" a="1"/>
  <c r="CZ57" i="27" s="1"/>
  <c r="CZ59" i="27" a="1"/>
  <c r="CZ59" i="27" s="1"/>
  <c r="CZ38" i="27" a="1"/>
  <c r="CZ38" i="27" s="1"/>
  <c r="CZ41" i="27" a="1"/>
  <c r="CZ41" i="27" s="1"/>
  <c r="CZ43" i="27" a="1"/>
  <c r="CZ43" i="27" s="1"/>
  <c r="CZ45" i="27" a="1"/>
  <c r="CZ45" i="27" s="1"/>
  <c r="CZ47" i="27" a="1"/>
  <c r="CZ47" i="27" s="1"/>
  <c r="CZ49" i="27" a="1"/>
  <c r="CZ49" i="27" s="1"/>
  <c r="CZ51" i="27" a="1"/>
  <c r="CZ51" i="27" s="1"/>
  <c r="CZ53" i="27" a="1"/>
  <c r="CZ53" i="27" s="1"/>
  <c r="CZ55" i="27" a="1"/>
  <c r="CZ55" i="27" s="1"/>
  <c r="CZ40" i="27" a="1"/>
  <c r="CZ40" i="27" s="1"/>
  <c r="CZ58" i="27" a="1"/>
  <c r="CZ58" i="27" s="1"/>
  <c r="CZ60" i="27" a="1"/>
  <c r="CZ60" i="27" s="1"/>
  <c r="CZ36" i="27" a="1"/>
  <c r="CZ36" i="27" s="1"/>
  <c r="CZ56" i="27" a="1"/>
  <c r="CZ56" i="27" s="1"/>
  <c r="CZ42" i="27" a="1"/>
  <c r="CZ42" i="27" s="1"/>
  <c r="CZ44" i="27" a="1"/>
  <c r="CZ44" i="27" s="1"/>
  <c r="CZ46" i="27" a="1"/>
  <c r="CZ46" i="27" s="1"/>
  <c r="CZ48" i="27" a="1"/>
  <c r="CZ48" i="27" s="1"/>
  <c r="CZ50" i="27" a="1"/>
  <c r="CZ50" i="27" s="1"/>
  <c r="CZ52" i="27" a="1"/>
  <c r="CZ52" i="27" s="1"/>
  <c r="CZ54" i="27" a="1"/>
  <c r="CZ54" i="27" s="1"/>
  <c r="CZ61" i="27" a="1"/>
  <c r="CZ61" i="27" s="1"/>
  <c r="CZ63" i="27" a="1"/>
  <c r="CZ63" i="27" s="1"/>
  <c r="CZ65" i="27" a="1"/>
  <c r="CZ65" i="27" s="1"/>
  <c r="CZ67" i="27" a="1"/>
  <c r="CZ67" i="27" s="1"/>
  <c r="CZ64" i="27" a="1"/>
  <c r="CZ64" i="27" s="1"/>
  <c r="CZ69" i="27" a="1"/>
  <c r="CZ69" i="27" s="1"/>
  <c r="CZ73" i="27" a="1"/>
  <c r="CZ73" i="27" s="1"/>
  <c r="CZ75" i="27" a="1"/>
  <c r="CZ75" i="27" s="1"/>
  <c r="CZ77" i="27" a="1"/>
  <c r="CZ77" i="27" s="1"/>
  <c r="CZ79" i="27" a="1"/>
  <c r="CZ79" i="27" s="1"/>
  <c r="CZ81" i="27" a="1"/>
  <c r="CZ81" i="27" s="1"/>
  <c r="CZ83" i="27" a="1"/>
  <c r="CZ83" i="27" s="1"/>
  <c r="CZ85" i="27" a="1"/>
  <c r="CZ85" i="27" s="1"/>
  <c r="CZ87" i="27" a="1"/>
  <c r="CZ87" i="27" s="1"/>
  <c r="CZ89" i="27" a="1"/>
  <c r="CZ89" i="27" s="1"/>
  <c r="CZ91" i="27" a="1"/>
  <c r="CZ91" i="27" s="1"/>
  <c r="CZ93" i="27" a="1"/>
  <c r="CZ93" i="27" s="1"/>
  <c r="CZ95" i="27" a="1"/>
  <c r="CZ95" i="27" s="1"/>
  <c r="CZ97" i="27" a="1"/>
  <c r="CZ97" i="27" s="1"/>
  <c r="CZ99" i="27" a="1"/>
  <c r="CZ99" i="27" s="1"/>
  <c r="CZ101" i="27" a="1"/>
  <c r="CZ101" i="27" s="1"/>
  <c r="CZ62" i="27" a="1"/>
  <c r="CZ62" i="27" s="1"/>
  <c r="CZ71" i="27" a="1"/>
  <c r="CZ71" i="27" s="1"/>
  <c r="CZ66" i="27" a="1"/>
  <c r="CZ66" i="27" s="1"/>
  <c r="CZ68" i="27" a="1"/>
  <c r="CZ68" i="27" s="1"/>
  <c r="CZ70" i="27" a="1"/>
  <c r="CZ70" i="27" s="1"/>
  <c r="CZ72" i="27" a="1"/>
  <c r="CZ72" i="27" s="1"/>
  <c r="CZ74" i="27" a="1"/>
  <c r="CZ74" i="27" s="1"/>
  <c r="CZ76" i="27" a="1"/>
  <c r="CZ76" i="27" s="1"/>
  <c r="CZ78" i="27" a="1"/>
  <c r="CZ78" i="27" s="1"/>
  <c r="CZ80" i="27" a="1"/>
  <c r="CZ80" i="27" s="1"/>
  <c r="CZ82" i="27" a="1"/>
  <c r="CZ82" i="27" s="1"/>
  <c r="CZ84" i="27" a="1"/>
  <c r="CZ84" i="27" s="1"/>
  <c r="CZ86" i="27" a="1"/>
  <c r="CZ86" i="27" s="1"/>
  <c r="CZ88" i="27" a="1"/>
  <c r="CZ88" i="27" s="1"/>
  <c r="CZ90" i="27" a="1"/>
  <c r="CZ90" i="27" s="1"/>
  <c r="CZ92" i="27" a="1"/>
  <c r="CZ92" i="27" s="1"/>
  <c r="CZ94" i="27" a="1"/>
  <c r="CZ94" i="27" s="1"/>
  <c r="CZ96" i="27" a="1"/>
  <c r="CZ96" i="27" s="1"/>
  <c r="CZ98" i="27" a="1"/>
  <c r="CZ98" i="27" s="1"/>
  <c r="CZ100" i="27" a="1"/>
  <c r="CZ100" i="27" s="1"/>
  <c r="CZ111" i="27" a="1"/>
  <c r="CZ111" i="27" s="1"/>
  <c r="CZ112" i="27" a="1"/>
  <c r="CZ112" i="27" s="1"/>
  <c r="CZ113" i="27" a="1"/>
  <c r="CZ113" i="27" s="1"/>
  <c r="CZ114" i="27" a="1"/>
  <c r="CZ114" i="27" s="1"/>
  <c r="CZ115" i="27" a="1"/>
  <c r="CZ115" i="27" s="1"/>
  <c r="CZ116" i="27" a="1"/>
  <c r="CZ116" i="27" s="1"/>
  <c r="CZ117" i="27" a="1"/>
  <c r="CZ117" i="27" s="1"/>
  <c r="CZ126" i="27" a="1"/>
  <c r="CZ126" i="27" s="1"/>
  <c r="CZ121" i="27" a="1"/>
  <c r="CZ121" i="27" s="1"/>
  <c r="CZ124" i="27" a="1"/>
  <c r="CZ124" i="27" s="1"/>
  <c r="CZ127" i="27" a="1"/>
  <c r="CZ127" i="27" s="1"/>
  <c r="CZ128" i="27" a="1"/>
  <c r="CZ128" i="27" s="1"/>
  <c r="CZ129" i="27" a="1"/>
  <c r="CZ129" i="27" s="1"/>
  <c r="CZ130" i="27" a="1"/>
  <c r="CZ130" i="27" s="1"/>
  <c r="CZ131" i="27" a="1"/>
  <c r="CZ131" i="27" s="1"/>
  <c r="CZ132" i="27" a="1"/>
  <c r="CZ132" i="27" s="1"/>
  <c r="CZ133" i="27" a="1"/>
  <c r="CZ133" i="27" s="1"/>
  <c r="CZ102" i="27" a="1"/>
  <c r="CZ102" i="27" s="1"/>
  <c r="CZ104" i="27" a="1"/>
  <c r="CZ104" i="27" s="1"/>
  <c r="CZ106" i="27" a="1"/>
  <c r="CZ106" i="27" s="1"/>
  <c r="CZ108" i="27" a="1"/>
  <c r="CZ108" i="27" s="1"/>
  <c r="CZ110" i="27" a="1"/>
  <c r="CZ110" i="27" s="1"/>
  <c r="CZ103" i="27" a="1"/>
  <c r="CZ103" i="27" s="1"/>
  <c r="CZ105" i="27" a="1"/>
  <c r="CZ105" i="27" s="1"/>
  <c r="CZ107" i="27" a="1"/>
  <c r="CZ107" i="27" s="1"/>
  <c r="CZ109" i="27" a="1"/>
  <c r="CZ109" i="27" s="1"/>
  <c r="CZ119" i="27" a="1"/>
  <c r="CZ119" i="27" s="1"/>
  <c r="CZ123" i="27" a="1"/>
  <c r="CZ123" i="27" s="1"/>
  <c r="CZ125" i="27" a="1"/>
  <c r="CZ125" i="27" s="1"/>
  <c r="CZ120" i="27" a="1"/>
  <c r="CZ120" i="27" s="1"/>
  <c r="CZ134" i="27" a="1"/>
  <c r="CZ134" i="27" s="1"/>
  <c r="CZ135" i="27" a="1"/>
  <c r="CZ135" i="27" s="1"/>
  <c r="CZ136" i="27" a="1"/>
  <c r="CZ136" i="27" s="1"/>
  <c r="CZ137" i="27" a="1"/>
  <c r="CZ137" i="27" s="1"/>
  <c r="CZ138" i="27" a="1"/>
  <c r="CZ138" i="27" s="1"/>
  <c r="CZ6" i="27" a="1"/>
  <c r="CZ6" i="27" s="1"/>
  <c r="CZ118" i="27" a="1"/>
  <c r="CZ118" i="27" s="1"/>
  <c r="CZ122" i="27" a="1"/>
  <c r="CZ122" i="27" s="1"/>
  <c r="CZ139" i="27" a="1"/>
  <c r="CZ139" i="27" s="1"/>
  <c r="CZ140" i="27" a="1"/>
  <c r="CZ140" i="27" s="1"/>
  <c r="CE17" i="27" a="1"/>
  <c r="CE17" i="27" s="1"/>
  <c r="DG8" i="27" a="1"/>
  <c r="DG8" i="27" s="1"/>
  <c r="DG10" i="27" a="1"/>
  <c r="DG10" i="27" s="1"/>
  <c r="DG12" i="27" a="1"/>
  <c r="DG12" i="27" s="1"/>
  <c r="DG14" i="27" a="1"/>
  <c r="DG14" i="27" s="1"/>
  <c r="DG16" i="27" a="1"/>
  <c r="DG16" i="27" s="1"/>
  <c r="DG18" i="27" a="1"/>
  <c r="DG18" i="27" s="1"/>
  <c r="DG20" i="27" a="1"/>
  <c r="DG20" i="27" s="1"/>
  <c r="DG21" i="27" a="1"/>
  <c r="DG21" i="27" s="1"/>
  <c r="DG23" i="27" a="1"/>
  <c r="DG23" i="27" s="1"/>
  <c r="DG25" i="27" a="1"/>
  <c r="DG25" i="27" s="1"/>
  <c r="DG27" i="27" a="1"/>
  <c r="DG27" i="27" s="1"/>
  <c r="DG33" i="27" a="1"/>
  <c r="DG33" i="27" s="1"/>
  <c r="DG7" i="27" a="1"/>
  <c r="DG7" i="27" s="1"/>
  <c r="DG9" i="27" a="1"/>
  <c r="DG9" i="27" s="1"/>
  <c r="DG11" i="27" a="1"/>
  <c r="DG11" i="27" s="1"/>
  <c r="DG13" i="27" a="1"/>
  <c r="DG13" i="27" s="1"/>
  <c r="DG15" i="27" a="1"/>
  <c r="DG15" i="27" s="1"/>
  <c r="DG17" i="27" a="1"/>
  <c r="DG17" i="27" s="1"/>
  <c r="DG19" i="27" a="1"/>
  <c r="DG19" i="27" s="1"/>
  <c r="DG22" i="27" a="1"/>
  <c r="DG22" i="27" s="1"/>
  <c r="DG24" i="27" a="1"/>
  <c r="DG24" i="27" s="1"/>
  <c r="DG26" i="27" a="1"/>
  <c r="DG26" i="27" s="1"/>
  <c r="DG28" i="27" a="1"/>
  <c r="DG28" i="27" s="1"/>
  <c r="DG30" i="27" a="1"/>
  <c r="DG30" i="27" s="1"/>
  <c r="DG32" i="27" a="1"/>
  <c r="DG32" i="27" s="1"/>
  <c r="DG34" i="27" a="1"/>
  <c r="DG34" i="27" s="1"/>
  <c r="DG36" i="27" a="1"/>
  <c r="DG36" i="27" s="1"/>
  <c r="DG38" i="27" a="1"/>
  <c r="DG38" i="27" s="1"/>
  <c r="DG40" i="27" a="1"/>
  <c r="DG40" i="27" s="1"/>
  <c r="DG29" i="27" a="1"/>
  <c r="DG29" i="27" s="1"/>
  <c r="DG42" i="27" a="1"/>
  <c r="DG42" i="27" s="1"/>
  <c r="DG44" i="27" a="1"/>
  <c r="DG44" i="27" s="1"/>
  <c r="DG46" i="27" a="1"/>
  <c r="DG46" i="27" s="1"/>
  <c r="DG48" i="27" a="1"/>
  <c r="DG48" i="27" s="1"/>
  <c r="DG50" i="27" a="1"/>
  <c r="DG50" i="27" s="1"/>
  <c r="DG52" i="27" a="1"/>
  <c r="DG52" i="27" s="1"/>
  <c r="DG54" i="27" a="1"/>
  <c r="DG54" i="27" s="1"/>
  <c r="DG56" i="27" a="1"/>
  <c r="DG56" i="27" s="1"/>
  <c r="DG60" i="27" a="1"/>
  <c r="DG60" i="27" s="1"/>
  <c r="DG62" i="27" a="1"/>
  <c r="DG62" i="27" s="1"/>
  <c r="DG64" i="27" a="1"/>
  <c r="DG64" i="27" s="1"/>
  <c r="DG66" i="27" a="1"/>
  <c r="DG66" i="27" s="1"/>
  <c r="DG68" i="27" a="1"/>
  <c r="DG68" i="27" s="1"/>
  <c r="DG70" i="27" a="1"/>
  <c r="DG70" i="27" s="1"/>
  <c r="DG35" i="27" a="1"/>
  <c r="DG35" i="27" s="1"/>
  <c r="DG57" i="27" a="1"/>
  <c r="DG57" i="27" s="1"/>
  <c r="DG55" i="27" a="1"/>
  <c r="DG55" i="27" s="1"/>
  <c r="DG59" i="27" a="1"/>
  <c r="DG59" i="27" s="1"/>
  <c r="DG41" i="27" a="1"/>
  <c r="DG41" i="27" s="1"/>
  <c r="DG43" i="27" a="1"/>
  <c r="DG43" i="27" s="1"/>
  <c r="DG45" i="27" a="1"/>
  <c r="DG45" i="27" s="1"/>
  <c r="DG47" i="27" a="1"/>
  <c r="DG47" i="27" s="1"/>
  <c r="DG49" i="27" a="1"/>
  <c r="DG49" i="27" s="1"/>
  <c r="DG51" i="27" a="1"/>
  <c r="DG51" i="27" s="1"/>
  <c r="DG53" i="27" a="1"/>
  <c r="DG53" i="27" s="1"/>
  <c r="DG31" i="27" a="1"/>
  <c r="DG31" i="27" s="1"/>
  <c r="DG37" i="27" a="1"/>
  <c r="DG37" i="27" s="1"/>
  <c r="DG39" i="27" a="1"/>
  <c r="DG39" i="27" s="1"/>
  <c r="DG58" i="27" a="1"/>
  <c r="DG58" i="27" s="1"/>
  <c r="DG67" i="27" a="1"/>
  <c r="DG67" i="27" s="1"/>
  <c r="DG69" i="27" a="1"/>
  <c r="DG69" i="27" s="1"/>
  <c r="DG65" i="27" a="1"/>
  <c r="DG65" i="27" s="1"/>
  <c r="DG72" i="27" a="1"/>
  <c r="DG72" i="27" s="1"/>
  <c r="DG74" i="27" a="1"/>
  <c r="DG74" i="27" s="1"/>
  <c r="DG76" i="27" a="1"/>
  <c r="DG76" i="27" s="1"/>
  <c r="DG78" i="27" a="1"/>
  <c r="DG78" i="27" s="1"/>
  <c r="DG80" i="27" a="1"/>
  <c r="DG80" i="27" s="1"/>
  <c r="DG82" i="27" a="1"/>
  <c r="DG82" i="27" s="1"/>
  <c r="DG84" i="27" a="1"/>
  <c r="DG84" i="27" s="1"/>
  <c r="DG86" i="27" a="1"/>
  <c r="DG86" i="27" s="1"/>
  <c r="DG88" i="27" a="1"/>
  <c r="DG88" i="27" s="1"/>
  <c r="DG63" i="27" a="1"/>
  <c r="DG63" i="27" s="1"/>
  <c r="DG71" i="27" a="1"/>
  <c r="DG71" i="27" s="1"/>
  <c r="DG73" i="27" a="1"/>
  <c r="DG73" i="27" s="1"/>
  <c r="DG75" i="27" a="1"/>
  <c r="DG75" i="27" s="1"/>
  <c r="DG77" i="27" a="1"/>
  <c r="DG77" i="27" s="1"/>
  <c r="DG79" i="27" a="1"/>
  <c r="DG79" i="27" s="1"/>
  <c r="DG81" i="27" a="1"/>
  <c r="DG81" i="27" s="1"/>
  <c r="DG83" i="27" a="1"/>
  <c r="DG83" i="27" s="1"/>
  <c r="DG85" i="27" a="1"/>
  <c r="DG85" i="27" s="1"/>
  <c r="DG87" i="27" a="1"/>
  <c r="DG87" i="27" s="1"/>
  <c r="DG89" i="27" a="1"/>
  <c r="DG89" i="27" s="1"/>
  <c r="DG61" i="27" a="1"/>
  <c r="DG61" i="27" s="1"/>
  <c r="DG91" i="27" a="1"/>
  <c r="DG91" i="27" s="1"/>
  <c r="DG95" i="27" a="1"/>
  <c r="DG95" i="27" s="1"/>
  <c r="DG99" i="27" a="1"/>
  <c r="DG99" i="27" s="1"/>
  <c r="DG119" i="27" a="1"/>
  <c r="DG119" i="27" s="1"/>
  <c r="DG92" i="27" a="1"/>
  <c r="DG92" i="27" s="1"/>
  <c r="DG96" i="27" a="1"/>
  <c r="DG96" i="27" s="1"/>
  <c r="DG100" i="27" a="1"/>
  <c r="DG100" i="27" s="1"/>
  <c r="DG101" i="27" a="1"/>
  <c r="DG101" i="27" s="1"/>
  <c r="DG103" i="27" a="1"/>
  <c r="DG103" i="27" s="1"/>
  <c r="DG105" i="27" a="1"/>
  <c r="DG105" i="27" s="1"/>
  <c r="DG107" i="27" a="1"/>
  <c r="DG107" i="27" s="1"/>
  <c r="DG109" i="27" a="1"/>
  <c r="DG109" i="27" s="1"/>
  <c r="DG120" i="27" a="1"/>
  <c r="DG120" i="27" s="1"/>
  <c r="DG123" i="27" a="1"/>
  <c r="DG123" i="27" s="1"/>
  <c r="DG125" i="27" a="1"/>
  <c r="DG125" i="27" s="1"/>
  <c r="DG93" i="27" a="1"/>
  <c r="DG93" i="27" s="1"/>
  <c r="DG97" i="27" a="1"/>
  <c r="DG97" i="27" s="1"/>
  <c r="DG94" i="27" a="1"/>
  <c r="DG94" i="27" s="1"/>
  <c r="DG98" i="27" a="1"/>
  <c r="DG98" i="27" s="1"/>
  <c r="DG118" i="27" a="1"/>
  <c r="DG118" i="27" s="1"/>
  <c r="DG122" i="27" a="1"/>
  <c r="DG122" i="27" s="1"/>
  <c r="DG124" i="27" a="1"/>
  <c r="DG124" i="27" s="1"/>
  <c r="DG90" i="27" a="1"/>
  <c r="DG90" i="27" s="1"/>
  <c r="DG102" i="27" a="1"/>
  <c r="DG102" i="27" s="1"/>
  <c r="DG104" i="27" a="1"/>
  <c r="DG104" i="27" s="1"/>
  <c r="DG106" i="27" a="1"/>
  <c r="DG106" i="27" s="1"/>
  <c r="DG108" i="27" a="1"/>
  <c r="DG108" i="27" s="1"/>
  <c r="DG110" i="27" a="1"/>
  <c r="DG110" i="27" s="1"/>
  <c r="DG111" i="27" a="1"/>
  <c r="DG111" i="27" s="1"/>
  <c r="DG112" i="27" a="1"/>
  <c r="DG112" i="27" s="1"/>
  <c r="DG113" i="27" a="1"/>
  <c r="DG113" i="27" s="1"/>
  <c r="DG114" i="27" a="1"/>
  <c r="DG114" i="27" s="1"/>
  <c r="DG115" i="27" a="1"/>
  <c r="DG115" i="27" s="1"/>
  <c r="DG116" i="27" a="1"/>
  <c r="DG116" i="27" s="1"/>
  <c r="DG131" i="27" a="1"/>
  <c r="DG131" i="27" s="1"/>
  <c r="DG139" i="27" a="1"/>
  <c r="DG139" i="27" s="1"/>
  <c r="DG126" i="27" a="1"/>
  <c r="DG126" i="27" s="1"/>
  <c r="DG117" i="27" a="1"/>
  <c r="DG117" i="27" s="1"/>
  <c r="DG121" i="27" a="1"/>
  <c r="DG121" i="27" s="1"/>
  <c r="DG130" i="27" a="1"/>
  <c r="DG130" i="27" s="1"/>
  <c r="DG133" i="27" a="1"/>
  <c r="DG133" i="27" s="1"/>
  <c r="DG134" i="27" a="1"/>
  <c r="DG134" i="27" s="1"/>
  <c r="DG135" i="27" a="1"/>
  <c r="DG135" i="27" s="1"/>
  <c r="DG136" i="27" a="1"/>
  <c r="DG136" i="27" s="1"/>
  <c r="DG137" i="27" a="1"/>
  <c r="DG137" i="27" s="1"/>
  <c r="DG138" i="27" a="1"/>
  <c r="DG138" i="27" s="1"/>
  <c r="DG140" i="27" a="1"/>
  <c r="DG140" i="27" s="1"/>
  <c r="DG6" i="27" a="1"/>
  <c r="DG6" i="27" s="1"/>
  <c r="DG132" i="27" a="1"/>
  <c r="DG132" i="27" s="1"/>
  <c r="DG127" i="27" a="1"/>
  <c r="DG127" i="27" s="1"/>
  <c r="DG128" i="27" a="1"/>
  <c r="DG128" i="27" s="1"/>
  <c r="DG129" i="27" a="1"/>
  <c r="DG129" i="27" s="1"/>
  <c r="DC7" i="27" a="1"/>
  <c r="DC7" i="27" s="1"/>
  <c r="DC9" i="27" a="1"/>
  <c r="DC9" i="27" s="1"/>
  <c r="DC11" i="27" a="1"/>
  <c r="DC11" i="27" s="1"/>
  <c r="DC13" i="27" a="1"/>
  <c r="DC13" i="27" s="1"/>
  <c r="DC15" i="27" a="1"/>
  <c r="DC15" i="27" s="1"/>
  <c r="DC17" i="27" a="1"/>
  <c r="DC17" i="27" s="1"/>
  <c r="DC19" i="27" a="1"/>
  <c r="DC19" i="27" s="1"/>
  <c r="DC22" i="27" a="1"/>
  <c r="DC22" i="27" s="1"/>
  <c r="DC24" i="27" a="1"/>
  <c r="DC24" i="27" s="1"/>
  <c r="DC26" i="27" a="1"/>
  <c r="DC26" i="27" s="1"/>
  <c r="DC28" i="27" a="1"/>
  <c r="DC28" i="27" s="1"/>
  <c r="DC30" i="27" a="1"/>
  <c r="DC30" i="27" s="1"/>
  <c r="DC32" i="27" a="1"/>
  <c r="DC32" i="27" s="1"/>
  <c r="DC34" i="27" a="1"/>
  <c r="DC34" i="27" s="1"/>
  <c r="DC36" i="27" a="1"/>
  <c r="DC36" i="27" s="1"/>
  <c r="DC38" i="27" a="1"/>
  <c r="DC38" i="27" s="1"/>
  <c r="DC40" i="27" a="1"/>
  <c r="DC40" i="27" s="1"/>
  <c r="DC21" i="27" a="1"/>
  <c r="DC21" i="27" s="1"/>
  <c r="DC8" i="27" a="1"/>
  <c r="DC8" i="27" s="1"/>
  <c r="DC10" i="27" a="1"/>
  <c r="DC10" i="27" s="1"/>
  <c r="DC12" i="27" a="1"/>
  <c r="DC12" i="27" s="1"/>
  <c r="DC14" i="27" a="1"/>
  <c r="DC14" i="27" s="1"/>
  <c r="DC16" i="27" a="1"/>
  <c r="DC16" i="27" s="1"/>
  <c r="DC18" i="27" a="1"/>
  <c r="DC18" i="27" s="1"/>
  <c r="DC20" i="27" a="1"/>
  <c r="DC20" i="27" s="1"/>
  <c r="DC23" i="27" a="1"/>
  <c r="DC23" i="27" s="1"/>
  <c r="DC25" i="27" a="1"/>
  <c r="DC25" i="27" s="1"/>
  <c r="DC27" i="27" a="1"/>
  <c r="DC27" i="27" s="1"/>
  <c r="DC29" i="27" a="1"/>
  <c r="DC29" i="27" s="1"/>
  <c r="DC31" i="27" a="1"/>
  <c r="DC31" i="27" s="1"/>
  <c r="DC33" i="27" a="1"/>
  <c r="DC33" i="27" s="1"/>
  <c r="DC58" i="27" a="1"/>
  <c r="DC58" i="27" s="1"/>
  <c r="DC60" i="27" a="1"/>
  <c r="DC60" i="27" s="1"/>
  <c r="DC62" i="27" a="1"/>
  <c r="DC62" i="27" s="1"/>
  <c r="DC64" i="27" a="1"/>
  <c r="DC64" i="27" s="1"/>
  <c r="DC66" i="27" a="1"/>
  <c r="DC66" i="27" s="1"/>
  <c r="DC68" i="27" a="1"/>
  <c r="DC68" i="27" s="1"/>
  <c r="DC70" i="27" a="1"/>
  <c r="DC70" i="27" s="1"/>
  <c r="DC56" i="27" a="1"/>
  <c r="DC56" i="27" s="1"/>
  <c r="DC39" i="27" a="1"/>
  <c r="DC39" i="27" s="1"/>
  <c r="DC42" i="27" a="1"/>
  <c r="DC42" i="27" s="1"/>
  <c r="DC44" i="27" a="1"/>
  <c r="DC44" i="27" s="1"/>
  <c r="DC46" i="27" a="1"/>
  <c r="DC46" i="27" s="1"/>
  <c r="DC48" i="27" a="1"/>
  <c r="DC48" i="27" s="1"/>
  <c r="DC50" i="27" a="1"/>
  <c r="DC50" i="27" s="1"/>
  <c r="DC52" i="27" a="1"/>
  <c r="DC52" i="27" s="1"/>
  <c r="DC54" i="27" a="1"/>
  <c r="DC54" i="27" s="1"/>
  <c r="DC37" i="27" a="1"/>
  <c r="DC37" i="27" s="1"/>
  <c r="DC57" i="27" a="1"/>
  <c r="DC57" i="27" s="1"/>
  <c r="DC41" i="27" a="1"/>
  <c r="DC41" i="27" s="1"/>
  <c r="DC43" i="27" a="1"/>
  <c r="DC43" i="27" s="1"/>
  <c r="DC45" i="27" a="1"/>
  <c r="DC45" i="27" s="1"/>
  <c r="DC47" i="27" a="1"/>
  <c r="DC47" i="27" s="1"/>
  <c r="DC49" i="27" a="1"/>
  <c r="DC49" i="27" s="1"/>
  <c r="DC51" i="27" a="1"/>
  <c r="DC51" i="27" s="1"/>
  <c r="DC53" i="27" a="1"/>
  <c r="DC53" i="27" s="1"/>
  <c r="DC55" i="27" a="1"/>
  <c r="DC55" i="27" s="1"/>
  <c r="DC59" i="27" a="1"/>
  <c r="DC59" i="27" s="1"/>
  <c r="DC61" i="27" a="1"/>
  <c r="DC61" i="27" s="1"/>
  <c r="DC63" i="27" a="1"/>
  <c r="DC63" i="27" s="1"/>
  <c r="DC65" i="27" a="1"/>
  <c r="DC65" i="27" s="1"/>
  <c r="DC35" i="27" a="1"/>
  <c r="DC35" i="27" s="1"/>
  <c r="DC71" i="27" a="1"/>
  <c r="DC71" i="27" s="1"/>
  <c r="DC73" i="27" a="1"/>
  <c r="DC73" i="27" s="1"/>
  <c r="DC75" i="27" a="1"/>
  <c r="DC75" i="27" s="1"/>
  <c r="DC77" i="27" a="1"/>
  <c r="DC77" i="27" s="1"/>
  <c r="DC79" i="27" a="1"/>
  <c r="DC79" i="27" s="1"/>
  <c r="DC81" i="27" a="1"/>
  <c r="DC81" i="27" s="1"/>
  <c r="DC83" i="27" a="1"/>
  <c r="DC83" i="27" s="1"/>
  <c r="DC85" i="27" a="1"/>
  <c r="DC85" i="27" s="1"/>
  <c r="DC87" i="27" a="1"/>
  <c r="DC87" i="27" s="1"/>
  <c r="DC89" i="27" a="1"/>
  <c r="DC89" i="27" s="1"/>
  <c r="DC91" i="27" a="1"/>
  <c r="DC91" i="27" s="1"/>
  <c r="DC93" i="27" a="1"/>
  <c r="DC93" i="27" s="1"/>
  <c r="DC95" i="27" a="1"/>
  <c r="DC95" i="27" s="1"/>
  <c r="DC97" i="27" a="1"/>
  <c r="DC97" i="27" s="1"/>
  <c r="DC99" i="27" a="1"/>
  <c r="DC99" i="27" s="1"/>
  <c r="DC72" i="27" a="1"/>
  <c r="DC72" i="27" s="1"/>
  <c r="DC74" i="27" a="1"/>
  <c r="DC74" i="27" s="1"/>
  <c r="DC76" i="27" a="1"/>
  <c r="DC76" i="27" s="1"/>
  <c r="DC78" i="27" a="1"/>
  <c r="DC78" i="27" s="1"/>
  <c r="DC80" i="27" a="1"/>
  <c r="DC80" i="27" s="1"/>
  <c r="DC82" i="27" a="1"/>
  <c r="DC82" i="27" s="1"/>
  <c r="DC84" i="27" a="1"/>
  <c r="DC84" i="27" s="1"/>
  <c r="DC86" i="27" a="1"/>
  <c r="DC86" i="27" s="1"/>
  <c r="DC88" i="27" a="1"/>
  <c r="DC88" i="27" s="1"/>
  <c r="DC69" i="27" a="1"/>
  <c r="DC69" i="27" s="1"/>
  <c r="DC67" i="27" a="1"/>
  <c r="DC67" i="27" s="1"/>
  <c r="DC118" i="27" a="1"/>
  <c r="DC118" i="27" s="1"/>
  <c r="DC122" i="27" a="1"/>
  <c r="DC122" i="27" s="1"/>
  <c r="DC94" i="27" a="1"/>
  <c r="DC94" i="27" s="1"/>
  <c r="DC98" i="27" a="1"/>
  <c r="DC98" i="27" s="1"/>
  <c r="DC119" i="27" a="1"/>
  <c r="DC119" i="27" s="1"/>
  <c r="DC90" i="27" a="1"/>
  <c r="DC90" i="27" s="1"/>
  <c r="DC101" i="27" a="1"/>
  <c r="DC101" i="27" s="1"/>
  <c r="DC103" i="27" a="1"/>
  <c r="DC103" i="27" s="1"/>
  <c r="DC105" i="27" a="1"/>
  <c r="DC105" i="27" s="1"/>
  <c r="DC107" i="27" a="1"/>
  <c r="DC107" i="27" s="1"/>
  <c r="DC109" i="27" a="1"/>
  <c r="DC109" i="27" s="1"/>
  <c r="DC92" i="27" a="1"/>
  <c r="DC92" i="27" s="1"/>
  <c r="DC96" i="27" a="1"/>
  <c r="DC96" i="27" s="1"/>
  <c r="DC100" i="27" a="1"/>
  <c r="DC100" i="27" s="1"/>
  <c r="DC117" i="27" a="1"/>
  <c r="DC117" i="27" s="1"/>
  <c r="DC121" i="27" a="1"/>
  <c r="DC121" i="27" s="1"/>
  <c r="DC126" i="27" a="1"/>
  <c r="DC126" i="27" s="1"/>
  <c r="DC127" i="27" a="1"/>
  <c r="DC127" i="27" s="1"/>
  <c r="DC128" i="27" a="1"/>
  <c r="DC128" i="27" s="1"/>
  <c r="DC129" i="27" a="1"/>
  <c r="DC129" i="27" s="1"/>
  <c r="DC102" i="27" a="1"/>
  <c r="DC102" i="27" s="1"/>
  <c r="DC104" i="27" a="1"/>
  <c r="DC104" i="27" s="1"/>
  <c r="DC106" i="27" a="1"/>
  <c r="DC106" i="27" s="1"/>
  <c r="DC108" i="27" a="1"/>
  <c r="DC108" i="27" s="1"/>
  <c r="DC110" i="27" a="1"/>
  <c r="DC110" i="27" s="1"/>
  <c r="DC111" i="27" a="1"/>
  <c r="DC111" i="27" s="1"/>
  <c r="DC112" i="27" a="1"/>
  <c r="DC112" i="27" s="1"/>
  <c r="DC113" i="27" a="1"/>
  <c r="DC113" i="27" s="1"/>
  <c r="DC114" i="27" a="1"/>
  <c r="DC114" i="27" s="1"/>
  <c r="DC115" i="27" a="1"/>
  <c r="DC115" i="27" s="1"/>
  <c r="DC116" i="27" a="1"/>
  <c r="DC116" i="27" s="1"/>
  <c r="DC124" i="27" a="1"/>
  <c r="DC124" i="27" s="1"/>
  <c r="DC139" i="27" a="1"/>
  <c r="DC139" i="27" s="1"/>
  <c r="DC125" i="27" a="1"/>
  <c r="DC125" i="27" s="1"/>
  <c r="DC132" i="27" a="1"/>
  <c r="DC132" i="27" s="1"/>
  <c r="DC120" i="27" a="1"/>
  <c r="DC120" i="27" s="1"/>
  <c r="DC123" i="27" a="1"/>
  <c r="DC123" i="27" s="1"/>
  <c r="DC131" i="27" a="1"/>
  <c r="DC131" i="27" s="1"/>
  <c r="DC134" i="27" a="1"/>
  <c r="DC134" i="27" s="1"/>
  <c r="DC135" i="27" a="1"/>
  <c r="DC135" i="27" s="1"/>
  <c r="DC136" i="27" a="1"/>
  <c r="DC136" i="27" s="1"/>
  <c r="DC137" i="27" a="1"/>
  <c r="DC137" i="27" s="1"/>
  <c r="DC138" i="27" a="1"/>
  <c r="DC138" i="27" s="1"/>
  <c r="DC140" i="27" a="1"/>
  <c r="DC140" i="27" s="1"/>
  <c r="DC6" i="27" a="1"/>
  <c r="DC6" i="27" s="1"/>
  <c r="DC130" i="27" a="1"/>
  <c r="DC130" i="27" s="1"/>
  <c r="DC133" i="27" a="1"/>
  <c r="DC133" i="27" s="1"/>
  <c r="DI33" i="27" a="1"/>
  <c r="DI33" i="27" s="1"/>
  <c r="DI34" i="27" a="1"/>
  <c r="DI34" i="27" s="1"/>
  <c r="DI7" i="27" a="1"/>
  <c r="DI7" i="27" s="1"/>
  <c r="DI9" i="27" a="1"/>
  <c r="DI9" i="27" s="1"/>
  <c r="DI11" i="27" a="1"/>
  <c r="DI11" i="27" s="1"/>
  <c r="DI13" i="27" a="1"/>
  <c r="DI13" i="27" s="1"/>
  <c r="DI15" i="27" a="1"/>
  <c r="DI15" i="27" s="1"/>
  <c r="DI17" i="27" a="1"/>
  <c r="DI17" i="27" s="1"/>
  <c r="DI19" i="27" a="1"/>
  <c r="DI19" i="27" s="1"/>
  <c r="DI22" i="27" a="1"/>
  <c r="DI22" i="27" s="1"/>
  <c r="DI24" i="27" a="1"/>
  <c r="DI24" i="27" s="1"/>
  <c r="DI26" i="27" a="1"/>
  <c r="DI26" i="27" s="1"/>
  <c r="DI28" i="27" a="1"/>
  <c r="DI28" i="27" s="1"/>
  <c r="DI8" i="27" a="1"/>
  <c r="DI8" i="27" s="1"/>
  <c r="DI10" i="27" a="1"/>
  <c r="DI10" i="27" s="1"/>
  <c r="DI12" i="27" a="1"/>
  <c r="DI12" i="27" s="1"/>
  <c r="DI14" i="27" a="1"/>
  <c r="DI14" i="27" s="1"/>
  <c r="DI16" i="27" a="1"/>
  <c r="DI16" i="27" s="1"/>
  <c r="DI18" i="27" a="1"/>
  <c r="DI18" i="27" s="1"/>
  <c r="DI20" i="27" a="1"/>
  <c r="DI20" i="27" s="1"/>
  <c r="DI21" i="27" a="1"/>
  <c r="DI21" i="27" s="1"/>
  <c r="DI23" i="27" a="1"/>
  <c r="DI23" i="27" s="1"/>
  <c r="DI25" i="27" a="1"/>
  <c r="DI25" i="27" s="1"/>
  <c r="DI27" i="27" a="1"/>
  <c r="DI27" i="27" s="1"/>
  <c r="DI29" i="27" a="1"/>
  <c r="DI29" i="27" s="1"/>
  <c r="DI31" i="27" a="1"/>
  <c r="DI31" i="27" s="1"/>
  <c r="DI35" i="27" a="1"/>
  <c r="DI35" i="27" s="1"/>
  <c r="DI37" i="27" a="1"/>
  <c r="DI37" i="27" s="1"/>
  <c r="DI39" i="27" a="1"/>
  <c r="DI39" i="27" s="1"/>
  <c r="DI36" i="27" a="1"/>
  <c r="DI36" i="27" s="1"/>
  <c r="DI41" i="27" a="1"/>
  <c r="DI41" i="27" s="1"/>
  <c r="DI43" i="27" a="1"/>
  <c r="DI43" i="27" s="1"/>
  <c r="DI45" i="27" a="1"/>
  <c r="DI45" i="27" s="1"/>
  <c r="DI47" i="27" a="1"/>
  <c r="DI47" i="27" s="1"/>
  <c r="DI49" i="27" a="1"/>
  <c r="DI49" i="27" s="1"/>
  <c r="DI51" i="27" a="1"/>
  <c r="DI51" i="27" s="1"/>
  <c r="DI53" i="27" a="1"/>
  <c r="DI53" i="27" s="1"/>
  <c r="DI32" i="27" a="1"/>
  <c r="DI32" i="27" s="1"/>
  <c r="DI56" i="27" a="1"/>
  <c r="DI56" i="27" s="1"/>
  <c r="DI58" i="27" a="1"/>
  <c r="DI58" i="27" s="1"/>
  <c r="DI30" i="27" a="1"/>
  <c r="DI30" i="27" s="1"/>
  <c r="DI40" i="27" a="1"/>
  <c r="DI40" i="27" s="1"/>
  <c r="DI42" i="27" a="1"/>
  <c r="DI42" i="27" s="1"/>
  <c r="DI44" i="27" a="1"/>
  <c r="DI44" i="27" s="1"/>
  <c r="DI46" i="27" a="1"/>
  <c r="DI46" i="27" s="1"/>
  <c r="DI48" i="27" a="1"/>
  <c r="DI48" i="27" s="1"/>
  <c r="DI50" i="27" a="1"/>
  <c r="DI50" i="27" s="1"/>
  <c r="DI52" i="27" a="1"/>
  <c r="DI52" i="27" s="1"/>
  <c r="DI54" i="27" a="1"/>
  <c r="DI54" i="27" s="1"/>
  <c r="DI38" i="27" a="1"/>
  <c r="DI38" i="27" s="1"/>
  <c r="DI57" i="27" a="1"/>
  <c r="DI57" i="27" s="1"/>
  <c r="DI55" i="27" a="1"/>
  <c r="DI55" i="27" s="1"/>
  <c r="DI59" i="27" a="1"/>
  <c r="DI59" i="27" s="1"/>
  <c r="DI61" i="27" a="1"/>
  <c r="DI61" i="27" s="1"/>
  <c r="DI63" i="27" a="1"/>
  <c r="DI63" i="27" s="1"/>
  <c r="DI65" i="27" a="1"/>
  <c r="DI65" i="27" s="1"/>
  <c r="DI67" i="27" a="1"/>
  <c r="DI67" i="27" s="1"/>
  <c r="DI70" i="27" a="1"/>
  <c r="DI70" i="27" s="1"/>
  <c r="DI60" i="27" a="1"/>
  <c r="DI60" i="27" s="1"/>
  <c r="DI66" i="27" a="1"/>
  <c r="DI66" i="27" s="1"/>
  <c r="DI71" i="27" a="1"/>
  <c r="DI71" i="27" s="1"/>
  <c r="DI73" i="27" a="1"/>
  <c r="DI73" i="27" s="1"/>
  <c r="DI75" i="27" a="1"/>
  <c r="DI75" i="27" s="1"/>
  <c r="DI77" i="27" a="1"/>
  <c r="DI77" i="27" s="1"/>
  <c r="DI79" i="27" a="1"/>
  <c r="DI79" i="27" s="1"/>
  <c r="DI81" i="27" a="1"/>
  <c r="DI81" i="27" s="1"/>
  <c r="DI83" i="27" a="1"/>
  <c r="DI83" i="27" s="1"/>
  <c r="DI85" i="27" a="1"/>
  <c r="DI85" i="27" s="1"/>
  <c r="DI87" i="27" a="1"/>
  <c r="DI87" i="27" s="1"/>
  <c r="DI89" i="27" a="1"/>
  <c r="DI89" i="27" s="1"/>
  <c r="DI91" i="27" a="1"/>
  <c r="DI91" i="27" s="1"/>
  <c r="DI93" i="27" a="1"/>
  <c r="DI93" i="27" s="1"/>
  <c r="DI95" i="27" a="1"/>
  <c r="DI95" i="27" s="1"/>
  <c r="DI97" i="27" a="1"/>
  <c r="DI97" i="27" s="1"/>
  <c r="DI99" i="27" a="1"/>
  <c r="DI99" i="27" s="1"/>
  <c r="DI64" i="27" a="1"/>
  <c r="DI64" i="27" s="1"/>
  <c r="DI69" i="27" a="1"/>
  <c r="DI69" i="27" s="1"/>
  <c r="DI68" i="27" a="1"/>
  <c r="DI68" i="27" s="1"/>
  <c r="DI72" i="27" a="1"/>
  <c r="DI72" i="27" s="1"/>
  <c r="DI74" i="27" a="1"/>
  <c r="DI74" i="27" s="1"/>
  <c r="DI76" i="27" a="1"/>
  <c r="DI76" i="27" s="1"/>
  <c r="DI78" i="27" a="1"/>
  <c r="DI78" i="27" s="1"/>
  <c r="DI80" i="27" a="1"/>
  <c r="DI80" i="27" s="1"/>
  <c r="DI82" i="27" a="1"/>
  <c r="DI82" i="27" s="1"/>
  <c r="DI84" i="27" a="1"/>
  <c r="DI84" i="27" s="1"/>
  <c r="DI86" i="27" a="1"/>
  <c r="DI86" i="27" s="1"/>
  <c r="DI88" i="27" a="1"/>
  <c r="DI88" i="27" s="1"/>
  <c r="DI90" i="27" a="1"/>
  <c r="DI90" i="27" s="1"/>
  <c r="DI62" i="27" a="1"/>
  <c r="DI62" i="27" s="1"/>
  <c r="DI94" i="27" a="1"/>
  <c r="DI94" i="27" s="1"/>
  <c r="DI98" i="27" a="1"/>
  <c r="DI98" i="27" s="1"/>
  <c r="DI102" i="27" a="1"/>
  <c r="DI102" i="27" s="1"/>
  <c r="DI104" i="27" a="1"/>
  <c r="DI104" i="27" s="1"/>
  <c r="DI106" i="27" a="1"/>
  <c r="DI106" i="27" s="1"/>
  <c r="DI108" i="27" a="1"/>
  <c r="DI108" i="27" s="1"/>
  <c r="DI118" i="27" a="1"/>
  <c r="DI118" i="27" s="1"/>
  <c r="DI122" i="27" a="1"/>
  <c r="DI122" i="27" s="1"/>
  <c r="DI124" i="27" a="1"/>
  <c r="DI124" i="27" s="1"/>
  <c r="DI110" i="27" a="1"/>
  <c r="DI110" i="27" s="1"/>
  <c r="DI111" i="27" a="1"/>
  <c r="DI111" i="27" s="1"/>
  <c r="DI112" i="27" a="1"/>
  <c r="DI112" i="27" s="1"/>
  <c r="DI113" i="27" a="1"/>
  <c r="DI113" i="27" s="1"/>
  <c r="DI114" i="27" a="1"/>
  <c r="DI114" i="27" s="1"/>
  <c r="DI92" i="27" a="1"/>
  <c r="DI92" i="27" s="1"/>
  <c r="DI96" i="27" a="1"/>
  <c r="DI96" i="27" s="1"/>
  <c r="DI100" i="27" a="1"/>
  <c r="DI100" i="27" s="1"/>
  <c r="DI101" i="27" a="1"/>
  <c r="DI101" i="27" s="1"/>
  <c r="DI103" i="27" a="1"/>
  <c r="DI103" i="27" s="1"/>
  <c r="DI105" i="27" a="1"/>
  <c r="DI105" i="27" s="1"/>
  <c r="DI107" i="27" a="1"/>
  <c r="DI107" i="27" s="1"/>
  <c r="DI109" i="27" a="1"/>
  <c r="DI109" i="27" s="1"/>
  <c r="DI120" i="27" a="1"/>
  <c r="DI120" i="27" s="1"/>
  <c r="DI126" i="27" a="1"/>
  <c r="DI126" i="27" s="1"/>
  <c r="DI127" i="27" a="1"/>
  <c r="DI127" i="27" s="1"/>
  <c r="DI128" i="27" a="1"/>
  <c r="DI128" i="27" s="1"/>
  <c r="DI117" i="27" a="1"/>
  <c r="DI117" i="27" s="1"/>
  <c r="DI121" i="27" a="1"/>
  <c r="DI121" i="27" s="1"/>
  <c r="DI123" i="27" a="1"/>
  <c r="DI123" i="27" s="1"/>
  <c r="DI132" i="27" a="1"/>
  <c r="DI132" i="27" s="1"/>
  <c r="DI129" i="27" a="1"/>
  <c r="DI129" i="27" s="1"/>
  <c r="DI131" i="27" a="1"/>
  <c r="DI131" i="27" s="1"/>
  <c r="DI139" i="27" a="1"/>
  <c r="DI139" i="27" s="1"/>
  <c r="DI115" i="27" a="1"/>
  <c r="DI115" i="27" s="1"/>
  <c r="DI116" i="27" a="1"/>
  <c r="DI116" i="27" s="1"/>
  <c r="DI125" i="27" a="1"/>
  <c r="DI125" i="27" s="1"/>
  <c r="DI130" i="27" a="1"/>
  <c r="DI130" i="27" s="1"/>
  <c r="DI133" i="27" a="1"/>
  <c r="DI133" i="27" s="1"/>
  <c r="DI134" i="27" a="1"/>
  <c r="DI134" i="27" s="1"/>
  <c r="DI135" i="27" a="1"/>
  <c r="DI135" i="27" s="1"/>
  <c r="DI136" i="27" a="1"/>
  <c r="DI136" i="27" s="1"/>
  <c r="DI137" i="27" a="1"/>
  <c r="DI137" i="27" s="1"/>
  <c r="DI6" i="27" a="1"/>
  <c r="DI6" i="27" s="1"/>
  <c r="DI119" i="27" a="1"/>
  <c r="DI119" i="27" s="1"/>
  <c r="DI138" i="27" a="1"/>
  <c r="DI138" i="27" s="1"/>
  <c r="DI140" i="27" a="1"/>
  <c r="DI140" i="27" s="1"/>
  <c r="G66" i="27"/>
  <c r="G102" i="27"/>
  <c r="G134" i="27"/>
  <c r="G85" i="27"/>
  <c r="G137" i="27"/>
  <c r="G22" i="27"/>
  <c r="G86" i="27"/>
  <c r="G70" i="27"/>
  <c r="G114" i="27"/>
  <c r="G138" i="27"/>
  <c r="G18" i="27"/>
  <c r="G130" i="27"/>
  <c r="G29" i="27"/>
  <c r="G36" i="27"/>
  <c r="G68" i="27"/>
  <c r="G84" i="27"/>
  <c r="G116" i="27"/>
  <c r="G31" i="27"/>
  <c r="G63" i="27"/>
  <c r="G95" i="27"/>
  <c r="G127" i="27"/>
  <c r="G65" i="27"/>
  <c r="G129" i="27"/>
  <c r="G40" i="27"/>
  <c r="G56" i="27"/>
  <c r="G88" i="27"/>
  <c r="G135" i="27"/>
  <c r="G35" i="27"/>
  <c r="G67" i="27"/>
  <c r="G99" i="27"/>
  <c r="G131" i="27"/>
  <c r="G41" i="27"/>
  <c r="G105" i="27"/>
  <c r="G21" i="27"/>
  <c r="G62" i="27"/>
  <c r="G126" i="27"/>
  <c r="G58" i="27"/>
  <c r="G61" i="27"/>
  <c r="G45" i="27"/>
  <c r="G109" i="27"/>
  <c r="G46" i="27"/>
  <c r="G90" i="27"/>
  <c r="G16" i="27"/>
  <c r="G32" i="27"/>
  <c r="G48" i="27"/>
  <c r="G64" i="27"/>
  <c r="G80" i="27"/>
  <c r="G96" i="27"/>
  <c r="G112" i="27"/>
  <c r="G132" i="27"/>
  <c r="G11" i="27"/>
  <c r="G27" i="27"/>
  <c r="G43" i="27"/>
  <c r="G59" i="27"/>
  <c r="G75" i="27"/>
  <c r="G91" i="27"/>
  <c r="G107" i="27"/>
  <c r="G123" i="27"/>
  <c r="G140" i="27"/>
  <c r="G25" i="27"/>
  <c r="G57" i="27"/>
  <c r="G89" i="27"/>
  <c r="G121" i="27"/>
  <c r="G10" i="27"/>
  <c r="G30" i="27"/>
  <c r="G53" i="27"/>
  <c r="G74" i="27"/>
  <c r="G94" i="27"/>
  <c r="G117" i="27"/>
  <c r="G139" i="27"/>
  <c r="G78" i="27"/>
  <c r="G122" i="27"/>
  <c r="G38" i="27"/>
  <c r="G82" i="27"/>
  <c r="G125" i="27"/>
  <c r="G13" i="27"/>
  <c r="G34" i="27"/>
  <c r="G54" i="27"/>
  <c r="G77" i="27"/>
  <c r="G98" i="27"/>
  <c r="G118" i="27"/>
  <c r="G26" i="27"/>
  <c r="G110" i="27"/>
  <c r="G50" i="27"/>
  <c r="G93" i="27"/>
  <c r="G20" i="27"/>
  <c r="G52" i="27"/>
  <c r="G100" i="27"/>
  <c r="G15" i="27"/>
  <c r="G47" i="27"/>
  <c r="G79" i="27"/>
  <c r="G111" i="27"/>
  <c r="G124" i="27"/>
  <c r="G33" i="27"/>
  <c r="G97" i="27"/>
  <c r="G8" i="27"/>
  <c r="G24" i="27"/>
  <c r="G72" i="27"/>
  <c r="G104" i="27"/>
  <c r="G120" i="27"/>
  <c r="G19" i="27"/>
  <c r="G51" i="27"/>
  <c r="G83" i="27"/>
  <c r="G115" i="27"/>
  <c r="G9" i="27"/>
  <c r="G73" i="27"/>
  <c r="G42" i="27"/>
  <c r="G106" i="27"/>
  <c r="G14" i="27"/>
  <c r="G12" i="27"/>
  <c r="G28" i="27"/>
  <c r="G44" i="27"/>
  <c r="G60" i="27"/>
  <c r="G76" i="27"/>
  <c r="G92" i="27"/>
  <c r="G108" i="27"/>
  <c r="G128" i="27"/>
  <c r="G7" i="27"/>
  <c r="G23" i="27"/>
  <c r="G39" i="27"/>
  <c r="G55" i="27"/>
  <c r="G71" i="27"/>
  <c r="G87" i="27"/>
  <c r="G103" i="27"/>
  <c r="G119" i="27"/>
  <c r="G136" i="27"/>
  <c r="G17" i="27"/>
  <c r="G49" i="27"/>
  <c r="G81" i="27"/>
  <c r="G113" i="27"/>
  <c r="U4" i="12" l="1"/>
  <c r="I15" i="30"/>
  <c r="I15" i="31"/>
  <c r="I126" i="30"/>
  <c r="I126" i="31"/>
  <c r="I119" i="30"/>
  <c r="I119" i="31"/>
  <c r="I29" i="31"/>
  <c r="I29" i="30"/>
  <c r="I43" i="31"/>
  <c r="I43" i="30"/>
  <c r="I138" i="31"/>
  <c r="I138" i="30"/>
  <c r="I105" i="30"/>
  <c r="I105" i="31"/>
  <c r="I41" i="31"/>
  <c r="I41" i="30"/>
  <c r="I88" i="30"/>
  <c r="I88" i="31"/>
  <c r="I8" i="31"/>
  <c r="I8" i="30"/>
  <c r="I103" i="30"/>
  <c r="I103" i="31"/>
  <c r="I122" i="30"/>
  <c r="I122" i="31"/>
  <c r="I53" i="30"/>
  <c r="I53" i="31"/>
  <c r="I78" i="30"/>
  <c r="I78" i="31"/>
  <c r="I116" i="31"/>
  <c r="I116" i="30"/>
  <c r="I95" i="30"/>
  <c r="I95" i="31"/>
  <c r="I17" i="30"/>
  <c r="I17" i="31"/>
  <c r="I46" i="31"/>
  <c r="I46" i="30"/>
  <c r="U116" i="30"/>
  <c r="U116" i="31"/>
  <c r="U105" i="31"/>
  <c r="U105" i="30"/>
  <c r="U91" i="31"/>
  <c r="U91" i="30"/>
  <c r="U99" i="30"/>
  <c r="U99" i="31"/>
  <c r="U109" i="31"/>
  <c r="U109" i="30"/>
  <c r="U102" i="31"/>
  <c r="U102" i="30"/>
  <c r="U93" i="31"/>
  <c r="U93" i="30"/>
  <c r="U124" i="30"/>
  <c r="U124" i="31"/>
  <c r="U98" i="31"/>
  <c r="U98" i="30"/>
  <c r="U87" i="31"/>
  <c r="U87" i="30"/>
  <c r="U63" i="31"/>
  <c r="U63" i="30"/>
  <c r="U90" i="31"/>
  <c r="U90" i="30"/>
  <c r="U70" i="31"/>
  <c r="U70" i="30"/>
  <c r="I67" i="31"/>
  <c r="I67" i="30"/>
  <c r="I93" i="31"/>
  <c r="I93" i="30"/>
  <c r="I38" i="31"/>
  <c r="I38" i="30"/>
  <c r="I60" i="31"/>
  <c r="I60" i="30"/>
  <c r="I28" i="31"/>
  <c r="I28" i="30"/>
  <c r="I107" i="30"/>
  <c r="I107" i="31"/>
  <c r="I57" i="31"/>
  <c r="I57" i="30"/>
  <c r="I134" i="31"/>
  <c r="I134" i="30"/>
  <c r="I101" i="30"/>
  <c r="I101" i="31"/>
  <c r="I84" i="31"/>
  <c r="I84" i="30"/>
  <c r="I20" i="30"/>
  <c r="I20" i="31"/>
  <c r="I23" i="30"/>
  <c r="I23" i="31"/>
  <c r="I75" i="30"/>
  <c r="I75" i="31"/>
  <c r="I113" i="30"/>
  <c r="I113" i="31"/>
  <c r="I97" i="31"/>
  <c r="I97" i="30"/>
  <c r="I33" i="31"/>
  <c r="I33" i="30"/>
  <c r="I80" i="30"/>
  <c r="I80" i="31"/>
  <c r="I16" i="30"/>
  <c r="I16" i="31"/>
  <c r="U67" i="30"/>
  <c r="U67" i="31"/>
  <c r="U19" i="30"/>
  <c r="U19" i="31"/>
  <c r="U12" i="30"/>
  <c r="U12" i="31"/>
  <c r="U35" i="30"/>
  <c r="U35" i="31"/>
  <c r="U32" i="30"/>
  <c r="U32" i="31"/>
  <c r="U51" i="30"/>
  <c r="U51" i="31"/>
  <c r="U27" i="31"/>
  <c r="U27" i="30"/>
  <c r="U30" i="31"/>
  <c r="U30" i="30"/>
  <c r="U5" i="31"/>
  <c r="U5" i="30"/>
  <c r="U10" i="31"/>
  <c r="U10" i="30"/>
  <c r="U20" i="30"/>
  <c r="U20" i="31"/>
  <c r="U125" i="31"/>
  <c r="U125" i="30"/>
  <c r="U79" i="31"/>
  <c r="U79" i="30"/>
  <c r="U31" i="31"/>
  <c r="U31" i="30"/>
  <c r="U24" i="30"/>
  <c r="U24" i="31"/>
  <c r="U136" i="30"/>
  <c r="U136" i="31"/>
  <c r="U25" i="31"/>
  <c r="U25" i="30"/>
  <c r="U18" i="31"/>
  <c r="U18" i="30"/>
  <c r="U89" i="31"/>
  <c r="U89" i="30"/>
  <c r="U107" i="31"/>
  <c r="U107" i="30"/>
  <c r="I5" i="31"/>
  <c r="I5" i="30"/>
  <c r="I99" i="31"/>
  <c r="I99" i="30"/>
  <c r="I19" i="30"/>
  <c r="I19" i="31"/>
  <c r="I59" i="31"/>
  <c r="I59" i="30"/>
  <c r="I125" i="31"/>
  <c r="I125" i="30"/>
  <c r="I61" i="31"/>
  <c r="I61" i="30"/>
  <c r="I108" i="31"/>
  <c r="I108" i="30"/>
  <c r="I115" i="31"/>
  <c r="I115" i="30"/>
  <c r="I63" i="31"/>
  <c r="I63" i="30"/>
  <c r="I73" i="31"/>
  <c r="I73" i="30"/>
  <c r="I86" i="30"/>
  <c r="I86" i="31"/>
  <c r="I34" i="31"/>
  <c r="I34" i="30"/>
  <c r="I137" i="30"/>
  <c r="I137" i="31"/>
  <c r="I104" i="30"/>
  <c r="I104" i="31"/>
  <c r="I35" i="31"/>
  <c r="I35" i="30"/>
  <c r="I55" i="30"/>
  <c r="I55" i="31"/>
  <c r="I83" i="30"/>
  <c r="I83" i="31"/>
  <c r="I27" i="31"/>
  <c r="I27" i="30"/>
  <c r="I90" i="30"/>
  <c r="I90" i="31"/>
  <c r="I117" i="30"/>
  <c r="I117" i="31"/>
  <c r="I37" i="30"/>
  <c r="I37" i="31"/>
  <c r="I21" i="30"/>
  <c r="I21" i="31"/>
  <c r="I110" i="31"/>
  <c r="I110" i="30"/>
  <c r="I50" i="31"/>
  <c r="I50" i="30"/>
  <c r="I52" i="30"/>
  <c r="I52" i="31"/>
  <c r="I36" i="31"/>
  <c r="I36" i="30"/>
  <c r="I51" i="30"/>
  <c r="I51" i="31"/>
  <c r="I11" i="31"/>
  <c r="I11" i="30"/>
  <c r="I129" i="31"/>
  <c r="I129" i="30"/>
  <c r="I65" i="31"/>
  <c r="I65" i="30"/>
  <c r="I96" i="31"/>
  <c r="I96" i="30"/>
  <c r="I48" i="31"/>
  <c r="I48" i="30"/>
  <c r="I32" i="30"/>
  <c r="I32" i="31"/>
  <c r="I24" i="30"/>
  <c r="I24" i="31"/>
  <c r="U110" i="31"/>
  <c r="U110" i="30"/>
  <c r="U38" i="31"/>
  <c r="U38" i="30"/>
  <c r="U92" i="30"/>
  <c r="U92" i="31"/>
  <c r="U108" i="30"/>
  <c r="U108" i="31"/>
  <c r="U84" i="30"/>
  <c r="U84" i="31"/>
  <c r="U60" i="30"/>
  <c r="U60" i="31"/>
  <c r="U113" i="31"/>
  <c r="U113" i="30"/>
  <c r="U59" i="31"/>
  <c r="U59" i="30"/>
  <c r="U137" i="31"/>
  <c r="U137" i="30"/>
  <c r="U88" i="30"/>
  <c r="U88" i="31"/>
  <c r="U64" i="30"/>
  <c r="U64" i="31"/>
  <c r="U80" i="30"/>
  <c r="U80" i="31"/>
  <c r="U56" i="30"/>
  <c r="U56" i="31"/>
  <c r="U50" i="31"/>
  <c r="U50" i="30"/>
  <c r="U134" i="31"/>
  <c r="U134" i="30"/>
  <c r="U126" i="31"/>
  <c r="U126" i="30"/>
  <c r="U101" i="31"/>
  <c r="U101" i="30"/>
  <c r="U130" i="31"/>
  <c r="U130" i="30"/>
  <c r="U106" i="31"/>
  <c r="U106" i="30"/>
  <c r="U58" i="31"/>
  <c r="U58" i="30"/>
  <c r="U34" i="31"/>
  <c r="U34" i="30"/>
  <c r="U55" i="31"/>
  <c r="U55" i="30"/>
  <c r="U96" i="30"/>
  <c r="U96" i="31"/>
  <c r="U72" i="30"/>
  <c r="U72" i="31"/>
  <c r="U95" i="31"/>
  <c r="U95" i="30"/>
  <c r="U47" i="31"/>
  <c r="U47" i="30"/>
  <c r="U138" i="31"/>
  <c r="U138" i="30"/>
  <c r="U100" i="30"/>
  <c r="U100" i="31"/>
  <c r="U76" i="30"/>
  <c r="U76" i="31"/>
  <c r="U52" i="30"/>
  <c r="U52" i="31"/>
  <c r="U122" i="31"/>
  <c r="U122" i="30"/>
  <c r="U39" i="31"/>
  <c r="U39" i="30"/>
  <c r="U121" i="31"/>
  <c r="U121" i="30"/>
  <c r="U49" i="31"/>
  <c r="U49" i="30"/>
  <c r="U4" i="30"/>
  <c r="U4" i="31"/>
  <c r="U114" i="31"/>
  <c r="U114" i="30"/>
  <c r="U42" i="31"/>
  <c r="U42" i="30"/>
  <c r="U119" i="31"/>
  <c r="U119" i="30"/>
  <c r="U41" i="31"/>
  <c r="U41" i="30"/>
  <c r="U118" i="31"/>
  <c r="U118" i="30"/>
  <c r="U46" i="31"/>
  <c r="U46" i="30"/>
  <c r="I74" i="30"/>
  <c r="I74" i="31"/>
  <c r="I77" i="31"/>
  <c r="I77" i="30"/>
  <c r="I44" i="31"/>
  <c r="I44" i="30"/>
  <c r="I87" i="31"/>
  <c r="I87" i="30"/>
  <c r="I89" i="31"/>
  <c r="I89" i="30"/>
  <c r="I118" i="31"/>
  <c r="I118" i="30"/>
  <c r="I58" i="31"/>
  <c r="I58" i="30"/>
  <c r="I54" i="30"/>
  <c r="I54" i="31"/>
  <c r="I69" i="30"/>
  <c r="I69" i="31"/>
  <c r="I14" i="31"/>
  <c r="I14" i="30"/>
  <c r="I39" i="30"/>
  <c r="I39" i="31"/>
  <c r="I71" i="30"/>
  <c r="I71" i="31"/>
  <c r="I31" i="31"/>
  <c r="I31" i="30"/>
  <c r="I81" i="30"/>
  <c r="I81" i="31"/>
  <c r="I70" i="30"/>
  <c r="I70" i="31"/>
  <c r="I26" i="30"/>
  <c r="I26" i="31"/>
  <c r="U86" i="31"/>
  <c r="U86" i="30"/>
  <c r="U57" i="31"/>
  <c r="U57" i="30"/>
  <c r="U112" i="30"/>
  <c r="U112" i="31"/>
  <c r="U123" i="31"/>
  <c r="U123" i="30"/>
  <c r="U85" i="31"/>
  <c r="U85" i="30"/>
  <c r="U78" i="31"/>
  <c r="U78" i="30"/>
  <c r="U54" i="31"/>
  <c r="U54" i="30"/>
  <c r="U53" i="31"/>
  <c r="U53" i="30"/>
  <c r="U82" i="31"/>
  <c r="U82" i="30"/>
  <c r="U74" i="31"/>
  <c r="U74" i="30"/>
  <c r="U104" i="30"/>
  <c r="U104" i="31"/>
  <c r="U128" i="30"/>
  <c r="U128" i="31"/>
  <c r="U94" i="31"/>
  <c r="U94" i="30"/>
  <c r="I109" i="31"/>
  <c r="I109" i="30"/>
  <c r="I45" i="31"/>
  <c r="I45" i="30"/>
  <c r="I62" i="31"/>
  <c r="I62" i="30"/>
  <c r="I12" i="31"/>
  <c r="I12" i="30"/>
  <c r="I98" i="31"/>
  <c r="I98" i="30"/>
  <c r="I121" i="31"/>
  <c r="I121" i="30"/>
  <c r="I25" i="31"/>
  <c r="I25" i="30"/>
  <c r="I136" i="31"/>
  <c r="I136" i="30"/>
  <c r="I91" i="31"/>
  <c r="I91" i="30"/>
  <c r="I85" i="30"/>
  <c r="I85" i="31"/>
  <c r="I132" i="31"/>
  <c r="I132" i="30"/>
  <c r="I82" i="30"/>
  <c r="I82" i="31"/>
  <c r="I49" i="30"/>
  <c r="I49" i="31"/>
  <c r="I102" i="31"/>
  <c r="I102" i="30"/>
  <c r="U81" i="31"/>
  <c r="U81" i="30"/>
  <c r="U33" i="31"/>
  <c r="U33" i="30"/>
  <c r="U9" i="31"/>
  <c r="U9" i="30"/>
  <c r="U43" i="31"/>
  <c r="U43" i="30"/>
  <c r="U11" i="31"/>
  <c r="U11" i="30"/>
  <c r="U16" i="30"/>
  <c r="U16" i="31"/>
  <c r="U26" i="31"/>
  <c r="U26" i="30"/>
  <c r="U75" i="31"/>
  <c r="U75" i="30"/>
  <c r="U13" i="31"/>
  <c r="U13" i="30"/>
  <c r="U6" i="30"/>
  <c r="U6" i="31"/>
  <c r="U29" i="31"/>
  <c r="U29" i="30"/>
  <c r="U8" i="30"/>
  <c r="U8" i="31"/>
  <c r="U14" i="31"/>
  <c r="U14" i="30"/>
  <c r="U21" i="31"/>
  <c r="U21" i="30"/>
  <c r="U7" i="31"/>
  <c r="U7" i="30"/>
  <c r="U71" i="31"/>
  <c r="U71" i="30"/>
  <c r="U23" i="31"/>
  <c r="U23" i="30"/>
  <c r="U28" i="30"/>
  <c r="U28" i="31"/>
  <c r="U111" i="31"/>
  <c r="U111" i="30"/>
  <c r="U15" i="31"/>
  <c r="U15" i="30"/>
  <c r="U97" i="31"/>
  <c r="U97" i="30"/>
  <c r="U17" i="31"/>
  <c r="U17" i="30"/>
  <c r="U22" i="31"/>
  <c r="U22" i="30"/>
  <c r="I4" i="31"/>
  <c r="I4" i="30"/>
  <c r="CC73" i="27" a="1"/>
  <c r="CC73" i="27" s="1"/>
  <c r="I7" i="30"/>
  <c r="I7" i="31"/>
  <c r="I123" i="30"/>
  <c r="I123" i="31"/>
  <c r="I79" i="31"/>
  <c r="I79" i="30"/>
  <c r="I106" i="30"/>
  <c r="I106" i="31"/>
  <c r="I133" i="30"/>
  <c r="I133" i="31"/>
  <c r="I13" i="31"/>
  <c r="I13" i="30"/>
  <c r="I94" i="30"/>
  <c r="I94" i="31"/>
  <c r="I22" i="30"/>
  <c r="I22" i="31"/>
  <c r="I6" i="30"/>
  <c r="I6" i="31"/>
  <c r="I124" i="31"/>
  <c r="I124" i="30"/>
  <c r="I92" i="30"/>
  <c r="I92" i="31"/>
  <c r="I76" i="31"/>
  <c r="I76" i="30"/>
  <c r="I127" i="31"/>
  <c r="I127" i="30"/>
  <c r="I130" i="30"/>
  <c r="I130" i="31"/>
  <c r="I66" i="31"/>
  <c r="I66" i="30"/>
  <c r="I9" i="31"/>
  <c r="I9" i="30"/>
  <c r="I18" i="31"/>
  <c r="I18" i="30"/>
  <c r="I120" i="31"/>
  <c r="I120" i="30"/>
  <c r="I72" i="31"/>
  <c r="I72" i="30"/>
  <c r="I40" i="31"/>
  <c r="I40" i="30"/>
  <c r="I111" i="31"/>
  <c r="I111" i="30"/>
  <c r="I47" i="30"/>
  <c r="I47" i="31"/>
  <c r="I30" i="31"/>
  <c r="I30" i="30"/>
  <c r="I100" i="31"/>
  <c r="I100" i="30"/>
  <c r="I68" i="30"/>
  <c r="I68" i="31"/>
  <c r="I114" i="31"/>
  <c r="I114" i="30"/>
  <c r="I42" i="30"/>
  <c r="I42" i="31"/>
  <c r="I135" i="30"/>
  <c r="I135" i="31"/>
  <c r="I10" i="31"/>
  <c r="I10" i="30"/>
  <c r="I128" i="30"/>
  <c r="I128" i="31"/>
  <c r="I112" i="30"/>
  <c r="I112" i="31"/>
  <c r="I64" i="30"/>
  <c r="I64" i="31"/>
  <c r="I56" i="31"/>
  <c r="I56" i="30"/>
  <c r="U68" i="30"/>
  <c r="U68" i="31"/>
  <c r="U62" i="31"/>
  <c r="U62" i="30"/>
  <c r="U129" i="31"/>
  <c r="U129" i="30"/>
  <c r="U115" i="30"/>
  <c r="U115" i="31"/>
  <c r="U132" i="30"/>
  <c r="U132" i="31"/>
  <c r="U36" i="30"/>
  <c r="U36" i="31"/>
  <c r="U83" i="30"/>
  <c r="U83" i="31"/>
  <c r="U40" i="30"/>
  <c r="U40" i="31"/>
  <c r="U44" i="30"/>
  <c r="U44" i="31"/>
  <c r="U61" i="31"/>
  <c r="U61" i="30"/>
  <c r="U37" i="31"/>
  <c r="U37" i="30"/>
  <c r="U77" i="31"/>
  <c r="U77" i="30"/>
  <c r="U135" i="31"/>
  <c r="U135" i="30"/>
  <c r="U117" i="31"/>
  <c r="U117" i="30"/>
  <c r="U69" i="31"/>
  <c r="U69" i="30"/>
  <c r="U45" i="31"/>
  <c r="U45" i="30"/>
  <c r="U127" i="31"/>
  <c r="U127" i="30"/>
  <c r="U103" i="31"/>
  <c r="U103" i="30"/>
  <c r="U120" i="30"/>
  <c r="U120" i="31"/>
  <c r="U48" i="30"/>
  <c r="U48" i="31"/>
  <c r="U131" i="30"/>
  <c r="U131" i="31"/>
  <c r="U73" i="31"/>
  <c r="U73" i="30"/>
  <c r="U66" i="31"/>
  <c r="U66" i="30"/>
  <c r="U65" i="31"/>
  <c r="U65" i="30"/>
  <c r="I133" i="12"/>
  <c r="CO94" i="27" a="1"/>
  <c r="CO94" i="27" s="1"/>
  <c r="U62" i="12"/>
  <c r="U129" i="12"/>
  <c r="U36" i="12"/>
  <c r="U83" i="12"/>
  <c r="U61" i="12"/>
  <c r="U37" i="12"/>
  <c r="U77" i="12"/>
  <c r="U69" i="12"/>
  <c r="U45" i="12"/>
  <c r="U103" i="12"/>
  <c r="U48" i="12"/>
  <c r="U73" i="12"/>
  <c r="U66" i="12"/>
  <c r="U65" i="12"/>
  <c r="CG73" i="27" a="1"/>
  <c r="CG73" i="27" s="1"/>
  <c r="CE137" i="27" a="1"/>
  <c r="CE137" i="27" s="1"/>
  <c r="U110" i="12"/>
  <c r="U38" i="12"/>
  <c r="U92" i="12"/>
  <c r="U108" i="12"/>
  <c r="U84" i="12"/>
  <c r="U60" i="12"/>
  <c r="U113" i="12"/>
  <c r="U59" i="12"/>
  <c r="U137" i="12"/>
  <c r="U88" i="12"/>
  <c r="U64" i="12"/>
  <c r="U80" i="12"/>
  <c r="U56" i="12"/>
  <c r="U50" i="12"/>
  <c r="U134" i="12"/>
  <c r="U126" i="12"/>
  <c r="U101" i="12"/>
  <c r="U130" i="12"/>
  <c r="U106" i="12"/>
  <c r="U58" i="12"/>
  <c r="U34" i="12"/>
  <c r="U55" i="12"/>
  <c r="U96" i="12"/>
  <c r="U72" i="12"/>
  <c r="U95" i="12"/>
  <c r="U47" i="12"/>
  <c r="U138" i="12"/>
  <c r="U100" i="12"/>
  <c r="U76" i="12"/>
  <c r="U52" i="12"/>
  <c r="U122" i="12"/>
  <c r="U39" i="12"/>
  <c r="U121" i="12"/>
  <c r="U49" i="12"/>
  <c r="U114" i="12"/>
  <c r="U42" i="12"/>
  <c r="U119" i="12"/>
  <c r="U41" i="12"/>
  <c r="U118" i="12"/>
  <c r="U46" i="12"/>
  <c r="U116" i="12"/>
  <c r="U86" i="12"/>
  <c r="U105" i="12"/>
  <c r="U57" i="12"/>
  <c r="U91" i="12"/>
  <c r="I12" i="12"/>
  <c r="U112" i="12"/>
  <c r="U123" i="12"/>
  <c r="U99" i="12"/>
  <c r="U109" i="12"/>
  <c r="U85" i="12"/>
  <c r="U102" i="12"/>
  <c r="U78" i="12"/>
  <c r="U54" i="12"/>
  <c r="U53" i="12"/>
  <c r="U82" i="12"/>
  <c r="U93" i="12"/>
  <c r="U124" i="12"/>
  <c r="U74" i="12"/>
  <c r="U104" i="12"/>
  <c r="U98" i="12"/>
  <c r="U128" i="12"/>
  <c r="U87" i="12"/>
  <c r="U63" i="12"/>
  <c r="U90" i="12"/>
  <c r="U94" i="12"/>
  <c r="U70" i="12"/>
  <c r="U68" i="12"/>
  <c r="U115" i="12"/>
  <c r="U132" i="12"/>
  <c r="U40" i="12"/>
  <c r="U44" i="12"/>
  <c r="U135" i="12"/>
  <c r="U117" i="12"/>
  <c r="U127" i="12"/>
  <c r="U120" i="12"/>
  <c r="U131" i="12"/>
  <c r="U81" i="12"/>
  <c r="U33" i="12"/>
  <c r="U9" i="12"/>
  <c r="U67" i="12"/>
  <c r="U43" i="12"/>
  <c r="U19" i="12"/>
  <c r="U12" i="12"/>
  <c r="U35" i="12"/>
  <c r="U11" i="12"/>
  <c r="U16" i="12"/>
  <c r="U32" i="12"/>
  <c r="U26" i="12"/>
  <c r="U75" i="12"/>
  <c r="U51" i="12"/>
  <c r="U27" i="12"/>
  <c r="U13" i="12"/>
  <c r="U30" i="12"/>
  <c r="U6" i="12"/>
  <c r="U29" i="12"/>
  <c r="U5" i="12"/>
  <c r="U10" i="12"/>
  <c r="U8" i="12"/>
  <c r="U20" i="12"/>
  <c r="U14" i="12"/>
  <c r="U125" i="12"/>
  <c r="U21" i="12"/>
  <c r="U79" i="12"/>
  <c r="U31" i="12"/>
  <c r="U7" i="12"/>
  <c r="U24" i="12"/>
  <c r="U71" i="12"/>
  <c r="U23" i="12"/>
  <c r="U28" i="12"/>
  <c r="U136" i="12"/>
  <c r="U111" i="12"/>
  <c r="U15" i="12"/>
  <c r="U97" i="12"/>
  <c r="U25" i="12"/>
  <c r="U18" i="12"/>
  <c r="U89" i="12"/>
  <c r="U17" i="12"/>
  <c r="U107" i="12"/>
  <c r="U22" i="12"/>
  <c r="CU137" i="27" a="1"/>
  <c r="CU137" i="27" s="1"/>
  <c r="CA28" i="27" a="1"/>
  <c r="CA28" i="27" s="1"/>
  <c r="CD51" i="27" a="1"/>
  <c r="CD51" i="27" s="1"/>
  <c r="CW73" i="27" a="1"/>
  <c r="CW73" i="27" s="1"/>
  <c r="CE28" i="27" a="1"/>
  <c r="CE28" i="27" s="1"/>
  <c r="CO73" i="27" a="1"/>
  <c r="CO73" i="27" s="1"/>
  <c r="CE11" i="27" a="1"/>
  <c r="CE11" i="27" s="1"/>
  <c r="CU11" i="27" a="1"/>
  <c r="CU11" i="27" s="1"/>
  <c r="CL51" i="27" a="1"/>
  <c r="CL51" i="27" s="1"/>
  <c r="CE73" i="27" a="1"/>
  <c r="CE73" i="27" s="1"/>
  <c r="CU28" i="27" a="1"/>
  <c r="CU28" i="27" s="1"/>
  <c r="CQ73" i="27" a="1"/>
  <c r="CQ73" i="27" s="1"/>
  <c r="CS94" i="27" a="1"/>
  <c r="CS94" i="27" s="1"/>
  <c r="I39" i="12"/>
  <c r="I53" i="12"/>
  <c r="I31" i="12"/>
  <c r="CS73" i="27" a="1"/>
  <c r="CS73" i="27" s="1"/>
  <c r="I35" i="12"/>
  <c r="CI137" i="27" a="1"/>
  <c r="CI137" i="27" s="1"/>
  <c r="I6" i="12"/>
  <c r="I55" i="12"/>
  <c r="I4" i="12"/>
  <c r="AW95" i="27"/>
  <c r="AW79" i="27"/>
  <c r="AW94" i="27"/>
  <c r="AW62" i="27"/>
  <c r="AW46" i="27"/>
  <c r="AW65" i="27"/>
  <c r="AW7" i="27"/>
  <c r="AW112" i="27"/>
  <c r="AW80" i="27"/>
  <c r="AW52" i="27"/>
  <c r="AW22" i="27"/>
  <c r="AW33" i="27"/>
  <c r="AW116" i="27"/>
  <c r="AW84" i="27"/>
  <c r="AW44" i="27"/>
  <c r="AW131" i="27"/>
  <c r="AW115" i="27"/>
  <c r="AW82" i="27"/>
  <c r="I57" i="12"/>
  <c r="I60" i="12"/>
  <c r="I56" i="12"/>
  <c r="I30" i="12"/>
  <c r="I14" i="12"/>
  <c r="I47" i="12"/>
  <c r="AW31" i="27"/>
  <c r="AW15" i="27"/>
  <c r="AW8" i="27"/>
  <c r="AW42" i="27"/>
  <c r="AW57" i="27"/>
  <c r="AW134" i="27"/>
  <c r="AW118" i="27"/>
  <c r="AW102" i="27"/>
  <c r="AW86" i="27"/>
  <c r="AW53" i="27"/>
  <c r="AW77" i="27"/>
  <c r="AW34" i="27"/>
  <c r="AW18" i="27"/>
  <c r="I38" i="12"/>
  <c r="I11" i="12"/>
  <c r="I64" i="12"/>
  <c r="I50" i="12"/>
  <c r="I27" i="12"/>
  <c r="I13" i="12"/>
  <c r="I54" i="12"/>
  <c r="I29" i="12"/>
  <c r="I34" i="12"/>
  <c r="I21" i="12"/>
  <c r="I7" i="12"/>
  <c r="I52" i="12"/>
  <c r="I25" i="12"/>
  <c r="I42" i="12"/>
  <c r="I18" i="12"/>
  <c r="I17" i="12"/>
  <c r="I46" i="12"/>
  <c r="I68" i="12"/>
  <c r="I62" i="12"/>
  <c r="I67" i="12"/>
  <c r="I43" i="12"/>
  <c r="I19" i="12"/>
  <c r="I36" i="12"/>
  <c r="I40" i="12"/>
  <c r="I44" i="12"/>
  <c r="I51" i="12"/>
  <c r="I61" i="12"/>
  <c r="I37" i="12"/>
  <c r="I5" i="12"/>
  <c r="I58" i="12"/>
  <c r="I10" i="12"/>
  <c r="I8" i="12"/>
  <c r="I45" i="12"/>
  <c r="I48" i="12"/>
  <c r="I24" i="12"/>
  <c r="I23" i="12"/>
  <c r="I110" i="12"/>
  <c r="I116" i="12"/>
  <c r="I92" i="12"/>
  <c r="I86" i="12"/>
  <c r="I129" i="12"/>
  <c r="I105" i="12"/>
  <c r="I81" i="12"/>
  <c r="I33" i="12"/>
  <c r="I9" i="12"/>
  <c r="I115" i="12"/>
  <c r="I91" i="12"/>
  <c r="I132" i="12"/>
  <c r="I108" i="12"/>
  <c r="I84" i="12"/>
  <c r="I113" i="12"/>
  <c r="I83" i="12"/>
  <c r="I59" i="12"/>
  <c r="I137" i="12"/>
  <c r="I112" i="12"/>
  <c r="I88" i="12"/>
  <c r="I16" i="12"/>
  <c r="I80" i="12"/>
  <c r="I32" i="12"/>
  <c r="I26" i="12"/>
  <c r="I123" i="12"/>
  <c r="I99" i="12"/>
  <c r="I75" i="12"/>
  <c r="I134" i="12"/>
  <c r="I109" i="12"/>
  <c r="I85" i="12"/>
  <c r="I126" i="12"/>
  <c r="I102" i="12"/>
  <c r="I78" i="12"/>
  <c r="I101" i="12"/>
  <c r="I77" i="12"/>
  <c r="I130" i="12"/>
  <c r="I106" i="12"/>
  <c r="I82" i="12"/>
  <c r="I135" i="12"/>
  <c r="I20" i="12"/>
  <c r="I125" i="12"/>
  <c r="I117" i="12"/>
  <c r="I93" i="12"/>
  <c r="I69" i="12"/>
  <c r="I127" i="12"/>
  <c r="I103" i="12"/>
  <c r="I79" i="12"/>
  <c r="I120" i="12"/>
  <c r="I96" i="12"/>
  <c r="I72" i="12"/>
  <c r="I131" i="12"/>
  <c r="I95" i="12"/>
  <c r="I71" i="12"/>
  <c r="I138" i="12"/>
  <c r="I124" i="12"/>
  <c r="I100" i="12"/>
  <c r="I76" i="12"/>
  <c r="I28" i="12"/>
  <c r="I74" i="12"/>
  <c r="I104" i="12"/>
  <c r="I98" i="12"/>
  <c r="I128" i="12"/>
  <c r="I122" i="12"/>
  <c r="I136" i="12"/>
  <c r="I111" i="12"/>
  <c r="I87" i="12"/>
  <c r="I63" i="12"/>
  <c r="I15" i="12"/>
  <c r="I121" i="12"/>
  <c r="I97" i="12"/>
  <c r="I73" i="12"/>
  <c r="I49" i="12"/>
  <c r="I114" i="12"/>
  <c r="I90" i="12"/>
  <c r="I66" i="12"/>
  <c r="I119" i="12"/>
  <c r="I89" i="12"/>
  <c r="I65" i="12"/>
  <c r="I41" i="12"/>
  <c r="I107" i="12"/>
  <c r="I118" i="12"/>
  <c r="I94" i="12"/>
  <c r="I70" i="12"/>
  <c r="I22" i="12"/>
  <c r="CA73" i="27" a="1"/>
  <c r="CA73" i="27" s="1"/>
  <c r="CT73" i="27" a="1"/>
  <c r="CT73" i="27" s="1"/>
  <c r="CW94" i="27" a="1"/>
  <c r="CW94" i="27" s="1"/>
  <c r="AW101" i="27"/>
  <c r="AW63" i="27"/>
  <c r="AW47" i="27"/>
  <c r="AW40" i="27"/>
  <c r="AW117" i="27"/>
  <c r="AW109" i="27"/>
  <c r="AW45" i="27"/>
  <c r="AW129" i="27"/>
  <c r="AW132" i="27"/>
  <c r="AW68" i="27"/>
  <c r="AW140" i="27"/>
  <c r="AW123" i="27"/>
  <c r="AW107" i="27"/>
  <c r="AW27" i="27"/>
  <c r="AW120" i="27"/>
  <c r="AW88" i="27"/>
  <c r="AW60" i="27"/>
  <c r="AW139" i="27"/>
  <c r="AW122" i="27"/>
  <c r="AW106" i="27"/>
  <c r="AW90" i="27"/>
  <c r="AW10" i="27"/>
  <c r="AW105" i="27"/>
  <c r="AW138" i="27"/>
  <c r="AW113" i="27"/>
  <c r="AW124" i="27"/>
  <c r="AW92" i="27"/>
  <c r="AW56" i="27"/>
  <c r="AW136" i="27"/>
  <c r="AW119" i="27"/>
  <c r="AW103" i="27"/>
  <c r="AW23" i="27"/>
  <c r="AW32" i="27"/>
  <c r="AW16" i="27"/>
  <c r="AW13" i="27"/>
  <c r="AW97" i="27"/>
  <c r="AW99" i="27"/>
  <c r="AW83" i="27"/>
  <c r="AW67" i="27"/>
  <c r="AW51" i="27"/>
  <c r="AW35" i="27"/>
  <c r="AW98" i="27"/>
  <c r="AW69" i="27"/>
  <c r="AW121" i="27"/>
  <c r="AW125" i="27"/>
  <c r="AW61" i="27"/>
  <c r="AW108" i="27"/>
  <c r="AW76" i="27"/>
  <c r="AW135" i="27"/>
  <c r="AW127" i="27"/>
  <c r="AW111" i="27"/>
  <c r="AW128" i="27"/>
  <c r="AW64" i="27"/>
  <c r="AW24" i="27"/>
  <c r="AW126" i="27"/>
  <c r="AW110" i="27"/>
  <c r="AW78" i="27"/>
  <c r="AW30" i="27"/>
  <c r="AW14" i="27"/>
  <c r="AW89" i="27"/>
  <c r="AW100" i="27"/>
  <c r="AW91" i="27"/>
  <c r="AW75" i="27"/>
  <c r="AW59" i="27"/>
  <c r="AW43" i="27"/>
  <c r="AW20" i="27"/>
  <c r="AW85" i="27"/>
  <c r="AW93" i="27"/>
  <c r="AW87" i="27"/>
  <c r="AW70" i="27"/>
  <c r="AW54" i="27"/>
  <c r="AW73" i="27"/>
  <c r="AW25" i="27"/>
  <c r="AW28" i="27"/>
  <c r="AW12" i="27"/>
  <c r="AW66" i="27"/>
  <c r="AW50" i="27"/>
  <c r="AW58" i="27"/>
  <c r="CS11" i="27" a="1"/>
  <c r="CS11" i="27" s="1"/>
  <c r="CV73" i="27" a="1"/>
  <c r="CV73" i="27" s="1"/>
  <c r="CW11" i="27" a="1"/>
  <c r="CW11" i="27" s="1"/>
  <c r="CR28" i="27" a="1"/>
  <c r="CR28" i="27" s="1"/>
  <c r="CF73" i="27" a="1"/>
  <c r="CF73" i="27" s="1"/>
  <c r="CG94" i="27" a="1"/>
  <c r="CG94" i="27" s="1"/>
  <c r="CQ28" i="27" a="1"/>
  <c r="CQ28" i="27" s="1"/>
  <c r="CT28" i="27" a="1"/>
  <c r="CT28" i="27" s="1"/>
  <c r="CK28" i="27" a="1"/>
  <c r="CK28" i="27" s="1"/>
  <c r="CA104" i="27" a="1"/>
  <c r="CA104" i="27" s="1"/>
  <c r="CW60" i="27" a="1"/>
  <c r="CW60" i="27" s="1"/>
  <c r="CQ69" i="27" a="1"/>
  <c r="CQ69" i="27" s="1"/>
  <c r="CL99" i="27" a="1"/>
  <c r="CL99" i="27" s="1"/>
  <c r="CQ136" i="27" a="1"/>
  <c r="CQ136" i="27" s="1"/>
  <c r="CQ109" i="27" a="1"/>
  <c r="CQ109" i="27" s="1"/>
  <c r="CI72" i="27" a="1"/>
  <c r="CI72" i="27" s="1"/>
  <c r="CR36" i="27" a="1"/>
  <c r="CR36" i="27" s="1"/>
  <c r="CV136" i="27" a="1"/>
  <c r="CV136" i="27" s="1"/>
  <c r="CS136" i="27" a="1"/>
  <c r="CS136" i="27" s="1"/>
  <c r="CS15" i="27" a="1"/>
  <c r="CS15" i="27" s="1"/>
  <c r="CW136" i="27" a="1"/>
  <c r="CW136" i="27" s="1"/>
  <c r="CA24" i="27" a="1"/>
  <c r="CA24" i="27" s="1"/>
  <c r="CJ36" i="27" a="1"/>
  <c r="CJ36" i="27" s="1"/>
  <c r="CU136" i="27" a="1"/>
  <c r="CU136" i="27" s="1"/>
  <c r="CO37" i="27" a="1"/>
  <c r="CO37" i="27" s="1"/>
  <c r="CA72" i="27" a="1"/>
  <c r="CA72" i="27" s="1"/>
  <c r="CL69" i="27" a="1"/>
  <c r="CL69" i="27" s="1"/>
  <c r="CI111" i="27" a="1"/>
  <c r="CI111" i="27" s="1"/>
  <c r="CL109" i="27" a="1"/>
  <c r="CL109" i="27" s="1"/>
  <c r="CF57" i="27" a="1"/>
  <c r="CF57" i="27" s="1"/>
  <c r="CA27" i="27" a="1"/>
  <c r="CA27" i="27" s="1"/>
  <c r="CU47" i="27" a="1"/>
  <c r="CU47" i="27" s="1"/>
  <c r="CJ71" i="27" a="1"/>
  <c r="CJ71" i="27" s="1"/>
  <c r="CP73" i="27" a="1"/>
  <c r="CP73" i="27" s="1"/>
  <c r="CG28" i="27" a="1"/>
  <c r="CG28" i="27" s="1"/>
  <c r="BZ28" i="27" a="1"/>
  <c r="BZ28" i="27" s="1"/>
  <c r="CM28" i="27" a="1"/>
  <c r="CM28" i="27" s="1"/>
  <c r="CQ57" i="27" a="1"/>
  <c r="CQ57" i="27" s="1"/>
  <c r="CU21" i="27" a="1"/>
  <c r="CU21" i="27" s="1"/>
  <c r="CM72" i="27" a="1"/>
  <c r="CM72" i="27" s="1"/>
  <c r="CO127" i="27" a="1"/>
  <c r="CO127" i="27" s="1"/>
  <c r="CU129" i="27" a="1"/>
  <c r="CU129" i="27" s="1"/>
  <c r="CS99" i="27" a="1"/>
  <c r="CS99" i="27" s="1"/>
  <c r="CM93" i="27" a="1"/>
  <c r="CM93" i="27" s="1"/>
  <c r="CD57" i="27" a="1"/>
  <c r="CD57" i="27" s="1"/>
  <c r="CE55" i="27" a="1"/>
  <c r="CE55" i="27" s="1"/>
  <c r="CK9" i="27" a="1"/>
  <c r="CK9" i="27" s="1"/>
  <c r="CE49" i="27" a="1"/>
  <c r="CE49" i="27" s="1"/>
  <c r="CG111" i="27" a="1"/>
  <c r="CG111" i="27" s="1"/>
  <c r="CM60" i="27" a="1"/>
  <c r="CM60" i="27" s="1"/>
  <c r="CI57" i="27" a="1"/>
  <c r="CI57" i="27" s="1"/>
  <c r="CR87" i="27" a="1"/>
  <c r="CR87" i="27" s="1"/>
  <c r="CQ120" i="27" a="1"/>
  <c r="CQ120" i="27" s="1"/>
  <c r="CC18" i="27" a="1"/>
  <c r="CC18" i="27" s="1"/>
  <c r="CE74" i="27" a="1"/>
  <c r="CE74" i="27" s="1"/>
  <c r="CR63" i="27" a="1"/>
  <c r="CR63" i="27" s="1"/>
  <c r="CO31" i="27" a="1"/>
  <c r="CO31" i="27" s="1"/>
  <c r="CL41" i="27" a="1"/>
  <c r="CL41" i="27" s="1"/>
  <c r="CU30" i="27" a="1"/>
  <c r="CU30" i="27" s="1"/>
  <c r="CQ114" i="27" a="1"/>
  <c r="CQ114" i="27" s="1"/>
  <c r="CI98" i="27" a="1"/>
  <c r="CI98" i="27" s="1"/>
  <c r="CB123" i="27" a="1"/>
  <c r="CB123" i="27" s="1"/>
  <c r="CS74" i="27" a="1"/>
  <c r="CS74" i="27" s="1"/>
  <c r="CA63" i="27" a="1"/>
  <c r="CA63" i="27" s="1"/>
  <c r="CL129" i="27" a="1"/>
  <c r="CL129" i="27" s="1"/>
  <c r="CA16" i="27" a="1"/>
  <c r="CA16" i="27" s="1"/>
  <c r="CN129" i="27" a="1"/>
  <c r="CN129" i="27" s="1"/>
  <c r="CW129" i="27" a="1"/>
  <c r="CW129" i="27" s="1"/>
  <c r="CI129" i="27" a="1"/>
  <c r="CI129" i="27" s="1"/>
  <c r="CH119" i="27" a="1"/>
  <c r="CH119" i="27" s="1"/>
  <c r="CS63" i="27" a="1"/>
  <c r="CS63" i="27" s="1"/>
  <c r="CO103" i="27" a="1"/>
  <c r="CO103" i="27" s="1"/>
  <c r="CS129" i="27" a="1"/>
  <c r="CS129" i="27" s="1"/>
  <c r="CK129" i="27" a="1"/>
  <c r="CK129" i="27" s="1"/>
  <c r="CC31" i="27" a="1"/>
  <c r="CC31" i="27" s="1"/>
  <c r="CE103" i="27" a="1"/>
  <c r="CE103" i="27" s="1"/>
  <c r="CM119" i="27" a="1"/>
  <c r="CM119" i="27" s="1"/>
  <c r="CC116" i="27" a="1"/>
  <c r="CC116" i="27" s="1"/>
  <c r="CH122" i="27" a="1"/>
  <c r="CH122" i="27" s="1"/>
  <c r="CR139" i="27" a="1"/>
  <c r="CR139" i="27" s="1"/>
  <c r="BZ63" i="27" a="1"/>
  <c r="BZ63" i="27" s="1"/>
  <c r="CE105" i="27" a="1"/>
  <c r="CE105" i="27" s="1"/>
  <c r="CQ63" i="27" a="1"/>
  <c r="CQ63" i="27" s="1"/>
  <c r="CL63" i="27" a="1"/>
  <c r="CL63" i="27" s="1"/>
  <c r="CG129" i="27" a="1"/>
  <c r="CG129" i="27" s="1"/>
  <c r="CP129" i="27" a="1"/>
  <c r="CP129" i="27" s="1"/>
  <c r="CQ116" i="27" a="1"/>
  <c r="CQ116" i="27" s="1"/>
  <c r="CE35" i="27" a="1"/>
  <c r="CE35" i="27" s="1"/>
  <c r="CQ32" i="27" a="1"/>
  <c r="CQ32" i="27" s="1"/>
  <c r="CA139" i="27" a="1"/>
  <c r="CA139" i="27" s="1"/>
  <c r="CI32" i="27" a="1"/>
  <c r="CI32" i="27" s="1"/>
  <c r="CW74" i="27" a="1"/>
  <c r="CW74" i="27" s="1"/>
  <c r="CL10" i="27" a="1"/>
  <c r="CL10" i="27" s="1"/>
  <c r="CA124" i="27" a="1"/>
  <c r="CA124" i="27" s="1"/>
  <c r="CJ63" i="27" a="1"/>
  <c r="CJ63" i="27" s="1"/>
  <c r="CT63" i="27" a="1"/>
  <c r="CT63" i="27" s="1"/>
  <c r="CG63" i="27" a="1"/>
  <c r="CG63" i="27" s="1"/>
  <c r="CO56" i="27" a="1"/>
  <c r="CO56" i="27" s="1"/>
  <c r="CU16" i="27" a="1"/>
  <c r="CU16" i="27" s="1"/>
  <c r="CS139" i="27" a="1"/>
  <c r="CS139" i="27" s="1"/>
  <c r="CH129" i="27" a="1"/>
  <c r="CH129" i="27" s="1"/>
  <c r="CR129" i="27" a="1"/>
  <c r="CR129" i="27" s="1"/>
  <c r="CQ129" i="27" a="1"/>
  <c r="CQ129" i="27" s="1"/>
  <c r="CJ129" i="27" a="1"/>
  <c r="CJ129" i="27" s="1"/>
  <c r="CA12" i="27" a="1"/>
  <c r="CA12" i="27" s="1"/>
  <c r="CQ6" i="27" a="1"/>
  <c r="CQ6" i="27" s="1"/>
  <c r="CO89" i="27" a="1"/>
  <c r="CO89" i="27" s="1"/>
  <c r="CM105" i="27" a="1"/>
  <c r="CM105" i="27" s="1"/>
  <c r="CK74" i="27" a="1"/>
  <c r="CK74" i="27" s="1"/>
  <c r="CT74" i="27" a="1"/>
  <c r="CT74" i="27" s="1"/>
  <c r="CP74" i="27" a="1"/>
  <c r="CP74" i="27" s="1"/>
  <c r="CK16" i="27" a="1"/>
  <c r="CK16" i="27" s="1"/>
  <c r="CN74" i="27" a="1"/>
  <c r="CN74" i="27" s="1"/>
  <c r="BZ74" i="27" a="1"/>
  <c r="BZ74" i="27" s="1"/>
  <c r="CH74" i="27" a="1"/>
  <c r="CH74" i="27" s="1"/>
  <c r="CU89" i="27" a="1"/>
  <c r="CU89" i="27" s="1"/>
  <c r="CW6" i="27" a="1"/>
  <c r="CW6" i="27" s="1"/>
  <c r="CO108" i="27" a="1"/>
  <c r="CO108" i="27" s="1"/>
  <c r="CG139" i="27" a="1"/>
  <c r="CG139" i="27" s="1"/>
  <c r="CF105" i="27" a="1"/>
  <c r="CF105" i="27" s="1"/>
  <c r="CA88" i="27" a="1"/>
  <c r="CA88" i="27" s="1"/>
  <c r="CO63" i="27" a="1"/>
  <c r="CO63" i="27" s="1"/>
  <c r="CK63" i="27" a="1"/>
  <c r="CK63" i="27" s="1"/>
  <c r="CT129" i="27" a="1"/>
  <c r="CT129" i="27" s="1"/>
  <c r="CM129" i="27" a="1"/>
  <c r="CM129" i="27" s="1"/>
  <c r="CF129" i="27" a="1"/>
  <c r="CF129" i="27" s="1"/>
  <c r="CV129" i="27" a="1"/>
  <c r="CV129" i="27" s="1"/>
  <c r="CO129" i="27" a="1"/>
  <c r="CO129" i="27" s="1"/>
  <c r="CA89" i="27" a="1"/>
  <c r="CA89" i="27" s="1"/>
  <c r="CA46" i="27" a="1"/>
  <c r="CA46" i="27" s="1"/>
  <c r="CM56" i="27" a="1"/>
  <c r="CM56" i="27" s="1"/>
  <c r="CG18" i="27" a="1"/>
  <c r="CG18" i="27" s="1"/>
  <c r="CB103" i="27" a="1"/>
  <c r="CB103" i="27" s="1"/>
  <c r="CF74" i="27" a="1"/>
  <c r="CF74" i="27" s="1"/>
  <c r="CT46" i="27" a="1"/>
  <c r="CT46" i="27" s="1"/>
  <c r="CA74" i="27" a="1"/>
  <c r="CA74" i="27" s="1"/>
  <c r="CL74" i="27" a="1"/>
  <c r="CL74" i="27" s="1"/>
  <c r="CC125" i="27" a="1"/>
  <c r="CC125" i="27" s="1"/>
  <c r="CR115" i="27" a="1"/>
  <c r="CR115" i="27" s="1"/>
  <c r="CM127" i="27" a="1"/>
  <c r="CM127" i="27" s="1"/>
  <c r="CO82" i="27" a="1"/>
  <c r="CO82" i="27" s="1"/>
  <c r="CM50" i="27" a="1"/>
  <c r="CM50" i="27" s="1"/>
  <c r="BZ117" i="27" a="1"/>
  <c r="BZ117" i="27" s="1"/>
  <c r="CU104" i="27" a="1"/>
  <c r="CU104" i="27" s="1"/>
  <c r="CC27" i="27" a="1"/>
  <c r="CC27" i="27" s="1"/>
  <c r="CO72" i="27" a="1"/>
  <c r="CO72" i="27" s="1"/>
  <c r="CC72" i="27" a="1"/>
  <c r="CC72" i="27" s="1"/>
  <c r="CE84" i="27" a="1"/>
  <c r="CE84" i="27" s="1"/>
  <c r="CW10" i="27" a="1"/>
  <c r="CW10" i="27" s="1"/>
  <c r="CM74" i="27" a="1"/>
  <c r="CM74" i="27" s="1"/>
  <c r="CI74" i="27" a="1"/>
  <c r="CI74" i="27" s="1"/>
  <c r="CV74" i="27" a="1"/>
  <c r="CV74" i="27" s="1"/>
  <c r="CQ100" i="27" a="1"/>
  <c r="CQ100" i="27" s="1"/>
  <c r="CK55" i="27" a="1"/>
  <c r="CK55" i="27" s="1"/>
  <c r="CN55" i="27" a="1"/>
  <c r="CN55" i="27" s="1"/>
  <c r="CR74" i="27" a="1"/>
  <c r="CR74" i="27" s="1"/>
  <c r="CB74" i="27" a="1"/>
  <c r="CB74" i="27" s="1"/>
  <c r="CM55" i="27" a="1"/>
  <c r="CM55" i="27" s="1"/>
  <c r="CU34" i="27" a="1"/>
  <c r="CU34" i="27" s="1"/>
  <c r="CO18" i="27" a="1"/>
  <c r="CO18" i="27" s="1"/>
  <c r="CO93" i="27" a="1"/>
  <c r="CO93" i="27" s="1"/>
  <c r="CB57" i="27" a="1"/>
  <c r="CB57" i="27" s="1"/>
  <c r="CG27" i="27" a="1"/>
  <c r="CG27" i="27" s="1"/>
  <c r="CO99" i="27" a="1"/>
  <c r="CO99" i="27" s="1"/>
  <c r="CO120" i="27" a="1"/>
  <c r="CO120" i="27" s="1"/>
  <c r="CO43" i="27" a="1"/>
  <c r="CO43" i="27" s="1"/>
  <c r="CA57" i="27" a="1"/>
  <c r="CA57" i="27" s="1"/>
  <c r="CI120" i="27" a="1"/>
  <c r="CI120" i="27" s="1"/>
  <c r="CO50" i="27" a="1"/>
  <c r="CO50" i="27" s="1"/>
  <c r="CA23" i="27" a="1"/>
  <c r="CA23" i="27" s="1"/>
  <c r="CU60" i="27" a="1"/>
  <c r="CU60" i="27" s="1"/>
  <c r="CA116" i="27" a="1"/>
  <c r="CA116" i="27" s="1"/>
  <c r="CK114" i="27" a="1"/>
  <c r="CK114" i="27" s="1"/>
  <c r="CD117" i="27" a="1"/>
  <c r="CD117" i="27" s="1"/>
  <c r="CK27" i="27" a="1"/>
  <c r="CK27" i="27" s="1"/>
  <c r="CS95" i="27" a="1"/>
  <c r="CS95" i="27" s="1"/>
  <c r="CU74" i="27" a="1"/>
  <c r="CU74" i="27" s="1"/>
  <c r="CQ74" i="27" a="1"/>
  <c r="CQ74" i="27" s="1"/>
  <c r="CG74" i="27" a="1"/>
  <c r="CG74" i="27" s="1"/>
  <c r="CJ74" i="27" a="1"/>
  <c r="CJ74" i="27" s="1"/>
  <c r="CO74" i="27" a="1"/>
  <c r="CO74" i="27" s="1"/>
  <c r="CD74" i="27" a="1"/>
  <c r="CD74" i="27" s="1"/>
  <c r="H140" i="27"/>
  <c r="CW45" i="27" a="1"/>
  <c r="CW45" i="27" s="1"/>
  <c r="CN39" i="27" a="1"/>
  <c r="CN39" i="27" s="1"/>
  <c r="CK37" i="27" a="1"/>
  <c r="CK37" i="27" s="1"/>
  <c r="CC112" i="27" a="1"/>
  <c r="CC112" i="27" s="1"/>
  <c r="CH21" i="27" a="1"/>
  <c r="CH21" i="27" s="1"/>
  <c r="CI82" i="27" a="1"/>
  <c r="CI82" i="27" s="1"/>
  <c r="CQ37" i="27" a="1"/>
  <c r="CQ37" i="27" s="1"/>
  <c r="CP39" i="27" a="1"/>
  <c r="CP39" i="27" s="1"/>
  <c r="CT136" i="27" a="1"/>
  <c r="CT136" i="27" s="1"/>
  <c r="CA37" i="27" a="1"/>
  <c r="CA37" i="27" s="1"/>
  <c r="CB129" i="27" a="1"/>
  <c r="CB129" i="27" s="1"/>
  <c r="CA129" i="27" a="1"/>
  <c r="CA129" i="27" s="1"/>
  <c r="BZ129" i="27" a="1"/>
  <c r="BZ129" i="27" s="1"/>
  <c r="CE129" i="27" a="1"/>
  <c r="CE129" i="27" s="1"/>
  <c r="CD129" i="27" a="1"/>
  <c r="CD129" i="27" s="1"/>
  <c r="CA48" i="27" a="1"/>
  <c r="CA48" i="27" s="1"/>
  <c r="CA114" i="27" a="1"/>
  <c r="CA114" i="27" s="1"/>
  <c r="CU112" i="27" a="1"/>
  <c r="CU112" i="27" s="1"/>
  <c r="CO114" i="27" a="1"/>
  <c r="CO114" i="27" s="1"/>
  <c r="CS37" i="27" a="1"/>
  <c r="CS37" i="27" s="1"/>
  <c r="CA60" i="27" a="1"/>
  <c r="CA60" i="27" s="1"/>
  <c r="CK99" i="27" a="1"/>
  <c r="CK99" i="27" s="1"/>
  <c r="CI99" i="27" a="1"/>
  <c r="CI99" i="27" s="1"/>
  <c r="CG99" i="27" a="1"/>
  <c r="CG99" i="27" s="1"/>
  <c r="CC9" i="27" a="1"/>
  <c r="CC9" i="27" s="1"/>
  <c r="CC122" i="27" a="1"/>
  <c r="CC122" i="27" s="1"/>
  <c r="CC50" i="27" a="1"/>
  <c r="CC50" i="27" s="1"/>
  <c r="CS25" i="27" a="1"/>
  <c r="CS25" i="27" s="1"/>
  <c r="CC102" i="27" a="1"/>
  <c r="CC102" i="27" s="1"/>
  <c r="CU95" i="27" a="1"/>
  <c r="CU95" i="27" s="1"/>
  <c r="CI11" i="27" a="1"/>
  <c r="CI11" i="27" s="1"/>
  <c r="CI109" i="27" a="1"/>
  <c r="CI109" i="27" s="1"/>
  <c r="CW139" i="27" a="1"/>
  <c r="CW139" i="27" s="1"/>
  <c r="CW18" i="27" a="1"/>
  <c r="CW18" i="27" s="1"/>
  <c r="CH57" i="27" a="1"/>
  <c r="CH57" i="27" s="1"/>
  <c r="CC57" i="27" a="1"/>
  <c r="CC57" i="27" s="1"/>
  <c r="CV57" i="27" a="1"/>
  <c r="CV57" i="27" s="1"/>
  <c r="CU57" i="27" a="1"/>
  <c r="CU57" i="27" s="1"/>
  <c r="CT57" i="27" a="1"/>
  <c r="CT57" i="27" s="1"/>
  <c r="CW57" i="27" a="1"/>
  <c r="CW57" i="27" s="1"/>
  <c r="CE120" i="27" a="1"/>
  <c r="CE120" i="27" s="1"/>
  <c r="CE102" i="27" a="1"/>
  <c r="CE102" i="27" s="1"/>
  <c r="CO139" i="27" a="1"/>
  <c r="CO139" i="27" s="1"/>
  <c r="CU18" i="27" a="1"/>
  <c r="CU18" i="27" s="1"/>
  <c r="CQ15" i="27" a="1"/>
  <c r="CQ15" i="27" s="1"/>
  <c r="CM120" i="27" a="1"/>
  <c r="CM120" i="27" s="1"/>
  <c r="CI116" i="27" a="1"/>
  <c r="CI116" i="27" s="1"/>
  <c r="CA50" i="27" a="1"/>
  <c r="CA50" i="27" s="1"/>
  <c r="CK60" i="27" a="1"/>
  <c r="CK60" i="27" s="1"/>
  <c r="CC120" i="27" a="1"/>
  <c r="CC120" i="27" s="1"/>
  <c r="CI50" i="27" a="1"/>
  <c r="CI50" i="27" s="1"/>
  <c r="CE108" i="27" a="1"/>
  <c r="CE108" i="27" s="1"/>
  <c r="CK139" i="27" a="1"/>
  <c r="CK139" i="27" s="1"/>
  <c r="CO105" i="27" a="1"/>
  <c r="CO105" i="27" s="1"/>
  <c r="CS105" i="27" a="1"/>
  <c r="CS105" i="27" s="1"/>
  <c r="CL105" i="27" a="1"/>
  <c r="CL105" i="27" s="1"/>
  <c r="CU122" i="27" a="1"/>
  <c r="CU122" i="27" s="1"/>
  <c r="CM103" i="27" a="1"/>
  <c r="CM103" i="27" s="1"/>
  <c r="CQ95" i="27" a="1"/>
  <c r="CQ95" i="27" s="1"/>
  <c r="CF88" i="27" a="1"/>
  <c r="CF88" i="27" s="1"/>
  <c r="CG88" i="27" a="1"/>
  <c r="CG88" i="27" s="1"/>
  <c r="CV18" i="27" a="1"/>
  <c r="CV18" i="27" s="1"/>
  <c r="CL118" i="27" a="1"/>
  <c r="CL118" i="27" s="1"/>
  <c r="CB65" i="27" a="1"/>
  <c r="CB65" i="27" s="1"/>
  <c r="CL103" i="27" a="1"/>
  <c r="CL103" i="27" s="1"/>
  <c r="CG15" i="27" a="1"/>
  <c r="CG15" i="27" s="1"/>
  <c r="CH50" i="27" a="1"/>
  <c r="CH50" i="27" s="1"/>
  <c r="CD139" i="27" a="1"/>
  <c r="CD139" i="27" s="1"/>
  <c r="CB122" i="27" a="1"/>
  <c r="CB122" i="27" s="1"/>
  <c r="CV139" i="27" a="1"/>
  <c r="CV139" i="27" s="1"/>
  <c r="CT95" i="27" a="1"/>
  <c r="CT95" i="27" s="1"/>
  <c r="CJ99" i="27" a="1"/>
  <c r="CJ99" i="27" s="1"/>
  <c r="CR99" i="27" a="1"/>
  <c r="CR99" i="27" s="1"/>
  <c r="CP99" i="27" a="1"/>
  <c r="CP99" i="27" s="1"/>
  <c r="CS9" i="27" a="1"/>
  <c r="CS9" i="27" s="1"/>
  <c r="CA122" i="27" a="1"/>
  <c r="CA122" i="27" s="1"/>
  <c r="CE125" i="27" a="1"/>
  <c r="CE125" i="27" s="1"/>
  <c r="CS57" i="27" a="1"/>
  <c r="CS57" i="27" s="1"/>
  <c r="BZ57" i="27" a="1"/>
  <c r="BZ57" i="27" s="1"/>
  <c r="CL57" i="27" a="1"/>
  <c r="CL57" i="27" s="1"/>
  <c r="CP57" i="27" a="1"/>
  <c r="CP57" i="27" s="1"/>
  <c r="CO57" i="27" a="1"/>
  <c r="CO57" i="27" s="1"/>
  <c r="CR57" i="27" a="1"/>
  <c r="CR57" i="27" s="1"/>
  <c r="CM15" i="27" a="1"/>
  <c r="CM15" i="27" s="1"/>
  <c r="CG122" i="27" a="1"/>
  <c r="CG122" i="27" s="1"/>
  <c r="CO55" i="27" a="1"/>
  <c r="CO55" i="27" s="1"/>
  <c r="CO11" i="27" a="1"/>
  <c r="CO11" i="27" s="1"/>
  <c r="CA108" i="27" a="1"/>
  <c r="CA108" i="27" s="1"/>
  <c r="CA118" i="27" a="1"/>
  <c r="CA118" i="27" s="1"/>
  <c r="CS109" i="27" a="1"/>
  <c r="CS109" i="27" s="1"/>
  <c r="CP123" i="27" a="1"/>
  <c r="CP123" i="27" s="1"/>
  <c r="CU15" i="27" a="1"/>
  <c r="CU15" i="27" s="1"/>
  <c r="CE65" i="27" a="1"/>
  <c r="CE65" i="27" s="1"/>
  <c r="CU108" i="27" a="1"/>
  <c r="CU108" i="27" s="1"/>
  <c r="CW109" i="27" a="1"/>
  <c r="CW109" i="27" s="1"/>
  <c r="CC60" i="27" a="1"/>
  <c r="CC60" i="27" s="1"/>
  <c r="CW15" i="27" a="1"/>
  <c r="CW15" i="27" s="1"/>
  <c r="CA95" i="27" a="1"/>
  <c r="CA95" i="27" s="1"/>
  <c r="CQ18" i="27" a="1"/>
  <c r="CQ18" i="27" s="1"/>
  <c r="CU125" i="27" a="1"/>
  <c r="CU125" i="27" s="1"/>
  <c r="CG60" i="27" a="1"/>
  <c r="CG60" i="27" s="1"/>
  <c r="CK105" i="27" a="1"/>
  <c r="CK105" i="27" s="1"/>
  <c r="CI105" i="27" a="1"/>
  <c r="CI105" i="27" s="1"/>
  <c r="CG105" i="27" a="1"/>
  <c r="CG105" i="27" s="1"/>
  <c r="CG116" i="27" a="1"/>
  <c r="CG116" i="27" s="1"/>
  <c r="CI55" i="27" a="1"/>
  <c r="CI55" i="27" s="1"/>
  <c r="CK95" i="27" a="1"/>
  <c r="CK95" i="27" s="1"/>
  <c r="CB15" i="27" a="1"/>
  <c r="CB15" i="27" s="1"/>
  <c r="BZ103" i="27" a="1"/>
  <c r="BZ103" i="27" s="1"/>
  <c r="CR138" i="27" a="1"/>
  <c r="CR138" i="27" s="1"/>
  <c r="CJ50" i="27" a="1"/>
  <c r="CJ50" i="27" s="1"/>
  <c r="CV8" i="27" a="1"/>
  <c r="CV8" i="27" s="1"/>
  <c r="CV50" i="27" a="1"/>
  <c r="CV50" i="27" s="1"/>
  <c r="CF50" i="27" a="1"/>
  <c r="CF50" i="27" s="1"/>
  <c r="CB95" i="27" a="1"/>
  <c r="CB95" i="27" s="1"/>
  <c r="CP95" i="27" a="1"/>
  <c r="CP95" i="27" s="1"/>
  <c r="CN95" i="27" a="1"/>
  <c r="CN95" i="27" s="1"/>
  <c r="CF95" i="27" a="1"/>
  <c r="CF95" i="27" s="1"/>
  <c r="CE99" i="27" a="1"/>
  <c r="CE99" i="27" s="1"/>
  <c r="CM99" i="27" a="1"/>
  <c r="CM99" i="27" s="1"/>
  <c r="CM116" i="27" a="1"/>
  <c r="CM116" i="27" s="1"/>
  <c r="CU55" i="27" a="1"/>
  <c r="CU55" i="27" s="1"/>
  <c r="CU133" i="27" a="1"/>
  <c r="CU133" i="27" s="1"/>
  <c r="CI60" i="27" a="1"/>
  <c r="CI60" i="27" s="1"/>
  <c r="CE57" i="27" a="1"/>
  <c r="CE57" i="27" s="1"/>
  <c r="CM57" i="27" a="1"/>
  <c r="CM57" i="27" s="1"/>
  <c r="CG57" i="27" a="1"/>
  <c r="CG57" i="27" s="1"/>
  <c r="CK57" i="27" a="1"/>
  <c r="CK57" i="27" s="1"/>
  <c r="CJ57" i="27" a="1"/>
  <c r="CJ57" i="27" s="1"/>
  <c r="CW9" i="27" a="1"/>
  <c r="CW9" i="27" s="1"/>
  <c r="CE122" i="27" a="1"/>
  <c r="CE122" i="27" s="1"/>
  <c r="CW50" i="27" a="1"/>
  <c r="CW50" i="27" s="1"/>
  <c r="CQ55" i="27" a="1"/>
  <c r="CQ55" i="27" s="1"/>
  <c r="CE60" i="27" a="1"/>
  <c r="CE60" i="27" s="1"/>
  <c r="CM9" i="27" a="1"/>
  <c r="CM9" i="27" s="1"/>
  <c r="CI122" i="27" a="1"/>
  <c r="CI122" i="27" s="1"/>
  <c r="CO125" i="27" a="1"/>
  <c r="CO125" i="27" s="1"/>
  <c r="CA18" i="27" a="1"/>
  <c r="CA18" i="27" s="1"/>
  <c r="CQ9" i="27" a="1"/>
  <c r="CQ9" i="27" s="1"/>
  <c r="CO122" i="27" a="1"/>
  <c r="CO122" i="27" s="1"/>
  <c r="CJ105" i="27" a="1"/>
  <c r="CJ105" i="27" s="1"/>
  <c r="CR105" i="27" a="1"/>
  <c r="CR105" i="27" s="1"/>
  <c r="CP105" i="27" a="1"/>
  <c r="CP105" i="27" s="1"/>
  <c r="CS50" i="27" a="1"/>
  <c r="CS50" i="27" s="1"/>
  <c r="CO95" i="27" a="1"/>
  <c r="CO95" i="27" s="1"/>
  <c r="CC11" i="27" a="1"/>
  <c r="CC11" i="27" s="1"/>
  <c r="CK88" i="27" a="1"/>
  <c r="CK88" i="27" s="1"/>
  <c r="CH65" i="27" a="1"/>
  <c r="CH65" i="27" s="1"/>
  <c r="CD55" i="27" a="1"/>
  <c r="CD55" i="27" s="1"/>
  <c r="CB11" i="27" a="1"/>
  <c r="CB11" i="27" s="1"/>
  <c r="CC58" i="27" a="1"/>
  <c r="CC58" i="27" s="1"/>
  <c r="CQ84" i="27" a="1"/>
  <c r="CQ84" i="27" s="1"/>
  <c r="CN132" i="27" a="1"/>
  <c r="CN132" i="27" s="1"/>
  <c r="CC16" i="27" a="1"/>
  <c r="CC16" i="27" s="1"/>
  <c r="CH6" i="27" a="1"/>
  <c r="CH6" i="27" s="1"/>
  <c r="CV11" i="27" a="1"/>
  <c r="CV11" i="27" s="1"/>
  <c r="CH11" i="27" a="1"/>
  <c r="CH11" i="27" s="1"/>
  <c r="CQ133" i="27" a="1"/>
  <c r="CQ133" i="27" s="1"/>
  <c r="BV140" i="27"/>
  <c r="BZ77" i="27" a="1"/>
  <c r="BZ77" i="27" s="1"/>
  <c r="CN75" i="27" a="1"/>
  <c r="CN75" i="27" s="1"/>
  <c r="CI77" i="27" a="1"/>
  <c r="CI77" i="27" s="1"/>
  <c r="CD37" i="27" a="1"/>
  <c r="CD37" i="27" s="1"/>
  <c r="CE24" i="27" a="1"/>
  <c r="CE24" i="27" s="1"/>
  <c r="CF37" i="27" a="1"/>
  <c r="CF37" i="27" s="1"/>
  <c r="CB75" i="27" a="1"/>
  <c r="CB75" i="27" s="1"/>
  <c r="CP75" i="27" a="1"/>
  <c r="CP75" i="27" s="1"/>
  <c r="CQ75" i="27" a="1"/>
  <c r="CQ75" i="27" s="1"/>
  <c r="CW131" i="27" a="1"/>
  <c r="CW131" i="27" s="1"/>
  <c r="CQ131" i="27" a="1"/>
  <c r="CQ131" i="27" s="1"/>
  <c r="CE131" i="27" a="1"/>
  <c r="CE131" i="27" s="1"/>
  <c r="CA83" i="27" a="1"/>
  <c r="CA83" i="27" s="1"/>
  <c r="BZ83" i="27" a="1"/>
  <c r="BZ83" i="27" s="1"/>
  <c r="CO83" i="27" a="1"/>
  <c r="CO83" i="27" s="1"/>
  <c r="CK83" i="27" a="1"/>
  <c r="CK83" i="27" s="1"/>
  <c r="CE93" i="27" a="1"/>
  <c r="CE93" i="27" s="1"/>
  <c r="CD93" i="27" a="1"/>
  <c r="CD93" i="27" s="1"/>
  <c r="CJ93" i="27" a="1"/>
  <c r="CJ93" i="27" s="1"/>
  <c r="CF93" i="27" a="1"/>
  <c r="CF93" i="27" s="1"/>
  <c r="BZ93" i="27" a="1"/>
  <c r="BZ93" i="27" s="1"/>
  <c r="CN93" i="27" a="1"/>
  <c r="CN93" i="27" s="1"/>
  <c r="CL93" i="27" a="1"/>
  <c r="CL93" i="27" s="1"/>
  <c r="CH45" i="27" a="1"/>
  <c r="CH45" i="27" s="1"/>
  <c r="CV45" i="27" a="1"/>
  <c r="CV45" i="27" s="1"/>
  <c r="CK45" i="27" a="1"/>
  <c r="CK45" i="27" s="1"/>
  <c r="CK110" i="27" a="1"/>
  <c r="CK110" i="27" s="1"/>
  <c r="CM110" i="27" a="1"/>
  <c r="CM110" i="27" s="1"/>
  <c r="CC110" i="27" a="1"/>
  <c r="CC110" i="27" s="1"/>
  <c r="CA110" i="27" a="1"/>
  <c r="CA110" i="27" s="1"/>
  <c r="CA62" i="27" a="1"/>
  <c r="CA62" i="27" s="1"/>
  <c r="CI62" i="27" a="1"/>
  <c r="CI62" i="27" s="1"/>
  <c r="CQ121" i="27" a="1"/>
  <c r="CQ121" i="27" s="1"/>
  <c r="CI121" i="27" a="1"/>
  <c r="CI121" i="27" s="1"/>
  <c r="CN67" i="27" a="1"/>
  <c r="CN67" i="27" s="1"/>
  <c r="CL67" i="27" a="1"/>
  <c r="CL67" i="27" s="1"/>
  <c r="CJ19" i="27" a="1"/>
  <c r="CJ19" i="27" s="1"/>
  <c r="CV19" i="27" a="1"/>
  <c r="CV19" i="27" s="1"/>
  <c r="CU19" i="27" a="1"/>
  <c r="CU19" i="27" s="1"/>
  <c r="CQ48" i="27" a="1"/>
  <c r="CQ48" i="27" s="1"/>
  <c r="CI48" i="27" a="1"/>
  <c r="CI48" i="27" s="1"/>
  <c r="CC48" i="27" a="1"/>
  <c r="CC48" i="27" s="1"/>
  <c r="CB48" i="27" a="1"/>
  <c r="CB48" i="27" s="1"/>
  <c r="CT93" i="27" a="1"/>
  <c r="CT93" i="27" s="1"/>
  <c r="CI110" i="27" a="1"/>
  <c r="CI110" i="27" s="1"/>
  <c r="CO45" i="27" a="1"/>
  <c r="CO45" i="27" s="1"/>
  <c r="CD75" i="27" a="1"/>
  <c r="CD75" i="27" s="1"/>
  <c r="CW35" i="27" a="1"/>
  <c r="CW35" i="27" s="1"/>
  <c r="CM124" i="27" a="1"/>
  <c r="CM124" i="27" s="1"/>
  <c r="CT124" i="27" a="1"/>
  <c r="CT124" i="27" s="1"/>
  <c r="CU124" i="27" a="1"/>
  <c r="CU124" i="27" s="1"/>
  <c r="BZ124" i="27" a="1"/>
  <c r="BZ124" i="27" s="1"/>
  <c r="CS131" i="27" a="1"/>
  <c r="CS131" i="27" s="1"/>
  <c r="CV35" i="27" a="1"/>
  <c r="CV35" i="27" s="1"/>
  <c r="CA53" i="27" a="1"/>
  <c r="CA53" i="27" s="1"/>
  <c r="CS53" i="27" a="1"/>
  <c r="CS53" i="27" s="1"/>
  <c r="CI53" i="27" a="1"/>
  <c r="CI53" i="27" s="1"/>
  <c r="CG53" i="27" a="1"/>
  <c r="CG53" i="27" s="1"/>
  <c r="CE53" i="27" a="1"/>
  <c r="CE53" i="27" s="1"/>
  <c r="CR93" i="27" a="1"/>
  <c r="CR93" i="27" s="1"/>
  <c r="CS93" i="27" a="1"/>
  <c r="CS93" i="27" s="1"/>
  <c r="CQ45" i="27" a="1"/>
  <c r="CQ45" i="27" s="1"/>
  <c r="CU53" i="27" a="1"/>
  <c r="CU53" i="27" s="1"/>
  <c r="CE110" i="27" a="1"/>
  <c r="CE110" i="27" s="1"/>
  <c r="CU101" i="27" a="1"/>
  <c r="CU101" i="27" s="1"/>
  <c r="CC101" i="27" a="1"/>
  <c r="CC101" i="27" s="1"/>
  <c r="CI29" i="27" a="1"/>
  <c r="CI29" i="27" s="1"/>
  <c r="CU29" i="27" a="1"/>
  <c r="CU29" i="27" s="1"/>
  <c r="CW63" i="27" a="1"/>
  <c r="CW63" i="27" s="1"/>
  <c r="CV63" i="27" a="1"/>
  <c r="CV63" i="27" s="1"/>
  <c r="CF63" i="27" a="1"/>
  <c r="CF63" i="27" s="1"/>
  <c r="CU63" i="27" a="1"/>
  <c r="CU63" i="27" s="1"/>
  <c r="CI63" i="27" a="1"/>
  <c r="CI63" i="27" s="1"/>
  <c r="CC63" i="27" a="1"/>
  <c r="CC63" i="27" s="1"/>
  <c r="CD63" i="27" a="1"/>
  <c r="CD63" i="27" s="1"/>
  <c r="CB63" i="27" a="1"/>
  <c r="CB63" i="27" s="1"/>
  <c r="CE63" i="27" a="1"/>
  <c r="CE63" i="27" s="1"/>
  <c r="CM63" i="27" a="1"/>
  <c r="CM63" i="27" s="1"/>
  <c r="CH63" i="27" a="1"/>
  <c r="CH63" i="27" s="1"/>
  <c r="CP63" i="27" a="1"/>
  <c r="CP63" i="27" s="1"/>
  <c r="CS104" i="27" a="1"/>
  <c r="CS104" i="27" s="1"/>
  <c r="CI104" i="27" a="1"/>
  <c r="CI104" i="27" s="1"/>
  <c r="CG104" i="27" a="1"/>
  <c r="CG104" i="27" s="1"/>
  <c r="CQ104" i="27" a="1"/>
  <c r="CQ104" i="27" s="1"/>
  <c r="CE32" i="27" a="1"/>
  <c r="CE32" i="27" s="1"/>
  <c r="CA32" i="27" a="1"/>
  <c r="CA32" i="27" s="1"/>
  <c r="CS32" i="27" a="1"/>
  <c r="CS32" i="27" s="1"/>
  <c r="CO13" i="27" a="1"/>
  <c r="CO13" i="27" s="1"/>
  <c r="CU13" i="27" a="1"/>
  <c r="CU13" i="27" s="1"/>
  <c r="CQ13" i="27" a="1"/>
  <c r="CQ13" i="27" s="1"/>
  <c r="CU138" i="27" a="1"/>
  <c r="CU138" i="27" s="1"/>
  <c r="CI138" i="27" a="1"/>
  <c r="CI138" i="27" s="1"/>
  <c r="CW138" i="27" a="1"/>
  <c r="CW138" i="27" s="1"/>
  <c r="CC138" i="27" a="1"/>
  <c r="CC138" i="27" s="1"/>
  <c r="CU99" i="27" a="1"/>
  <c r="CU99" i="27" s="1"/>
  <c r="CQ99" i="27" a="1"/>
  <c r="CQ99" i="27" s="1"/>
  <c r="CV99" i="27" a="1"/>
  <c r="CV99" i="27" s="1"/>
  <c r="CW99" i="27" a="1"/>
  <c r="CW99" i="27" s="1"/>
  <c r="CN99" i="27" a="1"/>
  <c r="CN99" i="27" s="1"/>
  <c r="CT99" i="27" a="1"/>
  <c r="CT99" i="27" s="1"/>
  <c r="CB99" i="27" a="1"/>
  <c r="CB99" i="27" s="1"/>
  <c r="CC99" i="27" a="1"/>
  <c r="CC99" i="27" s="1"/>
  <c r="CH99" i="27" a="1"/>
  <c r="CH99" i="27" s="1"/>
  <c r="CD99" i="27" a="1"/>
  <c r="CD99" i="27" s="1"/>
  <c r="BZ99" i="27" a="1"/>
  <c r="BZ99" i="27" s="1"/>
  <c r="CA99" i="27" a="1"/>
  <c r="CA99" i="27" s="1"/>
  <c r="CE97" i="27" a="1"/>
  <c r="CE97" i="27" s="1"/>
  <c r="CV97" i="27" a="1"/>
  <c r="CV97" i="27" s="1"/>
  <c r="BZ97" i="27" a="1"/>
  <c r="BZ97" i="27" s="1"/>
  <c r="CO25" i="27" a="1"/>
  <c r="CO25" i="27" s="1"/>
  <c r="CE25" i="27" a="1"/>
  <c r="CE25" i="27" s="1"/>
  <c r="CA25" i="27" a="1"/>
  <c r="CA25" i="27" s="1"/>
  <c r="CQ25" i="27" a="1"/>
  <c r="CQ25" i="27" s="1"/>
  <c r="BZ127" i="27" a="1"/>
  <c r="BZ127" i="27" s="1"/>
  <c r="CC127" i="27" a="1"/>
  <c r="CC127" i="27" s="1"/>
  <c r="CI127" i="27" a="1"/>
  <c r="CI127" i="27" s="1"/>
  <c r="CS90" i="27" a="1"/>
  <c r="CS90" i="27" s="1"/>
  <c r="CI132" i="27" a="1"/>
  <c r="CI132" i="27" s="1"/>
  <c r="CU88" i="27" a="1"/>
  <c r="CU88" i="27" s="1"/>
  <c r="CU73" i="27" a="1"/>
  <c r="CU73" i="27" s="1"/>
  <c r="CA36" i="27" a="1"/>
  <c r="CA36" i="27" s="1"/>
  <c r="CA94" i="27" a="1"/>
  <c r="CA94" i="27" s="1"/>
  <c r="CP87" i="27" a="1"/>
  <c r="CP87" i="27" s="1"/>
  <c r="CT51" i="27" a="1"/>
  <c r="CT51" i="27" s="1"/>
  <c r="CI27" i="27" a="1"/>
  <c r="CI27" i="27" s="1"/>
  <c r="CS27" i="27" a="1"/>
  <c r="CS27" i="27" s="1"/>
  <c r="CI15" i="27" a="1"/>
  <c r="CI15" i="27" s="1"/>
  <c r="CW120" i="27" a="1"/>
  <c r="CW120" i="27" s="1"/>
  <c r="CM98" i="27" a="1"/>
  <c r="CM98" i="27" s="1"/>
  <c r="CE27" i="27" a="1"/>
  <c r="CE27" i="27" s="1"/>
  <c r="CU119" i="27" a="1"/>
  <c r="CU119" i="27" s="1"/>
  <c r="CI73" i="27" a="1"/>
  <c r="CI73" i="27" s="1"/>
  <c r="CM27" i="27" a="1"/>
  <c r="CM27" i="27" s="1"/>
  <c r="CK120" i="27" a="1"/>
  <c r="CK120" i="27" s="1"/>
  <c r="CO34" i="27" a="1"/>
  <c r="CO34" i="27" s="1"/>
  <c r="CV88" i="27" a="1"/>
  <c r="CV88" i="27" s="1"/>
  <c r="CL88" i="27" a="1"/>
  <c r="CL88" i="27" s="1"/>
  <c r="BZ120" i="27" a="1"/>
  <c r="BZ120" i="27" s="1"/>
  <c r="CJ84" i="27" a="1"/>
  <c r="CJ84" i="27" s="1"/>
  <c r="CL120" i="27" a="1"/>
  <c r="CL120" i="27" s="1"/>
  <c r="CL73" i="27" a="1"/>
  <c r="CL73" i="27" s="1"/>
  <c r="CH73" i="27" a="1"/>
  <c r="CH73" i="27" s="1"/>
  <c r="CT27" i="27" a="1"/>
  <c r="CT27" i="27" s="1"/>
  <c r="CI94" i="27" a="1"/>
  <c r="CI94" i="27" s="1"/>
  <c r="CB115" i="27" a="1"/>
  <c r="CB115" i="27" s="1"/>
  <c r="CP15" i="27" a="1"/>
  <c r="CP15" i="27" s="1"/>
  <c r="CV15" i="27" a="1"/>
  <c r="CV15" i="27" s="1"/>
  <c r="CD15" i="27" a="1"/>
  <c r="CD15" i="27" s="1"/>
  <c r="CR15" i="27" a="1"/>
  <c r="CR15" i="27" s="1"/>
  <c r="CV27" i="27" a="1"/>
  <c r="CV27" i="27" s="1"/>
  <c r="CN94" i="27" a="1"/>
  <c r="CN94" i="27" s="1"/>
  <c r="CR94" i="27" a="1"/>
  <c r="CR94" i="27" s="1"/>
  <c r="CP94" i="27" a="1"/>
  <c r="CP94" i="27" s="1"/>
  <c r="CL94" i="27" a="1"/>
  <c r="CL94" i="27" s="1"/>
  <c r="BZ46" i="27" a="1"/>
  <c r="BZ46" i="27" s="1"/>
  <c r="CQ27" i="27" a="1"/>
  <c r="CQ27" i="27" s="1"/>
  <c r="CA135" i="27" a="1"/>
  <c r="CA135" i="27" s="1"/>
  <c r="CI89" i="27" a="1"/>
  <c r="CI89" i="27" s="1"/>
  <c r="CO46" i="27" a="1"/>
  <c r="CO46" i="27" s="1"/>
  <c r="CS120" i="27" a="1"/>
  <c r="CS120" i="27" s="1"/>
  <c r="CI56" i="27" a="1"/>
  <c r="CI56" i="27" s="1"/>
  <c r="CO88" i="27" a="1"/>
  <c r="CO88" i="27" s="1"/>
  <c r="CW27" i="27" a="1"/>
  <c r="CW27" i="27" s="1"/>
  <c r="CA120" i="27" a="1"/>
  <c r="CA120" i="27" s="1"/>
  <c r="CO81" i="27" a="1"/>
  <c r="CO81" i="27" s="1"/>
  <c r="CO27" i="27" a="1"/>
  <c r="CO27" i="27" s="1"/>
  <c r="CU120" i="27" a="1"/>
  <c r="CU120" i="27" s="1"/>
  <c r="CC98" i="27" a="1"/>
  <c r="CC98" i="27" s="1"/>
  <c r="CE89" i="27" a="1"/>
  <c r="CE89" i="27" s="1"/>
  <c r="BZ88" i="27" a="1"/>
  <c r="BZ88" i="27" s="1"/>
  <c r="CJ88" i="27" a="1"/>
  <c r="CJ88" i="27" s="1"/>
  <c r="CD120" i="27" a="1"/>
  <c r="CD120" i="27" s="1"/>
  <c r="CG84" i="27" a="1"/>
  <c r="CG84" i="27" s="1"/>
  <c r="CB120" i="27" a="1"/>
  <c r="CB120" i="27" s="1"/>
  <c r="CF120" i="27" a="1"/>
  <c r="CF120" i="27" s="1"/>
  <c r="CT94" i="27" a="1"/>
  <c r="CT94" i="27" s="1"/>
  <c r="CC52" i="27" a="1"/>
  <c r="CC52" i="27" s="1"/>
  <c r="CE52" i="27" a="1"/>
  <c r="CE52" i="27" s="1"/>
  <c r="CA52" i="27" a="1"/>
  <c r="CA52" i="27" s="1"/>
  <c r="CT118" i="27" a="1"/>
  <c r="CT118" i="27" s="1"/>
  <c r="BZ118" i="27" a="1"/>
  <c r="BZ118" i="27" s="1"/>
  <c r="CN118" i="27" a="1"/>
  <c r="CN118" i="27" s="1"/>
  <c r="CU118" i="27" a="1"/>
  <c r="CU118" i="27" s="1"/>
  <c r="CG118" i="27" a="1"/>
  <c r="CG118" i="27" s="1"/>
  <c r="CK118" i="27" a="1"/>
  <c r="CK118" i="27" s="1"/>
  <c r="CE118" i="27" a="1"/>
  <c r="CE118" i="27" s="1"/>
  <c r="CC118" i="27" a="1"/>
  <c r="CC118" i="27" s="1"/>
  <c r="CO118" i="27" a="1"/>
  <c r="CO118" i="27" s="1"/>
  <c r="CN47" i="27" a="1"/>
  <c r="CN47" i="27" s="1"/>
  <c r="CW47" i="27" a="1"/>
  <c r="CW47" i="27" s="1"/>
  <c r="CO47" i="27" a="1"/>
  <c r="CO47" i="27" s="1"/>
  <c r="CG106" i="27" a="1"/>
  <c r="CG106" i="27" s="1"/>
  <c r="CO106" i="27" a="1"/>
  <c r="CO106" i="27" s="1"/>
  <c r="CP106" i="27" a="1"/>
  <c r="CP106" i="27" s="1"/>
  <c r="CF106" i="27" a="1"/>
  <c r="CF106" i="27" s="1"/>
  <c r="CS106" i="27" a="1"/>
  <c r="CS106" i="27" s="1"/>
  <c r="CA106" i="27" a="1"/>
  <c r="CA106" i="27" s="1"/>
  <c r="CH87" i="27" a="1"/>
  <c r="CH87" i="27" s="1"/>
  <c r="CV87" i="27" a="1"/>
  <c r="CV87" i="27" s="1"/>
  <c r="CN87" i="27" a="1"/>
  <c r="CN87" i="27" s="1"/>
  <c r="CU87" i="27" a="1"/>
  <c r="CU87" i="27" s="1"/>
  <c r="CS87" i="27" a="1"/>
  <c r="CS87" i="27" s="1"/>
  <c r="CO87" i="27" a="1"/>
  <c r="CO87" i="27" s="1"/>
  <c r="CL87" i="27" a="1"/>
  <c r="CL87" i="27" s="1"/>
  <c r="CP128" i="27" a="1"/>
  <c r="CP128" i="27" s="1"/>
  <c r="CO128" i="27" a="1"/>
  <c r="CO128" i="27" s="1"/>
  <c r="CN51" i="27" a="1"/>
  <c r="CN51" i="27" s="1"/>
  <c r="CS51" i="27" a="1"/>
  <c r="CS51" i="27" s="1"/>
  <c r="CF51" i="27" a="1"/>
  <c r="CF51" i="27" s="1"/>
  <c r="CG51" i="27" a="1"/>
  <c r="CG51" i="27" s="1"/>
  <c r="CC51" i="27" a="1"/>
  <c r="CC51" i="27" s="1"/>
  <c r="CR51" i="27" a="1"/>
  <c r="CR51" i="27" s="1"/>
  <c r="CE51" i="27" a="1"/>
  <c r="CE51" i="27" s="1"/>
  <c r="CP51" i="27" a="1"/>
  <c r="CP51" i="27" s="1"/>
  <c r="CM51" i="27" a="1"/>
  <c r="CM51" i="27" s="1"/>
  <c r="CV137" i="27" a="1"/>
  <c r="CV137" i="27" s="1"/>
  <c r="CB137" i="27" a="1"/>
  <c r="CB137" i="27" s="1"/>
  <c r="BZ137" i="27" a="1"/>
  <c r="BZ137" i="27" s="1"/>
  <c r="CH137" i="27" a="1"/>
  <c r="CH137" i="27" s="1"/>
  <c r="CQ137" i="27" a="1"/>
  <c r="CQ137" i="27" s="1"/>
  <c r="CR137" i="27" a="1"/>
  <c r="CR137" i="27" s="1"/>
  <c r="CM137" i="27" a="1"/>
  <c r="CM137" i="27" s="1"/>
  <c r="CS137" i="27" a="1"/>
  <c r="CS137" i="27" s="1"/>
  <c r="CW137" i="27" a="1"/>
  <c r="CW137" i="27" s="1"/>
  <c r="CL124" i="27" a="1"/>
  <c r="CL124" i="27" s="1"/>
  <c r="CK124" i="27" a="1"/>
  <c r="CK124" i="27" s="1"/>
  <c r="CJ124" i="27" a="1"/>
  <c r="CJ124" i="27" s="1"/>
  <c r="CQ124" i="27" a="1"/>
  <c r="CQ124" i="27" s="1"/>
  <c r="CD124" i="27" a="1"/>
  <c r="CD124" i="27" s="1"/>
  <c r="CV124" i="27" a="1"/>
  <c r="CV124" i="27" s="1"/>
  <c r="CW124" i="27" a="1"/>
  <c r="CW124" i="27" s="1"/>
  <c r="CS124" i="27" a="1"/>
  <c r="CS124" i="27" s="1"/>
  <c r="CH124" i="27" a="1"/>
  <c r="CH124" i="27" s="1"/>
  <c r="CC124" i="27" a="1"/>
  <c r="CC124" i="27" s="1"/>
  <c r="CR124" i="27" a="1"/>
  <c r="CR124" i="27" s="1"/>
  <c r="CO124" i="27" a="1"/>
  <c r="CO124" i="27" s="1"/>
  <c r="CU84" i="27" a="1"/>
  <c r="CU84" i="27" s="1"/>
  <c r="CE124" i="27" a="1"/>
  <c r="CE124" i="27" s="1"/>
  <c r="CQ87" i="27" a="1"/>
  <c r="CQ87" i="27" s="1"/>
  <c r="CW87" i="27" a="1"/>
  <c r="CW87" i="27" s="1"/>
  <c r="CU51" i="27" a="1"/>
  <c r="CU51" i="27" s="1"/>
  <c r="CW51" i="27" a="1"/>
  <c r="CW51" i="27" s="1"/>
  <c r="CU52" i="27" a="1"/>
  <c r="CU52" i="27" s="1"/>
  <c r="CV75" i="27" a="1"/>
  <c r="CV75" i="27" s="1"/>
  <c r="CS79" i="27" a="1"/>
  <c r="CS79" i="27" s="1"/>
  <c r="CA137" i="27" a="1"/>
  <c r="CA137" i="27" s="1"/>
  <c r="CB124" i="27" a="1"/>
  <c r="CB124" i="27" s="1"/>
  <c r="CK137" i="27" a="1"/>
  <c r="CK137" i="27" s="1"/>
  <c r="CG137" i="27" a="1"/>
  <c r="CG137" i="27" s="1"/>
  <c r="CN124" i="27" a="1"/>
  <c r="CN124" i="27" s="1"/>
  <c r="CM65" i="27" a="1"/>
  <c r="CM65" i="27" s="1"/>
  <c r="CU65" i="27" a="1"/>
  <c r="CU65" i="27" s="1"/>
  <c r="CL116" i="27" a="1"/>
  <c r="CL116" i="27" s="1"/>
  <c r="CU116" i="27" a="1"/>
  <c r="CU116" i="27" s="1"/>
  <c r="BZ116" i="27" a="1"/>
  <c r="BZ116" i="27" s="1"/>
  <c r="CO116" i="27" a="1"/>
  <c r="CO116" i="27" s="1"/>
  <c r="CU44" i="27" a="1"/>
  <c r="CU44" i="27" s="1"/>
  <c r="CF44" i="27" a="1"/>
  <c r="CF44" i="27" s="1"/>
  <c r="CH44" i="27" a="1"/>
  <c r="CH44" i="27" s="1"/>
  <c r="CC97" i="27" a="1"/>
  <c r="CC97" i="27" s="1"/>
  <c r="CA97" i="27" a="1"/>
  <c r="CA97" i="27" s="1"/>
  <c r="CA127" i="27" a="1"/>
  <c r="CA127" i="27" s="1"/>
  <c r="CU127" i="27" a="1"/>
  <c r="CU127" i="27" s="1"/>
  <c r="CQ127" i="27" a="1"/>
  <c r="CQ127" i="27" s="1"/>
  <c r="CP137" i="27" a="1"/>
  <c r="CP137" i="27" s="1"/>
  <c r="CP125" i="27" a="1"/>
  <c r="CP125" i="27" s="1"/>
  <c r="CA125" i="27" a="1"/>
  <c r="CA125" i="27" s="1"/>
  <c r="CR125" i="27" a="1"/>
  <c r="CR125" i="27" s="1"/>
  <c r="CW125" i="27" a="1"/>
  <c r="CW125" i="27" s="1"/>
  <c r="CI125" i="27" a="1"/>
  <c r="CI125" i="27" s="1"/>
  <c r="CF123" i="27" a="1"/>
  <c r="CF123" i="27" s="1"/>
  <c r="CT123" i="27" a="1"/>
  <c r="CT123" i="27" s="1"/>
  <c r="CK123" i="27" a="1"/>
  <c r="CK123" i="27" s="1"/>
  <c r="CF9" i="27" a="1"/>
  <c r="CF9" i="27" s="1"/>
  <c r="CO9" i="27" a="1"/>
  <c r="CO9" i="27" s="1"/>
  <c r="CA9" i="27" a="1"/>
  <c r="CA9" i="27" s="1"/>
  <c r="CH115" i="27" a="1"/>
  <c r="CH115" i="27" s="1"/>
  <c r="CO115" i="27" a="1"/>
  <c r="CO115" i="27" s="1"/>
  <c r="CF115" i="27" a="1"/>
  <c r="CF115" i="27" s="1"/>
  <c r="CL115" i="27" a="1"/>
  <c r="CL115" i="27" s="1"/>
  <c r="CG115" i="27" a="1"/>
  <c r="CG115" i="27" s="1"/>
  <c r="CJ94" i="27" a="1"/>
  <c r="CJ94" i="27" s="1"/>
  <c r="BZ94" i="27" a="1"/>
  <c r="BZ94" i="27" s="1"/>
  <c r="CK94" i="27" a="1"/>
  <c r="CK94" i="27" s="1"/>
  <c r="CE94" i="27" a="1"/>
  <c r="CE94" i="27" s="1"/>
  <c r="CU94" i="27" a="1"/>
  <c r="CU94" i="27" s="1"/>
  <c r="CB94" i="27" a="1"/>
  <c r="CB94" i="27" s="1"/>
  <c r="CV94" i="27" a="1"/>
  <c r="CV94" i="27" s="1"/>
  <c r="CQ94" i="27" a="1"/>
  <c r="CQ94" i="27" s="1"/>
  <c r="CM94" i="27" a="1"/>
  <c r="CM94" i="27" s="1"/>
  <c r="CC94" i="27" a="1"/>
  <c r="CC94" i="27" s="1"/>
  <c r="CK75" i="27" a="1"/>
  <c r="CK75" i="27" s="1"/>
  <c r="CO75" i="27" a="1"/>
  <c r="CO75" i="27" s="1"/>
  <c r="CU75" i="27" a="1"/>
  <c r="CU75" i="27" s="1"/>
  <c r="CH75" i="27" a="1"/>
  <c r="CH75" i="27" s="1"/>
  <c r="CS75" i="27" a="1"/>
  <c r="CS75" i="27" s="1"/>
  <c r="BZ75" i="27" a="1"/>
  <c r="BZ75" i="27" s="1"/>
  <c r="CT75" i="27" a="1"/>
  <c r="CT75" i="27" s="1"/>
  <c r="CC75" i="27" a="1"/>
  <c r="CC75" i="27" s="1"/>
  <c r="CR75" i="27" a="1"/>
  <c r="CR75" i="27" s="1"/>
  <c r="CW75" i="27" a="1"/>
  <c r="CW75" i="27" s="1"/>
  <c r="CD23" i="27" a="1"/>
  <c r="CD23" i="27" s="1"/>
  <c r="CH126" i="27" a="1"/>
  <c r="CH126" i="27" s="1"/>
  <c r="CA126" i="27" a="1"/>
  <c r="CA126" i="27" s="1"/>
  <c r="CV81" i="27" a="1"/>
  <c r="CV81" i="27" s="1"/>
  <c r="CS81" i="27" a="1"/>
  <c r="CS81" i="27" s="1"/>
  <c r="CL81" i="27" a="1"/>
  <c r="CL81" i="27" s="1"/>
  <c r="CJ81" i="27" a="1"/>
  <c r="CJ81" i="27" s="1"/>
  <c r="CM33" i="27" a="1"/>
  <c r="CM33" i="27" s="1"/>
  <c r="CV33" i="27" a="1"/>
  <c r="CV33" i="27" s="1"/>
  <c r="CV26" i="27" a="1"/>
  <c r="CV26" i="27" s="1"/>
  <c r="CO26" i="27" a="1"/>
  <c r="CO26" i="27" s="1"/>
  <c r="CE26" i="27" a="1"/>
  <c r="CE26" i="27" s="1"/>
  <c r="CA66" i="27" a="1"/>
  <c r="CA66" i="27" s="1"/>
  <c r="CE66" i="27" a="1"/>
  <c r="CE66" i="27" s="1"/>
  <c r="CW132" i="27" a="1"/>
  <c r="CW132" i="27" s="1"/>
  <c r="CQ132" i="27" a="1"/>
  <c r="CQ132" i="27" s="1"/>
  <c r="CL132" i="27" a="1"/>
  <c r="CL132" i="27" s="1"/>
  <c r="CA132" i="27" a="1"/>
  <c r="CA132" i="27" s="1"/>
  <c r="CD132" i="27" a="1"/>
  <c r="CD132" i="27" s="1"/>
  <c r="CK132" i="27" a="1"/>
  <c r="CK132" i="27" s="1"/>
  <c r="CU132" i="27" a="1"/>
  <c r="CU132" i="27" s="1"/>
  <c r="CO132" i="27" a="1"/>
  <c r="CO132" i="27" s="1"/>
  <c r="CK84" i="27" a="1"/>
  <c r="CK84" i="27" s="1"/>
  <c r="CM84" i="27" a="1"/>
  <c r="CM84" i="27" s="1"/>
  <c r="CH84" i="27" a="1"/>
  <c r="CH84" i="27" s="1"/>
  <c r="CT36" i="27" a="1"/>
  <c r="CT36" i="27" s="1"/>
  <c r="CO36" i="27" a="1"/>
  <c r="CO36" i="27" s="1"/>
  <c r="CT137" i="27" a="1"/>
  <c r="CT137" i="27" s="1"/>
  <c r="CF137" i="27" a="1"/>
  <c r="CF137" i="27" s="1"/>
  <c r="CJ40" i="27" a="1"/>
  <c r="CJ40" i="27" s="1"/>
  <c r="CF40" i="27" a="1"/>
  <c r="CF40" i="27" s="1"/>
  <c r="CM40" i="27" a="1"/>
  <c r="CM40" i="27" s="1"/>
  <c r="CL40" i="27" a="1"/>
  <c r="CL40" i="27" s="1"/>
  <c r="CA40" i="27" a="1"/>
  <c r="CA40" i="27" s="1"/>
  <c r="CO21" i="27" a="1"/>
  <c r="CO21" i="27" s="1"/>
  <c r="CC21" i="27" a="1"/>
  <c r="CC21" i="27" s="1"/>
  <c r="CK21" i="27" a="1"/>
  <c r="CK21" i="27" s="1"/>
  <c r="CE132" i="27" a="1"/>
  <c r="CE132" i="27" s="1"/>
  <c r="CU36" i="27" a="1"/>
  <c r="CU36" i="27" s="1"/>
  <c r="CO137" i="27" a="1"/>
  <c r="CO137" i="27" s="1"/>
  <c r="CT87" i="27" a="1"/>
  <c r="CT87" i="27" s="1"/>
  <c r="CQ51" i="27" a="1"/>
  <c r="CQ51" i="27" s="1"/>
  <c r="CO51" i="27" a="1"/>
  <c r="CO51" i="27" s="1"/>
  <c r="CH51" i="27" a="1"/>
  <c r="CH51" i="27" s="1"/>
  <c r="CP81" i="27" a="1"/>
  <c r="CP81" i="27" s="1"/>
  <c r="CE75" i="27" a="1"/>
  <c r="CE75" i="27" s="1"/>
  <c r="CL75" i="27" a="1"/>
  <c r="CL75" i="27" s="1"/>
  <c r="CM132" i="27" a="1"/>
  <c r="CM132" i="27" s="1"/>
  <c r="CS47" i="27" a="1"/>
  <c r="CS47" i="27" s="1"/>
  <c r="CS118" i="27" a="1"/>
  <c r="CS118" i="27" s="1"/>
  <c r="CP124" i="27" a="1"/>
  <c r="CP124" i="27" s="1"/>
  <c r="CI124" i="27" a="1"/>
  <c r="CI124" i="27" s="1"/>
  <c r="CF124" i="27" a="1"/>
  <c r="CF124" i="27" s="1"/>
  <c r="CK36" i="27" a="1"/>
  <c r="CK36" i="27" s="1"/>
  <c r="CW118" i="27" a="1"/>
  <c r="CW118" i="27" s="1"/>
  <c r="CC137" i="27" a="1"/>
  <c r="CC137" i="27" s="1"/>
  <c r="CF36" i="27" a="1"/>
  <c r="CF36" i="27" s="1"/>
  <c r="CQ16" i="27" a="1"/>
  <c r="CQ16" i="27" s="1"/>
  <c r="CO16" i="27" a="1"/>
  <c r="CO16" i="27" s="1"/>
  <c r="CW16" i="27" a="1"/>
  <c r="CW16" i="27" s="1"/>
  <c r="CK31" i="27" a="1"/>
  <c r="CK31" i="27" s="1"/>
  <c r="CE31" i="27" a="1"/>
  <c r="CE31" i="27" s="1"/>
  <c r="CH134" i="27" a="1"/>
  <c r="CH134" i="27" s="1"/>
  <c r="CE134" i="27" a="1"/>
  <c r="CE134" i="27" s="1"/>
  <c r="CK134" i="27" a="1"/>
  <c r="CK134" i="27" s="1"/>
  <c r="CB39" i="27" a="1"/>
  <c r="CB39" i="27" s="1"/>
  <c r="CU39" i="27" a="1"/>
  <c r="CU39" i="27" s="1"/>
  <c r="CM39" i="27" a="1"/>
  <c r="CM39" i="27" s="1"/>
  <c r="CD39" i="27" a="1"/>
  <c r="CD39" i="27" s="1"/>
  <c r="BZ85" i="27" a="1"/>
  <c r="BZ85" i="27" s="1"/>
  <c r="CL85" i="27" a="1"/>
  <c r="CL85" i="27" s="1"/>
  <c r="CK85" i="27" a="1"/>
  <c r="CK85" i="27" s="1"/>
  <c r="CA85" i="27" a="1"/>
  <c r="CA85" i="27" s="1"/>
  <c r="CB96" i="27" a="1"/>
  <c r="CB96" i="27" s="1"/>
  <c r="CV96" i="27" a="1"/>
  <c r="CV96" i="27" s="1"/>
  <c r="CD53" i="27" a="1"/>
  <c r="CD53" i="27" s="1"/>
  <c r="CM53" i="27" a="1"/>
  <c r="CM53" i="27" s="1"/>
  <c r="CL137" i="27" a="1"/>
  <c r="CL137" i="27" s="1"/>
  <c r="CD94" i="27" a="1"/>
  <c r="CD94" i="27" s="1"/>
  <c r="CJ137" i="27" a="1"/>
  <c r="CJ137" i="27" s="1"/>
  <c r="CA100" i="27" a="1"/>
  <c r="CA100" i="27" s="1"/>
  <c r="CE100" i="27" a="1"/>
  <c r="CE100" i="27" s="1"/>
  <c r="CU100" i="27" a="1"/>
  <c r="CU100" i="27" s="1"/>
  <c r="CT110" i="27" a="1"/>
  <c r="CT110" i="27" s="1"/>
  <c r="CD137" i="27" a="1"/>
  <c r="CD137" i="27" s="1"/>
  <c r="EE88" i="27"/>
  <c r="EE118" i="27"/>
  <c r="EE61" i="27"/>
  <c r="EE111" i="27"/>
  <c r="EE16" i="27"/>
  <c r="EE133" i="27"/>
  <c r="EE102" i="27"/>
  <c r="EE92" i="27"/>
  <c r="EE81" i="27"/>
  <c r="EE94" i="27"/>
  <c r="EE13" i="27"/>
  <c r="EE82" i="27"/>
  <c r="EE124" i="27"/>
  <c r="EE49" i="27"/>
  <c r="EE53" i="27"/>
  <c r="EE57" i="27"/>
  <c r="EE112" i="27"/>
  <c r="EE90" i="27"/>
  <c r="EE83" i="27"/>
  <c r="EE20" i="27"/>
  <c r="EE28" i="27"/>
  <c r="EE134" i="27"/>
  <c r="EE45" i="27"/>
  <c r="EE36" i="27"/>
  <c r="EE96" i="27"/>
  <c r="EE33" i="27"/>
  <c r="EE91" i="27"/>
  <c r="EE58" i="27"/>
  <c r="EE119" i="27"/>
  <c r="EE26" i="27"/>
  <c r="EE14" i="27"/>
  <c r="EE100" i="27"/>
  <c r="EE87" i="27"/>
  <c r="EE110" i="27"/>
  <c r="EE107" i="27"/>
  <c r="EE6" i="27"/>
  <c r="EE54" i="27"/>
  <c r="EE75" i="27"/>
  <c r="EE34" i="27"/>
  <c r="EE60" i="27"/>
  <c r="EE132" i="27"/>
  <c r="EE31" i="27"/>
  <c r="EE76" i="27"/>
  <c r="EE59" i="27"/>
  <c r="EE128" i="27"/>
  <c r="EE50" i="27"/>
  <c r="EE79" i="27"/>
  <c r="EE114" i="27"/>
  <c r="EE18" i="27"/>
  <c r="CS114" i="27" a="1"/>
  <c r="CS114" i="27" s="1"/>
  <c r="CS110" i="27" a="1"/>
  <c r="CS110" i="27" s="1"/>
  <c r="CS62" i="27" a="1"/>
  <c r="CS62" i="27" s="1"/>
  <c r="CI31" i="27" a="1"/>
  <c r="CI31" i="27" s="1"/>
  <c r="CW114" i="27" a="1"/>
  <c r="CW114" i="27" s="1"/>
  <c r="CP45" i="27" a="1"/>
  <c r="CP45" i="27" s="1"/>
  <c r="CU45" i="27" a="1"/>
  <c r="CU45" i="27" s="1"/>
  <c r="CJ45" i="27" a="1"/>
  <c r="CJ45" i="27" s="1"/>
  <c r="CB45" i="27" a="1"/>
  <c r="CB45" i="27" s="1"/>
  <c r="CD45" i="27" a="1"/>
  <c r="CD45" i="27" s="1"/>
  <c r="CC45" i="27" a="1"/>
  <c r="CC45" i="27" s="1"/>
  <c r="CG135" i="27" a="1"/>
  <c r="CG135" i="27" s="1"/>
  <c r="CU110" i="27" a="1"/>
  <c r="CU110" i="27" s="1"/>
  <c r="CI19" i="27" a="1"/>
  <c r="CI19" i="27" s="1"/>
  <c r="CO131" i="27" a="1"/>
  <c r="CO131" i="27" s="1"/>
  <c r="CC114" i="27" a="1"/>
  <c r="CC114" i="27" s="1"/>
  <c r="CM62" i="27" a="1"/>
  <c r="CM62" i="27" s="1"/>
  <c r="CU131" i="27" a="1"/>
  <c r="CU131" i="27" s="1"/>
  <c r="CU121" i="27" a="1"/>
  <c r="CU121" i="27" s="1"/>
  <c r="CQ135" i="27" a="1"/>
  <c r="CQ135" i="27" s="1"/>
  <c r="CL128" i="27" a="1"/>
  <c r="CL128" i="27" s="1"/>
  <c r="CG110" i="27" a="1"/>
  <c r="CG110" i="27" s="1"/>
  <c r="CQ62" i="27" a="1"/>
  <c r="CQ62" i="27" s="1"/>
  <c r="CS14" i="27" a="1"/>
  <c r="CS14" i="27" s="1"/>
  <c r="CM19" i="27" a="1"/>
  <c r="CM19" i="27" s="1"/>
  <c r="CC83" i="27" a="1"/>
  <c r="CC83" i="27" s="1"/>
  <c r="CW19" i="27" a="1"/>
  <c r="CW19" i="27" s="1"/>
  <c r="CI131" i="27" a="1"/>
  <c r="CI131" i="27" s="1"/>
  <c r="CO28" i="27" a="1"/>
  <c r="CO28" i="27" s="1"/>
  <c r="CW31" i="27" a="1"/>
  <c r="CW31" i="27" s="1"/>
  <c r="CS48" i="27" a="1"/>
  <c r="CS48" i="27" s="1"/>
  <c r="CD35" i="27" a="1"/>
  <c r="CD35" i="27" s="1"/>
  <c r="CK35" i="27" a="1"/>
  <c r="CK35" i="27" s="1"/>
  <c r="CM121" i="27" a="1"/>
  <c r="CM121" i="27" s="1"/>
  <c r="CH114" i="27" a="1"/>
  <c r="CH114" i="27" s="1"/>
  <c r="CS46" i="27" a="1"/>
  <c r="CS46" i="27" s="1"/>
  <c r="CS67" i="27" a="1"/>
  <c r="CS67" i="27" s="1"/>
  <c r="CG131" i="27" a="1"/>
  <c r="CG131" i="27" s="1"/>
  <c r="CR31" i="27" a="1"/>
  <c r="CR31" i="27" s="1"/>
  <c r="CP131" i="27" a="1"/>
  <c r="CP131" i="27" s="1"/>
  <c r="CL19" i="27" a="1"/>
  <c r="CL19" i="27" s="1"/>
  <c r="CP23" i="27" a="1"/>
  <c r="CP23" i="27" s="1"/>
  <c r="CT77" i="27" a="1"/>
  <c r="CT77" i="27" s="1"/>
  <c r="CQ77" i="27" a="1"/>
  <c r="CQ77" i="27" s="1"/>
  <c r="BZ7" i="27" a="1"/>
  <c r="BZ7" i="27" s="1"/>
  <c r="CT7" i="27" a="1"/>
  <c r="CT7" i="27" s="1"/>
  <c r="CB132" i="27" a="1"/>
  <c r="CB132" i="27" s="1"/>
  <c r="CS132" i="27" a="1"/>
  <c r="CS132" i="27" s="1"/>
  <c r="CR132" i="27" a="1"/>
  <c r="CR132" i="27" s="1"/>
  <c r="CF132" i="27" a="1"/>
  <c r="CF132" i="27" s="1"/>
  <c r="CP132" i="27" a="1"/>
  <c r="CP132" i="27" s="1"/>
  <c r="CC132" i="27" a="1"/>
  <c r="CC132" i="27" s="1"/>
  <c r="CT132" i="27" a="1"/>
  <c r="CT132" i="27" s="1"/>
  <c r="CV132" i="27" a="1"/>
  <c r="CV132" i="27" s="1"/>
  <c r="CH132" i="27" a="1"/>
  <c r="CH132" i="27" s="1"/>
  <c r="BZ84" i="27" a="1"/>
  <c r="BZ84" i="27" s="1"/>
  <c r="CW84" i="27" a="1"/>
  <c r="CW84" i="27" s="1"/>
  <c r="CS84" i="27" a="1"/>
  <c r="CS84" i="27" s="1"/>
  <c r="CD84" i="27" a="1"/>
  <c r="CD84" i="27" s="1"/>
  <c r="CP84" i="27" a="1"/>
  <c r="CP84" i="27" s="1"/>
  <c r="CC84" i="27" a="1"/>
  <c r="CC84" i="27" s="1"/>
  <c r="CA84" i="27" a="1"/>
  <c r="CA84" i="27" s="1"/>
  <c r="CT84" i="27" a="1"/>
  <c r="CT84" i="27" s="1"/>
  <c r="CI84" i="27" a="1"/>
  <c r="CI84" i="27" s="1"/>
  <c r="CN84" i="27" a="1"/>
  <c r="CN84" i="27" s="1"/>
  <c r="CS36" i="27" a="1"/>
  <c r="CS36" i="27" s="1"/>
  <c r="CQ36" i="27" a="1"/>
  <c r="CQ36" i="27" s="1"/>
  <c r="CH36" i="27" a="1"/>
  <c r="CH36" i="27" s="1"/>
  <c r="CV36" i="27" a="1"/>
  <c r="CV36" i="27" s="1"/>
  <c r="CM36" i="27" a="1"/>
  <c r="CM36" i="27" s="1"/>
  <c r="CC36" i="27" a="1"/>
  <c r="CC36" i="27" s="1"/>
  <c r="CI36" i="27" a="1"/>
  <c r="CI36" i="27" s="1"/>
  <c r="CT138" i="27" a="1"/>
  <c r="CT138" i="27" s="1"/>
  <c r="CS138" i="27" a="1"/>
  <c r="CS138" i="27" s="1"/>
  <c r="CF65" i="27" a="1"/>
  <c r="CF65" i="27" s="1"/>
  <c r="CI65" i="27" a="1"/>
  <c r="CI65" i="27" s="1"/>
  <c r="BZ65" i="27" a="1"/>
  <c r="BZ65" i="27" s="1"/>
  <c r="CQ65" i="27" a="1"/>
  <c r="CQ65" i="27" s="1"/>
  <c r="CJ97" i="27" a="1"/>
  <c r="CJ97" i="27" s="1"/>
  <c r="CK97" i="27" a="1"/>
  <c r="CK97" i="27" s="1"/>
  <c r="CW97" i="27" a="1"/>
  <c r="CW97" i="27" s="1"/>
  <c r="CG25" i="27" a="1"/>
  <c r="CG25" i="27" s="1"/>
  <c r="CW25" i="27" a="1"/>
  <c r="CW25" i="27" s="1"/>
  <c r="CT127" i="27" a="1"/>
  <c r="CT127" i="27" s="1"/>
  <c r="CL127" i="27" a="1"/>
  <c r="CL127" i="27" s="1"/>
  <c r="CN127" i="27" a="1"/>
  <c r="CN127" i="27" s="1"/>
  <c r="CK127" i="27" a="1"/>
  <c r="CK127" i="27" s="1"/>
  <c r="CH127" i="27" a="1"/>
  <c r="CH127" i="27" s="1"/>
  <c r="CS127" i="27" a="1"/>
  <c r="CS127" i="27" s="1"/>
  <c r="CT114" i="27" a="1"/>
  <c r="CT114" i="27" s="1"/>
  <c r="CJ114" i="27" a="1"/>
  <c r="CJ114" i="27" s="1"/>
  <c r="BZ114" i="27" a="1"/>
  <c r="BZ114" i="27" s="1"/>
  <c r="CN114" i="27" a="1"/>
  <c r="CN114" i="27" s="1"/>
  <c r="CB114" i="27" a="1"/>
  <c r="CB114" i="27" s="1"/>
  <c r="CR114" i="27" a="1"/>
  <c r="CR114" i="27" s="1"/>
  <c r="CF114" i="27" a="1"/>
  <c r="CF114" i="27" s="1"/>
  <c r="CG68" i="27" a="1"/>
  <c r="CG68" i="27" s="1"/>
  <c r="CW68" i="27" a="1"/>
  <c r="CW68" i="27" s="1"/>
  <c r="CB82" i="27" a="1"/>
  <c r="CB82" i="27" s="1"/>
  <c r="CF82" i="27" a="1"/>
  <c r="CF82" i="27" s="1"/>
  <c r="CS82" i="27" a="1"/>
  <c r="CS82" i="27" s="1"/>
  <c r="CM82" i="27" a="1"/>
  <c r="CM82" i="27" s="1"/>
  <c r="CT82" i="27" a="1"/>
  <c r="CT82" i="27" s="1"/>
  <c r="CR82" i="27" a="1"/>
  <c r="CR82" i="27" s="1"/>
  <c r="CJ82" i="27" a="1"/>
  <c r="CJ82" i="27" s="1"/>
  <c r="CQ82" i="27" a="1"/>
  <c r="CQ82" i="27" s="1"/>
  <c r="CA82" i="27" a="1"/>
  <c r="CA82" i="27" s="1"/>
  <c r="CD82" i="27" a="1"/>
  <c r="CD82" i="27" s="1"/>
  <c r="CH82" i="27" a="1"/>
  <c r="CH82" i="27" s="1"/>
  <c r="CN82" i="27" a="1"/>
  <c r="CN82" i="27" s="1"/>
  <c r="CL82" i="27" a="1"/>
  <c r="CL82" i="27" s="1"/>
  <c r="CG82" i="27" a="1"/>
  <c r="CG82" i="27" s="1"/>
  <c r="CW82" i="27" a="1"/>
  <c r="CW82" i="27" s="1"/>
  <c r="CC82" i="27" a="1"/>
  <c r="CC82" i="27" s="1"/>
  <c r="CE82" i="27" a="1"/>
  <c r="CE82" i="27" s="1"/>
  <c r="CA90" i="27" a="1"/>
  <c r="CA90" i="27" s="1"/>
  <c r="CG93" i="27" a="1"/>
  <c r="CG93" i="27" s="1"/>
  <c r="CU93" i="27" a="1"/>
  <c r="CU93" i="27" s="1"/>
  <c r="CK93" i="27" a="1"/>
  <c r="CK93" i="27" s="1"/>
  <c r="CB93" i="27" a="1"/>
  <c r="CB93" i="27" s="1"/>
  <c r="CA93" i="27" a="1"/>
  <c r="CA93" i="27" s="1"/>
  <c r="CH93" i="27" a="1"/>
  <c r="CH93" i="27" s="1"/>
  <c r="CE19" i="27" a="1"/>
  <c r="CE19" i="27" s="1"/>
  <c r="CC131" i="27" a="1"/>
  <c r="CC131" i="27" s="1"/>
  <c r="CA35" i="27" a="1"/>
  <c r="CA35" i="27" s="1"/>
  <c r="CU114" i="27" a="1"/>
  <c r="CU114" i="27" s="1"/>
  <c r="CE90" i="27" a="1"/>
  <c r="CE90" i="27" s="1"/>
  <c r="CU35" i="27" a="1"/>
  <c r="CU35" i="27" s="1"/>
  <c r="CA19" i="27" a="1"/>
  <c r="CA19" i="27" s="1"/>
  <c r="CO35" i="27" a="1"/>
  <c r="CO35" i="27" s="1"/>
  <c r="CA131" i="27" a="1"/>
  <c r="CA131" i="27" s="1"/>
  <c r="CC46" i="27" a="1"/>
  <c r="CC46" i="27" s="1"/>
  <c r="CC35" i="27" a="1"/>
  <c r="CC35" i="27" s="1"/>
  <c r="CK82" i="27" a="1"/>
  <c r="CK82" i="27" s="1"/>
  <c r="CK48" i="27" a="1"/>
  <c r="CK48" i="27" s="1"/>
  <c r="CW48" i="27" a="1"/>
  <c r="CW48" i="27" s="1"/>
  <c r="CV114" i="27" a="1"/>
  <c r="CV114" i="27" s="1"/>
  <c r="CD114" i="27" a="1"/>
  <c r="CD114" i="27" s="1"/>
  <c r="CO67" i="27" a="1"/>
  <c r="CO67" i="27" s="1"/>
  <c r="CP114" i="27" a="1"/>
  <c r="CP114" i="27" s="1"/>
  <c r="CN46" i="27" a="1"/>
  <c r="CN46" i="27" s="1"/>
  <c r="CR46" i="27" a="1"/>
  <c r="CR46" i="27" s="1"/>
  <c r="BZ82" i="27" a="1"/>
  <c r="BZ82" i="27" s="1"/>
  <c r="CW58" i="27" a="1"/>
  <c r="CW58" i="27" s="1"/>
  <c r="CM58" i="27" a="1"/>
  <c r="CM58" i="27" s="1"/>
  <c r="CB119" i="27" a="1"/>
  <c r="CB119" i="27" s="1"/>
  <c r="CL119" i="27" a="1"/>
  <c r="CL119" i="27" s="1"/>
  <c r="CR119" i="27" a="1"/>
  <c r="CR119" i="27" s="1"/>
  <c r="CC119" i="27" a="1"/>
  <c r="CC119" i="27" s="1"/>
  <c r="CS119" i="27" a="1"/>
  <c r="CS119" i="27" s="1"/>
  <c r="CO119" i="27" a="1"/>
  <c r="CO119" i="27" s="1"/>
  <c r="CW76" i="27" a="1"/>
  <c r="CW76" i="27" s="1"/>
  <c r="CA76" i="27" a="1"/>
  <c r="CA76" i="27" s="1"/>
  <c r="CB28" i="27" a="1"/>
  <c r="CB28" i="27" s="1"/>
  <c r="CF28" i="27" a="1"/>
  <c r="CF28" i="27" s="1"/>
  <c r="CD28" i="27" a="1"/>
  <c r="CD28" i="27" s="1"/>
  <c r="CI28" i="27" a="1"/>
  <c r="CI28" i="27" s="1"/>
  <c r="CC28" i="27" a="1"/>
  <c r="CC28" i="27" s="1"/>
  <c r="CJ28" i="27" a="1"/>
  <c r="CJ28" i="27" s="1"/>
  <c r="CP28" i="27" a="1"/>
  <c r="CP28" i="27" s="1"/>
  <c r="CH28" i="27" a="1"/>
  <c r="CH28" i="27" s="1"/>
  <c r="CL28" i="27" a="1"/>
  <c r="CL28" i="27" s="1"/>
  <c r="CS28" i="27" a="1"/>
  <c r="CS28" i="27" s="1"/>
  <c r="CD131" i="27" a="1"/>
  <c r="CD131" i="27" s="1"/>
  <c r="CB131" i="27" a="1"/>
  <c r="CB131" i="27" s="1"/>
  <c r="CT83" i="27" a="1"/>
  <c r="CT83" i="27" s="1"/>
  <c r="CM83" i="27" a="1"/>
  <c r="CM83" i="27" s="1"/>
  <c r="CH83" i="27" a="1"/>
  <c r="CH83" i="27" s="1"/>
  <c r="CG83" i="27" a="1"/>
  <c r="CG83" i="27" s="1"/>
  <c r="CR35" i="27" a="1"/>
  <c r="CR35" i="27" s="1"/>
  <c r="CM35" i="27" a="1"/>
  <c r="CM35" i="27" s="1"/>
  <c r="CF35" i="27" a="1"/>
  <c r="CF35" i="27" s="1"/>
  <c r="CL35" i="27" a="1"/>
  <c r="CL35" i="27" s="1"/>
  <c r="CS35" i="27" a="1"/>
  <c r="CS35" i="27" s="1"/>
  <c r="CI35" i="27" a="1"/>
  <c r="CI35" i="27" s="1"/>
  <c r="CJ35" i="27" a="1"/>
  <c r="CJ35" i="27" s="1"/>
  <c r="BZ35" i="27" a="1"/>
  <c r="BZ35" i="27" s="1"/>
  <c r="CQ35" i="27" a="1"/>
  <c r="CQ35" i="27" s="1"/>
  <c r="CB110" i="27" a="1"/>
  <c r="CB110" i="27" s="1"/>
  <c r="CN110" i="27" a="1"/>
  <c r="CN110" i="27" s="1"/>
  <c r="CE62" i="27" a="1"/>
  <c r="CE62" i="27" s="1"/>
  <c r="CR62" i="27" a="1"/>
  <c r="CR62" i="27" s="1"/>
  <c r="CD62" i="27" a="1"/>
  <c r="CD62" i="27" s="1"/>
  <c r="CT62" i="27" a="1"/>
  <c r="CT62" i="27" s="1"/>
  <c r="CK62" i="27" a="1"/>
  <c r="CK62" i="27" s="1"/>
  <c r="CW62" i="27" a="1"/>
  <c r="CW62" i="27" s="1"/>
  <c r="CL62" i="27" a="1"/>
  <c r="CL62" i="27" s="1"/>
  <c r="CB62" i="27" a="1"/>
  <c r="CB62" i="27" s="1"/>
  <c r="CG62" i="27" a="1"/>
  <c r="CG62" i="27" s="1"/>
  <c r="CN121" i="27" a="1"/>
  <c r="CN121" i="27" s="1"/>
  <c r="CC121" i="27" a="1"/>
  <c r="CC121" i="27" s="1"/>
  <c r="CS121" i="27" a="1"/>
  <c r="CS121" i="27" s="1"/>
  <c r="CG121" i="27" a="1"/>
  <c r="CG121" i="27" s="1"/>
  <c r="CW121" i="27" a="1"/>
  <c r="CW121" i="27" s="1"/>
  <c r="CA121" i="27" a="1"/>
  <c r="CA121" i="27" s="1"/>
  <c r="CH67" i="27" a="1"/>
  <c r="CH67" i="27" s="1"/>
  <c r="CD67" i="27" a="1"/>
  <c r="CD67" i="27" s="1"/>
  <c r="CW67" i="27" a="1"/>
  <c r="CW67" i="27" s="1"/>
  <c r="BZ67" i="27" a="1"/>
  <c r="BZ67" i="27" s="1"/>
  <c r="CJ67" i="27" a="1"/>
  <c r="CJ67" i="27" s="1"/>
  <c r="CP67" i="27" a="1"/>
  <c r="CP67" i="27" s="1"/>
  <c r="CE67" i="27" a="1"/>
  <c r="CE67" i="27" s="1"/>
  <c r="CG67" i="27" a="1"/>
  <c r="CG67" i="27" s="1"/>
  <c r="CU67" i="27" a="1"/>
  <c r="CU67" i="27" s="1"/>
  <c r="CT67" i="27" a="1"/>
  <c r="CT67" i="27" s="1"/>
  <c r="CR19" i="27" a="1"/>
  <c r="CR19" i="27" s="1"/>
  <c r="CS19" i="27" a="1"/>
  <c r="CS19" i="27" s="1"/>
  <c r="CD19" i="27" a="1"/>
  <c r="CD19" i="27" s="1"/>
  <c r="CK19" i="27" a="1"/>
  <c r="CK19" i="27" s="1"/>
  <c r="CR48" i="27" a="1"/>
  <c r="CR48" i="27" s="1"/>
  <c r="CV48" i="27" a="1"/>
  <c r="CV48" i="27" s="1"/>
  <c r="CM48" i="27" a="1"/>
  <c r="CM48" i="27" s="1"/>
  <c r="CF48" i="27" a="1"/>
  <c r="CF48" i="27" s="1"/>
  <c r="CT48" i="27" a="1"/>
  <c r="CT48" i="27" s="1"/>
  <c r="CL48" i="27" a="1"/>
  <c r="CL48" i="27" s="1"/>
  <c r="CB46" i="27" a="1"/>
  <c r="CB46" i="27" s="1"/>
  <c r="CJ46" i="27" a="1"/>
  <c r="CJ46" i="27" s="1"/>
  <c r="CE121" i="27" a="1"/>
  <c r="CE121" i="27" s="1"/>
  <c r="CO48" i="27" a="1"/>
  <c r="CO48" i="27" s="1"/>
  <c r="CI114" i="27" a="1"/>
  <c r="CI114" i="27" s="1"/>
  <c r="CI45" i="27" a="1"/>
  <c r="CI45" i="27" s="1"/>
  <c r="CF45" i="27" a="1"/>
  <c r="CF45" i="27" s="1"/>
  <c r="CA45" i="27" a="1"/>
  <c r="CA45" i="27" s="1"/>
  <c r="CL45" i="27" a="1"/>
  <c r="CL45" i="27" s="1"/>
  <c r="CR45" i="27" a="1"/>
  <c r="CR45" i="27" s="1"/>
  <c r="CM45" i="27" a="1"/>
  <c r="CM45" i="27" s="1"/>
  <c r="CW110" i="27" a="1"/>
  <c r="CW110" i="27" s="1"/>
  <c r="CU62" i="27" a="1"/>
  <c r="CU62" i="27" s="1"/>
  <c r="CO42" i="27" a="1"/>
  <c r="CO42" i="27" s="1"/>
  <c r="CU46" i="27" a="1"/>
  <c r="CU46" i="27" s="1"/>
  <c r="CO110" i="27" a="1"/>
  <c r="CO110" i="27" s="1"/>
  <c r="CG114" i="27" a="1"/>
  <c r="CG114" i="27" s="1"/>
  <c r="CQ90" i="27" a="1"/>
  <c r="CQ90" i="27" s="1"/>
  <c r="CQ31" i="27" a="1"/>
  <c r="CQ31" i="27" s="1"/>
  <c r="CU82" i="27" a="1"/>
  <c r="CU82" i="27" s="1"/>
  <c r="CV93" i="27" a="1"/>
  <c r="CV93" i="27" s="1"/>
  <c r="CQ93" i="27" a="1"/>
  <c r="CQ93" i="27" s="1"/>
  <c r="CP93" i="27" a="1"/>
  <c r="CP93" i="27" s="1"/>
  <c r="CC93" i="27" a="1"/>
  <c r="CC93" i="27" s="1"/>
  <c r="CW93" i="27" a="1"/>
  <c r="CW93" i="27" s="1"/>
  <c r="CQ110" i="27" a="1"/>
  <c r="CQ110" i="27" s="1"/>
  <c r="CC19" i="27" a="1"/>
  <c r="CC19" i="27" s="1"/>
  <c r="CM131" i="27" a="1"/>
  <c r="CM131" i="27" s="1"/>
  <c r="CA58" i="27" a="1"/>
  <c r="CA58" i="27" s="1"/>
  <c r="CM31" i="27" a="1"/>
  <c r="CM31" i="27" s="1"/>
  <c r="CU83" i="27" a="1"/>
  <c r="CU83" i="27" s="1"/>
  <c r="CM114" i="27" a="1"/>
  <c r="CM114" i="27" s="1"/>
  <c r="BZ45" i="27" a="1"/>
  <c r="BZ45" i="27" s="1"/>
  <c r="CE45" i="27" a="1"/>
  <c r="CE45" i="27" s="1"/>
  <c r="CT45" i="27" a="1"/>
  <c r="CT45" i="27" s="1"/>
  <c r="CG45" i="27" a="1"/>
  <c r="CG45" i="27" s="1"/>
  <c r="CN45" i="27" a="1"/>
  <c r="CN45" i="27" s="1"/>
  <c r="CC62" i="27" a="1"/>
  <c r="CC62" i="27" s="1"/>
  <c r="CE42" i="27" a="1"/>
  <c r="CE42" i="27" s="1"/>
  <c r="CO19" i="27" a="1"/>
  <c r="CO19" i="27" s="1"/>
  <c r="CI42" i="27" a="1"/>
  <c r="CI42" i="27" s="1"/>
  <c r="CE83" i="27" a="1"/>
  <c r="CE83" i="27" s="1"/>
  <c r="CU23" i="27" a="1"/>
  <c r="CU23" i="27" s="1"/>
  <c r="CE48" i="27" a="1"/>
  <c r="CE48" i="27" s="1"/>
  <c r="CE114" i="27" a="1"/>
  <c r="CE114" i="27" s="1"/>
  <c r="CM128" i="27" a="1"/>
  <c r="CM128" i="27" s="1"/>
  <c r="CO62" i="27" a="1"/>
  <c r="CO62" i="27" s="1"/>
  <c r="CS31" i="27" a="1"/>
  <c r="CS31" i="27" s="1"/>
  <c r="CE46" i="27" a="1"/>
  <c r="CE46" i="27" s="1"/>
  <c r="CJ48" i="27" a="1"/>
  <c r="CJ48" i="27" s="1"/>
  <c r="CK46" i="27" a="1"/>
  <c r="CK46" i="27" s="1"/>
  <c r="CN48" i="27" a="1"/>
  <c r="CN48" i="27" s="1"/>
  <c r="CT35" i="27" a="1"/>
  <c r="CT35" i="27" s="1"/>
  <c r="CP48" i="27" a="1"/>
  <c r="CP48" i="27" s="1"/>
  <c r="CK121" i="27" a="1"/>
  <c r="CK121" i="27" s="1"/>
  <c r="CB67" i="27" a="1"/>
  <c r="CB67" i="27" s="1"/>
  <c r="CB42" i="27" a="1"/>
  <c r="CB42" i="27" s="1"/>
  <c r="BZ110" i="27" a="1"/>
  <c r="BZ110" i="27" s="1"/>
  <c r="CN62" i="27" a="1"/>
  <c r="CN62" i="27" s="1"/>
  <c r="CP46" i="27" a="1"/>
  <c r="CP46" i="27" s="1"/>
  <c r="CP82" i="27" a="1"/>
  <c r="CP82" i="27" s="1"/>
  <c r="CL34" i="27" a="1"/>
  <c r="CL34" i="27" s="1"/>
  <c r="CQ88" i="27" a="1"/>
  <c r="CQ88" i="27" s="1"/>
  <c r="CM88" i="27" a="1"/>
  <c r="CM88" i="27" s="1"/>
  <c r="CD88" i="27" a="1"/>
  <c r="CD88" i="27" s="1"/>
  <c r="CP88" i="27" a="1"/>
  <c r="CP88" i="27" s="1"/>
  <c r="CR88" i="27" a="1"/>
  <c r="CR88" i="27" s="1"/>
  <c r="CB88" i="27" a="1"/>
  <c r="CB88" i="27" s="1"/>
  <c r="CS88" i="27" a="1"/>
  <c r="CS88" i="27" s="1"/>
  <c r="CI88" i="27" a="1"/>
  <c r="CI88" i="27" s="1"/>
  <c r="CN88" i="27" a="1"/>
  <c r="CN88" i="27" s="1"/>
  <c r="CE88" i="27" a="1"/>
  <c r="CE88" i="27" s="1"/>
  <c r="CC88" i="27" a="1"/>
  <c r="CC88" i="27" s="1"/>
  <c r="CN112" i="27" a="1"/>
  <c r="CN112" i="27" s="1"/>
  <c r="CW112" i="27" a="1"/>
  <c r="CW112" i="27" s="1"/>
  <c r="CH112" i="27" a="1"/>
  <c r="CH112" i="27" s="1"/>
  <c r="CW53" i="27" a="1"/>
  <c r="CW53" i="27" s="1"/>
  <c r="CC53" i="27" a="1"/>
  <c r="CC53" i="27" s="1"/>
  <c r="CQ53" i="27" a="1"/>
  <c r="CQ53" i="27" s="1"/>
  <c r="CO53" i="27" a="1"/>
  <c r="CO53" i="27" s="1"/>
  <c r="CV28" i="27" a="1"/>
  <c r="CV28" i="27" s="1"/>
  <c r="CN128" i="27" a="1"/>
  <c r="CN128" i="27" s="1"/>
  <c r="CH47" i="27" a="1"/>
  <c r="CH47" i="27" s="1"/>
  <c r="CD47" i="27" a="1"/>
  <c r="CD47" i="27" s="1"/>
  <c r="CQ47" i="27" a="1"/>
  <c r="CQ47" i="27" s="1"/>
  <c r="CP47" i="27" a="1"/>
  <c r="CP47" i="27" s="1"/>
  <c r="CT47" i="27" a="1"/>
  <c r="CT47" i="27" s="1"/>
  <c r="CJ47" i="27" a="1"/>
  <c r="CJ47" i="27" s="1"/>
  <c r="CK47" i="27" a="1"/>
  <c r="CK47" i="27" s="1"/>
  <c r="CC47" i="27" a="1"/>
  <c r="CC47" i="27" s="1"/>
  <c r="CA47" i="27" a="1"/>
  <c r="CA47" i="27" s="1"/>
  <c r="CB47" i="27" a="1"/>
  <c r="CB47" i="27" s="1"/>
  <c r="CF47" i="27" a="1"/>
  <c r="CF47" i="27" s="1"/>
  <c r="CM47" i="27" a="1"/>
  <c r="CM47" i="27" s="1"/>
  <c r="CR47" i="27" a="1"/>
  <c r="CR47" i="27" s="1"/>
  <c r="CG47" i="27" a="1"/>
  <c r="CG47" i="27" s="1"/>
  <c r="CI47" i="27" a="1"/>
  <c r="CI47" i="27" s="1"/>
  <c r="CD106" i="27" a="1"/>
  <c r="CD106" i="27" s="1"/>
  <c r="CN106" i="27" a="1"/>
  <c r="CN106" i="27" s="1"/>
  <c r="CJ106" i="27" a="1"/>
  <c r="CJ106" i="27" s="1"/>
  <c r="CH106" i="27" a="1"/>
  <c r="CH106" i="27" s="1"/>
  <c r="CR106" i="27" a="1"/>
  <c r="CR106" i="27" s="1"/>
  <c r="CM106" i="27" a="1"/>
  <c r="CM106" i="27" s="1"/>
  <c r="CB106" i="27" a="1"/>
  <c r="CB106" i="27" s="1"/>
  <c r="CW106" i="27" a="1"/>
  <c r="CW106" i="27" s="1"/>
  <c r="CE106" i="27" a="1"/>
  <c r="CE106" i="27" s="1"/>
  <c r="CL106" i="27" a="1"/>
  <c r="CL106" i="27" s="1"/>
  <c r="BZ106" i="27" a="1"/>
  <c r="BZ106" i="27" s="1"/>
  <c r="CQ106" i="27" a="1"/>
  <c r="CQ106" i="27" s="1"/>
  <c r="CK106" i="27" a="1"/>
  <c r="CK106" i="27" s="1"/>
  <c r="CV106" i="27" a="1"/>
  <c r="CV106" i="27" s="1"/>
  <c r="CC106" i="27" a="1"/>
  <c r="CC106" i="27" s="1"/>
  <c r="CI106" i="27" a="1"/>
  <c r="CI106" i="27" s="1"/>
  <c r="BZ126" i="27" a="1"/>
  <c r="BZ126" i="27" s="1"/>
  <c r="CP126" i="27" a="1"/>
  <c r="CP126" i="27" s="1"/>
  <c r="CN126" i="27" a="1"/>
  <c r="CN126" i="27" s="1"/>
  <c r="CC126" i="27" a="1"/>
  <c r="CC126" i="27" s="1"/>
  <c r="CM126" i="27" a="1"/>
  <c r="CM126" i="27" s="1"/>
  <c r="CJ126" i="27" a="1"/>
  <c r="CJ126" i="27" s="1"/>
  <c r="CT126" i="27" a="1"/>
  <c r="CT126" i="27" s="1"/>
  <c r="CE54" i="27" a="1"/>
  <c r="CE54" i="27" s="1"/>
  <c r="BZ54" i="27" a="1"/>
  <c r="BZ54" i="27" s="1"/>
  <c r="CS54" i="27" a="1"/>
  <c r="CS54" i="27" s="1"/>
  <c r="CQ54" i="27" a="1"/>
  <c r="CQ54" i="27" s="1"/>
  <c r="CH54" i="27" a="1"/>
  <c r="CH54" i="27" s="1"/>
  <c r="CW54" i="27" a="1"/>
  <c r="CW54" i="27" s="1"/>
  <c r="CW101" i="27" a="1"/>
  <c r="CW101" i="27" s="1"/>
  <c r="CM101" i="27" a="1"/>
  <c r="CM101" i="27" s="1"/>
  <c r="CG101" i="27" a="1"/>
  <c r="CG101" i="27" s="1"/>
  <c r="CK101" i="27" a="1"/>
  <c r="CK101" i="27" s="1"/>
  <c r="CO101" i="27" a="1"/>
  <c r="CO101" i="27" s="1"/>
  <c r="CP101" i="27" a="1"/>
  <c r="CP101" i="27" s="1"/>
  <c r="CI101" i="27" a="1"/>
  <c r="CI101" i="27" s="1"/>
  <c r="CE101" i="27" a="1"/>
  <c r="CE101" i="27" s="1"/>
  <c r="CJ29" i="27" a="1"/>
  <c r="CJ29" i="27" s="1"/>
  <c r="CW29" i="27" a="1"/>
  <c r="CW29" i="27" s="1"/>
  <c r="CP29" i="27" a="1"/>
  <c r="CP29" i="27" s="1"/>
  <c r="CM29" i="27" a="1"/>
  <c r="CM29" i="27" s="1"/>
  <c r="CQ29" i="27" a="1"/>
  <c r="CQ29" i="27" s="1"/>
  <c r="CE29" i="27" a="1"/>
  <c r="CE29" i="27" s="1"/>
  <c r="CK29" i="27" a="1"/>
  <c r="CK29" i="27" s="1"/>
  <c r="CS29" i="27" a="1"/>
  <c r="CS29" i="27" s="1"/>
  <c r="CO29" i="27" a="1"/>
  <c r="CO29" i="27" s="1"/>
  <c r="CA29" i="27" a="1"/>
  <c r="CA29" i="27" s="1"/>
  <c r="CL104" i="27" a="1"/>
  <c r="CL104" i="27" s="1"/>
  <c r="CK104" i="27" a="1"/>
  <c r="CK104" i="27" s="1"/>
  <c r="CO104" i="27" a="1"/>
  <c r="CO104" i="27" s="1"/>
  <c r="CW104" i="27" a="1"/>
  <c r="CW104" i="27" s="1"/>
  <c r="CE104" i="27" a="1"/>
  <c r="CE104" i="27" s="1"/>
  <c r="CC104" i="27" a="1"/>
  <c r="CC104" i="27" s="1"/>
  <c r="CF32" i="27" a="1"/>
  <c r="CF32" i="27" s="1"/>
  <c r="CP32" i="27" a="1"/>
  <c r="CP32" i="27" s="1"/>
  <c r="CK32" i="27" a="1"/>
  <c r="CK32" i="27" s="1"/>
  <c r="CR32" i="27" a="1"/>
  <c r="CR32" i="27" s="1"/>
  <c r="CW32" i="27" a="1"/>
  <c r="CW32" i="27" s="1"/>
  <c r="CM32" i="27" a="1"/>
  <c r="CM32" i="27" s="1"/>
  <c r="CC32" i="27" a="1"/>
  <c r="CC32" i="27" s="1"/>
  <c r="CU32" i="27" a="1"/>
  <c r="CU32" i="27" s="1"/>
  <c r="CV32" i="27" a="1"/>
  <c r="CV32" i="27" s="1"/>
  <c r="CN13" i="27" a="1"/>
  <c r="CN13" i="27" s="1"/>
  <c r="CG13" i="27" a="1"/>
  <c r="CG13" i="27" s="1"/>
  <c r="CW13" i="27" a="1"/>
  <c r="CW13" i="27" s="1"/>
  <c r="CS13" i="27" a="1"/>
  <c r="CS13" i="27" s="1"/>
  <c r="CM13" i="27" a="1"/>
  <c r="CM13" i="27" s="1"/>
  <c r="CI13" i="27" a="1"/>
  <c r="CI13" i="27" s="1"/>
  <c r="CE13" i="27" a="1"/>
  <c r="CE13" i="27" s="1"/>
  <c r="CA13" i="27" a="1"/>
  <c r="CA13" i="27" s="1"/>
  <c r="CC13" i="27" a="1"/>
  <c r="CC13" i="27" s="1"/>
  <c r="CS72" i="27" a="1"/>
  <c r="CS72" i="27" s="1"/>
  <c r="CU72" i="27" a="1"/>
  <c r="CU72" i="27" s="1"/>
  <c r="CK72" i="27" a="1"/>
  <c r="CK72" i="27" s="1"/>
  <c r="CW72" i="27" a="1"/>
  <c r="CW72" i="27" s="1"/>
  <c r="CE72" i="27" a="1"/>
  <c r="CE72" i="27" s="1"/>
  <c r="CK56" i="27" a="1"/>
  <c r="CK56" i="27" s="1"/>
  <c r="CJ56" i="27" a="1"/>
  <c r="CJ56" i="27" s="1"/>
  <c r="CA56" i="27" a="1"/>
  <c r="CA56" i="27" s="1"/>
  <c r="CB51" i="27" a="1"/>
  <c r="CB51" i="27" s="1"/>
  <c r="CA51" i="27" a="1"/>
  <c r="CA51" i="27" s="1"/>
  <c r="CJ51" i="27" a="1"/>
  <c r="CJ51" i="27" s="1"/>
  <c r="CK51" i="27" a="1"/>
  <c r="CK51" i="27" s="1"/>
  <c r="CV51" i="27" a="1"/>
  <c r="CV51" i="27" s="1"/>
  <c r="BZ51" i="27" a="1"/>
  <c r="BZ51" i="27" s="1"/>
  <c r="CJ100" i="27" a="1"/>
  <c r="CJ100" i="27" s="1"/>
  <c r="CF100" i="27" a="1"/>
  <c r="CF100" i="27" s="1"/>
  <c r="BZ100" i="27" a="1"/>
  <c r="BZ100" i="27" s="1"/>
  <c r="CM100" i="27" a="1"/>
  <c r="CM100" i="27" s="1"/>
  <c r="CS100" i="27" a="1"/>
  <c r="CS100" i="27" s="1"/>
  <c r="CW100" i="27" a="1"/>
  <c r="CW100" i="27" s="1"/>
  <c r="CH100" i="27" a="1"/>
  <c r="CH100" i="27" s="1"/>
  <c r="CD100" i="27" a="1"/>
  <c r="CD100" i="27" s="1"/>
  <c r="CP100" i="27" a="1"/>
  <c r="CP100" i="27" s="1"/>
  <c r="CI100" i="27" a="1"/>
  <c r="CI100" i="27" s="1"/>
  <c r="CV100" i="27" a="1"/>
  <c r="CV100" i="27" s="1"/>
  <c r="CT100" i="27" a="1"/>
  <c r="CT100" i="27" s="1"/>
  <c r="CC100" i="27" a="1"/>
  <c r="CC100" i="27" s="1"/>
  <c r="CK100" i="27" a="1"/>
  <c r="CK100" i="27" s="1"/>
  <c r="CB100" i="27" a="1"/>
  <c r="CB100" i="27" s="1"/>
  <c r="CL100" i="27" a="1"/>
  <c r="CL100" i="27" s="1"/>
  <c r="CR100" i="27" a="1"/>
  <c r="CR100" i="27" s="1"/>
  <c r="CG100" i="27" a="1"/>
  <c r="CG100" i="27" s="1"/>
  <c r="CO100" i="27" a="1"/>
  <c r="CO100" i="27" s="1"/>
  <c r="BZ40" i="27" a="1"/>
  <c r="BZ40" i="27" s="1"/>
  <c r="CR40" i="27" a="1"/>
  <c r="CR40" i="27" s="1"/>
  <c r="CN40" i="27" a="1"/>
  <c r="CN40" i="27" s="1"/>
  <c r="CI40" i="27" a="1"/>
  <c r="CI40" i="27" s="1"/>
  <c r="CK40" i="27" a="1"/>
  <c r="CK40" i="27" s="1"/>
  <c r="CG40" i="27" a="1"/>
  <c r="CG40" i="27" s="1"/>
  <c r="CB40" i="27" a="1"/>
  <c r="CB40" i="27" s="1"/>
  <c r="CS40" i="27" a="1"/>
  <c r="CS40" i="27" s="1"/>
  <c r="CH40" i="27" a="1"/>
  <c r="CH40" i="27" s="1"/>
  <c r="CQ40" i="27" a="1"/>
  <c r="CQ40" i="27" s="1"/>
  <c r="CC40" i="27" a="1"/>
  <c r="CC40" i="27" s="1"/>
  <c r="CU40" i="27" a="1"/>
  <c r="CU40" i="27" s="1"/>
  <c r="CT40" i="27" a="1"/>
  <c r="CT40" i="27" s="1"/>
  <c r="CV40" i="27" a="1"/>
  <c r="CV40" i="27" s="1"/>
  <c r="CW40" i="27" a="1"/>
  <c r="CW40" i="27" s="1"/>
  <c r="CO40" i="27" a="1"/>
  <c r="CO40" i="27" s="1"/>
  <c r="CF21" i="27" a="1"/>
  <c r="CF21" i="27" s="1"/>
  <c r="BZ21" i="27" a="1"/>
  <c r="BZ21" i="27" s="1"/>
  <c r="CD21" i="27" a="1"/>
  <c r="CD21" i="27" s="1"/>
  <c r="CV21" i="27" a="1"/>
  <c r="CV21" i="27" s="1"/>
  <c r="CT21" i="27" a="1"/>
  <c r="CT21" i="27" s="1"/>
  <c r="CP21" i="27" a="1"/>
  <c r="CP21" i="27" s="1"/>
  <c r="CG21" i="27" a="1"/>
  <c r="CG21" i="27" s="1"/>
  <c r="CI21" i="27" a="1"/>
  <c r="CI21" i="27" s="1"/>
  <c r="CW21" i="27" a="1"/>
  <c r="CW21" i="27" s="1"/>
  <c r="CE21" i="27" a="1"/>
  <c r="CE21" i="27" s="1"/>
  <c r="CB21" i="27" a="1"/>
  <c r="CB21" i="27" s="1"/>
  <c r="CN21" i="27" a="1"/>
  <c r="CN21" i="27" s="1"/>
  <c r="CS21" i="27" a="1"/>
  <c r="CS21" i="27" s="1"/>
  <c r="CA21" i="27" a="1"/>
  <c r="CA21" i="27" s="1"/>
  <c r="CR21" i="27" a="1"/>
  <c r="CR21" i="27" s="1"/>
  <c r="CL21" i="27" a="1"/>
  <c r="CL21" i="27" s="1"/>
  <c r="CJ21" i="27" a="1"/>
  <c r="CJ21" i="27" s="1"/>
  <c r="CM21" i="27" a="1"/>
  <c r="CM21" i="27" s="1"/>
  <c r="CU128" i="27" a="1"/>
  <c r="CU128" i="27" s="1"/>
  <c r="CV128" i="27" a="1"/>
  <c r="CV128" i="27" s="1"/>
  <c r="CW128" i="27" a="1"/>
  <c r="CW128" i="27" s="1"/>
  <c r="CR128" i="27" a="1"/>
  <c r="CR128" i="27" s="1"/>
  <c r="CS128" i="27" a="1"/>
  <c r="CS128" i="27" s="1"/>
  <c r="CT128" i="27" a="1"/>
  <c r="CT128" i="27" s="1"/>
  <c r="CC128" i="27" a="1"/>
  <c r="CC128" i="27" s="1"/>
  <c r="CD128" i="27" a="1"/>
  <c r="CD128" i="27" s="1"/>
  <c r="CE128" i="27" a="1"/>
  <c r="CE128" i="27" s="1"/>
  <c r="BZ128" i="27" a="1"/>
  <c r="BZ128" i="27" s="1"/>
  <c r="CA128" i="27" a="1"/>
  <c r="CA128" i="27" s="1"/>
  <c r="CB128" i="27" a="1"/>
  <c r="CB128" i="27" s="1"/>
  <c r="CI128" i="27" a="1"/>
  <c r="CI128" i="27" s="1"/>
  <c r="CJ128" i="27" a="1"/>
  <c r="CJ128" i="27" s="1"/>
  <c r="CK128" i="27" a="1"/>
  <c r="CK128" i="27" s="1"/>
  <c r="CF128" i="27" a="1"/>
  <c r="CF128" i="27" s="1"/>
  <c r="CG128" i="27" a="1"/>
  <c r="CG128" i="27" s="1"/>
  <c r="CH128" i="27" a="1"/>
  <c r="CH128" i="27" s="1"/>
  <c r="CQ128" i="27" a="1"/>
  <c r="CQ128" i="27" s="1"/>
  <c r="CH31" i="27" a="1"/>
  <c r="CH31" i="27" s="1"/>
  <c r="CJ31" i="27" a="1"/>
  <c r="CJ31" i="27" s="1"/>
  <c r="CT31" i="27" a="1"/>
  <c r="CT31" i="27" s="1"/>
  <c r="CH95" i="27" a="1"/>
  <c r="CH95" i="27" s="1"/>
  <c r="CV95" i="27" a="1"/>
  <c r="CV95" i="27" s="1"/>
  <c r="BZ95" i="27" a="1"/>
  <c r="BZ95" i="27" s="1"/>
  <c r="CG95" i="27" a="1"/>
  <c r="CG95" i="27" s="1"/>
  <c r="BZ122" i="27" a="1"/>
  <c r="BZ122" i="27" s="1"/>
  <c r="CR122" i="27" a="1"/>
  <c r="CR122" i="27" s="1"/>
  <c r="CJ122" i="27" a="1"/>
  <c r="CJ122" i="27" s="1"/>
  <c r="CP50" i="27" a="1"/>
  <c r="CP50" i="27" s="1"/>
  <c r="CL50" i="27" a="1"/>
  <c r="CL50" i="27" s="1"/>
  <c r="CB50" i="27" a="1"/>
  <c r="CB50" i="27" s="1"/>
  <c r="CT50" i="27" a="1"/>
  <c r="CT50" i="27" s="1"/>
  <c r="CN50" i="27" a="1"/>
  <c r="CN50" i="27" s="1"/>
  <c r="CK103" i="27" a="1"/>
  <c r="CK103" i="27" s="1"/>
  <c r="CN103" i="27" a="1"/>
  <c r="CN103" i="27" s="1"/>
  <c r="CV103" i="27" a="1"/>
  <c r="CV103" i="27" s="1"/>
  <c r="CR103" i="27" a="1"/>
  <c r="CR103" i="27" s="1"/>
  <c r="CH103" i="27" a="1"/>
  <c r="CH103" i="27" s="1"/>
  <c r="CJ103" i="27" a="1"/>
  <c r="CJ103" i="27" s="1"/>
  <c r="CL55" i="27" a="1"/>
  <c r="CL55" i="27" s="1"/>
  <c r="CB55" i="27" a="1"/>
  <c r="CB55" i="27" s="1"/>
  <c r="BZ55" i="27" a="1"/>
  <c r="BZ55" i="27" s="1"/>
  <c r="CJ55" i="27" a="1"/>
  <c r="CJ55" i="27" s="1"/>
  <c r="CR55" i="27" a="1"/>
  <c r="CR55" i="27" s="1"/>
  <c r="CH55" i="27" a="1"/>
  <c r="CH55" i="27" s="1"/>
  <c r="CT55" i="27" a="1"/>
  <c r="CT55" i="27" s="1"/>
  <c r="CV55" i="27" a="1"/>
  <c r="CV55" i="27" s="1"/>
  <c r="CG55" i="27" a="1"/>
  <c r="CG55" i="27" s="1"/>
  <c r="CL139" i="27" a="1"/>
  <c r="CL139" i="27" s="1"/>
  <c r="CQ139" i="27" a="1"/>
  <c r="CQ139" i="27" s="1"/>
  <c r="CF139" i="27" a="1"/>
  <c r="CF139" i="27" s="1"/>
  <c r="BZ139" i="27" a="1"/>
  <c r="BZ139" i="27" s="1"/>
  <c r="CB139" i="27" a="1"/>
  <c r="CB139" i="27" s="1"/>
  <c r="CT139" i="27" a="1"/>
  <c r="CT139" i="27" s="1"/>
  <c r="CP139" i="27" a="1"/>
  <c r="CP139" i="27" s="1"/>
  <c r="CN139" i="27" a="1"/>
  <c r="CN139" i="27" s="1"/>
  <c r="CM139" i="27" a="1"/>
  <c r="CM139" i="27" s="1"/>
  <c r="CP18" i="27" a="1"/>
  <c r="CP18" i="27" s="1"/>
  <c r="CF18" i="27" a="1"/>
  <c r="CF18" i="27" s="1"/>
  <c r="CI18" i="27" a="1"/>
  <c r="CI18" i="27" s="1"/>
  <c r="CT18" i="27" a="1"/>
  <c r="CT18" i="27" s="1"/>
  <c r="CL18" i="27" a="1"/>
  <c r="CL18" i="27" s="1"/>
  <c r="CR18" i="27" a="1"/>
  <c r="CR18" i="27" s="1"/>
  <c r="CJ18" i="27" a="1"/>
  <c r="CJ18" i="27" s="1"/>
  <c r="CN18" i="27" a="1"/>
  <c r="CN18" i="27" s="1"/>
  <c r="CB18" i="27" a="1"/>
  <c r="CB18" i="27" s="1"/>
  <c r="CD18" i="27" a="1"/>
  <c r="CD18" i="27" s="1"/>
  <c r="CQ12" i="27" a="1"/>
  <c r="CQ12" i="27" s="1"/>
  <c r="CP12" i="27" a="1"/>
  <c r="CP12" i="27" s="1"/>
  <c r="CL11" i="27" a="1"/>
  <c r="CL11" i="27" s="1"/>
  <c r="CQ11" i="27" a="1"/>
  <c r="CQ11" i="27" s="1"/>
  <c r="BZ11" i="27" a="1"/>
  <c r="BZ11" i="27" s="1"/>
  <c r="CD11" i="27" a="1"/>
  <c r="CD11" i="27" s="1"/>
  <c r="CT11" i="27" a="1"/>
  <c r="CT11" i="27" s="1"/>
  <c r="CN11" i="27" a="1"/>
  <c r="CN11" i="27" s="1"/>
  <c r="CP11" i="27" a="1"/>
  <c r="CP11" i="27" s="1"/>
  <c r="CM11" i="27" a="1"/>
  <c r="CM11" i="27" s="1"/>
  <c r="CA115" i="27" a="1"/>
  <c r="CA115" i="27" s="1"/>
  <c r="BZ115" i="27" a="1"/>
  <c r="BZ115" i="27" s="1"/>
  <c r="CM115" i="27" a="1"/>
  <c r="CM115" i="27" s="1"/>
  <c r="CN115" i="27" a="1"/>
  <c r="CN115" i="27" s="1"/>
  <c r="CJ115" i="27" a="1"/>
  <c r="CJ115" i="27" s="1"/>
  <c r="CW115" i="27" a="1"/>
  <c r="CW115" i="27" s="1"/>
  <c r="CI115" i="27" a="1"/>
  <c r="CI115" i="27" s="1"/>
  <c r="CU115" i="27" a="1"/>
  <c r="CU115" i="27" s="1"/>
  <c r="CP115" i="27" a="1"/>
  <c r="CP115" i="27" s="1"/>
  <c r="CQ115" i="27" a="1"/>
  <c r="CQ115" i="27" s="1"/>
  <c r="CT115" i="27" a="1"/>
  <c r="CT115" i="27" s="1"/>
  <c r="CE115" i="27" a="1"/>
  <c r="CE115" i="27" s="1"/>
  <c r="CK115" i="27" a="1"/>
  <c r="CK115" i="27" s="1"/>
  <c r="CM122" i="27" a="1"/>
  <c r="CM122" i="27" s="1"/>
  <c r="CQ50" i="27" a="1"/>
  <c r="CQ50" i="27" s="1"/>
  <c r="CA31" i="27" a="1"/>
  <c r="CA31" i="27" s="1"/>
  <c r="CI103" i="27" a="1"/>
  <c r="CI103" i="27" s="1"/>
  <c r="CA55" i="27" a="1"/>
  <c r="CA55" i="27" s="1"/>
  <c r="CE139" i="27" a="1"/>
  <c r="CE139" i="27" s="1"/>
  <c r="CS60" i="27" a="1"/>
  <c r="CS60" i="27" s="1"/>
  <c r="CU50" i="27" a="1"/>
  <c r="CU50" i="27" s="1"/>
  <c r="CU58" i="27" a="1"/>
  <c r="CU58" i="27" s="1"/>
  <c r="CI139" i="27" a="1"/>
  <c r="CI139" i="27" s="1"/>
  <c r="CO60" i="27" a="1"/>
  <c r="CO60" i="27" s="1"/>
  <c r="CM18" i="27" a="1"/>
  <c r="CM18" i="27" s="1"/>
  <c r="CA105" i="27" a="1"/>
  <c r="CA105" i="27" s="1"/>
  <c r="BZ105" i="27" a="1"/>
  <c r="BZ105" i="27" s="1"/>
  <c r="CD105" i="27" a="1"/>
  <c r="CD105" i="27" s="1"/>
  <c r="CH105" i="27" a="1"/>
  <c r="CH105" i="27" s="1"/>
  <c r="CC105" i="27" a="1"/>
  <c r="CC105" i="27" s="1"/>
  <c r="CB105" i="27" a="1"/>
  <c r="CB105" i="27" s="1"/>
  <c r="CE50" i="27" a="1"/>
  <c r="CE50" i="27" s="1"/>
  <c r="CO58" i="27" a="1"/>
  <c r="CO58" i="27" s="1"/>
  <c r="CW55" i="27" a="1"/>
  <c r="CW55" i="27" s="1"/>
  <c r="CQ103" i="27" a="1"/>
  <c r="CQ103" i="27" s="1"/>
  <c r="CK122" i="27" a="1"/>
  <c r="CK122" i="27" s="1"/>
  <c r="CW103" i="27" a="1"/>
  <c r="CW103" i="27" s="1"/>
  <c r="CC55" i="27" a="1"/>
  <c r="CC55" i="27" s="1"/>
  <c r="CE58" i="27" a="1"/>
  <c r="CE58" i="27" s="1"/>
  <c r="CJ12" i="27" a="1"/>
  <c r="CJ12" i="27" s="1"/>
  <c r="BZ18" i="27" a="1"/>
  <c r="BZ18" i="27" s="1"/>
  <c r="CG50" i="27" a="1"/>
  <c r="CG50" i="27" s="1"/>
  <c r="CG11" i="27" a="1"/>
  <c r="CG11" i="27" s="1"/>
  <c r="CP55" i="27" a="1"/>
  <c r="CP55" i="27" s="1"/>
  <c r="CP122" i="27" a="1"/>
  <c r="CP122" i="27" s="1"/>
  <c r="CD50" i="27" a="1"/>
  <c r="CD50" i="27" s="1"/>
  <c r="CH139" i="27" a="1"/>
  <c r="CH139" i="27" s="1"/>
  <c r="CW95" i="27" a="1"/>
  <c r="CW95" i="27" s="1"/>
  <c r="CJ11" i="27" a="1"/>
  <c r="CJ11" i="27" s="1"/>
  <c r="CC115" i="27" a="1"/>
  <c r="CC115" i="27" s="1"/>
  <c r="CF11" i="27" a="1"/>
  <c r="CF11" i="27" s="1"/>
  <c r="CR95" i="27" a="1"/>
  <c r="CR95" i="27" s="1"/>
  <c r="CI46" i="27" a="1"/>
  <c r="CI46" i="27" s="1"/>
  <c r="CL46" i="27" a="1"/>
  <c r="CL46" i="27" s="1"/>
  <c r="CV46" i="27" a="1"/>
  <c r="CV46" i="27" s="1"/>
  <c r="CQ46" i="27" a="1"/>
  <c r="CQ46" i="27" s="1"/>
  <c r="CH46" i="27" a="1"/>
  <c r="CH46" i="27" s="1"/>
  <c r="CD46" i="27" a="1"/>
  <c r="CD46" i="27" s="1"/>
  <c r="CM46" i="27" a="1"/>
  <c r="CM46" i="27" s="1"/>
  <c r="CF46" i="27" a="1"/>
  <c r="CF46" i="27" s="1"/>
  <c r="CW46" i="27" a="1"/>
  <c r="CW46" i="27" s="1"/>
  <c r="CA11" i="27" a="1"/>
  <c r="CA11" i="27" s="1"/>
  <c r="CC139" i="27" a="1"/>
  <c r="CC139" i="27" s="1"/>
  <c r="CS18" i="27" a="1"/>
  <c r="CS18" i="27" s="1"/>
  <c r="CS122" i="27" a="1"/>
  <c r="CS122" i="27" s="1"/>
  <c r="CA103" i="27" a="1"/>
  <c r="CA103" i="27" s="1"/>
  <c r="CM95" i="27" a="1"/>
  <c r="CM95" i="27" s="1"/>
  <c r="CK18" i="27" a="1"/>
  <c r="CK18" i="27" s="1"/>
  <c r="CT105" i="27" a="1"/>
  <c r="CT105" i="27" s="1"/>
  <c r="CN105" i="27" a="1"/>
  <c r="CN105" i="27" s="1"/>
  <c r="CW105" i="27" a="1"/>
  <c r="CW105" i="27" s="1"/>
  <c r="CV105" i="27" a="1"/>
  <c r="CV105" i="27" s="1"/>
  <c r="CQ105" i="27" a="1"/>
  <c r="CQ105" i="27" s="1"/>
  <c r="CW122" i="27" a="1"/>
  <c r="CW122" i="27" s="1"/>
  <c r="CU103" i="27" a="1"/>
  <c r="CU103" i="27" s="1"/>
  <c r="CE95" i="27" a="1"/>
  <c r="CE95" i="27" s="1"/>
  <c r="CS55" i="27" a="1"/>
  <c r="CS55" i="27" s="1"/>
  <c r="CS103" i="27" a="1"/>
  <c r="CS103" i="27" s="1"/>
  <c r="CC95" i="27" a="1"/>
  <c r="CC95" i="27" s="1"/>
  <c r="CK50" i="27" a="1"/>
  <c r="CK50" i="27" s="1"/>
  <c r="CK11" i="27" a="1"/>
  <c r="CK11" i="27" s="1"/>
  <c r="CS115" i="27" a="1"/>
  <c r="CS115" i="27" s="1"/>
  <c r="CH18" i="27" a="1"/>
  <c r="CH18" i="27" s="1"/>
  <c r="CT103" i="27" a="1"/>
  <c r="CT103" i="27" s="1"/>
  <c r="CG103" i="27" a="1"/>
  <c r="CG103" i="27" s="1"/>
  <c r="CD115" i="27" a="1"/>
  <c r="CD115" i="27" s="1"/>
  <c r="BZ50" i="27" a="1"/>
  <c r="BZ50" i="27" s="1"/>
  <c r="CJ139" i="27" a="1"/>
  <c r="CJ139" i="27" s="1"/>
  <c r="CP138" i="27" a="1"/>
  <c r="CP138" i="27" s="1"/>
  <c r="CG138" i="27" a="1"/>
  <c r="CG138" i="27" s="1"/>
  <c r="CN138" i="27" a="1"/>
  <c r="CN138" i="27" s="1"/>
  <c r="CB138" i="27" a="1"/>
  <c r="CB138" i="27" s="1"/>
  <c r="CH138" i="27" a="1"/>
  <c r="CH138" i="27" s="1"/>
  <c r="CT65" i="27" a="1"/>
  <c r="CT65" i="27" s="1"/>
  <c r="CR65" i="27" a="1"/>
  <c r="CR65" i="27" s="1"/>
  <c r="CW65" i="27" a="1"/>
  <c r="CW65" i="27" s="1"/>
  <c r="CP116" i="27" a="1"/>
  <c r="CP116" i="27" s="1"/>
  <c r="CF116" i="27" a="1"/>
  <c r="CF116" i="27" s="1"/>
  <c r="CJ116" i="27" a="1"/>
  <c r="CJ116" i="27" s="1"/>
  <c r="CQ44" i="27" a="1"/>
  <c r="CQ44" i="27" s="1"/>
  <c r="CG44" i="27" a="1"/>
  <c r="CG44" i="27" s="1"/>
  <c r="CT25" i="27" a="1"/>
  <c r="CT25" i="27" s="1"/>
  <c r="CP25" i="27" a="1"/>
  <c r="CP25" i="27" s="1"/>
  <c r="CV53" i="27" a="1"/>
  <c r="CV53" i="27" s="1"/>
  <c r="CR53" i="27" a="1"/>
  <c r="CR53" i="27" s="1"/>
  <c r="CT53" i="27" a="1"/>
  <c r="CT53" i="27" s="1"/>
  <c r="CP53" i="27" a="1"/>
  <c r="CP53" i="27" s="1"/>
  <c r="CK53" i="27" a="1"/>
  <c r="CK53" i="27" s="1"/>
  <c r="CT120" i="27" a="1"/>
  <c r="CT120" i="27" s="1"/>
  <c r="CP120" i="27" a="1"/>
  <c r="CP120" i="27" s="1"/>
  <c r="CH120" i="27" a="1"/>
  <c r="CH120" i="27" s="1"/>
  <c r="CG120" i="27" a="1"/>
  <c r="CG120" i="27" s="1"/>
  <c r="CR120" i="27" a="1"/>
  <c r="CR120" i="27" s="1"/>
  <c r="CN73" i="27" a="1"/>
  <c r="CN73" i="27" s="1"/>
  <c r="CJ73" i="27" a="1"/>
  <c r="CJ73" i="27" s="1"/>
  <c r="BZ73" i="27" a="1"/>
  <c r="BZ73" i="27" s="1"/>
  <c r="CD73" i="27" a="1"/>
  <c r="CD73" i="27" s="1"/>
  <c r="BZ89" i="27" a="1"/>
  <c r="BZ89" i="27" s="1"/>
  <c r="CB89" i="27" a="1"/>
  <c r="CB89" i="27" s="1"/>
  <c r="CH89" i="27" a="1"/>
  <c r="CH89" i="27" s="1"/>
  <c r="CF89" i="27" a="1"/>
  <c r="CF89" i="27" s="1"/>
  <c r="CP27" i="27" a="1"/>
  <c r="CP27" i="27" s="1"/>
  <c r="CN27" i="27" a="1"/>
  <c r="CN27" i="27" s="1"/>
  <c r="CL107" i="27" a="1"/>
  <c r="CL107" i="27" s="1"/>
  <c r="CW107" i="27" a="1"/>
  <c r="CW107" i="27" s="1"/>
  <c r="CQ107" i="27" a="1"/>
  <c r="CQ107" i="27" s="1"/>
  <c r="CG107" i="27" a="1"/>
  <c r="CG107" i="27" s="1"/>
  <c r="CV107" i="27" a="1"/>
  <c r="CV107" i="27" s="1"/>
  <c r="CN107" i="27" a="1"/>
  <c r="CN107" i="27" s="1"/>
  <c r="CD107" i="27" a="1"/>
  <c r="CD107" i="27" s="1"/>
  <c r="CP107" i="27" a="1"/>
  <c r="CP107" i="27" s="1"/>
  <c r="CR107" i="27" a="1"/>
  <c r="CR107" i="27" s="1"/>
  <c r="CJ107" i="27" a="1"/>
  <c r="CJ107" i="27" s="1"/>
  <c r="BZ107" i="27" a="1"/>
  <c r="BZ107" i="27" s="1"/>
  <c r="CT107" i="27" a="1"/>
  <c r="CT107" i="27" s="1"/>
  <c r="CK107" i="27" a="1"/>
  <c r="CK107" i="27" s="1"/>
  <c r="CS107" i="27" a="1"/>
  <c r="CS107" i="27" s="1"/>
  <c r="CC107" i="27" a="1"/>
  <c r="CC107" i="27" s="1"/>
  <c r="CA107" i="27" a="1"/>
  <c r="CA107" i="27" s="1"/>
  <c r="BZ59" i="27" a="1"/>
  <c r="BZ59" i="27" s="1"/>
  <c r="CJ59" i="27" a="1"/>
  <c r="CJ59" i="27" s="1"/>
  <c r="CR59" i="27" a="1"/>
  <c r="CR59" i="27" s="1"/>
  <c r="CC59" i="27" a="1"/>
  <c r="CC59" i="27" s="1"/>
  <c r="CF117" i="27" a="1"/>
  <c r="CF117" i="27" s="1"/>
  <c r="CG117" i="27" a="1"/>
  <c r="CG117" i="27" s="1"/>
  <c r="CK117" i="27" a="1"/>
  <c r="CK117" i="27" s="1"/>
  <c r="CV117" i="27" a="1"/>
  <c r="CV117" i="27" s="1"/>
  <c r="CN117" i="27" a="1"/>
  <c r="CN117" i="27" s="1"/>
  <c r="CS117" i="27" a="1"/>
  <c r="CS117" i="27" s="1"/>
  <c r="CB117" i="27" a="1"/>
  <c r="CB117" i="27" s="1"/>
  <c r="CC117" i="27" a="1"/>
  <c r="CC117" i="27" s="1"/>
  <c r="CA117" i="27" a="1"/>
  <c r="CA117" i="27" s="1"/>
  <c r="CM117" i="27" a="1"/>
  <c r="CM117" i="27" s="1"/>
  <c r="CE117" i="27" a="1"/>
  <c r="CE117" i="27" s="1"/>
  <c r="CI117" i="27" a="1"/>
  <c r="CI117" i="27" s="1"/>
  <c r="CG69" i="27" a="1"/>
  <c r="CG69" i="27" s="1"/>
  <c r="CF69" i="27" a="1"/>
  <c r="CF69" i="27" s="1"/>
  <c r="CI69" i="27" a="1"/>
  <c r="CI69" i="27" s="1"/>
  <c r="CR69" i="27" a="1"/>
  <c r="CR69" i="27" s="1"/>
  <c r="CM69" i="27" a="1"/>
  <c r="CM69" i="27" s="1"/>
  <c r="CB69" i="27" a="1"/>
  <c r="CB69" i="27" s="1"/>
  <c r="CC69" i="27" a="1"/>
  <c r="CC69" i="27" s="1"/>
  <c r="CA69" i="27" a="1"/>
  <c r="CA69" i="27" s="1"/>
  <c r="CD69" i="27" a="1"/>
  <c r="CD69" i="27" s="1"/>
  <c r="CK69" i="27" a="1"/>
  <c r="CK69" i="27" s="1"/>
  <c r="BZ69" i="27" a="1"/>
  <c r="BZ69" i="27" s="1"/>
  <c r="CN69" i="27" a="1"/>
  <c r="CN69" i="27" s="1"/>
  <c r="CC134" i="27" a="1"/>
  <c r="CC134" i="27" s="1"/>
  <c r="CD134" i="27" a="1"/>
  <c r="CD134" i="27" s="1"/>
  <c r="BZ134" i="27" a="1"/>
  <c r="BZ134" i="27" s="1"/>
  <c r="CA134" i="27" a="1"/>
  <c r="CA134" i="27" s="1"/>
  <c r="CF134" i="27" a="1"/>
  <c r="CF134" i="27" s="1"/>
  <c r="CB134" i="27" a="1"/>
  <c r="CB134" i="27" s="1"/>
  <c r="CV134" i="27" a="1"/>
  <c r="CV134" i="27" s="1"/>
  <c r="CW134" i="27" a="1"/>
  <c r="CW134" i="27" s="1"/>
  <c r="CS134" i="27" a="1"/>
  <c r="CS134" i="27" s="1"/>
  <c r="CT134" i="27" a="1"/>
  <c r="CT134" i="27" s="1"/>
  <c r="CU134" i="27" a="1"/>
  <c r="CU134" i="27" s="1"/>
  <c r="CQ134" i="27" a="1"/>
  <c r="CQ134" i="27" s="1"/>
  <c r="CN86" i="27" a="1"/>
  <c r="CN86" i="27" s="1"/>
  <c r="CW86" i="27" a="1"/>
  <c r="CW86" i="27" s="1"/>
  <c r="CK86" i="27" a="1"/>
  <c r="CK86" i="27" s="1"/>
  <c r="CI86" i="27" a="1"/>
  <c r="CI86" i="27" s="1"/>
  <c r="CO86" i="27" a="1"/>
  <c r="CO86" i="27" s="1"/>
  <c r="CU86" i="27" a="1"/>
  <c r="CU86" i="27" s="1"/>
  <c r="CR38" i="27" a="1"/>
  <c r="CR38" i="27" s="1"/>
  <c r="CJ38" i="27" a="1"/>
  <c r="CJ38" i="27" s="1"/>
  <c r="CK38" i="27" a="1"/>
  <c r="CK38" i="27" s="1"/>
  <c r="CW38" i="27" a="1"/>
  <c r="CW38" i="27" s="1"/>
  <c r="CQ38" i="27" a="1"/>
  <c r="CQ38" i="27" s="1"/>
  <c r="CU38" i="27" a="1"/>
  <c r="CU38" i="27" s="1"/>
  <c r="CI38" i="27" a="1"/>
  <c r="CI38" i="27" s="1"/>
  <c r="CA38" i="27" a="1"/>
  <c r="CA38" i="27" s="1"/>
  <c r="CV91" i="27" a="1"/>
  <c r="CV91" i="27" s="1"/>
  <c r="CM91" i="27" a="1"/>
  <c r="CM91" i="27" s="1"/>
  <c r="CC91" i="27" a="1"/>
  <c r="CC91" i="27" s="1"/>
  <c r="CU91" i="27" a="1"/>
  <c r="CU91" i="27" s="1"/>
  <c r="CE91" i="27" a="1"/>
  <c r="CE91" i="27" s="1"/>
  <c r="CO91" i="27" a="1"/>
  <c r="CO91" i="27" s="1"/>
  <c r="CS91" i="27" a="1"/>
  <c r="CS91" i="27" s="1"/>
  <c r="CN43" i="27" a="1"/>
  <c r="CN43" i="27" s="1"/>
  <c r="CV43" i="27" a="1"/>
  <c r="CV43" i="27" s="1"/>
  <c r="CH43" i="27" a="1"/>
  <c r="CH43" i="27" s="1"/>
  <c r="CP43" i="27" a="1"/>
  <c r="CP43" i="27" s="1"/>
  <c r="CR43" i="27" a="1"/>
  <c r="CR43" i="27" s="1"/>
  <c r="CT43" i="27" a="1"/>
  <c r="CT43" i="27" s="1"/>
  <c r="CB43" i="27" a="1"/>
  <c r="CB43" i="27" s="1"/>
  <c r="CU43" i="27" a="1"/>
  <c r="CU43" i="27" s="1"/>
  <c r="CK43" i="27" a="1"/>
  <c r="CK43" i="27" s="1"/>
  <c r="BZ43" i="27" a="1"/>
  <c r="BZ43" i="27" s="1"/>
  <c r="CS43" i="27" a="1"/>
  <c r="CS43" i="27" s="1"/>
  <c r="CG43" i="27" a="1"/>
  <c r="CG43" i="27" s="1"/>
  <c r="CW43" i="27" a="1"/>
  <c r="CW43" i="27" s="1"/>
  <c r="CT140" i="27" a="1"/>
  <c r="CT140" i="27" s="1"/>
  <c r="CN140" i="27" a="1"/>
  <c r="CN140" i="27" s="1"/>
  <c r="CB140" i="27" a="1"/>
  <c r="CB140" i="27" s="1"/>
  <c r="CH140" i="27" a="1"/>
  <c r="CH140" i="27" s="1"/>
  <c r="CV140" i="27" a="1"/>
  <c r="CV140" i="27" s="1"/>
  <c r="CK140" i="27" a="1"/>
  <c r="CK140" i="27" s="1"/>
  <c r="CW140" i="27" a="1"/>
  <c r="CW140" i="27" s="1"/>
  <c r="CM140" i="27" a="1"/>
  <c r="CM140" i="27" s="1"/>
  <c r="CQ140" i="27" a="1"/>
  <c r="CQ140" i="27" s="1"/>
  <c r="CJ140" i="27" a="1"/>
  <c r="CJ140" i="27" s="1"/>
  <c r="CD140" i="27" a="1"/>
  <c r="CD140" i="27" s="1"/>
  <c r="CS140" i="27" a="1"/>
  <c r="CS140" i="27" s="1"/>
  <c r="CO140" i="27" a="1"/>
  <c r="CO140" i="27" s="1"/>
  <c r="CA140" i="27" a="1"/>
  <c r="CA140" i="27" s="1"/>
  <c r="CI91" i="27" a="1"/>
  <c r="CI91" i="27" s="1"/>
  <c r="CE107" i="27" a="1"/>
  <c r="CE107" i="27" s="1"/>
  <c r="CC86" i="27" a="1"/>
  <c r="CC86" i="27" s="1"/>
  <c r="CL134" i="27" a="1"/>
  <c r="CL134" i="27" s="1"/>
  <c r="CO134" i="27" a="1"/>
  <c r="CO134" i="27" s="1"/>
  <c r="CR134" i="27" a="1"/>
  <c r="CR134" i="27" s="1"/>
  <c r="CM107" i="27" a="1"/>
  <c r="CM107" i="27" s="1"/>
  <c r="CS69" i="27" a="1"/>
  <c r="CS69" i="27" s="1"/>
  <c r="CO69" i="27" a="1"/>
  <c r="CO69" i="27" s="1"/>
  <c r="CO107" i="27" a="1"/>
  <c r="CO107" i="27" s="1"/>
  <c r="CW91" i="27" a="1"/>
  <c r="CW91" i="27" s="1"/>
  <c r="CD43" i="27" a="1"/>
  <c r="CD43" i="27" s="1"/>
  <c r="BZ86" i="27" a="1"/>
  <c r="BZ86" i="27" s="1"/>
  <c r="CP133" i="27" a="1"/>
  <c r="CP133" i="27" s="1"/>
  <c r="BZ133" i="27" a="1"/>
  <c r="BZ133" i="27" s="1"/>
  <c r="CH133" i="27" a="1"/>
  <c r="CH133" i="27" s="1"/>
  <c r="CB133" i="27" a="1"/>
  <c r="CB133" i="27" s="1"/>
  <c r="CF133" i="27" a="1"/>
  <c r="CF133" i="27" s="1"/>
  <c r="CN133" i="27" a="1"/>
  <c r="CN133" i="27" s="1"/>
  <c r="CS133" i="27" a="1"/>
  <c r="CS133" i="27" s="1"/>
  <c r="CI133" i="27" a="1"/>
  <c r="CI133" i="27" s="1"/>
  <c r="CM133" i="27" a="1"/>
  <c r="CM133" i="27" s="1"/>
  <c r="CO133" i="27" a="1"/>
  <c r="CO133" i="27" s="1"/>
  <c r="CS86" i="27" a="1"/>
  <c r="CS86" i="27" s="1"/>
  <c r="CU140" i="27" a="1"/>
  <c r="CU140" i="27" s="1"/>
  <c r="CR117" i="27" a="1"/>
  <c r="CR117" i="27" s="1"/>
  <c r="CT117" i="27" a="1"/>
  <c r="CT117" i="27" s="1"/>
  <c r="CU117" i="27" a="1"/>
  <c r="CU117" i="27" s="1"/>
  <c r="CE86" i="27" a="1"/>
  <c r="CE86" i="27" s="1"/>
  <c r="CC38" i="27" a="1"/>
  <c r="CC38" i="27" s="1"/>
  <c r="CM43" i="27" a="1"/>
  <c r="CM43" i="27" s="1"/>
  <c r="CV69" i="27" a="1"/>
  <c r="CV69" i="27" s="1"/>
  <c r="CB107" i="27" a="1"/>
  <c r="CB107" i="27" s="1"/>
  <c r="CK91" i="27" a="1"/>
  <c r="CK91" i="27" s="1"/>
  <c r="CF43" i="27" a="1"/>
  <c r="CF43" i="27" s="1"/>
  <c r="CD130" i="27" a="1"/>
  <c r="CD130" i="27" s="1"/>
  <c r="CK130" i="27" a="1"/>
  <c r="CK130" i="27" s="1"/>
  <c r="CS130" i="27" a="1"/>
  <c r="CS130" i="27" s="1"/>
  <c r="CU130" i="27" a="1"/>
  <c r="CU130" i="27" s="1"/>
  <c r="CO130" i="27" a="1"/>
  <c r="CO130" i="27" s="1"/>
  <c r="CH22" i="27" a="1"/>
  <c r="CH22" i="27" s="1"/>
  <c r="BZ22" i="27" a="1"/>
  <c r="BZ22" i="27" s="1"/>
  <c r="CI22" i="27" a="1"/>
  <c r="CI22" i="27" s="1"/>
  <c r="CK22" i="27" a="1"/>
  <c r="CK22" i="27" s="1"/>
  <c r="CG22" i="27" a="1"/>
  <c r="CG22" i="27" s="1"/>
  <c r="CU22" i="27" a="1"/>
  <c r="CU22" i="27" s="1"/>
  <c r="CL22" i="27" a="1"/>
  <c r="CL22" i="27" s="1"/>
  <c r="CC22" i="27" a="1"/>
  <c r="CC22" i="27" s="1"/>
  <c r="CO22" i="27" a="1"/>
  <c r="CO22" i="27" s="1"/>
  <c r="CE22" i="27" a="1"/>
  <c r="CE22" i="27" s="1"/>
  <c r="CA22" i="27" a="1"/>
  <c r="CA22" i="27" s="1"/>
  <c r="CI112" i="27" a="1"/>
  <c r="CI112" i="27" s="1"/>
  <c r="CL112" i="27" a="1"/>
  <c r="CL112" i="27" s="1"/>
  <c r="CR112" i="27" a="1"/>
  <c r="CR112" i="27" s="1"/>
  <c r="CJ112" i="27" a="1"/>
  <c r="CJ112" i="27" s="1"/>
  <c r="CS112" i="27" a="1"/>
  <c r="CS112" i="27" s="1"/>
  <c r="CE112" i="27" a="1"/>
  <c r="CE112" i="27" s="1"/>
  <c r="CA112" i="27" a="1"/>
  <c r="CA112" i="27" s="1"/>
  <c r="CD112" i="27" a="1"/>
  <c r="CD112" i="27" s="1"/>
  <c r="CF112" i="27" a="1"/>
  <c r="CF112" i="27" s="1"/>
  <c r="CT112" i="27" a="1"/>
  <c r="CT112" i="27" s="1"/>
  <c r="CF90" i="27" a="1"/>
  <c r="CF90" i="27" s="1"/>
  <c r="CB90" i="27" a="1"/>
  <c r="CB90" i="27" s="1"/>
  <c r="CJ90" i="27" a="1"/>
  <c r="CJ90" i="27" s="1"/>
  <c r="CL90" i="27" a="1"/>
  <c r="CL90" i="27" s="1"/>
  <c r="BZ90" i="27" a="1"/>
  <c r="BZ90" i="27" s="1"/>
  <c r="CP90" i="27" a="1"/>
  <c r="CP90" i="27" s="1"/>
  <c r="CH90" i="27" a="1"/>
  <c r="CH90" i="27" s="1"/>
  <c r="CO90" i="27" a="1"/>
  <c r="CO90" i="27" s="1"/>
  <c r="CG90" i="27" a="1"/>
  <c r="CG90" i="27" s="1"/>
  <c r="CM90" i="27" a="1"/>
  <c r="CM90" i="27" s="1"/>
  <c r="CU90" i="27" a="1"/>
  <c r="CU90" i="27" s="1"/>
  <c r="CW90" i="27" a="1"/>
  <c r="CW90" i="27" s="1"/>
  <c r="CD135" i="27" a="1"/>
  <c r="CD135" i="27" s="1"/>
  <c r="CL135" i="27" a="1"/>
  <c r="CL135" i="27" s="1"/>
  <c r="CF135" i="27" a="1"/>
  <c r="CF135" i="27" s="1"/>
  <c r="CJ135" i="27" a="1"/>
  <c r="CJ135" i="27" s="1"/>
  <c r="CB135" i="27" a="1"/>
  <c r="CB135" i="27" s="1"/>
  <c r="CR135" i="27" a="1"/>
  <c r="CR135" i="27" s="1"/>
  <c r="CI135" i="27" a="1"/>
  <c r="CI135" i="27" s="1"/>
  <c r="CM135" i="27" a="1"/>
  <c r="CM135" i="27" s="1"/>
  <c r="CS135" i="27" a="1"/>
  <c r="CS135" i="27" s="1"/>
  <c r="CE135" i="27" a="1"/>
  <c r="CE135" i="27" s="1"/>
  <c r="CO135" i="27" a="1"/>
  <c r="CO135" i="27" s="1"/>
  <c r="CW135" i="27" a="1"/>
  <c r="CW135" i="27" s="1"/>
  <c r="CR30" i="27" a="1"/>
  <c r="CR30" i="27" s="1"/>
  <c r="CK30" i="27" a="1"/>
  <c r="CK30" i="27" s="1"/>
  <c r="CN123" i="27" a="1"/>
  <c r="CN123" i="27" s="1"/>
  <c r="CG123" i="27" a="1"/>
  <c r="CG123" i="27" s="1"/>
  <c r="CW123" i="27" a="1"/>
  <c r="CW123" i="27" s="1"/>
  <c r="CL123" i="27" a="1"/>
  <c r="CL123" i="27" s="1"/>
  <c r="CE123" i="27" a="1"/>
  <c r="CE123" i="27" s="1"/>
  <c r="CU123" i="27" a="1"/>
  <c r="CU123" i="27" s="1"/>
  <c r="CJ123" i="27" a="1"/>
  <c r="CJ123" i="27" s="1"/>
  <c r="CC123" i="27" a="1"/>
  <c r="CC123" i="27" s="1"/>
  <c r="CS123" i="27" a="1"/>
  <c r="CS123" i="27" s="1"/>
  <c r="CH123" i="27" a="1"/>
  <c r="CH123" i="27" s="1"/>
  <c r="CA123" i="27" a="1"/>
  <c r="CA123" i="27" s="1"/>
  <c r="CQ123" i="27" a="1"/>
  <c r="CQ123" i="27" s="1"/>
  <c r="CN23" i="27" a="1"/>
  <c r="CN23" i="27" s="1"/>
  <c r="CF23" i="27" a="1"/>
  <c r="CF23" i="27" s="1"/>
  <c r="CR23" i="27" a="1"/>
  <c r="CR23" i="27" s="1"/>
  <c r="CQ23" i="27" a="1"/>
  <c r="CQ23" i="27" s="1"/>
  <c r="CL23" i="27" a="1"/>
  <c r="CL23" i="27" s="1"/>
  <c r="CM23" i="27" a="1"/>
  <c r="CM23" i="27" s="1"/>
  <c r="CK23" i="27" a="1"/>
  <c r="CK23" i="27" s="1"/>
  <c r="CB23" i="27" a="1"/>
  <c r="CB23" i="27" s="1"/>
  <c r="CW23" i="27" a="1"/>
  <c r="CW23" i="27" s="1"/>
  <c r="CI23" i="27" a="1"/>
  <c r="CI23" i="27" s="1"/>
  <c r="CE23" i="27" a="1"/>
  <c r="CE23" i="27" s="1"/>
  <c r="BZ23" i="27" a="1"/>
  <c r="BZ23" i="27" s="1"/>
  <c r="CH23" i="27" a="1"/>
  <c r="CH23" i="27" s="1"/>
  <c r="CV23" i="27" a="1"/>
  <c r="CV23" i="27" s="1"/>
  <c r="CG23" i="27" a="1"/>
  <c r="CG23" i="27" s="1"/>
  <c r="CC135" i="27" a="1"/>
  <c r="CC135" i="27" s="1"/>
  <c r="CA86" i="27" a="1"/>
  <c r="CA86" i="27" s="1"/>
  <c r="CE38" i="27" a="1"/>
  <c r="CE38" i="27" s="1"/>
  <c r="CE43" i="27" a="1"/>
  <c r="CE43" i="27" s="1"/>
  <c r="CC90" i="27" a="1"/>
  <c r="CC90" i="27" s="1"/>
  <c r="CE130" i="27" a="1"/>
  <c r="CE130" i="27" s="1"/>
  <c r="CM123" i="27" a="1"/>
  <c r="CM123" i="27" s="1"/>
  <c r="CD123" i="27" a="1"/>
  <c r="CD123" i="27" s="1"/>
  <c r="CV123" i="27" a="1"/>
  <c r="CV123" i="27" s="1"/>
  <c r="CI140" i="27" a="1"/>
  <c r="CI140" i="27" s="1"/>
  <c r="CA133" i="27" a="1"/>
  <c r="CA133" i="27" s="1"/>
  <c r="CH117" i="27" a="1"/>
  <c r="CH117" i="27" s="1"/>
  <c r="CO117" i="27" a="1"/>
  <c r="CO117" i="27" s="1"/>
  <c r="CP117" i="27" a="1"/>
  <c r="CP117" i="27" s="1"/>
  <c r="CG134" i="27" a="1"/>
  <c r="CG134" i="27" s="1"/>
  <c r="CJ134" i="27" a="1"/>
  <c r="CJ134" i="27" s="1"/>
  <c r="CI134" i="27" a="1"/>
  <c r="CI134" i="27" s="1"/>
  <c r="CI90" i="27" a="1"/>
  <c r="CI90" i="27" s="1"/>
  <c r="CP69" i="27" a="1"/>
  <c r="CP69" i="27" s="1"/>
  <c r="CE69" i="27" a="1"/>
  <c r="CE69" i="27" s="1"/>
  <c r="CJ69" i="27" a="1"/>
  <c r="CJ69" i="27" s="1"/>
  <c r="CQ86" i="27" a="1"/>
  <c r="CQ86" i="27" s="1"/>
  <c r="CO23" i="27" a="1"/>
  <c r="CO23" i="27" s="1"/>
  <c r="CQ91" i="27" a="1"/>
  <c r="CQ91" i="27" s="1"/>
  <c r="CI107" i="27" a="1"/>
  <c r="CI107" i="27" s="1"/>
  <c r="CH107" i="27" a="1"/>
  <c r="CH107" i="27" s="1"/>
  <c r="CV112" i="27" a="1"/>
  <c r="CV112" i="27" s="1"/>
  <c r="CM22" i="27" a="1"/>
  <c r="CM22" i="27" s="1"/>
  <c r="CT90" i="27" a="1"/>
  <c r="CT90" i="27" s="1"/>
  <c r="CF86" i="27" a="1"/>
  <c r="CF86" i="27" s="1"/>
  <c r="CE59" i="27" a="1"/>
  <c r="CE59" i="27" s="1"/>
  <c r="CR109" i="27" a="1"/>
  <c r="CR109" i="27" s="1"/>
  <c r="CU109" i="27" a="1"/>
  <c r="CU109" i="27" s="1"/>
  <c r="CA109" i="27" a="1"/>
  <c r="CA109" i="27" s="1"/>
  <c r="CC109" i="27" a="1"/>
  <c r="CC109" i="27" s="1"/>
  <c r="CM109" i="27" a="1"/>
  <c r="CM109" i="27" s="1"/>
  <c r="CF10" i="27" a="1"/>
  <c r="CF10" i="27" s="1"/>
  <c r="CH10" i="27" a="1"/>
  <c r="CH10" i="27" s="1"/>
  <c r="CT10" i="27" a="1"/>
  <c r="CT10" i="27" s="1"/>
  <c r="BZ10" i="27" a="1"/>
  <c r="BZ10" i="27" s="1"/>
  <c r="CB10" i="27" a="1"/>
  <c r="CB10" i="27" s="1"/>
  <c r="CQ10" i="27" a="1"/>
  <c r="CQ10" i="27" s="1"/>
  <c r="CG10" i="27" a="1"/>
  <c r="CG10" i="27" s="1"/>
  <c r="CP10" i="27" a="1"/>
  <c r="CP10" i="27" s="1"/>
  <c r="CA10" i="27" a="1"/>
  <c r="CA10" i="27" s="1"/>
  <c r="CS10" i="27" a="1"/>
  <c r="CS10" i="27" s="1"/>
  <c r="CN10" i="27" a="1"/>
  <c r="CN10" i="27" s="1"/>
  <c r="CJ10" i="27" a="1"/>
  <c r="CJ10" i="27" s="1"/>
  <c r="CI10" i="27" a="1"/>
  <c r="CI10" i="27" s="1"/>
  <c r="CK10" i="27" a="1"/>
  <c r="CK10" i="27" s="1"/>
  <c r="CE10" i="27" a="1"/>
  <c r="CE10" i="27" s="1"/>
  <c r="CU10" i="27" a="1"/>
  <c r="CU10" i="27" s="1"/>
  <c r="CO10" i="27" a="1"/>
  <c r="CO10" i="27" s="1"/>
  <c r="CB9" i="27" a="1"/>
  <c r="CB9" i="27" s="1"/>
  <c r="CJ9" i="27" a="1"/>
  <c r="CJ9" i="27" s="1"/>
  <c r="CI9" i="27" a="1"/>
  <c r="CI9" i="27" s="1"/>
  <c r="CG9" i="27" a="1"/>
  <c r="CG9" i="27" s="1"/>
  <c r="CT76" i="27" a="1"/>
  <c r="CT76" i="27" s="1"/>
  <c r="CS76" i="27" a="1"/>
  <c r="CS76" i="27" s="1"/>
  <c r="CG76" i="27" a="1"/>
  <c r="CG76" i="27" s="1"/>
  <c r="CU76" i="27" a="1"/>
  <c r="CU76" i="27" s="1"/>
  <c r="CE76" i="27" a="1"/>
  <c r="CE76" i="27" s="1"/>
  <c r="CD34" i="27" a="1"/>
  <c r="CD34" i="27" s="1"/>
  <c r="CS34" i="27" a="1"/>
  <c r="CS34" i="27" s="1"/>
  <c r="CJ34" i="27" a="1"/>
  <c r="CJ34" i="27" s="1"/>
  <c r="CN34" i="27" a="1"/>
  <c r="CN34" i="27" s="1"/>
  <c r="CM34" i="27" a="1"/>
  <c r="CM34" i="27" s="1"/>
  <c r="CQ34" i="27" a="1"/>
  <c r="CQ34" i="27" s="1"/>
  <c r="CI34" i="27" a="1"/>
  <c r="CI34" i="27" s="1"/>
  <c r="CR34" i="27" a="1"/>
  <c r="CR34" i="27" s="1"/>
  <c r="BZ34" i="27" a="1"/>
  <c r="BZ34" i="27" s="1"/>
  <c r="CB34" i="27" a="1"/>
  <c r="CB34" i="27" s="1"/>
  <c r="CF34" i="27" a="1"/>
  <c r="CF34" i="27" s="1"/>
  <c r="CT34" i="27" a="1"/>
  <c r="CT34" i="27" s="1"/>
  <c r="CP34" i="27" a="1"/>
  <c r="CP34" i="27" s="1"/>
  <c r="CK34" i="27" a="1"/>
  <c r="CK34" i="27" s="1"/>
  <c r="CE34" i="27" a="1"/>
  <c r="CE34" i="27" s="1"/>
  <c r="CA34" i="27" a="1"/>
  <c r="CA34" i="27" s="1"/>
  <c r="CH34" i="27" a="1"/>
  <c r="CH34" i="27" s="1"/>
  <c r="CG34" i="27" a="1"/>
  <c r="CG34" i="27" s="1"/>
  <c r="CW34" i="27" a="1"/>
  <c r="CW34" i="27" s="1"/>
  <c r="CC34" i="27" a="1"/>
  <c r="CC34" i="27" s="1"/>
  <c r="CO38" i="27" a="1"/>
  <c r="CO38" i="27" s="1"/>
  <c r="CC43" i="27" a="1"/>
  <c r="CC43" i="27" s="1"/>
  <c r="CA91" i="27" a="1"/>
  <c r="CA91" i="27" s="1"/>
  <c r="CE133" i="27" a="1"/>
  <c r="CE133" i="27" s="1"/>
  <c r="CI43" i="27" a="1"/>
  <c r="CI43" i="27" s="1"/>
  <c r="CI123" i="27" a="1"/>
  <c r="CI123" i="27" s="1"/>
  <c r="BZ123" i="27" a="1"/>
  <c r="BZ123" i="27" s="1"/>
  <c r="CR123" i="27" a="1"/>
  <c r="CR123" i="27" s="1"/>
  <c r="CM38" i="27" a="1"/>
  <c r="CM38" i="27" s="1"/>
  <c r="CG133" i="27" a="1"/>
  <c r="CG133" i="27" s="1"/>
  <c r="CJ117" i="27" a="1"/>
  <c r="CJ117" i="27" s="1"/>
  <c r="CW117" i="27" a="1"/>
  <c r="CW117" i="27" s="1"/>
  <c r="CQ117" i="27" a="1"/>
  <c r="CQ117" i="27" s="1"/>
  <c r="CO112" i="27" a="1"/>
  <c r="CO112" i="27" s="1"/>
  <c r="CP134" i="27" a="1"/>
  <c r="CP134" i="27" s="1"/>
  <c r="CN134" i="27" a="1"/>
  <c r="CN134" i="27" s="1"/>
  <c r="CM134" i="27" a="1"/>
  <c r="CM134" i="27" s="1"/>
  <c r="CK133" i="27" a="1"/>
  <c r="CK133" i="27" s="1"/>
  <c r="CA43" i="27" a="1"/>
  <c r="CA43" i="27" s="1"/>
  <c r="CH69" i="27" a="1"/>
  <c r="CH69" i="27" s="1"/>
  <c r="CW69" i="27" a="1"/>
  <c r="CW69" i="27" s="1"/>
  <c r="CU69" i="27" a="1"/>
  <c r="CU69" i="27" s="1"/>
  <c r="CK135" i="27" a="1"/>
  <c r="CK135" i="27" s="1"/>
  <c r="CE140" i="27" a="1"/>
  <c r="CE140" i="27" s="1"/>
  <c r="CA130" i="27" a="1"/>
  <c r="CA130" i="27" s="1"/>
  <c r="CC23" i="27" a="1"/>
  <c r="CC23" i="27" s="1"/>
  <c r="CC130" i="27" a="1"/>
  <c r="CC130" i="27" s="1"/>
  <c r="CM112" i="27" a="1"/>
  <c r="CM112" i="27" s="1"/>
  <c r="CF107" i="27" a="1"/>
  <c r="CF107" i="27" s="1"/>
  <c r="CD133" i="27" a="1"/>
  <c r="CD133" i="27" s="1"/>
  <c r="CV133" i="27" a="1"/>
  <c r="CV133" i="27" s="1"/>
  <c r="CP59" i="27" a="1"/>
  <c r="CP59" i="27" s="1"/>
  <c r="CS101" i="27" a="1"/>
  <c r="CS101" i="27" s="1"/>
  <c r="CV101" i="27" a="1"/>
  <c r="CV101" i="27" s="1"/>
  <c r="CH101" i="27" a="1"/>
  <c r="CH101" i="27" s="1"/>
  <c r="CN29" i="27" a="1"/>
  <c r="CN29" i="27" s="1"/>
  <c r="CV29" i="27" a="1"/>
  <c r="CV29" i="27" s="1"/>
  <c r="CR29" i="27" a="1"/>
  <c r="CR29" i="27" s="1"/>
  <c r="CP104" i="27" a="1"/>
  <c r="CP104" i="27" s="1"/>
  <c r="CB104" i="27" a="1"/>
  <c r="CB104" i="27" s="1"/>
  <c r="BZ13" i="27" a="1"/>
  <c r="BZ13" i="27" s="1"/>
  <c r="CT13" i="27" a="1"/>
  <c r="CT13" i="27" s="1"/>
  <c r="CP13" i="27" a="1"/>
  <c r="CP13" i="27" s="1"/>
  <c r="CK13" i="27" a="1"/>
  <c r="CK13" i="27" s="1"/>
  <c r="CV72" i="27" a="1"/>
  <c r="CV72" i="27" s="1"/>
  <c r="CG72" i="27" a="1"/>
  <c r="CG72" i="27" s="1"/>
  <c r="CB72" i="27" a="1"/>
  <c r="CB72" i="27" s="1"/>
  <c r="CD79" i="27" a="1"/>
  <c r="CD79" i="27" s="1"/>
  <c r="CT79" i="27" a="1"/>
  <c r="CT79" i="27" s="1"/>
  <c r="CT66" i="27" a="1"/>
  <c r="CT66" i="27" s="1"/>
  <c r="CK66" i="27" a="1"/>
  <c r="CK66" i="27" s="1"/>
  <c r="CR84" i="27" a="1"/>
  <c r="CR84" i="27" s="1"/>
  <c r="CF84" i="27" a="1"/>
  <c r="CF84" i="27" s="1"/>
  <c r="CV84" i="27" a="1"/>
  <c r="CV84" i="27" s="1"/>
  <c r="CB84" i="27" a="1"/>
  <c r="CB84" i="27" s="1"/>
  <c r="CL84" i="27" a="1"/>
  <c r="CL84" i="27" s="1"/>
  <c r="CL36" i="27" a="1"/>
  <c r="CL36" i="27" s="1"/>
  <c r="CN36" i="27" a="1"/>
  <c r="CN36" i="27" s="1"/>
  <c r="BZ36" i="27" a="1"/>
  <c r="BZ36" i="27" s="1"/>
  <c r="CP36" i="27" a="1"/>
  <c r="CP36" i="27" s="1"/>
  <c r="CW36" i="27" a="1"/>
  <c r="CW36" i="27" s="1"/>
  <c r="CG36" i="27" a="1"/>
  <c r="CG36" i="27" s="1"/>
  <c r="CB36" i="27" a="1"/>
  <c r="CB36" i="27" s="1"/>
  <c r="CD36" i="27" a="1"/>
  <c r="CD36" i="27" s="1"/>
  <c r="CD118" i="27" a="1"/>
  <c r="CD118" i="27" s="1"/>
  <c r="CV118" i="27" a="1"/>
  <c r="CV118" i="27" s="1"/>
  <c r="CJ118" i="27" a="1"/>
  <c r="CJ118" i="27" s="1"/>
  <c r="CP118" i="27" a="1"/>
  <c r="CP118" i="27" s="1"/>
  <c r="CM118" i="27" a="1"/>
  <c r="CM118" i="27" s="1"/>
  <c r="CF118" i="27" a="1"/>
  <c r="CF118" i="27" s="1"/>
  <c r="CR118" i="27" a="1"/>
  <c r="CR118" i="27" s="1"/>
  <c r="CH118" i="27" a="1"/>
  <c r="CH118" i="27" s="1"/>
  <c r="CB113" i="27" a="1"/>
  <c r="CB113" i="27" s="1"/>
  <c r="CN113" i="27" a="1"/>
  <c r="CN113" i="27" s="1"/>
  <c r="CK113" i="27" a="1"/>
  <c r="CK113" i="27" s="1"/>
  <c r="CF41" i="27" a="1"/>
  <c r="CF41" i="27" s="1"/>
  <c r="CB41" i="27" a="1"/>
  <c r="CB41" i="27" s="1"/>
  <c r="CG41" i="27" a="1"/>
  <c r="CG41" i="27" s="1"/>
  <c r="CS20" i="27" a="1"/>
  <c r="CS20" i="27" s="1"/>
  <c r="CJ20" i="27" a="1"/>
  <c r="CJ20" i="27" s="1"/>
  <c r="CS49" i="27" a="1"/>
  <c r="CS49" i="27" s="1"/>
  <c r="CG49" i="27" a="1"/>
  <c r="CG49" i="27" s="1"/>
  <c r="CW127" i="27" a="1"/>
  <c r="CW127" i="27" s="1"/>
  <c r="CP127" i="27" a="1"/>
  <c r="CP127" i="27" s="1"/>
  <c r="CV127" i="27" a="1"/>
  <c r="CV127" i="27" s="1"/>
  <c r="CG127" i="27" a="1"/>
  <c r="CG127" i="27" s="1"/>
  <c r="CH125" i="27" a="1"/>
  <c r="CH125" i="27" s="1"/>
  <c r="CJ125" i="27" a="1"/>
  <c r="CJ125" i="27" s="1"/>
  <c r="CG125" i="27" a="1"/>
  <c r="CG125" i="27" s="1"/>
  <c r="CJ131" i="27" a="1"/>
  <c r="CJ131" i="27" s="1"/>
  <c r="CD40" i="27" a="1"/>
  <c r="CD40" i="27" s="1"/>
  <c r="CP40" i="27" a="1"/>
  <c r="CP40" i="27" s="1"/>
  <c r="CC108" i="27" a="1"/>
  <c r="CC108" i="27" s="1"/>
  <c r="CC12" i="27" a="1"/>
  <c r="CC12" i="27" s="1"/>
  <c r="CD109" i="27" a="1"/>
  <c r="CD109" i="27" s="1"/>
  <c r="CJ109" i="27" a="1"/>
  <c r="CJ109" i="27" s="1"/>
  <c r="CB12" i="27" a="1"/>
  <c r="CB12" i="27" s="1"/>
  <c r="CG119" i="27" a="1"/>
  <c r="CG119" i="27" s="1"/>
  <c r="CP89" i="27" a="1"/>
  <c r="CP89" i="27" s="1"/>
  <c r="CL9" i="27" a="1"/>
  <c r="CL9" i="27" s="1"/>
  <c r="CN89" i="27" a="1"/>
  <c r="CN89" i="27" s="1"/>
  <c r="CD9" i="27" a="1"/>
  <c r="CD9" i="27" s="1"/>
  <c r="CP119" i="27" a="1"/>
  <c r="CP119" i="27" s="1"/>
  <c r="CR9" i="27" a="1"/>
  <c r="CR9" i="27" s="1"/>
  <c r="BZ119" i="27" a="1"/>
  <c r="BZ119" i="27" s="1"/>
  <c r="BZ9" i="27" a="1"/>
  <c r="BZ9" i="27" s="1"/>
  <c r="CD89" i="27" a="1"/>
  <c r="CD89" i="27" s="1"/>
  <c r="CP76" i="27" a="1"/>
  <c r="CP76" i="27" s="1"/>
  <c r="CE119" i="27" a="1"/>
  <c r="CE119" i="27" s="1"/>
  <c r="CW56" i="27" a="1"/>
  <c r="CW56" i="27" s="1"/>
  <c r="CI119" i="27" a="1"/>
  <c r="CI119" i="27" s="1"/>
  <c r="CI108" i="27" a="1"/>
  <c r="CI108" i="27" s="1"/>
  <c r="CQ119" i="27" a="1"/>
  <c r="CQ119" i="27" s="1"/>
  <c r="CK102" i="27" a="1"/>
  <c r="CK102" i="27" s="1"/>
  <c r="CK76" i="27" a="1"/>
  <c r="CK76" i="27" s="1"/>
  <c r="CN109" i="27" a="1"/>
  <c r="CN109" i="27" s="1"/>
  <c r="CK119" i="27" a="1"/>
  <c r="CK119" i="27" s="1"/>
  <c r="CT12" i="27" a="1"/>
  <c r="CT12" i="27" s="1"/>
  <c r="CM108" i="27" a="1"/>
  <c r="CM108" i="27" s="1"/>
  <c r="CF27" i="27" a="1"/>
  <c r="CF27" i="27" s="1"/>
  <c r="CB27" i="27" a="1"/>
  <c r="CB27" i="27" s="1"/>
  <c r="CL27" i="27" a="1"/>
  <c r="CL27" i="27" s="1"/>
  <c r="CW89" i="27" a="1"/>
  <c r="CW89" i="27" s="1"/>
  <c r="CW52" i="27" a="1"/>
  <c r="CW52" i="27" s="1"/>
  <c r="CG52" i="27" a="1"/>
  <c r="CG52" i="27" s="1"/>
  <c r="CG89" i="27" a="1"/>
  <c r="CG89" i="27" s="1"/>
  <c r="CD102" i="27" a="1"/>
  <c r="CD102" i="27" s="1"/>
  <c r="CD14" i="27" a="1"/>
  <c r="CD14" i="27" s="1"/>
  <c r="CL89" i="27" a="1"/>
  <c r="CL89" i="27" s="1"/>
  <c r="CB76" i="27" a="1"/>
  <c r="CB76" i="27" s="1"/>
  <c r="CV9" i="27" a="1"/>
  <c r="CV9" i="27" s="1"/>
  <c r="CR89" i="27" a="1"/>
  <c r="CR89" i="27" s="1"/>
  <c r="CF76" i="27" a="1"/>
  <c r="CF76" i="27" s="1"/>
  <c r="CL76" i="27" a="1"/>
  <c r="CL76" i="27" s="1"/>
  <c r="CT119" i="27" a="1"/>
  <c r="CT119" i="27" s="1"/>
  <c r="CV119" i="27" a="1"/>
  <c r="CV119" i="27" s="1"/>
  <c r="CN9" i="27" a="1"/>
  <c r="CN9" i="27" s="1"/>
  <c r="CN119" i="27" a="1"/>
  <c r="CN119" i="27" s="1"/>
  <c r="CN12" i="27" a="1"/>
  <c r="CN12" i="27" s="1"/>
  <c r="CV121" i="27" a="1"/>
  <c r="CV121" i="27" s="1"/>
  <c r="BZ76" i="27" a="1"/>
  <c r="BZ76" i="27" s="1"/>
  <c r="CV76" i="27" a="1"/>
  <c r="CV76" i="27" s="1"/>
  <c r="CJ75" i="27" a="1"/>
  <c r="CJ75" i="27" s="1"/>
  <c r="CI75" i="27" a="1"/>
  <c r="CI75" i="27" s="1"/>
  <c r="CM75" i="27" a="1"/>
  <c r="CM75" i="27" s="1"/>
  <c r="CG75" i="27" a="1"/>
  <c r="CG75" i="27" s="1"/>
  <c r="CF75" i="27" a="1"/>
  <c r="CF75" i="27" s="1"/>
  <c r="CE12" i="27" a="1"/>
  <c r="CE12" i="27" s="1"/>
  <c r="CU9" i="27" a="1"/>
  <c r="CU9" i="27" s="1"/>
  <c r="CC89" i="27" a="1"/>
  <c r="CC89" i="27" s="1"/>
  <c r="CM89" i="27" a="1"/>
  <c r="CM89" i="27" s="1"/>
  <c r="CC76" i="27" a="1"/>
  <c r="CC76" i="27" s="1"/>
  <c r="BZ109" i="27" a="1"/>
  <c r="BZ109" i="27" s="1"/>
  <c r="CH12" i="27" a="1"/>
  <c r="CH12" i="27" s="1"/>
  <c r="CS12" i="27" a="1"/>
  <c r="CS12" i="27" s="1"/>
  <c r="CI76" i="27" a="1"/>
  <c r="CI76" i="27" s="1"/>
  <c r="CD27" i="27" a="1"/>
  <c r="CD27" i="27" s="1"/>
  <c r="CH27" i="27" a="1"/>
  <c r="CH27" i="27" s="1"/>
  <c r="CR27" i="27" a="1"/>
  <c r="CR27" i="27" s="1"/>
  <c r="CW119" i="27" a="1"/>
  <c r="CW119" i="27" s="1"/>
  <c r="BZ27" i="27" a="1"/>
  <c r="BZ27" i="27" s="1"/>
  <c r="CJ27" i="27" a="1"/>
  <c r="CJ27" i="27" s="1"/>
  <c r="CQ76" i="27" a="1"/>
  <c r="CQ76" i="27" s="1"/>
  <c r="CQ89" i="27" a="1"/>
  <c r="CQ89" i="27" s="1"/>
  <c r="CN76" i="27" a="1"/>
  <c r="CN76" i="27" s="1"/>
  <c r="CM76" i="27" a="1"/>
  <c r="CM76" i="27" s="1"/>
  <c r="CK89" i="27" a="1"/>
  <c r="CK89" i="27" s="1"/>
  <c r="CD76" i="27" a="1"/>
  <c r="CD76" i="27" s="1"/>
  <c r="CP9" i="27" a="1"/>
  <c r="CP9" i="27" s="1"/>
  <c r="CJ76" i="27" a="1"/>
  <c r="CJ76" i="27" s="1"/>
  <c r="CT106" i="27" a="1"/>
  <c r="CT106" i="27" s="1"/>
  <c r="CT9" i="27" a="1"/>
  <c r="CT9" i="27" s="1"/>
  <c r="CJ119" i="27" a="1"/>
  <c r="CJ119" i="27" s="1"/>
  <c r="CV47" i="27" a="1"/>
  <c r="CV47" i="27" s="1"/>
  <c r="BZ47" i="27" a="1"/>
  <c r="BZ47" i="27" s="1"/>
  <c r="CL47" i="27" a="1"/>
  <c r="CL47" i="27" s="1"/>
  <c r="CH9" i="27" a="1"/>
  <c r="CH9" i="27" s="1"/>
  <c r="CV130" i="27" a="1"/>
  <c r="CV130" i="27" s="1"/>
  <c r="CF119" i="27" a="1"/>
  <c r="CF119" i="27" s="1"/>
  <c r="BZ121" i="27" a="1"/>
  <c r="BZ121" i="27" s="1"/>
  <c r="CD119" i="27" a="1"/>
  <c r="CD119" i="27" s="1"/>
  <c r="CR76" i="27" a="1"/>
  <c r="CR76" i="27" s="1"/>
  <c r="CH76" i="27" a="1"/>
  <c r="CH76" i="27" s="1"/>
  <c r="CT23" i="27" a="1"/>
  <c r="CT23" i="27" s="1"/>
  <c r="CJ23" i="27" a="1"/>
  <c r="CJ23" i="27" s="1"/>
  <c r="CU111" i="27" a="1"/>
  <c r="CU111" i="27" s="1"/>
  <c r="CQ111" i="27" a="1"/>
  <c r="CQ111" i="27" s="1"/>
  <c r="CV111" i="27" a="1"/>
  <c r="CV111" i="27" s="1"/>
  <c r="CW111" i="27" a="1"/>
  <c r="CW111" i="27" s="1"/>
  <c r="CN111" i="27" a="1"/>
  <c r="CN111" i="27" s="1"/>
  <c r="CT111" i="27" a="1"/>
  <c r="CT111" i="27" s="1"/>
  <c r="CB111" i="27" a="1"/>
  <c r="CB111" i="27" s="1"/>
  <c r="CC111" i="27" a="1"/>
  <c r="CC111" i="27" s="1"/>
  <c r="CH111" i="27" a="1"/>
  <c r="CH111" i="27" s="1"/>
  <c r="CD111" i="27" a="1"/>
  <c r="CD111" i="27" s="1"/>
  <c r="BZ111" i="27" a="1"/>
  <c r="BZ111" i="27" s="1"/>
  <c r="CA111" i="27" a="1"/>
  <c r="CA111" i="27" s="1"/>
  <c r="BZ71" i="27" a="1"/>
  <c r="BZ71" i="27" s="1"/>
  <c r="CT71" i="27" a="1"/>
  <c r="CT71" i="27" s="1"/>
  <c r="CD71" i="27" a="1"/>
  <c r="CD71" i="27" s="1"/>
  <c r="CR71" i="27" a="1"/>
  <c r="CR71" i="27" s="1"/>
  <c r="CQ71" i="27" a="1"/>
  <c r="CQ71" i="27" s="1"/>
  <c r="CE71" i="27" a="1"/>
  <c r="CE71" i="27" s="1"/>
  <c r="CW71" i="27" a="1"/>
  <c r="CW71" i="27" s="1"/>
  <c r="CG71" i="27" a="1"/>
  <c r="CG71" i="27" s="1"/>
  <c r="CL33" i="27" a="1"/>
  <c r="CL33" i="27" s="1"/>
  <c r="CE33" i="27" a="1"/>
  <c r="CE33" i="27" s="1"/>
  <c r="CU33" i="27" a="1"/>
  <c r="CU33" i="27" s="1"/>
  <c r="CN33" i="27" a="1"/>
  <c r="CN33" i="27" s="1"/>
  <c r="CW33" i="27" a="1"/>
  <c r="CW33" i="27" s="1"/>
  <c r="CO33" i="27" a="1"/>
  <c r="CO33" i="27" s="1"/>
  <c r="BZ33" i="27" a="1"/>
  <c r="BZ33" i="27" s="1"/>
  <c r="CP33" i="27" a="1"/>
  <c r="CP33" i="27" s="1"/>
  <c r="CI33" i="27" a="1"/>
  <c r="CI33" i="27" s="1"/>
  <c r="CB33" i="27" a="1"/>
  <c r="CB33" i="27" s="1"/>
  <c r="CR33" i="27" a="1"/>
  <c r="CR33" i="27" s="1"/>
  <c r="CC33" i="27" a="1"/>
  <c r="CC33" i="27" s="1"/>
  <c r="CP26" i="27" a="1"/>
  <c r="CP26" i="27" s="1"/>
  <c r="CT26" i="27" a="1"/>
  <c r="CT26" i="27" s="1"/>
  <c r="CN26" i="27" a="1"/>
  <c r="CN26" i="27" s="1"/>
  <c r="CD26" i="27" a="1"/>
  <c r="CD26" i="27" s="1"/>
  <c r="CB26" i="27" a="1"/>
  <c r="CB26" i="27" s="1"/>
  <c r="CM26" i="27" a="1"/>
  <c r="CM26" i="27" s="1"/>
  <c r="CS26" i="27" a="1"/>
  <c r="CS26" i="27" s="1"/>
  <c r="CF7" i="27" a="1"/>
  <c r="CF7" i="27" s="1"/>
  <c r="CB7" i="27" a="1"/>
  <c r="CB7" i="27" s="1"/>
  <c r="CK7" i="27" a="1"/>
  <c r="CK7" i="27" s="1"/>
  <c r="CW7" i="27" a="1"/>
  <c r="CW7" i="27" s="1"/>
  <c r="CS7" i="27" a="1"/>
  <c r="CS7" i="27" s="1"/>
  <c r="CC7" i="27" a="1"/>
  <c r="CC7" i="27" s="1"/>
  <c r="CH7" i="27" a="1"/>
  <c r="CH7" i="27" s="1"/>
  <c r="CP7" i="27" a="1"/>
  <c r="CP7" i="27" s="1"/>
  <c r="CV7" i="27" a="1"/>
  <c r="CV7" i="27" s="1"/>
  <c r="CU7" i="27" a="1"/>
  <c r="CU7" i="27" s="1"/>
  <c r="CV78" i="27" a="1"/>
  <c r="CV78" i="27" s="1"/>
  <c r="CT78" i="27" a="1"/>
  <c r="CT78" i="27" s="1"/>
  <c r="CN78" i="27" a="1"/>
  <c r="CN78" i="27" s="1"/>
  <c r="CJ78" i="27" a="1"/>
  <c r="CJ78" i="27" s="1"/>
  <c r="CF78" i="27" a="1"/>
  <c r="CF78" i="27" s="1"/>
  <c r="CL78" i="27" a="1"/>
  <c r="CL78" i="27" s="1"/>
  <c r="CG78" i="27" a="1"/>
  <c r="CG78" i="27" s="1"/>
  <c r="BZ78" i="27" a="1"/>
  <c r="BZ78" i="27" s="1"/>
  <c r="CR78" i="27" a="1"/>
  <c r="CR78" i="27" s="1"/>
  <c r="CH78" i="27" a="1"/>
  <c r="CH78" i="27" s="1"/>
  <c r="CM78" i="27" a="1"/>
  <c r="CM78" i="27" s="1"/>
  <c r="CD78" i="27" a="1"/>
  <c r="CD78" i="27" s="1"/>
  <c r="CC78" i="27" a="1"/>
  <c r="CC78" i="27" s="1"/>
  <c r="CS78" i="27" a="1"/>
  <c r="CS78" i="27" s="1"/>
  <c r="CC20" i="27" a="1"/>
  <c r="CC20" i="27" s="1"/>
  <c r="CM49" i="27" a="1"/>
  <c r="CM49" i="27" s="1"/>
  <c r="CG79" i="27" a="1"/>
  <c r="CG79" i="27" s="1"/>
  <c r="CE41" i="27" a="1"/>
  <c r="CE41" i="27" s="1"/>
  <c r="CS98" i="27" a="1"/>
  <c r="CS98" i="27" s="1"/>
  <c r="CU71" i="27" a="1"/>
  <c r="CU71" i="27" s="1"/>
  <c r="CF81" i="27" a="1"/>
  <c r="CF81" i="27" s="1"/>
  <c r="CK81" i="27" a="1"/>
  <c r="CK81" i="27" s="1"/>
  <c r="CE81" i="27" a="1"/>
  <c r="CE81" i="27" s="1"/>
  <c r="CI81" i="27" a="1"/>
  <c r="CI81" i="27" s="1"/>
  <c r="CM81" i="27" a="1"/>
  <c r="CM81" i="27" s="1"/>
  <c r="CO113" i="27" a="1"/>
  <c r="CO113" i="27" s="1"/>
  <c r="CA79" i="27" a="1"/>
  <c r="CA79" i="27" s="1"/>
  <c r="CC92" i="27" a="1"/>
  <c r="CC92" i="27" s="1"/>
  <c r="CK33" i="27" a="1"/>
  <c r="CK33" i="27" s="1"/>
  <c r="CA33" i="27" a="1"/>
  <c r="CA33" i="27" s="1"/>
  <c r="CW79" i="27" a="1"/>
  <c r="CW79" i="27" s="1"/>
  <c r="CI41" i="27" a="1"/>
  <c r="CI41" i="27" s="1"/>
  <c r="CK78" i="27" a="1"/>
  <c r="CK78" i="27" s="1"/>
  <c r="CK71" i="27" a="1"/>
  <c r="CK71" i="27" s="1"/>
  <c r="CN71" i="27" a="1"/>
  <c r="CN71" i="27" s="1"/>
  <c r="CG113" i="27" a="1"/>
  <c r="CG113" i="27" s="1"/>
  <c r="CB78" i="27" a="1"/>
  <c r="CB78" i="27" s="1"/>
  <c r="CJ66" i="27" a="1"/>
  <c r="CJ66" i="27" s="1"/>
  <c r="CB66" i="27" a="1"/>
  <c r="CB66" i="27" s="1"/>
  <c r="BZ26" i="27" a="1"/>
  <c r="BZ26" i="27" s="1"/>
  <c r="CF42" i="27" a="1"/>
  <c r="CF42" i="27" s="1"/>
  <c r="CG42" i="27" a="1"/>
  <c r="CG42" i="27" s="1"/>
  <c r="CW42" i="27" a="1"/>
  <c r="CW42" i="27" s="1"/>
  <c r="CD42" i="27" a="1"/>
  <c r="CD42" i="27" s="1"/>
  <c r="CK42" i="27" a="1"/>
  <c r="CK42" i="27" s="1"/>
  <c r="CT42" i="27" a="1"/>
  <c r="CT42" i="27" s="1"/>
  <c r="CS42" i="27" a="1"/>
  <c r="CS42" i="27" s="1"/>
  <c r="CH42" i="27" a="1"/>
  <c r="CH42" i="27" s="1"/>
  <c r="CA49" i="27" a="1"/>
  <c r="CA49" i="27" s="1"/>
  <c r="CI78" i="27" a="1"/>
  <c r="CI78" i="27" s="1"/>
  <c r="CM6" i="27" a="1"/>
  <c r="CM6" i="27" s="1"/>
  <c r="CW92" i="27" a="1"/>
  <c r="CW92" i="27" s="1"/>
  <c r="CO7" i="27" a="1"/>
  <c r="CO7" i="27" s="1"/>
  <c r="CA78" i="27" a="1"/>
  <c r="CA78" i="27" s="1"/>
  <c r="CA71" i="27" a="1"/>
  <c r="CA71" i="27" s="1"/>
  <c r="CO41" i="27" a="1"/>
  <c r="CO41" i="27" s="1"/>
  <c r="CA98" i="27" a="1"/>
  <c r="CA98" i="27" s="1"/>
  <c r="CM20" i="27" a="1"/>
  <c r="CM20" i="27" s="1"/>
  <c r="CI49" i="27" a="1"/>
  <c r="CI49" i="27" s="1"/>
  <c r="CE7" i="27" a="1"/>
  <c r="CE7" i="27" s="1"/>
  <c r="CU42" i="27" a="1"/>
  <c r="CU42" i="27" s="1"/>
  <c r="CC81" i="27" a="1"/>
  <c r="CC81" i="27" s="1"/>
  <c r="CB81" i="27" a="1"/>
  <c r="CB81" i="27" s="1"/>
  <c r="CA81" i="27" a="1"/>
  <c r="CA81" i="27" s="1"/>
  <c r="BZ81" i="27" a="1"/>
  <c r="BZ81" i="27" s="1"/>
  <c r="CD81" i="27" a="1"/>
  <c r="CD81" i="27" s="1"/>
  <c r="CH81" i="27" a="1"/>
  <c r="CH81" i="27" s="1"/>
  <c r="CQ79" i="27" a="1"/>
  <c r="CQ79" i="27" s="1"/>
  <c r="CE92" i="27" a="1"/>
  <c r="CE92" i="27" s="1"/>
  <c r="CE126" i="27" a="1"/>
  <c r="CE126" i="27" s="1"/>
  <c r="CE111" i="27" a="1"/>
  <c r="CE111" i="27" s="1"/>
  <c r="CM111" i="27" a="1"/>
  <c r="CM111" i="27" s="1"/>
  <c r="CF111" i="27" a="1"/>
  <c r="CF111" i="27" s="1"/>
  <c r="CC49" i="27" a="1"/>
  <c r="CC49" i="27" s="1"/>
  <c r="CG33" i="27" a="1"/>
  <c r="CG33" i="27" s="1"/>
  <c r="CF33" i="27" a="1"/>
  <c r="CF33" i="27" s="1"/>
  <c r="CT33" i="27" a="1"/>
  <c r="CT33" i="27" s="1"/>
  <c r="CK79" i="27" a="1"/>
  <c r="CK79" i="27" s="1"/>
  <c r="CA92" i="27" a="1"/>
  <c r="CA92" i="27" s="1"/>
  <c r="CU26" i="27" a="1"/>
  <c r="CU26" i="27" s="1"/>
  <c r="CA7" i="27" a="1"/>
  <c r="CA7" i="27" s="1"/>
  <c r="CC42" i="27" a="1"/>
  <c r="CC42" i="27" s="1"/>
  <c r="CS71" i="27" a="1"/>
  <c r="CS71" i="27" s="1"/>
  <c r="CS126" i="27" a="1"/>
  <c r="CS126" i="27" s="1"/>
  <c r="CM41" i="27" a="1"/>
  <c r="CM41" i="27" s="1"/>
  <c r="CK126" i="27" a="1"/>
  <c r="CK126" i="27" s="1"/>
  <c r="CP71" i="27" a="1"/>
  <c r="CP71" i="27" s="1"/>
  <c r="CL71" i="27" a="1"/>
  <c r="CL71" i="27" s="1"/>
  <c r="CT54" i="27" a="1"/>
  <c r="CT54" i="27" s="1"/>
  <c r="CW66" i="27" a="1"/>
  <c r="CW66" i="27" s="1"/>
  <c r="CW78" i="27" a="1"/>
  <c r="CW78" i="27" s="1"/>
  <c r="CV113" i="27" a="1"/>
  <c r="CV113" i="27" s="1"/>
  <c r="CG7" i="27" a="1"/>
  <c r="CG7" i="27" s="1"/>
  <c r="CR126" i="27" a="1"/>
  <c r="CR126" i="27" s="1"/>
  <c r="CL42" i="27" a="1"/>
  <c r="CL42" i="27" s="1"/>
  <c r="CN42" i="27" a="1"/>
  <c r="CN42" i="27" s="1"/>
  <c r="BZ42" i="27" a="1"/>
  <c r="BZ42" i="27" s="1"/>
  <c r="CJ42" i="27" a="1"/>
  <c r="CJ42" i="27" s="1"/>
  <c r="CP42" i="27" a="1"/>
  <c r="CP42" i="27" s="1"/>
  <c r="CM16" i="27" a="1"/>
  <c r="CM16" i="27" s="1"/>
  <c r="CI16" i="27" a="1"/>
  <c r="CI16" i="27" s="1"/>
  <c r="CG16" i="27" a="1"/>
  <c r="CG16" i="27" s="1"/>
  <c r="BZ98" i="27" a="1"/>
  <c r="BZ98" i="27" s="1"/>
  <c r="CP98" i="27" a="1"/>
  <c r="CP98" i="27" s="1"/>
  <c r="CH98" i="27" a="1"/>
  <c r="CH98" i="27" s="1"/>
  <c r="CE98" i="27" a="1"/>
  <c r="CE98" i="27" s="1"/>
  <c r="CR98" i="27" a="1"/>
  <c r="CR98" i="27" s="1"/>
  <c r="CN98" i="27" a="1"/>
  <c r="CN98" i="27" s="1"/>
  <c r="CG98" i="27" a="1"/>
  <c r="CG98" i="27" s="1"/>
  <c r="CO98" i="27" a="1"/>
  <c r="CO98" i="27" s="1"/>
  <c r="CO79" i="27" a="1"/>
  <c r="CO79" i="27" s="1"/>
  <c r="CV79" i="27" a="1"/>
  <c r="CV79" i="27" s="1"/>
  <c r="CN79" i="27" a="1"/>
  <c r="CN79" i="27" s="1"/>
  <c r="CL79" i="27" a="1"/>
  <c r="CL79" i="27" s="1"/>
  <c r="CM79" i="27" a="1"/>
  <c r="CM79" i="27" s="1"/>
  <c r="CH79" i="27" a="1"/>
  <c r="CH79" i="27" s="1"/>
  <c r="CJ79" i="27" a="1"/>
  <c r="CJ79" i="27" s="1"/>
  <c r="CU79" i="27" a="1"/>
  <c r="CU79" i="27" s="1"/>
  <c r="CP66" i="27" a="1"/>
  <c r="CP66" i="27" s="1"/>
  <c r="CF66" i="27" a="1"/>
  <c r="CF66" i="27" s="1"/>
  <c r="CG66" i="27" a="1"/>
  <c r="CG66" i="27" s="1"/>
  <c r="CN66" i="27" a="1"/>
  <c r="CN66" i="27" s="1"/>
  <c r="CS66" i="27" a="1"/>
  <c r="CS66" i="27" s="1"/>
  <c r="CV66" i="27" a="1"/>
  <c r="CV66" i="27" s="1"/>
  <c r="CM66" i="27" a="1"/>
  <c r="CM66" i="27" s="1"/>
  <c r="CC66" i="27" a="1"/>
  <c r="CC66" i="27" s="1"/>
  <c r="CI66" i="27" a="1"/>
  <c r="CI66" i="27" s="1"/>
  <c r="CS113" i="27" a="1"/>
  <c r="CS113" i="27" s="1"/>
  <c r="CF113" i="27" a="1"/>
  <c r="CF113" i="27" s="1"/>
  <c r="CH113" i="27" a="1"/>
  <c r="CH113" i="27" s="1"/>
  <c r="CP113" i="27" a="1"/>
  <c r="CP113" i="27" s="1"/>
  <c r="CI113" i="27" a="1"/>
  <c r="CI113" i="27" s="1"/>
  <c r="CL113" i="27" a="1"/>
  <c r="CL113" i="27" s="1"/>
  <c r="CE113" i="27" a="1"/>
  <c r="CE113" i="27" s="1"/>
  <c r="CM113" i="27" a="1"/>
  <c r="CM113" i="27" s="1"/>
  <c r="CW113" i="27" a="1"/>
  <c r="CW113" i="27" s="1"/>
  <c r="CQ113" i="27" a="1"/>
  <c r="CQ113" i="27" s="1"/>
  <c r="CJ113" i="27" a="1"/>
  <c r="CJ113" i="27" s="1"/>
  <c r="BZ113" i="27" a="1"/>
  <c r="BZ113" i="27" s="1"/>
  <c r="CT41" i="27" a="1"/>
  <c r="CT41" i="27" s="1"/>
  <c r="CD41" i="27" a="1"/>
  <c r="CD41" i="27" s="1"/>
  <c r="CV41" i="27" a="1"/>
  <c r="CV41" i="27" s="1"/>
  <c r="CR41" i="27" a="1"/>
  <c r="CR41" i="27" s="1"/>
  <c r="CH41" i="27" a="1"/>
  <c r="CH41" i="27" s="1"/>
  <c r="CC41" i="27" a="1"/>
  <c r="CC41" i="27" s="1"/>
  <c r="CA41" i="27" a="1"/>
  <c r="CA41" i="27" s="1"/>
  <c r="CU41" i="27" a="1"/>
  <c r="CU41" i="27" s="1"/>
  <c r="CQ41" i="27" a="1"/>
  <c r="CQ41" i="27" s="1"/>
  <c r="CP41" i="27" a="1"/>
  <c r="CP41" i="27" s="1"/>
  <c r="CN41" i="27" a="1"/>
  <c r="CN41" i="27" s="1"/>
  <c r="CK41" i="27" a="1"/>
  <c r="CK41" i="27" s="1"/>
  <c r="CL6" i="27" a="1"/>
  <c r="CL6" i="27" s="1"/>
  <c r="CP6" i="27" a="1"/>
  <c r="CP6" i="27" s="1"/>
  <c r="CV6" i="27" a="1"/>
  <c r="CV6" i="27" s="1"/>
  <c r="CB6" i="27" a="1"/>
  <c r="CB6" i="27" s="1"/>
  <c r="CR6" i="27" a="1"/>
  <c r="CR6" i="27" s="1"/>
  <c r="CN6" i="27" a="1"/>
  <c r="CN6" i="27" s="1"/>
  <c r="CT6" i="27" a="1"/>
  <c r="CT6" i="27" s="1"/>
  <c r="CK6" i="27" a="1"/>
  <c r="CK6" i="27" s="1"/>
  <c r="CA6" i="27" a="1"/>
  <c r="CA6" i="27" s="1"/>
  <c r="BZ6" i="27" a="1"/>
  <c r="BZ6" i="27" s="1"/>
  <c r="CG6" i="27" a="1"/>
  <c r="CG6" i="27" s="1"/>
  <c r="CL92" i="27" a="1"/>
  <c r="CL92" i="27" s="1"/>
  <c r="CH92" i="27" a="1"/>
  <c r="CH92" i="27" s="1"/>
  <c r="CF92" i="27" a="1"/>
  <c r="CF92" i="27" s="1"/>
  <c r="CB92" i="27" a="1"/>
  <c r="CB92" i="27" s="1"/>
  <c r="CP92" i="27" a="1"/>
  <c r="CP92" i="27" s="1"/>
  <c r="CN92" i="27" a="1"/>
  <c r="CN92" i="27" s="1"/>
  <c r="CK92" i="27" a="1"/>
  <c r="CK92" i="27" s="1"/>
  <c r="CG92" i="27" a="1"/>
  <c r="CG92" i="27" s="1"/>
  <c r="CQ92" i="27" a="1"/>
  <c r="CQ92" i="27" s="1"/>
  <c r="CJ92" i="27" a="1"/>
  <c r="CJ92" i="27" s="1"/>
  <c r="CV92" i="27" a="1"/>
  <c r="CV92" i="27" s="1"/>
  <c r="CT20" i="27" a="1"/>
  <c r="CT20" i="27" s="1"/>
  <c r="CB20" i="27" a="1"/>
  <c r="CB20" i="27" s="1"/>
  <c r="CV20" i="27" a="1"/>
  <c r="CV20" i="27" s="1"/>
  <c r="BZ20" i="27" a="1"/>
  <c r="BZ20" i="27" s="1"/>
  <c r="CR20" i="27" a="1"/>
  <c r="CR20" i="27" s="1"/>
  <c r="CG20" i="27" a="1"/>
  <c r="CG20" i="27" s="1"/>
  <c r="CQ20" i="27" a="1"/>
  <c r="CQ20" i="27" s="1"/>
  <c r="CN20" i="27" a="1"/>
  <c r="CN20" i="27" s="1"/>
  <c r="CI20" i="27" a="1"/>
  <c r="CI20" i="27" s="1"/>
  <c r="CJ49" i="27" a="1"/>
  <c r="CJ49" i="27" s="1"/>
  <c r="CL49" i="27" a="1"/>
  <c r="CL49" i="27" s="1"/>
  <c r="CV49" i="27" a="1"/>
  <c r="CV49" i="27" s="1"/>
  <c r="CH49" i="27" a="1"/>
  <c r="CH49" i="27" s="1"/>
  <c r="CF49" i="27" a="1"/>
  <c r="CF49" i="27" s="1"/>
  <c r="CN49" i="27" a="1"/>
  <c r="CN49" i="27" s="1"/>
  <c r="BZ49" i="27" a="1"/>
  <c r="BZ49" i="27" s="1"/>
  <c r="CO49" i="27" a="1"/>
  <c r="CO49" i="27" s="1"/>
  <c r="CM7" i="27" a="1"/>
  <c r="CM7" i="27" s="1"/>
  <c r="CM92" i="27" a="1"/>
  <c r="CM92" i="27" s="1"/>
  <c r="CQ7" i="27" a="1"/>
  <c r="CQ7" i="27" s="1"/>
  <c r="CA113" i="27" a="1"/>
  <c r="CA113" i="27" s="1"/>
  <c r="CS6" i="27" a="1"/>
  <c r="CS6" i="27" s="1"/>
  <c r="CA20" i="27" a="1"/>
  <c r="CA20" i="27" s="1"/>
  <c r="CU49" i="27" a="1"/>
  <c r="CU49" i="27" s="1"/>
  <c r="CU78" i="27" a="1"/>
  <c r="CU78" i="27" s="1"/>
  <c r="CG81" i="27" a="1"/>
  <c r="CG81" i="27" s="1"/>
  <c r="CI79" i="27" a="1"/>
  <c r="CI79" i="27" s="1"/>
  <c r="CW98" i="27" a="1"/>
  <c r="CW98" i="27" s="1"/>
  <c r="CO71" i="27" a="1"/>
  <c r="CO71" i="27" s="1"/>
  <c r="CJ111" i="27" a="1"/>
  <c r="CJ111" i="27" s="1"/>
  <c r="CR111" i="27" a="1"/>
  <c r="CR111" i="27" s="1"/>
  <c r="CP111" i="27" a="1"/>
  <c r="CP111" i="27" s="1"/>
  <c r="CJ33" i="27" a="1"/>
  <c r="CJ33" i="27" s="1"/>
  <c r="CE6" i="27" a="1"/>
  <c r="CE6" i="27" s="1"/>
  <c r="CI92" i="27" a="1"/>
  <c r="CI92" i="27" s="1"/>
  <c r="CW49" i="27" a="1"/>
  <c r="CW49" i="27" s="1"/>
  <c r="CP78" i="27" a="1"/>
  <c r="CP78" i="27" s="1"/>
  <c r="CF6" i="27" a="1"/>
  <c r="CF6" i="27" s="1"/>
  <c r="CP49" i="27" a="1"/>
  <c r="CP49" i="27" s="1"/>
  <c r="CG126" i="27" a="1"/>
  <c r="CG126" i="27" s="1"/>
  <c r="CL126" i="27" a="1"/>
  <c r="CL126" i="27" s="1"/>
  <c r="CW126" i="27" a="1"/>
  <c r="CW126" i="27" s="1"/>
  <c r="CQ126" i="27" a="1"/>
  <c r="CQ126" i="27" s="1"/>
  <c r="CI126" i="27" a="1"/>
  <c r="CI126" i="27" s="1"/>
  <c r="CF126" i="27" a="1"/>
  <c r="CF126" i="27" s="1"/>
  <c r="CB126" i="27" a="1"/>
  <c r="CB126" i="27" s="1"/>
  <c r="CB54" i="27" a="1"/>
  <c r="CB54" i="27" s="1"/>
  <c r="CD54" i="27" a="1"/>
  <c r="CD54" i="27" s="1"/>
  <c r="CO54" i="27" a="1"/>
  <c r="CO54" i="27" s="1"/>
  <c r="CN54" i="27" a="1"/>
  <c r="CN54" i="27" s="1"/>
  <c r="CU54" i="27" a="1"/>
  <c r="CU54" i="27" s="1"/>
  <c r="CP54" i="27" a="1"/>
  <c r="CP54" i="27" s="1"/>
  <c r="CV54" i="27" a="1"/>
  <c r="CV54" i="27" s="1"/>
  <c r="CA54" i="27" a="1"/>
  <c r="CA54" i="27" s="1"/>
  <c r="CC54" i="27" a="1"/>
  <c r="CC54" i="27" s="1"/>
  <c r="CJ54" i="27" a="1"/>
  <c r="CJ54" i="27" s="1"/>
  <c r="CF54" i="27" a="1"/>
  <c r="CF54" i="27" s="1"/>
  <c r="CK54" i="27" a="1"/>
  <c r="CK54" i="27" s="1"/>
  <c r="CR54" i="27" a="1"/>
  <c r="CR54" i="27" s="1"/>
  <c r="CG54" i="27" a="1"/>
  <c r="CG54" i="27" s="1"/>
  <c r="CI6" i="27" a="1"/>
  <c r="CI6" i="27" s="1"/>
  <c r="CS92" i="27" a="1"/>
  <c r="CS92" i="27" s="1"/>
  <c r="CO20" i="27" a="1"/>
  <c r="CO20" i="27" s="1"/>
  <c r="CC79" i="27" a="1"/>
  <c r="CC79" i="27" s="1"/>
  <c r="CO92" i="27" a="1"/>
  <c r="CO92" i="27" s="1"/>
  <c r="CE20" i="27" a="1"/>
  <c r="CE20" i="27" s="1"/>
  <c r="CI71" i="27" a="1"/>
  <c r="CI71" i="27" s="1"/>
  <c r="CO6" i="27" a="1"/>
  <c r="CO6" i="27" s="1"/>
  <c r="CQ98" i="27" a="1"/>
  <c r="CQ98" i="27" s="1"/>
  <c r="CW26" i="27" a="1"/>
  <c r="CW26" i="27" s="1"/>
  <c r="CQ49" i="27" a="1"/>
  <c r="CQ49" i="27" s="1"/>
  <c r="CQ42" i="27" a="1"/>
  <c r="CQ42" i="27" s="1"/>
  <c r="CO66" i="27" a="1"/>
  <c r="CO66" i="27" s="1"/>
  <c r="CA26" i="27" a="1"/>
  <c r="CA26" i="27" s="1"/>
  <c r="CU126" i="27" a="1"/>
  <c r="CU126" i="27" s="1"/>
  <c r="CU113" i="27" a="1"/>
  <c r="CU113" i="27" s="1"/>
  <c r="CQ81" i="27" a="1"/>
  <c r="CQ81" i="27" s="1"/>
  <c r="CU81" i="27" a="1"/>
  <c r="CU81" i="27" s="1"/>
  <c r="CT81" i="27" a="1"/>
  <c r="CT81" i="27" s="1"/>
  <c r="CN81" i="27" a="1"/>
  <c r="CN81" i="27" s="1"/>
  <c r="CW81" i="27" a="1"/>
  <c r="CW81" i="27" s="1"/>
  <c r="CU6" i="27" a="1"/>
  <c r="CU6" i="27" s="1"/>
  <c r="CU98" i="27" a="1"/>
  <c r="CU98" i="27" s="1"/>
  <c r="CU92" i="27" a="1"/>
  <c r="CU92" i="27" s="1"/>
  <c r="CO78" i="27" a="1"/>
  <c r="CO78" i="27" s="1"/>
  <c r="CO111" i="27" a="1"/>
  <c r="CO111" i="27" s="1"/>
  <c r="CS111" i="27" a="1"/>
  <c r="CS111" i="27" s="1"/>
  <c r="CL111" i="27" a="1"/>
  <c r="CL111" i="27" s="1"/>
  <c r="CC6" i="27" a="1"/>
  <c r="CC6" i="27" s="1"/>
  <c r="CC26" i="27" a="1"/>
  <c r="CC26" i="27" s="1"/>
  <c r="CS33" i="27" a="1"/>
  <c r="CS33" i="27" s="1"/>
  <c r="CQ33" i="27" a="1"/>
  <c r="CQ33" i="27" s="1"/>
  <c r="CH33" i="27" a="1"/>
  <c r="CH33" i="27" s="1"/>
  <c r="CI26" i="27" a="1"/>
  <c r="CI26" i="27" s="1"/>
  <c r="CW20" i="27" a="1"/>
  <c r="CW20" i="27" s="1"/>
  <c r="CQ78" i="27" a="1"/>
  <c r="CQ78" i="27" s="1"/>
  <c r="CM42" i="27" a="1"/>
  <c r="CM42" i="27" s="1"/>
  <c r="CS41" i="27" a="1"/>
  <c r="CS41" i="27" s="1"/>
  <c r="CC71" i="27" a="1"/>
  <c r="CC71" i="27" s="1"/>
  <c r="CV71" i="27" a="1"/>
  <c r="CV71" i="27" s="1"/>
  <c r="CK20" i="27" a="1"/>
  <c r="CK20" i="27" s="1"/>
  <c r="CP79" i="27" a="1"/>
  <c r="CP79" i="27" s="1"/>
  <c r="CR113" i="27" a="1"/>
  <c r="CR113" i="27" s="1"/>
  <c r="CR7" i="27" a="1"/>
  <c r="CR7" i="27" s="1"/>
  <c r="CL54" i="27" a="1"/>
  <c r="CL54" i="27" s="1"/>
  <c r="CJ7" i="27" a="1"/>
  <c r="CJ7" i="27" s="1"/>
  <c r="CD113" i="27" a="1"/>
  <c r="CD113" i="27" s="1"/>
  <c r="CR79" i="27" a="1"/>
  <c r="CR79" i="27" s="1"/>
  <c r="CI54" i="27" a="1"/>
  <c r="CI54" i="27" s="1"/>
  <c r="BZ41" i="27" a="1"/>
  <c r="BZ41" i="27" s="1"/>
  <c r="CB79" i="27" a="1"/>
  <c r="CB79" i="27" s="1"/>
  <c r="CM54" i="27" a="1"/>
  <c r="CM54" i="27" s="1"/>
  <c r="CJ41" i="27" a="1"/>
  <c r="CJ41" i="27" s="1"/>
  <c r="CR42" i="27" a="1"/>
  <c r="CR42" i="27" s="1"/>
  <c r="BZ66" i="27" a="1"/>
  <c r="BZ66" i="27" s="1"/>
  <c r="BZ92" i="27" a="1"/>
  <c r="BZ92" i="27" s="1"/>
  <c r="CD6" i="27" a="1"/>
  <c r="CD6" i="27" s="1"/>
  <c r="CR8" i="27" a="1"/>
  <c r="CR8" i="27" s="1"/>
  <c r="CC8" i="27" a="1"/>
  <c r="CC8" i="27" s="1"/>
  <c r="CI8" i="27" a="1"/>
  <c r="CI8" i="27" s="1"/>
  <c r="CF8" i="27" a="1"/>
  <c r="CF8" i="27" s="1"/>
  <c r="CL8" i="27" a="1"/>
  <c r="CL8" i="27" s="1"/>
  <c r="CG8" i="27" a="1"/>
  <c r="CG8" i="27" s="1"/>
  <c r="CQ8" i="27" a="1"/>
  <c r="CQ8" i="27" s="1"/>
  <c r="CV42" i="27" a="1"/>
  <c r="CV42" i="27" s="1"/>
  <c r="CJ98" i="27" a="1"/>
  <c r="CJ98" i="27" s="1"/>
  <c r="CT98" i="27" a="1"/>
  <c r="CT98" i="27" s="1"/>
  <c r="CD20" i="27" a="1"/>
  <c r="CD20" i="27" s="1"/>
  <c r="CL7" i="27" a="1"/>
  <c r="CL7" i="27" s="1"/>
  <c r="CT113" i="27" a="1"/>
  <c r="CT113" i="27" s="1"/>
  <c r="CG108" i="27" a="1"/>
  <c r="CG108" i="27" s="1"/>
  <c r="CN108" i="27" a="1"/>
  <c r="CN108" i="27" s="1"/>
  <c r="CW108" i="27" a="1"/>
  <c r="CW108" i="27" s="1"/>
  <c r="CK108" i="27" a="1"/>
  <c r="CK108" i="27" s="1"/>
  <c r="CL60" i="27" a="1"/>
  <c r="CL60" i="27" s="1"/>
  <c r="CP60" i="27" a="1"/>
  <c r="CP60" i="27" s="1"/>
  <c r="CH60" i="27" a="1"/>
  <c r="CH60" i="27" s="1"/>
  <c r="CQ60" i="27" a="1"/>
  <c r="CQ60" i="27" s="1"/>
  <c r="CR12" i="27" a="1"/>
  <c r="CR12" i="27" s="1"/>
  <c r="CG12" i="27" a="1"/>
  <c r="CG12" i="27" s="1"/>
  <c r="CD12" i="27" a="1"/>
  <c r="CD12" i="27" s="1"/>
  <c r="CK12" i="27" a="1"/>
  <c r="CK12" i="27" s="1"/>
  <c r="CV12" i="27" a="1"/>
  <c r="CV12" i="27" s="1"/>
  <c r="CL12" i="27" a="1"/>
  <c r="CL12" i="27" s="1"/>
  <c r="CU12" i="27" a="1"/>
  <c r="CU12" i="27" s="1"/>
  <c r="CO12" i="27" a="1"/>
  <c r="CO12" i="27" s="1"/>
  <c r="CI12" i="27" a="1"/>
  <c r="CI12" i="27" s="1"/>
  <c r="CF12" i="27" a="1"/>
  <c r="CF12" i="27" s="1"/>
  <c r="CM12" i="27" a="1"/>
  <c r="CM12" i="27" s="1"/>
  <c r="CW12" i="27" a="1"/>
  <c r="CW12" i="27" s="1"/>
  <c r="CT56" i="27" a="1"/>
  <c r="CT56" i="27" s="1"/>
  <c r="CG56" i="27" a="1"/>
  <c r="CG56" i="27" s="1"/>
  <c r="CS56" i="27" a="1"/>
  <c r="CS56" i="27" s="1"/>
  <c r="CC56" i="27" a="1"/>
  <c r="CC56" i="27" s="1"/>
  <c r="BZ56" i="27" a="1"/>
  <c r="BZ56" i="27" s="1"/>
  <c r="CU56" i="27" a="1"/>
  <c r="CU56" i="27" s="1"/>
  <c r="CE56" i="27" a="1"/>
  <c r="CE56" i="27" s="1"/>
  <c r="CH109" i="27" a="1"/>
  <c r="CH109" i="27" s="1"/>
  <c r="CP109" i="27" a="1"/>
  <c r="CP109" i="27" s="1"/>
  <c r="CE109" i="27" a="1"/>
  <c r="CE109" i="27" s="1"/>
  <c r="CO109" i="27" a="1"/>
  <c r="CO109" i="27" s="1"/>
  <c r="CT109" i="27" a="1"/>
  <c r="CT109" i="27" s="1"/>
  <c r="CG109" i="27" a="1"/>
  <c r="CG109" i="27" s="1"/>
  <c r="CB31" i="27" a="1"/>
  <c r="CB31" i="27" s="1"/>
  <c r="CF31" i="27" a="1"/>
  <c r="CF31" i="27" s="1"/>
  <c r="CV31" i="27" a="1"/>
  <c r="CV31" i="27" s="1"/>
  <c r="CN31" i="27" a="1"/>
  <c r="CN31" i="27" s="1"/>
  <c r="CD31" i="27" a="1"/>
  <c r="CD31" i="27" s="1"/>
  <c r="CG31" i="27" a="1"/>
  <c r="CG31" i="27" s="1"/>
  <c r="BZ58" i="27" a="1"/>
  <c r="BZ58" i="27" s="1"/>
  <c r="CN58" i="27" a="1"/>
  <c r="CN58" i="27" s="1"/>
  <c r="CQ58" i="27" a="1"/>
  <c r="CQ58" i="27" s="1"/>
  <c r="CG58" i="27" a="1"/>
  <c r="CG58" i="27" s="1"/>
  <c r="CB70" i="27" a="1"/>
  <c r="CB70" i="27" s="1"/>
  <c r="CE70" i="27" a="1"/>
  <c r="CE70" i="27" s="1"/>
  <c r="CW59" i="27" a="1"/>
  <c r="CW59" i="27" s="1"/>
  <c r="CL59" i="27" a="1"/>
  <c r="CL59" i="27" s="1"/>
  <c r="CS59" i="27" a="1"/>
  <c r="CS59" i="27" s="1"/>
  <c r="CA59" i="27" a="1"/>
  <c r="CA59" i="27" s="1"/>
  <c r="CG59" i="27" a="1"/>
  <c r="CG59" i="27" s="1"/>
  <c r="CQ59" i="27" a="1"/>
  <c r="CQ59" i="27" s="1"/>
  <c r="CD86" i="27" a="1"/>
  <c r="CD86" i="27" s="1"/>
  <c r="CP86" i="27" a="1"/>
  <c r="CP86" i="27" s="1"/>
  <c r="CG86" i="27" a="1"/>
  <c r="CG86" i="27" s="1"/>
  <c r="CN38" i="27" a="1"/>
  <c r="CN38" i="27" s="1"/>
  <c r="CG38" i="27" a="1"/>
  <c r="CG38" i="27" s="1"/>
  <c r="CV38" i="27" a="1"/>
  <c r="CV38" i="27" s="1"/>
  <c r="CP38" i="27" a="1"/>
  <c r="CP38" i="27" s="1"/>
  <c r="CB91" i="27" a="1"/>
  <c r="CB91" i="27" s="1"/>
  <c r="CD91" i="27" a="1"/>
  <c r="CD91" i="27" s="1"/>
  <c r="CH91" i="27" a="1"/>
  <c r="CH91" i="27" s="1"/>
  <c r="CF91" i="27" a="1"/>
  <c r="CF91" i="27" s="1"/>
  <c r="CJ91" i="27" a="1"/>
  <c r="CJ91" i="27" s="1"/>
  <c r="CL140" i="27" a="1"/>
  <c r="CL140" i="27" s="1"/>
  <c r="CF140" i="27" a="1"/>
  <c r="CF140" i="27" s="1"/>
  <c r="CB101" i="27" a="1"/>
  <c r="CB101" i="27" s="1"/>
  <c r="CD101" i="27" a="1"/>
  <c r="CD101" i="27" s="1"/>
  <c r="CN101" i="27" a="1"/>
  <c r="CN101" i="27" s="1"/>
  <c r="CR101" i="27" a="1"/>
  <c r="CR101" i="27" s="1"/>
  <c r="CT101" i="27" a="1"/>
  <c r="CT101" i="27" s="1"/>
  <c r="CJ101" i="27" a="1"/>
  <c r="CJ101" i="27" s="1"/>
  <c r="CB29" i="27" a="1"/>
  <c r="CB29" i="27" s="1"/>
  <c r="CD29" i="27" a="1"/>
  <c r="CD29" i="27" s="1"/>
  <c r="CT29" i="27" a="1"/>
  <c r="CT29" i="27" s="1"/>
  <c r="CH29" i="27" a="1"/>
  <c r="CH29" i="27" s="1"/>
  <c r="CD104" i="27" a="1"/>
  <c r="CD104" i="27" s="1"/>
  <c r="CN104" i="27" a="1"/>
  <c r="CN104" i="27" s="1"/>
  <c r="CH104" i="27" a="1"/>
  <c r="CH104" i="27" s="1"/>
  <c r="BZ104" i="27" a="1"/>
  <c r="BZ104" i="27" s="1"/>
  <c r="CD32" i="27" a="1"/>
  <c r="CD32" i="27" s="1"/>
  <c r="CB32" i="27" a="1"/>
  <c r="CB32" i="27" s="1"/>
  <c r="CG32" i="27" a="1"/>
  <c r="CG32" i="27" s="1"/>
  <c r="CB13" i="27" a="1"/>
  <c r="CB13" i="27" s="1"/>
  <c r="CV13" i="27" a="1"/>
  <c r="CV13" i="27" s="1"/>
  <c r="CF72" i="27" a="1"/>
  <c r="CF72" i="27" s="1"/>
  <c r="CT72" i="27" a="1"/>
  <c r="CT72" i="27" s="1"/>
  <c r="CJ72" i="27" a="1"/>
  <c r="CJ72" i="27" s="1"/>
  <c r="CH72" i="27" a="1"/>
  <c r="CH72" i="27" s="1"/>
  <c r="BZ125" i="27" a="1"/>
  <c r="BZ125" i="27" s="1"/>
  <c r="CF125" i="27" a="1"/>
  <c r="CF125" i="27" s="1"/>
  <c r="CT125" i="27" a="1"/>
  <c r="CT125" i="27" s="1"/>
  <c r="CB125" i="27" a="1"/>
  <c r="CB125" i="27" s="1"/>
  <c r="CN125" i="27" a="1"/>
  <c r="CN125" i="27" s="1"/>
  <c r="CV125" i="27" a="1"/>
  <c r="CV125" i="27" s="1"/>
  <c r="CQ125" i="27" a="1"/>
  <c r="CQ125" i="27" s="1"/>
  <c r="CM125" i="27" a="1"/>
  <c r="CM125" i="27" s="1"/>
  <c r="CS125" i="27" a="1"/>
  <c r="CS125" i="27" s="1"/>
  <c r="CL125" i="27" a="1"/>
  <c r="CL125" i="27" s="1"/>
  <c r="CD125" i="27" a="1"/>
  <c r="CD125" i="27" s="1"/>
  <c r="CJ120" i="27" a="1"/>
  <c r="CJ120" i="27" s="1"/>
  <c r="CV120" i="27" a="1"/>
  <c r="CV120" i="27" s="1"/>
  <c r="CB73" i="27" a="1"/>
  <c r="CB73" i="27" s="1"/>
  <c r="CK73" i="27" a="1"/>
  <c r="CK73" i="27" s="1"/>
  <c r="CR73" i="27" a="1"/>
  <c r="CR73" i="27" s="1"/>
  <c r="CR10" i="27" a="1"/>
  <c r="CR10" i="27" s="1"/>
  <c r="CM10" i="27" a="1"/>
  <c r="CM10" i="27" s="1"/>
  <c r="CD10" i="27" a="1"/>
  <c r="CD10" i="27" s="1"/>
  <c r="CV10" i="27" a="1"/>
  <c r="CV10" i="27" s="1"/>
  <c r="CJ89" i="27" a="1"/>
  <c r="CJ89" i="27" s="1"/>
  <c r="CV89" i="27" a="1"/>
  <c r="CV89" i="27" s="1"/>
  <c r="CT89" i="27" a="1"/>
  <c r="CT89" i="27" s="1"/>
  <c r="CA30" i="27" a="1"/>
  <c r="CA30" i="27" s="1"/>
  <c r="CN30" i="27" a="1"/>
  <c r="CN30" i="27" s="1"/>
  <c r="BZ138" i="27" a="1"/>
  <c r="BZ138" i="27" s="1"/>
  <c r="CJ138" i="27" a="1"/>
  <c r="CJ138" i="27" s="1"/>
  <c r="CD138" i="27" a="1"/>
  <c r="CD138" i="27" s="1"/>
  <c r="CF138" i="27" a="1"/>
  <c r="CF138" i="27" s="1"/>
  <c r="CQ138" i="27" a="1"/>
  <c r="CQ138" i="27" s="1"/>
  <c r="CJ65" i="27" a="1"/>
  <c r="CJ65" i="27" s="1"/>
  <c r="CL65" i="27" a="1"/>
  <c r="CL65" i="27" s="1"/>
  <c r="CK65" i="27" a="1"/>
  <c r="CK65" i="27" s="1"/>
  <c r="CV65" i="27" a="1"/>
  <c r="CV65" i="27" s="1"/>
  <c r="CV116" i="27" a="1"/>
  <c r="CV116" i="27" s="1"/>
  <c r="CB116" i="27" a="1"/>
  <c r="CB116" i="27" s="1"/>
  <c r="CR116" i="27" a="1"/>
  <c r="CR116" i="27" s="1"/>
  <c r="BZ44" i="27" a="1"/>
  <c r="BZ44" i="27" s="1"/>
  <c r="CS44" i="27" a="1"/>
  <c r="CS44" i="27" s="1"/>
  <c r="CO44" i="27" a="1"/>
  <c r="CO44" i="27" s="1"/>
  <c r="CR44" i="27" a="1"/>
  <c r="CR44" i="27" s="1"/>
  <c r="CI44" i="27" a="1"/>
  <c r="CI44" i="27" s="1"/>
  <c r="CM44" i="27" a="1"/>
  <c r="CM44" i="27" s="1"/>
  <c r="CL44" i="27" a="1"/>
  <c r="CL44" i="27" s="1"/>
  <c r="CK44" i="27" a="1"/>
  <c r="CK44" i="27" s="1"/>
  <c r="CE44" i="27" a="1"/>
  <c r="CE44" i="27" s="1"/>
  <c r="CT44" i="27" a="1"/>
  <c r="CT44" i="27" s="1"/>
  <c r="CD44" i="27" a="1"/>
  <c r="CD44" i="27" s="1"/>
  <c r="CF15" i="27" a="1"/>
  <c r="CF15" i="27" s="1"/>
  <c r="BZ15" i="27" a="1"/>
  <c r="BZ15" i="27" s="1"/>
  <c r="CM64" i="27" a="1"/>
  <c r="CM64" i="27" s="1"/>
  <c r="CS64" i="27" a="1"/>
  <c r="CS64" i="27" s="1"/>
  <c r="CV64" i="27" a="1"/>
  <c r="CV64" i="27" s="1"/>
  <c r="CL102" i="27" a="1"/>
  <c r="CL102" i="27" s="1"/>
  <c r="CT102" i="27" a="1"/>
  <c r="CT102" i="27" s="1"/>
  <c r="CG102" i="27" a="1"/>
  <c r="CG102" i="27" s="1"/>
  <c r="CH102" i="27" a="1"/>
  <c r="CH102" i="27" s="1"/>
  <c r="CO102" i="27" a="1"/>
  <c r="CO102" i="27" s="1"/>
  <c r="CS30" i="27" a="1"/>
  <c r="CS30" i="27" s="1"/>
  <c r="CQ102" i="27" a="1"/>
  <c r="CQ102" i="27" s="1"/>
  <c r="CS102" i="27" a="1"/>
  <c r="CS102" i="27" s="1"/>
  <c r="CC64" i="27" a="1"/>
  <c r="CC64" i="27" s="1"/>
  <c r="CW64" i="27" a="1"/>
  <c r="CW64" i="27" s="1"/>
  <c r="CF102" i="27" a="1"/>
  <c r="CF102" i="27" s="1"/>
  <c r="BZ102" i="27" a="1"/>
  <c r="BZ102" i="27" s="1"/>
  <c r="CP30" i="27" a="1"/>
  <c r="CP30" i="27" s="1"/>
  <c r="CC30" i="27" a="1"/>
  <c r="CC30" i="27" s="1"/>
  <c r="CA64" i="27" a="1"/>
  <c r="CA64" i="27" s="1"/>
  <c r="CA15" i="27" a="1"/>
  <c r="CA15" i="27" s="1"/>
  <c r="CS97" i="27" a="1"/>
  <c r="CS97" i="27" s="1"/>
  <c r="CU25" i="27" a="1"/>
  <c r="CU25" i="27" s="1"/>
  <c r="CA65" i="27" a="1"/>
  <c r="CA65" i="27" s="1"/>
  <c r="CU64" i="27" a="1"/>
  <c r="CU64" i="27" s="1"/>
  <c r="CG87" i="27" a="1"/>
  <c r="CG87" i="27" s="1"/>
  <c r="CF87" i="27" a="1"/>
  <c r="CF87" i="27" s="1"/>
  <c r="CK87" i="27" a="1"/>
  <c r="CK87" i="27" s="1"/>
  <c r="CE87" i="27" a="1"/>
  <c r="CE87" i="27" s="1"/>
  <c r="CI87" i="27" a="1"/>
  <c r="CI87" i="27" s="1"/>
  <c r="CM87" i="27" a="1"/>
  <c r="CM87" i="27" s="1"/>
  <c r="CM97" i="27" a="1"/>
  <c r="CM97" i="27" s="1"/>
  <c r="CC15" i="27" a="1"/>
  <c r="CC15" i="27" s="1"/>
  <c r="CW116" i="27" a="1"/>
  <c r="CW116" i="27" s="1"/>
  <c r="CI25" i="27" a="1"/>
  <c r="CI25" i="27" s="1"/>
  <c r="CO138" i="27" a="1"/>
  <c r="CO138" i="27" s="1"/>
  <c r="CO64" i="27" a="1"/>
  <c r="CO64" i="27" s="1"/>
  <c r="CE116" i="27" a="1"/>
  <c r="CE116" i="27" s="1"/>
  <c r="CI97" i="27" a="1"/>
  <c r="CI97" i="27" s="1"/>
  <c r="CE30" i="27" a="1"/>
  <c r="CE30" i="27" s="1"/>
  <c r="CU102" i="27" a="1"/>
  <c r="CU102" i="27" s="1"/>
  <c r="CW102" i="27" a="1"/>
  <c r="CW102" i="27" s="1"/>
  <c r="CK116" i="27" a="1"/>
  <c r="CK116" i="27" s="1"/>
  <c r="CW30" i="27" a="1"/>
  <c r="CW30" i="27" s="1"/>
  <c r="CK64" i="27" a="1"/>
  <c r="CK64" i="27" s="1"/>
  <c r="CK138" i="27" a="1"/>
  <c r="CK138" i="27" s="1"/>
  <c r="CT15" i="27" a="1"/>
  <c r="CT15" i="27" s="1"/>
  <c r="CI64" i="27" a="1"/>
  <c r="CI64" i="27" s="1"/>
  <c r="CJ15" i="27" a="1"/>
  <c r="CJ15" i="27" s="1"/>
  <c r="CN65" i="27" a="1"/>
  <c r="CN65" i="27" s="1"/>
  <c r="CV138" i="27" a="1"/>
  <c r="CV138" i="27" s="1"/>
  <c r="CD65" i="27" a="1"/>
  <c r="CD65" i="27" s="1"/>
  <c r="CG97" i="27" a="1"/>
  <c r="CG97" i="27" s="1"/>
  <c r="CP65" i="27" a="1"/>
  <c r="CP65" i="27" s="1"/>
  <c r="CB25" i="27" a="1"/>
  <c r="CB25" i="27" s="1"/>
  <c r="CN116" i="27" a="1"/>
  <c r="CN116" i="27" s="1"/>
  <c r="CP44" i="27" a="1"/>
  <c r="CP44" i="27" s="1"/>
  <c r="CJ44" i="27" a="1"/>
  <c r="CJ44" i="27" s="1"/>
  <c r="CD116" i="27" a="1"/>
  <c r="CD116" i="27" s="1"/>
  <c r="CV44" i="27" a="1"/>
  <c r="CV44" i="27" s="1"/>
  <c r="CV102" i="27" a="1"/>
  <c r="CV102" i="27" s="1"/>
  <c r="CP31" i="27" a="1"/>
  <c r="CP31" i="27" s="1"/>
  <c r="BZ31" i="27" a="1"/>
  <c r="BZ31" i="27" s="1"/>
  <c r="CL31" i="27" a="1"/>
  <c r="CL31" i="27" s="1"/>
  <c r="CJ58" i="27" a="1"/>
  <c r="CJ58" i="27" s="1"/>
  <c r="CP58" i="27" a="1"/>
  <c r="CP58" i="27" s="1"/>
  <c r="CT58" i="27" a="1"/>
  <c r="CT58" i="27" s="1"/>
  <c r="CB58" i="27" a="1"/>
  <c r="CB58" i="27" s="1"/>
  <c r="CI58" i="27" a="1"/>
  <c r="CI58" i="27" s="1"/>
  <c r="CN70" i="27" a="1"/>
  <c r="CN70" i="27" s="1"/>
  <c r="CG70" i="27" a="1"/>
  <c r="CG70" i="27" s="1"/>
  <c r="CF98" i="27" a="1"/>
  <c r="CF98" i="27" s="1"/>
  <c r="CB98" i="27" a="1"/>
  <c r="CB98" i="27" s="1"/>
  <c r="CL98" i="27" a="1"/>
  <c r="CL98" i="27" s="1"/>
  <c r="CD98" i="27" a="1"/>
  <c r="CD98" i="27" s="1"/>
  <c r="CV98" i="27" a="1"/>
  <c r="CV98" i="27" s="1"/>
  <c r="CH26" i="27" a="1"/>
  <c r="CH26" i="27" s="1"/>
  <c r="CR26" i="27" a="1"/>
  <c r="CR26" i="27" s="1"/>
  <c r="CJ26" i="27" a="1"/>
  <c r="CJ26" i="27" s="1"/>
  <c r="CL26" i="27" a="1"/>
  <c r="CL26" i="27" s="1"/>
  <c r="CF26" i="27" a="1"/>
  <c r="CF26" i="27" s="1"/>
  <c r="CG26" i="27" a="1"/>
  <c r="CG26" i="27" s="1"/>
  <c r="CK26" i="27" a="1"/>
  <c r="CK26" i="27" s="1"/>
  <c r="BZ79" i="27" a="1"/>
  <c r="BZ79" i="27" s="1"/>
  <c r="CF79" i="27" a="1"/>
  <c r="CF79" i="27" s="1"/>
  <c r="CQ66" i="27" a="1"/>
  <c r="CQ66" i="27" s="1"/>
  <c r="CL66" i="27" a="1"/>
  <c r="CL66" i="27" s="1"/>
  <c r="CD66" i="27" a="1"/>
  <c r="CD66" i="27" s="1"/>
  <c r="CH66" i="27" a="1"/>
  <c r="CH66" i="27" s="1"/>
  <c r="CR66" i="27" a="1"/>
  <c r="CR66" i="27" s="1"/>
  <c r="CB108" i="27" a="1"/>
  <c r="CB108" i="27" s="1"/>
  <c r="CR108" i="27" a="1"/>
  <c r="CR108" i="27" s="1"/>
  <c r="CD108" i="27" a="1"/>
  <c r="CD108" i="27" s="1"/>
  <c r="CH108" i="27" a="1"/>
  <c r="CH108" i="27" s="1"/>
  <c r="CJ108" i="27" a="1"/>
  <c r="CJ108" i="27" s="1"/>
  <c r="CQ108" i="27" a="1"/>
  <c r="CQ108" i="27" s="1"/>
  <c r="CF108" i="27" a="1"/>
  <c r="CF108" i="27" s="1"/>
  <c r="CL108" i="27" a="1"/>
  <c r="CL108" i="27" s="1"/>
  <c r="BZ108" i="27" a="1"/>
  <c r="BZ108" i="27" s="1"/>
  <c r="CV60" i="27" a="1"/>
  <c r="CV60" i="27" s="1"/>
  <c r="CR60" i="27" a="1"/>
  <c r="CR60" i="27" s="1"/>
  <c r="CD60" i="27" a="1"/>
  <c r="CD60" i="27" s="1"/>
  <c r="BZ60" i="27" a="1"/>
  <c r="BZ60" i="27" s="1"/>
  <c r="CF60" i="27" a="1"/>
  <c r="CF60" i="27" s="1"/>
  <c r="CP56" i="27" a="1"/>
  <c r="CP56" i="27" s="1"/>
  <c r="CD56" i="27" a="1"/>
  <c r="CD56" i="27" s="1"/>
  <c r="CF56" i="27" a="1"/>
  <c r="CF56" i="27" s="1"/>
  <c r="CN56" i="27" a="1"/>
  <c r="CN56" i="27" s="1"/>
  <c r="CH56" i="27" a="1"/>
  <c r="CH56" i="27" s="1"/>
  <c r="CV56" i="27" a="1"/>
  <c r="CV56" i="27" s="1"/>
  <c r="CB56" i="27" a="1"/>
  <c r="CB56" i="27" s="1"/>
  <c r="CF109" i="27" a="1"/>
  <c r="CF109" i="27" s="1"/>
  <c r="CV109" i="27" a="1"/>
  <c r="CV109" i="27" s="1"/>
  <c r="CB109" i="27" a="1"/>
  <c r="CB109" i="27" s="1"/>
  <c r="CH30" i="27" a="1"/>
  <c r="CH30" i="27" s="1"/>
  <c r="BZ30" i="27" a="1"/>
  <c r="BZ30" i="27" s="1"/>
  <c r="CJ30" i="27" a="1"/>
  <c r="CJ30" i="27" s="1"/>
  <c r="CB30" i="27" a="1"/>
  <c r="CB30" i="27" s="1"/>
  <c r="CD30" i="27" a="1"/>
  <c r="CD30" i="27" s="1"/>
  <c r="CL30" i="27" a="1"/>
  <c r="CL30" i="27" s="1"/>
  <c r="CO30" i="27" a="1"/>
  <c r="CO30" i="27" s="1"/>
  <c r="CE64" i="27" a="1"/>
  <c r="CE64" i="27" s="1"/>
  <c r="CE15" i="27" a="1"/>
  <c r="CE15" i="27" s="1"/>
  <c r="CM30" i="27" a="1"/>
  <c r="CM30" i="27" s="1"/>
  <c r="CC87" i="27" a="1"/>
  <c r="CC87" i="27" s="1"/>
  <c r="CB87" i="27" a="1"/>
  <c r="CB87" i="27" s="1"/>
  <c r="CA87" i="27" a="1"/>
  <c r="CA87" i="27" s="1"/>
  <c r="BZ87" i="27" a="1"/>
  <c r="BZ87" i="27" s="1"/>
  <c r="CD87" i="27" a="1"/>
  <c r="CD87" i="27" s="1"/>
  <c r="CO97" i="27" a="1"/>
  <c r="CO97" i="27" s="1"/>
  <c r="CK15" i="27" a="1"/>
  <c r="CK15" i="27" s="1"/>
  <c r="CO15" i="27" a="1"/>
  <c r="CO15" i="27" s="1"/>
  <c r="CA102" i="27" a="1"/>
  <c r="CA102" i="27" s="1"/>
  <c r="CO65" i="27" a="1"/>
  <c r="CO65" i="27" s="1"/>
  <c r="CQ97" i="27" a="1"/>
  <c r="CQ97" i="27" s="1"/>
  <c r="CM102" i="27" a="1"/>
  <c r="CM102" i="27" s="1"/>
  <c r="CM138" i="27" a="1"/>
  <c r="CM138" i="27" s="1"/>
  <c r="CC25" i="27" a="1"/>
  <c r="CC25" i="27" s="1"/>
  <c r="CE138" i="27" a="1"/>
  <c r="CE138" i="27" s="1"/>
  <c r="CQ30" i="27" a="1"/>
  <c r="CQ30" i="27" s="1"/>
  <c r="CC65" i="27" a="1"/>
  <c r="CC65" i="27" s="1"/>
  <c r="CK25" i="27" a="1"/>
  <c r="CK25" i="27" s="1"/>
  <c r="CL15" i="27" a="1"/>
  <c r="CL15" i="27" s="1"/>
  <c r="CL138" i="27" a="1"/>
  <c r="CL138" i="27" s="1"/>
  <c r="CH15" i="27" a="1"/>
  <c r="CH15" i="27" s="1"/>
  <c r="CG30" i="27" a="1"/>
  <c r="CG30" i="27" s="1"/>
  <c r="CG65" i="27" a="1"/>
  <c r="CG65" i="27" s="1"/>
  <c r="CB97" i="27" a="1"/>
  <c r="CB97" i="27" s="1"/>
  <c r="CN25" i="27" a="1"/>
  <c r="CN25" i="27" s="1"/>
  <c r="CR102" i="27" a="1"/>
  <c r="CR102" i="27" s="1"/>
  <c r="CC44" i="27" a="1"/>
  <c r="CC44" i="27" s="1"/>
  <c r="CQ64" i="27" a="1"/>
  <c r="CQ64" i="27" s="1"/>
  <c r="CH116" i="27" a="1"/>
  <c r="CH116" i="27" s="1"/>
  <c r="CT116" i="27" a="1"/>
  <c r="CT116" i="27" s="1"/>
  <c r="CN44" i="27" a="1"/>
  <c r="CN44" i="27" s="1"/>
  <c r="CH64" i="27" a="1"/>
  <c r="CH64" i="27" s="1"/>
  <c r="CV59" i="27" a="1"/>
  <c r="CV59" i="27" s="1"/>
  <c r="CH59" i="27" a="1"/>
  <c r="CH59" i="27" s="1"/>
  <c r="CI59" i="27" a="1"/>
  <c r="CI59" i="27" s="1"/>
  <c r="CD59" i="27" a="1"/>
  <c r="CD59" i="27" s="1"/>
  <c r="CN59" i="27" a="1"/>
  <c r="CN59" i="27" s="1"/>
  <c r="CF59" i="27" a="1"/>
  <c r="CF59" i="27" s="1"/>
  <c r="CM59" i="27" a="1"/>
  <c r="CM59" i="27" s="1"/>
  <c r="CB59" i="27" a="1"/>
  <c r="CB59" i="27" s="1"/>
  <c r="CO59" i="27" a="1"/>
  <c r="CO59" i="27" s="1"/>
  <c r="CT59" i="27" a="1"/>
  <c r="CT59" i="27" s="1"/>
  <c r="CK59" i="27" a="1"/>
  <c r="CK59" i="27" s="1"/>
  <c r="CU59" i="27" a="1"/>
  <c r="CU59" i="27" s="1"/>
  <c r="CH86" i="27" a="1"/>
  <c r="CH86" i="27" s="1"/>
  <c r="CV86" i="27" a="1"/>
  <c r="CV86" i="27" s="1"/>
  <c r="CJ86" i="27" a="1"/>
  <c r="CJ86" i="27" s="1"/>
  <c r="CR86" i="27" a="1"/>
  <c r="CR86" i="27" s="1"/>
  <c r="CB86" i="27" a="1"/>
  <c r="CB86" i="27" s="1"/>
  <c r="CL86" i="27" a="1"/>
  <c r="CL86" i="27" s="1"/>
  <c r="CT86" i="27" a="1"/>
  <c r="CT86" i="27" s="1"/>
  <c r="CF38" i="27" a="1"/>
  <c r="CF38" i="27" s="1"/>
  <c r="CH38" i="27" a="1"/>
  <c r="CH38" i="27" s="1"/>
  <c r="CB38" i="27" a="1"/>
  <c r="CB38" i="27" s="1"/>
  <c r="CT38" i="27" a="1"/>
  <c r="CT38" i="27" s="1"/>
  <c r="CD38" i="27" a="1"/>
  <c r="CD38" i="27" s="1"/>
  <c r="CL38" i="27" a="1"/>
  <c r="CL38" i="27" s="1"/>
  <c r="BZ38" i="27" a="1"/>
  <c r="BZ38" i="27" s="1"/>
  <c r="CT91" i="27" a="1"/>
  <c r="CT91" i="27" s="1"/>
  <c r="BZ91" i="27" a="1"/>
  <c r="BZ91" i="27" s="1"/>
  <c r="CR91" i="27" a="1"/>
  <c r="CR91" i="27" s="1"/>
  <c r="CL91" i="27" a="1"/>
  <c r="CL91" i="27" s="1"/>
  <c r="CN91" i="27" a="1"/>
  <c r="CN91" i="27" s="1"/>
  <c r="CP91" i="27" a="1"/>
  <c r="CP91" i="27" s="1"/>
  <c r="CJ43" i="27" a="1"/>
  <c r="CJ43" i="27" s="1"/>
  <c r="CL43" i="27" a="1"/>
  <c r="CL43" i="27" s="1"/>
  <c r="CR140" i="27" a="1"/>
  <c r="CR140" i="27" s="1"/>
  <c r="CG140" i="27" a="1"/>
  <c r="CG140" i="27" s="1"/>
  <c r="CP140" i="27" a="1"/>
  <c r="CP140" i="27" s="1"/>
  <c r="BZ140" i="27" a="1"/>
  <c r="BZ140" i="27" s="1"/>
  <c r="BZ101" i="27" a="1"/>
  <c r="BZ101" i="27" s="1"/>
  <c r="CQ101" i="27" a="1"/>
  <c r="CQ101" i="27" s="1"/>
  <c r="CL101" i="27" a="1"/>
  <c r="CL101" i="27" s="1"/>
  <c r="CF101" i="27" a="1"/>
  <c r="CF101" i="27" s="1"/>
  <c r="BZ29" i="27" a="1"/>
  <c r="BZ29" i="27" s="1"/>
  <c r="CG29" i="27" a="1"/>
  <c r="CG29" i="27" s="1"/>
  <c r="CF29" i="27" a="1"/>
  <c r="CF29" i="27" s="1"/>
  <c r="CL29" i="27" a="1"/>
  <c r="CL29" i="27" s="1"/>
  <c r="CJ104" i="27" a="1"/>
  <c r="CJ104" i="27" s="1"/>
  <c r="CV104" i="27" a="1"/>
  <c r="CV104" i="27" s="1"/>
  <c r="CN32" i="27" a="1"/>
  <c r="CN32" i="27" s="1"/>
  <c r="BZ32" i="27" a="1"/>
  <c r="BZ32" i="27" s="1"/>
  <c r="CD13" i="27" a="1"/>
  <c r="CD13" i="27" s="1"/>
  <c r="CJ13" i="27" a="1"/>
  <c r="CJ13" i="27" s="1"/>
  <c r="CH13" i="27" a="1"/>
  <c r="CH13" i="27" s="1"/>
  <c r="CR72" i="27" a="1"/>
  <c r="CR72" i="27" s="1"/>
  <c r="CD72" i="27" a="1"/>
  <c r="CD72" i="27" s="1"/>
  <c r="CL72" i="27" a="1"/>
  <c r="CL72" i="27" s="1"/>
  <c r="CN72" i="27" a="1"/>
  <c r="CN72" i="27" s="1"/>
  <c r="BZ72" i="27" a="1"/>
  <c r="BZ72" i="27" s="1"/>
  <c r="CP72" i="27" a="1"/>
  <c r="CP72" i="27" s="1"/>
  <c r="CF127" i="27" a="1"/>
  <c r="CF127" i="27" s="1"/>
  <c r="CJ127" i="27" a="1"/>
  <c r="CJ127" i="27" s="1"/>
  <c r="CR127" i="27" a="1"/>
  <c r="CR127" i="27" s="1"/>
  <c r="CB127" i="27" a="1"/>
  <c r="CB127" i="27" s="1"/>
  <c r="CD127" i="27" a="1"/>
  <c r="CD127" i="27" s="1"/>
  <c r="CF53" i="27" a="1"/>
  <c r="CF53" i="27" s="1"/>
  <c r="BZ53" i="27" a="1"/>
  <c r="BZ53" i="27" s="1"/>
  <c r="CH53" i="27" a="1"/>
  <c r="CH53" i="27" s="1"/>
  <c r="CJ53" i="27" a="1"/>
  <c r="CJ53" i="27" s="1"/>
  <c r="CB53" i="27" a="1"/>
  <c r="CB53" i="27" s="1"/>
  <c r="CN53" i="27" a="1"/>
  <c r="CN53" i="27" s="1"/>
  <c r="CL53" i="27" a="1"/>
  <c r="CL53" i="27" s="1"/>
  <c r="CL136" i="27" a="1"/>
  <c r="CL136" i="27" s="1"/>
  <c r="CN136" i="27" a="1"/>
  <c r="CN136" i="27" s="1"/>
  <c r="CG37" i="27" a="1"/>
  <c r="CG37" i="27" s="1"/>
  <c r="CM80" i="27" a="1"/>
  <c r="CM80" i="27" s="1"/>
  <c r="CS80" i="27" a="1"/>
  <c r="CS80" i="27" s="1"/>
  <c r="CM24" i="27" a="1"/>
  <c r="CM24" i="27" s="1"/>
  <c r="CW80" i="27" a="1"/>
  <c r="CW80" i="27" s="1"/>
  <c r="CC80" i="27" a="1"/>
  <c r="CC80" i="27" s="1"/>
  <c r="CI14" i="27" a="1"/>
  <c r="CI14" i="27" s="1"/>
  <c r="CT39" i="27" a="1"/>
  <c r="CT39" i="27" s="1"/>
  <c r="CE39" i="27" a="1"/>
  <c r="CE39" i="27" s="1"/>
  <c r="CK39" i="27" a="1"/>
  <c r="CK39" i="27" s="1"/>
  <c r="CW39" i="27" a="1"/>
  <c r="CW39" i="27" s="1"/>
  <c r="CA39" i="27" a="1"/>
  <c r="CA39" i="27" s="1"/>
  <c r="CC39" i="27" a="1"/>
  <c r="CC39" i="27" s="1"/>
  <c r="CU24" i="27" a="1"/>
  <c r="CU24" i="27" s="1"/>
  <c r="CO77" i="27" a="1"/>
  <c r="CO77" i="27" s="1"/>
  <c r="CM37" i="27" a="1"/>
  <c r="CM37" i="27" s="1"/>
  <c r="CQ80" i="27" a="1"/>
  <c r="CQ80" i="27" s="1"/>
  <c r="CO24" i="27" a="1"/>
  <c r="CO24" i="27" s="1"/>
  <c r="CW77" i="27" a="1"/>
  <c r="CW77" i="27" s="1"/>
  <c r="CS24" i="27" a="1"/>
  <c r="CS24" i="27" s="1"/>
  <c r="CC77" i="27" a="1"/>
  <c r="CC77" i="27" s="1"/>
  <c r="CR37" i="27" a="1"/>
  <c r="CR37" i="27" s="1"/>
  <c r="CL77" i="27" a="1"/>
  <c r="CL77" i="27" s="1"/>
  <c r="CR77" i="27" a="1"/>
  <c r="CR77" i="27" s="1"/>
  <c r="CV77" i="27" a="1"/>
  <c r="CV77" i="27" s="1"/>
  <c r="CG77" i="27" a="1"/>
  <c r="CG77" i="27" s="1"/>
  <c r="CG14" i="27" a="1"/>
  <c r="CG14" i="27" s="1"/>
  <c r="CN80" i="27" a="1"/>
  <c r="CN80" i="27" s="1"/>
  <c r="CV85" i="27" a="1"/>
  <c r="CV85" i="27" s="1"/>
  <c r="CP37" i="27" a="1"/>
  <c r="CP37" i="27" s="1"/>
  <c r="BZ52" i="27" a="1"/>
  <c r="BZ52" i="27" s="1"/>
  <c r="CI52" i="27" a="1"/>
  <c r="CI52" i="27" s="1"/>
  <c r="CK52" i="27" a="1"/>
  <c r="CK52" i="27" s="1"/>
  <c r="CB52" i="27" a="1"/>
  <c r="CB52" i="27" s="1"/>
  <c r="CM52" i="27" a="1"/>
  <c r="CM52" i="27" s="1"/>
  <c r="CK112" i="27" a="1"/>
  <c r="CK112" i="27" s="1"/>
  <c r="CG112" i="27" a="1"/>
  <c r="CG112" i="27" s="1"/>
  <c r="BZ112" i="27" a="1"/>
  <c r="BZ112" i="27" s="1"/>
  <c r="CB112" i="27" a="1"/>
  <c r="CB112" i="27" s="1"/>
  <c r="CQ112" i="27" a="1"/>
  <c r="CQ112" i="27" s="1"/>
  <c r="CD90" i="27" a="1"/>
  <c r="CD90" i="27" s="1"/>
  <c r="CR90" i="27" a="1"/>
  <c r="CR90" i="27" s="1"/>
  <c r="CN90" i="27" a="1"/>
  <c r="CN90" i="27" s="1"/>
  <c r="CV90" i="27" a="1"/>
  <c r="CV90" i="27" s="1"/>
  <c r="CT135" i="27" a="1"/>
  <c r="CT135" i="27" s="1"/>
  <c r="CH135" i="27" a="1"/>
  <c r="CH135" i="27" s="1"/>
  <c r="CN135" i="27" a="1"/>
  <c r="CN135" i="27" s="1"/>
  <c r="BZ135" i="27" a="1"/>
  <c r="BZ135" i="27" s="1"/>
  <c r="CP135" i="27" a="1"/>
  <c r="CP135" i="27" s="1"/>
  <c r="CV135" i="27" a="1"/>
  <c r="CV135" i="27" s="1"/>
  <c r="CL70" i="27" a="1"/>
  <c r="CL70" i="27" s="1"/>
  <c r="CU70" i="27" a="1"/>
  <c r="CU70" i="27" s="1"/>
  <c r="CV70" i="27" a="1"/>
  <c r="CV70" i="27" s="1"/>
  <c r="CT70" i="27" a="1"/>
  <c r="CT70" i="27" s="1"/>
  <c r="CH70" i="27" a="1"/>
  <c r="CH70" i="27" s="1"/>
  <c r="CM70" i="27" a="1"/>
  <c r="CM70" i="27" s="1"/>
  <c r="CD70" i="27" a="1"/>
  <c r="CD70" i="27" s="1"/>
  <c r="CR70" i="27" a="1"/>
  <c r="CR70" i="27" s="1"/>
  <c r="CO70" i="27" a="1"/>
  <c r="CO70" i="27" s="1"/>
  <c r="CQ70" i="27" a="1"/>
  <c r="CQ70" i="27" s="1"/>
  <c r="CW70" i="27" a="1"/>
  <c r="CW70" i="27" s="1"/>
  <c r="CJ70" i="27" a="1"/>
  <c r="CJ70" i="27" s="1"/>
  <c r="CA70" i="27" a="1"/>
  <c r="CA70" i="27" s="1"/>
  <c r="BZ70" i="27" a="1"/>
  <c r="BZ70" i="27" s="1"/>
  <c r="CK70" i="27" a="1"/>
  <c r="CK70" i="27" s="1"/>
  <c r="CI70" i="27" a="1"/>
  <c r="CI70" i="27" s="1"/>
  <c r="CF70" i="27" a="1"/>
  <c r="CF70" i="27" s="1"/>
  <c r="CP70" i="27" a="1"/>
  <c r="CP70" i="27" s="1"/>
  <c r="BZ68" i="27" a="1"/>
  <c r="BZ68" i="27" s="1"/>
  <c r="CD68" i="27" a="1"/>
  <c r="CD68" i="27" s="1"/>
  <c r="CL68" i="27" a="1"/>
  <c r="CL68" i="27" s="1"/>
  <c r="CO136" i="27" a="1"/>
  <c r="CO136" i="27" s="1"/>
  <c r="CG136" i="27" a="1"/>
  <c r="CG136" i="27" s="1"/>
  <c r="CK136" i="27" a="1"/>
  <c r="CK136" i="27" s="1"/>
  <c r="CJ136" i="27" a="1"/>
  <c r="CJ136" i="27" s="1"/>
  <c r="CE136" i="27" a="1"/>
  <c r="CE136" i="27" s="1"/>
  <c r="CI136" i="27" a="1"/>
  <c r="CI136" i="27" s="1"/>
  <c r="CH136" i="27" a="1"/>
  <c r="CH136" i="27" s="1"/>
  <c r="CM14" i="27" a="1"/>
  <c r="CM14" i="27" s="1"/>
  <c r="CU85" i="27" a="1"/>
  <c r="CU85" i="27" s="1"/>
  <c r="CA77" i="27" a="1"/>
  <c r="CA77" i="27" s="1"/>
  <c r="CE77" i="27" a="1"/>
  <c r="CE77" i="27" s="1"/>
  <c r="CB136" i="27" a="1"/>
  <c r="CB136" i="27" s="1"/>
  <c r="CF136" i="27" a="1"/>
  <c r="CF136" i="27" s="1"/>
  <c r="CA136" i="27" a="1"/>
  <c r="CA136" i="27" s="1"/>
  <c r="BZ136" i="27" a="1"/>
  <c r="BZ136" i="27" s="1"/>
  <c r="CD136" i="27" a="1"/>
  <c r="CD136" i="27" s="1"/>
  <c r="CC136" i="27" a="1"/>
  <c r="CC136" i="27" s="1"/>
  <c r="CI37" i="27" a="1"/>
  <c r="CI37" i="27" s="1"/>
  <c r="CA80" i="27" a="1"/>
  <c r="CA80" i="27" s="1"/>
  <c r="CO14" i="27" a="1"/>
  <c r="CO14" i="27" s="1"/>
  <c r="CC37" i="27" a="1"/>
  <c r="CC37" i="27" s="1"/>
  <c r="CU80" i="27" a="1"/>
  <c r="CU80" i="27" s="1"/>
  <c r="CQ24" i="27" a="1"/>
  <c r="CQ24" i="27" s="1"/>
  <c r="CE37" i="27" a="1"/>
  <c r="CE37" i="27" s="1"/>
  <c r="CE80" i="27" a="1"/>
  <c r="CE80" i="27" s="1"/>
  <c r="CU77" i="27" a="1"/>
  <c r="CU77" i="27" s="1"/>
  <c r="CI39" i="27" a="1"/>
  <c r="CI39" i="27" s="1"/>
  <c r="CO39" i="27" a="1"/>
  <c r="CO39" i="27" s="1"/>
  <c r="BZ39" i="27" a="1"/>
  <c r="BZ39" i="27" s="1"/>
  <c r="CQ39" i="27" a="1"/>
  <c r="CQ39" i="27" s="1"/>
  <c r="CS39" i="27" a="1"/>
  <c r="CS39" i="27" s="1"/>
  <c r="CR39" i="27" a="1"/>
  <c r="CR39" i="27" s="1"/>
  <c r="CU37" i="27" a="1"/>
  <c r="CU37" i="27" s="1"/>
  <c r="CM68" i="27" a="1"/>
  <c r="CM68" i="27" s="1"/>
  <c r="CM85" i="27" a="1"/>
  <c r="CM85" i="27" s="1"/>
  <c r="CM77" i="27" a="1"/>
  <c r="CM77" i="27" s="1"/>
  <c r="CI85" i="27" a="1"/>
  <c r="CI85" i="27" s="1"/>
  <c r="CT37" i="27" a="1"/>
  <c r="CT37" i="27" s="1"/>
  <c r="CD77" i="27" a="1"/>
  <c r="CD77" i="27" s="1"/>
  <c r="CJ85" i="27" a="1"/>
  <c r="CJ85" i="27" s="1"/>
  <c r="CT85" i="27" a="1"/>
  <c r="CT85" i="27" s="1"/>
  <c r="CS70" i="27" a="1"/>
  <c r="CS70" i="27" s="1"/>
  <c r="CR130" i="27" a="1"/>
  <c r="CR130" i="27" s="1"/>
  <c r="CQ130" i="27" a="1"/>
  <c r="CQ130" i="27" s="1"/>
  <c r="CI130" i="27" a="1"/>
  <c r="CI130" i="27" s="1"/>
  <c r="CG130" i="27" a="1"/>
  <c r="CG130" i="27" s="1"/>
  <c r="CW130" i="27" a="1"/>
  <c r="CW130" i="27" s="1"/>
  <c r="CM130" i="27" a="1"/>
  <c r="CM130" i="27" s="1"/>
  <c r="CN130" i="27" a="1"/>
  <c r="CN130" i="27" s="1"/>
  <c r="CL130" i="27" a="1"/>
  <c r="CL130" i="27" s="1"/>
  <c r="CN22" i="27" a="1"/>
  <c r="CN22" i="27" s="1"/>
  <c r="CW22" i="27" a="1"/>
  <c r="CW22" i="27" s="1"/>
  <c r="CS22" i="27" a="1"/>
  <c r="CS22" i="27" s="1"/>
  <c r="CR22" i="27" a="1"/>
  <c r="CR22" i="27" s="1"/>
  <c r="CJ22" i="27" a="1"/>
  <c r="CJ22" i="27" s="1"/>
  <c r="CQ22" i="27" a="1"/>
  <c r="CQ22" i="27" s="1"/>
  <c r="CC14" i="27" a="1"/>
  <c r="CC14" i="27" s="1"/>
  <c r="CK14" i="27" a="1"/>
  <c r="CK14" i="27" s="1"/>
  <c r="CJ77" i="27" a="1"/>
  <c r="CJ77" i="27" s="1"/>
  <c r="CF77" i="27" a="1"/>
  <c r="CF77" i="27" s="1"/>
  <c r="CP77" i="27" a="1"/>
  <c r="CP77" i="27" s="1"/>
  <c r="CS77" i="27" a="1"/>
  <c r="CS77" i="27" s="1"/>
  <c r="CB80" i="27" a="1"/>
  <c r="CB80" i="27" s="1"/>
  <c r="CF80" i="27" a="1"/>
  <c r="CF80" i="27" s="1"/>
  <c r="CV80" i="27" a="1"/>
  <c r="CV80" i="27" s="1"/>
  <c r="CD80" i="27" a="1"/>
  <c r="CD80" i="27" s="1"/>
  <c r="CR80" i="27" a="1"/>
  <c r="CR80" i="27" s="1"/>
  <c r="CG80" i="27" a="1"/>
  <c r="CG80" i="27" s="1"/>
  <c r="BZ80" i="27" a="1"/>
  <c r="BZ80" i="27" s="1"/>
  <c r="CL80" i="27" a="1"/>
  <c r="CL80" i="27" s="1"/>
  <c r="CK80" i="27" a="1"/>
  <c r="CK80" i="27" s="1"/>
  <c r="CJ80" i="27" a="1"/>
  <c r="CJ80" i="27" s="1"/>
  <c r="CP80" i="27" a="1"/>
  <c r="CP80" i="27" s="1"/>
  <c r="CH85" i="27" a="1"/>
  <c r="CH85" i="27" s="1"/>
  <c r="CD85" i="27" a="1"/>
  <c r="CD85" i="27" s="1"/>
  <c r="CB85" i="27" a="1"/>
  <c r="CB85" i="27" s="1"/>
  <c r="CF85" i="27" a="1"/>
  <c r="CF85" i="27" s="1"/>
  <c r="CR85" i="27" a="1"/>
  <c r="CR85" i="27" s="1"/>
  <c r="CG85" i="27" a="1"/>
  <c r="CG85" i="27" s="1"/>
  <c r="CS85" i="27" a="1"/>
  <c r="CS85" i="27" s="1"/>
  <c r="CN85" i="27" a="1"/>
  <c r="CN85" i="27" s="1"/>
  <c r="CN37" i="27" a="1"/>
  <c r="CN37" i="27" s="1"/>
  <c r="CH37" i="27" a="1"/>
  <c r="CH37" i="27" s="1"/>
  <c r="CB37" i="27" a="1"/>
  <c r="CB37" i="27" s="1"/>
  <c r="CK96" i="27" a="1"/>
  <c r="CK96" i="27" s="1"/>
  <c r="BZ96" i="27" a="1"/>
  <c r="BZ96" i="27" s="1"/>
  <c r="CO96" i="27" a="1"/>
  <c r="CO96" i="27" s="1"/>
  <c r="CU96" i="27" a="1"/>
  <c r="CU96" i="27" s="1"/>
  <c r="CM96" i="27" a="1"/>
  <c r="CM96" i="27" s="1"/>
  <c r="CW96" i="27" a="1"/>
  <c r="CW96" i="27" s="1"/>
  <c r="CH96" i="27" a="1"/>
  <c r="CH96" i="27" s="1"/>
  <c r="CE96" i="27" a="1"/>
  <c r="CE96" i="27" s="1"/>
  <c r="CT96" i="27" a="1"/>
  <c r="CT96" i="27" s="1"/>
  <c r="CG96" i="27" a="1"/>
  <c r="CG96" i="27" s="1"/>
  <c r="CR96" i="27" a="1"/>
  <c r="CR96" i="27" s="1"/>
  <c r="CA96" i="27" a="1"/>
  <c r="CA96" i="27" s="1"/>
  <c r="CP96" i="27" a="1"/>
  <c r="CP96" i="27" s="1"/>
  <c r="CS96" i="27" a="1"/>
  <c r="CS96" i="27" s="1"/>
  <c r="CN96" i="27" a="1"/>
  <c r="CN96" i="27" s="1"/>
  <c r="CF96" i="27" a="1"/>
  <c r="CF96" i="27" s="1"/>
  <c r="CQ96" i="27" a="1"/>
  <c r="CQ96" i="27" s="1"/>
  <c r="CI96" i="27" a="1"/>
  <c r="CI96" i="27" s="1"/>
  <c r="CD96" i="27" a="1"/>
  <c r="CD96" i="27" s="1"/>
  <c r="CJ96" i="27" a="1"/>
  <c r="CJ96" i="27" s="1"/>
  <c r="CC96" i="27" a="1"/>
  <c r="CC96" i="27" s="1"/>
  <c r="CL96" i="27" a="1"/>
  <c r="CL96" i="27" s="1"/>
  <c r="CV24" i="27" a="1"/>
  <c r="CV24" i="27" s="1"/>
  <c r="CB24" i="27" a="1"/>
  <c r="CB24" i="27" s="1"/>
  <c r="CJ24" i="27" a="1"/>
  <c r="CJ24" i="27" s="1"/>
  <c r="CH24" i="27" a="1"/>
  <c r="CH24" i="27" s="1"/>
  <c r="CD24" i="27" a="1"/>
  <c r="CD24" i="27" s="1"/>
  <c r="CG24" i="27" a="1"/>
  <c r="CG24" i="27" s="1"/>
  <c r="CT24" i="27" a="1"/>
  <c r="CT24" i="27" s="1"/>
  <c r="BZ24" i="27" a="1"/>
  <c r="BZ24" i="27" s="1"/>
  <c r="CP24" i="27" a="1"/>
  <c r="CP24" i="27" s="1"/>
  <c r="CN24" i="27" a="1"/>
  <c r="CN24" i="27" s="1"/>
  <c r="CR24" i="27" a="1"/>
  <c r="CR24" i="27" s="1"/>
  <c r="CL24" i="27" a="1"/>
  <c r="CL24" i="27" s="1"/>
  <c r="CW24" i="27" a="1"/>
  <c r="CW24" i="27" s="1"/>
  <c r="CF24" i="27" a="1"/>
  <c r="CF24" i="27" s="1"/>
  <c r="CP136" i="27" a="1"/>
  <c r="CP136" i="27" s="1"/>
  <c r="CR136" i="27" a="1"/>
  <c r="CR136" i="27" s="1"/>
  <c r="CO85" i="27" a="1"/>
  <c r="CO85" i="27" s="1"/>
  <c r="CO80" i="27" a="1"/>
  <c r="CO80" i="27" s="1"/>
  <c r="CQ14" i="27" a="1"/>
  <c r="CQ14" i="27" s="1"/>
  <c r="CF39" i="27" a="1"/>
  <c r="CF39" i="27" s="1"/>
  <c r="CV39" i="27" a="1"/>
  <c r="CV39" i="27" s="1"/>
  <c r="CJ39" i="27" a="1"/>
  <c r="CJ39" i="27" s="1"/>
  <c r="CG39" i="27" a="1"/>
  <c r="CG39" i="27" s="1"/>
  <c r="CH39" i="27" a="1"/>
  <c r="CH39" i="27" s="1"/>
  <c r="CW37" i="27" a="1"/>
  <c r="CW37" i="27" s="1"/>
  <c r="CI80" i="27" a="1"/>
  <c r="CI80" i="27" s="1"/>
  <c r="CC24" i="27" a="1"/>
  <c r="CC24" i="27" s="1"/>
  <c r="CQ85" i="27" a="1"/>
  <c r="CQ85" i="27" s="1"/>
  <c r="CC85" i="27" a="1"/>
  <c r="CC85" i="27" s="1"/>
  <c r="CE85" i="27" a="1"/>
  <c r="CE85" i="27" s="1"/>
  <c r="CV37" i="27" a="1"/>
  <c r="CV37" i="27" s="1"/>
  <c r="BZ37" i="27" a="1"/>
  <c r="BZ37" i="27" s="1"/>
  <c r="CK24" i="27" a="1"/>
  <c r="CK24" i="27" s="1"/>
  <c r="CJ37" i="27" a="1"/>
  <c r="CJ37" i="27" s="1"/>
  <c r="CK77" i="27" a="1"/>
  <c r="CK77" i="27" s="1"/>
  <c r="CN77" i="27" a="1"/>
  <c r="CN77" i="27" s="1"/>
  <c r="CW85" i="27" a="1"/>
  <c r="CW85" i="27" s="1"/>
  <c r="CH77" i="27" a="1"/>
  <c r="CH77" i="27" s="1"/>
  <c r="CH68" i="27" a="1"/>
  <c r="CH68" i="27" s="1"/>
  <c r="CT80" i="27" a="1"/>
  <c r="CT80" i="27" s="1"/>
  <c r="CL131" i="27" a="1"/>
  <c r="CL131" i="27" s="1"/>
  <c r="CR131" i="27" a="1"/>
  <c r="CR131" i="27" s="1"/>
  <c r="BZ131" i="27" a="1"/>
  <c r="BZ131" i="27" s="1"/>
  <c r="CK131" i="27" a="1"/>
  <c r="CK131" i="27" s="1"/>
  <c r="CV131" i="27" a="1"/>
  <c r="CV131" i="27" s="1"/>
  <c r="CT131" i="27" a="1"/>
  <c r="CT131" i="27" s="1"/>
  <c r="CF131" i="27" a="1"/>
  <c r="CF131" i="27" s="1"/>
  <c r="CN131" i="27" a="1"/>
  <c r="CN131" i="27" s="1"/>
  <c r="CH131" i="27" a="1"/>
  <c r="CH131" i="27" s="1"/>
  <c r="CV83" i="27" a="1"/>
  <c r="CV83" i="27" s="1"/>
  <c r="CJ83" i="27" a="1"/>
  <c r="CJ83" i="27" s="1"/>
  <c r="CD83" i="27" a="1"/>
  <c r="CD83" i="27" s="1"/>
  <c r="CW83" i="27" a="1"/>
  <c r="CW83" i="27" s="1"/>
  <c r="CB83" i="27" a="1"/>
  <c r="CB83" i="27" s="1"/>
  <c r="CL83" i="27" a="1"/>
  <c r="CL83" i="27" s="1"/>
  <c r="CF83" i="27" a="1"/>
  <c r="CF83" i="27" s="1"/>
  <c r="CR83" i="27" a="1"/>
  <c r="CR83" i="27" s="1"/>
  <c r="CP83" i="27" a="1"/>
  <c r="CP83" i="27" s="1"/>
  <c r="CN83" i="27" a="1"/>
  <c r="CN83" i="27" s="1"/>
  <c r="CS83" i="27" a="1"/>
  <c r="CS83" i="27" s="1"/>
  <c r="CQ83" i="27" a="1"/>
  <c r="CQ83" i="27" s="1"/>
  <c r="CN35" i="27" a="1"/>
  <c r="CN35" i="27" s="1"/>
  <c r="CG35" i="27" a="1"/>
  <c r="CG35" i="27" s="1"/>
  <c r="CP35" i="27" a="1"/>
  <c r="CP35" i="27" s="1"/>
  <c r="CH35" i="27" a="1"/>
  <c r="CH35" i="27" s="1"/>
  <c r="CR110" i="27" a="1"/>
  <c r="CR110" i="27" s="1"/>
  <c r="CL110" i="27" a="1"/>
  <c r="CL110" i="27" s="1"/>
  <c r="CH110" i="27" a="1"/>
  <c r="CH110" i="27" s="1"/>
  <c r="CP110" i="27" a="1"/>
  <c r="CP110" i="27" s="1"/>
  <c r="CD110" i="27" a="1"/>
  <c r="CD110" i="27" s="1"/>
  <c r="CJ110" i="27" a="1"/>
  <c r="CJ110" i="27" s="1"/>
  <c r="CF110" i="27" a="1"/>
  <c r="CF110" i="27" s="1"/>
  <c r="CV110" i="27" a="1"/>
  <c r="CV110" i="27" s="1"/>
  <c r="CP62" i="27" a="1"/>
  <c r="CP62" i="27" s="1"/>
  <c r="CV62" i="27" a="1"/>
  <c r="CV62" i="27" s="1"/>
  <c r="CF62" i="27" a="1"/>
  <c r="CF62" i="27" s="1"/>
  <c r="BZ62" i="27" a="1"/>
  <c r="BZ62" i="27" s="1"/>
  <c r="CJ62" i="27" a="1"/>
  <c r="CJ62" i="27" s="1"/>
  <c r="CH62" i="27" a="1"/>
  <c r="CH62" i="27" s="1"/>
  <c r="CJ121" i="27" a="1"/>
  <c r="CJ121" i="27" s="1"/>
  <c r="CR121" i="27" a="1"/>
  <c r="CR121" i="27" s="1"/>
  <c r="CH121" i="27" a="1"/>
  <c r="CH121" i="27" s="1"/>
  <c r="CB121" i="27" a="1"/>
  <c r="CB121" i="27" s="1"/>
  <c r="CL121" i="27" a="1"/>
  <c r="CL121" i="27" s="1"/>
  <c r="CT121" i="27" a="1"/>
  <c r="CT121" i="27" s="1"/>
  <c r="CD121" i="27" a="1"/>
  <c r="CD121" i="27" s="1"/>
  <c r="CP121" i="27" a="1"/>
  <c r="CP121" i="27" s="1"/>
  <c r="CF121" i="27" a="1"/>
  <c r="CF121" i="27" s="1"/>
  <c r="CR67" i="27" a="1"/>
  <c r="CR67" i="27" s="1"/>
  <c r="CF67" i="27" a="1"/>
  <c r="CF67" i="27" s="1"/>
  <c r="CI67" i="27" a="1"/>
  <c r="CI67" i="27" s="1"/>
  <c r="CK67" i="27" a="1"/>
  <c r="CK67" i="27" s="1"/>
  <c r="CC67" i="27" a="1"/>
  <c r="CC67" i="27" s="1"/>
  <c r="CV67" i="27" a="1"/>
  <c r="CV67" i="27" s="1"/>
  <c r="CA67" i="27" a="1"/>
  <c r="CA67" i="27" s="1"/>
  <c r="CQ67" i="27" a="1"/>
  <c r="CQ67" i="27" s="1"/>
  <c r="CM67" i="27" a="1"/>
  <c r="CM67" i="27" s="1"/>
  <c r="CN19" i="27" a="1"/>
  <c r="CN19" i="27" s="1"/>
  <c r="CH19" i="27" a="1"/>
  <c r="CH19" i="27" s="1"/>
  <c r="CF19" i="27" a="1"/>
  <c r="CF19" i="27" s="1"/>
  <c r="CT19" i="27" a="1"/>
  <c r="CT19" i="27" s="1"/>
  <c r="CG19" i="27" a="1"/>
  <c r="CG19" i="27" s="1"/>
  <c r="CB19" i="27" a="1"/>
  <c r="CB19" i="27" s="1"/>
  <c r="CP19" i="27" a="1"/>
  <c r="CP19" i="27" s="1"/>
  <c r="BZ19" i="27" a="1"/>
  <c r="BZ19" i="27" s="1"/>
  <c r="CD48" i="27" a="1"/>
  <c r="CD48" i="27" s="1"/>
  <c r="BZ48" i="27" a="1"/>
  <c r="BZ48" i="27" s="1"/>
  <c r="CH48" i="27" a="1"/>
  <c r="CH48" i="27" s="1"/>
  <c r="CG48" i="27" a="1"/>
  <c r="CG48" i="27" s="1"/>
  <c r="CB64" i="27" a="1"/>
  <c r="CB64" i="27" s="1"/>
  <c r="CF64" i="27" a="1"/>
  <c r="CF64" i="27" s="1"/>
  <c r="CD64" i="27" a="1"/>
  <c r="CD64" i="27" s="1"/>
  <c r="CL64" i="27" a="1"/>
  <c r="CL64" i="27" s="1"/>
  <c r="CT64" i="27" a="1"/>
  <c r="CT64" i="27" s="1"/>
  <c r="CN64" i="27" a="1"/>
  <c r="CN64" i="27" s="1"/>
  <c r="CP64" i="27" a="1"/>
  <c r="CP64" i="27" s="1"/>
  <c r="BZ64" i="27" a="1"/>
  <c r="BZ64" i="27" s="1"/>
  <c r="CR64" i="27" a="1"/>
  <c r="CR64" i="27" s="1"/>
  <c r="CJ64" i="27" a="1"/>
  <c r="CJ64" i="27" s="1"/>
  <c r="CN102" i="27" a="1"/>
  <c r="CN102" i="27" s="1"/>
  <c r="CJ102" i="27" a="1"/>
  <c r="CJ102" i="27" s="1"/>
  <c r="CB102" i="27" a="1"/>
  <c r="CB102" i="27" s="1"/>
  <c r="CP102" i="27" a="1"/>
  <c r="CP102" i="27" s="1"/>
  <c r="CT30" i="27" a="1"/>
  <c r="CT30" i="27" s="1"/>
  <c r="CV30" i="27" a="1"/>
  <c r="CV30" i="27" s="1"/>
  <c r="CF30" i="27" a="1"/>
  <c r="CF30" i="27" s="1"/>
  <c r="CJ95" i="27" a="1"/>
  <c r="CJ95" i="27" s="1"/>
  <c r="CL95" i="27" a="1"/>
  <c r="CL95" i="27" s="1"/>
  <c r="CD95" i="27" a="1"/>
  <c r="CD95" i="27" s="1"/>
  <c r="CV122" i="27" a="1"/>
  <c r="CV122" i="27" s="1"/>
  <c r="CF122" i="27" a="1"/>
  <c r="CF122" i="27" s="1"/>
  <c r="CT122" i="27" a="1"/>
  <c r="CT122" i="27" s="1"/>
  <c r="CN122" i="27" a="1"/>
  <c r="CN122" i="27" s="1"/>
  <c r="CD122" i="27" a="1"/>
  <c r="CD122" i="27" s="1"/>
  <c r="CL122" i="27" a="1"/>
  <c r="CL122" i="27" s="1"/>
  <c r="CF103" i="27" a="1"/>
  <c r="CF103" i="27" s="1"/>
  <c r="CP103" i="27" a="1"/>
  <c r="CP103" i="27" s="1"/>
  <c r="CD103" i="27" a="1"/>
  <c r="CD103" i="27" s="1"/>
  <c r="CP108" i="27" a="1"/>
  <c r="CP108" i="27" s="1"/>
  <c r="CV108" i="27" a="1"/>
  <c r="CV108" i="27" s="1"/>
  <c r="CT108" i="27" a="1"/>
  <c r="CT108" i="27" s="1"/>
  <c r="CJ60" i="27" a="1"/>
  <c r="CJ60" i="27" s="1"/>
  <c r="CB60" i="27" a="1"/>
  <c r="CB60" i="27" s="1"/>
  <c r="CT60" i="27" a="1"/>
  <c r="CT60" i="27" s="1"/>
  <c r="CD92" i="27" a="1"/>
  <c r="CD92" i="27" s="1"/>
  <c r="CT92" i="27" a="1"/>
  <c r="CT92" i="27" s="1"/>
  <c r="CP20" i="27" a="1"/>
  <c r="CP20" i="27" s="1"/>
  <c r="CF20" i="27" a="1"/>
  <c r="CF20" i="27" s="1"/>
  <c r="CH20" i="27" a="1"/>
  <c r="CH20" i="27" s="1"/>
  <c r="CL20" i="27" a="1"/>
  <c r="CL20" i="27" s="1"/>
  <c r="CR49" i="27" a="1"/>
  <c r="CR49" i="27" s="1"/>
  <c r="CK49" i="27" a="1"/>
  <c r="CK49" i="27" s="1"/>
  <c r="CD49" i="27" a="1"/>
  <c r="CD49" i="27" s="1"/>
  <c r="CT49" i="27" a="1"/>
  <c r="CT49" i="27" s="1"/>
  <c r="CV126" i="27" a="1"/>
  <c r="CV126" i="27" s="1"/>
  <c r="CD126" i="27" a="1"/>
  <c r="CD126" i="27" s="1"/>
  <c r="CF71" i="27" a="1"/>
  <c r="CF71" i="27" s="1"/>
  <c r="CB71" i="27" a="1"/>
  <c r="CB71" i="27" s="1"/>
  <c r="CM71" i="27" a="1"/>
  <c r="CM71" i="27" s="1"/>
  <c r="CN7" i="27" a="1"/>
  <c r="CN7" i="27" s="1"/>
  <c r="CD7" i="27" a="1"/>
  <c r="CD7" i="27" s="1"/>
  <c r="BZ132" i="27" a="1"/>
  <c r="BZ132" i="27" s="1"/>
  <c r="CJ132" i="27" a="1"/>
  <c r="CJ132" i="27" s="1"/>
  <c r="CB44" i="27" a="1"/>
  <c r="CB44" i="27" s="1"/>
  <c r="CA44" i="27" a="1"/>
  <c r="CA44" i="27" s="1"/>
  <c r="CL97" i="27" a="1"/>
  <c r="CL97" i="27" s="1"/>
  <c r="CN97" i="27" a="1"/>
  <c r="CN97" i="27" s="1"/>
  <c r="CR97" i="27" a="1"/>
  <c r="CR97" i="27" s="1"/>
  <c r="CT97" i="27" a="1"/>
  <c r="CT97" i="27" s="1"/>
  <c r="CP97" i="27" a="1"/>
  <c r="CP97" i="27" s="1"/>
  <c r="CH97" i="27" a="1"/>
  <c r="CH97" i="27" s="1"/>
  <c r="CF97" i="27" a="1"/>
  <c r="CF97" i="27" s="1"/>
  <c r="CD97" i="27" a="1"/>
  <c r="CD97" i="27" s="1"/>
  <c r="CJ25" i="27" a="1"/>
  <c r="CJ25" i="27" s="1"/>
  <c r="CH25" i="27" a="1"/>
  <c r="CH25" i="27" s="1"/>
  <c r="CL25" i="27" a="1"/>
  <c r="CL25" i="27" s="1"/>
  <c r="CF25" i="27" a="1"/>
  <c r="CF25" i="27" s="1"/>
  <c r="CV25" i="27" a="1"/>
  <c r="CV25" i="27" s="1"/>
  <c r="CD25" i="27" a="1"/>
  <c r="CD25" i="27" s="1"/>
  <c r="BZ25" i="27" a="1"/>
  <c r="BZ25" i="27" s="1"/>
  <c r="CR25" i="27" a="1"/>
  <c r="CR25" i="27" s="1"/>
  <c r="CN8" i="27" a="1"/>
  <c r="CN8" i="27" s="1"/>
  <c r="CW8" i="27" a="1"/>
  <c r="CW8" i="27" s="1"/>
  <c r="CC133" i="27" a="1"/>
  <c r="CC133" i="27" s="1"/>
  <c r="CR104" i="27" a="1"/>
  <c r="CR104" i="27" s="1"/>
  <c r="CF104" i="27" a="1"/>
  <c r="CF104" i="27" s="1"/>
  <c r="CT104" i="27" a="1"/>
  <c r="CT104" i="27" s="1"/>
  <c r="CH32" i="27" a="1"/>
  <c r="CH32" i="27" s="1"/>
  <c r="CL32" i="27" a="1"/>
  <c r="CL32" i="27" s="1"/>
  <c r="CJ32" i="27" a="1"/>
  <c r="CJ32" i="27" s="1"/>
  <c r="CT32" i="27" a="1"/>
  <c r="CT32" i="27" s="1"/>
  <c r="CN61" i="27" a="1"/>
  <c r="CN61" i="27" s="1"/>
  <c r="CG61" i="27" a="1"/>
  <c r="CG61" i="27" s="1"/>
  <c r="CI61" i="27" a="1"/>
  <c r="CI61" i="27" s="1"/>
  <c r="CQ61" i="27" a="1"/>
  <c r="CQ61" i="27" s="1"/>
  <c r="CF61" i="27" a="1"/>
  <c r="CF61" i="27" s="1"/>
  <c r="CU61" i="27" a="1"/>
  <c r="CU61" i="27" s="1"/>
  <c r="CR61" i="27" a="1"/>
  <c r="CR61" i="27" s="1"/>
  <c r="CL61" i="27" a="1"/>
  <c r="CL61" i="27" s="1"/>
  <c r="CP61" i="27" a="1"/>
  <c r="CP61" i="27" s="1"/>
  <c r="CE61" i="27" a="1"/>
  <c r="CE61" i="27" s="1"/>
  <c r="CM61" i="27" a="1"/>
  <c r="CM61" i="27" s="1"/>
  <c r="CO61" i="27" a="1"/>
  <c r="CO61" i="27" s="1"/>
  <c r="CD61" i="27" a="1"/>
  <c r="CD61" i="27" s="1"/>
  <c r="CB61" i="27" a="1"/>
  <c r="CB61" i="27" s="1"/>
  <c r="CA61" i="27" a="1"/>
  <c r="CA61" i="27" s="1"/>
  <c r="CJ61" i="27" a="1"/>
  <c r="CJ61" i="27" s="1"/>
  <c r="CS61" i="27" a="1"/>
  <c r="CS61" i="27" s="1"/>
  <c r="BZ61" i="27" a="1"/>
  <c r="BZ61" i="27" s="1"/>
  <c r="CW61" i="27" a="1"/>
  <c r="CW61" i="27" s="1"/>
  <c r="CV61" i="27" a="1"/>
  <c r="CV61" i="27" s="1"/>
  <c r="CC61" i="27" a="1"/>
  <c r="CC61" i="27" s="1"/>
  <c r="CK61" i="27" a="1"/>
  <c r="CK61" i="27" s="1"/>
  <c r="CT61" i="27" a="1"/>
  <c r="CT61" i="27" s="1"/>
  <c r="CH61" i="27" a="1"/>
  <c r="CH61" i="27" s="1"/>
  <c r="CF13" i="27" a="1"/>
  <c r="CF13" i="27" s="1"/>
  <c r="CR13" i="27" a="1"/>
  <c r="CR13" i="27" s="1"/>
  <c r="CL13" i="27" a="1"/>
  <c r="CL13" i="27" s="1"/>
  <c r="CL56" i="27" a="1"/>
  <c r="CL56" i="27" s="1"/>
  <c r="CR56" i="27" a="1"/>
  <c r="CR56" i="27" s="1"/>
  <c r="CL133" i="27" a="1"/>
  <c r="CL133" i="27" s="1"/>
  <c r="CW133" i="27" a="1"/>
  <c r="CW133" i="27" s="1"/>
  <c r="DY17" i="27"/>
  <c r="DV17" i="27" s="1"/>
  <c r="CF130" i="27" a="1"/>
  <c r="CF130" i="27" s="1"/>
  <c r="CP130" i="27" a="1"/>
  <c r="CP130" i="27" s="1"/>
  <c r="BZ130" i="27" a="1"/>
  <c r="BZ130" i="27" s="1"/>
  <c r="CB130" i="27" a="1"/>
  <c r="CB130" i="27" s="1"/>
  <c r="CH130" i="27" a="1"/>
  <c r="CH130" i="27" s="1"/>
  <c r="CT130" i="27" a="1"/>
  <c r="CT130" i="27" s="1"/>
  <c r="CJ130" i="27" a="1"/>
  <c r="CJ130" i="27" s="1"/>
  <c r="CH88" i="27" a="1"/>
  <c r="CH88" i="27" s="1"/>
  <c r="CT88" i="27" a="1"/>
  <c r="CT88" i="27" s="1"/>
  <c r="CD58" i="27" a="1"/>
  <c r="CD58" i="27" s="1"/>
  <c r="CL58" i="27" a="1"/>
  <c r="CL58" i="27" s="1"/>
  <c r="CV58" i="27" a="1"/>
  <c r="CV58" i="27" s="1"/>
  <c r="CH58" i="27" a="1"/>
  <c r="CH58" i="27" s="1"/>
  <c r="CR58" i="27" a="1"/>
  <c r="CR58" i="27" s="1"/>
  <c r="CF58" i="27" a="1"/>
  <c r="CF58" i="27" s="1"/>
  <c r="CK58" i="27" a="1"/>
  <c r="CK58" i="27" s="1"/>
  <c r="CS52" i="27" a="1"/>
  <c r="CS52" i="27" s="1"/>
  <c r="CV52" i="27" a="1"/>
  <c r="CV52" i="27" s="1"/>
  <c r="CF52" i="27" a="1"/>
  <c r="CF52" i="27" s="1"/>
  <c r="CQ52" i="27" a="1"/>
  <c r="CQ52" i="27" s="1"/>
  <c r="CJ52" i="27" a="1"/>
  <c r="CJ52" i="27" s="1"/>
  <c r="CH52" i="27" a="1"/>
  <c r="CH52" i="27" s="1"/>
  <c r="CD52" i="27" a="1"/>
  <c r="CD52" i="27" s="1"/>
  <c r="CT52" i="27" a="1"/>
  <c r="CT52" i="27" s="1"/>
  <c r="CN52" i="27" a="1"/>
  <c r="CN52" i="27" s="1"/>
  <c r="CP52" i="27" a="1"/>
  <c r="CP52" i="27" s="1"/>
  <c r="CR52" i="27" a="1"/>
  <c r="CR52" i="27" s="1"/>
  <c r="CL52" i="27" a="1"/>
  <c r="CL52" i="27" s="1"/>
  <c r="CB118" i="27" a="1"/>
  <c r="CB118" i="27" s="1"/>
  <c r="CQ118" i="27" a="1"/>
  <c r="CQ118" i="27" s="1"/>
  <c r="CV22" i="27" a="1"/>
  <c r="CV22" i="27" s="1"/>
  <c r="CD22" i="27" a="1"/>
  <c r="CD22" i="27" s="1"/>
  <c r="CB22" i="27" a="1"/>
  <c r="CB22" i="27" s="1"/>
  <c r="CP22" i="27" a="1"/>
  <c r="CP22" i="27" s="1"/>
  <c r="CT22" i="27" a="1"/>
  <c r="CT22" i="27" s="1"/>
  <c r="CF22" i="27" a="1"/>
  <c r="CF22" i="27" s="1"/>
  <c r="CQ68" i="27" a="1"/>
  <c r="CQ68" i="27" s="1"/>
  <c r="CS68" i="27" a="1"/>
  <c r="CS68" i="27" s="1"/>
  <c r="CU14" i="27" a="1"/>
  <c r="CU14" i="27" s="1"/>
  <c r="CE68" i="27" a="1"/>
  <c r="CE68" i="27" s="1"/>
  <c r="CE14" i="27" a="1"/>
  <c r="CE14" i="27" s="1"/>
  <c r="CA14" i="27" a="1"/>
  <c r="CA14" i="27" s="1"/>
  <c r="CB68" i="27" a="1"/>
  <c r="CB68" i="27" s="1"/>
  <c r="BZ8" i="27" a="1"/>
  <c r="BZ8" i="27" s="1"/>
  <c r="CD8" i="27" a="1"/>
  <c r="CD8" i="27" s="1"/>
  <c r="CN68" i="27" a="1"/>
  <c r="CN68" i="27" s="1"/>
  <c r="CJ14" i="27" a="1"/>
  <c r="CJ14" i="27" s="1"/>
  <c r="CT133" i="27" a="1"/>
  <c r="CT133" i="27" s="1"/>
  <c r="CR133" i="27" a="1"/>
  <c r="CR133" i="27" s="1"/>
  <c r="CF16" i="27" a="1"/>
  <c r="CF16" i="27" s="1"/>
  <c r="CD16" i="27" a="1"/>
  <c r="CD16" i="27" s="1"/>
  <c r="CB16" i="27" a="1"/>
  <c r="CB16" i="27" s="1"/>
  <c r="CT16" i="27" a="1"/>
  <c r="CT16" i="27" s="1"/>
  <c r="CS16" i="27" a="1"/>
  <c r="CS16" i="27" s="1"/>
  <c r="BZ16" i="27" a="1"/>
  <c r="BZ16" i="27" s="1"/>
  <c r="CV16" i="27" a="1"/>
  <c r="CV16" i="27" s="1"/>
  <c r="CH16" i="27" a="1"/>
  <c r="CH16" i="27" s="1"/>
  <c r="CL16" i="27" a="1"/>
  <c r="CL16" i="27" s="1"/>
  <c r="CR16" i="27" a="1"/>
  <c r="CR16" i="27" s="1"/>
  <c r="CP16" i="27" a="1"/>
  <c r="CP16" i="27" s="1"/>
  <c r="CJ16" i="27" a="1"/>
  <c r="CJ16" i="27" s="1"/>
  <c r="CN16" i="27" a="1"/>
  <c r="CN16" i="27" s="1"/>
  <c r="CU68" i="27" a="1"/>
  <c r="CU68" i="27" s="1"/>
  <c r="CT68" i="27" a="1"/>
  <c r="CT68" i="27" s="1"/>
  <c r="CF68" i="27" a="1"/>
  <c r="CF68" i="27" s="1"/>
  <c r="CO68" i="27" a="1"/>
  <c r="CO68" i="27" s="1"/>
  <c r="CK68" i="27" a="1"/>
  <c r="CK68" i="27" s="1"/>
  <c r="CL14" i="27" a="1"/>
  <c r="CL14" i="27" s="1"/>
  <c r="CR68" i="27" a="1"/>
  <c r="CR68" i="27" s="1"/>
  <c r="CV68" i="27" a="1"/>
  <c r="CV68" i="27" s="1"/>
  <c r="CJ68" i="27" a="1"/>
  <c r="CJ68" i="27" s="1"/>
  <c r="CI68" i="27" a="1"/>
  <c r="CI68" i="27" s="1"/>
  <c r="CA68" i="27" a="1"/>
  <c r="CA68" i="27" s="1"/>
  <c r="CC68" i="27" a="1"/>
  <c r="CC68" i="27" s="1"/>
  <c r="CP68" i="27" a="1"/>
  <c r="CP68" i="27" s="1"/>
  <c r="CK8" i="27" a="1"/>
  <c r="CK8" i="27" s="1"/>
  <c r="CJ8" i="27" a="1"/>
  <c r="CJ8" i="27" s="1"/>
  <c r="CA8" i="27" a="1"/>
  <c r="CA8" i="27" s="1"/>
  <c r="CH8" i="27" a="1"/>
  <c r="CH8" i="27" s="1"/>
  <c r="CO8" i="27" a="1"/>
  <c r="CO8" i="27" s="1"/>
  <c r="CE8" i="27" a="1"/>
  <c r="CE8" i="27" s="1"/>
  <c r="CT8" i="27" a="1"/>
  <c r="CT8" i="27" s="1"/>
  <c r="CU8" i="27" a="1"/>
  <c r="CU8" i="27" s="1"/>
  <c r="CS8" i="27" a="1"/>
  <c r="CS8" i="27" s="1"/>
  <c r="CM8" i="27" a="1"/>
  <c r="CM8" i="27" s="1"/>
  <c r="CP8" i="27" a="1"/>
  <c r="CP8" i="27" s="1"/>
  <c r="CT14" i="27" a="1"/>
  <c r="CT14" i="27" s="1"/>
  <c r="CP14" i="27" a="1"/>
  <c r="CP14" i="27" s="1"/>
  <c r="CB14" i="27" a="1"/>
  <c r="CB14" i="27" s="1"/>
  <c r="CN14" i="27" a="1"/>
  <c r="CN14" i="27" s="1"/>
  <c r="CF14" i="27" a="1"/>
  <c r="CF14" i="27" s="1"/>
  <c r="CV14" i="27" a="1"/>
  <c r="CV14" i="27" s="1"/>
  <c r="CH14" i="27" a="1"/>
  <c r="CH14" i="27" s="1"/>
  <c r="BZ14" i="27" a="1"/>
  <c r="BZ14" i="27" s="1"/>
  <c r="CR14" i="27" a="1"/>
  <c r="CR14" i="27" s="1"/>
  <c r="Z15" i="30" l="1"/>
  <c r="Z15" i="12"/>
  <c r="DY74" i="27"/>
  <c r="EA74" i="27" s="1"/>
  <c r="DY57" i="27"/>
  <c r="DV57" i="27" s="1"/>
  <c r="Z55" i="30" s="1"/>
  <c r="Z94" i="12"/>
  <c r="Z94" i="30"/>
  <c r="Z79" i="12"/>
  <c r="Z79" i="30"/>
  <c r="Z68" i="12"/>
  <c r="Z68" i="30"/>
  <c r="Z52" i="30"/>
  <c r="Z52" i="12"/>
  <c r="Z6" i="30"/>
  <c r="Z6" i="12"/>
  <c r="Z59" i="30"/>
  <c r="Z59" i="12"/>
  <c r="Z99" i="12"/>
  <c r="Z99" i="30"/>
  <c r="Z109" i="12"/>
  <c r="Z109" i="30"/>
  <c r="Z65" i="30"/>
  <c r="Z65" i="12"/>
  <c r="Z72" i="12"/>
  <c r="Z42" i="30"/>
  <c r="Z42" i="12"/>
  <c r="Z72" i="30"/>
  <c r="Z113" i="12"/>
  <c r="Z113" i="30"/>
  <c r="Z97" i="30"/>
  <c r="Z97" i="12"/>
  <c r="DY99" i="27"/>
  <c r="EA99" i="27" s="1"/>
  <c r="Z107" i="12"/>
  <c r="Z107" i="30"/>
  <c r="Z57" i="12"/>
  <c r="Z57" i="30"/>
  <c r="Z43" i="12"/>
  <c r="Z43" i="30"/>
  <c r="DY129" i="27"/>
  <c r="DV129" i="27" s="1"/>
  <c r="Z127" i="12" s="1"/>
  <c r="DY63" i="27"/>
  <c r="EA63" i="27" s="1"/>
  <c r="DY93" i="27"/>
  <c r="DV93" i="27" s="1"/>
  <c r="Z91" i="30" s="1"/>
  <c r="DY105" i="27"/>
  <c r="DV105" i="27" s="1"/>
  <c r="Z103" i="12" s="1"/>
  <c r="DY124" i="27"/>
  <c r="DV124" i="27" s="1"/>
  <c r="Z122" i="12" s="1"/>
  <c r="DY137" i="27"/>
  <c r="DV137" i="27" s="1"/>
  <c r="DY94" i="27"/>
  <c r="DV94" i="27" s="1"/>
  <c r="Z92" i="30" s="1"/>
  <c r="DY34" i="27"/>
  <c r="DY75" i="27"/>
  <c r="DV75" i="27" s="1"/>
  <c r="DY107" i="27"/>
  <c r="DV107" i="27" s="1"/>
  <c r="Z105" i="12" s="1"/>
  <c r="DY76" i="27"/>
  <c r="DV76" i="27" s="1"/>
  <c r="DY119" i="27"/>
  <c r="DV119" i="27" s="1"/>
  <c r="Z117" i="12" s="1"/>
  <c r="DY28" i="27"/>
  <c r="DV28" i="27" s="1"/>
  <c r="DY82" i="27"/>
  <c r="EA82" i="27" s="1"/>
  <c r="DY33" i="27"/>
  <c r="DV33" i="27" s="1"/>
  <c r="Z31" i="30" s="1"/>
  <c r="DY128" i="27"/>
  <c r="DV128" i="27" s="1"/>
  <c r="Z126" i="30" s="1"/>
  <c r="DY40" i="27"/>
  <c r="DV40" i="27" s="1"/>
  <c r="Z38" i="30" s="1"/>
  <c r="DY18" i="27"/>
  <c r="DV18" i="27" s="1"/>
  <c r="DY11" i="27"/>
  <c r="EA11" i="27" s="1"/>
  <c r="DY21" i="27"/>
  <c r="DV21" i="27" s="1"/>
  <c r="Z19" i="12" s="1"/>
  <c r="DY51" i="27"/>
  <c r="DV51" i="27" s="1"/>
  <c r="Z49" i="12" s="1"/>
  <c r="DY114" i="27"/>
  <c r="DV114" i="27" s="1"/>
  <c r="DY9" i="27"/>
  <c r="DV9" i="27" s="1"/>
  <c r="Z7" i="30" s="1"/>
  <c r="DY12" i="27"/>
  <c r="DV12" i="27" s="1"/>
  <c r="Z10" i="30" s="1"/>
  <c r="DY27" i="27"/>
  <c r="DV27" i="27" s="1"/>
  <c r="Z25" i="12" s="1"/>
  <c r="DY23" i="27"/>
  <c r="DV23" i="27" s="1"/>
  <c r="DY140" i="27"/>
  <c r="DV140" i="27" s="1"/>
  <c r="Z138" i="12" s="1"/>
  <c r="DY69" i="27"/>
  <c r="DV69" i="27" s="1"/>
  <c r="Z67" i="12" s="1"/>
  <c r="DY120" i="27"/>
  <c r="EA120" i="27" s="1"/>
  <c r="DY46" i="27"/>
  <c r="DY50" i="27"/>
  <c r="DV50" i="27" s="1"/>
  <c r="Z48" i="12" s="1"/>
  <c r="DY139" i="27"/>
  <c r="DV139" i="27" s="1"/>
  <c r="DY45" i="27"/>
  <c r="EA45" i="27" s="1"/>
  <c r="DY36" i="27"/>
  <c r="DV36" i="27" s="1"/>
  <c r="DY84" i="27"/>
  <c r="DV84" i="27" s="1"/>
  <c r="DY134" i="27"/>
  <c r="DV134" i="27" s="1"/>
  <c r="Z132" i="30" s="1"/>
  <c r="DY117" i="27"/>
  <c r="DV117" i="27" s="1"/>
  <c r="Z115" i="12" s="1"/>
  <c r="DY55" i="27"/>
  <c r="EA55" i="27" s="1"/>
  <c r="DY100" i="27"/>
  <c r="DV100" i="27" s="1"/>
  <c r="Z98" i="12" s="1"/>
  <c r="DY106" i="27"/>
  <c r="DV106" i="27" s="1"/>
  <c r="Z104" i="12" s="1"/>
  <c r="DY47" i="27"/>
  <c r="DV47" i="27" s="1"/>
  <c r="Z45" i="30" s="1"/>
  <c r="DY115" i="27"/>
  <c r="EA115" i="27" s="1"/>
  <c r="EE115" i="27" s="1"/>
  <c r="DY73" i="27"/>
  <c r="DV73" i="27" s="1"/>
  <c r="Z71" i="12" s="1"/>
  <c r="DY123" i="27"/>
  <c r="DV123" i="27" s="1"/>
  <c r="Z121" i="12" s="1"/>
  <c r="DY111" i="27"/>
  <c r="EA111" i="27" s="1"/>
  <c r="DY54" i="27"/>
  <c r="EA54" i="27" s="1"/>
  <c r="DY30" i="27"/>
  <c r="DV30" i="27" s="1"/>
  <c r="Z28" i="30" s="1"/>
  <c r="DY66" i="27"/>
  <c r="DV66" i="27" s="1"/>
  <c r="DY78" i="27"/>
  <c r="DV78" i="27" s="1"/>
  <c r="Z76" i="30" s="1"/>
  <c r="DY89" i="27"/>
  <c r="DV89" i="27" s="1"/>
  <c r="Z87" i="30" s="1"/>
  <c r="DY10" i="27"/>
  <c r="DV10" i="27" s="1"/>
  <c r="DY125" i="27"/>
  <c r="DV125" i="27" s="1"/>
  <c r="Z123" i="30" s="1"/>
  <c r="DY113" i="27"/>
  <c r="DV113" i="27" s="1"/>
  <c r="Z111" i="30" s="1"/>
  <c r="DY37" i="27"/>
  <c r="DV37" i="27" s="1"/>
  <c r="Z35" i="30" s="1"/>
  <c r="DY65" i="27"/>
  <c r="DV65" i="27" s="1"/>
  <c r="Z63" i="30" s="1"/>
  <c r="DY15" i="27"/>
  <c r="DV15" i="27" s="1"/>
  <c r="Z13" i="12" s="1"/>
  <c r="DY44" i="27"/>
  <c r="EA44" i="27" s="1"/>
  <c r="DY138" i="27"/>
  <c r="DV138" i="27" s="1"/>
  <c r="DY31" i="27"/>
  <c r="DV31" i="27" s="1"/>
  <c r="DY6" i="27"/>
  <c r="DV6" i="27" s="1"/>
  <c r="Z4" i="30" s="1"/>
  <c r="DY41" i="27"/>
  <c r="DV41" i="27" s="1"/>
  <c r="DY98" i="27"/>
  <c r="DV98" i="27" s="1"/>
  <c r="Z96" i="30" s="1"/>
  <c r="DY42" i="27"/>
  <c r="DV42" i="27" s="1"/>
  <c r="Z40" i="30" s="1"/>
  <c r="DY81" i="27"/>
  <c r="EA81" i="27" s="1"/>
  <c r="DY122" i="27"/>
  <c r="DV122" i="27" s="1"/>
  <c r="Z120" i="12" s="1"/>
  <c r="DY95" i="27"/>
  <c r="DY102" i="27"/>
  <c r="DV102" i="27" s="1"/>
  <c r="DY85" i="27"/>
  <c r="DV85" i="27" s="1"/>
  <c r="Z83" i="12" s="1"/>
  <c r="DY88" i="27"/>
  <c r="DV88" i="27" s="1"/>
  <c r="DY13" i="27"/>
  <c r="DY92" i="27"/>
  <c r="EA92" i="27" s="1"/>
  <c r="DY29" i="27"/>
  <c r="DV29" i="27" s="1"/>
  <c r="Z27" i="30" s="1"/>
  <c r="DY7" i="27"/>
  <c r="DV7" i="27" s="1"/>
  <c r="DY126" i="27"/>
  <c r="DV126" i="27" s="1"/>
  <c r="Z124" i="12" s="1"/>
  <c r="DY70" i="27"/>
  <c r="EA70" i="27" s="1"/>
  <c r="DY135" i="27"/>
  <c r="DV135" i="27" s="1"/>
  <c r="Z133" i="12" s="1"/>
  <c r="DY90" i="27"/>
  <c r="DV90" i="27" s="1"/>
  <c r="Z88" i="30" s="1"/>
  <c r="DY112" i="27"/>
  <c r="DV112" i="27" s="1"/>
  <c r="DY53" i="27"/>
  <c r="EA53" i="27" s="1"/>
  <c r="DY127" i="27"/>
  <c r="DV127" i="27" s="1"/>
  <c r="Z125" i="12" s="1"/>
  <c r="DY72" i="27"/>
  <c r="DV72" i="27" s="1"/>
  <c r="Z70" i="12" s="1"/>
  <c r="DY43" i="27"/>
  <c r="DV43" i="27" s="1"/>
  <c r="Z41" i="30" s="1"/>
  <c r="DY91" i="27"/>
  <c r="DV91" i="27" s="1"/>
  <c r="DY38" i="27"/>
  <c r="DV38" i="27" s="1"/>
  <c r="Z36" i="30" s="1"/>
  <c r="DY86" i="27"/>
  <c r="DV86" i="27" s="1"/>
  <c r="Z84" i="12" s="1"/>
  <c r="DY59" i="27"/>
  <c r="EA59" i="27" s="1"/>
  <c r="DY116" i="27"/>
  <c r="DV116" i="27" s="1"/>
  <c r="Z114" i="12" s="1"/>
  <c r="DY87" i="27"/>
  <c r="DV87" i="27" s="1"/>
  <c r="Z85" i="30" s="1"/>
  <c r="DY109" i="27"/>
  <c r="EA109" i="27" s="1"/>
  <c r="DY56" i="27"/>
  <c r="DV56" i="27" s="1"/>
  <c r="Z54" i="30" s="1"/>
  <c r="DY79" i="27"/>
  <c r="DV79" i="27" s="1"/>
  <c r="Z77" i="30" s="1"/>
  <c r="DY26" i="27"/>
  <c r="DV26" i="27" s="1"/>
  <c r="Z24" i="12" s="1"/>
  <c r="DY108" i="27"/>
  <c r="DV108" i="27" s="1"/>
  <c r="Z106" i="30" s="1"/>
  <c r="DY48" i="27"/>
  <c r="DV48" i="27" s="1"/>
  <c r="Z46" i="12" s="1"/>
  <c r="DY19" i="27"/>
  <c r="DV19" i="27" s="1"/>
  <c r="DY121" i="27"/>
  <c r="DV121" i="27" s="1"/>
  <c r="DY39" i="27"/>
  <c r="DV39" i="27" s="1"/>
  <c r="Z37" i="30" s="1"/>
  <c r="DY49" i="27"/>
  <c r="DV49" i="27" s="1"/>
  <c r="DY24" i="27"/>
  <c r="DV24" i="27" s="1"/>
  <c r="Z22" i="30" s="1"/>
  <c r="DY80" i="27"/>
  <c r="DY32" i="27"/>
  <c r="DV32" i="27" s="1"/>
  <c r="DY25" i="27"/>
  <c r="DV25" i="27" s="1"/>
  <c r="Z23" i="12" s="1"/>
  <c r="DY132" i="27"/>
  <c r="DV132" i="27" s="1"/>
  <c r="Z130" i="30" s="1"/>
  <c r="DY103" i="27"/>
  <c r="DV103" i="27" s="1"/>
  <c r="Z101" i="30" s="1"/>
  <c r="DY83" i="27"/>
  <c r="DV83" i="27" s="1"/>
  <c r="DY131" i="27"/>
  <c r="DY101" i="27"/>
  <c r="EA101" i="27" s="1"/>
  <c r="ED101" i="27" s="1"/>
  <c r="DY104" i="27"/>
  <c r="DY97" i="27"/>
  <c r="DY71" i="27"/>
  <c r="DV71" i="27" s="1"/>
  <c r="DY20" i="27"/>
  <c r="DV20" i="27" s="1"/>
  <c r="Z18" i="30" s="1"/>
  <c r="DY60" i="27"/>
  <c r="DV60" i="27" s="1"/>
  <c r="Z58" i="30" s="1"/>
  <c r="DY67" i="27"/>
  <c r="EA67" i="27" s="1"/>
  <c r="DY62" i="27"/>
  <c r="DV62" i="27" s="1"/>
  <c r="DY110" i="27"/>
  <c r="DV110" i="27" s="1"/>
  <c r="Z108" i="30" s="1"/>
  <c r="DY35" i="27"/>
  <c r="DV35" i="27" s="1"/>
  <c r="Z33" i="30" s="1"/>
  <c r="DY22" i="27"/>
  <c r="DV22" i="27" s="1"/>
  <c r="Z20" i="12" s="1"/>
  <c r="DY64" i="27"/>
  <c r="DV64" i="27" s="1"/>
  <c r="DY136" i="27"/>
  <c r="DV136" i="27" s="1"/>
  <c r="Z134" i="12" s="1"/>
  <c r="DY77" i="27"/>
  <c r="DV77" i="27" s="1"/>
  <c r="Z75" i="12" s="1"/>
  <c r="DY58" i="27"/>
  <c r="DV58" i="27" s="1"/>
  <c r="Z56" i="12" s="1"/>
  <c r="DY61" i="27"/>
  <c r="EA61" i="27" s="1"/>
  <c r="EC61" i="27" s="1"/>
  <c r="DY68" i="27"/>
  <c r="DV68" i="27" s="1"/>
  <c r="DY133" i="27"/>
  <c r="DV133" i="27" s="1"/>
  <c r="Z131" i="12" s="1"/>
  <c r="DY118" i="27"/>
  <c r="DV118" i="27" s="1"/>
  <c r="DY52" i="27"/>
  <c r="DY96" i="27"/>
  <c r="EA96" i="27" s="1"/>
  <c r="ED96" i="27" s="1"/>
  <c r="DY8" i="27"/>
  <c r="DY16" i="27"/>
  <c r="DV16" i="27" s="1"/>
  <c r="Z14" i="30" s="1"/>
  <c r="DY130" i="27"/>
  <c r="DV130" i="27" s="1"/>
  <c r="EA17" i="27"/>
  <c r="DY14" i="27"/>
  <c r="DV14" i="27" s="1"/>
  <c r="Z12" i="30" s="1"/>
  <c r="Z75" i="30" l="1"/>
  <c r="Z19" i="30"/>
  <c r="Z71" i="30"/>
  <c r="Z98" i="30"/>
  <c r="Z119" i="30"/>
  <c r="Z22" i="12"/>
  <c r="Z77" i="12"/>
  <c r="Z63" i="12"/>
  <c r="Z100" i="30"/>
  <c r="Z114" i="30"/>
  <c r="Z39" i="30"/>
  <c r="Z30" i="12"/>
  <c r="Z117" i="30"/>
  <c r="Z73" i="12"/>
  <c r="Z130" i="12"/>
  <c r="Z120" i="30"/>
  <c r="Z18" i="12"/>
  <c r="Z70" i="30"/>
  <c r="Z125" i="30"/>
  <c r="Z103" i="30"/>
  <c r="Z31" i="12"/>
  <c r="Z24" i="30"/>
  <c r="Z37" i="12"/>
  <c r="Z4" i="12"/>
  <c r="Z128" i="30"/>
  <c r="Z84" i="30"/>
  <c r="Z88" i="12"/>
  <c r="Z106" i="12"/>
  <c r="Z83" i="30"/>
  <c r="Z133" i="30"/>
  <c r="Z131" i="30"/>
  <c r="Z38" i="12"/>
  <c r="Z85" i="12"/>
  <c r="Z55" i="12"/>
  <c r="Z45" i="12"/>
  <c r="Z36" i="12"/>
  <c r="Z26" i="30"/>
  <c r="Z101" i="12"/>
  <c r="Z104" i="30"/>
  <c r="Z108" i="12"/>
  <c r="Z7" i="12"/>
  <c r="Z96" i="12"/>
  <c r="Z54" i="12"/>
  <c r="Z21" i="30"/>
  <c r="Z60" i="12"/>
  <c r="Z34" i="30"/>
  <c r="EA57" i="27"/>
  <c r="EC57" i="27" s="1"/>
  <c r="Z92" i="12"/>
  <c r="Z82" i="12"/>
  <c r="Z126" i="12"/>
  <c r="Z74" i="12"/>
  <c r="Z25" i="30"/>
  <c r="Z111" i="12"/>
  <c r="Z56" i="30"/>
  <c r="Z28" i="12"/>
  <c r="Z89" i="30"/>
  <c r="Z122" i="30"/>
  <c r="Z12" i="12"/>
  <c r="Z132" i="12"/>
  <c r="Z35" i="12"/>
  <c r="Z69" i="30"/>
  <c r="Z73" i="30"/>
  <c r="Z105" i="30"/>
  <c r="Z21" i="12"/>
  <c r="Z135" i="12"/>
  <c r="Z119" i="12"/>
  <c r="Z110" i="12"/>
  <c r="Z60" i="30"/>
  <c r="Z62" i="12"/>
  <c r="Z124" i="30"/>
  <c r="Z49" i="30"/>
  <c r="Z20" i="30"/>
  <c r="Z76" i="12"/>
  <c r="Z64" i="12"/>
  <c r="Z91" i="12"/>
  <c r="Z41" i="12"/>
  <c r="Z47" i="30"/>
  <c r="Z13" i="30"/>
  <c r="Z10" i="12"/>
  <c r="Z112" i="30"/>
  <c r="Z135" i="30"/>
  <c r="Z110" i="30"/>
  <c r="Z115" i="30"/>
  <c r="Z112" i="12"/>
  <c r="Z39" i="12"/>
  <c r="Z5" i="30"/>
  <c r="Z33" i="12"/>
  <c r="Z123" i="12"/>
  <c r="Z46" i="30"/>
  <c r="Z23" i="30"/>
  <c r="Z16" i="30"/>
  <c r="Z8" i="30"/>
  <c r="Z116" i="30"/>
  <c r="Z87" i="12"/>
  <c r="Z67" i="30"/>
  <c r="Z121" i="30"/>
  <c r="Z40" i="12"/>
  <c r="Z138" i="30"/>
  <c r="Z66" i="30"/>
  <c r="Z14" i="12"/>
  <c r="Z127" i="30"/>
  <c r="Z81" i="30"/>
  <c r="Z86" i="12"/>
  <c r="Z137" i="12"/>
  <c r="Z48" i="30"/>
  <c r="Z29" i="30"/>
  <c r="Z58" i="12"/>
  <c r="Z27" i="12"/>
  <c r="Z134" i="30"/>
  <c r="Z17" i="30"/>
  <c r="Z100" i="12"/>
  <c r="Z34" i="12"/>
  <c r="Z136" i="12"/>
  <c r="Z30" i="30"/>
  <c r="Z128" i="12"/>
  <c r="Z26" i="12"/>
  <c r="Z69" i="12"/>
  <c r="Z62" i="30"/>
  <c r="Z136" i="30"/>
  <c r="Z82" i="30"/>
  <c r="Z74" i="30"/>
  <c r="Z89" i="12"/>
  <c r="Z5" i="12"/>
  <c r="Z16" i="12"/>
  <c r="Z8" i="12"/>
  <c r="Z116" i="12"/>
  <c r="Z66" i="12"/>
  <c r="Z81" i="12"/>
  <c r="Z86" i="30"/>
  <c r="Z137" i="30"/>
  <c r="Z29" i="12"/>
  <c r="Z17" i="12"/>
  <c r="Z64" i="30"/>
  <c r="Z47" i="12"/>
  <c r="EA84" i="27"/>
  <c r="EC84" i="27" s="1"/>
  <c r="EA93" i="27"/>
  <c r="EC93" i="27" s="1"/>
  <c r="EA30" i="27"/>
  <c r="ED30" i="27" s="1"/>
  <c r="EA76" i="27"/>
  <c r="ED76" i="27" s="1"/>
  <c r="EA50" i="27"/>
  <c r="EC50" i="27" s="1"/>
  <c r="EA94" i="27"/>
  <c r="EC94" i="27" s="1"/>
  <c r="EA40" i="27"/>
  <c r="EC40" i="27" s="1"/>
  <c r="EA124" i="27"/>
  <c r="EC124" i="27" s="1"/>
  <c r="EA129" i="27"/>
  <c r="ED129" i="27" s="1"/>
  <c r="DV34" i="27"/>
  <c r="EA34" i="27"/>
  <c r="ED34" i="27" s="1"/>
  <c r="EA86" i="27"/>
  <c r="EC86" i="27" s="1"/>
  <c r="EA105" i="27"/>
  <c r="ED105" i="27" s="1"/>
  <c r="EA128" i="27"/>
  <c r="EC128" i="27" s="1"/>
  <c r="EA75" i="27"/>
  <c r="ED75" i="27" s="1"/>
  <c r="EA134" i="27"/>
  <c r="EC134" i="27" s="1"/>
  <c r="EA89" i="27"/>
  <c r="EC89" i="27" s="1"/>
  <c r="EA88" i="27"/>
  <c r="ED88" i="27" s="1"/>
  <c r="EA69" i="27"/>
  <c r="ED69" i="27" s="1"/>
  <c r="EA33" i="27"/>
  <c r="ED33" i="27" s="1"/>
  <c r="EA27" i="27"/>
  <c r="EC27" i="27" s="1"/>
  <c r="EA110" i="27"/>
  <c r="EC110" i="27" s="1"/>
  <c r="EA9" i="27"/>
  <c r="EC9" i="27" s="1"/>
  <c r="EA123" i="27"/>
  <c r="EC123" i="27" s="1"/>
  <c r="EA12" i="27"/>
  <c r="ED12" i="27" s="1"/>
  <c r="EA117" i="27"/>
  <c r="EC117" i="27" s="1"/>
  <c r="EA47" i="27"/>
  <c r="EC47" i="27" s="1"/>
  <c r="EA18" i="27"/>
  <c r="ED18" i="27" s="1"/>
  <c r="EA107" i="27"/>
  <c r="EC107" i="27" s="1"/>
  <c r="EA112" i="27"/>
  <c r="ED112" i="27" s="1"/>
  <c r="EA137" i="27"/>
  <c r="EC137" i="27" s="1"/>
  <c r="EA85" i="27"/>
  <c r="EC85" i="27" s="1"/>
  <c r="EA32" i="27"/>
  <c r="EC32" i="27" s="1"/>
  <c r="EA119" i="27"/>
  <c r="ED119" i="27" s="1"/>
  <c r="EA125" i="27"/>
  <c r="ED125" i="27" s="1"/>
  <c r="EA100" i="27"/>
  <c r="ED100" i="27" s="1"/>
  <c r="EA31" i="27"/>
  <c r="ED31" i="27" s="1"/>
  <c r="EA51" i="27"/>
  <c r="EA139" i="27"/>
  <c r="ED139" i="27" s="1"/>
  <c r="EA19" i="27"/>
  <c r="ED19" i="27" s="1"/>
  <c r="EA42" i="27"/>
  <c r="EC42" i="27" s="1"/>
  <c r="EA65" i="27"/>
  <c r="EC65" i="27" s="1"/>
  <c r="EA140" i="27"/>
  <c r="EC140" i="27" s="1"/>
  <c r="EA98" i="27"/>
  <c r="EE98" i="27" s="1"/>
  <c r="EA79" i="27"/>
  <c r="ED79" i="27" s="1"/>
  <c r="EA21" i="27"/>
  <c r="ED21" i="27" s="1"/>
  <c r="EA126" i="27"/>
  <c r="EE126" i="27" s="1"/>
  <c r="EA24" i="27"/>
  <c r="ED24" i="27" s="1"/>
  <c r="EA73" i="27"/>
  <c r="ED73" i="27" s="1"/>
  <c r="EA28" i="27"/>
  <c r="EA114" i="27"/>
  <c r="ED114" i="27" s="1"/>
  <c r="EC101" i="27"/>
  <c r="EA122" i="27"/>
  <c r="EC122" i="27" s="1"/>
  <c r="EA108" i="27"/>
  <c r="EC108" i="27" s="1"/>
  <c r="EA36" i="27"/>
  <c r="ED36" i="27" s="1"/>
  <c r="EA43" i="27"/>
  <c r="ED43" i="27" s="1"/>
  <c r="EA66" i="27"/>
  <c r="EE66" i="27" s="1"/>
  <c r="EA23" i="27"/>
  <c r="ED23" i="27" s="1"/>
  <c r="EA113" i="27"/>
  <c r="EC113" i="27" s="1"/>
  <c r="EA56" i="27"/>
  <c r="ED56" i="27" s="1"/>
  <c r="EA132" i="27"/>
  <c r="EC132" i="27" s="1"/>
  <c r="EA121" i="27"/>
  <c r="EC121" i="27" s="1"/>
  <c r="EA102" i="27"/>
  <c r="EC102" i="27" s="1"/>
  <c r="EA106" i="27"/>
  <c r="EE106" i="27" s="1"/>
  <c r="EA26" i="27"/>
  <c r="ED26" i="27" s="1"/>
  <c r="EC96" i="27"/>
  <c r="EA46" i="27"/>
  <c r="EE46" i="27" s="1"/>
  <c r="EA39" i="27"/>
  <c r="ED39" i="27" s="1"/>
  <c r="EA138" i="27"/>
  <c r="EC138" i="27" s="1"/>
  <c r="EA29" i="27"/>
  <c r="EE29" i="27" s="1"/>
  <c r="EA127" i="27"/>
  <c r="EE127" i="27" s="1"/>
  <c r="EA10" i="27"/>
  <c r="ED10" i="27" s="1"/>
  <c r="EA135" i="27"/>
  <c r="ED135" i="27" s="1"/>
  <c r="EA41" i="27"/>
  <c r="EC41" i="27" s="1"/>
  <c r="EA136" i="27"/>
  <c r="EC136" i="27" s="1"/>
  <c r="EA116" i="27"/>
  <c r="EE116" i="27" s="1"/>
  <c r="EA20" i="27"/>
  <c r="ED20" i="27" s="1"/>
  <c r="EA37" i="27"/>
  <c r="ED37" i="27" s="1"/>
  <c r="ED53" i="27"/>
  <c r="EC53" i="27"/>
  <c r="EA15" i="27"/>
  <c r="EC15" i="27" s="1"/>
  <c r="EA78" i="27"/>
  <c r="EC78" i="27" s="1"/>
  <c r="EA95" i="27"/>
  <c r="ED95" i="27" s="1"/>
  <c r="EA118" i="27"/>
  <c r="ED118" i="27" s="1"/>
  <c r="EA87" i="27"/>
  <c r="EC87" i="27" s="1"/>
  <c r="EA48" i="27"/>
  <c r="EC48" i="27" s="1"/>
  <c r="EA38" i="27"/>
  <c r="EE38" i="27" s="1"/>
  <c r="EA62" i="27"/>
  <c r="EC62" i="27" s="1"/>
  <c r="EA13" i="27"/>
  <c r="EC13" i="27" s="1"/>
  <c r="EA6" i="27"/>
  <c r="EC6" i="27" s="1"/>
  <c r="EA133" i="27"/>
  <c r="ED133" i="27" s="1"/>
  <c r="EA83" i="27"/>
  <c r="ED83" i="27" s="1"/>
  <c r="EA22" i="27"/>
  <c r="EE22" i="27" s="1"/>
  <c r="EA91" i="27"/>
  <c r="ED91" i="27" s="1"/>
  <c r="EA71" i="27"/>
  <c r="EC71" i="27" s="1"/>
  <c r="EA7" i="27"/>
  <c r="EE7" i="27" s="1"/>
  <c r="EA25" i="27"/>
  <c r="EA64" i="27"/>
  <c r="EA90" i="27"/>
  <c r="EC90" i="27" s="1"/>
  <c r="EA131" i="27"/>
  <c r="ED131" i="27" s="1"/>
  <c r="EE40" i="27"/>
  <c r="EA72" i="27"/>
  <c r="EC72" i="27" s="1"/>
  <c r="EA68" i="27"/>
  <c r="EC68" i="27" s="1"/>
  <c r="EA80" i="27"/>
  <c r="ED80" i="27" s="1"/>
  <c r="EA97" i="27"/>
  <c r="ED97" i="27" s="1"/>
  <c r="EA58" i="27"/>
  <c r="ED58" i="27" s="1"/>
  <c r="EA103" i="27"/>
  <c r="EC103" i="27" s="1"/>
  <c r="EA77" i="27"/>
  <c r="EE77" i="27" s="1"/>
  <c r="EA35" i="27"/>
  <c r="ED35" i="27" s="1"/>
  <c r="EA104" i="27"/>
  <c r="EC104" i="27" s="1"/>
  <c r="EA60" i="27"/>
  <c r="ED60" i="27" s="1"/>
  <c r="EA49" i="27"/>
  <c r="EC49" i="27" s="1"/>
  <c r="EA52" i="27"/>
  <c r="ED52" i="27" s="1"/>
  <c r="ED61" i="27"/>
  <c r="ED63" i="27"/>
  <c r="EC63" i="27"/>
  <c r="EE63" i="27"/>
  <c r="ED120" i="27"/>
  <c r="EC120" i="27"/>
  <c r="EE120" i="27"/>
  <c r="EC82" i="27"/>
  <c r="ED82" i="27"/>
  <c r="EC92" i="27"/>
  <c r="ED92" i="27"/>
  <c r="ED111" i="27"/>
  <c r="EC111" i="27"/>
  <c r="ED99" i="27"/>
  <c r="EC99" i="27"/>
  <c r="EE69" i="27"/>
  <c r="EA130" i="27"/>
  <c r="EE138" i="27"/>
  <c r="EC115" i="27"/>
  <c r="ED115" i="27"/>
  <c r="EE30" i="27"/>
  <c r="ED44" i="27"/>
  <c r="EC44" i="27"/>
  <c r="ED67" i="27"/>
  <c r="EC67" i="27"/>
  <c r="EE67" i="27"/>
  <c r="ED74" i="27"/>
  <c r="EC74" i="27"/>
  <c r="EE122" i="27"/>
  <c r="EC59" i="27"/>
  <c r="ED59" i="27"/>
  <c r="EE32" i="27"/>
  <c r="EA16" i="27"/>
  <c r="EA8" i="27"/>
  <c r="EC70" i="27"/>
  <c r="ED70" i="27"/>
  <c r="EE70" i="27"/>
  <c r="EE39" i="27"/>
  <c r="EE42" i="27"/>
  <c r="ED17" i="27"/>
  <c r="EC17" i="27"/>
  <c r="EC54" i="27"/>
  <c r="ED54" i="27"/>
  <c r="EE10" i="27"/>
  <c r="EE9" i="27"/>
  <c r="EE84" i="27"/>
  <c r="EE85" i="27"/>
  <c r="EA14" i="27"/>
  <c r="EE105" i="27"/>
  <c r="ED55" i="27"/>
  <c r="EC55" i="27"/>
  <c r="EC109" i="27"/>
  <c r="ED109" i="27"/>
  <c r="EE109" i="27"/>
  <c r="ED81" i="27"/>
  <c r="EC81" i="27"/>
  <c r="EC45" i="27"/>
  <c r="ED45" i="27"/>
  <c r="ED11" i="27"/>
  <c r="EC11" i="27"/>
  <c r="EE11" i="27"/>
  <c r="ED50" i="27" l="1"/>
  <c r="EC129" i="27"/>
  <c r="EF129" i="27" s="1"/>
  <c r="ED93" i="27"/>
  <c r="EF93" i="27" s="1"/>
  <c r="ED57" i="27"/>
  <c r="EF57" i="27" s="1"/>
  <c r="EC30" i="27"/>
  <c r="EF30" i="27" s="1"/>
  <c r="ED94" i="27"/>
  <c r="EF94" i="27" s="1"/>
  <c r="ED86" i="27"/>
  <c r="EF86" i="27" s="1"/>
  <c r="ED84" i="27"/>
  <c r="EF84" i="27" s="1"/>
  <c r="Z32" i="30"/>
  <c r="Z32" i="12"/>
  <c r="ED126" i="27"/>
  <c r="EC76" i="27"/>
  <c r="EF76" i="27" s="1"/>
  <c r="ED27" i="27"/>
  <c r="ED124" i="27"/>
  <c r="EF124" i="27" s="1"/>
  <c r="ED110" i="27"/>
  <c r="EF110" i="27" s="1"/>
  <c r="ED40" i="27"/>
  <c r="EF40" i="27" s="1"/>
  <c r="ED42" i="27"/>
  <c r="ED9" i="27"/>
  <c r="EF9" i="27" s="1"/>
  <c r="EC69" i="27"/>
  <c r="EF69" i="27" s="1"/>
  <c r="EC34" i="27"/>
  <c r="EF34" i="27" s="1"/>
  <c r="EC88" i="27"/>
  <c r="EF88" i="27" s="1"/>
  <c r="ED128" i="27"/>
  <c r="EF128" i="27" s="1"/>
  <c r="EC105" i="27"/>
  <c r="EF105" i="27" s="1"/>
  <c r="ED121" i="27"/>
  <c r="EF121" i="27" s="1"/>
  <c r="ED123" i="27"/>
  <c r="EF123" i="27" s="1"/>
  <c r="ED138" i="27"/>
  <c r="EF138" i="27" s="1"/>
  <c r="EC112" i="27"/>
  <c r="EF112" i="27" s="1"/>
  <c r="EC119" i="27"/>
  <c r="EF119" i="27" s="1"/>
  <c r="ED134" i="27"/>
  <c r="EF134" i="27" s="1"/>
  <c r="ED32" i="27"/>
  <c r="EF32" i="27" s="1"/>
  <c r="EC33" i="27"/>
  <c r="EF33" i="27" s="1"/>
  <c r="ED107" i="27"/>
  <c r="EF107" i="27" s="1"/>
  <c r="ED85" i="27"/>
  <c r="EF85" i="27" s="1"/>
  <c r="EC98" i="27"/>
  <c r="EC100" i="27"/>
  <c r="EF100" i="27" s="1"/>
  <c r="EC83" i="27"/>
  <c r="EF83" i="27" s="1"/>
  <c r="EC75" i="27"/>
  <c r="EF75" i="27" s="1"/>
  <c r="ED68" i="27"/>
  <c r="ED89" i="27"/>
  <c r="EF89" i="27" s="1"/>
  <c r="EC43" i="27"/>
  <c r="ED117" i="27"/>
  <c r="EF117" i="27" s="1"/>
  <c r="ED65" i="27"/>
  <c r="EF65" i="27" s="1"/>
  <c r="ED116" i="27"/>
  <c r="EC12" i="27"/>
  <c r="EF12" i="27" s="1"/>
  <c r="EC10" i="27"/>
  <c r="EF10" i="27" s="1"/>
  <c r="EC31" i="27"/>
  <c r="EF31" i="27" s="1"/>
  <c r="EC116" i="27"/>
  <c r="ED66" i="27"/>
  <c r="ED47" i="27"/>
  <c r="EF47" i="27" s="1"/>
  <c r="EC125" i="27"/>
  <c r="EF125" i="27" s="1"/>
  <c r="ED15" i="27"/>
  <c r="EF15" i="27" s="1"/>
  <c r="EC114" i="27"/>
  <c r="EF114" i="27" s="1"/>
  <c r="EC73" i="27"/>
  <c r="EF73" i="27" s="1"/>
  <c r="ED102" i="27"/>
  <c r="EF102" i="27" s="1"/>
  <c r="EC19" i="27"/>
  <c r="EF19" i="27" s="1"/>
  <c r="EC20" i="27"/>
  <c r="EF20" i="27" s="1"/>
  <c r="EC127" i="27"/>
  <c r="EC79" i="27"/>
  <c r="EF79" i="27" s="1"/>
  <c r="ED7" i="27"/>
  <c r="ED13" i="27"/>
  <c r="EF13" i="27" s="1"/>
  <c r="EC66" i="27"/>
  <c r="ED137" i="27"/>
  <c r="EE137" i="27"/>
  <c r="EE140" i="27"/>
  <c r="ED127" i="27"/>
  <c r="EC21" i="27"/>
  <c r="EF21" i="27" s="1"/>
  <c r="ED90" i="27"/>
  <c r="EF90" i="27" s="1"/>
  <c r="ED122" i="27"/>
  <c r="EF122" i="27" s="1"/>
  <c r="EC95" i="27"/>
  <c r="EC35" i="27"/>
  <c r="EE95" i="27"/>
  <c r="EC18" i="27"/>
  <c r="EF18" i="27" s="1"/>
  <c r="ED140" i="27"/>
  <c r="ED132" i="27"/>
  <c r="EF132" i="27" s="1"/>
  <c r="EC58" i="27"/>
  <c r="EF58" i="27" s="1"/>
  <c r="EC36" i="27"/>
  <c r="EF36" i="27" s="1"/>
  <c r="EC24" i="27"/>
  <c r="EF24" i="27" s="1"/>
  <c r="ED51" i="27"/>
  <c r="EC51" i="27"/>
  <c r="EE43" i="27"/>
  <c r="EC39" i="27"/>
  <c r="EF39" i="27" s="1"/>
  <c r="ED106" i="27"/>
  <c r="EC139" i="27"/>
  <c r="EF139" i="27" s="1"/>
  <c r="ED98" i="27"/>
  <c r="EC118" i="27"/>
  <c r="EF118" i="27" s="1"/>
  <c r="ED87" i="27"/>
  <c r="EF87" i="27" s="1"/>
  <c r="ED6" i="27"/>
  <c r="EF6" i="27" s="1"/>
  <c r="EC60" i="27"/>
  <c r="EF60" i="27" s="1"/>
  <c r="EC56" i="27"/>
  <c r="EC106" i="27"/>
  <c r="EF106" i="27" s="1"/>
  <c r="ED48" i="27"/>
  <c r="EF48" i="27" s="1"/>
  <c r="EE52" i="27"/>
  <c r="EC126" i="27"/>
  <c r="EC7" i="27"/>
  <c r="ED136" i="27"/>
  <c r="EF136" i="27" s="1"/>
  <c r="EE35" i="27"/>
  <c r="EC26" i="27"/>
  <c r="EF26" i="27" s="1"/>
  <c r="EE56" i="27"/>
  <c r="ED108" i="27"/>
  <c r="EF108" i="27" s="1"/>
  <c r="EE97" i="27"/>
  <c r="ED113" i="27"/>
  <c r="EF113" i="27" s="1"/>
  <c r="EC97" i="27"/>
  <c r="ED28" i="27"/>
  <c r="EC28" i="27"/>
  <c r="EC38" i="27"/>
  <c r="ED71" i="27"/>
  <c r="EE78" i="27"/>
  <c r="EE23" i="27"/>
  <c r="EC23" i="27"/>
  <c r="EE135" i="27"/>
  <c r="EE68" i="27"/>
  <c r="EC91" i="27"/>
  <c r="EF91" i="27" s="1"/>
  <c r="ED103" i="27"/>
  <c r="EF103" i="27" s="1"/>
  <c r="EC22" i="27"/>
  <c r="ED41" i="27"/>
  <c r="EF41" i="27" s="1"/>
  <c r="ED46" i="27"/>
  <c r="EC46" i="27"/>
  <c r="EC135" i="27"/>
  <c r="ED38" i="27"/>
  <c r="ED22" i="27"/>
  <c r="ED78" i="27"/>
  <c r="EC37" i="27"/>
  <c r="EF37" i="27" s="1"/>
  <c r="EF53" i="27"/>
  <c r="ED104" i="27"/>
  <c r="EF104" i="27" s="1"/>
  <c r="EC29" i="27"/>
  <c r="ED29" i="27"/>
  <c r="EC77" i="27"/>
  <c r="EC52" i="27"/>
  <c r="EC80" i="27"/>
  <c r="EF80" i="27" s="1"/>
  <c r="EE71" i="27"/>
  <c r="ED77" i="27"/>
  <c r="EC131" i="27"/>
  <c r="EF131" i="27" s="1"/>
  <c r="EC133" i="27"/>
  <c r="EF133" i="27" s="1"/>
  <c r="ED62" i="27"/>
  <c r="EF62" i="27" s="1"/>
  <c r="EF92" i="27"/>
  <c r="EF120" i="27"/>
  <c r="EF17" i="27"/>
  <c r="ED64" i="27"/>
  <c r="EC64" i="27"/>
  <c r="ED72" i="27"/>
  <c r="EF72" i="27" s="1"/>
  <c r="ED49" i="27"/>
  <c r="EF49" i="27" s="1"/>
  <c r="EE25" i="27"/>
  <c r="EC25" i="27"/>
  <c r="ED25" i="27"/>
  <c r="EF55" i="27"/>
  <c r="EF50" i="27"/>
  <c r="EF11" i="27"/>
  <c r="EF42" i="27"/>
  <c r="EF27" i="27"/>
  <c r="EF63" i="27"/>
  <c r="EF82" i="27"/>
  <c r="ED16" i="27"/>
  <c r="EC16" i="27"/>
  <c r="ED8" i="27"/>
  <c r="EC8" i="27"/>
  <c r="EE8" i="27"/>
  <c r="EC14" i="27"/>
  <c r="ED14" i="27"/>
  <c r="ED130" i="27"/>
  <c r="EC130" i="27"/>
  <c r="EE130" i="27"/>
  <c r="T61" i="30" l="1"/>
  <c r="T61" i="12"/>
  <c r="T60" i="12"/>
  <c r="T60" i="30"/>
  <c r="T130" i="12"/>
  <c r="T130" i="30"/>
  <c r="T77" i="30"/>
  <c r="T77" i="12"/>
  <c r="T29" i="30"/>
  <c r="T29" i="12"/>
  <c r="T126" i="12"/>
  <c r="T126" i="30"/>
  <c r="T122" i="12"/>
  <c r="T122" i="30"/>
  <c r="T127" i="30"/>
  <c r="T127" i="12"/>
  <c r="T70" i="12"/>
  <c r="T70" i="30"/>
  <c r="T129" i="30"/>
  <c r="T129" i="12"/>
  <c r="T102" i="12"/>
  <c r="T102" i="30"/>
  <c r="T89" i="30"/>
  <c r="T89" i="12"/>
  <c r="T58" i="12"/>
  <c r="T58" i="30"/>
  <c r="T34" i="12"/>
  <c r="T34" i="30"/>
  <c r="T16" i="12"/>
  <c r="T16" i="30"/>
  <c r="T120" i="12"/>
  <c r="T120" i="30"/>
  <c r="T11" i="12"/>
  <c r="T11" i="30"/>
  <c r="T18" i="12"/>
  <c r="T18" i="30"/>
  <c r="T112" i="12"/>
  <c r="T112" i="30"/>
  <c r="T10" i="12"/>
  <c r="T10" i="30"/>
  <c r="T81" i="30"/>
  <c r="T81" i="12"/>
  <c r="T105" i="30"/>
  <c r="T105" i="12"/>
  <c r="T117" i="30"/>
  <c r="T117" i="12"/>
  <c r="T119" i="30"/>
  <c r="T119" i="12"/>
  <c r="T32" i="12"/>
  <c r="T32" i="30"/>
  <c r="T38" i="12"/>
  <c r="T38" i="30"/>
  <c r="T74" i="12"/>
  <c r="T74" i="30"/>
  <c r="T82" i="12"/>
  <c r="T82" i="30"/>
  <c r="T55" i="30"/>
  <c r="T55" i="12"/>
  <c r="T35" i="12"/>
  <c r="T35" i="30"/>
  <c r="T104" i="12"/>
  <c r="T104" i="30"/>
  <c r="T19" i="30"/>
  <c r="T19" i="12"/>
  <c r="T100" i="12"/>
  <c r="T100" i="30"/>
  <c r="T63" i="30"/>
  <c r="T63" i="12"/>
  <c r="T136" i="12"/>
  <c r="T136" i="30"/>
  <c r="T92" i="12"/>
  <c r="T92" i="30"/>
  <c r="T53" i="30"/>
  <c r="T53" i="12"/>
  <c r="T40" i="12"/>
  <c r="T40" i="30"/>
  <c r="T118" i="12"/>
  <c r="T118" i="30"/>
  <c r="T80" i="12"/>
  <c r="T80" i="30"/>
  <c r="T9" i="30"/>
  <c r="T9" i="12"/>
  <c r="T90" i="12"/>
  <c r="T90" i="30"/>
  <c r="T51" i="12"/>
  <c r="T51" i="30"/>
  <c r="T39" i="30"/>
  <c r="T39" i="12"/>
  <c r="T106" i="12"/>
  <c r="T106" i="30"/>
  <c r="T134" i="12"/>
  <c r="T134" i="30"/>
  <c r="T46" i="12"/>
  <c r="T46" i="30"/>
  <c r="T4" i="12"/>
  <c r="T4" i="30"/>
  <c r="T137" i="30"/>
  <c r="T137" i="12"/>
  <c r="T56" i="12"/>
  <c r="T56" i="30"/>
  <c r="T88" i="12"/>
  <c r="T88" i="30"/>
  <c r="T17" i="30"/>
  <c r="T17" i="12"/>
  <c r="T13" i="30"/>
  <c r="T13" i="12"/>
  <c r="T87" i="30"/>
  <c r="T87" i="12"/>
  <c r="T98" i="12"/>
  <c r="T98" i="30"/>
  <c r="T31" i="30"/>
  <c r="T31" i="12"/>
  <c r="T110" i="12"/>
  <c r="T110" i="30"/>
  <c r="T103" i="30"/>
  <c r="T103" i="12"/>
  <c r="T67" i="30"/>
  <c r="T67" i="12"/>
  <c r="T108" i="12"/>
  <c r="T108" i="30"/>
  <c r="T84" i="12"/>
  <c r="T84" i="30"/>
  <c r="T91" i="30"/>
  <c r="T91" i="12"/>
  <c r="T48" i="12"/>
  <c r="T48" i="30"/>
  <c r="T85" i="30"/>
  <c r="T85" i="12"/>
  <c r="T123" i="30"/>
  <c r="T123" i="12"/>
  <c r="T30" i="12"/>
  <c r="T30" i="30"/>
  <c r="T7" i="30"/>
  <c r="T7" i="12"/>
  <c r="T25" i="30"/>
  <c r="T25" i="12"/>
  <c r="T47" i="30"/>
  <c r="T47" i="12"/>
  <c r="T15" i="30"/>
  <c r="T15" i="12"/>
  <c r="T131" i="30"/>
  <c r="T131" i="12"/>
  <c r="T78" i="12"/>
  <c r="T78" i="30"/>
  <c r="T101" i="30"/>
  <c r="T101" i="12"/>
  <c r="T111" i="30"/>
  <c r="T111" i="12"/>
  <c r="T24" i="12"/>
  <c r="T24" i="30"/>
  <c r="T116" i="12"/>
  <c r="T116" i="30"/>
  <c r="T37" i="30"/>
  <c r="T37" i="12"/>
  <c r="T22" i="12"/>
  <c r="T22" i="30"/>
  <c r="T71" i="30"/>
  <c r="T71" i="12"/>
  <c r="T45" i="30"/>
  <c r="T45" i="12"/>
  <c r="T8" i="12"/>
  <c r="T8" i="30"/>
  <c r="T115" i="30"/>
  <c r="T115" i="12"/>
  <c r="T73" i="30"/>
  <c r="T73" i="12"/>
  <c r="T83" i="30"/>
  <c r="T83" i="12"/>
  <c r="T132" i="12"/>
  <c r="T132" i="30"/>
  <c r="T121" i="30"/>
  <c r="T121" i="12"/>
  <c r="T86" i="12"/>
  <c r="T86" i="30"/>
  <c r="T28" i="12"/>
  <c r="T28" i="30"/>
  <c r="EF116" i="27"/>
  <c r="EF7" i="27"/>
  <c r="EF43" i="27"/>
  <c r="EF126" i="27"/>
  <c r="EF68" i="27"/>
  <c r="EF98" i="27"/>
  <c r="EF66" i="27"/>
  <c r="EF135" i="27"/>
  <c r="EF140" i="27"/>
  <c r="EF127" i="27"/>
  <c r="EF95" i="27"/>
  <c r="EF38" i="27"/>
  <c r="EF137" i="27"/>
  <c r="EF77" i="27"/>
  <c r="EF35" i="27"/>
  <c r="EF56" i="27"/>
  <c r="EF51" i="27"/>
  <c r="EF52" i="27"/>
  <c r="EF71" i="27"/>
  <c r="EF97" i="27"/>
  <c r="EF23" i="27"/>
  <c r="EF28" i="27"/>
  <c r="EF46" i="27"/>
  <c r="EF22" i="27"/>
  <c r="EF78" i="27"/>
  <c r="EF29" i="27"/>
  <c r="EF25" i="27"/>
  <c r="EF14" i="27"/>
  <c r="EF64" i="27"/>
  <c r="EF16" i="27"/>
  <c r="EF130" i="27"/>
  <c r="T14" i="12" l="1"/>
  <c r="T14" i="30"/>
  <c r="T75" i="30"/>
  <c r="T75" i="12"/>
  <c r="T5" i="30"/>
  <c r="T5" i="12"/>
  <c r="T49" i="30"/>
  <c r="T49" i="12"/>
  <c r="T54" i="12"/>
  <c r="T54" i="30"/>
  <c r="T27" i="30"/>
  <c r="T27" i="12"/>
  <c r="T50" i="12"/>
  <c r="T50" i="30"/>
  <c r="T125" i="30"/>
  <c r="T125" i="12"/>
  <c r="T96" i="12"/>
  <c r="T96" i="30"/>
  <c r="T62" i="12"/>
  <c r="T62" i="30"/>
  <c r="T76" i="12"/>
  <c r="T76" i="30"/>
  <c r="T135" i="30"/>
  <c r="T135" i="12"/>
  <c r="T66" i="12"/>
  <c r="T66" i="30"/>
  <c r="T12" i="12"/>
  <c r="T12" i="30"/>
  <c r="T20" i="12"/>
  <c r="T20" i="30"/>
  <c r="T95" i="30"/>
  <c r="T95" i="12"/>
  <c r="T36" i="12"/>
  <c r="T36" i="30"/>
  <c r="T133" i="30"/>
  <c r="T133" i="12"/>
  <c r="T124" i="12"/>
  <c r="T124" i="30"/>
  <c r="T128" i="12"/>
  <c r="T128" i="30"/>
  <c r="T23" i="12"/>
  <c r="T23" i="30"/>
  <c r="T44" i="12"/>
  <c r="T44" i="30"/>
  <c r="T69" i="30"/>
  <c r="T69" i="12"/>
  <c r="T33" i="30"/>
  <c r="T33" i="12"/>
  <c r="T93" i="30"/>
  <c r="T93" i="12"/>
  <c r="T64" i="12"/>
  <c r="T64" i="30"/>
  <c r="T41" i="30"/>
  <c r="T41" i="12"/>
  <c r="T26" i="12"/>
  <c r="T26" i="30"/>
  <c r="T21" i="30"/>
  <c r="T21" i="12"/>
  <c r="T138" i="30"/>
  <c r="T138" i="12"/>
  <c r="T114" i="12"/>
  <c r="T114" i="30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5" i="1"/>
  <c r="K136" i="1"/>
  <c r="K137" i="1"/>
  <c r="K138" i="1"/>
  <c r="K139" i="1"/>
  <c r="K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5" i="1"/>
  <c r="J136" i="1"/>
  <c r="J137" i="1"/>
  <c r="J138" i="1"/>
  <c r="J5" i="1"/>
  <c r="G139" i="1" l="1"/>
  <c r="C139" i="1"/>
  <c r="C4" i="13" l="1"/>
  <c r="D4" i="13"/>
  <c r="D83" i="23" l="1"/>
  <c r="D105" i="23"/>
  <c r="G110" i="23"/>
  <c r="G116" i="23"/>
  <c r="G118" i="23"/>
  <c r="O122" i="23"/>
  <c r="D122" i="23" l="1"/>
  <c r="M122" i="23"/>
  <c r="D117" i="23"/>
  <c r="D118" i="23"/>
  <c r="Q111" i="23"/>
  <c r="M111" i="23"/>
  <c r="G111" i="23"/>
  <c r="O111" i="23"/>
  <c r="D111" i="23"/>
  <c r="Q122" i="23"/>
  <c r="Q118" i="23"/>
  <c r="O118" i="23"/>
  <c r="O110" i="23"/>
  <c r="Q110" i="23"/>
  <c r="M110" i="23"/>
  <c r="D116" i="23"/>
  <c r="D110" i="23"/>
  <c r="M118" i="23"/>
  <c r="O117" i="23"/>
  <c r="O116" i="23"/>
  <c r="M116" i="23"/>
  <c r="Q116" i="23"/>
  <c r="Q83" i="23"/>
  <c r="O83" i="23"/>
  <c r="M83" i="23"/>
  <c r="G83" i="23"/>
  <c r="Q115" i="23"/>
  <c r="O115" i="23"/>
  <c r="M115" i="23"/>
  <c r="G115" i="23"/>
  <c r="D115" i="23"/>
  <c r="Q117" i="23"/>
  <c r="M117" i="23"/>
  <c r="G117" i="23"/>
  <c r="Q105" i="23"/>
  <c r="O105" i="23"/>
  <c r="M105" i="23"/>
  <c r="G105" i="23"/>
  <c r="G122" i="23"/>
  <c r="A6" i="20" l="1"/>
  <c r="E4" i="13"/>
  <c r="F4" i="13"/>
  <c r="G4" i="13"/>
  <c r="H4" i="13"/>
  <c r="I4" i="13"/>
  <c r="J4" i="13"/>
  <c r="K4" i="13"/>
  <c r="L4" i="13"/>
  <c r="M4" i="13"/>
  <c r="N4" i="13"/>
  <c r="O4" i="13"/>
  <c r="P4" i="13"/>
  <c r="Q4" i="13"/>
  <c r="R4" i="13"/>
  <c r="S4" i="13"/>
  <c r="T4" i="13"/>
  <c r="U4" i="13"/>
  <c r="V4" i="13"/>
  <c r="W4" i="13"/>
  <c r="X4" i="13"/>
  <c r="Y4" i="13"/>
  <c r="Z4" i="13"/>
  <c r="AA4" i="13"/>
  <c r="AB4" i="13"/>
  <c r="AC4" i="13"/>
  <c r="AD4" i="13"/>
  <c r="AE4" i="13"/>
  <c r="AF4" i="13"/>
  <c r="AG4" i="13"/>
  <c r="AH4" i="13"/>
  <c r="AI4" i="13"/>
  <c r="AJ4" i="13"/>
  <c r="AK4" i="13"/>
  <c r="AL4" i="13"/>
  <c r="AM4" i="13"/>
  <c r="AN4" i="13"/>
  <c r="AO4" i="13"/>
  <c r="AP4" i="13"/>
  <c r="AQ4" i="13"/>
  <c r="AR4" i="13"/>
  <c r="AS4" i="13"/>
  <c r="AT4" i="13"/>
  <c r="AU4" i="13"/>
  <c r="AV4" i="13"/>
  <c r="AW4" i="13"/>
  <c r="AX4" i="13"/>
  <c r="D5" i="13"/>
  <c r="E5" i="13"/>
  <c r="F5" i="13"/>
  <c r="G5" i="13"/>
  <c r="H5" i="13"/>
  <c r="I5" i="13"/>
  <c r="J5" i="13"/>
  <c r="K5" i="13"/>
  <c r="L5" i="13"/>
  <c r="M5" i="13"/>
  <c r="N5" i="13"/>
  <c r="O5" i="13"/>
  <c r="P5" i="13"/>
  <c r="Q5" i="13"/>
  <c r="R5" i="13"/>
  <c r="S5" i="13"/>
  <c r="T5" i="13"/>
  <c r="U5" i="13"/>
  <c r="V5" i="13"/>
  <c r="W5" i="13"/>
  <c r="X5" i="13"/>
  <c r="Y5" i="13"/>
  <c r="Z5" i="13"/>
  <c r="AA5" i="13"/>
  <c r="AB5" i="13"/>
  <c r="AC5" i="13"/>
  <c r="AD5" i="13"/>
  <c r="AE5" i="13"/>
  <c r="AF5" i="13"/>
  <c r="AG5" i="13"/>
  <c r="AH5" i="13"/>
  <c r="AI5" i="13"/>
  <c r="AJ5" i="13"/>
  <c r="AK5" i="13"/>
  <c r="AL5" i="13"/>
  <c r="AM5" i="13"/>
  <c r="AN5" i="13"/>
  <c r="AO5" i="13"/>
  <c r="AP5" i="13"/>
  <c r="AQ5" i="13"/>
  <c r="AR5" i="13"/>
  <c r="AS5" i="13"/>
  <c r="AT5" i="13"/>
  <c r="AU5" i="13"/>
  <c r="AV5" i="13"/>
  <c r="AW5" i="13"/>
  <c r="AX5" i="13"/>
  <c r="D6" i="13"/>
  <c r="E6" i="13"/>
  <c r="D10" i="13" s="1"/>
  <c r="F6" i="13"/>
  <c r="G6" i="13"/>
  <c r="E10" i="13" s="1"/>
  <c r="H6" i="13"/>
  <c r="I6" i="13"/>
  <c r="F10" i="13" s="1"/>
  <c r="J6" i="13"/>
  <c r="K6" i="13"/>
  <c r="G10" i="13" s="1"/>
  <c r="L6" i="13"/>
  <c r="M6" i="13"/>
  <c r="H10" i="13" s="1"/>
  <c r="N6" i="13"/>
  <c r="O6" i="13"/>
  <c r="I10" i="13" s="1"/>
  <c r="P6" i="13"/>
  <c r="Q6" i="13"/>
  <c r="J10" i="13" s="1"/>
  <c r="R6" i="13"/>
  <c r="S6" i="13"/>
  <c r="K10" i="13" s="1"/>
  <c r="T6" i="13"/>
  <c r="U6" i="13"/>
  <c r="L10" i="13" s="1"/>
  <c r="V6" i="13"/>
  <c r="W6" i="13"/>
  <c r="M10" i="13" s="1"/>
  <c r="X6" i="13"/>
  <c r="Y6" i="13"/>
  <c r="N10" i="13" s="1"/>
  <c r="Z6" i="13"/>
  <c r="AA6" i="13"/>
  <c r="O10" i="13" s="1"/>
  <c r="AB6" i="13"/>
  <c r="AC6" i="13"/>
  <c r="P10" i="13" s="1"/>
  <c r="AD6" i="13"/>
  <c r="AE6" i="13"/>
  <c r="Q10" i="13" s="1"/>
  <c r="AF6" i="13"/>
  <c r="AG6" i="13"/>
  <c r="R10" i="13" s="1"/>
  <c r="AH6" i="13"/>
  <c r="AI6" i="13"/>
  <c r="S10" i="13" s="1"/>
  <c r="AJ6" i="13"/>
  <c r="AK6" i="13"/>
  <c r="T10" i="13" s="1"/>
  <c r="AL6" i="13"/>
  <c r="AM6" i="13"/>
  <c r="U10" i="13" s="1"/>
  <c r="AN6" i="13"/>
  <c r="AO6" i="13"/>
  <c r="V10" i="13" s="1"/>
  <c r="AP6" i="13"/>
  <c r="AQ6" i="13"/>
  <c r="W10" i="13" s="1"/>
  <c r="AR6" i="13"/>
  <c r="AS6" i="13"/>
  <c r="X10" i="13" s="1"/>
  <c r="AT6" i="13"/>
  <c r="AU6" i="13"/>
  <c r="Y10" i="13" s="1"/>
  <c r="AV6" i="13"/>
  <c r="AW6" i="13"/>
  <c r="Z10" i="13" s="1"/>
  <c r="AX6" i="13"/>
  <c r="D7" i="13"/>
  <c r="E7" i="13"/>
  <c r="D11" i="13" s="1"/>
  <c r="F7" i="13"/>
  <c r="G7" i="13"/>
  <c r="E11" i="13" s="1"/>
  <c r="H7" i="13"/>
  <c r="I7" i="13"/>
  <c r="F11" i="13" s="1"/>
  <c r="J7" i="13"/>
  <c r="K7" i="13"/>
  <c r="G11" i="13" s="1"/>
  <c r="L7" i="13"/>
  <c r="M7" i="13"/>
  <c r="H11" i="13" s="1"/>
  <c r="N7" i="13"/>
  <c r="O7" i="13"/>
  <c r="I11" i="13" s="1"/>
  <c r="P7" i="13"/>
  <c r="Q7" i="13"/>
  <c r="J11" i="13" s="1"/>
  <c r="R7" i="13"/>
  <c r="S7" i="13"/>
  <c r="K11" i="13" s="1"/>
  <c r="T7" i="13"/>
  <c r="U7" i="13"/>
  <c r="L11" i="13" s="1"/>
  <c r="V7" i="13"/>
  <c r="W7" i="13"/>
  <c r="M11" i="13" s="1"/>
  <c r="X7" i="13"/>
  <c r="Y7" i="13"/>
  <c r="N11" i="13" s="1"/>
  <c r="Z7" i="13"/>
  <c r="AA7" i="13"/>
  <c r="O11" i="13" s="1"/>
  <c r="AB7" i="13"/>
  <c r="AC7" i="13"/>
  <c r="P11" i="13" s="1"/>
  <c r="AD7" i="13"/>
  <c r="AE7" i="13"/>
  <c r="Q11" i="13" s="1"/>
  <c r="AF7" i="13"/>
  <c r="AG7" i="13"/>
  <c r="R11" i="13" s="1"/>
  <c r="AH7" i="13"/>
  <c r="AI7" i="13"/>
  <c r="S11" i="13" s="1"/>
  <c r="AJ7" i="13"/>
  <c r="AK7" i="13"/>
  <c r="T11" i="13" s="1"/>
  <c r="AL7" i="13"/>
  <c r="AM7" i="13"/>
  <c r="U11" i="13" s="1"/>
  <c r="AN7" i="13"/>
  <c r="AO7" i="13"/>
  <c r="V11" i="13" s="1"/>
  <c r="AP7" i="13"/>
  <c r="AQ7" i="13"/>
  <c r="W11" i="13" s="1"/>
  <c r="AR7" i="13"/>
  <c r="AS7" i="13"/>
  <c r="X11" i="13" s="1"/>
  <c r="AT7" i="13"/>
  <c r="AU7" i="13"/>
  <c r="Y11" i="13" s="1"/>
  <c r="AV7" i="13"/>
  <c r="AW7" i="13"/>
  <c r="Z11" i="13" s="1"/>
  <c r="AX7" i="13"/>
  <c r="C7" i="13"/>
  <c r="C11" i="13" s="1"/>
  <c r="C6" i="13"/>
  <c r="C10" i="13" s="1"/>
  <c r="C5" i="13"/>
  <c r="A139" i="1"/>
  <c r="G94" i="31" l="1"/>
  <c r="M94" i="31" s="1"/>
  <c r="O94" i="31" s="1"/>
  <c r="G68" i="31"/>
  <c r="M68" i="31" s="1"/>
  <c r="O68" i="31" s="1"/>
  <c r="G65" i="31"/>
  <c r="M65" i="31" s="1"/>
  <c r="O65" i="31" s="1"/>
  <c r="G109" i="31"/>
  <c r="M109" i="31" s="1"/>
  <c r="O109" i="31" s="1"/>
  <c r="G59" i="31"/>
  <c r="M59" i="31" s="1"/>
  <c r="O59" i="31" s="1"/>
  <c r="G57" i="31"/>
  <c r="M57" i="31" s="1"/>
  <c r="O57" i="31" s="1"/>
  <c r="G79" i="31"/>
  <c r="M79" i="31" s="1"/>
  <c r="O79" i="31" s="1"/>
  <c r="G6" i="31"/>
  <c r="M6" i="31" s="1"/>
  <c r="O6" i="31" s="1"/>
  <c r="G43" i="31"/>
  <c r="M43" i="31" s="1"/>
  <c r="O43" i="31" s="1"/>
  <c r="G99" i="31"/>
  <c r="M99" i="31" s="1"/>
  <c r="O99" i="31" s="1"/>
  <c r="G97" i="31"/>
  <c r="M97" i="31" s="1"/>
  <c r="O97" i="31" s="1"/>
  <c r="G107" i="31"/>
  <c r="M107" i="31" s="1"/>
  <c r="O107" i="31" s="1"/>
  <c r="G113" i="31"/>
  <c r="M113" i="31" s="1"/>
  <c r="O113" i="31" s="1"/>
  <c r="G52" i="31"/>
  <c r="M52" i="31" s="1"/>
  <c r="O52" i="31" s="1"/>
  <c r="G72" i="31"/>
  <c r="M72" i="31" s="1"/>
  <c r="O72" i="31" s="1"/>
  <c r="G42" i="31"/>
  <c r="M42" i="31" s="1"/>
  <c r="O42" i="31" s="1"/>
  <c r="G72" i="30"/>
  <c r="G72" i="12"/>
  <c r="G99" i="30"/>
  <c r="G99" i="12"/>
  <c r="G59" i="30"/>
  <c r="G59" i="12"/>
  <c r="G57" i="30"/>
  <c r="G57" i="12"/>
  <c r="G79" i="30"/>
  <c r="G79" i="12"/>
  <c r="G107" i="12"/>
  <c r="G107" i="30"/>
  <c r="G42" i="12"/>
  <c r="G42" i="30"/>
  <c r="G65" i="12"/>
  <c r="G65" i="30"/>
  <c r="G94" i="12"/>
  <c r="G94" i="30"/>
  <c r="G113" i="30"/>
  <c r="G113" i="12"/>
  <c r="G43" i="12"/>
  <c r="G43" i="30"/>
  <c r="G68" i="30"/>
  <c r="G68" i="12"/>
  <c r="G97" i="30"/>
  <c r="G97" i="12"/>
  <c r="G109" i="12"/>
  <c r="G109" i="30"/>
  <c r="G6" i="30"/>
  <c r="G6" i="12"/>
  <c r="G52" i="12"/>
  <c r="G52" i="30"/>
  <c r="S114" i="30"/>
  <c r="S102" i="30"/>
  <c r="S98" i="12"/>
  <c r="S77" i="12"/>
  <c r="S59" i="12"/>
  <c r="S50" i="30"/>
  <c r="S29" i="30"/>
  <c r="S30" i="30"/>
  <c r="S135" i="30"/>
  <c r="S137" i="30"/>
  <c r="S111" i="12"/>
  <c r="S91" i="30"/>
  <c r="S80" i="12"/>
  <c r="S43" i="30"/>
  <c r="S62" i="12"/>
  <c r="S10" i="30"/>
  <c r="S13" i="30"/>
  <c r="S130" i="30"/>
  <c r="S124" i="12"/>
  <c r="S90" i="30"/>
  <c r="S73" i="12"/>
  <c r="S61" i="30"/>
  <c r="S46" i="30"/>
  <c r="S25" i="30"/>
  <c r="S26" i="30"/>
  <c r="S115" i="30"/>
  <c r="S104" i="12"/>
  <c r="S101" i="30"/>
  <c r="S79" i="30"/>
  <c r="S65" i="30"/>
  <c r="S52" i="12"/>
  <c r="S31" i="12"/>
  <c r="S34" i="30"/>
  <c r="S132" i="31"/>
  <c r="V132" i="31" s="1"/>
  <c r="S107" i="31"/>
  <c r="Y107" i="31" s="1"/>
  <c r="AA107" i="31" s="1"/>
  <c r="S74" i="31"/>
  <c r="V74" i="31" s="1"/>
  <c r="S54" i="31"/>
  <c r="V54" i="31" s="1"/>
  <c r="S7" i="31"/>
  <c r="V7" i="31" s="1"/>
  <c r="S96" i="31"/>
  <c r="V96" i="31" s="1"/>
  <c r="S63" i="31"/>
  <c r="V63" i="31" s="1"/>
  <c r="S40" i="31"/>
  <c r="V40" i="31" s="1"/>
  <c r="S20" i="31"/>
  <c r="V20" i="31" s="1"/>
  <c r="S106" i="31"/>
  <c r="V106" i="31" s="1"/>
  <c r="S81" i="31"/>
  <c r="V81" i="31" s="1"/>
  <c r="S33" i="31"/>
  <c r="V33" i="31" s="1"/>
  <c r="S36" i="31"/>
  <c r="V36" i="31" s="1"/>
  <c r="S128" i="31"/>
  <c r="V128" i="31" s="1"/>
  <c r="S88" i="31"/>
  <c r="V88" i="31" s="1"/>
  <c r="S56" i="31"/>
  <c r="V56" i="31" s="1"/>
  <c r="S23" i="31"/>
  <c r="V23" i="31" s="1"/>
  <c r="S131" i="12"/>
  <c r="S99" i="30"/>
  <c r="S120" i="30"/>
  <c r="S67" i="30"/>
  <c r="S53" i="12"/>
  <c r="S42" i="12"/>
  <c r="S21" i="12"/>
  <c r="S22" i="12"/>
  <c r="S129" i="12"/>
  <c r="S108" i="12"/>
  <c r="S105" i="30"/>
  <c r="S83" i="12"/>
  <c r="S72" i="12"/>
  <c r="S55" i="12"/>
  <c r="S37" i="12"/>
  <c r="S38" i="12"/>
  <c r="S5" i="30"/>
  <c r="S126" i="30"/>
  <c r="S92" i="30"/>
  <c r="S97" i="30"/>
  <c r="S86" i="12"/>
  <c r="S49" i="30"/>
  <c r="S68" i="12"/>
  <c r="S16" i="12"/>
  <c r="S19" i="30"/>
  <c r="S128" i="30"/>
  <c r="S122" i="30"/>
  <c r="S88" i="12"/>
  <c r="S71" i="12"/>
  <c r="S56" i="30"/>
  <c r="S44" i="12"/>
  <c r="S23" i="30"/>
  <c r="S24" i="12"/>
  <c r="S114" i="31"/>
  <c r="V114" i="31" s="1"/>
  <c r="S98" i="31"/>
  <c r="V98" i="31" s="1"/>
  <c r="S59" i="31"/>
  <c r="Y59" i="31" s="1"/>
  <c r="AA59" i="31" s="1"/>
  <c r="S29" i="31"/>
  <c r="V29" i="31" s="1"/>
  <c r="S135" i="31"/>
  <c r="V135" i="31" s="1"/>
  <c r="S111" i="31"/>
  <c r="V111" i="31" s="1"/>
  <c r="S80" i="31"/>
  <c r="V80" i="31" s="1"/>
  <c r="S62" i="31"/>
  <c r="V62" i="31" s="1"/>
  <c r="S13" i="31"/>
  <c r="V13" i="31" s="1"/>
  <c r="S124" i="31"/>
  <c r="V124" i="31" s="1"/>
  <c r="S73" i="31"/>
  <c r="V73" i="31" s="1"/>
  <c r="S46" i="31"/>
  <c r="V46" i="31" s="1"/>
  <c r="S26" i="31"/>
  <c r="V26" i="31" s="1"/>
  <c r="S121" i="31"/>
  <c r="V121" i="31" s="1"/>
  <c r="S95" i="31"/>
  <c r="V95" i="31" s="1"/>
  <c r="S47" i="31"/>
  <c r="V47" i="31" s="1"/>
  <c r="S14" i="31"/>
  <c r="V14" i="31" s="1"/>
  <c r="S131" i="30"/>
  <c r="S99" i="12"/>
  <c r="S120" i="12"/>
  <c r="S67" i="12"/>
  <c r="S53" i="30"/>
  <c r="S42" i="30"/>
  <c r="S21" i="30"/>
  <c r="S22" i="30"/>
  <c r="S129" i="30"/>
  <c r="S108" i="30"/>
  <c r="S105" i="12"/>
  <c r="S83" i="30"/>
  <c r="S72" i="30"/>
  <c r="S55" i="30"/>
  <c r="S37" i="30"/>
  <c r="S38" i="30"/>
  <c r="S5" i="12"/>
  <c r="S126" i="12"/>
  <c r="S92" i="12"/>
  <c r="S97" i="12"/>
  <c r="S86" i="30"/>
  <c r="S49" i="12"/>
  <c r="S68" i="30"/>
  <c r="S16" i="30"/>
  <c r="S19" i="12"/>
  <c r="S128" i="12"/>
  <c r="S122" i="12"/>
  <c r="S88" i="30"/>
  <c r="S71" i="30"/>
  <c r="S56" i="12"/>
  <c r="S44" i="30"/>
  <c r="S23" i="12"/>
  <c r="S24" i="30"/>
  <c r="S131" i="31"/>
  <c r="V131" i="31" s="1"/>
  <c r="S120" i="31"/>
  <c r="V120" i="31" s="1"/>
  <c r="S53" i="31"/>
  <c r="V53" i="31" s="1"/>
  <c r="S21" i="31"/>
  <c r="V21" i="31" s="1"/>
  <c r="S129" i="31"/>
  <c r="V129" i="31" s="1"/>
  <c r="S105" i="31"/>
  <c r="V105" i="31" s="1"/>
  <c r="S72" i="31"/>
  <c r="Y72" i="31" s="1"/>
  <c r="AA72" i="31" s="1"/>
  <c r="S37" i="31"/>
  <c r="V37" i="31" s="1"/>
  <c r="S5" i="31"/>
  <c r="V5" i="31" s="1"/>
  <c r="S92" i="31"/>
  <c r="V92" i="31" s="1"/>
  <c r="S86" i="31"/>
  <c r="V86" i="31" s="1"/>
  <c r="S68" i="31"/>
  <c r="Y68" i="31" s="1"/>
  <c r="AA68" i="31" s="1"/>
  <c r="S19" i="31"/>
  <c r="V19" i="31" s="1"/>
  <c r="S125" i="31"/>
  <c r="V125" i="31" s="1"/>
  <c r="S87" i="31"/>
  <c r="V87" i="31" s="1"/>
  <c r="S39" i="31"/>
  <c r="V39" i="31" s="1"/>
  <c r="S6" i="31"/>
  <c r="Y6" i="31" s="1"/>
  <c r="AA6" i="31" s="1"/>
  <c r="S136" i="12"/>
  <c r="S117" i="12"/>
  <c r="S112" i="30"/>
  <c r="S93" i="30"/>
  <c r="S82" i="12"/>
  <c r="S45" i="30"/>
  <c r="S64" i="12"/>
  <c r="S12" i="12"/>
  <c r="S15" i="30"/>
  <c r="S138" i="12"/>
  <c r="S100" i="12"/>
  <c r="S94" i="30"/>
  <c r="S75" i="30"/>
  <c r="S69" i="12"/>
  <c r="S48" i="12"/>
  <c r="S27" i="30"/>
  <c r="S28" i="12"/>
  <c r="S134" i="12"/>
  <c r="S118" i="12"/>
  <c r="S110" i="30"/>
  <c r="S89" i="12"/>
  <c r="S78" i="30"/>
  <c r="S41" i="12"/>
  <c r="S60" i="30"/>
  <c r="S8" i="12"/>
  <c r="S11" i="30"/>
  <c r="S121" i="12"/>
  <c r="S113" i="30"/>
  <c r="S95" i="30"/>
  <c r="S84" i="12"/>
  <c r="S47" i="30"/>
  <c r="S66" i="12"/>
  <c r="S14" i="12"/>
  <c r="S17" i="12"/>
  <c r="S117" i="31"/>
  <c r="V117" i="31" s="1"/>
  <c r="S93" i="31"/>
  <c r="V93" i="31" s="1"/>
  <c r="S45" i="31"/>
  <c r="V45" i="31" s="1"/>
  <c r="S12" i="31"/>
  <c r="V12" i="31" s="1"/>
  <c r="S138" i="31"/>
  <c r="V138" i="31" s="1"/>
  <c r="S94" i="31"/>
  <c r="Y94" i="31" s="1"/>
  <c r="AA94" i="31" s="1"/>
  <c r="S69" i="31"/>
  <c r="V69" i="31" s="1"/>
  <c r="S27" i="31"/>
  <c r="V27" i="31" s="1"/>
  <c r="S134" i="31"/>
  <c r="V134" i="31" s="1"/>
  <c r="S110" i="31"/>
  <c r="V110" i="31" s="1"/>
  <c r="S78" i="31"/>
  <c r="V78" i="31" s="1"/>
  <c r="S60" i="31"/>
  <c r="V60" i="31" s="1"/>
  <c r="S11" i="31"/>
  <c r="V11" i="31" s="1"/>
  <c r="S104" i="31"/>
  <c r="V104" i="31" s="1"/>
  <c r="S79" i="31"/>
  <c r="Y79" i="31" s="1"/>
  <c r="AA79" i="31" s="1"/>
  <c r="AB79" i="31" s="1"/>
  <c r="S52" i="31"/>
  <c r="Y52" i="31" s="1"/>
  <c r="AA52" i="31" s="1"/>
  <c r="S34" i="31"/>
  <c r="V34" i="31" s="1"/>
  <c r="S136" i="30"/>
  <c r="S117" i="30"/>
  <c r="S112" i="12"/>
  <c r="S93" i="12"/>
  <c r="S82" i="30"/>
  <c r="S45" i="12"/>
  <c r="S64" i="30"/>
  <c r="S12" i="30"/>
  <c r="S15" i="12"/>
  <c r="S138" i="30"/>
  <c r="S100" i="30"/>
  <c r="S94" i="12"/>
  <c r="S75" i="12"/>
  <c r="S69" i="30"/>
  <c r="S48" i="30"/>
  <c r="S27" i="12"/>
  <c r="S28" i="30"/>
  <c r="S134" i="30"/>
  <c r="S118" i="30"/>
  <c r="S110" i="12"/>
  <c r="S89" i="30"/>
  <c r="S78" i="12"/>
  <c r="S41" i="30"/>
  <c r="S60" i="12"/>
  <c r="S8" i="30"/>
  <c r="S11" i="12"/>
  <c r="S121" i="30"/>
  <c r="S113" i="12"/>
  <c r="S95" i="12"/>
  <c r="S84" i="30"/>
  <c r="S47" i="12"/>
  <c r="S66" i="30"/>
  <c r="S14" i="30"/>
  <c r="S17" i="30"/>
  <c r="S119" i="31"/>
  <c r="V119" i="31" s="1"/>
  <c r="S85" i="31"/>
  <c r="V85" i="31" s="1"/>
  <c r="S57" i="31"/>
  <c r="Y57" i="31" s="1"/>
  <c r="AA57" i="31" s="1"/>
  <c r="AB57" i="31" s="1"/>
  <c r="S32" i="31"/>
  <c r="V32" i="31" s="1"/>
  <c r="S127" i="31"/>
  <c r="V127" i="31" s="1"/>
  <c r="S116" i="31"/>
  <c r="V116" i="31" s="1"/>
  <c r="S51" i="31"/>
  <c r="V51" i="31" s="1"/>
  <c r="S18" i="31"/>
  <c r="V18" i="31" s="1"/>
  <c r="S123" i="31"/>
  <c r="V123" i="31" s="1"/>
  <c r="S103" i="31"/>
  <c r="V103" i="31" s="1"/>
  <c r="S70" i="31"/>
  <c r="V70" i="31" s="1"/>
  <c r="S35" i="31"/>
  <c r="V35" i="31" s="1"/>
  <c r="S4" i="31"/>
  <c r="V4" i="31" s="1"/>
  <c r="S122" i="31"/>
  <c r="V122" i="31" s="1"/>
  <c r="S71" i="31"/>
  <c r="V71" i="31" s="1"/>
  <c r="S44" i="31"/>
  <c r="V44" i="31" s="1"/>
  <c r="S24" i="31"/>
  <c r="V24" i="31" s="1"/>
  <c r="S132" i="12"/>
  <c r="S119" i="12"/>
  <c r="S107" i="30"/>
  <c r="S85" i="12"/>
  <c r="S74" i="12"/>
  <c r="S57" i="12"/>
  <c r="S54" i="30"/>
  <c r="S32" i="12"/>
  <c r="S7" i="12"/>
  <c r="S127" i="12"/>
  <c r="S96" i="12"/>
  <c r="S116" i="30"/>
  <c r="S63" i="12"/>
  <c r="S51" i="12"/>
  <c r="S40" i="12"/>
  <c r="S18" i="12"/>
  <c r="S20" i="12"/>
  <c r="S123" i="30"/>
  <c r="S106" i="30"/>
  <c r="S103" i="30"/>
  <c r="S81" i="12"/>
  <c r="S70" i="12"/>
  <c r="S33" i="12"/>
  <c r="S35" i="30"/>
  <c r="S36" i="12"/>
  <c r="S133" i="12"/>
  <c r="S125" i="30"/>
  <c r="S109" i="12"/>
  <c r="S87" i="12"/>
  <c r="S76" i="12"/>
  <c r="S39" i="30"/>
  <c r="S58" i="12"/>
  <c r="S6" i="30"/>
  <c r="S9" i="12"/>
  <c r="S102" i="31"/>
  <c r="V102" i="31" s="1"/>
  <c r="S77" i="31"/>
  <c r="V77" i="31" s="1"/>
  <c r="S50" i="31"/>
  <c r="V50" i="31" s="1"/>
  <c r="S30" i="31"/>
  <c r="V30" i="31" s="1"/>
  <c r="S137" i="31"/>
  <c r="V137" i="31" s="1"/>
  <c r="S91" i="31"/>
  <c r="V91" i="31" s="1"/>
  <c r="S43" i="31"/>
  <c r="Y43" i="31" s="1"/>
  <c r="AA43" i="31" s="1"/>
  <c r="AB43" i="31" s="1"/>
  <c r="S10" i="31"/>
  <c r="V10" i="31" s="1"/>
  <c r="S130" i="31"/>
  <c r="V130" i="31" s="1"/>
  <c r="S90" i="31"/>
  <c r="V90" i="31" s="1"/>
  <c r="S61" i="31"/>
  <c r="V61" i="31" s="1"/>
  <c r="S25" i="31"/>
  <c r="V25" i="31" s="1"/>
  <c r="S4" i="30"/>
  <c r="S113" i="31"/>
  <c r="Y113" i="31" s="1"/>
  <c r="AA113" i="31" s="1"/>
  <c r="S84" i="31"/>
  <c r="V84" i="31" s="1"/>
  <c r="S66" i="31"/>
  <c r="V66" i="31" s="1"/>
  <c r="S17" i="31"/>
  <c r="V17" i="31" s="1"/>
  <c r="S132" i="30"/>
  <c r="S119" i="30"/>
  <c r="S107" i="12"/>
  <c r="S85" i="30"/>
  <c r="S74" i="30"/>
  <c r="S57" i="30"/>
  <c r="S54" i="12"/>
  <c r="S32" i="30"/>
  <c r="S7" i="30"/>
  <c r="S127" i="30"/>
  <c r="S96" i="30"/>
  <c r="S116" i="12"/>
  <c r="S63" i="30"/>
  <c r="S51" i="30"/>
  <c r="S40" i="30"/>
  <c r="S18" i="30"/>
  <c r="S20" i="30"/>
  <c r="S123" i="12"/>
  <c r="S106" i="12"/>
  <c r="S103" i="12"/>
  <c r="S81" i="30"/>
  <c r="S70" i="30"/>
  <c r="S33" i="30"/>
  <c r="S35" i="12"/>
  <c r="S36" i="30"/>
  <c r="S133" i="30"/>
  <c r="S125" i="12"/>
  <c r="S109" i="30"/>
  <c r="S87" i="30"/>
  <c r="S76" i="30"/>
  <c r="S39" i="12"/>
  <c r="S58" i="30"/>
  <c r="S6" i="12"/>
  <c r="S9" i="30"/>
  <c r="S99" i="31"/>
  <c r="Y99" i="31" s="1"/>
  <c r="AA99" i="31" s="1"/>
  <c r="AB99" i="31" s="1"/>
  <c r="S67" i="31"/>
  <c r="V67" i="31" s="1"/>
  <c r="S42" i="31"/>
  <c r="Y42" i="31" s="1"/>
  <c r="AA42" i="31" s="1"/>
  <c r="S22" i="31"/>
  <c r="V22" i="31" s="1"/>
  <c r="S108" i="31"/>
  <c r="V108" i="31" s="1"/>
  <c r="S83" i="31"/>
  <c r="V83" i="31" s="1"/>
  <c r="S55" i="31"/>
  <c r="V55" i="31" s="1"/>
  <c r="S38" i="31"/>
  <c r="V38" i="31" s="1"/>
  <c r="S126" i="31"/>
  <c r="V126" i="31" s="1"/>
  <c r="S97" i="31"/>
  <c r="Y97" i="31" s="1"/>
  <c r="AA97" i="31" s="1"/>
  <c r="AB97" i="31" s="1"/>
  <c r="S49" i="31"/>
  <c r="V49" i="31" s="1"/>
  <c r="S16" i="31"/>
  <c r="V16" i="31" s="1"/>
  <c r="S133" i="31"/>
  <c r="V133" i="31" s="1"/>
  <c r="S109" i="31"/>
  <c r="Y109" i="31" s="1"/>
  <c r="AA109" i="31" s="1"/>
  <c r="S76" i="31"/>
  <c r="V76" i="31" s="1"/>
  <c r="S58" i="31"/>
  <c r="V58" i="31" s="1"/>
  <c r="S9" i="31"/>
  <c r="V9" i="31" s="1"/>
  <c r="S114" i="12"/>
  <c r="S102" i="12"/>
  <c r="S98" i="30"/>
  <c r="S77" i="30"/>
  <c r="S59" i="30"/>
  <c r="S50" i="12"/>
  <c r="S29" i="12"/>
  <c r="S30" i="12"/>
  <c r="S135" i="12"/>
  <c r="S137" i="12"/>
  <c r="S111" i="30"/>
  <c r="S91" i="12"/>
  <c r="S80" i="30"/>
  <c r="S43" i="12"/>
  <c r="S62" i="30"/>
  <c r="S10" i="12"/>
  <c r="S13" i="12"/>
  <c r="S130" i="12"/>
  <c r="S124" i="30"/>
  <c r="S90" i="12"/>
  <c r="S73" i="30"/>
  <c r="S61" i="12"/>
  <c r="S46" i="12"/>
  <c r="S25" i="12"/>
  <c r="S26" i="12"/>
  <c r="S115" i="12"/>
  <c r="S104" i="30"/>
  <c r="S101" i="12"/>
  <c r="S79" i="12"/>
  <c r="S65" i="12"/>
  <c r="S52" i="30"/>
  <c r="S31" i="30"/>
  <c r="S34" i="12"/>
  <c r="S136" i="31"/>
  <c r="V136" i="31" s="1"/>
  <c r="S112" i="31"/>
  <c r="V112" i="31" s="1"/>
  <c r="S82" i="31"/>
  <c r="V82" i="31" s="1"/>
  <c r="S64" i="31"/>
  <c r="V64" i="31" s="1"/>
  <c r="S15" i="31"/>
  <c r="V15" i="31" s="1"/>
  <c r="S100" i="31"/>
  <c r="V100" i="31" s="1"/>
  <c r="S75" i="31"/>
  <c r="V75" i="31" s="1"/>
  <c r="S48" i="31"/>
  <c r="V48" i="31" s="1"/>
  <c r="S28" i="31"/>
  <c r="V28" i="31" s="1"/>
  <c r="S118" i="31"/>
  <c r="V118" i="31" s="1"/>
  <c r="S89" i="31"/>
  <c r="V89" i="31" s="1"/>
  <c r="S41" i="31"/>
  <c r="V41" i="31" s="1"/>
  <c r="S8" i="31"/>
  <c r="V8" i="31" s="1"/>
  <c r="S115" i="31"/>
  <c r="V115" i="31" s="1"/>
  <c r="S101" i="31"/>
  <c r="V101" i="31" s="1"/>
  <c r="S65" i="31"/>
  <c r="Y65" i="31" s="1"/>
  <c r="AA65" i="31" s="1"/>
  <c r="S31" i="31"/>
  <c r="V31" i="31" s="1"/>
  <c r="J139" i="1"/>
  <c r="BY140" i="27"/>
  <c r="K140" i="27"/>
  <c r="R68" i="12"/>
  <c r="R42" i="30"/>
  <c r="R95" i="30"/>
  <c r="R107" i="30"/>
  <c r="R44" i="30"/>
  <c r="R50" i="12"/>
  <c r="R102" i="30"/>
  <c r="V102" i="30" s="1"/>
  <c r="R65" i="30"/>
  <c r="R6" i="12"/>
  <c r="Y6" i="12" s="1"/>
  <c r="AA6" i="12" s="1"/>
  <c r="R90" i="12"/>
  <c r="R97" i="12"/>
  <c r="R11" i="12"/>
  <c r="V11" i="12" s="1"/>
  <c r="R61" i="12"/>
  <c r="R50" i="30"/>
  <c r="R109" i="12"/>
  <c r="R80" i="12"/>
  <c r="V80" i="12" s="1"/>
  <c r="R15" i="12"/>
  <c r="R6" i="30"/>
  <c r="Y6" i="30" s="1"/>
  <c r="AA6" i="30" s="1"/>
  <c r="R90" i="30"/>
  <c r="R97" i="30"/>
  <c r="R11" i="30"/>
  <c r="R129" i="12"/>
  <c r="R109" i="30"/>
  <c r="R80" i="30"/>
  <c r="V80" i="30" s="1"/>
  <c r="R72" i="12"/>
  <c r="R94" i="12"/>
  <c r="Y94" i="12" s="1"/>
  <c r="AA94" i="12" s="1"/>
  <c r="R79" i="12"/>
  <c r="R61" i="30"/>
  <c r="R57" i="12"/>
  <c r="R129" i="30"/>
  <c r="V129" i="30" s="1"/>
  <c r="R59" i="12"/>
  <c r="R9" i="12"/>
  <c r="R118" i="12"/>
  <c r="R72" i="30"/>
  <c r="Y72" i="30" s="1"/>
  <c r="AA72" i="30" s="1"/>
  <c r="R94" i="30"/>
  <c r="Y94" i="30" s="1"/>
  <c r="AA94" i="30" s="1"/>
  <c r="R79" i="30"/>
  <c r="Y79" i="30" s="1"/>
  <c r="AA79" i="30" s="1"/>
  <c r="R78" i="12"/>
  <c r="R57" i="30"/>
  <c r="Y57" i="30" s="1"/>
  <c r="AA57" i="30" s="1"/>
  <c r="R53" i="12"/>
  <c r="R59" i="30"/>
  <c r="Y59" i="30" s="1"/>
  <c r="AA59" i="30" s="1"/>
  <c r="R9" i="30"/>
  <c r="R118" i="30"/>
  <c r="R51" i="12"/>
  <c r="V51" i="12" s="1"/>
  <c r="R113" i="12"/>
  <c r="Y113" i="12" s="1"/>
  <c r="AA113" i="12" s="1"/>
  <c r="R78" i="30"/>
  <c r="V78" i="30" s="1"/>
  <c r="R43" i="12"/>
  <c r="R53" i="30"/>
  <c r="R99" i="12"/>
  <c r="R93" i="12"/>
  <c r="R51" i="30"/>
  <c r="V51" i="30" s="1"/>
  <c r="R113" i="30"/>
  <c r="Y113" i="30" s="1"/>
  <c r="AA113" i="30" s="1"/>
  <c r="R15" i="30"/>
  <c r="R43" i="30"/>
  <c r="R52" i="12"/>
  <c r="R99" i="30"/>
  <c r="R93" i="30"/>
  <c r="R68" i="30"/>
  <c r="R42" i="12"/>
  <c r="R95" i="12"/>
  <c r="R107" i="12"/>
  <c r="R44" i="12"/>
  <c r="R52" i="30"/>
  <c r="R102" i="12"/>
  <c r="R65" i="12"/>
  <c r="R30" i="12"/>
  <c r="R82" i="12"/>
  <c r="R81" i="30"/>
  <c r="R17" i="12"/>
  <c r="R127" i="30"/>
  <c r="R58" i="30"/>
  <c r="R16" i="30"/>
  <c r="R83" i="12"/>
  <c r="R125" i="12"/>
  <c r="R104" i="12"/>
  <c r="R85" i="12"/>
  <c r="R67" i="30"/>
  <c r="R12" i="12"/>
  <c r="R46" i="30"/>
  <c r="R81" i="12"/>
  <c r="R70" i="30"/>
  <c r="V70" i="30" s="1"/>
  <c r="R45" i="30"/>
  <c r="V45" i="30" s="1"/>
  <c r="R73" i="12"/>
  <c r="R84" i="30"/>
  <c r="R128" i="12"/>
  <c r="R114" i="12"/>
  <c r="R28" i="30"/>
  <c r="R7" i="30"/>
  <c r="R137" i="12"/>
  <c r="R117" i="12"/>
  <c r="R86" i="30"/>
  <c r="V86" i="30" s="1"/>
  <c r="R74" i="12"/>
  <c r="R5" i="12"/>
  <c r="R128" i="30"/>
  <c r="V128" i="30" s="1"/>
  <c r="R17" i="30"/>
  <c r="R13" i="30"/>
  <c r="R131" i="12"/>
  <c r="R103" i="30"/>
  <c r="V103" i="30" s="1"/>
  <c r="R133" i="30"/>
  <c r="V133" i="30" s="1"/>
  <c r="R67" i="12"/>
  <c r="R12" i="30"/>
  <c r="V12" i="30" s="1"/>
  <c r="R41" i="30"/>
  <c r="R119" i="12"/>
  <c r="R88" i="12"/>
  <c r="R45" i="12"/>
  <c r="R122" i="12"/>
  <c r="R31" i="12"/>
  <c r="R38" i="30"/>
  <c r="R116" i="12"/>
  <c r="R114" i="30"/>
  <c r="R28" i="12"/>
  <c r="R7" i="12"/>
  <c r="R106" i="30"/>
  <c r="V106" i="30" s="1"/>
  <c r="R88" i="30"/>
  <c r="V88" i="30" s="1"/>
  <c r="R34" i="12"/>
  <c r="R39" i="30"/>
  <c r="R66" i="12"/>
  <c r="R73" i="30"/>
  <c r="R62" i="12"/>
  <c r="R48" i="30"/>
  <c r="R111" i="12"/>
  <c r="R10" i="30"/>
  <c r="V10" i="30" s="1"/>
  <c r="R54" i="30"/>
  <c r="R18" i="12"/>
  <c r="R133" i="12"/>
  <c r="R19" i="30"/>
  <c r="R56" i="30"/>
  <c r="R41" i="12"/>
  <c r="R60" i="12"/>
  <c r="R5" i="30"/>
  <c r="R115" i="12"/>
  <c r="R122" i="30"/>
  <c r="R27" i="30"/>
  <c r="R131" i="30"/>
  <c r="R62" i="30"/>
  <c r="V62" i="30" s="1"/>
  <c r="R100" i="30"/>
  <c r="R71" i="12"/>
  <c r="R74" i="30"/>
  <c r="V74" i="30" s="1"/>
  <c r="R58" i="12"/>
  <c r="R75" i="30"/>
  <c r="R26" i="30"/>
  <c r="V26" i="30" s="1"/>
  <c r="R47" i="12"/>
  <c r="R60" i="30"/>
  <c r="R69" i="12"/>
  <c r="R55" i="12"/>
  <c r="R55" i="30"/>
  <c r="R106" i="12"/>
  <c r="R10" i="12"/>
  <c r="R54" i="12"/>
  <c r="R18" i="30"/>
  <c r="R123" i="12"/>
  <c r="R19" i="12"/>
  <c r="R56" i="12"/>
  <c r="R96" i="12"/>
  <c r="R66" i="30"/>
  <c r="V66" i="30" s="1"/>
  <c r="R120" i="12"/>
  <c r="R115" i="30"/>
  <c r="R101" i="12"/>
  <c r="R110" i="12"/>
  <c r="R14" i="30"/>
  <c r="V14" i="30" s="1"/>
  <c r="R69" i="30"/>
  <c r="V69" i="30" s="1"/>
  <c r="R40" i="12"/>
  <c r="R71" i="30"/>
  <c r="V71" i="30" s="1"/>
  <c r="R92" i="12"/>
  <c r="R132" i="30"/>
  <c r="R89" i="12"/>
  <c r="R136" i="30"/>
  <c r="R119" i="30"/>
  <c r="R110" i="30"/>
  <c r="R77" i="12"/>
  <c r="R126" i="12"/>
  <c r="R124" i="30"/>
  <c r="R22" i="12"/>
  <c r="R123" i="30"/>
  <c r="R117" i="30"/>
  <c r="R20" i="12"/>
  <c r="R96" i="30"/>
  <c r="R75" i="12"/>
  <c r="R120" i="30"/>
  <c r="V120" i="30" s="1"/>
  <c r="R25" i="30"/>
  <c r="R125" i="30"/>
  <c r="R134" i="12"/>
  <c r="R14" i="12"/>
  <c r="R23" i="12"/>
  <c r="R40" i="30"/>
  <c r="R98" i="12"/>
  <c r="R92" i="30"/>
  <c r="V92" i="30" s="1"/>
  <c r="R134" i="30"/>
  <c r="R4" i="30"/>
  <c r="V4" i="30" s="1"/>
  <c r="R105" i="12"/>
  <c r="R100" i="12"/>
  <c r="R34" i="30"/>
  <c r="V34" i="30" s="1"/>
  <c r="R64" i="30"/>
  <c r="R112" i="12"/>
  <c r="R105" i="30"/>
  <c r="V105" i="30" s="1"/>
  <c r="R135" i="12"/>
  <c r="R108" i="30"/>
  <c r="R126" i="30"/>
  <c r="V126" i="30" s="1"/>
  <c r="R124" i="12"/>
  <c r="R22" i="30"/>
  <c r="R121" i="30"/>
  <c r="R104" i="30"/>
  <c r="R20" i="30"/>
  <c r="R136" i="12"/>
  <c r="R33" i="30"/>
  <c r="R39" i="12"/>
  <c r="R49" i="30"/>
  <c r="R86" i="12"/>
  <c r="R25" i="12"/>
  <c r="R36" i="12"/>
  <c r="R23" i="30"/>
  <c r="R63" i="30"/>
  <c r="R98" i="30"/>
  <c r="V98" i="30" s="1"/>
  <c r="R91" i="30"/>
  <c r="V91" i="30" s="1"/>
  <c r="R89" i="30"/>
  <c r="R13" i="12"/>
  <c r="R21" i="12"/>
  <c r="R29" i="12"/>
  <c r="R21" i="30"/>
  <c r="R137" i="30"/>
  <c r="V137" i="30" s="1"/>
  <c r="R135" i="30"/>
  <c r="V135" i="30" s="1"/>
  <c r="R29" i="30"/>
  <c r="R108" i="12"/>
  <c r="R35" i="12"/>
  <c r="R24" i="12"/>
  <c r="R121" i="12"/>
  <c r="R27" i="12"/>
  <c r="R30" i="30"/>
  <c r="R87" i="30"/>
  <c r="R37" i="30"/>
  <c r="R76" i="30"/>
  <c r="V76" i="30" s="1"/>
  <c r="R49" i="12"/>
  <c r="R103" i="12"/>
  <c r="R130" i="30"/>
  <c r="R36" i="30"/>
  <c r="R47" i="30"/>
  <c r="V47" i="30" s="1"/>
  <c r="R63" i="12"/>
  <c r="R82" i="30"/>
  <c r="R91" i="12"/>
  <c r="R33" i="12"/>
  <c r="R70" i="12"/>
  <c r="R8" i="12"/>
  <c r="R16" i="12"/>
  <c r="R116" i="30"/>
  <c r="R138" i="12"/>
  <c r="R127" i="12"/>
  <c r="R31" i="30"/>
  <c r="R111" i="30"/>
  <c r="R130" i="12"/>
  <c r="R35" i="30"/>
  <c r="V35" i="30" s="1"/>
  <c r="R24" i="30"/>
  <c r="V24" i="30" s="1"/>
  <c r="R132" i="12"/>
  <c r="R85" i="30"/>
  <c r="V85" i="30" s="1"/>
  <c r="R46" i="12"/>
  <c r="R87" i="12"/>
  <c r="R84" i="12"/>
  <c r="R76" i="12"/>
  <c r="R38" i="12"/>
  <c r="R48" i="12"/>
  <c r="R37" i="12"/>
  <c r="R64" i="12"/>
  <c r="R77" i="30"/>
  <c r="R8" i="30"/>
  <c r="R138" i="30"/>
  <c r="R101" i="30"/>
  <c r="R83" i="30"/>
  <c r="V83" i="30" s="1"/>
  <c r="R26" i="12"/>
  <c r="R112" i="30"/>
  <c r="V112" i="30" s="1"/>
  <c r="R32" i="12"/>
  <c r="R32" i="30"/>
  <c r="R4" i="12"/>
  <c r="A7" i="20"/>
  <c r="S4" i="12"/>
  <c r="A8" i="20"/>
  <c r="V130" i="30" l="1"/>
  <c r="V55" i="30"/>
  <c r="V37" i="30"/>
  <c r="V104" i="30"/>
  <c r="V131" i="30"/>
  <c r="V5" i="30"/>
  <c r="V19" i="30"/>
  <c r="V114" i="30"/>
  <c r="V127" i="30"/>
  <c r="V44" i="12"/>
  <c r="Y68" i="30"/>
  <c r="AA68" i="30" s="1"/>
  <c r="V93" i="12"/>
  <c r="V9" i="30"/>
  <c r="V118" i="12"/>
  <c r="Y72" i="12"/>
  <c r="AA72" i="12" s="1"/>
  <c r="V44" i="30"/>
  <c r="Y68" i="12"/>
  <c r="AA68" i="12" s="1"/>
  <c r="V111" i="30"/>
  <c r="V124" i="30"/>
  <c r="V119" i="30"/>
  <c r="V122" i="30"/>
  <c r="V13" i="30"/>
  <c r="V53" i="30"/>
  <c r="Y59" i="12"/>
  <c r="AA59" i="12" s="1"/>
  <c r="AB65" i="31"/>
  <c r="AB52" i="31"/>
  <c r="AB113" i="31"/>
  <c r="AB94" i="31"/>
  <c r="AB59" i="31"/>
  <c r="V33" i="30"/>
  <c r="V108" i="30"/>
  <c r="V40" i="30"/>
  <c r="V96" i="30"/>
  <c r="V110" i="30"/>
  <c r="V115" i="30"/>
  <c r="V27" i="30"/>
  <c r="V67" i="30"/>
  <c r="Y107" i="12"/>
  <c r="AA107" i="12" s="1"/>
  <c r="V93" i="30"/>
  <c r="Y99" i="12"/>
  <c r="AA99" i="12" s="1"/>
  <c r="V9" i="12"/>
  <c r="V61" i="30"/>
  <c r="Y97" i="30"/>
  <c r="AA97" i="30" s="1"/>
  <c r="Y65" i="30"/>
  <c r="AA65" i="30" s="1"/>
  <c r="V23" i="30"/>
  <c r="Y42" i="30"/>
  <c r="AA42" i="30" s="1"/>
  <c r="AB68" i="31"/>
  <c r="V121" i="30"/>
  <c r="V138" i="30"/>
  <c r="V63" i="30"/>
  <c r="V22" i="30"/>
  <c r="V134" i="30"/>
  <c r="V75" i="30"/>
  <c r="V100" i="30"/>
  <c r="V39" i="30"/>
  <c r="V38" i="30"/>
  <c r="V16" i="30"/>
  <c r="V81" i="30"/>
  <c r="V102" i="12"/>
  <c r="Y99" i="30"/>
  <c r="AA99" i="30" s="1"/>
  <c r="Y109" i="30"/>
  <c r="AA109" i="30" s="1"/>
  <c r="V90" i="30"/>
  <c r="V95" i="30"/>
  <c r="V101" i="30"/>
  <c r="V87" i="30"/>
  <c r="AB109" i="31"/>
  <c r="AB107" i="31"/>
  <c r="V21" i="30"/>
  <c r="V117" i="30"/>
  <c r="V54" i="30"/>
  <c r="V17" i="30"/>
  <c r="V118" i="30"/>
  <c r="V129" i="12"/>
  <c r="V8" i="30"/>
  <c r="V31" i="30"/>
  <c r="V89" i="30"/>
  <c r="V136" i="30"/>
  <c r="V60" i="30"/>
  <c r="V28" i="30"/>
  <c r="Y52" i="30"/>
  <c r="AA52" i="30" s="1"/>
  <c r="V50" i="30"/>
  <c r="V77" i="30"/>
  <c r="V82" i="30"/>
  <c r="V123" i="30"/>
  <c r="Y43" i="30"/>
  <c r="AA43" i="30" s="1"/>
  <c r="Y57" i="12"/>
  <c r="AA57" i="12" s="1"/>
  <c r="V95" i="12"/>
  <c r="K138" i="12"/>
  <c r="K138" i="31"/>
  <c r="K138" i="30"/>
  <c r="V48" i="30"/>
  <c r="V7" i="30"/>
  <c r="V53" i="12"/>
  <c r="Y109" i="12"/>
  <c r="AA109" i="12" s="1"/>
  <c r="W138" i="30"/>
  <c r="W138" i="12"/>
  <c r="W138" i="31"/>
  <c r="AB6" i="31"/>
  <c r="V64" i="30"/>
  <c r="V56" i="30"/>
  <c r="V46" i="30"/>
  <c r="V58" i="30"/>
  <c r="Y52" i="12"/>
  <c r="AA52" i="12" s="1"/>
  <c r="Y43" i="12"/>
  <c r="AA43" i="12" s="1"/>
  <c r="V50" i="12"/>
  <c r="V32" i="30"/>
  <c r="V29" i="30"/>
  <c r="V18" i="30"/>
  <c r="V73" i="30"/>
  <c r="V41" i="30"/>
  <c r="V78" i="12"/>
  <c r="V11" i="30"/>
  <c r="V61" i="12"/>
  <c r="AB42" i="31"/>
  <c r="AB72" i="31"/>
  <c r="V125" i="30"/>
  <c r="V132" i="30"/>
  <c r="V15" i="30"/>
  <c r="Y107" i="30"/>
  <c r="AA107" i="30" s="1"/>
  <c r="Y65" i="12"/>
  <c r="AA65" i="12" s="1"/>
  <c r="V116" i="30"/>
  <c r="V30" i="30"/>
  <c r="V25" i="30"/>
  <c r="V84" i="30"/>
  <c r="Y79" i="12"/>
  <c r="AA79" i="12" s="1"/>
  <c r="Y97" i="12"/>
  <c r="AA97" i="12" s="1"/>
  <c r="V49" i="30"/>
  <c r="V36" i="30"/>
  <c r="V20" i="30"/>
  <c r="Y42" i="12"/>
  <c r="AA42" i="12" s="1"/>
  <c r="V90" i="12"/>
  <c r="A9" i="20"/>
  <c r="A10" i="20" l="1"/>
  <c r="A11" i="20" l="1"/>
  <c r="A12" i="20" l="1"/>
  <c r="A13" i="20" l="1"/>
  <c r="A14" i="20" l="1"/>
  <c r="A15" i="20" l="1"/>
  <c r="A16" i="20" l="1"/>
  <c r="A17" i="20" l="1"/>
  <c r="A18" i="20" l="1"/>
  <c r="A19" i="20" l="1"/>
  <c r="A20" i="20" l="1"/>
  <c r="A21" i="20" l="1"/>
  <c r="A22" i="20" l="1"/>
  <c r="A23" i="20" l="1"/>
  <c r="A24" i="20" l="1"/>
  <c r="A25" i="20" l="1"/>
  <c r="A26" i="20" l="1"/>
  <c r="A27" i="20" l="1"/>
  <c r="A28" i="20" l="1"/>
  <c r="A29" i="20" l="1"/>
  <c r="A30" i="20" l="1"/>
  <c r="A31" i="20" l="1"/>
  <c r="A32" i="20" l="1"/>
  <c r="A33" i="20" l="1"/>
  <c r="A34" i="20" l="1"/>
  <c r="A35" i="20" l="1"/>
  <c r="A36" i="20" l="1"/>
  <c r="A37" i="20" l="1"/>
  <c r="A38" i="20" l="1"/>
  <c r="A39" i="20" l="1"/>
  <c r="A40" i="20" l="1"/>
  <c r="A41" i="20" l="1"/>
  <c r="A42" i="20" l="1"/>
  <c r="A43" i="20" l="1"/>
  <c r="A44" i="20" l="1"/>
  <c r="A45" i="20" l="1"/>
  <c r="A46" i="20" l="1"/>
  <c r="A47" i="20" l="1"/>
  <c r="A48" i="20" l="1"/>
  <c r="A49" i="20" l="1"/>
  <c r="A50" i="20" l="1"/>
  <c r="A51" i="20" l="1"/>
  <c r="A52" i="20" l="1"/>
  <c r="A53" i="20" l="1"/>
  <c r="A54" i="20" l="1"/>
  <c r="A55" i="20" l="1"/>
  <c r="A56" i="20" l="1"/>
  <c r="A57" i="20" l="1"/>
  <c r="A58" i="20" l="1"/>
  <c r="A59" i="20" l="1"/>
  <c r="A60" i="20" l="1"/>
  <c r="A61" i="20" l="1"/>
  <c r="A62" i="20" l="1"/>
  <c r="A63" i="20" l="1"/>
  <c r="A64" i="20" l="1"/>
  <c r="A65" i="20" l="1"/>
  <c r="A66" i="20" l="1"/>
  <c r="A67" i="20" l="1"/>
  <c r="A68" i="20" l="1"/>
  <c r="A69" i="20" l="1"/>
  <c r="A70" i="20" l="1"/>
  <c r="A71" i="20" l="1"/>
  <c r="A72" i="20" l="1"/>
  <c r="A73" i="20" l="1"/>
  <c r="A74" i="20" l="1"/>
  <c r="A75" i="20" l="1"/>
  <c r="A76" i="20" l="1"/>
  <c r="A77" i="20" l="1"/>
  <c r="A78" i="20" l="1"/>
  <c r="A79" i="20" l="1"/>
  <c r="A80" i="20" l="1"/>
  <c r="A81" i="20" l="1"/>
  <c r="A82" i="20" l="1"/>
  <c r="A83" i="20" l="1"/>
  <c r="A84" i="20" l="1"/>
  <c r="A85" i="20" l="1"/>
  <c r="A86" i="20" l="1"/>
  <c r="A87" i="20" l="1"/>
  <c r="A88" i="20" l="1"/>
  <c r="A89" i="20" l="1"/>
  <c r="A90" i="20" l="1"/>
  <c r="A91" i="20" l="1"/>
  <c r="A92" i="20" l="1"/>
  <c r="A93" i="20" l="1"/>
  <c r="A94" i="20" l="1"/>
  <c r="A95" i="20" l="1"/>
  <c r="A96" i="20" l="1"/>
  <c r="A97" i="20" l="1"/>
  <c r="A98" i="20" l="1"/>
  <c r="A99" i="20" l="1"/>
  <c r="A100" i="20" l="1"/>
  <c r="A101" i="20" l="1"/>
  <c r="A102" i="20" l="1"/>
  <c r="A103" i="20" l="1"/>
  <c r="A104" i="20" l="1"/>
  <c r="A105" i="20" l="1"/>
  <c r="A106" i="20" l="1"/>
  <c r="A107" i="20" l="1"/>
  <c r="A108" i="20" l="1"/>
  <c r="A109" i="20" l="1"/>
  <c r="A110" i="20" l="1"/>
  <c r="A111" i="20" l="1"/>
  <c r="A112" i="20" l="1"/>
  <c r="A113" i="20" l="1"/>
  <c r="A114" i="20" l="1"/>
  <c r="A115" i="20" l="1"/>
  <c r="A116" i="20" l="1"/>
  <c r="A117" i="20" l="1"/>
  <c r="A118" i="20" l="1"/>
  <c r="A119" i="20" l="1"/>
  <c r="A120" i="20" l="1"/>
  <c r="A121" i="20" l="1"/>
  <c r="A122" i="20" l="1"/>
  <c r="A123" i="20" s="1"/>
  <c r="M112" i="23" l="1"/>
  <c r="D112" i="23"/>
  <c r="O112" i="23"/>
  <c r="G112" i="23"/>
  <c r="Q112" i="23"/>
  <c r="C7" i="16" l="1"/>
  <c r="BQ137" i="27" l="1"/>
  <c r="BQ99" i="27" l="1"/>
  <c r="BQ126" i="27"/>
  <c r="BQ30" i="27"/>
  <c r="BQ44" i="27"/>
  <c r="BQ52" i="27"/>
  <c r="BQ13" i="27"/>
  <c r="BQ50" i="27"/>
  <c r="BQ108" i="27"/>
  <c r="BQ53" i="27"/>
  <c r="BQ76" i="27"/>
  <c r="BQ127" i="27"/>
  <c r="BQ46" i="27"/>
  <c r="BQ133" i="27"/>
  <c r="BQ32" i="27"/>
  <c r="BQ14" i="27"/>
  <c r="BQ122" i="27"/>
  <c r="BQ21" i="27"/>
  <c r="BQ42" i="27"/>
  <c r="BQ110" i="27"/>
  <c r="BQ120" i="27"/>
  <c r="BQ113" i="27"/>
  <c r="BQ34" i="27"/>
  <c r="BQ139" i="27"/>
  <c r="BQ90" i="27"/>
  <c r="BQ56" i="27"/>
  <c r="BQ130" i="27"/>
  <c r="BQ97" i="27"/>
  <c r="BQ83" i="27"/>
  <c r="BQ20" i="27"/>
  <c r="BQ94" i="27"/>
  <c r="BQ111" i="27"/>
  <c r="BQ79" i="27"/>
  <c r="BQ124" i="27"/>
  <c r="BQ68" i="27"/>
  <c r="BQ48" i="27"/>
  <c r="BQ40" i="27"/>
  <c r="BQ119" i="27"/>
  <c r="BQ117" i="27"/>
  <c r="BQ132" i="27"/>
  <c r="BQ62" i="27"/>
  <c r="BQ9" i="27"/>
  <c r="BQ102" i="27"/>
  <c r="BQ51" i="27"/>
  <c r="BQ129" i="27"/>
  <c r="BQ43" i="27"/>
  <c r="BQ57" i="27"/>
  <c r="BQ85" i="27"/>
  <c r="BQ125" i="27"/>
  <c r="BQ103" i="27"/>
  <c r="BQ19" i="27"/>
  <c r="BQ72" i="27"/>
  <c r="BQ29" i="27"/>
  <c r="BQ95" i="27"/>
  <c r="BQ86" i="27"/>
  <c r="BQ36" i="27"/>
  <c r="BQ131" i="27"/>
  <c r="BQ88" i="27"/>
  <c r="BQ116" i="27"/>
  <c r="BQ118" i="27"/>
  <c r="BQ135" i="27"/>
  <c r="BQ10" i="27"/>
  <c r="BQ23" i="27"/>
  <c r="BQ63" i="27"/>
  <c r="BQ17" i="27"/>
  <c r="BQ60" i="27"/>
  <c r="BQ104" i="27"/>
  <c r="BQ107" i="27"/>
  <c r="BQ39" i="27"/>
  <c r="BQ123" i="27"/>
  <c r="BQ81" i="27"/>
  <c r="BQ58" i="27"/>
  <c r="BQ18" i="27"/>
  <c r="BQ100" i="27"/>
  <c r="BQ93" i="27"/>
  <c r="BQ27" i="27"/>
  <c r="BQ98" i="27"/>
  <c r="BQ66" i="27"/>
  <c r="BQ106" i="27"/>
  <c r="BQ136" i="27"/>
  <c r="BQ82" i="27"/>
  <c r="BQ80" i="27"/>
  <c r="BQ87" i="27"/>
  <c r="BQ12" i="27"/>
  <c r="BQ61" i="27"/>
  <c r="BQ67" i="27"/>
  <c r="BQ8" i="27"/>
  <c r="BQ64" i="27"/>
  <c r="BQ37" i="27"/>
  <c r="BQ114" i="27"/>
  <c r="BQ105" i="27"/>
  <c r="BQ22" i="27"/>
  <c r="BQ89" i="27"/>
  <c r="BQ65" i="27" l="1"/>
  <c r="BQ59" i="27"/>
  <c r="BQ28" i="27"/>
  <c r="BQ91" i="27"/>
  <c r="BQ128" i="27"/>
  <c r="BQ7" i="27"/>
  <c r="BQ71" i="27"/>
  <c r="BQ75" i="27"/>
  <c r="BQ16" i="27"/>
  <c r="BQ41" i="27"/>
  <c r="BQ77" i="27"/>
  <c r="BQ121" i="27"/>
  <c r="BQ47" i="27"/>
  <c r="BQ15" i="27"/>
  <c r="BQ69" i="27"/>
  <c r="BQ25" i="27"/>
  <c r="BQ26" i="27"/>
  <c r="BQ84" i="27"/>
  <c r="BQ73" i="27"/>
  <c r="BQ11" i="27"/>
  <c r="BQ92" i="27"/>
  <c r="BQ78" i="27"/>
  <c r="BQ38" i="27"/>
  <c r="BQ96" i="27"/>
  <c r="BQ31" i="27"/>
  <c r="BQ35" i="27"/>
  <c r="BQ112" i="27"/>
  <c r="BQ134" i="27"/>
  <c r="BQ140" i="27"/>
  <c r="BQ101" i="27"/>
  <c r="BQ74" i="27"/>
  <c r="BQ138" i="27"/>
  <c r="BQ70" i="27"/>
  <c r="AD59" i="27" l="1" a="1"/>
  <c r="AD59" i="27" s="1"/>
  <c r="AE96" i="27" a="1"/>
  <c r="AE96" i="27" s="1"/>
  <c r="O96" i="27" a="1"/>
  <c r="O96" i="27" s="1"/>
  <c r="AH96" i="27" a="1"/>
  <c r="AH96" i="27" s="1"/>
  <c r="X96" i="27" a="1"/>
  <c r="X96" i="27" s="1"/>
  <c r="AE59" i="27" a="1"/>
  <c r="AE59" i="27" s="1"/>
  <c r="AF96" i="27" a="1"/>
  <c r="AF96" i="27" s="1"/>
  <c r="Y96" i="27" a="1"/>
  <c r="Y96" i="27" s="1"/>
  <c r="AC96" i="27" a="1"/>
  <c r="AC96" i="27" s="1"/>
  <c r="O59" i="27" a="1"/>
  <c r="O59" i="27" s="1"/>
  <c r="M96" i="27" a="1"/>
  <c r="M96" i="27" s="1"/>
  <c r="AD96" i="27" a="1"/>
  <c r="AD96" i="27" s="1"/>
  <c r="V96" i="27" a="1"/>
  <c r="V96" i="27" s="1"/>
  <c r="L96" i="27" a="1"/>
  <c r="L96" i="27" s="1"/>
  <c r="S59" i="27" a="1"/>
  <c r="S59" i="27" s="1"/>
  <c r="R96" i="27" a="1"/>
  <c r="R96" i="27" s="1"/>
  <c r="Z96" i="27" a="1"/>
  <c r="Z96" i="27" s="1"/>
  <c r="P96" i="27" a="1"/>
  <c r="P96" i="27" s="1"/>
  <c r="AH59" i="27" a="1"/>
  <c r="AH59" i="27" s="1"/>
  <c r="AI96" i="27" a="1"/>
  <c r="AI96" i="27" s="1"/>
  <c r="L59" i="27" a="1"/>
  <c r="L59" i="27" s="1"/>
  <c r="R59" i="27" a="1"/>
  <c r="R59" i="27" s="1"/>
  <c r="S96" i="27" a="1"/>
  <c r="S96" i="27" s="1"/>
  <c r="V59" i="27" a="1"/>
  <c r="V59" i="27" s="1"/>
  <c r="W96" i="27" a="1"/>
  <c r="W96" i="27" s="1"/>
  <c r="M59" i="27" a="1"/>
  <c r="M59" i="27" s="1"/>
  <c r="AB96" i="27" a="1"/>
  <c r="AB96" i="27" s="1"/>
  <c r="N96" i="27" a="1"/>
  <c r="N96" i="27" s="1"/>
  <c r="T96" i="27" a="1"/>
  <c r="T96" i="27" s="1"/>
  <c r="AF59" i="27" a="1"/>
  <c r="AF59" i="27" s="1"/>
  <c r="AG96" i="27" a="1"/>
  <c r="AG96" i="27" s="1"/>
  <c r="Q59" i="27" a="1"/>
  <c r="Q59" i="27" s="1"/>
  <c r="P59" i="27" a="1"/>
  <c r="P59" i="27" s="1"/>
  <c r="Q96" i="27" a="1"/>
  <c r="Q96" i="27" s="1"/>
  <c r="T59" i="27" a="1"/>
  <c r="T59" i="27" s="1"/>
  <c r="U96" i="27" a="1"/>
  <c r="U96" i="27" s="1"/>
  <c r="Z59" i="27" a="1"/>
  <c r="Z59" i="27" s="1"/>
  <c r="AA96" i="27" a="1"/>
  <c r="AA96" i="27" s="1"/>
  <c r="T135" i="27" a="1"/>
  <c r="T135" i="27" s="1"/>
  <c r="F94" i="12" l="1"/>
  <c r="M94" i="12" s="1"/>
  <c r="N94" i="12"/>
  <c r="N94" i="30"/>
  <c r="F94" i="30"/>
  <c r="M94" i="30" s="1"/>
  <c r="R101" i="27" a="1"/>
  <c r="R101" i="27" s="1"/>
  <c r="Y81" i="27" a="1"/>
  <c r="Y81" i="27" s="1"/>
  <c r="X74" i="27" a="1"/>
  <c r="X74" i="27" s="1"/>
  <c r="O101" i="27" a="1"/>
  <c r="O101" i="27" s="1"/>
  <c r="S101" i="27" a="1"/>
  <c r="S101" i="27" s="1"/>
  <c r="AC74" i="27" a="1"/>
  <c r="AC74" i="27" s="1"/>
  <c r="AF101" i="27" a="1"/>
  <c r="AF101" i="27" s="1"/>
  <c r="AA74" i="27" a="1"/>
  <c r="AA74" i="27" s="1"/>
  <c r="AB101" i="27" a="1"/>
  <c r="AB101" i="27" s="1"/>
  <c r="AF81" i="27" a="1"/>
  <c r="AF81" i="27" s="1"/>
  <c r="Y74" i="27" a="1"/>
  <c r="Y74" i="27" s="1"/>
  <c r="Z101" i="27" a="1"/>
  <c r="Z101" i="27" s="1"/>
  <c r="V74" i="27" a="1"/>
  <c r="V74" i="27" s="1"/>
  <c r="AG101" i="27" a="1"/>
  <c r="AG101" i="27" s="1"/>
  <c r="Z81" i="27" a="1"/>
  <c r="Z81" i="27" s="1"/>
  <c r="Z74" i="27" a="1"/>
  <c r="Z74" i="27" s="1"/>
  <c r="L44" i="27" a="1"/>
  <c r="L44" i="27" s="1"/>
  <c r="M101" i="27" a="1"/>
  <c r="M101" i="27" s="1"/>
  <c r="AD74" i="27" a="1"/>
  <c r="AD74" i="27" s="1"/>
  <c r="P44" i="27" a="1"/>
  <c r="P44" i="27" s="1"/>
  <c r="Q101" i="27" a="1"/>
  <c r="Q101" i="27" s="1"/>
  <c r="W74" i="27" a="1"/>
  <c r="W74" i="27" s="1"/>
  <c r="L101" i="27" a="1"/>
  <c r="L101" i="27" s="1"/>
  <c r="V67" i="27" a="1"/>
  <c r="V67" i="27" s="1"/>
  <c r="N99" i="27" a="1"/>
  <c r="N99" i="27" s="1"/>
  <c r="M99" i="27" a="1"/>
  <c r="M99" i="27" s="1"/>
  <c r="AA111" i="27" a="1"/>
  <c r="AA111" i="27" s="1"/>
  <c r="T81" i="27" a="1"/>
  <c r="T81" i="27" s="1"/>
  <c r="AD115" i="27" a="1"/>
  <c r="AD115" i="27" s="1"/>
  <c r="V99" i="27" a="1"/>
  <c r="V99" i="27" s="1"/>
  <c r="AB135" i="27" a="1"/>
  <c r="AB135" i="27" s="1"/>
  <c r="W135" i="27" a="1"/>
  <c r="W135" i="27" s="1"/>
  <c r="M135" i="27" a="1"/>
  <c r="M135" i="27" s="1"/>
  <c r="Z135" i="27" a="1"/>
  <c r="Z135" i="27" s="1"/>
  <c r="U135" i="27" a="1"/>
  <c r="U135" i="27" s="1"/>
  <c r="AI135" i="27" a="1"/>
  <c r="AI135" i="27" s="1"/>
  <c r="AA135" i="27" a="1"/>
  <c r="AA135" i="27" s="1"/>
  <c r="Y135" i="27" a="1"/>
  <c r="Y135" i="27" s="1"/>
  <c r="AA67" i="27" a="1"/>
  <c r="AA67" i="27" s="1"/>
  <c r="T54" i="27" a="1"/>
  <c r="T54" i="27" s="1"/>
  <c r="AF54" i="27" a="1"/>
  <c r="AF54" i="27" s="1"/>
  <c r="AH67" i="27" a="1"/>
  <c r="AH67" i="27" s="1"/>
  <c r="AG115" i="27" a="1"/>
  <c r="AG115" i="27" s="1"/>
  <c r="U59" i="27" a="1"/>
  <c r="U59" i="27" s="1"/>
  <c r="Y45" i="27" a="1"/>
  <c r="Y45" i="27" s="1"/>
  <c r="AI70" i="27" a="1"/>
  <c r="AI70" i="27" s="1"/>
  <c r="W111" i="27" a="1"/>
  <c r="W111" i="27" s="1"/>
  <c r="W99" i="27" a="1"/>
  <c r="W99" i="27" s="1"/>
  <c r="AI111" i="27" a="1"/>
  <c r="AI111" i="27" s="1"/>
  <c r="Z45" i="27" a="1"/>
  <c r="Z45" i="27" s="1"/>
  <c r="AF45" i="27" a="1"/>
  <c r="AF45" i="27" s="1"/>
  <c r="AA54" i="27" a="1"/>
  <c r="AA54" i="27" s="1"/>
  <c r="AE45" i="27" a="1"/>
  <c r="AE45" i="27" s="1"/>
  <c r="M70" i="27" a="1"/>
  <c r="M70" i="27" s="1"/>
  <c r="BK96" i="27"/>
  <c r="BM96" i="27" s="1"/>
  <c r="X111" i="27" a="1"/>
  <c r="X111" i="27" s="1"/>
  <c r="Q45" i="27" a="1"/>
  <c r="Q45" i="27" s="1"/>
  <c r="AG59" i="27" a="1"/>
  <c r="AG59" i="27" s="1"/>
  <c r="M111" i="27" a="1"/>
  <c r="M111" i="27" s="1"/>
  <c r="M54" i="27" a="1"/>
  <c r="M54" i="27" s="1"/>
  <c r="AI67" i="27" a="1"/>
  <c r="AI67" i="27" s="1"/>
  <c r="N70" i="27" a="1"/>
  <c r="N70" i="27" s="1"/>
  <c r="AC115" i="27" a="1"/>
  <c r="AC115" i="27" s="1"/>
  <c r="AA115" i="27" a="1"/>
  <c r="AA115" i="27" s="1"/>
  <c r="W45" i="27" a="1"/>
  <c r="W45" i="27" s="1"/>
  <c r="AG70" i="27" a="1"/>
  <c r="AG70" i="27" s="1"/>
  <c r="AF99" i="27" a="1"/>
  <c r="AF99" i="27" s="1"/>
  <c r="W54" i="27" a="1"/>
  <c r="W54" i="27" s="1"/>
  <c r="Z115" i="27" a="1"/>
  <c r="Z115" i="27" s="1"/>
  <c r="AI54" i="27" a="1"/>
  <c r="AI54" i="27" s="1"/>
  <c r="AF115" i="27" a="1"/>
  <c r="AF115" i="27" s="1"/>
  <c r="N59" i="27" a="1"/>
  <c r="N59" i="27" s="1"/>
  <c r="AE111" i="27" a="1"/>
  <c r="AE111" i="27" s="1"/>
  <c r="AB70" i="27" a="1"/>
  <c r="AB70" i="27" s="1"/>
  <c r="AE99" i="27" a="1"/>
  <c r="AE99" i="27" s="1"/>
  <c r="L74" i="27" a="1"/>
  <c r="L74" i="27" s="1"/>
  <c r="O70" i="27" a="1"/>
  <c r="O70" i="27" s="1"/>
  <c r="N101" i="27" a="1"/>
  <c r="N101" i="27" s="1"/>
  <c r="AG74" i="27" a="1"/>
  <c r="AG74" i="27" s="1"/>
  <c r="AE44" i="27" a="1"/>
  <c r="AE44" i="27" s="1"/>
  <c r="AH101" i="27" a="1"/>
  <c r="AH101" i="27" s="1"/>
  <c r="P101" i="27" a="1"/>
  <c r="P101" i="27" s="1"/>
  <c r="Q70" i="27" a="1"/>
  <c r="Q70" i="27" s="1"/>
  <c r="X101" i="27" a="1"/>
  <c r="X101" i="27" s="1"/>
  <c r="AF74" i="27" a="1"/>
  <c r="AF74" i="27" s="1"/>
  <c r="AD61" i="27" a="1"/>
  <c r="AD61" i="27" s="1"/>
  <c r="W101" i="27" a="1"/>
  <c r="W101" i="27" s="1"/>
  <c r="AD135" i="27" a="1"/>
  <c r="AD135" i="27" s="1"/>
  <c r="R135" i="27" a="1"/>
  <c r="R135" i="27" s="1"/>
  <c r="X135" i="27" a="1"/>
  <c r="X135" i="27" s="1"/>
  <c r="T70" i="27" a="1"/>
  <c r="T70" i="27" s="1"/>
  <c r="R45" i="27" a="1"/>
  <c r="R45" i="27" s="1"/>
  <c r="AA101" i="27" a="1"/>
  <c r="AA101" i="27" s="1"/>
  <c r="AD81" i="27" a="1"/>
  <c r="AD81" i="27" s="1"/>
  <c r="O74" i="27" a="1"/>
  <c r="O74" i="27" s="1"/>
  <c r="M74" i="27" a="1"/>
  <c r="M74" i="27" s="1"/>
  <c r="AE61" i="27" a="1"/>
  <c r="AE61" i="27" s="1"/>
  <c r="AC81" i="27" a="1"/>
  <c r="AC81" i="27" s="1"/>
  <c r="U74" i="27" a="1"/>
  <c r="U74" i="27" s="1"/>
  <c r="S61" i="27" a="1"/>
  <c r="S61" i="27" s="1"/>
  <c r="AI45" i="27" a="1"/>
  <c r="AI45" i="27" s="1"/>
  <c r="N45" i="27" a="1"/>
  <c r="N45" i="27" s="1"/>
  <c r="P115" i="27" a="1"/>
  <c r="P115" i="27" s="1"/>
  <c r="AI99" i="27" a="1"/>
  <c r="AI99" i="27" s="1"/>
  <c r="L67" i="27" a="1"/>
  <c r="L67" i="27" s="1"/>
  <c r="AD67" i="27" a="1"/>
  <c r="AD67" i="27" s="1"/>
  <c r="P67" i="27" a="1"/>
  <c r="P67" i="27" s="1"/>
  <c r="Q81" i="27" a="1"/>
  <c r="Q81" i="27" s="1"/>
  <c r="N74" i="27" a="1"/>
  <c r="N74" i="27" s="1"/>
  <c r="AB54" i="27" a="1"/>
  <c r="AB54" i="27" s="1"/>
  <c r="AF61" i="27" a="1"/>
  <c r="AF61" i="27" s="1"/>
  <c r="X44" i="27" a="1"/>
  <c r="X44" i="27" s="1"/>
  <c r="P45" i="27" a="1"/>
  <c r="P45" i="27" s="1"/>
  <c r="Y101" i="27" a="1"/>
  <c r="Y101" i="27" s="1"/>
  <c r="M81" i="27" a="1"/>
  <c r="M81" i="27" s="1"/>
  <c r="X70" i="27" a="1"/>
  <c r="X70" i="27" s="1"/>
  <c r="P74" i="27" a="1"/>
  <c r="P74" i="27" s="1"/>
  <c r="N61" i="27" a="1"/>
  <c r="N61" i="27" s="1"/>
  <c r="AD44" i="27" a="1"/>
  <c r="AD44" i="27" s="1"/>
  <c r="V45" i="27" a="1"/>
  <c r="V45" i="27" s="1"/>
  <c r="AE101" i="27" a="1"/>
  <c r="AE101" i="27" s="1"/>
  <c r="AE74" i="27" a="1"/>
  <c r="AE74" i="27" s="1"/>
  <c r="Y54" i="27" a="1"/>
  <c r="Y54" i="27" s="1"/>
  <c r="AG61" i="27" a="1"/>
  <c r="AG61" i="27" s="1"/>
  <c r="AD101" i="27" a="1"/>
  <c r="AD101" i="27" s="1"/>
  <c r="AG81" i="27" a="1"/>
  <c r="AG81" i="27" s="1"/>
  <c r="AI74" i="27" a="1"/>
  <c r="AI74" i="27" s="1"/>
  <c r="U45" i="27" a="1"/>
  <c r="U45" i="27" s="1"/>
  <c r="T101" i="27" a="1"/>
  <c r="T101" i="27" s="1"/>
  <c r="AE81" i="27" a="1"/>
  <c r="AE81" i="27" s="1"/>
  <c r="S70" i="27" a="1"/>
  <c r="S70" i="27" s="1"/>
  <c r="S74" i="27" a="1"/>
  <c r="S74" i="27" s="1"/>
  <c r="AC44" i="27" a="1"/>
  <c r="AC44" i="27" s="1"/>
  <c r="V101" i="27" a="1"/>
  <c r="V101" i="27" s="1"/>
  <c r="R70" i="27" a="1"/>
  <c r="R70" i="27" s="1"/>
  <c r="AH74" i="27" a="1"/>
  <c r="AH74" i="27" s="1"/>
  <c r="X54" i="27" a="1"/>
  <c r="X54" i="27" s="1"/>
  <c r="AB61" i="27" a="1"/>
  <c r="AB61" i="27" s="1"/>
  <c r="T44" i="27" a="1"/>
  <c r="T44" i="27" s="1"/>
  <c r="U101" i="27" a="1"/>
  <c r="U101" i="27" s="1"/>
  <c r="O111" i="27" a="1"/>
  <c r="O111" i="27" s="1"/>
  <c r="AH111" i="27" a="1"/>
  <c r="AH111" i="27" s="1"/>
  <c r="L111" i="27" a="1"/>
  <c r="L111" i="27" s="1"/>
  <c r="T111" i="27" a="1"/>
  <c r="T111" i="27" s="1"/>
  <c r="Z67" i="27" a="1"/>
  <c r="Z67" i="27" s="1"/>
  <c r="N67" i="27" a="1"/>
  <c r="N67" i="27" s="1"/>
  <c r="R99" i="27" a="1"/>
  <c r="R99" i="27" s="1"/>
  <c r="S115" i="27" a="1"/>
  <c r="S115" i="27" s="1"/>
  <c r="AH115" i="27" a="1"/>
  <c r="AH115" i="27" s="1"/>
  <c r="AE67" i="27" a="1"/>
  <c r="AE67" i="27" s="1"/>
  <c r="T99" i="27" a="1"/>
  <c r="T99" i="27" s="1"/>
  <c r="AA99" i="27" a="1"/>
  <c r="AA99" i="27" s="1"/>
  <c r="U115" i="27" a="1"/>
  <c r="U115" i="27" s="1"/>
  <c r="O115" i="27" a="1"/>
  <c r="O115" i="27" s="1"/>
  <c r="P111" i="27" a="1"/>
  <c r="P111" i="27" s="1"/>
  <c r="Q111" i="27" a="1"/>
  <c r="Q111" i="27" s="1"/>
  <c r="R67" i="27" a="1"/>
  <c r="R67" i="27" s="1"/>
  <c r="Y67" i="27" a="1"/>
  <c r="Y67" i="27" s="1"/>
  <c r="U67" i="27" a="1"/>
  <c r="U67" i="27" s="1"/>
  <c r="AC67" i="27" a="1"/>
  <c r="AC67" i="27" s="1"/>
  <c r="P99" i="27" a="1"/>
  <c r="P99" i="27" s="1"/>
  <c r="AB99" i="27" a="1"/>
  <c r="AB99" i="27" s="1"/>
  <c r="L115" i="27" a="1"/>
  <c r="L115" i="27" s="1"/>
  <c r="V115" i="27" a="1"/>
  <c r="V115" i="27" s="1"/>
  <c r="N111" i="27" a="1"/>
  <c r="N111" i="27" s="1"/>
  <c r="AF135" i="27" a="1"/>
  <c r="AF135" i="27" s="1"/>
  <c r="AC135" i="27" a="1"/>
  <c r="AC135" i="27" s="1"/>
  <c r="O135" i="27" a="1"/>
  <c r="O135" i="27" s="1"/>
  <c r="V135" i="27" a="1"/>
  <c r="V135" i="27" s="1"/>
  <c r="P135" i="27" a="1"/>
  <c r="P135" i="27" s="1"/>
  <c r="AD45" i="27" a="1"/>
  <c r="AD45" i="27" s="1"/>
  <c r="Z54" i="27" a="1"/>
  <c r="Z54" i="27" s="1"/>
  <c r="X67" i="27" a="1"/>
  <c r="X67" i="27" s="1"/>
  <c r="L54" i="27" a="1"/>
  <c r="L54" i="27" s="1"/>
  <c r="U111" i="27" a="1"/>
  <c r="U111" i="27" s="1"/>
  <c r="O45" i="27" a="1"/>
  <c r="O45" i="27" s="1"/>
  <c r="V70" i="27" a="1"/>
  <c r="V70" i="27" s="1"/>
  <c r="U99" i="27" a="1"/>
  <c r="U99" i="27" s="1"/>
  <c r="P54" i="27" a="1"/>
  <c r="P54" i="27" s="1"/>
  <c r="Q115" i="27" a="1"/>
  <c r="Q115" i="27" s="1"/>
  <c r="M115" i="27" a="1"/>
  <c r="M115" i="27" s="1"/>
  <c r="AB45" i="27" a="1"/>
  <c r="AB45" i="27" s="1"/>
  <c r="AH70" i="27" a="1"/>
  <c r="AH70" i="27" s="1"/>
  <c r="AG99" i="27" a="1"/>
  <c r="AG99" i="27" s="1"/>
  <c r="N54" i="27" a="1"/>
  <c r="N54" i="27" s="1"/>
  <c r="AA70" i="27" a="1"/>
  <c r="AA70" i="27" s="1"/>
  <c r="AC54" i="27" a="1"/>
  <c r="AC54" i="27" s="1"/>
  <c r="W67" i="27" a="1"/>
  <c r="W67" i="27" s="1"/>
  <c r="T115" i="27" a="1"/>
  <c r="T115" i="27" s="1"/>
  <c r="U54" i="27" a="1"/>
  <c r="U54" i="27" s="1"/>
  <c r="S67" i="27" a="1"/>
  <c r="S67" i="27" s="1"/>
  <c r="AB115" i="27" a="1"/>
  <c r="AB115" i="27" s="1"/>
  <c r="V54" i="27" a="1"/>
  <c r="V54" i="27" s="1"/>
  <c r="T67" i="27" a="1"/>
  <c r="T67" i="27" s="1"/>
  <c r="W115" i="27" a="1"/>
  <c r="W115" i="27" s="1"/>
  <c r="S111" i="27" a="1"/>
  <c r="S111" i="27" s="1"/>
  <c r="L45" i="27" a="1"/>
  <c r="L45" i="27" s="1"/>
  <c r="P70" i="27" a="1"/>
  <c r="P70" i="27" s="1"/>
  <c r="S99" i="27" a="1"/>
  <c r="S99" i="27" s="1"/>
  <c r="O99" i="27" a="1"/>
  <c r="O99" i="27" s="1"/>
  <c r="AH54" i="27" a="1"/>
  <c r="AH54" i="27" s="1"/>
  <c r="AF67" i="27" a="1"/>
  <c r="AF67" i="27" s="1"/>
  <c r="AI115" i="27" a="1"/>
  <c r="AI115" i="27" s="1"/>
  <c r="V111" i="27" a="1"/>
  <c r="V111" i="27" s="1"/>
  <c r="S45" i="27" a="1"/>
  <c r="S45" i="27" s="1"/>
  <c r="U70" i="27" a="1"/>
  <c r="U70" i="27" s="1"/>
  <c r="AA59" i="27" a="1"/>
  <c r="AA59" i="27" s="1"/>
  <c r="Z99" i="27" a="1"/>
  <c r="Z99" i="27" s="1"/>
  <c r="R111" i="27" a="1"/>
  <c r="R111" i="27" s="1"/>
  <c r="S54" i="27" a="1"/>
  <c r="S54" i="27" s="1"/>
  <c r="M67" i="27" a="1"/>
  <c r="M67" i="27" s="1"/>
  <c r="Y115" i="27" a="1"/>
  <c r="Y115" i="27" s="1"/>
  <c r="AG45" i="27" a="1"/>
  <c r="AG45" i="27" s="1"/>
  <c r="AE70" i="27" a="1"/>
  <c r="AE70" i="27" s="1"/>
  <c r="Y59" i="27" a="1"/>
  <c r="Y59" i="27" s="1"/>
  <c r="L99" i="27" a="1"/>
  <c r="L99" i="27" s="1"/>
  <c r="AG54" i="27" a="1"/>
  <c r="AG54" i="27" s="1"/>
  <c r="O67" i="27" a="1"/>
  <c r="O67" i="27" s="1"/>
  <c r="X115" i="27" a="1"/>
  <c r="X115" i="27" s="1"/>
  <c r="N115" i="27" a="1"/>
  <c r="N115" i="27" s="1"/>
  <c r="AD111" i="27" a="1"/>
  <c r="AD111" i="27" s="1"/>
  <c r="AC45" i="27" a="1"/>
  <c r="AC45" i="27" s="1"/>
  <c r="W70" i="27" a="1"/>
  <c r="W70" i="27" s="1"/>
  <c r="AC59" i="27" a="1"/>
  <c r="AC59" i="27" s="1"/>
  <c r="Q54" i="27" a="1"/>
  <c r="Q54" i="27" s="1"/>
  <c r="AC111" i="27" a="1"/>
  <c r="AC111" i="27" s="1"/>
  <c r="X45" i="27" a="1"/>
  <c r="X45" i="27" s="1"/>
  <c r="AD70" i="27" a="1"/>
  <c r="AD70" i="27" s="1"/>
  <c r="AB59" i="27" a="1"/>
  <c r="AB59" i="27" s="1"/>
  <c r="AC99" i="27" a="1"/>
  <c r="AC99" i="27" s="1"/>
  <c r="Y111" i="27" a="1"/>
  <c r="Y111" i="27" s="1"/>
  <c r="T45" i="27" a="1"/>
  <c r="T45" i="27" s="1"/>
  <c r="Z70" i="27" a="1"/>
  <c r="Z70" i="27" s="1"/>
  <c r="X59" i="27" a="1"/>
  <c r="X59" i="27" s="1"/>
  <c r="Y99" i="27" a="1"/>
  <c r="Y99" i="27" s="1"/>
  <c r="AE54" i="27" a="1"/>
  <c r="AE54" i="27" s="1"/>
  <c r="AG67" i="27" a="1"/>
  <c r="AG67" i="27" s="1"/>
  <c r="Z111" i="27" a="1"/>
  <c r="Z111" i="27" s="1"/>
  <c r="M45" i="27" a="1"/>
  <c r="M45" i="27" s="1"/>
  <c r="Y70" i="27" a="1"/>
  <c r="Y70" i="27" s="1"/>
  <c r="W59" i="27" a="1"/>
  <c r="W59" i="27" s="1"/>
  <c r="X99" i="27" a="1"/>
  <c r="X99" i="27" s="1"/>
  <c r="R115" i="27" a="1"/>
  <c r="R115" i="27" s="1"/>
  <c r="AF111" i="27" a="1"/>
  <c r="AF111" i="27" s="1"/>
  <c r="AA45" i="27" a="1"/>
  <c r="AA45" i="27" s="1"/>
  <c r="AC70" i="27" a="1"/>
  <c r="AC70" i="27" s="1"/>
  <c r="AI59" i="27" a="1"/>
  <c r="AI59" i="27" s="1"/>
  <c r="AH99" i="27" a="1"/>
  <c r="AH99" i="27" s="1"/>
  <c r="O54" i="27" a="1"/>
  <c r="O54" i="27" s="1"/>
  <c r="L70" i="27" a="1"/>
  <c r="L70" i="27" s="1"/>
  <c r="AD54" i="27" a="1"/>
  <c r="AD54" i="27" s="1"/>
  <c r="AB67" i="27" a="1"/>
  <c r="AB67" i="27" s="1"/>
  <c r="AE115" i="27" a="1"/>
  <c r="AE115" i="27" s="1"/>
  <c r="AB81" i="27" a="1"/>
  <c r="AB81" i="27" s="1"/>
  <c r="Q74" i="27" a="1"/>
  <c r="Q74" i="27" s="1"/>
  <c r="AI61" i="27" a="1"/>
  <c r="AI61" i="27" s="1"/>
  <c r="O44" i="27" a="1"/>
  <c r="O44" i="27" s="1"/>
  <c r="R74" i="27" a="1"/>
  <c r="R74" i="27" s="1"/>
  <c r="AB44" i="27" a="1"/>
  <c r="AB44" i="27" s="1"/>
  <c r="AC101" i="27" a="1"/>
  <c r="AC101" i="27" s="1"/>
  <c r="T74" i="27" a="1"/>
  <c r="T74" i="27" s="1"/>
  <c r="AI101" i="27" a="1"/>
  <c r="AI101" i="27" s="1"/>
  <c r="AF70" i="27" a="1"/>
  <c r="AF70" i="27" s="1"/>
  <c r="R54" i="27" a="1"/>
  <c r="R54" i="27" s="1"/>
  <c r="P81" i="27" a="1"/>
  <c r="P81" i="27" s="1"/>
  <c r="AB74" i="27" a="1"/>
  <c r="AB74" i="27" s="1"/>
  <c r="Z61" i="27" a="1"/>
  <c r="Z61" i="27" s="1"/>
  <c r="AH45" i="27" a="1"/>
  <c r="AH45" i="27" s="1"/>
  <c r="AI81" i="27" a="1"/>
  <c r="AI81" i="27" s="1"/>
  <c r="AB111" i="27" a="1"/>
  <c r="AB111" i="27" s="1"/>
  <c r="AG111" i="27" a="1"/>
  <c r="AG111" i="27" s="1"/>
  <c r="Q99" i="27" a="1"/>
  <c r="Q99" i="27" s="1"/>
  <c r="AD99" i="27" a="1"/>
  <c r="AD99" i="27" s="1"/>
  <c r="Q67" i="27" a="1"/>
  <c r="Q67" i="27" s="1"/>
  <c r="N135" i="27" a="1"/>
  <c r="N135" i="27" s="1"/>
  <c r="AG135" i="27" a="1"/>
  <c r="AG135" i="27" s="1"/>
  <c r="AE135" i="27" a="1"/>
  <c r="AE135" i="27" s="1"/>
  <c r="S135" i="27" a="1"/>
  <c r="S135" i="27" s="1"/>
  <c r="L135" i="27" a="1"/>
  <c r="L135" i="27" s="1"/>
  <c r="Q135" i="27" a="1"/>
  <c r="Q135" i="27" s="1"/>
  <c r="AH135" i="27" a="1"/>
  <c r="AH135" i="27" s="1"/>
  <c r="AC8" i="27" a="1"/>
  <c r="AC8" i="27" s="1"/>
  <c r="AD8" i="27" a="1"/>
  <c r="AD8" i="27" s="1"/>
  <c r="X8" i="27" a="1"/>
  <c r="X8" i="27" s="1"/>
  <c r="AB8" i="27" a="1"/>
  <c r="AB8" i="27" s="1"/>
  <c r="AI8" i="27" a="1"/>
  <c r="AI8" i="27" s="1"/>
  <c r="Y8" i="27" a="1"/>
  <c r="Y8" i="27" s="1"/>
  <c r="R8" i="27" a="1"/>
  <c r="R8" i="27" s="1"/>
  <c r="AG8" i="27" a="1"/>
  <c r="AG8" i="27" s="1"/>
  <c r="O8" i="27" a="1"/>
  <c r="O8" i="27" s="1"/>
  <c r="AH8" i="27" a="1"/>
  <c r="AH8" i="27" s="1"/>
  <c r="N8" i="27" a="1"/>
  <c r="N8" i="27" s="1"/>
  <c r="Q8" i="27" a="1"/>
  <c r="Q8" i="27" s="1"/>
  <c r="V8" i="27" a="1"/>
  <c r="V8" i="27" s="1"/>
  <c r="W8" i="27" a="1"/>
  <c r="W8" i="27" s="1"/>
  <c r="U8" i="27" a="1"/>
  <c r="U8" i="27" s="1"/>
  <c r="Z8" i="27" a="1"/>
  <c r="Z8" i="27" s="1"/>
  <c r="AF8" i="27" a="1"/>
  <c r="AF8" i="27" s="1"/>
  <c r="L8" i="27"/>
  <c r="T8" i="27" a="1"/>
  <c r="T8" i="27" s="1"/>
  <c r="AA8" i="27" a="1"/>
  <c r="AA8" i="27" s="1"/>
  <c r="S8" i="27" a="1"/>
  <c r="S8" i="27" s="1"/>
  <c r="AE8" i="27" a="1"/>
  <c r="AE8" i="27" s="1"/>
  <c r="M8" i="27" a="1"/>
  <c r="M8" i="27" s="1"/>
  <c r="P8" i="27" a="1"/>
  <c r="P8" i="27" s="1"/>
  <c r="O94" i="30" l="1"/>
  <c r="AB94" i="30" s="1"/>
  <c r="N57" i="30"/>
  <c r="O94" i="12"/>
  <c r="AB94" i="12" s="1"/>
  <c r="N57" i="12"/>
  <c r="G133" i="30"/>
  <c r="G133" i="12"/>
  <c r="N52" i="12"/>
  <c r="F52" i="12"/>
  <c r="M52" i="12" s="1"/>
  <c r="N52" i="30"/>
  <c r="F52" i="30"/>
  <c r="M52" i="30" s="1"/>
  <c r="N65" i="12"/>
  <c r="F65" i="12"/>
  <c r="M65" i="12" s="1"/>
  <c r="F65" i="30"/>
  <c r="M65" i="30" s="1"/>
  <c r="N65" i="30"/>
  <c r="N97" i="12"/>
  <c r="F97" i="12"/>
  <c r="M97" i="12" s="1"/>
  <c r="N97" i="30"/>
  <c r="F97" i="30"/>
  <c r="M97" i="30" s="1"/>
  <c r="F72" i="12"/>
  <c r="M72" i="12" s="1"/>
  <c r="N72" i="12"/>
  <c r="F72" i="30"/>
  <c r="M72" i="30" s="1"/>
  <c r="N72" i="30"/>
  <c r="F57" i="12"/>
  <c r="M57" i="12" s="1"/>
  <c r="F43" i="12"/>
  <c r="M43" i="12" s="1"/>
  <c r="N43" i="12"/>
  <c r="F43" i="30"/>
  <c r="M43" i="30" s="1"/>
  <c r="N43" i="30"/>
  <c r="N6" i="12"/>
  <c r="F6" i="12"/>
  <c r="M6" i="12" s="1"/>
  <c r="F6" i="30"/>
  <c r="M6" i="30" s="1"/>
  <c r="N6" i="30"/>
  <c r="F113" i="12"/>
  <c r="M113" i="12" s="1"/>
  <c r="N113" i="12"/>
  <c r="N113" i="30"/>
  <c r="F113" i="30"/>
  <c r="M113" i="30" s="1"/>
  <c r="N109" i="12"/>
  <c r="F109" i="12"/>
  <c r="M109" i="12" s="1"/>
  <c r="N109" i="30"/>
  <c r="F109" i="30"/>
  <c r="M109" i="30" s="1"/>
  <c r="N99" i="12"/>
  <c r="F99" i="12"/>
  <c r="M99" i="12" s="1"/>
  <c r="N99" i="30"/>
  <c r="F99" i="30"/>
  <c r="M99" i="30" s="1"/>
  <c r="F57" i="30"/>
  <c r="M57" i="30" s="1"/>
  <c r="N68" i="12"/>
  <c r="N68" i="30"/>
  <c r="F68" i="12"/>
  <c r="M68" i="12" s="1"/>
  <c r="F68" i="30"/>
  <c r="M68" i="30" s="1"/>
  <c r="G133" i="31"/>
  <c r="BK59" i="27"/>
  <c r="BM59" i="27" s="1"/>
  <c r="BO59" i="27" s="1"/>
  <c r="T51" i="27" a="1"/>
  <c r="T51" i="27" s="1"/>
  <c r="AF35" i="27" a="1"/>
  <c r="AF35" i="27" s="1"/>
  <c r="AH11" i="27" a="1"/>
  <c r="AH11" i="27" s="1"/>
  <c r="N103" i="27" a="1"/>
  <c r="N103" i="27" s="1"/>
  <c r="AH37" i="27" a="1"/>
  <c r="AH37" i="27" s="1"/>
  <c r="L71" i="27" a="1"/>
  <c r="L71" i="27" s="1"/>
  <c r="R85" i="27" a="1"/>
  <c r="R85" i="27" s="1"/>
  <c r="P52" i="27" a="1"/>
  <c r="P52" i="27" s="1"/>
  <c r="P123" i="27" a="1"/>
  <c r="P123" i="27" s="1"/>
  <c r="L23" i="27" a="1"/>
  <c r="L23" i="27" s="1"/>
  <c r="Z50" i="27" a="1"/>
  <c r="Z50" i="27" s="1"/>
  <c r="V30" i="27" a="1"/>
  <c r="V30" i="27" s="1"/>
  <c r="X34" i="27" a="1"/>
  <c r="X34" i="27" s="1"/>
  <c r="Z63" i="27" a="1"/>
  <c r="Z63" i="27" s="1"/>
  <c r="V85" i="27" a="1"/>
  <c r="V85" i="27" s="1"/>
  <c r="P71" i="27" a="1"/>
  <c r="P71" i="27" s="1"/>
  <c r="X35" i="27" a="1"/>
  <c r="X35" i="27" s="1"/>
  <c r="T23" i="27" a="1"/>
  <c r="T23" i="27" s="1"/>
  <c r="L52" i="27" a="1"/>
  <c r="L52" i="27" s="1"/>
  <c r="N95" i="27" a="1"/>
  <c r="N95" i="27" s="1"/>
  <c r="S79" i="27" a="1"/>
  <c r="S79" i="27" s="1"/>
  <c r="AG34" i="27" a="1"/>
  <c r="AG34" i="27" s="1"/>
  <c r="AA123" i="27" a="1"/>
  <c r="AA123" i="27" s="1"/>
  <c r="AI91" i="27" a="1"/>
  <c r="AI91" i="27" s="1"/>
  <c r="U127" i="27" a="1"/>
  <c r="U127" i="27" s="1"/>
  <c r="W83" i="27" a="1"/>
  <c r="W83" i="27" s="1"/>
  <c r="AE86" i="27" a="1"/>
  <c r="AE86" i="27" s="1"/>
  <c r="U119" i="27" a="1"/>
  <c r="U119" i="27" s="1"/>
  <c r="Y38" i="27" a="1"/>
  <c r="Y38" i="27" s="1"/>
  <c r="AC43" i="27" a="1"/>
  <c r="AC43" i="27" s="1"/>
  <c r="Y50" i="27" a="1"/>
  <c r="Y50" i="27" s="1"/>
  <c r="R63" i="27" a="1"/>
  <c r="R63" i="27" s="1"/>
  <c r="T75" i="27" a="1"/>
  <c r="T75" i="27" s="1"/>
  <c r="S35" i="27" a="1"/>
  <c r="S35" i="27" s="1"/>
  <c r="W63" i="27" a="1"/>
  <c r="W63" i="27" s="1"/>
  <c r="AC51" i="27" a="1"/>
  <c r="AC51" i="27" s="1"/>
  <c r="AI131" i="27" a="1"/>
  <c r="AI131" i="27" s="1"/>
  <c r="L51" i="27" a="1"/>
  <c r="L51" i="27" s="1"/>
  <c r="AH27" i="27" a="1"/>
  <c r="AH27" i="27" s="1"/>
  <c r="L35" i="27" a="1"/>
  <c r="L35" i="27" s="1"/>
  <c r="AH51" i="27" a="1"/>
  <c r="AH51" i="27" s="1"/>
  <c r="L47" i="27" a="1"/>
  <c r="L47" i="27" s="1"/>
  <c r="R62" i="27" a="1"/>
  <c r="R62" i="27" s="1"/>
  <c r="Z107" i="27" a="1"/>
  <c r="Z107" i="27" s="1"/>
  <c r="N31" i="27" a="1"/>
  <c r="N31" i="27" s="1"/>
  <c r="R119" i="27" a="1"/>
  <c r="R119" i="27" s="1"/>
  <c r="R19" i="27" a="1"/>
  <c r="R19" i="27" s="1"/>
  <c r="X50" i="27" a="1"/>
  <c r="X50" i="27" s="1"/>
  <c r="T87" i="27" a="1"/>
  <c r="T87" i="27" s="1"/>
  <c r="L37" i="27" a="1"/>
  <c r="L37" i="27" s="1"/>
  <c r="T83" i="27" a="1"/>
  <c r="T83" i="27" s="1"/>
  <c r="AD119" i="27" a="1"/>
  <c r="AD119" i="27" s="1"/>
  <c r="AF136" i="27" a="1"/>
  <c r="AF136" i="27" s="1"/>
  <c r="Z11" i="27" a="1"/>
  <c r="Z11" i="27" s="1"/>
  <c r="X83" i="27" a="1"/>
  <c r="X83" i="27" s="1"/>
  <c r="AB85" i="27" a="1"/>
  <c r="AB85" i="27" s="1"/>
  <c r="AF107" i="27" a="1"/>
  <c r="AF107" i="27" s="1"/>
  <c r="AB39" i="27" a="1"/>
  <c r="AB39" i="27" s="1"/>
  <c r="X38" i="27" a="1"/>
  <c r="X38" i="27" s="1"/>
  <c r="P108" i="27" a="1"/>
  <c r="P108" i="27" s="1"/>
  <c r="L63" i="27" a="1"/>
  <c r="L63" i="27" s="1"/>
  <c r="AF55" i="27" a="1"/>
  <c r="AF55" i="27" s="1"/>
  <c r="AG38" i="27" a="1"/>
  <c r="AG38" i="27" s="1"/>
  <c r="O34" i="27" a="1"/>
  <c r="O34" i="27" s="1"/>
  <c r="AH23" i="27" a="1"/>
  <c r="AH23" i="27" s="1"/>
  <c r="S71" i="27" a="1"/>
  <c r="S71" i="27" s="1"/>
  <c r="AF51" i="27" a="1"/>
  <c r="AF51" i="27" s="1"/>
  <c r="Q71" i="27" a="1"/>
  <c r="Q71" i="27" s="1"/>
  <c r="U50" i="27" a="1"/>
  <c r="U50" i="27" s="1"/>
  <c r="AG39" i="27" a="1"/>
  <c r="AG39" i="27" s="1"/>
  <c r="M11" i="27" a="1"/>
  <c r="M11" i="27" s="1"/>
  <c r="AE136" i="27" a="1"/>
  <c r="AE136" i="27" s="1"/>
  <c r="M18" i="27" a="1"/>
  <c r="M18" i="27" s="1"/>
  <c r="AF87" i="27" a="1"/>
  <c r="AF87" i="27" s="1"/>
  <c r="N136" i="27" a="1"/>
  <c r="N136" i="27" s="1"/>
  <c r="P27" i="27" a="1"/>
  <c r="P27" i="27" s="1"/>
  <c r="R47" i="27" a="1"/>
  <c r="R47" i="27" s="1"/>
  <c r="AH107" i="27" a="1"/>
  <c r="AH107" i="27" s="1"/>
  <c r="T39" i="27" a="1"/>
  <c r="T39" i="27" s="1"/>
  <c r="V31" i="27" a="1"/>
  <c r="V31" i="27" s="1"/>
  <c r="P127" i="27" a="1"/>
  <c r="P127" i="27" s="1"/>
  <c r="N19" i="27" a="1"/>
  <c r="N19" i="27" s="1"/>
  <c r="AH52" i="27" a="1"/>
  <c r="AH52" i="27" s="1"/>
  <c r="N37" i="27" a="1"/>
  <c r="N37" i="27" s="1"/>
  <c r="AF23" i="27" a="1"/>
  <c r="AF23" i="27" s="1"/>
  <c r="AD11" i="27" a="1"/>
  <c r="AD11" i="27" s="1"/>
  <c r="X87" i="27" a="1"/>
  <c r="X87" i="27" s="1"/>
  <c r="Z23" i="27" a="1"/>
  <c r="Z23" i="27" s="1"/>
  <c r="T127" i="27" a="1"/>
  <c r="T127" i="27" s="1"/>
  <c r="L107" i="27" a="1"/>
  <c r="L107" i="27" s="1"/>
  <c r="T50" i="27" a="1"/>
  <c r="T50" i="27" s="1"/>
  <c r="AB63" i="27" a="1"/>
  <c r="AB63" i="27" s="1"/>
  <c r="AB75" i="27" a="1"/>
  <c r="AB75" i="27" s="1"/>
  <c r="Z34" i="27" a="1"/>
  <c r="Z34" i="27" s="1"/>
  <c r="L11" i="27" a="1"/>
  <c r="L11" i="27" s="1"/>
  <c r="N47" i="27" a="1"/>
  <c r="N47" i="27" s="1"/>
  <c r="AH71" i="27" a="1"/>
  <c r="AH71" i="27" s="1"/>
  <c r="L55" i="27" a="1"/>
  <c r="L55" i="27" s="1"/>
  <c r="T43" i="27" a="1"/>
  <c r="T43" i="27" s="1"/>
  <c r="N127" i="27" a="1"/>
  <c r="N127" i="27" s="1"/>
  <c r="AF11" i="27" a="1"/>
  <c r="AF11" i="27" s="1"/>
  <c r="P86" i="27" a="1"/>
  <c r="P86" i="27" s="1"/>
  <c r="V34" i="27" a="1"/>
  <c r="V34" i="27" s="1"/>
  <c r="V71" i="27" a="1"/>
  <c r="V71" i="27" s="1"/>
  <c r="N119" i="27" a="1"/>
  <c r="N119" i="27" s="1"/>
  <c r="P95" i="27" a="1"/>
  <c r="P95" i="27" s="1"/>
  <c r="N55" i="27" a="1"/>
  <c r="N55" i="27" s="1"/>
  <c r="AB23" i="27" a="1"/>
  <c r="AB23" i="27" s="1"/>
  <c r="N79" i="27" a="1"/>
  <c r="N79" i="27" s="1"/>
  <c r="AB104" i="27" a="1"/>
  <c r="AB104" i="27" s="1"/>
  <c r="Z119" i="27" a="1"/>
  <c r="Z119" i="27" s="1"/>
  <c r="Z38" i="27" a="1"/>
  <c r="Z38" i="27" s="1"/>
  <c r="AH50" i="27" a="1"/>
  <c r="AH50" i="27" s="1"/>
  <c r="X95" i="27" a="1"/>
  <c r="X95" i="27" s="1"/>
  <c r="R11" i="27" a="1"/>
  <c r="R11" i="27" s="1"/>
  <c r="V87" i="27" a="1"/>
  <c r="V87" i="27" s="1"/>
  <c r="AH47" i="27" a="1"/>
  <c r="AH47" i="27" s="1"/>
  <c r="X131" i="27" a="1"/>
  <c r="X131" i="27" s="1"/>
  <c r="AB35" i="27" a="1"/>
  <c r="AB35" i="27" s="1"/>
  <c r="R37" i="27" a="1"/>
  <c r="R37" i="27" s="1"/>
  <c r="X91" i="27" a="1"/>
  <c r="X91" i="27" s="1"/>
  <c r="R104" i="27" a="1"/>
  <c r="R104" i="27" s="1"/>
  <c r="L85" i="27" a="1"/>
  <c r="L85" i="27" s="1"/>
  <c r="P38" i="27" a="1"/>
  <c r="P38" i="27" s="1"/>
  <c r="P131" i="27" a="1"/>
  <c r="P131" i="27" s="1"/>
  <c r="P107" i="27" a="1"/>
  <c r="P107" i="27" s="1"/>
  <c r="AD34" i="27" a="1"/>
  <c r="AD34" i="27" s="1"/>
  <c r="Z71" i="27" a="1"/>
  <c r="Z71" i="27" s="1"/>
  <c r="V104" i="27" a="1"/>
  <c r="V104" i="27" s="1"/>
  <c r="AB27" i="27" a="1"/>
  <c r="AB27" i="27" s="1"/>
  <c r="AF95" i="27" a="1"/>
  <c r="AF95" i="27" s="1"/>
  <c r="N38" i="27" a="1"/>
  <c r="N38" i="27" s="1"/>
  <c r="R43" i="27" a="1"/>
  <c r="R43" i="27" s="1"/>
  <c r="V62" i="27" a="1"/>
  <c r="V62" i="27" s="1"/>
  <c r="AF39" i="27" a="1"/>
  <c r="AF39" i="27" s="1"/>
  <c r="R23" i="27" a="1"/>
  <c r="R23" i="27" s="1"/>
  <c r="V103" i="27" a="1"/>
  <c r="V103" i="27" s="1"/>
  <c r="X71" i="27" a="1"/>
  <c r="X71" i="27" s="1"/>
  <c r="N35" i="27" a="1"/>
  <c r="N35" i="27" s="1"/>
  <c r="P15" i="27" a="1"/>
  <c r="P15" i="27" s="1"/>
  <c r="N50" i="27" a="1"/>
  <c r="N50" i="27" s="1"/>
  <c r="AD30" i="27" a="1"/>
  <c r="AD30" i="27" s="1"/>
  <c r="Z47" i="27" a="1"/>
  <c r="Z47" i="27" s="1"/>
  <c r="AB86" i="27" a="1"/>
  <c r="AB86" i="27" s="1"/>
  <c r="AH62" i="27" a="1"/>
  <c r="AH62" i="27" s="1"/>
  <c r="T104" i="27" a="1"/>
  <c r="T104" i="27" s="1"/>
  <c r="N97" i="27" a="1"/>
  <c r="N97" i="27" s="1"/>
  <c r="Z37" i="27" a="1"/>
  <c r="Z37" i="27" s="1"/>
  <c r="N62" i="27" a="1"/>
  <c r="N62" i="27" s="1"/>
  <c r="AF63" i="27" a="1"/>
  <c r="AF63" i="27" s="1"/>
  <c r="AB83" i="27" a="1"/>
  <c r="AB83" i="27" s="1"/>
  <c r="V35" i="27" a="1"/>
  <c r="V35" i="27" s="1"/>
  <c r="AH104" i="27" a="1"/>
  <c r="AH104" i="27" s="1"/>
  <c r="L95" i="27" a="1"/>
  <c r="L95" i="27" s="1"/>
  <c r="R39" i="27" a="1"/>
  <c r="R39" i="27" s="1"/>
  <c r="P83" i="27" a="1"/>
  <c r="P83" i="27" s="1"/>
  <c r="T85" i="27" a="1"/>
  <c r="T85" i="27" s="1"/>
  <c r="L83" i="27" a="1"/>
  <c r="L83" i="27" s="1"/>
  <c r="AB38" i="27" a="1"/>
  <c r="AB38" i="27" s="1"/>
  <c r="AH43" i="27" a="1"/>
  <c r="AH43" i="27" s="1"/>
  <c r="AH127" i="27" a="1"/>
  <c r="AH127" i="27" s="1"/>
  <c r="P37" i="27" a="1"/>
  <c r="P37" i="27" s="1"/>
  <c r="AD108" i="27" a="1"/>
  <c r="AD108" i="27" s="1"/>
  <c r="AF62" i="27" a="1"/>
  <c r="AF62" i="27" s="1"/>
  <c r="AF119" i="27" a="1"/>
  <c r="AF119" i="27" s="1"/>
  <c r="V123" i="27" a="1"/>
  <c r="V123" i="27" s="1"/>
  <c r="AF27" i="27" a="1"/>
  <c r="AF27" i="27" s="1"/>
  <c r="Z39" i="27" a="1"/>
  <c r="Z39" i="27" s="1"/>
  <c r="R30" i="27" a="1"/>
  <c r="R30" i="27" s="1"/>
  <c r="AD31" i="27" a="1"/>
  <c r="AD31" i="27" s="1"/>
  <c r="M52" i="27" a="1"/>
  <c r="M52" i="27" s="1"/>
  <c r="O108" i="27" a="1"/>
  <c r="O108" i="27" s="1"/>
  <c r="O55" i="27" a="1"/>
  <c r="O55" i="27" s="1"/>
  <c r="R35" i="27" a="1"/>
  <c r="R35" i="27" s="1"/>
  <c r="U23" i="27" a="1"/>
  <c r="U23" i="27" s="1"/>
  <c r="S30" i="27" a="1"/>
  <c r="S30" i="27" s="1"/>
  <c r="W87" i="27" a="1"/>
  <c r="W87" i="27" s="1"/>
  <c r="AG127" i="27" a="1"/>
  <c r="AG127" i="27" s="1"/>
  <c r="M136" i="27" a="1"/>
  <c r="M136" i="27" s="1"/>
  <c r="AA51" i="27" a="1"/>
  <c r="AA51" i="27" s="1"/>
  <c r="W43" i="27" a="1"/>
  <c r="W43" i="27" s="1"/>
  <c r="AC107" i="27" a="1"/>
  <c r="AC107" i="27" s="1"/>
  <c r="AI50" i="27" a="1"/>
  <c r="AI50" i="27" s="1"/>
  <c r="AI31" i="27" a="1"/>
  <c r="AI31" i="27" s="1"/>
  <c r="O87" i="27" a="1"/>
  <c r="O87" i="27" s="1"/>
  <c r="AG86" i="27" a="1"/>
  <c r="AG86" i="27" s="1"/>
  <c r="Y11" i="27" a="1"/>
  <c r="Y11" i="27" s="1"/>
  <c r="AA87" i="27" a="1"/>
  <c r="AA87" i="27" s="1"/>
  <c r="T52" i="27" a="1"/>
  <c r="T52" i="27" s="1"/>
  <c r="AF47" i="27" a="1"/>
  <c r="AF47" i="27" s="1"/>
  <c r="S62" i="27" a="1"/>
  <c r="S62" i="27" s="1"/>
  <c r="AG63" i="27" a="1"/>
  <c r="AG63" i="27" s="1"/>
  <c r="W95" i="27" a="1"/>
  <c r="W95" i="27" s="1"/>
  <c r="AA75" i="27" a="1"/>
  <c r="AA75" i="27" s="1"/>
  <c r="AD85" i="27" a="1"/>
  <c r="AD85" i="27" s="1"/>
  <c r="R55" i="27" a="1"/>
  <c r="R55" i="27" s="1"/>
  <c r="O18" i="27" a="1"/>
  <c r="O18" i="27" s="1"/>
  <c r="T95" i="27" a="1"/>
  <c r="T95" i="27" s="1"/>
  <c r="AA31" i="27" a="1"/>
  <c r="AA31" i="27" s="1"/>
  <c r="O51" i="27" a="1"/>
  <c r="O51" i="27" s="1"/>
  <c r="AG131" i="27" a="1"/>
  <c r="AG131" i="27" s="1"/>
  <c r="P103" i="27" a="1"/>
  <c r="P103" i="27" s="1"/>
  <c r="AG136" i="27" a="1"/>
  <c r="AG136" i="27" s="1"/>
  <c r="M71" i="27" a="1"/>
  <c r="M71" i="27" s="1"/>
  <c r="W104" i="27" a="1"/>
  <c r="W104" i="27" s="1"/>
  <c r="Y119" i="27" a="1"/>
  <c r="Y119" i="27" s="1"/>
  <c r="AG123" i="27" a="1"/>
  <c r="AG123" i="27" s="1"/>
  <c r="S27" i="27" a="1"/>
  <c r="S27" i="27" s="1"/>
  <c r="M95" i="27" a="1"/>
  <c r="M95" i="27" s="1"/>
  <c r="AE97" i="27" a="1"/>
  <c r="AE97" i="27" s="1"/>
  <c r="AG85" i="27" a="1"/>
  <c r="AG85" i="27" s="1"/>
  <c r="AI52" i="27" a="1"/>
  <c r="AI52" i="27" s="1"/>
  <c r="M15" i="27" a="1"/>
  <c r="M15" i="27" s="1"/>
  <c r="AI136" i="27" a="1"/>
  <c r="AI136" i="27" s="1"/>
  <c r="W11" i="27" a="1"/>
  <c r="W11" i="27" s="1"/>
  <c r="Y23" i="27" a="1"/>
  <c r="Y23" i="27" s="1"/>
  <c r="W107" i="27" a="1"/>
  <c r="W107" i="27" s="1"/>
  <c r="AC11" i="27" a="1"/>
  <c r="AC11" i="27" s="1"/>
  <c r="U15" i="27" a="1"/>
  <c r="U15" i="27" s="1"/>
  <c r="AG108" i="27" a="1"/>
  <c r="AG108" i="27" s="1"/>
  <c r="U71" i="27" a="1"/>
  <c r="U71" i="27" s="1"/>
  <c r="U86" i="27" a="1"/>
  <c r="U86" i="27" s="1"/>
  <c r="O127" i="27" a="1"/>
  <c r="O127" i="27" s="1"/>
  <c r="N34" i="27" a="1"/>
  <c r="N34" i="27" s="1"/>
  <c r="AC71" i="27" a="1"/>
  <c r="AC71" i="27" s="1"/>
  <c r="Q18" i="27" a="1"/>
  <c r="Q18" i="27" s="1"/>
  <c r="O83" i="27" a="1"/>
  <c r="O83" i="27" s="1"/>
  <c r="AI79" i="27" a="1"/>
  <c r="AI79" i="27" s="1"/>
  <c r="U47" i="27" a="1"/>
  <c r="U47" i="27" s="1"/>
  <c r="O79" i="27" a="1"/>
  <c r="O79" i="27" s="1"/>
  <c r="AI23" i="27" a="1"/>
  <c r="AI23" i="27" s="1"/>
  <c r="X18" i="27" a="1"/>
  <c r="X18" i="27" s="1"/>
  <c r="U30" i="27" a="1"/>
  <c r="U30" i="27" s="1"/>
  <c r="AG31" i="27" a="1"/>
  <c r="AG31" i="27" s="1"/>
  <c r="W62" i="27" a="1"/>
  <c r="W62" i="27" s="1"/>
  <c r="O119" i="27" a="1"/>
  <c r="O119" i="27" s="1"/>
  <c r="AC31" i="27" a="1"/>
  <c r="AC31" i="27" s="1"/>
  <c r="AC19" i="27" a="1"/>
  <c r="AC19" i="27" s="1"/>
  <c r="W51" i="27" a="1"/>
  <c r="W51" i="27" s="1"/>
  <c r="S47" i="27" a="1"/>
  <c r="S47" i="27" s="1"/>
  <c r="S15" i="27" a="1"/>
  <c r="S15" i="27" s="1"/>
  <c r="AG51" i="27" a="1"/>
  <c r="AG51" i="27" s="1"/>
  <c r="AB15" i="27" a="1"/>
  <c r="AB15" i="27" s="1"/>
  <c r="U95" i="27" a="1"/>
  <c r="U95" i="27" s="1"/>
  <c r="R51" i="27" a="1"/>
  <c r="R51" i="27" s="1"/>
  <c r="T103" i="27" a="1"/>
  <c r="T103" i="27" s="1"/>
  <c r="Q127" i="27" a="1"/>
  <c r="Q127" i="27" s="1"/>
  <c r="AH75" i="27" a="1"/>
  <c r="AH75" i="27" s="1"/>
  <c r="AA47" i="27" a="1"/>
  <c r="AA47" i="27" s="1"/>
  <c r="M107" i="27" a="1"/>
  <c r="M107" i="27" s="1"/>
  <c r="W91" i="27" a="1"/>
  <c r="W91" i="27" s="1"/>
  <c r="AC131" i="27" a="1"/>
  <c r="AC131" i="27" s="1"/>
  <c r="AG103" i="27" a="1"/>
  <c r="AG103" i="27" s="1"/>
  <c r="M104" i="27" a="1"/>
  <c r="M104" i="27" s="1"/>
  <c r="U39" i="27" a="1"/>
  <c r="U39" i="27" s="1"/>
  <c r="W85" i="27" a="1"/>
  <c r="W85" i="27" s="1"/>
  <c r="AI55" i="27" a="1"/>
  <c r="AI55" i="27" s="1"/>
  <c r="Y51" i="27" a="1"/>
  <c r="Y51" i="27" s="1"/>
  <c r="AC86" i="27" a="1"/>
  <c r="AC86" i="27" s="1"/>
  <c r="O11" i="27" a="1"/>
  <c r="O11" i="27" s="1"/>
  <c r="Y87" i="27" a="1"/>
  <c r="Y87" i="27" s="1"/>
  <c r="AC52" i="27" a="1"/>
  <c r="AC52" i="27" s="1"/>
  <c r="V47" i="27" a="1"/>
  <c r="V47" i="27" s="1"/>
  <c r="AD63" i="27" a="1"/>
  <c r="AD63" i="27" s="1"/>
  <c r="O75" i="27" a="1"/>
  <c r="O75" i="27" s="1"/>
  <c r="W30" i="27" a="1"/>
  <c r="W30" i="27" s="1"/>
  <c r="Q83" i="27" a="1"/>
  <c r="Q83" i="27" s="1"/>
  <c r="AD104" i="27" a="1"/>
  <c r="AD104" i="27" s="1"/>
  <c r="U55" i="27" a="1"/>
  <c r="U55" i="27" s="1"/>
  <c r="AI87" i="27" a="1"/>
  <c r="AI87" i="27" s="1"/>
  <c r="AG47" i="27" a="1"/>
  <c r="AG47" i="27" s="1"/>
  <c r="AA131" i="27" a="1"/>
  <c r="AA131" i="27" s="1"/>
  <c r="M127" i="27" a="1"/>
  <c r="M127" i="27" s="1"/>
  <c r="V107" i="27" a="1"/>
  <c r="V107" i="27" s="1"/>
  <c r="V136" i="27" a="1"/>
  <c r="V136" i="27" s="1"/>
  <c r="AC91" i="27" a="1"/>
  <c r="AC91" i="27" s="1"/>
  <c r="Q62" i="27" a="1"/>
  <c r="Q62" i="27" s="1"/>
  <c r="AE85" i="27" a="1"/>
  <c r="AE85" i="27" s="1"/>
  <c r="M31" i="27" a="1"/>
  <c r="M31" i="27" s="1"/>
  <c r="AE131" i="27" a="1"/>
  <c r="AE131" i="27" s="1"/>
  <c r="Q103" i="27" a="1"/>
  <c r="Q103" i="27" s="1"/>
  <c r="S95" i="27" a="1"/>
  <c r="S95" i="27" s="1"/>
  <c r="M83" i="27" a="1"/>
  <c r="M83" i="27" s="1"/>
  <c r="O35" i="27" a="1"/>
  <c r="O35" i="27" s="1"/>
  <c r="Q136" i="27" a="1"/>
  <c r="Q136" i="27" s="1"/>
  <c r="O91" i="27" a="1"/>
  <c r="O91" i="27" s="1"/>
  <c r="AG27" i="27" a="1"/>
  <c r="AG27" i="27" s="1"/>
  <c r="U38" i="27" a="1"/>
  <c r="U38" i="27" s="1"/>
  <c r="AC34" i="27" a="1"/>
  <c r="AC34" i="27" s="1"/>
  <c r="M91" i="27" a="1"/>
  <c r="M91" i="27" s="1"/>
  <c r="AG50" i="27" a="1"/>
  <c r="AG50" i="27" s="1"/>
  <c r="AE18" i="27" a="1"/>
  <c r="AE18" i="27" s="1"/>
  <c r="U123" i="27" a="1"/>
  <c r="U123" i="27" s="1"/>
  <c r="AE63" i="27" a="1"/>
  <c r="AE63" i="27" s="1"/>
  <c r="Q85" i="27" a="1"/>
  <c r="Q85" i="27" s="1"/>
  <c r="Q43" i="27" a="1"/>
  <c r="Q43" i="27" s="1"/>
  <c r="AC62" i="27" a="1"/>
  <c r="AC62" i="27" s="1"/>
  <c r="Y31" i="27" a="1"/>
  <c r="Y31" i="27" s="1"/>
  <c r="AE31" i="27" a="1"/>
  <c r="AE31" i="27" s="1"/>
  <c r="AG43" i="27" a="1"/>
  <c r="AG43" i="27" s="1"/>
  <c r="AI107" i="27" a="1"/>
  <c r="AI107" i="27" s="1"/>
  <c r="S91" i="27" a="1"/>
  <c r="S91" i="27" s="1"/>
  <c r="AA62" i="27" a="1"/>
  <c r="AA62" i="27" s="1"/>
  <c r="M119" i="27" a="1"/>
  <c r="M119" i="27" s="1"/>
  <c r="AA39" i="27" a="1"/>
  <c r="AA39" i="27" s="1"/>
  <c r="AG30" i="27" a="1"/>
  <c r="AG30" i="27" s="1"/>
  <c r="Q15" i="27" a="1"/>
  <c r="Q15" i="27" s="1"/>
  <c r="BK67" i="27"/>
  <c r="BM67" i="27" s="1"/>
  <c r="AB131" i="27" a="1"/>
  <c r="AB131" i="27" s="1"/>
  <c r="L103" i="27" a="1"/>
  <c r="L103" i="27" s="1"/>
  <c r="AF131" i="27" a="1"/>
  <c r="AF131" i="27" s="1"/>
  <c r="AH91" i="27" a="1"/>
  <c r="AH91" i="27" s="1"/>
  <c r="AF86" i="27" a="1"/>
  <c r="AF86" i="27" s="1"/>
  <c r="Z108" i="27" a="1"/>
  <c r="Z108" i="27" s="1"/>
  <c r="N23" i="27" a="1"/>
  <c r="N23" i="27" s="1"/>
  <c r="AD52" i="27" a="1"/>
  <c r="AD52" i="27" s="1"/>
  <c r="L87" i="27" a="1"/>
  <c r="L87" i="27" s="1"/>
  <c r="P31" i="27" a="1"/>
  <c r="P31" i="27" s="1"/>
  <c r="T86" i="27" a="1"/>
  <c r="T86" i="27" s="1"/>
  <c r="AH39" i="27" a="1"/>
  <c r="AH39" i="27" s="1"/>
  <c r="Z103" i="27" a="1"/>
  <c r="Z103" i="27" s="1"/>
  <c r="N104" i="27" a="1"/>
  <c r="N104" i="27" s="1"/>
  <c r="AF38" i="27" a="1"/>
  <c r="AF38" i="27" s="1"/>
  <c r="Z123" i="27" a="1"/>
  <c r="Z123" i="27" s="1"/>
  <c r="V23" i="27" a="1"/>
  <c r="V23" i="27" s="1"/>
  <c r="X123" i="27" a="1"/>
  <c r="X123" i="27" s="1"/>
  <c r="T91" i="27" a="1"/>
  <c r="T91" i="27" s="1"/>
  <c r="L15" i="27" a="1"/>
  <c r="L15" i="27" s="1"/>
  <c r="N18" i="27" a="1"/>
  <c r="N18" i="27" s="1"/>
  <c r="P85" i="27" a="1"/>
  <c r="P85" i="27" s="1"/>
  <c r="O43" i="27" a="1"/>
  <c r="O43" i="27" s="1"/>
  <c r="X62" i="27" a="1"/>
  <c r="X62" i="27" s="1"/>
  <c r="P47" i="27" a="1"/>
  <c r="P47" i="27" s="1"/>
  <c r="P43" i="27" a="1"/>
  <c r="P43" i="27" s="1"/>
  <c r="Z87" i="27" a="1"/>
  <c r="Z87" i="27" s="1"/>
  <c r="R108" i="27" a="1"/>
  <c r="R108" i="27" s="1"/>
  <c r="L123" i="27" a="1"/>
  <c r="L123" i="27" s="1"/>
  <c r="V95" i="27" a="1"/>
  <c r="V95" i="27" s="1"/>
  <c r="P55" i="27" a="1"/>
  <c r="P55" i="27" s="1"/>
  <c r="AF127" i="27" a="1"/>
  <c r="AF127" i="27" s="1"/>
  <c r="V51" i="27" a="1"/>
  <c r="V51" i="27" s="1"/>
  <c r="AF52" i="27" a="1"/>
  <c r="AF52" i="27" s="1"/>
  <c r="P136" i="27" a="1"/>
  <c r="P136" i="27" s="1"/>
  <c r="L119" i="27" a="1"/>
  <c r="L119" i="27" s="1"/>
  <c r="P11" i="27" a="1"/>
  <c r="P11" i="27" s="1"/>
  <c r="T19" i="27" a="1"/>
  <c r="T19" i="27" s="1"/>
  <c r="N86" i="27" a="1"/>
  <c r="N86" i="27" s="1"/>
  <c r="AF79" i="27" a="1"/>
  <c r="AF79" i="27" s="1"/>
  <c r="AD87" i="27" a="1"/>
  <c r="AD87" i="27" s="1"/>
  <c r="X86" i="27" a="1"/>
  <c r="X86" i="27" s="1"/>
  <c r="P23" i="27" a="1"/>
  <c r="P23" i="27" s="1"/>
  <c r="L127" i="27" a="1"/>
  <c r="L127" i="27" s="1"/>
  <c r="AD136" i="27" a="1"/>
  <c r="AD136" i="27" s="1"/>
  <c r="R71" i="27" a="1"/>
  <c r="R71" i="27" s="1"/>
  <c r="AF104" i="27" a="1"/>
  <c r="AF104" i="27" s="1"/>
  <c r="AD95" i="27" a="1"/>
  <c r="AD95" i="27" s="1"/>
  <c r="X30" i="27" a="1"/>
  <c r="X30" i="27" s="1"/>
  <c r="AB47" i="27" a="1"/>
  <c r="AB47" i="27" s="1"/>
  <c r="AH34" i="27" a="1"/>
  <c r="AH34" i="27" s="1"/>
  <c r="Z51" i="27" a="1"/>
  <c r="Z51" i="27" s="1"/>
  <c r="AB127" i="27" a="1"/>
  <c r="AB127" i="27" s="1"/>
  <c r="AD131" i="27" a="1"/>
  <c r="AD131" i="27" s="1"/>
  <c r="AH103" i="27" a="1"/>
  <c r="AH103" i="27" s="1"/>
  <c r="R79" i="27" a="1"/>
  <c r="R79" i="27" s="1"/>
  <c r="N43" i="27" a="1"/>
  <c r="N43" i="27" s="1"/>
  <c r="AF108" i="27" a="1"/>
  <c r="AF108" i="27" s="1"/>
  <c r="AB50" i="27" a="1"/>
  <c r="AB50" i="27" s="1"/>
  <c r="R123" i="27" a="1"/>
  <c r="R123" i="27" s="1"/>
  <c r="X31" i="27" a="1"/>
  <c r="X31" i="27" s="1"/>
  <c r="T79" i="27" a="1"/>
  <c r="T79" i="27" s="1"/>
  <c r="AF19" i="27" a="1"/>
  <c r="AF19" i="27" s="1"/>
  <c r="L79" i="27" a="1"/>
  <c r="L79" i="27" s="1"/>
  <c r="AD47" i="27" a="1"/>
  <c r="AD47" i="27" s="1"/>
  <c r="V55" i="27" a="1"/>
  <c r="V55" i="27" s="1"/>
  <c r="AB79" i="27" a="1"/>
  <c r="AB79" i="27" s="1"/>
  <c r="T47" i="27" a="1"/>
  <c r="T47" i="27" s="1"/>
  <c r="N15" i="27" a="1"/>
  <c r="N15" i="27" s="1"/>
  <c r="R103" i="27" a="1"/>
  <c r="R103" i="27" s="1"/>
  <c r="R34" i="27" a="1"/>
  <c r="R34" i="27" s="1"/>
  <c r="AD71" i="27" a="1"/>
  <c r="AD71" i="27" s="1"/>
  <c r="N63" i="27" a="1"/>
  <c r="N63" i="27" s="1"/>
  <c r="AH55" i="27" a="1"/>
  <c r="AH55" i="27" s="1"/>
  <c r="Z15" i="27" a="1"/>
  <c r="Z15" i="27" s="1"/>
  <c r="AB37" i="27" a="1"/>
  <c r="AB37" i="27" s="1"/>
  <c r="L136" i="27" a="1"/>
  <c r="L136" i="27" s="1"/>
  <c r="N91" i="27" a="1"/>
  <c r="N91" i="27" s="1"/>
  <c r="T71" i="27" a="1"/>
  <c r="T71" i="27" s="1"/>
  <c r="R27" i="27" a="1"/>
  <c r="R27" i="27" s="1"/>
  <c r="R75" i="27" a="1"/>
  <c r="R75" i="27" s="1"/>
  <c r="Z30" i="27" a="1"/>
  <c r="Z30" i="27" s="1"/>
  <c r="Z83" i="27" a="1"/>
  <c r="Z83" i="27" s="1"/>
  <c r="AB55" i="27" a="1"/>
  <c r="AB55" i="27" s="1"/>
  <c r="AB107" i="27" a="1"/>
  <c r="AB107" i="27" s="1"/>
  <c r="P91" i="27" a="1"/>
  <c r="P91" i="27" s="1"/>
  <c r="L104" i="27" a="1"/>
  <c r="L104" i="27" s="1"/>
  <c r="L27" i="27" a="1"/>
  <c r="L27" i="27" s="1"/>
  <c r="Z43" i="27" a="1"/>
  <c r="Z43" i="27" s="1"/>
  <c r="Z136" i="27" a="1"/>
  <c r="Z136" i="27" s="1"/>
  <c r="X104" i="27" a="1"/>
  <c r="X104" i="27" s="1"/>
  <c r="AB19" i="27" a="1"/>
  <c r="AB19" i="27" s="1"/>
  <c r="T37" i="27" a="1"/>
  <c r="T37" i="27" s="1"/>
  <c r="Z104" i="27" a="1"/>
  <c r="Z104" i="27" s="1"/>
  <c r="P75" i="27" a="1"/>
  <c r="P75" i="27" s="1"/>
  <c r="Z85" i="27" a="1"/>
  <c r="Z85" i="27" s="1"/>
  <c r="X19" i="27" a="1"/>
  <c r="X19" i="27" s="1"/>
  <c r="L86" i="27" a="1"/>
  <c r="L86" i="27" s="1"/>
  <c r="V27" i="27" a="1"/>
  <c r="V27" i="27" s="1"/>
  <c r="AH119" i="27" a="1"/>
  <c r="AH119" i="27" s="1"/>
  <c r="V11" i="27" a="1"/>
  <c r="V11" i="27" s="1"/>
  <c r="AH15" i="27" a="1"/>
  <c r="AH15" i="27" s="1"/>
  <c r="L34" i="27" a="1"/>
  <c r="L34" i="27" s="1"/>
  <c r="L50" i="27" a="1"/>
  <c r="L50" i="27" s="1"/>
  <c r="Z27" i="27" a="1"/>
  <c r="Z27" i="27" s="1"/>
  <c r="AB34" i="27" a="1"/>
  <c r="AB34" i="27" s="1"/>
  <c r="AF18" i="27" a="1"/>
  <c r="AF18" i="27" s="1"/>
  <c r="P63" i="27" a="1"/>
  <c r="P63" i="27" s="1"/>
  <c r="AD55" i="27" a="1"/>
  <c r="AD55" i="27" s="1"/>
  <c r="N85" i="27" a="1"/>
  <c r="N85" i="27" s="1"/>
  <c r="R31" i="27" a="1"/>
  <c r="R31" i="27" s="1"/>
  <c r="AD38" i="27" a="1"/>
  <c r="AD38" i="27" s="1"/>
  <c r="Z131" i="27" a="1"/>
  <c r="Z131" i="27" s="1"/>
  <c r="V127" i="27" a="1"/>
  <c r="V127" i="27" s="1"/>
  <c r="P34" i="27" a="1"/>
  <c r="P34" i="27" s="1"/>
  <c r="L91" i="27" a="1"/>
  <c r="L91" i="27" s="1"/>
  <c r="T119" i="27" a="1"/>
  <c r="T119" i="27" s="1"/>
  <c r="N39" i="27" a="1"/>
  <c r="N39" i="27" s="1"/>
  <c r="T30" i="27" a="1"/>
  <c r="T30" i="27" s="1"/>
  <c r="V38" i="27" a="1"/>
  <c r="V38" i="27" s="1"/>
  <c r="AA127" i="27" a="1"/>
  <c r="AA127" i="27" s="1"/>
  <c r="AB62" i="27" a="1"/>
  <c r="AB62" i="27" s="1"/>
  <c r="AF30" i="27" a="1"/>
  <c r="AF30" i="27" s="1"/>
  <c r="O103" i="27" a="1"/>
  <c r="O103" i="27" s="1"/>
  <c r="Y91" i="27" a="1"/>
  <c r="Y91" i="27" s="1"/>
  <c r="N107" i="27" a="1"/>
  <c r="N107" i="27" s="1"/>
  <c r="AD51" i="27" a="1"/>
  <c r="AD51" i="27" s="1"/>
  <c r="AH131" i="27" a="1"/>
  <c r="AH131" i="27" s="1"/>
  <c r="AD91" i="27" a="1"/>
  <c r="AD91" i="27" s="1"/>
  <c r="L19" i="27" a="1"/>
  <c r="L19" i="27" s="1"/>
  <c r="T34" i="27" a="1"/>
  <c r="T34" i="27" s="1"/>
  <c r="T15" i="27" a="1"/>
  <c r="T15" i="27" s="1"/>
  <c r="X103" i="27" a="1"/>
  <c r="X103" i="27" s="1"/>
  <c r="X55" i="27" a="1"/>
  <c r="X55" i="27" s="1"/>
  <c r="N11" i="27" a="1"/>
  <c r="N11" i="27" s="1"/>
  <c r="AD18" i="27" a="1"/>
  <c r="AD18" i="27" s="1"/>
  <c r="AB71" i="27" a="1"/>
  <c r="AB71" i="27" s="1"/>
  <c r="V52" i="27" a="1"/>
  <c r="V52" i="27" s="1"/>
  <c r="Z127" i="27" a="1"/>
  <c r="Z127" i="27" s="1"/>
  <c r="AB18" i="27" a="1"/>
  <c r="AB18" i="27" s="1"/>
  <c r="L43" i="27" a="1"/>
  <c r="L43" i="27" s="1"/>
  <c r="X43" i="27" a="1"/>
  <c r="X43" i="27" s="1"/>
  <c r="P62" i="27" a="1"/>
  <c r="P62" i="27" s="1"/>
  <c r="R52" i="27" a="1"/>
  <c r="R52" i="27" s="1"/>
  <c r="N27" i="27" a="1"/>
  <c r="N27" i="27" s="1"/>
  <c r="R91" i="27" a="1"/>
  <c r="R91" i="27" s="1"/>
  <c r="AH35" i="27" a="1"/>
  <c r="AH35" i="27" s="1"/>
  <c r="AF75" i="27" a="1"/>
  <c r="AF75" i="27" s="1"/>
  <c r="AB30" i="27" a="1"/>
  <c r="AB30" i="27" s="1"/>
  <c r="X37" i="27" a="1"/>
  <c r="X37" i="27" s="1"/>
  <c r="AD123" i="27" a="1"/>
  <c r="AD123" i="27" s="1"/>
  <c r="X75" i="27" a="1"/>
  <c r="X75" i="27" s="1"/>
  <c r="T31" i="27" a="1"/>
  <c r="T31" i="27" s="1"/>
  <c r="AF34" i="27" a="1"/>
  <c r="AF34" i="27" s="1"/>
  <c r="S127" i="27" a="1"/>
  <c r="S127" i="27" s="1"/>
  <c r="N71" i="27" a="1"/>
  <c r="N71" i="27" s="1"/>
  <c r="S51" i="27" a="1"/>
  <c r="S51" i="27" s="1"/>
  <c r="M79" i="27" a="1"/>
  <c r="M79" i="27" s="1"/>
  <c r="AI18" i="27" a="1"/>
  <c r="AI18" i="27" s="1"/>
  <c r="AE104" i="27" a="1"/>
  <c r="AE104" i="27" s="1"/>
  <c r="AH30" i="27" a="1"/>
  <c r="AH30" i="27" s="1"/>
  <c r="AE27" i="27" a="1"/>
  <c r="AE27" i="27" s="1"/>
  <c r="M19" i="27" a="1"/>
  <c r="M19" i="27" s="1"/>
  <c r="P35" i="27" a="1"/>
  <c r="P35" i="27" s="1"/>
  <c r="T136" i="27" a="1"/>
  <c r="T136" i="27" s="1"/>
  <c r="Z19" i="27" a="1"/>
  <c r="Z19" i="27" s="1"/>
  <c r="AD23" i="27" a="1"/>
  <c r="AD23" i="27" s="1"/>
  <c r="Z18" i="27" a="1"/>
  <c r="Z18" i="27" s="1"/>
  <c r="R87" i="27" a="1"/>
  <c r="R87" i="27" s="1"/>
  <c r="AF15" i="27" a="1"/>
  <c r="AF15" i="27" s="1"/>
  <c r="AD15" i="27" a="1"/>
  <c r="AD15" i="27" s="1"/>
  <c r="AB91" i="27" a="1"/>
  <c r="AB91" i="27" s="1"/>
  <c r="V63" i="27" a="1"/>
  <c r="V63" i="27" s="1"/>
  <c r="X79" i="27" a="1"/>
  <c r="X79" i="27" s="1"/>
  <c r="R131" i="27" a="1"/>
  <c r="R131" i="27" s="1"/>
  <c r="T35" i="27" a="1"/>
  <c r="T35" i="27" s="1"/>
  <c r="AB87" i="27" a="1"/>
  <c r="AB87" i="27" s="1"/>
  <c r="N131" i="27" a="1"/>
  <c r="N131" i="27" s="1"/>
  <c r="AF123" i="27" a="1"/>
  <c r="AF123" i="27" s="1"/>
  <c r="L75" i="27" a="1"/>
  <c r="L75" i="27" s="1"/>
  <c r="Z79" i="27" a="1"/>
  <c r="Z79" i="27" s="1"/>
  <c r="AH79" i="27" a="1"/>
  <c r="AH79" i="27" s="1"/>
  <c r="AB51" i="27" a="1"/>
  <c r="AB51" i="27" s="1"/>
  <c r="AD86" i="27" a="1"/>
  <c r="AD86" i="27" s="1"/>
  <c r="AB43" i="27" a="1"/>
  <c r="AB43" i="27" s="1"/>
  <c r="AB103" i="27" a="1"/>
  <c r="AB103" i="27" s="1"/>
  <c r="X108" i="27" a="1"/>
  <c r="X108" i="27" s="1"/>
  <c r="AF91" i="27" a="1"/>
  <c r="AF91" i="27" s="1"/>
  <c r="AF71" i="27" a="1"/>
  <c r="AF71" i="27" s="1"/>
  <c r="AF83" i="27" a="1"/>
  <c r="AF83" i="27" s="1"/>
  <c r="V43" i="27" a="1"/>
  <c r="V43" i="27" s="1"/>
  <c r="Z91" i="27" a="1"/>
  <c r="Z91" i="27" s="1"/>
  <c r="AB52" i="27" a="1"/>
  <c r="AB52" i="27" s="1"/>
  <c r="AF103" i="27" a="1"/>
  <c r="AF103" i="27" s="1"/>
  <c r="AB11" i="27" a="1"/>
  <c r="AB11" i="27" s="1"/>
  <c r="V15" i="27" a="1"/>
  <c r="V15" i="27" s="1"/>
  <c r="R107" i="27" a="1"/>
  <c r="R107" i="27" s="1"/>
  <c r="AD19" i="27" a="1"/>
  <c r="AD19" i="27" s="1"/>
  <c r="AH87" i="27" a="1"/>
  <c r="AH87" i="27" s="1"/>
  <c r="Z35" i="27" a="1"/>
  <c r="Z35" i="27" s="1"/>
  <c r="X27" i="27" a="1"/>
  <c r="X27" i="27" s="1"/>
  <c r="AH38" i="27" a="1"/>
  <c r="AH38" i="27" s="1"/>
  <c r="P19" i="27" a="1"/>
  <c r="P19" i="27" s="1"/>
  <c r="P51" i="27" a="1"/>
  <c r="P51" i="27" s="1"/>
  <c r="T62" i="27" a="1"/>
  <c r="T62" i="27" s="1"/>
  <c r="R18" i="27" a="1"/>
  <c r="R18" i="27" s="1"/>
  <c r="AH83" i="27" a="1"/>
  <c r="AH83" i="27" s="1"/>
  <c r="Z55" i="27" a="1"/>
  <c r="Z55" i="27" s="1"/>
  <c r="X63" i="27" a="1"/>
  <c r="X63" i="27" s="1"/>
  <c r="N30" i="27" a="1"/>
  <c r="N30" i="27" s="1"/>
  <c r="V79" i="27" a="1"/>
  <c r="V79" i="27" s="1"/>
  <c r="X52" i="27" a="1"/>
  <c r="X52" i="27" s="1"/>
  <c r="V86" i="27" a="1"/>
  <c r="V86" i="27" s="1"/>
  <c r="X23" i="27" a="1"/>
  <c r="X23" i="27" s="1"/>
  <c r="X127" i="27" a="1"/>
  <c r="X127" i="27" s="1"/>
  <c r="AD107" i="27" a="1"/>
  <c r="AD107" i="27" s="1"/>
  <c r="L108" i="27" a="1"/>
  <c r="L108" i="27" s="1"/>
  <c r="Z62" i="27" a="1"/>
  <c r="Z62" i="27" s="1"/>
  <c r="T18" i="27" a="1"/>
  <c r="T18" i="27" s="1"/>
  <c r="Z75" i="27" a="1"/>
  <c r="Z75" i="27" s="1"/>
  <c r="N83" i="27" a="1"/>
  <c r="N83" i="27" s="1"/>
  <c r="R127" i="27" a="1"/>
  <c r="R127" i="27" s="1"/>
  <c r="AD37" i="27" a="1"/>
  <c r="AD37" i="27" s="1"/>
  <c r="T108" i="27" a="1"/>
  <c r="T108" i="27" s="1"/>
  <c r="AD50" i="27" a="1"/>
  <c r="AD50" i="27" s="1"/>
  <c r="X119" i="27" a="1"/>
  <c r="X119" i="27" s="1"/>
  <c r="AB123" i="27" a="1"/>
  <c r="AB123" i="27" s="1"/>
  <c r="AD75" i="27" a="1"/>
  <c r="AD75" i="27" s="1"/>
  <c r="L30" i="27" a="1"/>
  <c r="L30" i="27" s="1"/>
  <c r="L31" i="27" a="1"/>
  <c r="L31" i="27" s="1"/>
  <c r="P87" i="27" a="1"/>
  <c r="P87" i="27" s="1"/>
  <c r="AF37" i="27" a="1"/>
  <c r="AF37" i="27" s="1"/>
  <c r="L18" i="27" a="1"/>
  <c r="L18" i="27" s="1"/>
  <c r="Z31" i="27" a="1"/>
  <c r="Z31" i="27" s="1"/>
  <c r="T131" i="27" a="1"/>
  <c r="T131" i="27" s="1"/>
  <c r="N108" i="27" a="1"/>
  <c r="N108" i="27" s="1"/>
  <c r="AH86" i="27" a="1"/>
  <c r="AH86" i="27" s="1"/>
  <c r="X39" i="27" a="1"/>
  <c r="X39" i="27" s="1"/>
  <c r="AD43" i="27" a="1"/>
  <c r="AD43" i="27" s="1"/>
  <c r="AB136" i="27" a="1"/>
  <c r="AB136" i="27" s="1"/>
  <c r="V18" i="27" a="1"/>
  <c r="V18" i="27" s="1"/>
  <c r="X11" i="27" a="1"/>
  <c r="X11" i="27" s="1"/>
  <c r="X47" i="27" a="1"/>
  <c r="X47" i="27" s="1"/>
  <c r="AF85" i="27" a="1"/>
  <c r="AF85" i="27" s="1"/>
  <c r="X51" i="27" a="1"/>
  <c r="X51" i="27" s="1"/>
  <c r="AD35" i="27" a="1"/>
  <c r="AD35" i="27" s="1"/>
  <c r="V119" i="27" a="1"/>
  <c r="V119" i="27" s="1"/>
  <c r="AH95" i="27" a="1"/>
  <c r="AH95" i="27" s="1"/>
  <c r="N75" i="27" a="1"/>
  <c r="N75" i="27" s="1"/>
  <c r="R15" i="27" a="1"/>
  <c r="R15" i="27" s="1"/>
  <c r="AB108" i="27" a="1"/>
  <c r="AB108" i="27" s="1"/>
  <c r="T123" i="27" a="1"/>
  <c r="T123" i="27" s="1"/>
  <c r="AD27" i="27" a="1"/>
  <c r="AD27" i="27" s="1"/>
  <c r="AD39" i="27" a="1"/>
  <c r="AD39" i="27" s="1"/>
  <c r="AB31" i="27" a="1"/>
  <c r="AB31" i="27" s="1"/>
  <c r="T55" i="27" a="1"/>
  <c r="T55" i="27" s="1"/>
  <c r="L131" i="27" a="1"/>
  <c r="L131" i="27" s="1"/>
  <c r="X107" i="27" a="1"/>
  <c r="X107" i="27" s="1"/>
  <c r="AH136" i="27" a="1"/>
  <c r="AH136" i="27" s="1"/>
  <c r="AB95" i="27" a="1"/>
  <c r="AB95" i="27" s="1"/>
  <c r="L39" i="27" a="1"/>
  <c r="L39" i="27" s="1"/>
  <c r="AH85" i="27" a="1"/>
  <c r="AH85" i="27" s="1"/>
  <c r="R83" i="27" a="1"/>
  <c r="R83" i="27" s="1"/>
  <c r="T38" i="27" a="1"/>
  <c r="T38" i="27" s="1"/>
  <c r="Q11" i="27" a="1"/>
  <c r="Q11" i="27" s="1"/>
  <c r="AA103" i="27" a="1"/>
  <c r="AA103" i="27" s="1"/>
  <c r="AA119" i="27" a="1"/>
  <c r="AA119" i="27" s="1"/>
  <c r="AG83" i="27" a="1"/>
  <c r="AG83" i="27" s="1"/>
  <c r="Q86" i="27" a="1"/>
  <c r="Q86" i="27" s="1"/>
  <c r="S37" i="27" a="1"/>
  <c r="S37" i="27" s="1"/>
  <c r="BK115" i="27"/>
  <c r="BM115" i="27" s="1"/>
  <c r="BQ115" i="27" s="1"/>
  <c r="BK111" i="27"/>
  <c r="BM111" i="27" s="1"/>
  <c r="AC37" i="27" a="1"/>
  <c r="AC37" i="27" s="1"/>
  <c r="W31" i="27" a="1"/>
  <c r="W31" i="27" s="1"/>
  <c r="W71" i="27" a="1"/>
  <c r="W71" i="27" s="1"/>
  <c r="AI123" i="27" a="1"/>
  <c r="AI123" i="27" s="1"/>
  <c r="M55" i="27" a="1"/>
  <c r="M55" i="27" s="1"/>
  <c r="AH44" i="27" a="1"/>
  <c r="AH44" i="27" s="1"/>
  <c r="Y44" i="27" a="1"/>
  <c r="Y44" i="27" s="1"/>
  <c r="AH81" i="27" a="1"/>
  <c r="AH81" i="27" s="1"/>
  <c r="W81" i="27" a="1"/>
  <c r="W81" i="27" s="1"/>
  <c r="S44" i="27" a="1"/>
  <c r="S44" i="27" s="1"/>
  <c r="Q44" i="27" a="1"/>
  <c r="Q44" i="27" s="1"/>
  <c r="AH61" i="27" a="1"/>
  <c r="AH61" i="27" s="1"/>
  <c r="BK101" i="27"/>
  <c r="BM101" i="27" s="1"/>
  <c r="U44" i="27" a="1"/>
  <c r="U44" i="27" s="1"/>
  <c r="U61" i="27" a="1"/>
  <c r="U61" i="27" s="1"/>
  <c r="S81" i="27" a="1"/>
  <c r="S81" i="27" s="1"/>
  <c r="X61" i="27" a="1"/>
  <c r="X61" i="27" s="1"/>
  <c r="X81" i="27" a="1"/>
  <c r="X81" i="27" s="1"/>
  <c r="T61" i="27" a="1"/>
  <c r="T61" i="27" s="1"/>
  <c r="W44" i="27" a="1"/>
  <c r="W44" i="27" s="1"/>
  <c r="O61" i="27" a="1"/>
  <c r="O61" i="27" s="1"/>
  <c r="AG44" i="27" a="1"/>
  <c r="AG44" i="27" s="1"/>
  <c r="AC61" i="27" a="1"/>
  <c r="AC61" i="27" s="1"/>
  <c r="L81" i="27" a="1"/>
  <c r="L81" i="27" s="1"/>
  <c r="AI44" i="27" a="1"/>
  <c r="AI44" i="27" s="1"/>
  <c r="N44" i="27" a="1"/>
  <c r="N44" i="27" s="1"/>
  <c r="AE79" i="27" a="1"/>
  <c r="AE79" i="27" s="1"/>
  <c r="Q131" i="27" a="1"/>
  <c r="Q131" i="27" s="1"/>
  <c r="Y18" i="27" a="1"/>
  <c r="Y18" i="27" s="1"/>
  <c r="S63" i="27" a="1"/>
  <c r="S63" i="27" s="1"/>
  <c r="AI38" i="27" a="1"/>
  <c r="AI38" i="27" s="1"/>
  <c r="AE107" i="27" a="1"/>
  <c r="AE107" i="27" s="1"/>
  <c r="Q108" i="27" a="1"/>
  <c r="Q108" i="27" s="1"/>
  <c r="AE71" i="27" a="1"/>
  <c r="AE71" i="27" s="1"/>
  <c r="O131" i="27" a="1"/>
  <c r="O131" i="27" s="1"/>
  <c r="U37" i="27" a="1"/>
  <c r="U37" i="27" s="1"/>
  <c r="AA104" i="27" a="1"/>
  <c r="AA104" i="27" s="1"/>
  <c r="AI63" i="27" a="1"/>
  <c r="AI63" i="27" s="1"/>
  <c r="O85" i="27" a="1"/>
  <c r="O85" i="27" s="1"/>
  <c r="AG23" i="27" a="1"/>
  <c r="AG23" i="27" s="1"/>
  <c r="S11" i="27" a="1"/>
  <c r="S11" i="27" s="1"/>
  <c r="AE87" i="27" a="1"/>
  <c r="AE87" i="27" s="1"/>
  <c r="M23" i="27" a="1"/>
  <c r="M23" i="27" s="1"/>
  <c r="V50" i="27" a="1"/>
  <c r="V50" i="27" s="1"/>
  <c r="AH18" i="27" a="1"/>
  <c r="AH18" i="27" s="1"/>
  <c r="AE123" i="27" a="1"/>
  <c r="AE123" i="27" s="1"/>
  <c r="U27" i="27" a="1"/>
  <c r="U27" i="27" s="1"/>
  <c r="AE39" i="27" a="1"/>
  <c r="AE39" i="27" s="1"/>
  <c r="L38" i="27" a="1"/>
  <c r="L38" i="27" s="1"/>
  <c r="V131" i="27" a="1"/>
  <c r="V131" i="27" s="1"/>
  <c r="AA37" i="27" a="1"/>
  <c r="AA37" i="27" s="1"/>
  <c r="Y62" i="27" a="1"/>
  <c r="Y62" i="27" s="1"/>
  <c r="O104" i="27" a="1"/>
  <c r="O104" i="27" s="1"/>
  <c r="W119" i="27" a="1"/>
  <c r="W119" i="27" s="1"/>
  <c r="T27" i="27" a="1"/>
  <c r="T27" i="27" s="1"/>
  <c r="Q95" i="27" a="1"/>
  <c r="Q95" i="27" s="1"/>
  <c r="Q52" i="27" a="1"/>
  <c r="Q52" i="27" s="1"/>
  <c r="V91" i="27" a="1"/>
  <c r="V91" i="27" s="1"/>
  <c r="AA95" i="27" a="1"/>
  <c r="AA95" i="27" s="1"/>
  <c r="AC35" i="27" a="1"/>
  <c r="AC35" i="27" s="1"/>
  <c r="AI108" i="27" a="1"/>
  <c r="AI108" i="27" s="1"/>
  <c r="Y79" i="27" a="1"/>
  <c r="Y79" i="27" s="1"/>
  <c r="U43" i="27" a="1"/>
  <c r="U43" i="27" s="1"/>
  <c r="AC108" i="27" a="1"/>
  <c r="AC108" i="27" s="1"/>
  <c r="AC79" i="27" a="1"/>
  <c r="AC79" i="27" s="1"/>
  <c r="AG37" i="27" a="1"/>
  <c r="AG37" i="27" s="1"/>
  <c r="S19" i="27" a="1"/>
  <c r="S19" i="27" s="1"/>
  <c r="W47" i="27" a="1"/>
  <c r="W47" i="27" s="1"/>
  <c r="AI103" i="27" a="1"/>
  <c r="AI103" i="27" s="1"/>
  <c r="U108" i="27" a="1"/>
  <c r="U108" i="27" s="1"/>
  <c r="M62" i="27" a="1"/>
  <c r="M62" i="27" s="1"/>
  <c r="AB119" i="27" a="1"/>
  <c r="AB119" i="27" s="1"/>
  <c r="AC39" i="27" a="1"/>
  <c r="AC39" i="27" s="1"/>
  <c r="Q38" i="27" a="1"/>
  <c r="Q38" i="27" s="1"/>
  <c r="M51" i="27" a="1"/>
  <c r="M51" i="27" s="1"/>
  <c r="AH19" i="27" a="1"/>
  <c r="AH19" i="27" s="1"/>
  <c r="U79" i="27" a="1"/>
  <c r="U79" i="27" s="1"/>
  <c r="R86" i="27" a="1"/>
  <c r="R86" i="27" s="1"/>
  <c r="AI62" i="27" a="1"/>
  <c r="AI62" i="27" s="1"/>
  <c r="N123" i="27" a="1"/>
  <c r="N123" i="27" s="1"/>
  <c r="R95" i="27" a="1"/>
  <c r="R95" i="27" s="1"/>
  <c r="Y75" i="27" a="1"/>
  <c r="Y75" i="27" s="1"/>
  <c r="X85" i="27" a="1"/>
  <c r="X85" i="27" s="1"/>
  <c r="O38" i="27" a="1"/>
  <c r="O38" i="27" s="1"/>
  <c r="AF50" i="27" a="1"/>
  <c r="AF50" i="27" s="1"/>
  <c r="Y123" i="27" a="1"/>
  <c r="Y123" i="27" s="1"/>
  <c r="AA38" i="27" a="1"/>
  <c r="AA38" i="27" s="1"/>
  <c r="AA19" i="27" a="1"/>
  <c r="AA19" i="27" s="1"/>
  <c r="AC23" i="27" a="1"/>
  <c r="AC23" i="27" s="1"/>
  <c r="AE127" i="27" a="1"/>
  <c r="AE127" i="27" s="1"/>
  <c r="U35" i="27" a="1"/>
  <c r="U35" i="27" s="1"/>
  <c r="P50" i="27" a="1"/>
  <c r="P50" i="27" s="1"/>
  <c r="O37" i="27" a="1"/>
  <c r="O37" i="27" s="1"/>
  <c r="Q91" i="27" a="1"/>
  <c r="Q91" i="27" s="1"/>
  <c r="V37" i="27" a="1"/>
  <c r="V37" i="27" s="1"/>
  <c r="Q27" i="27" a="1"/>
  <c r="Q27" i="27" s="1"/>
  <c r="AI30" i="27" a="1"/>
  <c r="AI30" i="27" s="1"/>
  <c r="U131" i="27" a="1"/>
  <c r="U131" i="27" s="1"/>
  <c r="W34" i="27" a="1"/>
  <c r="W34" i="27" s="1"/>
  <c r="AC15" i="27" a="1"/>
  <c r="AC15" i="27" s="1"/>
  <c r="T107" i="27" a="1"/>
  <c r="T107" i="27" s="1"/>
  <c r="Y95" i="27" a="1"/>
  <c r="Y95" i="27" s="1"/>
  <c r="AG87" i="27" a="1"/>
  <c r="AG87" i="27" s="1"/>
  <c r="V19" i="27" a="1"/>
  <c r="V19" i="27" s="1"/>
  <c r="T11" i="27" a="1"/>
  <c r="T11" i="27" s="1"/>
  <c r="N87" i="27" a="1"/>
  <c r="N87" i="27" s="1"/>
  <c r="AG52" i="27" a="1"/>
  <c r="AG52" i="27" s="1"/>
  <c r="W23" i="27" a="1"/>
  <c r="W23" i="27" s="1"/>
  <c r="P119" i="27" a="1"/>
  <c r="P119" i="27" s="1"/>
  <c r="AC27" i="27" a="1"/>
  <c r="AC27" i="27" s="1"/>
  <c r="P39" i="27" a="1"/>
  <c r="P39" i="27" s="1"/>
  <c r="AC85" i="27" a="1"/>
  <c r="AC85" i="27" s="1"/>
  <c r="AH31" i="27" a="1"/>
  <c r="AH31" i="27" s="1"/>
  <c r="Q39" i="27" a="1"/>
  <c r="Q39" i="27" s="1"/>
  <c r="M85" i="27" a="1"/>
  <c r="M85" i="27" s="1"/>
  <c r="M87" i="27" a="1"/>
  <c r="M87" i="27" s="1"/>
  <c r="AI86" i="27" a="1"/>
  <c r="AI86" i="27" s="1"/>
  <c r="O23" i="27" a="1"/>
  <c r="O23" i="27" s="1"/>
  <c r="S131" i="27" a="1"/>
  <c r="S131" i="27" s="1"/>
  <c r="Q35" i="27" a="1"/>
  <c r="Q35" i="27" s="1"/>
  <c r="AA107" i="27" a="1"/>
  <c r="AA107" i="27" s="1"/>
  <c r="O136" i="27" a="1"/>
  <c r="O136" i="27" s="1"/>
  <c r="O39" i="27" a="1"/>
  <c r="O39" i="27" s="1"/>
  <c r="AC55" i="27" a="1"/>
  <c r="AC55" i="27" s="1"/>
  <c r="AA15" i="27" a="1"/>
  <c r="AA15" i="27" s="1"/>
  <c r="W103" i="27" a="1"/>
  <c r="W103" i="27" s="1"/>
  <c r="S83" i="27" a="1"/>
  <c r="S83" i="27" s="1"/>
  <c r="S103" i="27" a="1"/>
  <c r="S103" i="27" s="1"/>
  <c r="AC136" i="27" a="1"/>
  <c r="AC136" i="27" s="1"/>
  <c r="AI71" i="27" a="1"/>
  <c r="AI71" i="27" s="1"/>
  <c r="Y34" i="27" a="1"/>
  <c r="Y34" i="27" s="1"/>
  <c r="U104" i="27" a="1"/>
  <c r="U104" i="27" s="1"/>
  <c r="AC119" i="27" a="1"/>
  <c r="AC119" i="27" s="1"/>
  <c r="AI27" i="27" a="1"/>
  <c r="AI27" i="27" s="1"/>
  <c r="O31" i="27" a="1"/>
  <c r="O31" i="27" s="1"/>
  <c r="M131" i="27" a="1"/>
  <c r="M131" i="27" s="1"/>
  <c r="W50" i="27" a="1"/>
  <c r="W50" i="27" s="1"/>
  <c r="W55" i="27" a="1"/>
  <c r="W55" i="27" s="1"/>
  <c r="S31" i="27" a="1"/>
  <c r="S31" i="27" s="1"/>
  <c r="M43" i="27" a="1"/>
  <c r="M43" i="27" s="1"/>
  <c r="AI37" i="27" a="1"/>
  <c r="AI37" i="27" s="1"/>
  <c r="U62" i="27" a="1"/>
  <c r="U62" i="27" s="1"/>
  <c r="W18" i="27" a="1"/>
  <c r="W18" i="27" s="1"/>
  <c r="Q123" i="27" a="1"/>
  <c r="Q123" i="27" s="1"/>
  <c r="P18" i="27" a="1"/>
  <c r="P18" i="27" s="1"/>
  <c r="AE95" i="27" a="1"/>
  <c r="AE95" i="27" s="1"/>
  <c r="W75" i="27" a="1"/>
  <c r="W75" i="27" s="1"/>
  <c r="AE55" i="27" a="1"/>
  <c r="AE55" i="27" s="1"/>
  <c r="AI127" i="27" a="1"/>
  <c r="AI127" i="27" s="1"/>
  <c r="M34" i="27" a="1"/>
  <c r="M34" i="27" s="1"/>
  <c r="O50" i="27" a="1"/>
  <c r="O50" i="27" s="1"/>
  <c r="AE38" i="27" a="1"/>
  <c r="AE38" i="27" s="1"/>
  <c r="O62" i="27" a="1"/>
  <c r="O62" i="27" s="1"/>
  <c r="O95" i="27" a="1"/>
  <c r="O95" i="27" s="1"/>
  <c r="U85" i="27" a="1"/>
  <c r="U85" i="27" s="1"/>
  <c r="Q55" i="27" a="1"/>
  <c r="Q55" i="27" s="1"/>
  <c r="BK70" i="27"/>
  <c r="BM70" i="27" s="1"/>
  <c r="BK54" i="27"/>
  <c r="BM54" i="27" s="1"/>
  <c r="U87" i="27" a="1"/>
  <c r="U87" i="27" s="1"/>
  <c r="AI15" i="27" a="1"/>
  <c r="AI15" i="27" s="1"/>
  <c r="AE119" i="27" a="1"/>
  <c r="AE119" i="27" s="1"/>
  <c r="M47" i="27" a="1"/>
  <c r="M47" i="27" s="1"/>
  <c r="AG107" i="27" a="1"/>
  <c r="AG107" i="27" s="1"/>
  <c r="U11" i="27" a="1"/>
  <c r="U11" i="27" s="1"/>
  <c r="AE47" i="27" a="1"/>
  <c r="AE47" i="27" s="1"/>
  <c r="X15" i="27" a="1"/>
  <c r="X15" i="27" s="1"/>
  <c r="AA27" i="27" a="1"/>
  <c r="AA27" i="27" s="1"/>
  <c r="W39" i="27" a="1"/>
  <c r="W39" i="27" s="1"/>
  <c r="U19" i="27" a="1"/>
  <c r="U19" i="27" s="1"/>
  <c r="W52" i="27" a="1"/>
  <c r="W52" i="27" s="1"/>
  <c r="AG19" i="27" a="1"/>
  <c r="AG19" i="27" s="1"/>
  <c r="AE51" i="27" a="1"/>
  <c r="AE51" i="27" s="1"/>
  <c r="Q23" i="27" a="1"/>
  <c r="Q23" i="27" s="1"/>
  <c r="Y104" i="27" a="1"/>
  <c r="Y104" i="27" s="1"/>
  <c r="S119" i="27" a="1"/>
  <c r="S119" i="27" s="1"/>
  <c r="M123" i="27" a="1"/>
  <c r="M123" i="27" s="1"/>
  <c r="V83" i="27" a="1"/>
  <c r="V83" i="27" s="1"/>
  <c r="AD62" i="27" a="1"/>
  <c r="AD62" i="27" s="1"/>
  <c r="U75" i="27" a="1"/>
  <c r="U75" i="27" s="1"/>
  <c r="P30" i="27" a="1"/>
  <c r="P30" i="27" s="1"/>
  <c r="Y19" i="27" a="1"/>
  <c r="Y19" i="27" s="1"/>
  <c r="AI11" i="27" a="1"/>
  <c r="AI11" i="27" s="1"/>
  <c r="Z52" i="27" a="1"/>
  <c r="Z52" i="27" s="1"/>
  <c r="W15" i="27" a="1"/>
  <c r="W15" i="27" s="1"/>
  <c r="AA34" i="27" a="1"/>
  <c r="AA34" i="27" s="1"/>
  <c r="AE62" i="27" a="1"/>
  <c r="AE62" i="27" s="1"/>
  <c r="U18" i="27" a="1"/>
  <c r="U18" i="27" s="1"/>
  <c r="Z86" i="27" a="1"/>
  <c r="Z86" i="27" s="1"/>
  <c r="S123" i="27" a="1"/>
  <c r="S123" i="27" s="1"/>
  <c r="W79" i="27" a="1"/>
  <c r="W79" i="27" s="1"/>
  <c r="AE23" i="27" a="1"/>
  <c r="AE23" i="27" s="1"/>
  <c r="M37" i="27" a="1"/>
  <c r="M37" i="27" s="1"/>
  <c r="U51" i="27" a="1"/>
  <c r="U51" i="27" s="1"/>
  <c r="W131" i="27" a="1"/>
  <c r="W131" i="27" s="1"/>
  <c r="U91" i="27" a="1"/>
  <c r="U91" i="27" s="1"/>
  <c r="Y85" i="27" a="1"/>
  <c r="Y85" i="27" s="1"/>
  <c r="O52" i="27" a="1"/>
  <c r="O52" i="27" s="1"/>
  <c r="AI34" i="27" a="1"/>
  <c r="AI34" i="27" s="1"/>
  <c r="AG91" i="27" a="1"/>
  <c r="AG91" i="27" s="1"/>
  <c r="AC47" i="27" a="1"/>
  <c r="AC47" i="27" s="1"/>
  <c r="Q107" i="27" a="1"/>
  <c r="Q107" i="27" s="1"/>
  <c r="AA91" i="27" a="1"/>
  <c r="AA91" i="27" s="1"/>
  <c r="Q50" i="27" a="1"/>
  <c r="Q50" i="27" s="1"/>
  <c r="M63" i="27" a="1"/>
  <c r="M63" i="27" s="1"/>
  <c r="W38" i="27" a="1"/>
  <c r="W38" i="27" s="1"/>
  <c r="S87" i="27" a="1"/>
  <c r="S87" i="27" s="1"/>
  <c r="AI51" i="27" a="1"/>
  <c r="AI51" i="27" s="1"/>
  <c r="AE52" i="27" a="1"/>
  <c r="AE52" i="27" s="1"/>
  <c r="Y47" i="27" a="1"/>
  <c r="Y47" i="27" s="1"/>
  <c r="P104" i="27" a="1"/>
  <c r="P104" i="27" s="1"/>
  <c r="Q63" i="27" a="1"/>
  <c r="Q63" i="27" s="1"/>
  <c r="AG95" i="27" a="1"/>
  <c r="AG95" i="27" s="1"/>
  <c r="M75" i="27" a="1"/>
  <c r="M75" i="27" s="1"/>
  <c r="R38" i="27" a="1"/>
  <c r="R38" i="27" s="1"/>
  <c r="T63" i="27" a="1"/>
  <c r="T63" i="27" s="1"/>
  <c r="Y55" i="27" a="1"/>
  <c r="Y55" i="27" s="1"/>
  <c r="AG79" i="27" a="1"/>
  <c r="AG79" i="27" s="1"/>
  <c r="AA52" i="27" a="1"/>
  <c r="AA52" i="27" s="1"/>
  <c r="AI43" i="27" a="1"/>
  <c r="AI43" i="27" s="1"/>
  <c r="Y35" i="27" a="1"/>
  <c r="Y35" i="27" s="1"/>
  <c r="U34" i="27" a="1"/>
  <c r="U34" i="27" s="1"/>
  <c r="V75" i="27" a="1"/>
  <c r="V75" i="27" s="1"/>
  <c r="AE15" i="27" a="1"/>
  <c r="AE15" i="27" s="1"/>
  <c r="X136" i="27" a="1"/>
  <c r="X136" i="27" s="1"/>
  <c r="AE19" i="27" a="1"/>
  <c r="AE19" i="27" s="1"/>
  <c r="AE34" i="27" a="1"/>
  <c r="AE34" i="27" s="1"/>
  <c r="AC87" i="27" a="1"/>
  <c r="AC87" i="27" s="1"/>
  <c r="AI35" i="27" a="1"/>
  <c r="AI35" i="27" s="1"/>
  <c r="R136" i="27" a="1"/>
  <c r="R136" i="27" s="1"/>
  <c r="AA11" i="27" a="1"/>
  <c r="AA11" i="27" s="1"/>
  <c r="S86" i="27" a="1"/>
  <c r="S86" i="27" s="1"/>
  <c r="AC127" i="27" a="1"/>
  <c r="AC127" i="27" s="1"/>
  <c r="AA83" i="27" a="1"/>
  <c r="AA83" i="27" s="1"/>
  <c r="AI19" i="27" a="1"/>
  <c r="AI19" i="27" s="1"/>
  <c r="N52" i="27" a="1"/>
  <c r="N52" i="27" s="1"/>
  <c r="P79" i="27" a="1"/>
  <c r="P79" i="27" s="1"/>
  <c r="AA23" i="27" a="1"/>
  <c r="AA23" i="27" s="1"/>
  <c r="AI39" i="27" a="1"/>
  <c r="AI39" i="27" s="1"/>
  <c r="AA55" i="27" a="1"/>
  <c r="AA55" i="27" s="1"/>
  <c r="AH123" i="27" a="1"/>
  <c r="AH123" i="27" s="1"/>
  <c r="AI83" i="27" a="1"/>
  <c r="AI83" i="27" s="1"/>
  <c r="O19" i="27" a="1"/>
  <c r="O19" i="27" s="1"/>
  <c r="Q79" i="27" a="1"/>
  <c r="Q79" i="27" s="1"/>
  <c r="Y52" i="27" a="1"/>
  <c r="Y52" i="27" s="1"/>
  <c r="M86" i="27" a="1"/>
  <c r="M86" i="27" s="1"/>
  <c r="AE43" i="27" a="1"/>
  <c r="AE43" i="27" s="1"/>
  <c r="O15" i="27" a="1"/>
  <c r="O15" i="27" s="1"/>
  <c r="M35" i="27" a="1"/>
  <c r="M35" i="27" s="1"/>
  <c r="Q37" i="27" a="1"/>
  <c r="Q37" i="27" s="1"/>
  <c r="AA108" i="27" a="1"/>
  <c r="AA108" i="27" s="1"/>
  <c r="S39" i="27" a="1"/>
  <c r="S39" i="27" s="1"/>
  <c r="AG55" i="27" a="1"/>
  <c r="AG55" i="27" s="1"/>
  <c r="W127" i="27" a="1"/>
  <c r="W127" i="27" s="1"/>
  <c r="S107" i="27" a="1"/>
  <c r="S107" i="27" s="1"/>
  <c r="AI75" i="27" a="1"/>
  <c r="AI75" i="27" s="1"/>
  <c r="Y43" i="27" a="1"/>
  <c r="Y43" i="27" s="1"/>
  <c r="M103" i="27" a="1"/>
  <c r="M103" i="27" s="1"/>
  <c r="Y108" i="27" a="1"/>
  <c r="Y108" i="27" s="1"/>
  <c r="AG62" i="27" a="1"/>
  <c r="AG62" i="27" s="1"/>
  <c r="Y63" i="27" a="1"/>
  <c r="Y63" i="27" s="1"/>
  <c r="AG75" i="27" a="1"/>
  <c r="AG75" i="27" s="1"/>
  <c r="AC30" i="27" a="1"/>
  <c r="AC30" i="27" s="1"/>
  <c r="U107" i="27" a="1"/>
  <c r="U107" i="27" s="1"/>
  <c r="Y136" i="27" a="1"/>
  <c r="Y136" i="27" s="1"/>
  <c r="Y27" i="27" a="1"/>
  <c r="Y27" i="27" s="1"/>
  <c r="S38" i="27" a="1"/>
  <c r="S38" i="27" s="1"/>
  <c r="W35" i="27" a="1"/>
  <c r="W35" i="27" s="1"/>
  <c r="M50" i="27" a="1"/>
  <c r="M50" i="27" s="1"/>
  <c r="AA85" i="27" a="1"/>
  <c r="AA85" i="27" s="1"/>
  <c r="M38" i="27" a="1"/>
  <c r="M38" i="27" s="1"/>
  <c r="Y127" i="27" a="1"/>
  <c r="Y127" i="27" s="1"/>
  <c r="U136" i="27" a="1"/>
  <c r="U136" i="27" s="1"/>
  <c r="Y71" i="27" a="1"/>
  <c r="Y71" i="27" s="1"/>
  <c r="AC50" i="27" a="1"/>
  <c r="AC50" i="27" s="1"/>
  <c r="AG18" i="27" a="1"/>
  <c r="AG18" i="27" s="1"/>
  <c r="O63" i="27" a="1"/>
  <c r="O63" i="27" s="1"/>
  <c r="R50" i="27" a="1"/>
  <c r="R50" i="27" s="1"/>
  <c r="Q119" i="27" a="1"/>
  <c r="Q119" i="27" s="1"/>
  <c r="AC123" i="27" a="1"/>
  <c r="AC123" i="27" s="1"/>
  <c r="O27" i="27" a="1"/>
  <c r="O27" i="27" s="1"/>
  <c r="AI95" i="27" a="1"/>
  <c r="AI95" i="27" s="1"/>
  <c r="AE35" i="27" a="1"/>
  <c r="AE35" i="27" s="1"/>
  <c r="S136" i="27" a="1"/>
  <c r="S136" i="27" s="1"/>
  <c r="AC75" i="27" a="1"/>
  <c r="AC75" i="27" s="1"/>
  <c r="O30" i="27" a="1"/>
  <c r="O30" i="27" s="1"/>
  <c r="S50" i="27" a="1"/>
  <c r="S50" i="27" s="1"/>
  <c r="BK135" i="27"/>
  <c r="R61" i="27" a="1"/>
  <c r="R61" i="27" s="1"/>
  <c r="L61" i="27" a="1"/>
  <c r="L61" i="27" s="1"/>
  <c r="R81" i="27" a="1"/>
  <c r="R81" i="27" s="1"/>
  <c r="BK99" i="27"/>
  <c r="BM99" i="27" s="1"/>
  <c r="M61" i="27" a="1"/>
  <c r="M61" i="27" s="1"/>
  <c r="M44" i="27" a="1"/>
  <c r="M44" i="27" s="1"/>
  <c r="Y61" i="27" a="1"/>
  <c r="Y61" i="27" s="1"/>
  <c r="V81" i="27" a="1"/>
  <c r="V81" i="27" s="1"/>
  <c r="V44" i="27" a="1"/>
  <c r="V44" i="27" s="1"/>
  <c r="AA44" i="27" a="1"/>
  <c r="AA44" i="27" s="1"/>
  <c r="W61" i="27" a="1"/>
  <c r="W61" i="27" s="1"/>
  <c r="U81" i="27" a="1"/>
  <c r="U81" i="27" s="1"/>
  <c r="Q61" i="27" a="1"/>
  <c r="Q61" i="27" s="1"/>
  <c r="O81" i="27" a="1"/>
  <c r="O81" i="27" s="1"/>
  <c r="Z44" i="27" a="1"/>
  <c r="Z44" i="27" s="1"/>
  <c r="BK74" i="27"/>
  <c r="BM74" i="27" s="1"/>
  <c r="AF44" i="27" a="1"/>
  <c r="AF44" i="27" s="1"/>
  <c r="P61" i="27" a="1"/>
  <c r="P61" i="27" s="1"/>
  <c r="N81" i="27" a="1"/>
  <c r="N81" i="27" s="1"/>
  <c r="AA61" i="27" a="1"/>
  <c r="AA61" i="27" s="1"/>
  <c r="R44" i="27" a="1"/>
  <c r="R44" i="27" s="1"/>
  <c r="V61" i="27" a="1"/>
  <c r="V61" i="27" s="1"/>
  <c r="AA81" i="27" a="1"/>
  <c r="AA81" i="27" s="1"/>
  <c r="W37" i="27" a="1"/>
  <c r="W37" i="27" s="1"/>
  <c r="Q19" i="27" a="1"/>
  <c r="Q19" i="27" s="1"/>
  <c r="AD103" i="27" a="1"/>
  <c r="AD103" i="27" s="1"/>
  <c r="AE50" i="27" a="1"/>
  <c r="AE50" i="27" s="1"/>
  <c r="AE75" i="27" a="1"/>
  <c r="AE75" i="27" s="1"/>
  <c r="Y86" i="27" a="1"/>
  <c r="Y86" i="27" s="1"/>
  <c r="AA136" i="27" a="1"/>
  <c r="AA136" i="27" s="1"/>
  <c r="O86" i="27" a="1"/>
  <c r="O86" i="27" s="1"/>
  <c r="AF43" i="27" a="1"/>
  <c r="AF43" i="27" s="1"/>
  <c r="AE37" i="27" a="1"/>
  <c r="AE37" i="27" s="1"/>
  <c r="S104" i="27" a="1"/>
  <c r="S104" i="27" s="1"/>
  <c r="Z95" i="27" a="1"/>
  <c r="Z95" i="27" s="1"/>
  <c r="Q30" i="27" a="1"/>
  <c r="Q30" i="27" s="1"/>
  <c r="AE11" i="27" a="1"/>
  <c r="AE11" i="27" s="1"/>
  <c r="AG11" i="27" a="1"/>
  <c r="AG11" i="27" s="1"/>
  <c r="Q87" i="27" a="1"/>
  <c r="Q87" i="27" s="1"/>
  <c r="S52" i="27" a="1"/>
  <c r="S52" i="27" s="1"/>
  <c r="Q47" i="27" a="1"/>
  <c r="Q47" i="27" s="1"/>
  <c r="AH63" i="27" a="1"/>
  <c r="AH63" i="27" s="1"/>
  <c r="V39" i="27" a="1"/>
  <c r="V39" i="27" s="1"/>
  <c r="AD83" i="27" a="1"/>
  <c r="AD83" i="27" s="1"/>
  <c r="AC18" i="27" a="1"/>
  <c r="AC18" i="27" s="1"/>
  <c r="M27" i="27" a="1"/>
  <c r="M27" i="27" s="1"/>
  <c r="Q75" i="27" a="1"/>
  <c r="Q75" i="27" s="1"/>
  <c r="Y83" i="27" a="1"/>
  <c r="Y83" i="27" s="1"/>
  <c r="AD79" i="27" a="1"/>
  <c r="AD79" i="27" s="1"/>
  <c r="S43" i="27" a="1"/>
  <c r="S43" i="27" s="1"/>
  <c r="U103" i="27" a="1"/>
  <c r="U103" i="27" s="1"/>
  <c r="S23" i="27" a="1"/>
  <c r="S23" i="27" s="1"/>
  <c r="W108" i="27" a="1"/>
  <c r="W108" i="27" s="1"/>
  <c r="AF31" i="27" a="1"/>
  <c r="AF31" i="27" s="1"/>
  <c r="AD127" i="27" a="1"/>
  <c r="AD127" i="27" s="1"/>
  <c r="AH108" i="27" a="1"/>
  <c r="AH108" i="27" s="1"/>
  <c r="W136" i="27" a="1"/>
  <c r="W136" i="27" s="1"/>
  <c r="W86" i="27" a="1"/>
  <c r="W86" i="27" s="1"/>
  <c r="AE103" i="27" a="1"/>
  <c r="AE103" i="27" s="1"/>
  <c r="V108" i="27" a="1"/>
  <c r="V108" i="27" s="1"/>
  <c r="AA79" i="27" a="1"/>
  <c r="AA79" i="27" s="1"/>
  <c r="AI47" i="27" a="1"/>
  <c r="AI47" i="27" s="1"/>
  <c r="AG35" i="27" a="1"/>
  <c r="AG35" i="27" s="1"/>
  <c r="L62" i="27" a="1"/>
  <c r="L62" i="27" s="1"/>
  <c r="AA63" i="27" a="1"/>
  <c r="AA63" i="27" s="1"/>
  <c r="AC38" i="27" a="1"/>
  <c r="AC38" i="27" s="1"/>
  <c r="N51" i="27" a="1"/>
  <c r="N51" i="27" s="1"/>
  <c r="AA86" i="27" a="1"/>
  <c r="AA86" i="27" s="1"/>
  <c r="AA50" i="27" a="1"/>
  <c r="AA50" i="27" s="1"/>
  <c r="AC95" i="27" a="1"/>
  <c r="AC95" i="27" s="1"/>
  <c r="AE30" i="27" a="1"/>
  <c r="AE30" i="27" s="1"/>
  <c r="U31" i="27" a="1"/>
  <c r="U31" i="27" s="1"/>
  <c r="W19" i="27" a="1"/>
  <c r="W19" i="27" s="1"/>
  <c r="Q51" i="27" a="1"/>
  <c r="Q51" i="27" s="1"/>
  <c r="U52" i="27" a="1"/>
  <c r="U52" i="27" s="1"/>
  <c r="O47" i="27" a="1"/>
  <c r="O47" i="27" s="1"/>
  <c r="AA43" i="27" a="1"/>
  <c r="AA43" i="27" s="1"/>
  <c r="AG15" i="27" a="1"/>
  <c r="AG15" i="27" s="1"/>
  <c r="Y103" i="27" a="1"/>
  <c r="Y103" i="27" s="1"/>
  <c r="Q34" i="27" a="1"/>
  <c r="Q34" i="27" s="1"/>
  <c r="S108" i="27" a="1"/>
  <c r="S108" i="27" s="1"/>
  <c r="O71" i="27" a="1"/>
  <c r="O71" i="27" s="1"/>
  <c r="M30" i="27" a="1"/>
  <c r="M30" i="27" s="1"/>
  <c r="AC83" i="27" a="1"/>
  <c r="AC83" i="27" s="1"/>
  <c r="AA35" i="27" a="1"/>
  <c r="AA35" i="27" s="1"/>
  <c r="AE108" i="27" a="1"/>
  <c r="AE108" i="27" s="1"/>
  <c r="AA18" i="27" a="1"/>
  <c r="AA18" i="27" s="1"/>
  <c r="Y39" i="27" a="1"/>
  <c r="Y39" i="27" s="1"/>
  <c r="Y30" i="27" a="1"/>
  <c r="Y30" i="27" s="1"/>
  <c r="Y15" i="27" a="1"/>
  <c r="Y15" i="27" s="1"/>
  <c r="S34" i="27" a="1"/>
  <c r="S34" i="27" s="1"/>
  <c r="Q104" i="27" a="1"/>
  <c r="Q104" i="27" s="1"/>
  <c r="U63" i="27" a="1"/>
  <c r="U63" i="27" s="1"/>
  <c r="M39" i="27" a="1"/>
  <c r="M39" i="27" s="1"/>
  <c r="AI85" i="27" a="1"/>
  <c r="AI85" i="27" s="1"/>
  <c r="Y37" i="27" a="1"/>
  <c r="Y37" i="27" s="1"/>
  <c r="M108" i="27" a="1"/>
  <c r="M108" i="27" s="1"/>
  <c r="AG71" i="27" a="1"/>
  <c r="AG71" i="27" s="1"/>
  <c r="O123" i="27" a="1"/>
  <c r="O123" i="27" s="1"/>
  <c r="AC63" i="27" a="1"/>
  <c r="AC63" i="27" s="1"/>
  <c r="S75" i="27" a="1"/>
  <c r="S75" i="27" s="1"/>
  <c r="O107" i="27" a="1"/>
  <c r="O107" i="27" s="1"/>
  <c r="S18" i="27" a="1"/>
  <c r="S18" i="27" s="1"/>
  <c r="Q31" i="27" a="1"/>
  <c r="Q31" i="27" s="1"/>
  <c r="S85" i="27" a="1"/>
  <c r="S85" i="27" s="1"/>
  <c r="S55" i="27" a="1"/>
  <c r="S55" i="27" s="1"/>
  <c r="AC103" i="27" a="1"/>
  <c r="AC103" i="27" s="1"/>
  <c r="AA71" i="27" a="1"/>
  <c r="AA71" i="27" s="1"/>
  <c r="AI104" i="27" a="1"/>
  <c r="AI104" i="27" s="1"/>
  <c r="AI119" i="27" a="1"/>
  <c r="AI119" i="27" s="1"/>
  <c r="W27" i="27" a="1"/>
  <c r="W27" i="27" s="1"/>
  <c r="AC104" i="27" a="1"/>
  <c r="AC104" i="27" s="1"/>
  <c r="AG119" i="27" a="1"/>
  <c r="AG119" i="27" s="1"/>
  <c r="W123" i="27" a="1"/>
  <c r="W123" i="27" s="1"/>
  <c r="AA30" i="27" a="1"/>
  <c r="AA30" i="27" s="1"/>
  <c r="Y131" i="27" a="1"/>
  <c r="Y131" i="27" s="1"/>
  <c r="Y107" i="27" a="1"/>
  <c r="Y107" i="27" s="1"/>
  <c r="AE83" i="27" a="1"/>
  <c r="AE83" i="27" s="1"/>
  <c r="AE91" i="27" a="1"/>
  <c r="AE91" i="27" s="1"/>
  <c r="AG104" i="27" a="1"/>
  <c r="AG104" i="27" s="1"/>
  <c r="U83" i="27" a="1"/>
  <c r="U83" i="27" s="1"/>
  <c r="BK45" i="27"/>
  <c r="BM45" i="27" s="1"/>
  <c r="BQ45" i="27" s="1"/>
  <c r="BP96" i="27"/>
  <c r="BO96" i="27"/>
  <c r="BK8" i="27"/>
  <c r="BM8" i="27" s="1"/>
  <c r="BP8" i="27" s="1"/>
  <c r="AB7" i="27" a="1"/>
  <c r="AB7" i="27" s="1"/>
  <c r="Y7" i="27" a="1"/>
  <c r="Y7" i="27" s="1"/>
  <c r="AG7" i="27" a="1"/>
  <c r="AG7" i="27" s="1"/>
  <c r="S7" i="27" a="1"/>
  <c r="S7" i="27" s="1"/>
  <c r="U7" i="27" a="1"/>
  <c r="U7" i="27" s="1"/>
  <c r="AA7" i="27" a="1"/>
  <c r="AA7" i="27" s="1"/>
  <c r="AE7" i="27" a="1"/>
  <c r="AE7" i="27" s="1"/>
  <c r="AD7" i="27" a="1"/>
  <c r="AD7" i="27" s="1"/>
  <c r="Z7" i="27" a="1"/>
  <c r="Z7" i="27" s="1"/>
  <c r="V7" i="27" a="1"/>
  <c r="V7" i="27" s="1"/>
  <c r="T7" i="27" a="1"/>
  <c r="T7" i="27" s="1"/>
  <c r="AH7" i="27" a="1"/>
  <c r="AH7" i="27" s="1"/>
  <c r="X7" i="27" a="1"/>
  <c r="X7" i="27" s="1"/>
  <c r="W7" i="27" a="1"/>
  <c r="W7" i="27" s="1"/>
  <c r="N7" i="27" a="1"/>
  <c r="N7" i="27" s="1"/>
  <c r="P7" i="27" a="1"/>
  <c r="P7" i="27" s="1"/>
  <c r="AF7" i="27" a="1"/>
  <c r="AF7" i="27" s="1"/>
  <c r="AC7" i="27" a="1"/>
  <c r="AC7" i="27" s="1"/>
  <c r="R7" i="27" a="1"/>
  <c r="R7" i="27" s="1"/>
  <c r="AI7" i="27" a="1"/>
  <c r="AI7" i="27" s="1"/>
  <c r="O7" i="27" a="1"/>
  <c r="O7" i="27" s="1"/>
  <c r="Q7" i="27" a="1"/>
  <c r="Q7" i="27" s="1"/>
  <c r="M7" i="27" a="1"/>
  <c r="M7" i="27" s="1"/>
  <c r="L7" i="27" a="1"/>
  <c r="L7" i="27" s="1"/>
  <c r="O6" i="12" l="1"/>
  <c r="AB6" i="12" s="1"/>
  <c r="J133" i="31"/>
  <c r="M133" i="31" s="1"/>
  <c r="O133" i="31" s="1"/>
  <c r="O57" i="12"/>
  <c r="AB57" i="12" s="1"/>
  <c r="O99" i="30"/>
  <c r="AB99" i="30" s="1"/>
  <c r="O109" i="12"/>
  <c r="AB109" i="12" s="1"/>
  <c r="N42" i="30"/>
  <c r="O6" i="30"/>
  <c r="AB6" i="30" s="1"/>
  <c r="O43" i="30"/>
  <c r="AB43" i="30" s="1"/>
  <c r="BO8" i="27"/>
  <c r="N42" i="12"/>
  <c r="O72" i="30"/>
  <c r="AB72" i="30" s="1"/>
  <c r="O68" i="30"/>
  <c r="AB68" i="30" s="1"/>
  <c r="O57" i="30"/>
  <c r="AB57" i="30" s="1"/>
  <c r="O72" i="12"/>
  <c r="AB72" i="12" s="1"/>
  <c r="O97" i="12"/>
  <c r="AB97" i="12" s="1"/>
  <c r="O65" i="12"/>
  <c r="AB65" i="12" s="1"/>
  <c r="O68" i="12"/>
  <c r="AB68" i="12" s="1"/>
  <c r="O43" i="12"/>
  <c r="AB43" i="12" s="1"/>
  <c r="O97" i="30"/>
  <c r="AB97" i="30" s="1"/>
  <c r="O65" i="30"/>
  <c r="AB65" i="30" s="1"/>
  <c r="G5" i="30"/>
  <c r="G5" i="12"/>
  <c r="G83" i="30"/>
  <c r="G83" i="12"/>
  <c r="G16" i="30"/>
  <c r="G16" i="12"/>
  <c r="G17" i="12"/>
  <c r="G17" i="30"/>
  <c r="G121" i="12"/>
  <c r="G121" i="30"/>
  <c r="G106" i="12"/>
  <c r="G106" i="30"/>
  <c r="G129" i="12"/>
  <c r="G129" i="30"/>
  <c r="G125" i="12"/>
  <c r="G125" i="30"/>
  <c r="G117" i="12"/>
  <c r="G117" i="30"/>
  <c r="G101" i="30"/>
  <c r="G101" i="12"/>
  <c r="G35" i="12"/>
  <c r="G35" i="30"/>
  <c r="G36" i="30"/>
  <c r="G36" i="12"/>
  <c r="G41" i="12"/>
  <c r="G41" i="30"/>
  <c r="G37" i="12"/>
  <c r="G37" i="30"/>
  <c r="G84" i="12"/>
  <c r="G84" i="30"/>
  <c r="G102" i="12"/>
  <c r="G102" i="30"/>
  <c r="G89" i="30"/>
  <c r="G89" i="12"/>
  <c r="G105" i="12"/>
  <c r="G105" i="30"/>
  <c r="G21" i="12"/>
  <c r="G21" i="30"/>
  <c r="G81" i="30"/>
  <c r="G81" i="12"/>
  <c r="G60" i="12"/>
  <c r="G60" i="30"/>
  <c r="G61" i="12"/>
  <c r="G61" i="30"/>
  <c r="G77" i="12"/>
  <c r="G77" i="30"/>
  <c r="G93" i="12"/>
  <c r="G93" i="30"/>
  <c r="G33" i="12"/>
  <c r="G33" i="30"/>
  <c r="G73" i="12"/>
  <c r="G73" i="30"/>
  <c r="G13" i="12"/>
  <c r="G13" i="30"/>
  <c r="G50" i="12"/>
  <c r="G50" i="30"/>
  <c r="G32" i="30"/>
  <c r="G32" i="12"/>
  <c r="G29" i="12"/>
  <c r="G29" i="30"/>
  <c r="G53" i="12"/>
  <c r="G53" i="30"/>
  <c r="G25" i="12"/>
  <c r="G25" i="30"/>
  <c r="G69" i="30"/>
  <c r="G69" i="12"/>
  <c r="G49" i="30"/>
  <c r="G49" i="12"/>
  <c r="G9" i="30"/>
  <c r="G9" i="12"/>
  <c r="G134" i="12"/>
  <c r="G134" i="30"/>
  <c r="G85" i="30"/>
  <c r="G85" i="12"/>
  <c r="G28" i="30"/>
  <c r="G28" i="12"/>
  <c r="G48" i="12"/>
  <c r="G48" i="30"/>
  <c r="G45" i="30"/>
  <c r="G45" i="12"/>
  <c r="N59" i="12"/>
  <c r="F59" i="12"/>
  <c r="M59" i="12" s="1"/>
  <c r="N59" i="30"/>
  <c r="F59" i="30"/>
  <c r="M59" i="30" s="1"/>
  <c r="F129" i="12"/>
  <c r="F129" i="30"/>
  <c r="BP59" i="27"/>
  <c r="F102" i="12"/>
  <c r="F102" i="30"/>
  <c r="F9" i="12"/>
  <c r="F9" i="30"/>
  <c r="F50" i="12"/>
  <c r="F50" i="30"/>
  <c r="O99" i="12"/>
  <c r="AB99" i="12" s="1"/>
  <c r="O113" i="12"/>
  <c r="AB113" i="12" s="1"/>
  <c r="F42" i="12"/>
  <c r="M42" i="12" s="1"/>
  <c r="N79" i="12"/>
  <c r="F79" i="12"/>
  <c r="M79" i="12" s="1"/>
  <c r="N79" i="30"/>
  <c r="F79" i="30"/>
  <c r="M79" i="30" s="1"/>
  <c r="F93" i="12"/>
  <c r="F93" i="30"/>
  <c r="F53" i="12"/>
  <c r="F53" i="30"/>
  <c r="O109" i="30"/>
  <c r="AB109" i="30" s="1"/>
  <c r="O113" i="30"/>
  <c r="AB113" i="30" s="1"/>
  <c r="F42" i="30"/>
  <c r="M42" i="30" s="1"/>
  <c r="O52" i="12"/>
  <c r="AB52" i="12" s="1"/>
  <c r="F61" i="12"/>
  <c r="F61" i="30"/>
  <c r="O52" i="30"/>
  <c r="AB52" i="30" s="1"/>
  <c r="G61" i="31"/>
  <c r="J61" i="31" s="1"/>
  <c r="G77" i="31"/>
  <c r="J77" i="31" s="1"/>
  <c r="G93" i="31"/>
  <c r="J93" i="31" s="1"/>
  <c r="G21" i="31"/>
  <c r="J21" i="31" s="1"/>
  <c r="G81" i="31"/>
  <c r="J81" i="31" s="1"/>
  <c r="G60" i="31"/>
  <c r="J60" i="31" s="1"/>
  <c r="G53" i="31"/>
  <c r="J53" i="31" s="1"/>
  <c r="G33" i="31"/>
  <c r="J33" i="31" s="1"/>
  <c r="G73" i="31"/>
  <c r="J73" i="31" s="1"/>
  <c r="G13" i="31"/>
  <c r="J13" i="31" s="1"/>
  <c r="G50" i="31"/>
  <c r="J50" i="31" s="1"/>
  <c r="G32" i="31"/>
  <c r="J32" i="31" s="1"/>
  <c r="G29" i="31"/>
  <c r="J29" i="31" s="1"/>
  <c r="G25" i="31"/>
  <c r="J25" i="31" s="1"/>
  <c r="G83" i="31"/>
  <c r="J83" i="31" s="1"/>
  <c r="G16" i="31"/>
  <c r="J16" i="31" s="1"/>
  <c r="G17" i="31"/>
  <c r="J17" i="31" s="1"/>
  <c r="G69" i="31"/>
  <c r="J69" i="31" s="1"/>
  <c r="G49" i="31"/>
  <c r="J49" i="31" s="1"/>
  <c r="G9" i="31"/>
  <c r="J9" i="31" s="1"/>
  <c r="G134" i="31"/>
  <c r="G85" i="31"/>
  <c r="J85" i="31" s="1"/>
  <c r="G28" i="31"/>
  <c r="J28" i="31" s="1"/>
  <c r="G48" i="31"/>
  <c r="J48" i="31" s="1"/>
  <c r="G45" i="31"/>
  <c r="J45" i="31" s="1"/>
  <c r="G5" i="31"/>
  <c r="J5" i="31" s="1"/>
  <c r="G37" i="31"/>
  <c r="J37" i="31" s="1"/>
  <c r="G84" i="31"/>
  <c r="G102" i="31"/>
  <c r="J102" i="31" s="1"/>
  <c r="G89" i="31"/>
  <c r="J89" i="31" s="1"/>
  <c r="G105" i="31"/>
  <c r="J105" i="31" s="1"/>
  <c r="G121" i="31"/>
  <c r="G106" i="31"/>
  <c r="G129" i="31"/>
  <c r="J129" i="31" s="1"/>
  <c r="G125" i="31"/>
  <c r="J125" i="31" s="1"/>
  <c r="G117" i="31"/>
  <c r="G101" i="31"/>
  <c r="J101" i="31" s="1"/>
  <c r="G35" i="31"/>
  <c r="J35" i="31" s="1"/>
  <c r="G36" i="31"/>
  <c r="J36" i="31" s="1"/>
  <c r="G41" i="31"/>
  <c r="BK44" i="27"/>
  <c r="BM44" i="27" s="1"/>
  <c r="BO44" i="27" s="1"/>
  <c r="AH13" i="27" a="1"/>
  <c r="AH13" i="27" s="1"/>
  <c r="AF82" i="27" a="1"/>
  <c r="AF82" i="27" s="1"/>
  <c r="L26" i="27" a="1"/>
  <c r="L26" i="27" s="1"/>
  <c r="R42" i="27" a="1"/>
  <c r="R42" i="27" s="1"/>
  <c r="P89" i="27" a="1"/>
  <c r="P89" i="27" s="1"/>
  <c r="AI22" i="27" a="1"/>
  <c r="AI22" i="27" s="1"/>
  <c r="Z122" i="27" a="1"/>
  <c r="Z122" i="27" s="1"/>
  <c r="AH137" i="27" a="1"/>
  <c r="AH137" i="27" s="1"/>
  <c r="L139" i="27" a="1"/>
  <c r="L139" i="27" s="1"/>
  <c r="U76" i="27" a="1"/>
  <c r="U76" i="27" s="1"/>
  <c r="T60" i="27" a="1"/>
  <c r="T60" i="27" s="1"/>
  <c r="AB126" i="27" a="1"/>
  <c r="AB126" i="27" s="1"/>
  <c r="AI25" i="27" a="1"/>
  <c r="AI25" i="27" s="1"/>
  <c r="L138" i="27" a="1"/>
  <c r="L138" i="27" s="1"/>
  <c r="AC112" i="27" a="1"/>
  <c r="AC112" i="27" s="1"/>
  <c r="L122" i="27" a="1"/>
  <c r="L122" i="27" s="1"/>
  <c r="T129" i="27" a="1"/>
  <c r="T129" i="27" s="1"/>
  <c r="AD65" i="27" a="1"/>
  <c r="AD65" i="27" s="1"/>
  <c r="AD10" i="27" a="1"/>
  <c r="AD10" i="27" s="1"/>
  <c r="AD68" i="27" a="1"/>
  <c r="AD68" i="27" s="1"/>
  <c r="L48" i="27" a="1"/>
  <c r="L48" i="27" s="1"/>
  <c r="Z32" i="27" a="1"/>
  <c r="Z32" i="27" s="1"/>
  <c r="V14" i="27" a="1"/>
  <c r="V14" i="27" s="1"/>
  <c r="U26" i="27" a="1"/>
  <c r="U26" i="27" s="1"/>
  <c r="S137" i="27" a="1"/>
  <c r="S137" i="27" s="1"/>
  <c r="V139" i="27" a="1"/>
  <c r="V139" i="27" s="1"/>
  <c r="N89" i="27" a="1"/>
  <c r="N89" i="27" s="1"/>
  <c r="AB93" i="27" a="1"/>
  <c r="AB93" i="27" s="1"/>
  <c r="U126" i="27" a="1"/>
  <c r="U126" i="27" s="1"/>
  <c r="Z114" i="27" a="1"/>
  <c r="Z114" i="27" s="1"/>
  <c r="AH22" i="27" a="1"/>
  <c r="AH22" i="27" s="1"/>
  <c r="R130" i="27" a="1"/>
  <c r="R130" i="27" s="1"/>
  <c r="U112" i="27" a="1"/>
  <c r="U112" i="27" s="1"/>
  <c r="AB114" i="27" a="1"/>
  <c r="AB114" i="27" s="1"/>
  <c r="AF17" i="27" a="1"/>
  <c r="AF17" i="27" s="1"/>
  <c r="T128" i="27" a="1"/>
  <c r="T128" i="27" s="1"/>
  <c r="L10" i="27" a="1"/>
  <c r="L10" i="27" s="1"/>
  <c r="AC26" i="27" a="1"/>
  <c r="AC26" i="27" s="1"/>
  <c r="AG114" i="27" a="1"/>
  <c r="AG114" i="27" s="1"/>
  <c r="AA129" i="27" a="1"/>
  <c r="AA129" i="27" s="1"/>
  <c r="Y48" i="27" a="1"/>
  <c r="Y48" i="27" s="1"/>
  <c r="AD24" i="27" a="1"/>
  <c r="AD24" i="27" s="1"/>
  <c r="X29" i="27" a="1"/>
  <c r="X29" i="27" s="1"/>
  <c r="T56" i="27" a="1"/>
  <c r="T56" i="27" s="1"/>
  <c r="AE58" i="27" a="1"/>
  <c r="AE58" i="27" s="1"/>
  <c r="T10" i="27" a="1"/>
  <c r="T10" i="27" s="1"/>
  <c r="L105" i="27" a="1"/>
  <c r="L105" i="27" s="1"/>
  <c r="L22" i="27" a="1"/>
  <c r="L22" i="27" s="1"/>
  <c r="AE93" i="27" a="1"/>
  <c r="AE93" i="27" s="1"/>
  <c r="Q53" i="27" a="1"/>
  <c r="Q53" i="27" s="1"/>
  <c r="AG102" i="27" a="1"/>
  <c r="AG102" i="27" s="1"/>
  <c r="AI90" i="27" a="1"/>
  <c r="AI90" i="27" s="1"/>
  <c r="R24" i="27" a="1"/>
  <c r="R24" i="27" s="1"/>
  <c r="N46" i="27" a="1"/>
  <c r="N46" i="27" s="1"/>
  <c r="X130" i="27" a="1"/>
  <c r="X130" i="27" s="1"/>
  <c r="Z65" i="27" a="1"/>
  <c r="Z65" i="27" s="1"/>
  <c r="X68" i="27" a="1"/>
  <c r="X68" i="27" s="1"/>
  <c r="T29" i="27" a="1"/>
  <c r="T29" i="27" s="1"/>
  <c r="AH56" i="27" a="1"/>
  <c r="AH56" i="27" s="1"/>
  <c r="AG82" i="27" a="1"/>
  <c r="AG82" i="27" s="1"/>
  <c r="N22" i="27" a="1"/>
  <c r="N22" i="27" s="1"/>
  <c r="AI112" i="27" a="1"/>
  <c r="AI112" i="27" s="1"/>
  <c r="AH89" i="27" a="1"/>
  <c r="AH89" i="27" s="1"/>
  <c r="AF125" i="27" a="1"/>
  <c r="AF125" i="27" s="1"/>
  <c r="R53" i="27" a="1"/>
  <c r="R53" i="27" s="1"/>
  <c r="L28" i="27" a="1"/>
  <c r="L28" i="27" s="1"/>
  <c r="P68" i="27" a="1"/>
  <c r="P68" i="27" s="1"/>
  <c r="AE68" i="27" a="1"/>
  <c r="AE68" i="27" s="1"/>
  <c r="Z24" i="27" a="1"/>
  <c r="Z24" i="27" s="1"/>
  <c r="AF42" i="27" a="1"/>
  <c r="AF42" i="27" s="1"/>
  <c r="W13" i="27" a="1"/>
  <c r="W13" i="27" s="1"/>
  <c r="W114" i="27" a="1"/>
  <c r="W114" i="27" s="1"/>
  <c r="L89" i="27" a="1"/>
  <c r="L89" i="27" s="1"/>
  <c r="Q14" i="27" a="1"/>
  <c r="Q14" i="27" s="1"/>
  <c r="AI129" i="27" a="1"/>
  <c r="AI129" i="27" s="1"/>
  <c r="W128" i="27" a="1"/>
  <c r="W128" i="27" s="1"/>
  <c r="AI93" i="27" a="1"/>
  <c r="AI93" i="27" s="1"/>
  <c r="Z53" i="27" a="1"/>
  <c r="Z53" i="27" s="1"/>
  <c r="AH90" i="27" a="1"/>
  <c r="AH90" i="27" s="1"/>
  <c r="AA137" i="27" a="1"/>
  <c r="AA137" i="27" s="1"/>
  <c r="W120" i="27" a="1"/>
  <c r="W120" i="27" s="1"/>
  <c r="AA76" i="27" a="1"/>
  <c r="AA76" i="27" s="1"/>
  <c r="W122" i="27" a="1"/>
  <c r="W122" i="27" s="1"/>
  <c r="S130" i="27" a="1"/>
  <c r="S130" i="27" s="1"/>
  <c r="AB56" i="27" a="1"/>
  <c r="AB56" i="27" s="1"/>
  <c r="Z12" i="27" a="1"/>
  <c r="Z12" i="27" s="1"/>
  <c r="W117" i="27" a="1"/>
  <c r="W117" i="27" s="1"/>
  <c r="N16" i="27" a="1"/>
  <c r="N16" i="27" s="1"/>
  <c r="Y16" i="27" a="1"/>
  <c r="Y16" i="27" s="1"/>
  <c r="R20" i="27" a="1"/>
  <c r="R20" i="27" s="1"/>
  <c r="U132" i="27" a="1"/>
  <c r="U132" i="27" s="1"/>
  <c r="AD49" i="27" a="1"/>
  <c r="AD49" i="27" s="1"/>
  <c r="M20" i="27" a="1"/>
  <c r="M20" i="27" s="1"/>
  <c r="W113" i="27" a="1"/>
  <c r="W113" i="27" s="1"/>
  <c r="AF118" i="27" a="1"/>
  <c r="AF118" i="27" s="1"/>
  <c r="AH117" i="27" a="1"/>
  <c r="AH117" i="27" s="1"/>
  <c r="O49" i="27" a="1"/>
  <c r="O49" i="27" s="1"/>
  <c r="W72" i="27" a="1"/>
  <c r="W72" i="27" s="1"/>
  <c r="AE117" i="27" a="1"/>
  <c r="AE117" i="27" s="1"/>
  <c r="Q118" i="27" a="1"/>
  <c r="Q118" i="27" s="1"/>
  <c r="AG117" i="27" a="1"/>
  <c r="AG117" i="27" s="1"/>
  <c r="X117" i="27" a="1"/>
  <c r="X117" i="27" s="1"/>
  <c r="V16" i="27" a="1"/>
  <c r="V16" i="27" s="1"/>
  <c r="N132" i="27" a="1"/>
  <c r="N132" i="27" s="1"/>
  <c r="T121" i="27" a="1"/>
  <c r="T121" i="27" s="1"/>
  <c r="AD117" i="27" a="1"/>
  <c r="AD117" i="27" s="1"/>
  <c r="S49" i="27" a="1"/>
  <c r="S49" i="27" s="1"/>
  <c r="AG16" i="27" a="1"/>
  <c r="AG16" i="27" s="1"/>
  <c r="T118" i="27" a="1"/>
  <c r="T118" i="27" s="1"/>
  <c r="X66" i="27" a="1"/>
  <c r="X66" i="27" s="1"/>
  <c r="AE121" i="27" a="1"/>
  <c r="AE121" i="27" s="1"/>
  <c r="L132" i="27" a="1"/>
  <c r="L132" i="27" s="1"/>
  <c r="P20" i="27" a="1"/>
  <c r="P20" i="27" s="1"/>
  <c r="M72" i="27" a="1"/>
  <c r="M72" i="27" s="1"/>
  <c r="L16" i="27" a="1"/>
  <c r="L16" i="27" s="1"/>
  <c r="X118" i="27" a="1"/>
  <c r="X118" i="27" s="1"/>
  <c r="AH40" i="27" a="1"/>
  <c r="AH40" i="27" s="1"/>
  <c r="S117" i="27" a="1"/>
  <c r="S117" i="27" s="1"/>
  <c r="V20" i="27" a="1"/>
  <c r="V20" i="27" s="1"/>
  <c r="U40" i="27" a="1"/>
  <c r="U40" i="27" s="1"/>
  <c r="T72" i="27" a="1"/>
  <c r="T72" i="27" s="1"/>
  <c r="AC118" i="27" a="1"/>
  <c r="AC118" i="27" s="1"/>
  <c r="Z121" i="27" a="1"/>
  <c r="Z121" i="27" s="1"/>
  <c r="W16" i="27" a="1"/>
  <c r="W16" i="27" s="1"/>
  <c r="AI117" i="27" a="1"/>
  <c r="AI117" i="27" s="1"/>
  <c r="L118" i="27" a="1"/>
  <c r="L118" i="27" s="1"/>
  <c r="AA112" i="27" a="1"/>
  <c r="AA112" i="27" s="1"/>
  <c r="AG14" i="27" a="1"/>
  <c r="AG14" i="27" s="1"/>
  <c r="S89" i="27" a="1"/>
  <c r="S89" i="27" s="1"/>
  <c r="AI122" i="27" a="1"/>
  <c r="AI122" i="27" s="1"/>
  <c r="AD28" i="27" a="1"/>
  <c r="AD28" i="27" s="1"/>
  <c r="AC138" i="27" a="1"/>
  <c r="AC138" i="27" s="1"/>
  <c r="AA53" i="27" a="1"/>
  <c r="AA53" i="27" s="1"/>
  <c r="V112" i="27" a="1"/>
  <c r="V112" i="27" s="1"/>
  <c r="AF60" i="27" a="1"/>
  <c r="AF60" i="27" s="1"/>
  <c r="O126" i="27" a="1"/>
  <c r="O126" i="27" s="1"/>
  <c r="L130" i="27" a="1"/>
  <c r="L130" i="27" s="1"/>
  <c r="AB92" i="27" a="1"/>
  <c r="AB92" i="27" s="1"/>
  <c r="AE12" i="27" a="1"/>
  <c r="AE12" i="27" s="1"/>
  <c r="AE89" i="27" a="1"/>
  <c r="AE89" i="27" s="1"/>
  <c r="U129" i="27" a="1"/>
  <c r="U129" i="27" s="1"/>
  <c r="O53" i="27" a="1"/>
  <c r="O53" i="27" s="1"/>
  <c r="AD94" i="27" a="1"/>
  <c r="AD94" i="27" s="1"/>
  <c r="X13" i="27" a="1"/>
  <c r="X13" i="27" s="1"/>
  <c r="AI14" i="27" a="1"/>
  <c r="AI14" i="27" s="1"/>
  <c r="Q10" i="27" a="1"/>
  <c r="Q10" i="27" s="1"/>
  <c r="AI53" i="27" a="1"/>
  <c r="AI53" i="27" s="1"/>
  <c r="W133" i="27" a="1"/>
  <c r="W133" i="27" s="1"/>
  <c r="AA26" i="27" a="1"/>
  <c r="AA26" i="27" s="1"/>
  <c r="Y26" i="27" a="1"/>
  <c r="Y26" i="27" s="1"/>
  <c r="W56" i="27" a="1"/>
  <c r="W56" i="27" s="1"/>
  <c r="Z126" i="27" a="1"/>
  <c r="Z126" i="27" s="1"/>
  <c r="AH17" i="27" a="1"/>
  <c r="AH17" i="27" s="1"/>
  <c r="L32" i="27" a="1"/>
  <c r="L32" i="27" s="1"/>
  <c r="S28" i="27" a="1"/>
  <c r="S28" i="27" s="1"/>
  <c r="R89" i="27" a="1"/>
  <c r="R89" i="27" s="1"/>
  <c r="T139" i="27" a="1"/>
  <c r="T139" i="27" s="1"/>
  <c r="Q89" i="27" a="1"/>
  <c r="Q89" i="27" s="1"/>
  <c r="AA105" i="27" a="1"/>
  <c r="AA105" i="27" s="1"/>
  <c r="AH60" i="27" a="1"/>
  <c r="AH60" i="27" s="1"/>
  <c r="Q26" i="27" a="1"/>
  <c r="Q26" i="27" s="1"/>
  <c r="AD122" i="27" a="1"/>
  <c r="AD122" i="27" s="1"/>
  <c r="T14" i="27" a="1"/>
  <c r="T14" i="27" s="1"/>
  <c r="T133" i="27" a="1"/>
  <c r="T133" i="27" s="1"/>
  <c r="AH112" i="27" a="1"/>
  <c r="AH112" i="27" s="1"/>
  <c r="T126" i="27" a="1"/>
  <c r="T126" i="27" s="1"/>
  <c r="P112" i="27" a="1"/>
  <c r="P112" i="27" s="1"/>
  <c r="M102" i="27" a="1"/>
  <c r="M102" i="27" s="1"/>
  <c r="AG68" i="27" a="1"/>
  <c r="AG68" i="27" s="1"/>
  <c r="L76" i="27" a="1"/>
  <c r="L76" i="27" s="1"/>
  <c r="X32" i="27" a="1"/>
  <c r="X32" i="27" s="1"/>
  <c r="N28" i="27" a="1"/>
  <c r="N28" i="27" s="1"/>
  <c r="P12" i="27" a="1"/>
  <c r="P12" i="27" s="1"/>
  <c r="N139" i="27" a="1"/>
  <c r="N139" i="27" s="1"/>
  <c r="AI116" i="27" a="1"/>
  <c r="AI116" i="27" s="1"/>
  <c r="V10" i="27" a="1"/>
  <c r="V10" i="27" s="1"/>
  <c r="T110" i="27" a="1"/>
  <c r="T110" i="27" s="1"/>
  <c r="M92" i="27" a="1"/>
  <c r="M92" i="27" s="1"/>
  <c r="T12" i="27" a="1"/>
  <c r="T12" i="27" s="1"/>
  <c r="AE32" i="27" a="1"/>
  <c r="AE32" i="27" s="1"/>
  <c r="AC17" i="27" a="1"/>
  <c r="AC17" i="27" s="1"/>
  <c r="X42" i="27" a="1"/>
  <c r="X42" i="27" s="1"/>
  <c r="U98" i="27" a="1"/>
  <c r="U98" i="27" s="1"/>
  <c r="T112" i="27" a="1"/>
  <c r="T112" i="27" s="1"/>
  <c r="X56" i="27" a="1"/>
  <c r="X56" i="27" s="1"/>
  <c r="V65" i="27" a="1"/>
  <c r="V65" i="27" s="1"/>
  <c r="T90" i="27" a="1"/>
  <c r="T90" i="27" s="1"/>
  <c r="AI26" i="27" a="1"/>
  <c r="AI26" i="27" s="1"/>
  <c r="AB110" i="27" a="1"/>
  <c r="AB110" i="27" s="1"/>
  <c r="O65" i="27" a="1"/>
  <c r="O65" i="27" s="1"/>
  <c r="Y90" i="27" a="1"/>
  <c r="Y90" i="27" s="1"/>
  <c r="AC24" i="27" a="1"/>
  <c r="AC24" i="27" s="1"/>
  <c r="U137" i="27" a="1"/>
  <c r="U137" i="27" s="1"/>
  <c r="AC137" i="27" a="1"/>
  <c r="AC137" i="27" s="1"/>
  <c r="Y102" i="27" a="1"/>
  <c r="Y102" i="27" s="1"/>
  <c r="AI56" i="27" a="1"/>
  <c r="AI56" i="27" s="1"/>
  <c r="T80" i="27" a="1"/>
  <c r="T80" i="27" s="1"/>
  <c r="O10" i="27" a="1"/>
  <c r="O10" i="27" s="1"/>
  <c r="W64" i="27" a="1"/>
  <c r="W64" i="27" s="1"/>
  <c r="AG106" i="27" a="1"/>
  <c r="AG106" i="27" s="1"/>
  <c r="V36" i="27" a="1"/>
  <c r="V36" i="27" s="1"/>
  <c r="N100" i="27" a="1"/>
  <c r="N100" i="27" s="1"/>
  <c r="AH32" i="27" a="1"/>
  <c r="AH32" i="27" s="1"/>
  <c r="AA60" i="27" a="1"/>
  <c r="AA60" i="27" s="1"/>
  <c r="AA58" i="27" a="1"/>
  <c r="AA58" i="27" s="1"/>
  <c r="AB138" i="27" a="1"/>
  <c r="AB138" i="27" s="1"/>
  <c r="AH14" i="27" a="1"/>
  <c r="AH14" i="27" s="1"/>
  <c r="Z133" i="27" a="1"/>
  <c r="Z133" i="27" s="1"/>
  <c r="Q65" i="27" a="1"/>
  <c r="Q65" i="27" s="1"/>
  <c r="AE138" i="27" a="1"/>
  <c r="AE138" i="27" s="1"/>
  <c r="AF106" i="27" a="1"/>
  <c r="AF106" i="27" s="1"/>
  <c r="AI133" i="27" a="1"/>
  <c r="AI133" i="27" s="1"/>
  <c r="AC46" i="27" a="1"/>
  <c r="AC46" i="27" s="1"/>
  <c r="T76" i="27" a="1"/>
  <c r="T76" i="27" s="1"/>
  <c r="AI138" i="27" a="1"/>
  <c r="AI138" i="27" s="1"/>
  <c r="Y128" i="27" a="1"/>
  <c r="Y128" i="27" s="1"/>
  <c r="U10" i="27" a="1"/>
  <c r="U10" i="27" s="1"/>
  <c r="AA36" i="27" a="1"/>
  <c r="AA36" i="27" s="1"/>
  <c r="AF129" i="27" a="1"/>
  <c r="AF129" i="27" s="1"/>
  <c r="R46" i="27" a="1"/>
  <c r="R46" i="27" s="1"/>
  <c r="AB66" i="27" a="1"/>
  <c r="AB66" i="27" s="1"/>
  <c r="X20" i="27" a="1"/>
  <c r="X20" i="27" s="1"/>
  <c r="AI16" i="27" a="1"/>
  <c r="AI16" i="27" s="1"/>
  <c r="AI132" i="27" a="1"/>
  <c r="AI132" i="27" s="1"/>
  <c r="S16" i="27" a="1"/>
  <c r="S16" i="27" s="1"/>
  <c r="M49" i="27" a="1"/>
  <c r="M49" i="27" s="1"/>
  <c r="AB132" i="27" a="1"/>
  <c r="AB132" i="27" s="1"/>
  <c r="Z132" i="27" a="1"/>
  <c r="Z132" i="27" s="1"/>
  <c r="O113" i="27" a="1"/>
  <c r="O113" i="27" s="1"/>
  <c r="V49" i="27" a="1"/>
  <c r="V49" i="27" s="1"/>
  <c r="Y117" i="27" a="1"/>
  <c r="Y117" i="27" s="1"/>
  <c r="Y40" i="27" a="1"/>
  <c r="Y40" i="27" s="1"/>
  <c r="AC132" i="27" a="1"/>
  <c r="AC132" i="27" s="1"/>
  <c r="AC49" i="27" a="1"/>
  <c r="AC49" i="27" s="1"/>
  <c r="S66" i="27" a="1"/>
  <c r="S66" i="27" s="1"/>
  <c r="AF40" i="27" a="1"/>
  <c r="AF40" i="27" s="1"/>
  <c r="AF72" i="27" a="1"/>
  <c r="AF72" i="27" s="1"/>
  <c r="Y132" i="27" a="1"/>
  <c r="Y132" i="27" s="1"/>
  <c r="Z40" i="27" a="1"/>
  <c r="Z40" i="27" s="1"/>
  <c r="U118" i="27" a="1"/>
  <c r="U118" i="27" s="1"/>
  <c r="W132" i="27" a="1"/>
  <c r="W132" i="27" s="1"/>
  <c r="Z16" i="27" a="1"/>
  <c r="Z16" i="27" s="1"/>
  <c r="AA40" i="27" a="1"/>
  <c r="AA40" i="27" s="1"/>
  <c r="X40" i="27" a="1"/>
  <c r="X40" i="27" s="1"/>
  <c r="AD40" i="27" a="1"/>
  <c r="AD40" i="27" s="1"/>
  <c r="T66" i="27" a="1"/>
  <c r="T66" i="27" s="1"/>
  <c r="S72" i="27" a="1"/>
  <c r="S72" i="27" s="1"/>
  <c r="AC40" i="27" a="1"/>
  <c r="AC40" i="27" s="1"/>
  <c r="W100" i="27" a="1"/>
  <c r="W100" i="27" s="1"/>
  <c r="R110" i="27" a="1"/>
  <c r="R110" i="27" s="1"/>
  <c r="AF102" i="27" a="1"/>
  <c r="AF102" i="27" s="1"/>
  <c r="AC65" i="27" a="1"/>
  <c r="AC65" i="27" s="1"/>
  <c r="Q90" i="27" a="1"/>
  <c r="Q90" i="27" s="1"/>
  <c r="AF134" i="27" a="1"/>
  <c r="AF134" i="27" s="1"/>
  <c r="AH80" i="27" a="1"/>
  <c r="AH80" i="27" s="1"/>
  <c r="AE26" i="27" a="1"/>
  <c r="AE26" i="27" s="1"/>
  <c r="AE105" i="27" a="1"/>
  <c r="AE105" i="27" s="1"/>
  <c r="R112" i="27" a="1"/>
  <c r="R112" i="27" s="1"/>
  <c r="W29" i="27" a="1"/>
  <c r="W29" i="27" s="1"/>
  <c r="N12" i="27" a="1"/>
  <c r="N12" i="27" s="1"/>
  <c r="AC102" i="27" a="1"/>
  <c r="AC102" i="27" s="1"/>
  <c r="T82" i="27" a="1"/>
  <c r="T82" i="27" s="1"/>
  <c r="AH10" i="27" a="1"/>
  <c r="AH10" i="27" s="1"/>
  <c r="AG126" i="27" a="1"/>
  <c r="AG126" i="27" s="1"/>
  <c r="T36" i="27" a="1"/>
  <c r="T36" i="27" s="1"/>
  <c r="Q105" i="27" a="1"/>
  <c r="Q105" i="27" s="1"/>
  <c r="L114" i="27" a="1"/>
  <c r="L114" i="27" s="1"/>
  <c r="AI82" i="27" a="1"/>
  <c r="AI82" i="27" s="1"/>
  <c r="T48" i="27" a="1"/>
  <c r="T48" i="27" s="1"/>
  <c r="AB60" i="27" a="1"/>
  <c r="AB60" i="27" s="1"/>
  <c r="T22" i="27" a="1"/>
  <c r="T22" i="27" s="1"/>
  <c r="AG112" i="27" a="1"/>
  <c r="AG112" i="27" s="1"/>
  <c r="AC13" i="27" a="1"/>
  <c r="AC13" i="27" s="1"/>
  <c r="Z137" i="27" a="1"/>
  <c r="Z137" i="27" s="1"/>
  <c r="AB69" i="27" a="1"/>
  <c r="AB69" i="27" s="1"/>
  <c r="AC110" i="27" a="1"/>
  <c r="AC110" i="27" s="1"/>
  <c r="Y125" i="27" a="1"/>
  <c r="Y125" i="27" s="1"/>
  <c r="P46" i="27" a="1"/>
  <c r="P46" i="27" s="1"/>
  <c r="W82" i="27" a="1"/>
  <c r="W82" i="27" s="1"/>
  <c r="X80" i="27" a="1"/>
  <c r="X80" i="27" s="1"/>
  <c r="S139" i="27" a="1"/>
  <c r="S139" i="27" s="1"/>
  <c r="S17" i="27" a="1"/>
  <c r="S17" i="27" s="1"/>
  <c r="Y10" i="27" a="1"/>
  <c r="Y10" i="27" s="1"/>
  <c r="T94" i="27" a="1"/>
  <c r="T94" i="27" s="1"/>
  <c r="Z76" i="27" a="1"/>
  <c r="Z76" i="27" s="1"/>
  <c r="AF105" i="27" a="1"/>
  <c r="AF105" i="27" s="1"/>
  <c r="AI42" i="27" a="1"/>
  <c r="AI42" i="27" s="1"/>
  <c r="Z100" i="27" a="1"/>
  <c r="Z100" i="27" s="1"/>
  <c r="O29" i="27" a="1"/>
  <c r="O29" i="27" s="1"/>
  <c r="AD46" i="27" a="1"/>
  <c r="AD46" i="27" s="1"/>
  <c r="AF14" i="27" a="1"/>
  <c r="AF14" i="27" s="1"/>
  <c r="O80" i="27" a="1"/>
  <c r="O80" i="27" s="1"/>
  <c r="X126" i="27" a="1"/>
  <c r="X126" i="27" s="1"/>
  <c r="S120" i="27" a="1"/>
  <c r="S120" i="27" s="1"/>
  <c r="V22" i="27" a="1"/>
  <c r="V22" i="27" s="1"/>
  <c r="AA133" i="27" a="1"/>
  <c r="AA133" i="27" s="1"/>
  <c r="AB68" i="27" a="1"/>
  <c r="AB68" i="27" s="1"/>
  <c r="R64" i="27" a="1"/>
  <c r="R64" i="27" s="1"/>
  <c r="Q130" i="27" a="1"/>
  <c r="Q130" i="27" s="1"/>
  <c r="AC92" i="27" a="1"/>
  <c r="AC92" i="27" s="1"/>
  <c r="S24" i="27" a="1"/>
  <c r="S24" i="27" s="1"/>
  <c r="AH42" i="27" a="1"/>
  <c r="AH42" i="27" s="1"/>
  <c r="AG13" i="27" a="1"/>
  <c r="AG13" i="27" s="1"/>
  <c r="AI100" i="27" a="1"/>
  <c r="AI100" i="27" s="1"/>
  <c r="P32" i="27" a="1"/>
  <c r="P32" i="27" s="1"/>
  <c r="Q56" i="27" a="1"/>
  <c r="Q56" i="27" s="1"/>
  <c r="S60" i="27" a="1"/>
  <c r="S60" i="27" s="1"/>
  <c r="X25" i="27" a="1"/>
  <c r="X25" i="27" s="1"/>
  <c r="AG60" i="27" a="1"/>
  <c r="AG60" i="27" s="1"/>
  <c r="P138" i="27" a="1"/>
  <c r="P138" i="27" s="1"/>
  <c r="M65" i="27" a="1"/>
  <c r="M65" i="27" s="1"/>
  <c r="Z14" i="27" a="1"/>
  <c r="Z14" i="27" s="1"/>
  <c r="V12" i="27" a="1"/>
  <c r="V12" i="27" s="1"/>
  <c r="N90" i="27" a="1"/>
  <c r="N90" i="27" s="1"/>
  <c r="P90" i="27" a="1"/>
  <c r="P90" i="27" s="1"/>
  <c r="AH125" i="27" a="1"/>
  <c r="AH125" i="27" s="1"/>
  <c r="L53" i="27" a="1"/>
  <c r="L53" i="27" s="1"/>
  <c r="AE10" i="27" a="1"/>
  <c r="AE10" i="27" s="1"/>
  <c r="O90" i="27" a="1"/>
  <c r="O90" i="27" s="1"/>
  <c r="AC129" i="27" a="1"/>
  <c r="AC129" i="27" s="1"/>
  <c r="AH68" i="27" a="1"/>
  <c r="AH68" i="27" s="1"/>
  <c r="AA130" i="27" a="1"/>
  <c r="AA130" i="27" s="1"/>
  <c r="AA13" i="27" a="1"/>
  <c r="AA13" i="27" s="1"/>
  <c r="V100" i="27" a="1"/>
  <c r="V100" i="27" s="1"/>
  <c r="AD32" i="27" a="1"/>
  <c r="AD32" i="27" s="1"/>
  <c r="AH25" i="27" a="1"/>
  <c r="AH25" i="27" s="1"/>
  <c r="M56" i="27" a="1"/>
  <c r="M56" i="27" s="1"/>
  <c r="W60" i="27" a="1"/>
  <c r="W60" i="27" s="1"/>
  <c r="N125" i="27" a="1"/>
  <c r="N125" i="27" s="1"/>
  <c r="W46" i="27" a="1"/>
  <c r="W46" i="27" s="1"/>
  <c r="U89" i="27" a="1"/>
  <c r="U89" i="27" s="1"/>
  <c r="AC82" i="27" a="1"/>
  <c r="AC82" i="27" s="1"/>
  <c r="AG129" i="27" a="1"/>
  <c r="AG129" i="27" s="1"/>
  <c r="Q82" i="27" a="1"/>
  <c r="Q82" i="27" s="1"/>
  <c r="AA93" i="27" a="1"/>
  <c r="AA93" i="27" s="1"/>
  <c r="O128" i="27" a="1"/>
  <c r="O128" i="27" s="1"/>
  <c r="AD22" i="27" a="1"/>
  <c r="AD22" i="27" s="1"/>
  <c r="X17" i="27" a="1"/>
  <c r="X17" i="27" s="1"/>
  <c r="AB139" i="27" a="1"/>
  <c r="AB139" i="27" s="1"/>
  <c r="AE53" i="27" a="1"/>
  <c r="AE53" i="27" s="1"/>
  <c r="L134" i="27" a="1"/>
  <c r="L134" i="27" s="1"/>
  <c r="N120" i="27" a="1"/>
  <c r="N120" i="27" s="1"/>
  <c r="AE133" i="27" a="1"/>
  <c r="AE133" i="27" s="1"/>
  <c r="Y80" i="27" a="1"/>
  <c r="Y80" i="27" s="1"/>
  <c r="V106" i="27" a="1"/>
  <c r="V106" i="27" s="1"/>
  <c r="AF64" i="27" a="1"/>
  <c r="AF64" i="27" s="1"/>
  <c r="M130" i="27" a="1"/>
  <c r="M130" i="27" s="1"/>
  <c r="P64" i="27" a="1"/>
  <c r="P64" i="27" s="1"/>
  <c r="AD26" i="27" a="1"/>
  <c r="AD26" i="27" s="1"/>
  <c r="AG92" i="27" a="1"/>
  <c r="AG92" i="27" s="1"/>
  <c r="AE116" i="27" a="1"/>
  <c r="AE116" i="27" s="1"/>
  <c r="AH26" i="27" a="1"/>
  <c r="AH26" i="27" s="1"/>
  <c r="AF128" i="27" a="1"/>
  <c r="AF128" i="27" s="1"/>
  <c r="AA10" i="27" a="1"/>
  <c r="AA10" i="27" s="1"/>
  <c r="R26" i="27" a="1"/>
  <c r="R26" i="27" s="1"/>
  <c r="AF98" i="27" a="1"/>
  <c r="AF98" i="27" s="1"/>
  <c r="AG25" i="27" a="1"/>
  <c r="AG25" i="27" s="1"/>
  <c r="AC89" i="27" a="1"/>
  <c r="AC89" i="27" s="1"/>
  <c r="AH93" i="27" a="1"/>
  <c r="AH93" i="27" s="1"/>
  <c r="AE80" i="27" a="1"/>
  <c r="AE80" i="27" s="1"/>
  <c r="S22" i="27" a="1"/>
  <c r="S22" i="27" s="1"/>
  <c r="AA80" i="27" a="1"/>
  <c r="AA80" i="27" s="1"/>
  <c r="S56" i="27" a="1"/>
  <c r="S56" i="27" s="1"/>
  <c r="AH106" i="27" a="1"/>
  <c r="AH106" i="27" s="1"/>
  <c r="AB122" i="27" a="1"/>
  <c r="AB122" i="27" s="1"/>
  <c r="AG125" i="27" a="1"/>
  <c r="AG125" i="27" s="1"/>
  <c r="AI46" i="27" a="1"/>
  <c r="AI46" i="27" s="1"/>
  <c r="S65" i="27" a="1"/>
  <c r="S65" i="27" s="1"/>
  <c r="Q69" i="27" a="1"/>
  <c r="Q69" i="27" s="1"/>
  <c r="N58" i="27" a="1"/>
  <c r="N58" i="27" s="1"/>
  <c r="M10" i="27" a="1"/>
  <c r="M10" i="27" s="1"/>
  <c r="N106" i="27" a="1"/>
  <c r="N106" i="27" s="1"/>
  <c r="O130" i="27" a="1"/>
  <c r="O130" i="27" s="1"/>
  <c r="X64" i="27" a="1"/>
  <c r="X64" i="27" s="1"/>
  <c r="AG26" i="27" a="1"/>
  <c r="AG26" i="27" s="1"/>
  <c r="N92" i="27" a="1"/>
  <c r="N92" i="27" s="1"/>
  <c r="AC64" i="27" a="1"/>
  <c r="AC64" i="27" s="1"/>
  <c r="AD14" i="27" a="1"/>
  <c r="AD14" i="27" s="1"/>
  <c r="P10" i="27" a="1"/>
  <c r="P10" i="27" s="1"/>
  <c r="V120" i="27" a="1"/>
  <c r="V120" i="27" s="1"/>
  <c r="S92" i="27" a="1"/>
  <c r="S92" i="27" s="1"/>
  <c r="AB112" i="27" a="1"/>
  <c r="AB112" i="27" s="1"/>
  <c r="V122" i="27" a="1"/>
  <c r="V122" i="27" s="1"/>
  <c r="N56" i="27" a="1"/>
  <c r="N56" i="27" s="1"/>
  <c r="Z46" i="27" a="1"/>
  <c r="Z46" i="27" s="1"/>
  <c r="Y139" i="27" a="1"/>
  <c r="Y139" i="27" s="1"/>
  <c r="X139" i="27" a="1"/>
  <c r="X139" i="27" s="1"/>
  <c r="U133" i="27" a="1"/>
  <c r="U133" i="27" s="1"/>
  <c r="P92" i="27" a="1"/>
  <c r="P92" i="27" s="1"/>
  <c r="AC105" i="27" a="1"/>
  <c r="AC105" i="27" s="1"/>
  <c r="O112" i="27" a="1"/>
  <c r="O112" i="27" s="1"/>
  <c r="R32" i="27" a="1"/>
  <c r="R32" i="27" s="1"/>
  <c r="X60" i="27" a="1"/>
  <c r="X60" i="27" s="1"/>
  <c r="AG110" i="27" a="1"/>
  <c r="AG110" i="27" s="1"/>
  <c r="AB58" i="27" a="1"/>
  <c r="AB58" i="27" s="1"/>
  <c r="Y46" i="27" a="1"/>
  <c r="Y46" i="27" s="1"/>
  <c r="R125" i="27" a="1"/>
  <c r="R125" i="27" s="1"/>
  <c r="N10" i="27" a="1"/>
  <c r="N10" i="27" s="1"/>
  <c r="N48" i="27" a="1"/>
  <c r="N48" i="27" s="1"/>
  <c r="Q116" i="27" a="1"/>
  <c r="Q116" i="27" s="1"/>
  <c r="AG105" i="27" a="1"/>
  <c r="AG105" i="27" s="1"/>
  <c r="R29" i="27" a="1"/>
  <c r="R29" i="27" s="1"/>
  <c r="Z25" i="27" a="1"/>
  <c r="Z25" i="27" s="1"/>
  <c r="AI110" i="27" a="1"/>
  <c r="AI110" i="27" s="1"/>
  <c r="N60" i="27" a="1"/>
  <c r="N60" i="27" s="1"/>
  <c r="N128" i="27" a="1"/>
  <c r="N128" i="27" s="1"/>
  <c r="AF65" i="27" a="1"/>
  <c r="AF65" i="27" s="1"/>
  <c r="AF130" i="27" a="1"/>
  <c r="AF130" i="27" s="1"/>
  <c r="M42" i="27" a="1"/>
  <c r="M42" i="27" s="1"/>
  <c r="Z13" i="27" a="1"/>
  <c r="Z13" i="27" s="1"/>
  <c r="AH69" i="27" a="1"/>
  <c r="AH69" i="27" s="1"/>
  <c r="AH102" i="27" a="1"/>
  <c r="AH102" i="27" s="1"/>
  <c r="U128" i="27" a="1"/>
  <c r="U128" i="27" s="1"/>
  <c r="P14" i="27" a="1"/>
  <c r="P14" i="27" s="1"/>
  <c r="AB17" i="27" a="1"/>
  <c r="AB17" i="27" s="1"/>
  <c r="W58" i="27" a="1"/>
  <c r="W58" i="27" s="1"/>
  <c r="P120" i="27" a="1"/>
  <c r="P120" i="27" s="1"/>
  <c r="T134" i="27" a="1"/>
  <c r="T134" i="27" s="1"/>
  <c r="Q36" i="27" a="1"/>
  <c r="Q36" i="27" s="1"/>
  <c r="O92" i="27" a="1"/>
  <c r="O92" i="27" s="1"/>
  <c r="R105" i="27" a="1"/>
  <c r="R105" i="27" s="1"/>
  <c r="N42" i="27" a="1"/>
  <c r="N42" i="27" s="1"/>
  <c r="AA100" i="27" a="1"/>
  <c r="AA100" i="27" s="1"/>
  <c r="L29" i="27" a="1"/>
  <c r="L29" i="27" s="1"/>
  <c r="T25" i="27" a="1"/>
  <c r="T25" i="27" s="1"/>
  <c r="AD12" i="27" a="1"/>
  <c r="AD12" i="27" s="1"/>
  <c r="AD82" i="27" a="1"/>
  <c r="AD82" i="27" s="1"/>
  <c r="AA138" i="27" a="1"/>
  <c r="AA138" i="27" s="1"/>
  <c r="S93" i="27" a="1"/>
  <c r="S93" i="27" s="1"/>
  <c r="S90" i="27" a="1"/>
  <c r="S90" i="27" s="1"/>
  <c r="L17" i="27" a="1"/>
  <c r="L17" i="27" s="1"/>
  <c r="Z134" i="27" a="1"/>
  <c r="Z134" i="27" s="1"/>
  <c r="AC120" i="27" a="1"/>
  <c r="AC120" i="27" s="1"/>
  <c r="AF133" i="27" a="1"/>
  <c r="AF133" i="27" s="1"/>
  <c r="AF68" i="27" a="1"/>
  <c r="AF68" i="27" s="1"/>
  <c r="Q64" i="27" a="1"/>
  <c r="Q64" i="27" s="1"/>
  <c r="AA92" i="27" a="1"/>
  <c r="AA92" i="27" s="1"/>
  <c r="AA24" i="27" a="1"/>
  <c r="AA24" i="27" s="1"/>
  <c r="S42" i="27" a="1"/>
  <c r="S42" i="27" s="1"/>
  <c r="P13" i="27" a="1"/>
  <c r="P13" i="27" s="1"/>
  <c r="AD100" i="27" a="1"/>
  <c r="AD100" i="27" s="1"/>
  <c r="M32" i="27" a="1"/>
  <c r="M32" i="27" s="1"/>
  <c r="O25" i="27" a="1"/>
  <c r="O25" i="27" s="1"/>
  <c r="AD114" i="27" a="1"/>
  <c r="AD114" i="27" s="1"/>
  <c r="M125" i="27" a="1"/>
  <c r="M125" i="27" s="1"/>
  <c r="L128" i="27" a="1"/>
  <c r="L128" i="27" s="1"/>
  <c r="M14" i="27" a="1"/>
  <c r="M14" i="27" s="1"/>
  <c r="AC53" i="27" a="1"/>
  <c r="AC53" i="27" s="1"/>
  <c r="AA48" i="27" a="1"/>
  <c r="AA48" i="27" s="1"/>
  <c r="AA126" i="27" a="1"/>
  <c r="AA126" i="27" s="1"/>
  <c r="R133" i="27" a="1"/>
  <c r="R133" i="27" s="1"/>
  <c r="AE90" i="27" a="1"/>
  <c r="AE90" i="27" s="1"/>
  <c r="Z106" i="27" a="1"/>
  <c r="Z106" i="27" s="1"/>
  <c r="AB94" i="27" a="1"/>
  <c r="AB94" i="27" s="1"/>
  <c r="AA29" i="27" a="1"/>
  <c r="AA29" i="27" s="1"/>
  <c r="AG58" i="27" a="1"/>
  <c r="AG58" i="27" s="1"/>
  <c r="X46" i="27" a="1"/>
  <c r="X46" i="27" s="1"/>
  <c r="Z82" i="27" a="1"/>
  <c r="Z82" i="27" s="1"/>
  <c r="Q12" i="27" a="1"/>
  <c r="Q12" i="27" s="1"/>
  <c r="Q17" i="27" a="1"/>
  <c r="Q17" i="27" s="1"/>
  <c r="AE139" i="27" a="1"/>
  <c r="AE139" i="27" s="1"/>
  <c r="AI106" i="27" a="1"/>
  <c r="AI106" i="27" s="1"/>
  <c r="W94" i="27" a="1"/>
  <c r="W94" i="27" s="1"/>
  <c r="AC130" i="27" a="1"/>
  <c r="AC130" i="27" s="1"/>
  <c r="X116" i="27" a="1"/>
  <c r="X116" i="27" s="1"/>
  <c r="R92" i="27" a="1"/>
  <c r="R92" i="27" s="1"/>
  <c r="AC76" i="27" a="1"/>
  <c r="AC76" i="27" s="1"/>
  <c r="M137" i="27" a="1"/>
  <c r="M137" i="27" s="1"/>
  <c r="M69" i="27" a="1"/>
  <c r="M69" i="27" s="1"/>
  <c r="AD130" i="27" a="1"/>
  <c r="AD130" i="27" s="1"/>
  <c r="AF36" i="27" a="1"/>
  <c r="AF36" i="27" s="1"/>
  <c r="Q133" i="27" a="1"/>
  <c r="Q133" i="27" s="1"/>
  <c r="AD106" i="27" a="1"/>
  <c r="AD106" i="27" s="1"/>
  <c r="S13" i="27" a="1"/>
  <c r="S13" i="27" s="1"/>
  <c r="V110" i="27" a="1"/>
  <c r="V110" i="27" s="1"/>
  <c r="AI128" i="27" a="1"/>
  <c r="AI128" i="27" s="1"/>
  <c r="AI139" i="27" a="1"/>
  <c r="AI139" i="27" s="1"/>
  <c r="AC106" i="27" a="1"/>
  <c r="AC106" i="27" s="1"/>
  <c r="O76" i="27" a="1"/>
  <c r="O76" i="27" s="1"/>
  <c r="Y24" i="27" a="1"/>
  <c r="Y24" i="27" s="1"/>
  <c r="X58" i="27" a="1"/>
  <c r="X58" i="27" s="1"/>
  <c r="AB82" i="27" a="1"/>
  <c r="AB82" i="27" s="1"/>
  <c r="AD102" i="27" a="1"/>
  <c r="AD102" i="27" s="1"/>
  <c r="AI134" i="27" a="1"/>
  <c r="AI134" i="27" s="1"/>
  <c r="AH120" i="27" a="1"/>
  <c r="AH120" i="27" s="1"/>
  <c r="W48" i="27" a="1"/>
  <c r="W48" i="27" s="1"/>
  <c r="M26" i="27" a="1"/>
  <c r="M26" i="27" s="1"/>
  <c r="V24" i="27" a="1"/>
  <c r="V24" i="27" s="1"/>
  <c r="AB42" i="27" a="1"/>
  <c r="AB42" i="27" s="1"/>
  <c r="AE112" i="27" a="1"/>
  <c r="AE112" i="27" s="1"/>
  <c r="AC100" i="27" a="1"/>
  <c r="AC100" i="27" s="1"/>
  <c r="R98" i="27" a="1"/>
  <c r="R98" i="27" s="1"/>
  <c r="AC80" i="27" a="1"/>
  <c r="AC80" i="27" s="1"/>
  <c r="L92" i="27" a="1"/>
  <c r="L92" i="27" s="1"/>
  <c r="L100" i="27" a="1"/>
  <c r="L100" i="27" s="1"/>
  <c r="W25" i="27" a="1"/>
  <c r="W25" i="27" s="1"/>
  <c r="AA12" i="27" a="1"/>
  <c r="AA12" i="27" s="1"/>
  <c r="AD110" i="27" a="1"/>
  <c r="AD110" i="27" s="1"/>
  <c r="V17" i="27" a="1"/>
  <c r="V17" i="27" s="1"/>
  <c r="AD126" i="27" a="1"/>
  <c r="AD126" i="27" s="1"/>
  <c r="Q106" i="27" a="1"/>
  <c r="Q106" i="27" s="1"/>
  <c r="U94" i="27" a="1"/>
  <c r="U94" i="27" s="1"/>
  <c r="AB76" i="27" a="1"/>
  <c r="AB76" i="27" s="1"/>
  <c r="AH122" i="27" a="1"/>
  <c r="AH122" i="27" s="1"/>
  <c r="P60" i="27" a="1"/>
  <c r="P60" i="27" s="1"/>
  <c r="S25" i="27" a="1"/>
  <c r="S25" i="27" s="1"/>
  <c r="X98" i="27" a="1"/>
  <c r="X98" i="27" s="1"/>
  <c r="O137" i="27" a="1"/>
  <c r="O137" i="27" s="1"/>
  <c r="X125" i="27" a="1"/>
  <c r="X125" i="27" s="1"/>
  <c r="N82" i="27" a="1"/>
  <c r="N82" i="27" s="1"/>
  <c r="Q125" i="27" a="1"/>
  <c r="Q125" i="27" s="1"/>
  <c r="T53" i="27" a="1"/>
  <c r="T53" i="27" s="1"/>
  <c r="U139" i="27" a="1"/>
  <c r="U139" i="27" s="1"/>
  <c r="V94" i="27" a="1"/>
  <c r="V94" i="27" s="1"/>
  <c r="X36" i="27" a="1"/>
  <c r="X36" i="27" s="1"/>
  <c r="W76" i="27" a="1"/>
  <c r="W76" i="27" s="1"/>
  <c r="T105" i="27" a="1"/>
  <c r="T105" i="27" s="1"/>
  <c r="Z42" i="27" a="1"/>
  <c r="Z42" i="27" s="1"/>
  <c r="AF100" i="27" a="1"/>
  <c r="AF100" i="27" s="1"/>
  <c r="AC29" i="27" a="1"/>
  <c r="AC29" i="27" s="1"/>
  <c r="O60" i="27" a="1"/>
  <c r="O60" i="27" s="1"/>
  <c r="R114" i="27" a="1"/>
  <c r="R114" i="27" s="1"/>
  <c r="U110" i="27" a="1"/>
  <c r="U110" i="27" s="1"/>
  <c r="AC69" i="27" a="1"/>
  <c r="AC69" i="27" s="1"/>
  <c r="AE28" i="27" a="1"/>
  <c r="AE28" i="27" s="1"/>
  <c r="AH58" i="27" a="1"/>
  <c r="AH58" i="27" s="1"/>
  <c r="AE46" i="27" a="1"/>
  <c r="AE46" i="27" s="1"/>
  <c r="AD69" i="27" a="1"/>
  <c r="AD69" i="27" s="1"/>
  <c r="W90" i="27" a="1"/>
  <c r="W90" i="27" s="1"/>
  <c r="R120" i="27" a="1"/>
  <c r="R120" i="27" s="1"/>
  <c r="AH139" i="27" a="1"/>
  <c r="AH139" i="27" s="1"/>
  <c r="O94" i="27" a="1"/>
  <c r="O94" i="27" s="1"/>
  <c r="AB64" i="27" a="1"/>
  <c r="AB64" i="27" s="1"/>
  <c r="AD92" i="27" a="1"/>
  <c r="AD92" i="27" s="1"/>
  <c r="AB24" i="27" a="1"/>
  <c r="AB24" i="27" s="1"/>
  <c r="T42" i="27" a="1"/>
  <c r="T42" i="27" s="1"/>
  <c r="U13" i="27" a="1"/>
  <c r="U13" i="27" s="1"/>
  <c r="AE100" i="27" a="1"/>
  <c r="AE100" i="27" s="1"/>
  <c r="U32" i="27" a="1"/>
  <c r="U32" i="27" s="1"/>
  <c r="AD25" i="27" a="1"/>
  <c r="AD25" i="27" s="1"/>
  <c r="AI114" i="27" a="1"/>
  <c r="AI114" i="27" s="1"/>
  <c r="P56" i="27" a="1"/>
  <c r="P56" i="27" s="1"/>
  <c r="AA69" i="27" a="1"/>
  <c r="AA69" i="27" s="1"/>
  <c r="W110" i="27" a="1"/>
  <c r="W110" i="27" s="1"/>
  <c r="X129" i="27" a="1"/>
  <c r="X129" i="27" s="1"/>
  <c r="AA46" i="27" a="1"/>
  <c r="AA46" i="27" s="1"/>
  <c r="AF89" i="27" a="1"/>
  <c r="AF89" i="27" s="1"/>
  <c r="S82" i="27" a="1"/>
  <c r="S82" i="27" s="1"/>
  <c r="V69" i="27" a="1"/>
  <c r="V69" i="27" s="1"/>
  <c r="N102" i="27" a="1"/>
  <c r="N102" i="27" s="1"/>
  <c r="AA120" i="27" a="1"/>
  <c r="AA120" i="27" s="1"/>
  <c r="V53" i="27" a="1"/>
  <c r="V53" i="27" s="1"/>
  <c r="AF22" i="27" a="1"/>
  <c r="AF22" i="27" s="1"/>
  <c r="AE22" i="27" a="1"/>
  <c r="AE22" i="27" s="1"/>
  <c r="W134" i="27" a="1"/>
  <c r="W134" i="27" s="1"/>
  <c r="Y68" i="27" a="1"/>
  <c r="Y68" i="27" s="1"/>
  <c r="O13" i="27" a="1"/>
  <c r="O13" i="27" s="1"/>
  <c r="S125" i="27" a="1"/>
  <c r="S125" i="27" s="1"/>
  <c r="S134" i="27" a="1"/>
  <c r="S134" i="27" s="1"/>
  <c r="U68" i="27" a="1"/>
  <c r="U68" i="27" s="1"/>
  <c r="Y28" i="27" a="1"/>
  <c r="Y28" i="27" s="1"/>
  <c r="R58" i="27" a="1"/>
  <c r="R58" i="27" s="1"/>
  <c r="U65" i="27" a="1"/>
  <c r="U65" i="27" s="1"/>
  <c r="AA22" i="27" a="1"/>
  <c r="AA22" i="27" s="1"/>
  <c r="AH133" i="27" a="1"/>
  <c r="AH133" i="27" s="1"/>
  <c r="N133" i="27" a="1"/>
  <c r="N133" i="27" s="1"/>
  <c r="AH110" i="27" a="1"/>
  <c r="AH110" i="27" s="1"/>
  <c r="AE92" i="27" a="1"/>
  <c r="AE92" i="27" s="1"/>
  <c r="Y120" i="27" a="1"/>
  <c r="Y120" i="27" s="1"/>
  <c r="AH53" i="27" a="1"/>
  <c r="AH53" i="27" s="1"/>
  <c r="N94" i="27" a="1"/>
  <c r="N94" i="27" s="1"/>
  <c r="O89" i="27" a="1"/>
  <c r="O89" i="27" s="1"/>
  <c r="U114" i="27" a="1"/>
  <c r="U114" i="27" s="1"/>
  <c r="M98" i="27" a="1"/>
  <c r="M98" i="27" s="1"/>
  <c r="S26" i="27" a="1"/>
  <c r="S26" i="27" s="1"/>
  <c r="U22" i="27" a="1"/>
  <c r="U22" i="27" s="1"/>
  <c r="S48" i="27" a="1"/>
  <c r="S48" i="27" s="1"/>
  <c r="U16" i="27" a="1"/>
  <c r="U16" i="27" s="1"/>
  <c r="AB113" i="27" a="1"/>
  <c r="AB113" i="27" s="1"/>
  <c r="R113" i="27" a="1"/>
  <c r="R113" i="27" s="1"/>
  <c r="U113" i="27" a="1"/>
  <c r="U113" i="27" s="1"/>
  <c r="AE66" i="27" a="1"/>
  <c r="AE66" i="27" s="1"/>
  <c r="W66" i="27" a="1"/>
  <c r="W66" i="27" s="1"/>
  <c r="AC20" i="27" a="1"/>
  <c r="AC20" i="27" s="1"/>
  <c r="AF49" i="27" a="1"/>
  <c r="AF49" i="27" s="1"/>
  <c r="AH20" i="27" a="1"/>
  <c r="AH20" i="27" s="1"/>
  <c r="V113" i="27" a="1"/>
  <c r="V113" i="27" s="1"/>
  <c r="Q16" i="27" a="1"/>
  <c r="Q16" i="27" s="1"/>
  <c r="P16" i="27" a="1"/>
  <c r="P16" i="27" s="1"/>
  <c r="P66" i="27" a="1"/>
  <c r="P66" i="27" s="1"/>
  <c r="N20" i="27" a="1"/>
  <c r="N20" i="27" s="1"/>
  <c r="V118" i="27" a="1"/>
  <c r="V118" i="27" s="1"/>
  <c r="N66" i="27" a="1"/>
  <c r="N66" i="27" s="1"/>
  <c r="M24" i="27" a="1"/>
  <c r="M24" i="27" s="1"/>
  <c r="L126" i="27" a="1"/>
  <c r="L126" i="27" s="1"/>
  <c r="AB105" i="27" a="1"/>
  <c r="AB105" i="27" s="1"/>
  <c r="Q122" i="27" a="1"/>
  <c r="Q122" i="27" s="1"/>
  <c r="AE14" i="27" a="1"/>
  <c r="AE14" i="27" s="1"/>
  <c r="AB89" i="27" a="1"/>
  <c r="AB89" i="27" s="1"/>
  <c r="Q126" i="27" a="1"/>
  <c r="Q126" i="27" s="1"/>
  <c r="AH48" i="27" a="1"/>
  <c r="AH48" i="27" s="1"/>
  <c r="U24" i="27" a="1"/>
  <c r="U24" i="27" s="1"/>
  <c r="Z102" i="27" a="1"/>
  <c r="Z102" i="27" s="1"/>
  <c r="R106" i="27" a="1"/>
  <c r="R106" i="27" s="1"/>
  <c r="AB130" i="27" a="1"/>
  <c r="AB130" i="27" s="1"/>
  <c r="AG29" i="27" a="1"/>
  <c r="AG29" i="27" s="1"/>
  <c r="P58" i="27" a="1"/>
  <c r="P58" i="27" s="1"/>
  <c r="AF53" i="27" a="1"/>
  <c r="AF53" i="27" s="1"/>
  <c r="R68" i="27" a="1"/>
  <c r="R68" i="27" s="1"/>
  <c r="AG32" i="27" a="1"/>
  <c r="AG32" i="27" s="1"/>
  <c r="AE65" i="27" a="1"/>
  <c r="AE65" i="27" s="1"/>
  <c r="V102" i="27" a="1"/>
  <c r="V102" i="27" s="1"/>
  <c r="V48" i="27" a="1"/>
  <c r="V48" i="27" s="1"/>
  <c r="W36" i="27" a="1"/>
  <c r="W36" i="27" s="1"/>
  <c r="N65" i="27" a="1"/>
  <c r="N65" i="27" s="1"/>
  <c r="AH126" i="27" a="1"/>
  <c r="AH126" i="27" s="1"/>
  <c r="Y25" i="27" a="1"/>
  <c r="Y25" i="27" s="1"/>
  <c r="R12" i="27" a="1"/>
  <c r="R12" i="27" s="1"/>
  <c r="Y137" i="27" a="1"/>
  <c r="Y137" i="27" s="1"/>
  <c r="Z138" i="27" a="1"/>
  <c r="Z138" i="27" s="1"/>
  <c r="AD116" i="27" a="1"/>
  <c r="AD116" i="27" s="1"/>
  <c r="AA94" i="27" a="1"/>
  <c r="AA94" i="27" s="1"/>
  <c r="W68" i="27" a="1"/>
  <c r="W68" i="27" s="1"/>
  <c r="AD56" i="27" a="1"/>
  <c r="AD56" i="27" s="1"/>
  <c r="T17" i="27" a="1"/>
  <c r="T17" i="27" s="1"/>
  <c r="Y60" i="27" a="1"/>
  <c r="Y60" i="27" s="1"/>
  <c r="T120" i="27" a="1"/>
  <c r="T120" i="27" s="1"/>
  <c r="AI126" i="27" a="1"/>
  <c r="AI126" i="27" s="1"/>
  <c r="AG36" i="27" a="1"/>
  <c r="AG36" i="27" s="1"/>
  <c r="T46" i="27" a="1"/>
  <c r="T46" i="27" s="1"/>
  <c r="AF120" i="27" a="1"/>
  <c r="AF120" i="27" s="1"/>
  <c r="AD76" i="27" a="1"/>
  <c r="AD76" i="27" s="1"/>
  <c r="U100" i="27" a="1"/>
  <c r="U100" i="27" s="1"/>
  <c r="R65" i="27" a="1"/>
  <c r="R65" i="27" s="1"/>
  <c r="AF80" i="27" a="1"/>
  <c r="AF80" i="27" s="1"/>
  <c r="W112" i="27" a="1"/>
  <c r="W112" i="27" s="1"/>
  <c r="N122" i="27" a="1"/>
  <c r="N122" i="27" s="1"/>
  <c r="S69" i="27" a="1"/>
  <c r="S69" i="27" s="1"/>
  <c r="AC125" i="27" a="1"/>
  <c r="AC125" i="27" s="1"/>
  <c r="X133" i="27" a="1"/>
  <c r="X133" i="27" s="1"/>
  <c r="AG94" i="27" a="1"/>
  <c r="AG94" i="27" s="1"/>
  <c r="AE129" i="27" a="1"/>
  <c r="AE129" i="27" s="1"/>
  <c r="AH94" i="27" a="1"/>
  <c r="AH94" i="27" s="1"/>
  <c r="AE94" i="27" a="1"/>
  <c r="AE94" i="27" s="1"/>
  <c r="S98" i="27" a="1"/>
  <c r="S98" i="27" s="1"/>
  <c r="L68" i="27" a="1"/>
  <c r="L68" i="27" s="1"/>
  <c r="L110" i="27" a="1"/>
  <c r="L110" i="27" s="1"/>
  <c r="W129" i="27" a="1"/>
  <c r="W129" i="27" s="1"/>
  <c r="U93" i="27" a="1"/>
  <c r="U93" i="27" s="1"/>
  <c r="P106" i="27" a="1"/>
  <c r="P106" i="27" s="1"/>
  <c r="AE128" i="27" a="1"/>
  <c r="AE128" i="27" s="1"/>
  <c r="AG64" i="27" a="1"/>
  <c r="AG64" i="27" s="1"/>
  <c r="O28" i="27" a="1"/>
  <c r="O28" i="27" s="1"/>
  <c r="R14" i="27" a="1"/>
  <c r="R14" i="27" s="1"/>
  <c r="W89" i="27" a="1"/>
  <c r="W89" i="27" s="1"/>
  <c r="AI24" i="27" a="1"/>
  <c r="AI24" i="27" s="1"/>
  <c r="AA42" i="27" a="1"/>
  <c r="AA42" i="27" s="1"/>
  <c r="Y13" i="27" a="1"/>
  <c r="Y13" i="27" s="1"/>
  <c r="AA25" i="27" a="1"/>
  <c r="AA25" i="27" s="1"/>
  <c r="O17" i="27" a="1"/>
  <c r="O17" i="27" s="1"/>
  <c r="P76" i="27" a="1"/>
  <c r="P76" i="27" s="1"/>
  <c r="AF13" i="27" a="1"/>
  <c r="AF13" i="27" s="1"/>
  <c r="Z89" i="27" a="1"/>
  <c r="Z89" i="27" s="1"/>
  <c r="R139" i="27" a="1"/>
  <c r="R139" i="27" s="1"/>
  <c r="P116" i="27" a="1"/>
  <c r="P116" i="27" s="1"/>
  <c r="V42" i="27" a="1"/>
  <c r="V42" i="27" s="1"/>
  <c r="U29" i="27" a="1"/>
  <c r="U29" i="27" s="1"/>
  <c r="AH28" i="27" a="1"/>
  <c r="AH28" i="27" s="1"/>
  <c r="M58" i="27" a="1"/>
  <c r="M58" i="27" s="1"/>
  <c r="V134" i="27" a="1"/>
  <c r="V134" i="27" s="1"/>
  <c r="AB48" i="27" a="1"/>
  <c r="AB48" i="27" s="1"/>
  <c r="Q92" i="27" a="1"/>
  <c r="Q92" i="27" s="1"/>
  <c r="AF32" i="27" a="1"/>
  <c r="AF32" i="27" s="1"/>
  <c r="L98" i="27" a="1"/>
  <c r="L98" i="27" s="1"/>
  <c r="Z110" i="27" a="1"/>
  <c r="Z110" i="27" s="1"/>
  <c r="L25" i="27" a="1"/>
  <c r="L25" i="27" s="1"/>
  <c r="P129" i="27" a="1"/>
  <c r="P129" i="27" s="1"/>
  <c r="V93" i="27" a="1"/>
  <c r="V93" i="27" s="1"/>
  <c r="Z90" i="27" a="1"/>
  <c r="Z90" i="27" s="1"/>
  <c r="AF94" i="27" a="1"/>
  <c r="AF94" i="27" s="1"/>
  <c r="X26" i="27" a="1"/>
  <c r="X26" i="27" s="1"/>
  <c r="V13" i="27" a="1"/>
  <c r="V13" i="27" s="1"/>
  <c r="X114" i="27" a="1"/>
  <c r="X114" i="27" s="1"/>
  <c r="AI98" i="27" a="1"/>
  <c r="AI98" i="27" s="1"/>
  <c r="X69" i="27" a="1"/>
  <c r="X69" i="27" s="1"/>
  <c r="X110" i="27" a="1"/>
  <c r="X110" i="27" s="1"/>
  <c r="W125" i="27" a="1"/>
  <c r="W125" i="27" s="1"/>
  <c r="V46" i="27" a="1"/>
  <c r="V46" i="27" s="1"/>
  <c r="AH82" i="27" a="1"/>
  <c r="AH82" i="27" s="1"/>
  <c r="O139" i="27" a="1"/>
  <c r="O139" i="27" s="1"/>
  <c r="AA134" i="27" a="1"/>
  <c r="AA134" i="27" s="1"/>
  <c r="R48" i="27" a="1"/>
  <c r="R48" i="27" s="1"/>
  <c r="AB106" i="27" a="1"/>
  <c r="AB106" i="27" s="1"/>
  <c r="AE29" i="27" a="1"/>
  <c r="AE29" i="27" s="1"/>
  <c r="AB25" i="27" a="1"/>
  <c r="AB25" i="27" s="1"/>
  <c r="Q98" i="27" a="1"/>
  <c r="Q98" i="27" s="1"/>
  <c r="AI137" i="27" a="1"/>
  <c r="AI137" i="27" s="1"/>
  <c r="U28" i="27" a="1"/>
  <c r="U28" i="27" s="1"/>
  <c r="AD98" i="27" a="1"/>
  <c r="AD98" i="27" s="1"/>
  <c r="S138" i="27" a="1"/>
  <c r="S138" i="27" s="1"/>
  <c r="X128" i="27" a="1"/>
  <c r="X128" i="27" s="1"/>
  <c r="AE120" i="27" a="1"/>
  <c r="AE120" i="27" s="1"/>
  <c r="P48" i="27" a="1"/>
  <c r="P48" i="27" s="1"/>
  <c r="N68" i="27" a="1"/>
  <c r="N68" i="27" s="1"/>
  <c r="Z92" i="27" a="1"/>
  <c r="Z92" i="27" s="1"/>
  <c r="Z36" i="27" a="1"/>
  <c r="Z36" i="27" s="1"/>
  <c r="L129" i="27" a="1"/>
  <c r="L129" i="27" s="1"/>
  <c r="M53" i="27" a="1"/>
  <c r="M53" i="27" s="1"/>
  <c r="AC14" i="27" a="1"/>
  <c r="AC14" i="27" s="1"/>
  <c r="AF114" i="27" a="1"/>
  <c r="AF114" i="27" s="1"/>
  <c r="U58" i="27" a="1"/>
  <c r="U58" i="27" s="1"/>
  <c r="AB90" i="27" a="1"/>
  <c r="AB90" i="27" s="1"/>
  <c r="AE106" i="27" a="1"/>
  <c r="AE106" i="27" s="1"/>
  <c r="Y36" i="27" a="1"/>
  <c r="Y36" i="27" s="1"/>
  <c r="AI36" i="27" a="1"/>
  <c r="AI36" i="27" s="1"/>
  <c r="U56" i="27" a="1"/>
  <c r="U56" i="27" s="1"/>
  <c r="P80" i="27" a="1"/>
  <c r="P80" i="27" s="1"/>
  <c r="AB128" i="27" a="1"/>
  <c r="AB128" i="27" s="1"/>
  <c r="AE69" i="27" a="1"/>
  <c r="AE69" i="27" s="1"/>
  <c r="Y58" i="27" a="1"/>
  <c r="Y58" i="27" s="1"/>
  <c r="Y64" i="27" a="1"/>
  <c r="Y64" i="27" s="1"/>
  <c r="S105" i="27" a="1"/>
  <c r="S105" i="27" s="1"/>
  <c r="R129" i="27" a="1"/>
  <c r="R129" i="27" s="1"/>
  <c r="AG22" i="27" a="1"/>
  <c r="AG22" i="27" s="1"/>
  <c r="M94" i="27" a="1"/>
  <c r="M94" i="27" s="1"/>
  <c r="M13" i="27" a="1"/>
  <c r="M13" i="27" s="1"/>
  <c r="AI58" i="27" a="1"/>
  <c r="AI58" i="27" s="1"/>
  <c r="P102" i="27" a="1"/>
  <c r="P102" i="27" s="1"/>
  <c r="X134" i="27" a="1"/>
  <c r="X134" i="27" s="1"/>
  <c r="AI48" i="27" a="1"/>
  <c r="AI48" i="27" s="1"/>
  <c r="V116" i="27" a="1"/>
  <c r="V116" i="27" s="1"/>
  <c r="Z29" i="27" a="1"/>
  <c r="Z29" i="27" s="1"/>
  <c r="N98" i="27" a="1"/>
  <c r="N98" i="27" s="1"/>
  <c r="T65" i="27" a="1"/>
  <c r="T65" i="27" s="1"/>
  <c r="M48" i="27" a="1"/>
  <c r="M48" i="27" s="1"/>
  <c r="AE122" i="27" a="1"/>
  <c r="AE122" i="27" s="1"/>
  <c r="L137" i="27" a="1"/>
  <c r="L137" i="27" s="1"/>
  <c r="L46" i="27" a="1"/>
  <c r="L46" i="27" s="1"/>
  <c r="O129" i="27" a="1"/>
  <c r="O129" i="27" s="1"/>
  <c r="N53" i="27" a="1"/>
  <c r="N53" i="27" s="1"/>
  <c r="AH64" i="27" a="1"/>
  <c r="AH64" i="27" s="1"/>
  <c r="AF92" i="27" a="1"/>
  <c r="AF92" i="27" s="1"/>
  <c r="P100" i="27" a="1"/>
  <c r="P100" i="27" s="1"/>
  <c r="AE60" i="27" a="1"/>
  <c r="AE60" i="27" s="1"/>
  <c r="Z56" i="27" a="1"/>
  <c r="Z56" i="27" s="1"/>
  <c r="Q58" i="27" a="1"/>
  <c r="Q58" i="27" s="1"/>
  <c r="AD129" i="27" a="1"/>
  <c r="AD129" i="27" s="1"/>
  <c r="U120" i="27" a="1"/>
  <c r="U120" i="27" s="1"/>
  <c r="AB133" i="27" a="1"/>
  <c r="AB133" i="27" s="1"/>
  <c r="AI130" i="27" a="1"/>
  <c r="AI130" i="27" s="1"/>
  <c r="M100" i="27" a="1"/>
  <c r="M100" i="27" s="1"/>
  <c r="L102" i="27" a="1"/>
  <c r="L102" i="27" s="1"/>
  <c r="AF90" i="27" a="1"/>
  <c r="AF90" i="27" s="1"/>
  <c r="AB26" i="27" a="1"/>
  <c r="AB26" i="27" s="1"/>
  <c r="Y100" i="27" a="1"/>
  <c r="Y100" i="27" s="1"/>
  <c r="M12" i="27" a="1"/>
  <c r="M12" i="27" s="1"/>
  <c r="M17" i="27" a="1"/>
  <c r="M17" i="27" s="1"/>
  <c r="L36" i="27" a="1"/>
  <c r="L36" i="27" s="1"/>
  <c r="T114" i="27" a="1"/>
  <c r="T114" i="27" s="1"/>
  <c r="AI125" i="27" a="1"/>
  <c r="AI125" i="27" s="1"/>
  <c r="Z69" i="27" a="1"/>
  <c r="Z69" i="27" s="1"/>
  <c r="W138" i="27" a="1"/>
  <c r="W138" i="27" s="1"/>
  <c r="R22" i="27" a="1"/>
  <c r="R22" i="27" s="1"/>
  <c r="T64" i="27" a="1"/>
  <c r="T64" i="27" s="1"/>
  <c r="Y105" i="27" a="1"/>
  <c r="Y105" i="27" s="1"/>
  <c r="P128" i="27" a="1"/>
  <c r="P128" i="27" s="1"/>
  <c r="T106" i="27" a="1"/>
  <c r="T106" i="27" s="1"/>
  <c r="T24" i="27" a="1"/>
  <c r="T24" i="27" s="1"/>
  <c r="AH46" i="27" a="1"/>
  <c r="AH46" i="27" s="1"/>
  <c r="Y82" i="27" a="1"/>
  <c r="Y82" i="27" s="1"/>
  <c r="P26" i="27" a="1"/>
  <c r="P26" i="27" s="1"/>
  <c r="AD60" i="27" a="1"/>
  <c r="AD60" i="27" s="1"/>
  <c r="S14" i="27" a="1"/>
  <c r="S14" i="27" s="1"/>
  <c r="S133" i="27" a="1"/>
  <c r="S133" i="27" s="1"/>
  <c r="AH130" i="27" a="1"/>
  <c r="AH130" i="27" s="1"/>
  <c r="Z116" i="27" a="1"/>
  <c r="Z116" i="27" s="1"/>
  <c r="L42" i="27" a="1"/>
  <c r="L42" i="27" s="1"/>
  <c r="Y122" i="27" a="1"/>
  <c r="Y122" i="27" s="1"/>
  <c r="R138" i="27" a="1"/>
  <c r="R138" i="27" s="1"/>
  <c r="R126" i="27" a="1"/>
  <c r="R126" i="27" s="1"/>
  <c r="AC22" i="27" a="1"/>
  <c r="AC22" i="27" s="1"/>
  <c r="Q112" i="27" a="1"/>
  <c r="Q112" i="27" s="1"/>
  <c r="AI29" i="27" a="1"/>
  <c r="AI29" i="27" s="1"/>
  <c r="AA98" i="27" a="1"/>
  <c r="AA98" i="27" s="1"/>
  <c r="AE137" i="27" a="1"/>
  <c r="AE137" i="27" s="1"/>
  <c r="X22" i="27" a="1"/>
  <c r="X22" i="27" s="1"/>
  <c r="V68" i="27" a="1"/>
  <c r="V68" i="27" s="1"/>
  <c r="AH16" i="27" a="1"/>
  <c r="AH16" i="27" s="1"/>
  <c r="R66" i="27" a="1"/>
  <c r="R66" i="27" s="1"/>
  <c r="T49" i="27" a="1"/>
  <c r="T49" i="27" s="1"/>
  <c r="AD16" i="27" a="1"/>
  <c r="AD16" i="27" s="1"/>
  <c r="W49" i="27" a="1"/>
  <c r="W49" i="27" s="1"/>
  <c r="AC66" i="27" a="1"/>
  <c r="AC66" i="27" s="1"/>
  <c r="AE132" i="27" a="1"/>
  <c r="AE132" i="27" s="1"/>
  <c r="X49" i="27" a="1"/>
  <c r="X49" i="27" s="1"/>
  <c r="Y72" i="27" a="1"/>
  <c r="Y72" i="27" s="1"/>
  <c r="AD20" i="27" a="1"/>
  <c r="AD20" i="27" s="1"/>
  <c r="Z117" i="27" a="1"/>
  <c r="Z117" i="27" s="1"/>
  <c r="N113" i="27" a="1"/>
  <c r="N113" i="27" s="1"/>
  <c r="W118" i="27" a="1"/>
  <c r="W118" i="27" s="1"/>
  <c r="AF113" i="27" a="1"/>
  <c r="AF113" i="27" s="1"/>
  <c r="AG113" i="27" a="1"/>
  <c r="AG113" i="27" s="1"/>
  <c r="AC16" i="27" a="1"/>
  <c r="AC16" i="27" s="1"/>
  <c r="AC117" i="27" a="1"/>
  <c r="AC117" i="27" s="1"/>
  <c r="AF117" i="27" a="1"/>
  <c r="AF117" i="27" s="1"/>
  <c r="AD132" i="27" a="1"/>
  <c r="AD132" i="27" s="1"/>
  <c r="T40" i="27" a="1"/>
  <c r="T40" i="27" s="1"/>
  <c r="O121" i="27" a="1"/>
  <c r="O121" i="27" s="1"/>
  <c r="N117" i="27" a="1"/>
  <c r="N117" i="27" s="1"/>
  <c r="O72" i="27" a="1"/>
  <c r="O72" i="27" s="1"/>
  <c r="AH121" i="27" a="1"/>
  <c r="AH121" i="27" s="1"/>
  <c r="Z66" i="27" a="1"/>
  <c r="Z66" i="27" s="1"/>
  <c r="U121" i="27" a="1"/>
  <c r="U121" i="27" s="1"/>
  <c r="V121" i="27" a="1"/>
  <c r="V121" i="27" s="1"/>
  <c r="AE113" i="27" a="1"/>
  <c r="AE113" i="27" s="1"/>
  <c r="R16" i="27" a="1"/>
  <c r="R16" i="27" s="1"/>
  <c r="AG121" i="27" a="1"/>
  <c r="AG121" i="27" s="1"/>
  <c r="Q28" i="27" a="1"/>
  <c r="Q28" i="27" s="1"/>
  <c r="N93" i="27" a="1"/>
  <c r="N93" i="27" s="1"/>
  <c r="R25" i="27" a="1"/>
  <c r="R25" i="27" s="1"/>
  <c r="U82" i="27" a="1"/>
  <c r="U82" i="27" s="1"/>
  <c r="U90" i="27" a="1"/>
  <c r="U90" i="27" s="1"/>
  <c r="S64" i="27" a="1"/>
  <c r="S64" i="27" s="1"/>
  <c r="W26" i="27" a="1"/>
  <c r="W26" i="27" s="1"/>
  <c r="Q110" i="27" a="1"/>
  <c r="Q110" i="27" s="1"/>
  <c r="O138" i="27" a="1"/>
  <c r="O138" i="27" s="1"/>
  <c r="M133" i="27" a="1"/>
  <c r="M133" i="27" s="1"/>
  <c r="M105" i="27" a="1"/>
  <c r="M105" i="27" s="1"/>
  <c r="M128" i="27" a="1"/>
  <c r="M128" i="27" s="1"/>
  <c r="R17" i="27" a="1"/>
  <c r="R17" i="27" s="1"/>
  <c r="AF139" i="27" a="1"/>
  <c r="AF139" i="27" s="1"/>
  <c r="V64" i="27" a="1"/>
  <c r="V64" i="27" s="1"/>
  <c r="AH100" i="27" a="1"/>
  <c r="AH100" i="27" s="1"/>
  <c r="R69" i="27" a="1"/>
  <c r="R69" i="27" s="1"/>
  <c r="AD58" i="27" a="1"/>
  <c r="AD58" i="27" s="1"/>
  <c r="AA65" i="27" a="1"/>
  <c r="AA65" i="27" s="1"/>
  <c r="Z93" i="27" a="1"/>
  <c r="Z93" i="27" s="1"/>
  <c r="M90" i="27" a="1"/>
  <c r="M90" i="27" s="1"/>
  <c r="AG90" i="27" a="1"/>
  <c r="AG90" i="27" s="1"/>
  <c r="M106" i="27" a="1"/>
  <c r="M106" i="27" s="1"/>
  <c r="S36" i="27" a="1"/>
  <c r="S36" i="27" s="1"/>
  <c r="AI92" i="27" a="1"/>
  <c r="AI92" i="27" s="1"/>
  <c r="AE134" i="27" a="1"/>
  <c r="AE134" i="27" s="1"/>
  <c r="M68" i="27" a="1"/>
  <c r="M68" i="27" s="1"/>
  <c r="AB100" i="27" a="1"/>
  <c r="AB100" i="27" s="1"/>
  <c r="R82" i="27" a="1"/>
  <c r="R82" i="27" s="1"/>
  <c r="AC48" i="27" a="1"/>
  <c r="AC48" i="27" s="1"/>
  <c r="AB36" i="27" a="1"/>
  <c r="AB36" i="27" s="1"/>
  <c r="Z125" i="27" a="1"/>
  <c r="Z125" i="27" s="1"/>
  <c r="W116" i="27" a="1"/>
  <c r="W116" i="27" s="1"/>
  <c r="W28" i="27" a="1"/>
  <c r="W28" i="27" s="1"/>
  <c r="AH105" i="27" a="1"/>
  <c r="AH105" i="27" s="1"/>
  <c r="AF46" i="27" a="1"/>
  <c r="AF46" i="27" s="1"/>
  <c r="X53" i="27" a="1"/>
  <c r="X53" i="27" s="1"/>
  <c r="P24" i="27" a="1"/>
  <c r="P24" i="27" s="1"/>
  <c r="AB12" i="27" a="1"/>
  <c r="AB12" i="27" s="1"/>
  <c r="S58" i="27" a="1"/>
  <c r="S58" i="27" s="1"/>
  <c r="L58" i="27" a="1"/>
  <c r="L58" i="27" s="1"/>
  <c r="AC94" i="27" a="1"/>
  <c r="AC94" i="27" s="1"/>
  <c r="P122" i="27" a="1"/>
  <c r="P122" i="27" s="1"/>
  <c r="O58" i="27" a="1"/>
  <c r="O58" i="27" s="1"/>
  <c r="Y133" i="27" a="1"/>
  <c r="Y133" i="27" s="1"/>
  <c r="M25" i="27" a="1"/>
  <c r="M25" i="27" s="1"/>
  <c r="L65" i="27" a="1"/>
  <c r="L65" i="27" s="1"/>
  <c r="W139" i="27" a="1"/>
  <c r="W139" i="27" s="1"/>
  <c r="AA114" i="27" a="1"/>
  <c r="AA114" i="27" s="1"/>
  <c r="V82" i="27" a="1"/>
  <c r="V82" i="27" s="1"/>
  <c r="X90" i="27" a="1"/>
  <c r="X90" i="27" s="1"/>
  <c r="AB14" i="27" a="1"/>
  <c r="AB14" i="27" s="1"/>
  <c r="L13" i="27" a="1"/>
  <c r="L13" i="27" s="1"/>
  <c r="O98" i="27" a="1"/>
  <c r="O98" i="27" s="1"/>
  <c r="P17" i="27" a="1"/>
  <c r="P17" i="27" s="1"/>
  <c r="S94" i="27" a="1"/>
  <c r="S94" i="27" s="1"/>
  <c r="P93" i="27" a="1"/>
  <c r="P93" i="27" s="1"/>
  <c r="AF126" i="27" a="1"/>
  <c r="AF126" i="27" s="1"/>
  <c r="T69" i="27" a="1"/>
  <c r="T69" i="27" s="1"/>
  <c r="R94" i="27" a="1"/>
  <c r="R94" i="27" s="1"/>
  <c r="AC93" i="27" a="1"/>
  <c r="AC93" i="27" s="1"/>
  <c r="Q48" i="27" a="1"/>
  <c r="Q48" i="27" s="1"/>
  <c r="X76" i="27" a="1"/>
  <c r="X76" i="27" s="1"/>
  <c r="AB53" i="27" a="1"/>
  <c r="AB53" i="27" s="1"/>
  <c r="Z105" i="27" a="1"/>
  <c r="Z105" i="27" s="1"/>
  <c r="AG133" i="27" a="1"/>
  <c r="AG133" i="27" s="1"/>
  <c r="AA90" i="27" a="1"/>
  <c r="AA90" i="27" s="1"/>
  <c r="Q42" i="27" a="1"/>
  <c r="Q42" i="27" s="1"/>
  <c r="P36" i="27" a="1"/>
  <c r="P36" i="27" s="1"/>
  <c r="L24" i="27" a="1"/>
  <c r="L24" i="27" s="1"/>
  <c r="U14" i="27" a="1"/>
  <c r="U14" i="27" s="1"/>
  <c r="W22" i="27" a="1"/>
  <c r="W22" i="27" s="1"/>
  <c r="Q32" i="27" a="1"/>
  <c r="Q32" i="27" s="1"/>
  <c r="AE102" i="27" a="1"/>
  <c r="AE102" i="27" s="1"/>
  <c r="V138" i="27" a="1"/>
  <c r="V138" i="27" s="1"/>
  <c r="Y12" i="27" a="1"/>
  <c r="Y12" i="27" s="1"/>
  <c r="AI80" i="27" a="1"/>
  <c r="AI80" i="27" s="1"/>
  <c r="M64" i="27" a="1"/>
  <c r="M64" i="27" s="1"/>
  <c r="O24" i="27" a="1"/>
  <c r="O24" i="27" s="1"/>
  <c r="O12" i="27" a="1"/>
  <c r="O12" i="27" s="1"/>
  <c r="Y69" i="27" a="1"/>
  <c r="Y69" i="27" s="1"/>
  <c r="AD120" i="27" a="1"/>
  <c r="AD120" i="27" s="1"/>
  <c r="Z64" i="27" a="1"/>
  <c r="Z64" i="27" s="1"/>
  <c r="M116" i="27" a="1"/>
  <c r="M116" i="27" s="1"/>
  <c r="AI13" i="27" a="1"/>
  <c r="AI13" i="27" s="1"/>
  <c r="R122" i="27" a="1"/>
  <c r="R122" i="27" s="1"/>
  <c r="AD93" i="27" a="1"/>
  <c r="AD93" i="27" s="1"/>
  <c r="P22" i="27" a="1"/>
  <c r="P22" i="27" s="1"/>
  <c r="AG53" i="27" a="1"/>
  <c r="AG53" i="27" s="1"/>
  <c r="AD133" i="27" a="1"/>
  <c r="AD133" i="27" s="1"/>
  <c r="Y126" i="27" a="1"/>
  <c r="Y126" i="27" s="1"/>
  <c r="P130" i="27" a="1"/>
  <c r="P130" i="27" s="1"/>
  <c r="AC116" i="27" a="1"/>
  <c r="AC116" i="27" s="1"/>
  <c r="N24" i="27" a="1"/>
  <c r="N24" i="27" s="1"/>
  <c r="U42" i="27" a="1"/>
  <c r="U42" i="27" s="1"/>
  <c r="T100" i="27" a="1"/>
  <c r="T100" i="27" s="1"/>
  <c r="O32" i="27" a="1"/>
  <c r="O32" i="27" s="1"/>
  <c r="AC60" i="27" a="1"/>
  <c r="AC60" i="27" s="1"/>
  <c r="S114" i="27" a="1"/>
  <c r="S114" i="27" s="1"/>
  <c r="Z98" i="27" a="1"/>
  <c r="Z98" i="27" s="1"/>
  <c r="N137" i="27" a="1"/>
  <c r="N137" i="27" s="1"/>
  <c r="R137" i="27" a="1"/>
  <c r="R137" i="27" s="1"/>
  <c r="AD89" i="27" a="1"/>
  <c r="AD89" i="27" s="1"/>
  <c r="L125" i="27" a="1"/>
  <c r="L125" i="27" s="1"/>
  <c r="W80" i="27" a="1"/>
  <c r="W80" i="27" s="1"/>
  <c r="O120" i="27" a="1"/>
  <c r="O120" i="27" s="1"/>
  <c r="AC68" i="27" a="1"/>
  <c r="AC68" i="27" s="1"/>
  <c r="AF122" i="27" a="1"/>
  <c r="AF122" i="27" s="1"/>
  <c r="AI69" i="27" a="1"/>
  <c r="AI69" i="27" s="1"/>
  <c r="AE98" i="27" a="1"/>
  <c r="AE98" i="27" s="1"/>
  <c r="O69" i="27" a="1"/>
  <c r="O69" i="27" s="1"/>
  <c r="AE110" i="27" a="1"/>
  <c r="AE110" i="27" s="1"/>
  <c r="O102" i="27" a="1"/>
  <c r="O102" i="27" s="1"/>
  <c r="AG128" i="27" a="1"/>
  <c r="AG128" i="27" s="1"/>
  <c r="W93" i="27" a="1"/>
  <c r="W93" i="27" s="1"/>
  <c r="Q80" i="27" a="1"/>
  <c r="Q80" i="27" s="1"/>
  <c r="R10" i="27" a="1"/>
  <c r="R10" i="27" s="1"/>
  <c r="AC126" i="27" a="1"/>
  <c r="AC126" i="27" s="1"/>
  <c r="V129" i="27" a="1"/>
  <c r="V129" i="27" s="1"/>
  <c r="L93" i="27" a="1"/>
  <c r="L93" i="27" s="1"/>
  <c r="AF93" i="27" a="1"/>
  <c r="AF93" i="27" s="1"/>
  <c r="AD36" i="27" a="1"/>
  <c r="AD36" i="27" s="1"/>
  <c r="V76" i="27" a="1"/>
  <c r="V76" i="27" s="1"/>
  <c r="U130" i="27" a="1"/>
  <c r="U130" i="27" s="1"/>
  <c r="AG76" i="27" a="1"/>
  <c r="AG76" i="27" s="1"/>
  <c r="O26" i="27" a="1"/>
  <c r="O26" i="27" s="1"/>
  <c r="T138" i="27" a="1"/>
  <c r="T138" i="27" s="1"/>
  <c r="X14" i="27" a="1"/>
  <c r="X14" i="27" s="1"/>
  <c r="AH92" i="27" a="1"/>
  <c r="AH92" i="27" s="1"/>
  <c r="AG17" i="27" a="1"/>
  <c r="AG17" i="27" s="1"/>
  <c r="AG138" i="27" a="1"/>
  <c r="AG138" i="27" s="1"/>
  <c r="O82" i="27" a="1"/>
  <c r="O82" i="27" s="1"/>
  <c r="AD17" i="27" a="1"/>
  <c r="AD17" i="27" s="1"/>
  <c r="AI10" i="27" a="1"/>
  <c r="AI10" i="27" s="1"/>
  <c r="Z94" i="27" a="1"/>
  <c r="Z94" i="27" s="1"/>
  <c r="Q13" i="27" a="1"/>
  <c r="Q13" i="27" s="1"/>
  <c r="N110" i="27" a="1"/>
  <c r="N110" i="27" s="1"/>
  <c r="V128" i="27" a="1"/>
  <c r="V128" i="27" s="1"/>
  <c r="U53" i="27" a="1"/>
  <c r="U53" i="27" s="1"/>
  <c r="V130" i="27" a="1"/>
  <c r="V130" i="27" s="1"/>
  <c r="Z130" i="27" a="1"/>
  <c r="Z130" i="27" s="1"/>
  <c r="Q76" i="27" a="1"/>
  <c r="Q76" i="27" s="1"/>
  <c r="Q120" i="27" a="1"/>
  <c r="Q120" i="27" s="1"/>
  <c r="AD29" i="27" a="1"/>
  <c r="AD29" i="27" s="1"/>
  <c r="Z22" i="27" a="1"/>
  <c r="Z22" i="27" s="1"/>
  <c r="AF116" i="27" a="1"/>
  <c r="AF116" i="27" s="1"/>
  <c r="P29" i="27" a="1"/>
  <c r="P29" i="27" s="1"/>
  <c r="U80" i="27" a="1"/>
  <c r="U80" i="27" s="1"/>
  <c r="Q68" i="27" a="1"/>
  <c r="Q68" i="27" s="1"/>
  <c r="AF24" i="27" a="1"/>
  <c r="AF24" i="27" s="1"/>
  <c r="P42" i="27" a="1"/>
  <c r="P42" i="27" s="1"/>
  <c r="AE13" i="27" a="1"/>
  <c r="AE13" i="27" s="1"/>
  <c r="N25" i="27" a="1"/>
  <c r="N25" i="27" s="1"/>
  <c r="U92" i="27" a="1"/>
  <c r="U92" i="27" s="1"/>
  <c r="N112" i="27" a="1"/>
  <c r="N112" i="27" s="1"/>
  <c r="AC32" i="27" a="1"/>
  <c r="AC32" i="27" s="1"/>
  <c r="M129" i="27" a="1"/>
  <c r="M129" i="27" s="1"/>
  <c r="S53" i="27" a="1"/>
  <c r="S53" i="27" s="1"/>
  <c r="L90" i="27" a="1"/>
  <c r="L90" i="27" s="1"/>
  <c r="V98" i="27" a="1"/>
  <c r="V98" i="27" s="1"/>
  <c r="X105" i="27" a="1"/>
  <c r="X105" i="27" s="1"/>
  <c r="L12" i="27" a="1"/>
  <c r="L12" i="27" s="1"/>
  <c r="AI12" i="27" a="1"/>
  <c r="AI12" i="27" s="1"/>
  <c r="AH138" i="27" a="1"/>
  <c r="AH138" i="27" s="1"/>
  <c r="Z10" i="27" a="1"/>
  <c r="Z10" i="27" s="1"/>
  <c r="L14" i="27" a="1"/>
  <c r="L14" i="27" s="1"/>
  <c r="S106" i="27" a="1"/>
  <c r="S106" i="27" s="1"/>
  <c r="N13" i="27" a="1"/>
  <c r="N13" i="27" s="1"/>
  <c r="N32" i="27" a="1"/>
  <c r="N32" i="27" s="1"/>
  <c r="W98" i="27" a="1"/>
  <c r="W98" i="27" s="1"/>
  <c r="AE56" i="27" a="1"/>
  <c r="AE56" i="27" s="1"/>
  <c r="Q128" i="27" a="1"/>
  <c r="Q128" i="27" s="1"/>
  <c r="V80" i="27" a="1"/>
  <c r="V80" i="27" s="1"/>
  <c r="W10" i="27" a="1"/>
  <c r="W10" i="27" s="1"/>
  <c r="L133" i="27" a="1"/>
  <c r="L133" i="27" s="1"/>
  <c r="AE130" i="27" a="1"/>
  <c r="AE130" i="27" s="1"/>
  <c r="AB116" i="27" a="1"/>
  <c r="AB116" i="27" s="1"/>
  <c r="AE24" i="27" a="1"/>
  <c r="AE24" i="27" s="1"/>
  <c r="W42" i="27" a="1"/>
  <c r="W42" i="27" s="1"/>
  <c r="T13" i="27" a="1"/>
  <c r="T13" i="27" s="1"/>
  <c r="AF29" i="27" a="1"/>
  <c r="AF29" i="27" s="1"/>
  <c r="P82" i="27" a="1"/>
  <c r="P82" i="27" s="1"/>
  <c r="AB22" i="27" a="1"/>
  <c r="AB22" i="27" s="1"/>
  <c r="Z58" i="27" a="1"/>
  <c r="Z58" i="27" s="1"/>
  <c r="AH65" i="27" a="1"/>
  <c r="AH65" i="27" s="1"/>
  <c r="AA106" i="27" a="1"/>
  <c r="AA106" i="27" s="1"/>
  <c r="Y32" i="27" a="1"/>
  <c r="Y32" i="27" s="1"/>
  <c r="AG69" i="27" a="1"/>
  <c r="AG69" i="27" s="1"/>
  <c r="W53" i="27" a="1"/>
  <c r="W53" i="27" s="1"/>
  <c r="AD53" i="27" a="1"/>
  <c r="AD53" i="27" s="1"/>
  <c r="V114" i="27" a="1"/>
  <c r="V114" i="27" s="1"/>
  <c r="AH76" i="27" a="1"/>
  <c r="AH76" i="27" s="1"/>
  <c r="AD48" i="27" a="1"/>
  <c r="AD48" i="27" s="1"/>
  <c r="AC25" i="27" a="1"/>
  <c r="AC25" i="27" s="1"/>
  <c r="X138" i="27" a="1"/>
  <c r="X138" i="27" s="1"/>
  <c r="N36" i="27" a="1"/>
  <c r="N36" i="27" s="1"/>
  <c r="S80" i="27" a="1"/>
  <c r="S80" i="27" s="1"/>
  <c r="AG46" i="27" a="1"/>
  <c r="AG46" i="27" s="1"/>
  <c r="AH129" i="27" a="1"/>
  <c r="AH129" i="27" s="1"/>
  <c r="P105" i="27" a="1"/>
  <c r="P105" i="27" s="1"/>
  <c r="S100" i="27" a="1"/>
  <c r="S100" i="27" s="1"/>
  <c r="AC128" i="27" a="1"/>
  <c r="AC128" i="27" s="1"/>
  <c r="M76" i="27" a="1"/>
  <c r="M76" i="27" s="1"/>
  <c r="AF112" i="27" a="1"/>
  <c r="AF112" i="27" s="1"/>
  <c r="N69" i="27" a="1"/>
  <c r="N69" i="27" s="1"/>
  <c r="P114" i="27" a="1"/>
  <c r="P114" i="27" s="1"/>
  <c r="M139" i="27" a="1"/>
  <c r="M139" i="27" s="1"/>
  <c r="Y134" i="27" a="1"/>
  <c r="Y134" i="27" s="1"/>
  <c r="AF69" i="27" a="1"/>
  <c r="AF69" i="27" s="1"/>
  <c r="AG12" i="27" a="1"/>
  <c r="AG12" i="27" s="1"/>
  <c r="AG56" i="27" a="1"/>
  <c r="AG56" i="27" s="1"/>
  <c r="L120" i="27" a="1"/>
  <c r="L120" i="27" s="1"/>
  <c r="O36" i="27" a="1"/>
  <c r="O36" i="27" s="1"/>
  <c r="AD112" i="27" a="1"/>
  <c r="AD112" i="27" s="1"/>
  <c r="U122" i="27" a="1"/>
  <c r="U122" i="27" s="1"/>
  <c r="AB102" i="27" a="1"/>
  <c r="AB102" i="27" s="1"/>
  <c r="AA128" i="27" a="1"/>
  <c r="AA128" i="27" s="1"/>
  <c r="AI120" i="27" a="1"/>
  <c r="AI120" i="27" s="1"/>
  <c r="X92" i="27" a="1"/>
  <c r="X92" i="27" s="1"/>
  <c r="O105" i="27" a="1"/>
  <c r="O105" i="27" s="1"/>
  <c r="AI32" i="27" a="1"/>
  <c r="AI32" i="27" s="1"/>
  <c r="AC114" i="27" a="1"/>
  <c r="AC114" i="27" s="1"/>
  <c r="R56" i="27" a="1"/>
  <c r="R56" i="27" s="1"/>
  <c r="AF110" i="27" a="1"/>
  <c r="AF110" i="27" s="1"/>
  <c r="L82" i="27" a="1"/>
  <c r="L82" i="27" s="1"/>
  <c r="R93" i="27" a="1"/>
  <c r="R93" i="27" s="1"/>
  <c r="AH128" i="27" a="1"/>
  <c r="AH128" i="27" s="1"/>
  <c r="W126" i="27" a="1"/>
  <c r="W126" i="27" s="1"/>
  <c r="P94" i="27" a="1"/>
  <c r="P94" i="27" s="1"/>
  <c r="U64" i="27" a="1"/>
  <c r="U64" i="27" s="1"/>
  <c r="T116" i="27" a="1"/>
  <c r="T116" i="27" s="1"/>
  <c r="AD105" i="27" a="1"/>
  <c r="AD105" i="27" s="1"/>
  <c r="AA122" i="27" a="1"/>
  <c r="AA122" i="27" s="1"/>
  <c r="P25" i="27" a="1"/>
  <c r="P25" i="27" s="1"/>
  <c r="Y56" i="27" a="1"/>
  <c r="Y56" i="27" s="1"/>
  <c r="O125" i="27" a="1"/>
  <c r="O125" i="27" s="1"/>
  <c r="R128" i="27" a="1"/>
  <c r="R128" i="27" s="1"/>
  <c r="Q138" i="27" a="1"/>
  <c r="Q138" i="27" s="1"/>
  <c r="S102" i="27" a="1"/>
  <c r="S102" i="27" s="1"/>
  <c r="AB134" i="27" a="1"/>
  <c r="AB134" i="27" s="1"/>
  <c r="AC134" i="27" a="1"/>
  <c r="AC134" i="27" s="1"/>
  <c r="S126" i="27" a="1"/>
  <c r="S126" i="27" s="1"/>
  <c r="M134" i="27" a="1"/>
  <c r="M134" i="27" s="1"/>
  <c r="AC90" i="27" a="1"/>
  <c r="AC90" i="27" s="1"/>
  <c r="L94" i="27" a="1"/>
  <c r="L94" i="27" s="1"/>
  <c r="AG100" i="27" a="1"/>
  <c r="AG100" i="27" s="1"/>
  <c r="U46" i="27" a="1"/>
  <c r="U46" i="27" s="1"/>
  <c r="X93" i="27" a="1"/>
  <c r="X93" i="27" s="1"/>
  <c r="N114" i="27" a="1"/>
  <c r="N114" i="27" s="1"/>
  <c r="M28" i="27" a="1"/>
  <c r="M28" i="27" s="1"/>
  <c r="W14" i="27" a="1"/>
  <c r="W14" i="27" s="1"/>
  <c r="R134" i="27" a="1"/>
  <c r="R134" i="27" s="1"/>
  <c r="AF48" i="27" a="1"/>
  <c r="AF48" i="27" s="1"/>
  <c r="U116" i="27" a="1"/>
  <c r="U116" i="27" s="1"/>
  <c r="AF26" i="27" a="1"/>
  <c r="AF26" i="27" s="1"/>
  <c r="AG65" i="27" a="1"/>
  <c r="AG65" i="27" s="1"/>
  <c r="O134" i="27" a="1"/>
  <c r="O134" i="27" s="1"/>
  <c r="R90" i="27" a="1"/>
  <c r="R90" i="27" s="1"/>
  <c r="AG93" i="27" a="1"/>
  <c r="AG93" i="27" s="1"/>
  <c r="AG130" i="27" a="1"/>
  <c r="AG130" i="27" s="1"/>
  <c r="Y116" i="27" a="1"/>
  <c r="Y116" i="27" s="1"/>
  <c r="V126" i="27" a="1"/>
  <c r="V126" i="27" s="1"/>
  <c r="AD139" i="27" a="1"/>
  <c r="AD139" i="27" s="1"/>
  <c r="U20" i="27" a="1"/>
  <c r="U20" i="27" s="1"/>
  <c r="T20" i="27" a="1"/>
  <c r="T20" i="27" s="1"/>
  <c r="M66" i="27" a="1"/>
  <c r="M66" i="27" s="1"/>
  <c r="S132" i="27" a="1"/>
  <c r="S132" i="27" s="1"/>
  <c r="P132" i="27" a="1"/>
  <c r="P132" i="27" s="1"/>
  <c r="L49" i="27" a="1"/>
  <c r="L49" i="27" s="1"/>
  <c r="AA121" i="27" a="1"/>
  <c r="AA121" i="27" s="1"/>
  <c r="L113" i="27" a="1"/>
  <c r="L113" i="27" s="1"/>
  <c r="AH118" i="27" a="1"/>
  <c r="AH118" i="27" s="1"/>
  <c r="P49" i="27" a="1"/>
  <c r="P49" i="27" s="1"/>
  <c r="AA132" i="27" a="1"/>
  <c r="AA132" i="27" s="1"/>
  <c r="Q117" i="27" a="1"/>
  <c r="Q117" i="27" s="1"/>
  <c r="U66" i="27" a="1"/>
  <c r="U66" i="27" s="1"/>
  <c r="AA49" i="27" a="1"/>
  <c r="AA49" i="27" s="1"/>
  <c r="AH72" i="27" a="1"/>
  <c r="AH72" i="27" s="1"/>
  <c r="AB16" i="27" a="1"/>
  <c r="AB16" i="27" s="1"/>
  <c r="Y113" i="27" a="1"/>
  <c r="Y113" i="27" s="1"/>
  <c r="AF66" i="27" a="1"/>
  <c r="AF66" i="27" s="1"/>
  <c r="O118" i="27" a="1"/>
  <c r="O118" i="27" s="1"/>
  <c r="AA117" i="27" a="1"/>
  <c r="AA117" i="27" s="1"/>
  <c r="N40" i="27" a="1"/>
  <c r="N40" i="27" s="1"/>
  <c r="AA118" i="27" a="1"/>
  <c r="AA118" i="27" s="1"/>
  <c r="M118" i="27" a="1"/>
  <c r="M118" i="27" s="1"/>
  <c r="M113" i="27" a="1"/>
  <c r="M113" i="27" s="1"/>
  <c r="R72" i="27" a="1"/>
  <c r="R72" i="27" s="1"/>
  <c r="O16" i="27" a="1"/>
  <c r="O16" i="27" s="1"/>
  <c r="AH132" i="27" a="1"/>
  <c r="AH132" i="27" s="1"/>
  <c r="Y118" i="27" a="1"/>
  <c r="Y118" i="27" s="1"/>
  <c r="X113" i="27" a="1"/>
  <c r="X113" i="27" s="1"/>
  <c r="Y20" i="27" a="1"/>
  <c r="Y20" i="27" s="1"/>
  <c r="AF121" i="27" a="1"/>
  <c r="AF121" i="27" s="1"/>
  <c r="R40" i="27" a="1"/>
  <c r="R40" i="27" s="1"/>
  <c r="P121" i="27" a="1"/>
  <c r="P121" i="27" s="1"/>
  <c r="S118" i="27" a="1"/>
  <c r="S118" i="27" s="1"/>
  <c r="AB121" i="27" a="1"/>
  <c r="AB121" i="27" s="1"/>
  <c r="AB72" i="27" a="1"/>
  <c r="AB72" i="27" s="1"/>
  <c r="AD121" i="27" a="1"/>
  <c r="AD121" i="27" s="1"/>
  <c r="X132" i="27" a="1"/>
  <c r="X132" i="27" s="1"/>
  <c r="W32" i="27" a="1"/>
  <c r="W32" i="27" s="1"/>
  <c r="AD125" i="27" a="1"/>
  <c r="AD125" i="27" s="1"/>
  <c r="AA89" i="27" a="1"/>
  <c r="AA89" i="27" s="1"/>
  <c r="AF58" i="27" a="1"/>
  <c r="AF58" i="27" s="1"/>
  <c r="AG139" i="27" a="1"/>
  <c r="AG139" i="27" s="1"/>
  <c r="AC139" i="27" a="1"/>
  <c r="AC139" i="27" s="1"/>
  <c r="X106" i="27" a="1"/>
  <c r="X106" i="27" s="1"/>
  <c r="W24" i="27" a="1"/>
  <c r="W24" i="27" s="1"/>
  <c r="AD42" i="27" a="1"/>
  <c r="AD42" i="27" s="1"/>
  <c r="X137" i="27" a="1"/>
  <c r="X137" i="27" s="1"/>
  <c r="Q46" i="27" a="1"/>
  <c r="Q46" i="27" s="1"/>
  <c r="W65" i="27" a="1"/>
  <c r="W65" i="27" s="1"/>
  <c r="AB98" i="27" a="1"/>
  <c r="AB98" i="27" s="1"/>
  <c r="AD138" i="27" a="1"/>
  <c r="AD138" i="27" s="1"/>
  <c r="AA68" i="27" a="1"/>
  <c r="AA68" i="27" s="1"/>
  <c r="AG42" i="27" a="1"/>
  <c r="AG42" i="27" s="1"/>
  <c r="AH98" i="27" a="1"/>
  <c r="AH98" i="27" s="1"/>
  <c r="S110" i="27" a="1"/>
  <c r="S110" i="27" s="1"/>
  <c r="AF25" i="27" a="1"/>
  <c r="AF25" i="27" s="1"/>
  <c r="M82" i="27" a="1"/>
  <c r="M82" i="27" s="1"/>
  <c r="AB65" i="27" a="1"/>
  <c r="AB65" i="27" s="1"/>
  <c r="O93" i="27" a="1"/>
  <c r="O93" i="27" s="1"/>
  <c r="O22" i="27" a="1"/>
  <c r="O22" i="27" s="1"/>
  <c r="U106" i="27" a="1"/>
  <c r="U106" i="27" s="1"/>
  <c r="AF76" i="27" a="1"/>
  <c r="AF76" i="27" s="1"/>
  <c r="N105" i="27" a="1"/>
  <c r="N105" i="27" s="1"/>
  <c r="R100" i="27" a="1"/>
  <c r="R100" i="27" s="1"/>
  <c r="S32" i="27" a="1"/>
  <c r="S32" i="27" s="1"/>
  <c r="L60" i="27" a="1"/>
  <c r="L60" i="27" s="1"/>
  <c r="AA56" i="27" a="1"/>
  <c r="AA56" i="27" s="1"/>
  <c r="T137" i="27" a="1"/>
  <c r="T137" i="27" s="1"/>
  <c r="AE25" i="27" a="1"/>
  <c r="AE25" i="27" s="1"/>
  <c r="AI89" i="27" a="1"/>
  <c r="AI89" i="27" s="1"/>
  <c r="S129" i="27" a="1"/>
  <c r="S129" i="27" s="1"/>
  <c r="AD80" i="27" a="1"/>
  <c r="AD80" i="27" s="1"/>
  <c r="P53" i="27" a="1"/>
  <c r="P53" i="27" s="1"/>
  <c r="AI17" i="27" a="1"/>
  <c r="AI17" i="27" s="1"/>
  <c r="AI68" i="27" a="1"/>
  <c r="AI68" i="27" s="1"/>
  <c r="AI64" i="27" a="1"/>
  <c r="AI64" i="27" s="1"/>
  <c r="AH116" i="27" a="1"/>
  <c r="AH116" i="27" s="1"/>
  <c r="T92" i="27" a="1"/>
  <c r="T92" i="27" s="1"/>
  <c r="AE114" i="27" a="1"/>
  <c r="AE114" i="27" s="1"/>
  <c r="AC28" i="27" a="1"/>
  <c r="AC28" i="27" s="1"/>
  <c r="AA28" i="27" a="1"/>
  <c r="AA28" i="27" s="1"/>
  <c r="M110" i="27" a="1"/>
  <c r="M110" i="27" s="1"/>
  <c r="T125" i="27" a="1"/>
  <c r="T125" i="27" s="1"/>
  <c r="AB46" i="27" a="1"/>
  <c r="AB46" i="27" s="1"/>
  <c r="T102" i="27" a="1"/>
  <c r="T102" i="27" s="1"/>
  <c r="AB10" i="27" a="1"/>
  <c r="AB10" i="27" s="1"/>
  <c r="U48" i="27" a="1"/>
  <c r="U48" i="27" s="1"/>
  <c r="AG134" i="27" a="1"/>
  <c r="AG134" i="27" s="1"/>
  <c r="AA139" i="27" a="1"/>
  <c r="AA139" i="27" s="1"/>
  <c r="R36" i="27" a="1"/>
  <c r="R36" i="27" s="1"/>
  <c r="V26" i="27" a="1"/>
  <c r="V26" i="27" s="1"/>
  <c r="AI105" i="27" a="1"/>
  <c r="AI105" i="27" s="1"/>
  <c r="X112" i="27" a="1"/>
  <c r="X112" i="27" s="1"/>
  <c r="X122" i="27" a="1"/>
  <c r="X122" i="27" s="1"/>
  <c r="V29" i="27" a="1"/>
  <c r="V29" i="27" s="1"/>
  <c r="U60" i="27" a="1"/>
  <c r="U60" i="27" s="1"/>
  <c r="V25" i="27" a="1"/>
  <c r="V25" i="27" s="1"/>
  <c r="AB28" i="27" a="1"/>
  <c r="AB28" i="27" s="1"/>
  <c r="AF12" i="27" a="1"/>
  <c r="AF12" i="27" s="1"/>
  <c r="AE125" i="27" a="1"/>
  <c r="AE125" i="27" s="1"/>
  <c r="W102" i="27" a="1"/>
  <c r="W102" i="27" s="1"/>
  <c r="O56" i="27" a="1"/>
  <c r="O56" i="27" s="1"/>
  <c r="S128" i="27" a="1"/>
  <c r="S128" i="27" s="1"/>
  <c r="N138" i="27" a="1"/>
  <c r="N138" i="27" s="1"/>
  <c r="T93" i="27" a="1"/>
  <c r="T93" i="27" s="1"/>
  <c r="W12" i="27" a="1"/>
  <c r="W12" i="27" s="1"/>
  <c r="AG80" i="27" a="1"/>
  <c r="AG80" i="27" s="1"/>
  <c r="X48" i="27" a="1"/>
  <c r="X48" i="27" s="1"/>
  <c r="Y17" i="27" a="1"/>
  <c r="Y17" i="27" s="1"/>
  <c r="AE126" i="27" a="1"/>
  <c r="AE126" i="27" s="1"/>
  <c r="AI60" i="27" a="1"/>
  <c r="AI60" i="27" s="1"/>
  <c r="U138" i="27" a="1"/>
  <c r="U138" i="27" s="1"/>
  <c r="X28" i="27" a="1"/>
  <c r="X28" i="27" s="1"/>
  <c r="L106" i="27" a="1"/>
  <c r="L106" i="27" s="1"/>
  <c r="Y94" i="27" a="1"/>
  <c r="Y94" i="27" s="1"/>
  <c r="T122" i="27" a="1"/>
  <c r="T122" i="27" s="1"/>
  <c r="Q29" i="27" a="1"/>
  <c r="Q29" i="27" s="1"/>
  <c r="M60" i="27" a="1"/>
  <c r="M60" i="27" s="1"/>
  <c r="M114" i="27" a="1"/>
  <c r="M114" i="27" s="1"/>
  <c r="U25" i="27" a="1"/>
  <c r="U25" i="27" s="1"/>
  <c r="R28" i="27" a="1"/>
  <c r="R28" i="27" s="1"/>
  <c r="AC12" i="27" a="1"/>
  <c r="AC12" i="27" s="1"/>
  <c r="T58" i="27" a="1"/>
  <c r="T58" i="27" s="1"/>
  <c r="Q114" i="27" a="1"/>
  <c r="Q114" i="27" s="1"/>
  <c r="Y129" i="27" a="1"/>
  <c r="Y129" i="27" s="1"/>
  <c r="Q139" i="27" a="1"/>
  <c r="Q139" i="27" s="1"/>
  <c r="U17" i="27" a="1"/>
  <c r="U17" i="27" s="1"/>
  <c r="AH134" i="27" a="1"/>
  <c r="AH134" i="27" s="1"/>
  <c r="P139" i="27" a="1"/>
  <c r="P139" i="27" s="1"/>
  <c r="Q129" i="27" a="1"/>
  <c r="Q129" i="27" s="1"/>
  <c r="AD134" i="27" a="1"/>
  <c r="AD134" i="27" s="1"/>
  <c r="AE64" i="27" a="1"/>
  <c r="AE64" i="27" s="1"/>
  <c r="L116" i="27" a="1"/>
  <c r="L116" i="27" s="1"/>
  <c r="N76" i="27" a="1"/>
  <c r="N76" i="27" s="1"/>
  <c r="AC36" i="27" a="1"/>
  <c r="AC36" i="27" s="1"/>
  <c r="S116" i="27" a="1"/>
  <c r="S116" i="27" s="1"/>
  <c r="S76" i="27" a="1"/>
  <c r="S76" i="27" s="1"/>
  <c r="S122" i="27" a="1"/>
  <c r="S122" i="27" s="1"/>
  <c r="R102" i="27" a="1"/>
  <c r="R102" i="27" s="1"/>
  <c r="AE17" i="27" a="1"/>
  <c r="AE17" i="27" s="1"/>
  <c r="AC56" i="27" a="1"/>
  <c r="AC56" i="27" s="1"/>
  <c r="S12" i="27" a="1"/>
  <c r="S12" i="27" s="1"/>
  <c r="O110" i="27" a="1"/>
  <c r="O110" i="27" s="1"/>
  <c r="Q102" i="27" a="1"/>
  <c r="Q102" i="27" s="1"/>
  <c r="S46" i="27" a="1"/>
  <c r="S46" i="27" s="1"/>
  <c r="P65" i="27" a="1"/>
  <c r="P65" i="27" s="1"/>
  <c r="M126" i="27" a="1"/>
  <c r="M126" i="27" s="1"/>
  <c r="Q134" i="27" a="1"/>
  <c r="Q134" i="27" s="1"/>
  <c r="R80" i="27" a="1"/>
  <c r="R80" i="27" s="1"/>
  <c r="AB29" i="27" a="1"/>
  <c r="AB29" i="27" s="1"/>
  <c r="L56" i="27" a="1"/>
  <c r="L56" i="27" s="1"/>
  <c r="T98" i="27" a="1"/>
  <c r="T98" i="27" s="1"/>
  <c r="AF137" i="27" a="1"/>
  <c r="AF137" i="27" s="1"/>
  <c r="V89" i="27" a="1"/>
  <c r="V89" i="27" s="1"/>
  <c r="AE82" i="27" a="1"/>
  <c r="AE82" i="27" s="1"/>
  <c r="O14" i="27" a="1"/>
  <c r="O14" i="27" s="1"/>
  <c r="V58" i="27" a="1"/>
  <c r="V58" i="27" s="1"/>
  <c r="Z80" i="27" a="1"/>
  <c r="Z80" i="27" s="1"/>
  <c r="Q22" i="27" a="1"/>
  <c r="Q22" i="27" s="1"/>
  <c r="N14" i="27" a="1"/>
  <c r="N14" i="27" s="1"/>
  <c r="V92" i="27" a="1"/>
  <c r="V92" i="27" s="1"/>
  <c r="AE76" i="27" a="1"/>
  <c r="AE76" i="27" s="1"/>
  <c r="O106" i="27" a="1"/>
  <c r="O106" i="27" s="1"/>
  <c r="X12" i="27" a="1"/>
  <c r="X12" i="27" s="1"/>
  <c r="AC10" i="27" a="1"/>
  <c r="AC10" i="27" s="1"/>
  <c r="N130" i="27" a="1"/>
  <c r="N130" i="27" s="1"/>
  <c r="AB125" i="27" a="1"/>
  <c r="AB125" i="27" s="1"/>
  <c r="AD128" i="27" a="1"/>
  <c r="AD128" i="27" s="1"/>
  <c r="X120" i="27" a="1"/>
  <c r="X120" i="27" s="1"/>
  <c r="M36" i="27" a="1"/>
  <c r="M36" i="27" s="1"/>
  <c r="Q24" i="27" a="1"/>
  <c r="Q24" i="27" s="1"/>
  <c r="O42" i="27" a="1"/>
  <c r="O42" i="27" s="1"/>
  <c r="Y112" i="27" a="1"/>
  <c r="Y112" i="27" s="1"/>
  <c r="X100" i="27" a="1"/>
  <c r="X100" i="27" s="1"/>
  <c r="O114" i="27" a="1"/>
  <c r="O114" i="27" s="1"/>
  <c r="AF56" i="27" a="1"/>
  <c r="AF56" i="27" s="1"/>
  <c r="P110" i="27" a="1"/>
  <c r="P110" i="27" s="1"/>
  <c r="X102" i="27" a="1"/>
  <c r="X102" i="27" s="1"/>
  <c r="M22" i="27" a="1"/>
  <c r="M22" i="27" s="1"/>
  <c r="AC42" i="27" a="1"/>
  <c r="AC42" i="27" s="1"/>
  <c r="Q100" i="27" a="1"/>
  <c r="Q100" i="27" s="1"/>
  <c r="Z28" i="27" a="1"/>
  <c r="Z28" i="27" s="1"/>
  <c r="AC98" i="27" a="1"/>
  <c r="AC98" i="27" s="1"/>
  <c r="AA14" i="27" a="1"/>
  <c r="AA14" i="27" s="1"/>
  <c r="M93" i="27" a="1"/>
  <c r="M93" i="27" s="1"/>
  <c r="U134" i="27" a="1"/>
  <c r="U134" i="27" s="1"/>
  <c r="AB129" i="27" a="1"/>
  <c r="AB129" i="27" s="1"/>
  <c r="T68" i="27" a="1"/>
  <c r="T68" i="27" s="1"/>
  <c r="Y76" i="27" a="1"/>
  <c r="Y76" i="27" s="1"/>
  <c r="O100" i="27" a="1"/>
  <c r="O100" i="27" s="1"/>
  <c r="T32" i="27" a="1"/>
  <c r="T32" i="27" s="1"/>
  <c r="Z60" i="27" a="1"/>
  <c r="Z60" i="27" s="1"/>
  <c r="P98" i="27" a="1"/>
  <c r="P98" i="27" s="1"/>
  <c r="P137" i="27" a="1"/>
  <c r="P137" i="27" s="1"/>
  <c r="Y98" i="27" a="1"/>
  <c r="Y98" i="27" s="1"/>
  <c r="Z129" i="27" a="1"/>
  <c r="Z129" i="27" s="1"/>
  <c r="AA17" i="27" a="1"/>
  <c r="AA17" i="27" s="1"/>
  <c r="Y22" i="27" a="1"/>
  <c r="Y22" i="27" s="1"/>
  <c r="AF138" i="27" a="1"/>
  <c r="AF138" i="27" s="1"/>
  <c r="Z68" i="27" a="1"/>
  <c r="Z68" i="27" s="1"/>
  <c r="AA64" i="27" a="1"/>
  <c r="AA64" i="27" s="1"/>
  <c r="AD64" i="27" a="1"/>
  <c r="AD64" i="27" s="1"/>
  <c r="O116" i="27" a="1"/>
  <c r="O116" i="27" s="1"/>
  <c r="AG24" i="27" a="1"/>
  <c r="AG24" i="27" s="1"/>
  <c r="M112" i="27" a="1"/>
  <c r="M112" i="27" s="1"/>
  <c r="W137" i="27" a="1"/>
  <c r="W137" i="27" s="1"/>
  <c r="P125" i="27" a="1"/>
  <c r="P125" i="27" s="1"/>
  <c r="M89" i="27" a="1"/>
  <c r="M89" i="27" s="1"/>
  <c r="X89" i="27" a="1"/>
  <c r="X89" i="27" s="1"/>
  <c r="Z48" i="27" a="1"/>
  <c r="Z48" i="27" s="1"/>
  <c r="P134" i="27" a="1"/>
  <c r="P134" i="27" s="1"/>
  <c r="V133" i="27" a="1"/>
  <c r="V133" i="27" s="1"/>
  <c r="X94" i="27" a="1"/>
  <c r="X94" i="27" s="1"/>
  <c r="AA116" i="27" a="1"/>
  <c r="AA116" i="27" s="1"/>
  <c r="U105" i="27" a="1"/>
  <c r="U105" i="27" s="1"/>
  <c r="S112" i="27" a="1"/>
  <c r="S112" i="27" s="1"/>
  <c r="AG122" i="27" a="1"/>
  <c r="AG122" i="27" s="1"/>
  <c r="M29" i="27" a="1"/>
  <c r="M29" i="27" s="1"/>
  <c r="W69" i="27" a="1"/>
  <c r="W69" i="27" s="1"/>
  <c r="Q25" i="27" a="1"/>
  <c r="Q25" i="27" s="1"/>
  <c r="AF28" i="27" a="1"/>
  <c r="AF28" i="27" s="1"/>
  <c r="AG137" i="27" a="1"/>
  <c r="AG137" i="27" s="1"/>
  <c r="T28" i="27" a="1"/>
  <c r="T28" i="27" s="1"/>
  <c r="AG98" i="27" a="1"/>
  <c r="AG98" i="27" s="1"/>
  <c r="AG89" i="27" a="1"/>
  <c r="AG89" i="27" s="1"/>
  <c r="M138" i="27" a="1"/>
  <c r="M138" i="27" s="1"/>
  <c r="Z139" i="27" a="1"/>
  <c r="Z139" i="27" s="1"/>
  <c r="AI65" i="27" a="1"/>
  <c r="AI65" i="27" s="1"/>
  <c r="O133" i="27" a="1"/>
  <c r="O133" i="27" s="1"/>
  <c r="AI94" i="27" a="1"/>
  <c r="AI94" i="27" s="1"/>
  <c r="AC122" i="27" a="1"/>
  <c r="AC122" i="27" s="1"/>
  <c r="X65" i="27" a="1"/>
  <c r="X65" i="27" s="1"/>
  <c r="Q93" i="27" a="1"/>
  <c r="Q93" i="27" s="1"/>
  <c r="O48" i="27" a="1"/>
  <c r="O48" i="27" s="1"/>
  <c r="N134" i="27" a="1"/>
  <c r="N134" i="27" s="1"/>
  <c r="AE36" i="27" a="1"/>
  <c r="AE36" i="27" s="1"/>
  <c r="Y92" i="27" a="1"/>
  <c r="Y92" i="27" s="1"/>
  <c r="T130" i="27" a="1"/>
  <c r="T130" i="27" s="1"/>
  <c r="Y29" i="27" a="1"/>
  <c r="Y29" i="27" s="1"/>
  <c r="AI102" i="27" a="1"/>
  <c r="AI102" i="27" s="1"/>
  <c r="R116" i="27" a="1"/>
  <c r="R116" i="27" s="1"/>
  <c r="W92" i="27" a="1"/>
  <c r="W92" i="27" s="1"/>
  <c r="AC133" i="27" a="1"/>
  <c r="AC133" i="27" s="1"/>
  <c r="L64" i="27" a="1"/>
  <c r="L64" i="27" s="1"/>
  <c r="V32" i="27" a="1"/>
  <c r="V32" i="27" s="1"/>
  <c r="V56" i="27" a="1"/>
  <c r="V56" i="27" s="1"/>
  <c r="N126" i="27" a="1"/>
  <c r="N126" i="27" s="1"/>
  <c r="AG116" i="27" a="1"/>
  <c r="AG116" i="27" s="1"/>
  <c r="Y42" i="27" a="1"/>
  <c r="Y42" i="27" s="1"/>
  <c r="R60" i="27" a="1"/>
  <c r="R60" i="27" s="1"/>
  <c r="AG28" i="27" a="1"/>
  <c r="AG28" i="27" s="1"/>
  <c r="O46" i="27" a="1"/>
  <c r="O46" i="27" s="1"/>
  <c r="Z120" i="27" a="1"/>
  <c r="Z120" i="27" s="1"/>
  <c r="X10" i="27" a="1"/>
  <c r="X10" i="27" s="1"/>
  <c r="AE48" i="27" a="1"/>
  <c r="AE48" i="27" s="1"/>
  <c r="W105" i="27" a="1"/>
  <c r="W105" i="27" s="1"/>
  <c r="L112" i="27" a="1"/>
  <c r="L112" i="27" s="1"/>
  <c r="X24" i="27" a="1"/>
  <c r="X24" i="27" s="1"/>
  <c r="AB32" i="27" a="1"/>
  <c r="AB32" i="27" s="1"/>
  <c r="V137" i="27" a="1"/>
  <c r="V137" i="27" s="1"/>
  <c r="W17" i="27" a="1"/>
  <c r="W17" i="27" s="1"/>
  <c r="M120" i="27" a="1"/>
  <c r="M120" i="27" s="1"/>
  <c r="AI76" i="27" a="1"/>
  <c r="AI76" i="27" s="1"/>
  <c r="R13" i="27" a="1"/>
  <c r="R13" i="27" s="1"/>
  <c r="AH29" i="27" a="1"/>
  <c r="AH29" i="27" s="1"/>
  <c r="V60" i="27" a="1"/>
  <c r="V60" i="27" s="1"/>
  <c r="Y110" i="27" a="1"/>
  <c r="Y110" i="27" s="1"/>
  <c r="AD137" i="27" a="1"/>
  <c r="AD137" i="27" s="1"/>
  <c r="AA125" i="27" a="1"/>
  <c r="AA125" i="27" s="1"/>
  <c r="U102" i="27" a="1"/>
  <c r="U102" i="27" s="1"/>
  <c r="V125" i="27" a="1"/>
  <c r="V125" i="27" s="1"/>
  <c r="Y130" i="27" a="1"/>
  <c r="Y130" i="27" s="1"/>
  <c r="AH24" i="27" a="1"/>
  <c r="AH24" i="27" s="1"/>
  <c r="AE42" i="27" a="1"/>
  <c r="AE42" i="27" s="1"/>
  <c r="AB13" i="27" a="1"/>
  <c r="AB13" i="27" s="1"/>
  <c r="N29" i="27" a="1"/>
  <c r="N29" i="27" s="1"/>
  <c r="Y114" i="27" a="1"/>
  <c r="Y114" i="27" s="1"/>
  <c r="AH12" i="27" a="1"/>
  <c r="AH12" i="27" s="1"/>
  <c r="Y89" i="27" a="1"/>
  <c r="Y89" i="27" s="1"/>
  <c r="Y138" i="27" a="1"/>
  <c r="Y138" i="27" s="1"/>
  <c r="U125" i="27" a="1"/>
  <c r="U125" i="27" s="1"/>
  <c r="AB80" i="27" a="1"/>
  <c r="AB80" i="27" s="1"/>
  <c r="Y53" i="27" a="1"/>
  <c r="Y53" i="27" s="1"/>
  <c r="AG10" i="27" a="1"/>
  <c r="AG10" i="27" s="1"/>
  <c r="P133" i="27" a="1"/>
  <c r="P133" i="27" s="1"/>
  <c r="S68" i="27" a="1"/>
  <c r="S68" i="27" s="1"/>
  <c r="U36" i="27" a="1"/>
  <c r="U36" i="27" s="1"/>
  <c r="N116" i="27" a="1"/>
  <c r="N116" i="27" s="1"/>
  <c r="AD13" i="27" a="1"/>
  <c r="AD13" i="27" s="1"/>
  <c r="M122" i="27" a="1"/>
  <c r="M122" i="27" s="1"/>
  <c r="AA32" i="27" a="1"/>
  <c r="AA32" i="27" s="1"/>
  <c r="U69" i="27" a="1"/>
  <c r="U69" i="27" s="1"/>
  <c r="L69" i="27" a="1"/>
  <c r="L69" i="27" s="1"/>
  <c r="V28" i="27" a="1"/>
  <c r="V28" i="27" s="1"/>
  <c r="AB137" i="27" a="1"/>
  <c r="AB137" i="27" s="1"/>
  <c r="Z128" i="27" a="1"/>
  <c r="Z128" i="27" s="1"/>
  <c r="Y65" i="27" a="1"/>
  <c r="Y65" i="27" s="1"/>
  <c r="P69" i="27" a="1"/>
  <c r="P69" i="27" s="1"/>
  <c r="V90" i="27" a="1"/>
  <c r="V90" i="27" s="1"/>
  <c r="P126" i="27" a="1"/>
  <c r="P126" i="27" s="1"/>
  <c r="AD90" i="27" a="1"/>
  <c r="AD90" i="27" s="1"/>
  <c r="O68" i="27" a="1"/>
  <c r="O68" i="27" s="1"/>
  <c r="Q94" i="27" a="1"/>
  <c r="Q94" i="27" s="1"/>
  <c r="N26" i="27" a="1"/>
  <c r="N26" i="27" s="1"/>
  <c r="V105" i="27" a="1"/>
  <c r="V105" i="27" s="1"/>
  <c r="Z112" i="27" a="1"/>
  <c r="Z112" i="27" s="1"/>
  <c r="O122" i="27" a="1"/>
  <c r="O122" i="27" s="1"/>
  <c r="S29" i="27" a="1"/>
  <c r="S29" i="27" s="1"/>
  <c r="U12" i="27" a="1"/>
  <c r="U12" i="27" s="1"/>
  <c r="AI28" i="27" a="1"/>
  <c r="AI28" i="27" s="1"/>
  <c r="AA110" i="27" a="1"/>
  <c r="AA110" i="27" s="1"/>
  <c r="T89" i="27" a="1"/>
  <c r="T89" i="27" s="1"/>
  <c r="AA102" i="27" a="1"/>
  <c r="AA102" i="27" s="1"/>
  <c r="AH114" i="27" a="1"/>
  <c r="AH114" i="27" s="1"/>
  <c r="M46" i="27" a="1"/>
  <c r="M46" i="27" s="1"/>
  <c r="N129" i="27" a="1"/>
  <c r="N129" i="27" s="1"/>
  <c r="Y93" i="27" a="1"/>
  <c r="Y93" i="27" s="1"/>
  <c r="N80" i="27" a="1"/>
  <c r="N80" i="27" s="1"/>
  <c r="L80" i="27" a="1"/>
  <c r="L80" i="27" s="1"/>
  <c r="AG48" i="27" a="1"/>
  <c r="AG48" i="27" s="1"/>
  <c r="S10" i="27" a="1"/>
  <c r="S10" i="27" s="1"/>
  <c r="Z17" i="27" a="1"/>
  <c r="Z17" i="27" s="1"/>
  <c r="N64" i="27" a="1"/>
  <c r="N64" i="27" s="1"/>
  <c r="Q60" i="27" a="1"/>
  <c r="Q60" i="27" s="1"/>
  <c r="AA82" i="27" a="1"/>
  <c r="AA82" i="27" s="1"/>
  <c r="AF10" i="27" a="1"/>
  <c r="AF10" i="27" s="1"/>
  <c r="AG120" i="27" a="1"/>
  <c r="AG120" i="27" s="1"/>
  <c r="AH36" i="27" a="1"/>
  <c r="AH36" i="27" s="1"/>
  <c r="W130" i="27" a="1"/>
  <c r="W130" i="27" s="1"/>
  <c r="AB120" i="27" a="1"/>
  <c r="AB120" i="27" s="1"/>
  <c r="Y106" i="27" a="1"/>
  <c r="Y106" i="27" s="1"/>
  <c r="T26" i="27" a="1"/>
  <c r="T26" i="27" s="1"/>
  <c r="Z26" i="27" a="1"/>
  <c r="Z26" i="27" s="1"/>
  <c r="Q137" i="27" a="1"/>
  <c r="Q137" i="27" s="1"/>
  <c r="W106" i="27" a="1"/>
  <c r="W106" i="27" s="1"/>
  <c r="O64" i="27" a="1"/>
  <c r="O64" i="27" s="1"/>
  <c r="Y14" i="27" a="1"/>
  <c r="Y14" i="27" s="1"/>
  <c r="AC58" i="27" a="1"/>
  <c r="AC58" i="27" s="1"/>
  <c r="X82" i="27" a="1"/>
  <c r="X82" i="27" s="1"/>
  <c r="M80" i="27" a="1"/>
  <c r="M80" i="27" s="1"/>
  <c r="R76" i="27" a="1"/>
  <c r="R76" i="27" s="1"/>
  <c r="N17" i="27" a="1"/>
  <c r="N17" i="27" s="1"/>
  <c r="M16" i="27" a="1"/>
  <c r="M16" i="27" s="1"/>
  <c r="AA16" i="27" a="1"/>
  <c r="AA16" i="27" s="1"/>
  <c r="AG66" i="27" a="1"/>
  <c r="AG66" i="27" s="1"/>
  <c r="L117" i="27" a="1"/>
  <c r="L117" i="27" s="1"/>
  <c r="AF16" i="27" a="1"/>
  <c r="AF16" i="27" s="1"/>
  <c r="AG49" i="27" a="1"/>
  <c r="AG49" i="27" s="1"/>
  <c r="AA20" i="27" a="1"/>
  <c r="AA20" i="27" s="1"/>
  <c r="AF20" i="27" a="1"/>
  <c r="AF20" i="27" s="1"/>
  <c r="AA124" i="27" a="1"/>
  <c r="AA124" i="27" s="1"/>
  <c r="AF88" i="27" a="1"/>
  <c r="AF88" i="27" s="1"/>
  <c r="Q124" i="27" a="1"/>
  <c r="Q124" i="27" s="1"/>
  <c r="AI88" i="27" a="1"/>
  <c r="AI88" i="27" s="1"/>
  <c r="Q88" i="27" a="1"/>
  <c r="Q88" i="27" s="1"/>
  <c r="AH124" i="27" a="1"/>
  <c r="AH124" i="27" s="1"/>
  <c r="AF124" i="27" a="1"/>
  <c r="AF124" i="27" s="1"/>
  <c r="X124" i="27" a="1"/>
  <c r="X124" i="27" s="1"/>
  <c r="AG88" i="27" a="1"/>
  <c r="AG88" i="27" s="1"/>
  <c r="W88" i="27" a="1"/>
  <c r="W88" i="27" s="1"/>
  <c r="Z78" i="27" a="1"/>
  <c r="Z78" i="27" s="1"/>
  <c r="AG78" i="27" a="1"/>
  <c r="AG78" i="27" s="1"/>
  <c r="W78" i="27" a="1"/>
  <c r="W78" i="27" s="1"/>
  <c r="S78" i="27" a="1"/>
  <c r="S78" i="27" s="1"/>
  <c r="N78" i="27" a="1"/>
  <c r="N78" i="27" s="1"/>
  <c r="Q78" i="27" a="1"/>
  <c r="Q78" i="27" s="1"/>
  <c r="AE73" i="27" a="1"/>
  <c r="AE73" i="27" s="1"/>
  <c r="AA73" i="27" a="1"/>
  <c r="AA73" i="27" s="1"/>
  <c r="AC73" i="27" a="1"/>
  <c r="AC73" i="27" s="1"/>
  <c r="W41" i="27" a="1"/>
  <c r="W41" i="27" s="1"/>
  <c r="AG41" i="27" a="1"/>
  <c r="AG41" i="27" s="1"/>
  <c r="N41" i="27" a="1"/>
  <c r="N41" i="27" s="1"/>
  <c r="Y73" i="27" a="1"/>
  <c r="Y73" i="27" s="1"/>
  <c r="P73" i="27" a="1"/>
  <c r="P73" i="27" s="1"/>
  <c r="Z41" i="27" a="1"/>
  <c r="Z41" i="27" s="1"/>
  <c r="AA41" i="27" a="1"/>
  <c r="AA41" i="27" s="1"/>
  <c r="M41" i="27" a="1"/>
  <c r="M41" i="27" s="1"/>
  <c r="U73" i="27" a="1"/>
  <c r="U73" i="27" s="1"/>
  <c r="R41" i="27" a="1"/>
  <c r="R41" i="27" s="1"/>
  <c r="AE84" i="27" a="1"/>
  <c r="AE84" i="27" s="1"/>
  <c r="P84" i="27" a="1"/>
  <c r="P84" i="27" s="1"/>
  <c r="P21" i="27" a="1"/>
  <c r="P21" i="27" s="1"/>
  <c r="R97" i="27" a="1"/>
  <c r="R97" i="27" s="1"/>
  <c r="AB97" i="27" a="1"/>
  <c r="AB97" i="27" s="1"/>
  <c r="M73" i="27" a="1"/>
  <c r="M73" i="27" s="1"/>
  <c r="W57" i="27" a="1"/>
  <c r="W57" i="27" s="1"/>
  <c r="P33" i="27" a="1"/>
  <c r="P33" i="27" s="1"/>
  <c r="Q21" i="27" a="1"/>
  <c r="Q21" i="27" s="1"/>
  <c r="AA33" i="27" a="1"/>
  <c r="AA33" i="27" s="1"/>
  <c r="AD33" i="27" a="1"/>
  <c r="AD33" i="27" s="1"/>
  <c r="U57" i="27" a="1"/>
  <c r="U57" i="27" s="1"/>
  <c r="Z21" i="27" a="1"/>
  <c r="Z21" i="27" s="1"/>
  <c r="T33" i="27" a="1"/>
  <c r="T33" i="27" s="1"/>
  <c r="Q97" i="27" a="1"/>
  <c r="Q97" i="27" s="1"/>
  <c r="N21" i="27" a="1"/>
  <c r="N21" i="27" s="1"/>
  <c r="AA57" i="27" a="1"/>
  <c r="AA57" i="27" s="1"/>
  <c r="AH84" i="27" a="1"/>
  <c r="AH84" i="27" s="1"/>
  <c r="S41" i="27" a="1"/>
  <c r="S41" i="27" s="1"/>
  <c r="O21" i="27" a="1"/>
  <c r="O21" i="27" s="1"/>
  <c r="AG97" i="27" a="1"/>
  <c r="AG97" i="27" s="1"/>
  <c r="O33" i="27" a="1"/>
  <c r="O33" i="27" s="1"/>
  <c r="N57" i="27" a="1"/>
  <c r="N57" i="27" s="1"/>
  <c r="Z97" i="27" a="1"/>
  <c r="Z97" i="27" s="1"/>
  <c r="S57" i="27" a="1"/>
  <c r="S57" i="27" s="1"/>
  <c r="AF57" i="27" a="1"/>
  <c r="AF57" i="27" s="1"/>
  <c r="U33" i="27" a="1"/>
  <c r="U33" i="27" s="1"/>
  <c r="S21" i="27" a="1"/>
  <c r="S21" i="27" s="1"/>
  <c r="AG21" i="27" a="1"/>
  <c r="AG21" i="27" s="1"/>
  <c r="Z88" i="27" a="1"/>
  <c r="Z88" i="27" s="1"/>
  <c r="AA88" i="27" a="1"/>
  <c r="AA88" i="27" s="1"/>
  <c r="L109" i="27" a="1"/>
  <c r="L109" i="27" s="1"/>
  <c r="Q109" i="27" a="1"/>
  <c r="Q109" i="27" s="1"/>
  <c r="AA109" i="27" a="1"/>
  <c r="AA109" i="27" s="1"/>
  <c r="T109" i="27" a="1"/>
  <c r="T109" i="27" s="1"/>
  <c r="AG109" i="27" a="1"/>
  <c r="AG109" i="27" s="1"/>
  <c r="AF109" i="27" a="1"/>
  <c r="AF109" i="27" s="1"/>
  <c r="AB109" i="27" a="1"/>
  <c r="AB109" i="27" s="1"/>
  <c r="T77" i="27" a="1"/>
  <c r="T77" i="27" s="1"/>
  <c r="O77" i="27" a="1"/>
  <c r="O77" i="27" s="1"/>
  <c r="L77" i="27" a="1"/>
  <c r="L77" i="27" s="1"/>
  <c r="U77" i="27" a="1"/>
  <c r="U77" i="27" s="1"/>
  <c r="AH77" i="27" a="1"/>
  <c r="AH77" i="27" s="1"/>
  <c r="N77" i="27" a="1"/>
  <c r="N77" i="27" s="1"/>
  <c r="U21" i="27" a="1"/>
  <c r="U21" i="27" s="1"/>
  <c r="AH41" i="27" a="1"/>
  <c r="AH41" i="27" s="1"/>
  <c r="Y88" i="27" a="1"/>
  <c r="Y88" i="27" s="1"/>
  <c r="BP45" i="27"/>
  <c r="BO45" i="27"/>
  <c r="BK38" i="27"/>
  <c r="BP111" i="27"/>
  <c r="BO111" i="27"/>
  <c r="BK83" i="27"/>
  <c r="BK95" i="27"/>
  <c r="BM95" i="27" s="1"/>
  <c r="BK85" i="27"/>
  <c r="BK11" i="27"/>
  <c r="BM11" i="27" s="1"/>
  <c r="BK107" i="27"/>
  <c r="BK63" i="27"/>
  <c r="BM63" i="27" s="1"/>
  <c r="BK35" i="27"/>
  <c r="BK23" i="27"/>
  <c r="AI66" i="27" a="1"/>
  <c r="AI66" i="27" s="1"/>
  <c r="Q49" i="27" a="1"/>
  <c r="Q49" i="27" s="1"/>
  <c r="Q113" i="27" a="1"/>
  <c r="Q113" i="27" s="1"/>
  <c r="U117" i="27" a="1"/>
  <c r="U117" i="27" s="1"/>
  <c r="Q20" i="27" a="1"/>
  <c r="Q20" i="27" s="1"/>
  <c r="AB49" i="27" a="1"/>
  <c r="AB49" i="27" s="1"/>
  <c r="Z113" i="27" a="1"/>
  <c r="Z113" i="27" s="1"/>
  <c r="AI113" i="27" a="1"/>
  <c r="AI113" i="27" s="1"/>
  <c r="AG72" i="27" a="1"/>
  <c r="AG72" i="27" s="1"/>
  <c r="AE20" i="27" a="1"/>
  <c r="AE20" i="27" s="1"/>
  <c r="AI49" i="27" a="1"/>
  <c r="AI49" i="27" s="1"/>
  <c r="X16" i="27" a="1"/>
  <c r="X16" i="27" s="1"/>
  <c r="AG132" i="27" a="1"/>
  <c r="AG132" i="27" s="1"/>
  <c r="AG20" i="27" a="1"/>
  <c r="AG20" i="27" s="1"/>
  <c r="AD113" i="27" a="1"/>
  <c r="AD113" i="27" s="1"/>
  <c r="T117" i="27" a="1"/>
  <c r="T117" i="27" s="1"/>
  <c r="AE118" i="27" a="1"/>
  <c r="AE118" i="27" s="1"/>
  <c r="Q132" i="27" a="1"/>
  <c r="Q132" i="27" s="1"/>
  <c r="Q72" i="27" a="1"/>
  <c r="Q72" i="27" s="1"/>
  <c r="S40" i="27" a="1"/>
  <c r="S40" i="27" s="1"/>
  <c r="AE49" i="27" a="1"/>
  <c r="AE49" i="27" s="1"/>
  <c r="AD118" i="27" a="1"/>
  <c r="AD118" i="27" s="1"/>
  <c r="R118" i="27" a="1"/>
  <c r="R118" i="27" s="1"/>
  <c r="T16" i="27" a="1"/>
  <c r="T16" i="27" s="1"/>
  <c r="R117" i="27" a="1"/>
  <c r="R117" i="27" s="1"/>
  <c r="W121" i="27" a="1"/>
  <c r="W121" i="27" s="1"/>
  <c r="N49" i="27" a="1"/>
  <c r="N49" i="27" s="1"/>
  <c r="S121" i="27" a="1"/>
  <c r="S121" i="27" s="1"/>
  <c r="T132" i="27" a="1"/>
  <c r="T132" i="27" s="1"/>
  <c r="AI121" i="27" a="1"/>
  <c r="AI121" i="27" s="1"/>
  <c r="W20" i="27" a="1"/>
  <c r="W20" i="27" s="1"/>
  <c r="O20" i="27" a="1"/>
  <c r="O20" i="27" s="1"/>
  <c r="AG118" i="27" a="1"/>
  <c r="AG118" i="27" s="1"/>
  <c r="AI20" i="27" a="1"/>
  <c r="AI20" i="27" s="1"/>
  <c r="AE16" i="27" a="1"/>
  <c r="AE16" i="27" s="1"/>
  <c r="V132" i="27" a="1"/>
  <c r="V132" i="27" s="1"/>
  <c r="AC113" i="27" a="1"/>
  <c r="AC113" i="27" s="1"/>
  <c r="O40" i="27" a="1"/>
  <c r="O40" i="27" s="1"/>
  <c r="W40" i="27" a="1"/>
  <c r="W40" i="27" s="1"/>
  <c r="O132" i="27" a="1"/>
  <c r="O132" i="27" s="1"/>
  <c r="M40" i="27" a="1"/>
  <c r="M40" i="27" s="1"/>
  <c r="L121" i="27" a="1"/>
  <c r="L121" i="27" s="1"/>
  <c r="AB40" i="27" a="1"/>
  <c r="AB40" i="27" s="1"/>
  <c r="U72" i="27" a="1"/>
  <c r="U72" i="27" s="1"/>
  <c r="AB20" i="27" a="1"/>
  <c r="AB20" i="27" s="1"/>
  <c r="V66" i="27" a="1"/>
  <c r="V66" i="27" s="1"/>
  <c r="AE40" i="27" a="1"/>
  <c r="AE40" i="27" s="1"/>
  <c r="AH113" i="27" a="1"/>
  <c r="AH113" i="27" s="1"/>
  <c r="AD66" i="27" a="1"/>
  <c r="AD66" i="27" s="1"/>
  <c r="Y121" i="27" a="1"/>
  <c r="Y121" i="27" s="1"/>
  <c r="N72" i="27" a="1"/>
  <c r="N72" i="27" s="1"/>
  <c r="L72" i="27" a="1"/>
  <c r="L72" i="27" s="1"/>
  <c r="Z20" i="27" a="1"/>
  <c r="Z20" i="27" s="1"/>
  <c r="AH49" i="27" a="1"/>
  <c r="AH49" i="27" s="1"/>
  <c r="L40" i="27" a="1"/>
  <c r="L40" i="27" s="1"/>
  <c r="Y66" i="27" a="1"/>
  <c r="Y66" i="27" s="1"/>
  <c r="L20" i="27" a="1"/>
  <c r="L20" i="27" s="1"/>
  <c r="S20" i="27" a="1"/>
  <c r="S20" i="27" s="1"/>
  <c r="AD72" i="27" a="1"/>
  <c r="AD72" i="27" s="1"/>
  <c r="W124" i="27" a="1"/>
  <c r="W124" i="27" s="1"/>
  <c r="AB124" i="27" a="1"/>
  <c r="AB124" i="27" s="1"/>
  <c r="S88" i="27" a="1"/>
  <c r="S88" i="27" s="1"/>
  <c r="AE124" i="27" a="1"/>
  <c r="AE124" i="27" s="1"/>
  <c r="U78" i="27" a="1"/>
  <c r="U78" i="27" s="1"/>
  <c r="L78" i="27" a="1"/>
  <c r="L78" i="27" s="1"/>
  <c r="AF78" i="27" a="1"/>
  <c r="AF78" i="27" s="1"/>
  <c r="X41" i="27" a="1"/>
  <c r="X41" i="27" s="1"/>
  <c r="O78" i="27" a="1"/>
  <c r="O78" i="27" s="1"/>
  <c r="AC78" i="27" a="1"/>
  <c r="AC78" i="27" s="1"/>
  <c r="R73" i="27" a="1"/>
  <c r="R73" i="27" s="1"/>
  <c r="X73" i="27" a="1"/>
  <c r="X73" i="27" s="1"/>
  <c r="Z73" i="27" a="1"/>
  <c r="Z73" i="27" s="1"/>
  <c r="P41" i="27" a="1"/>
  <c r="P41" i="27" s="1"/>
  <c r="V73" i="27" a="1"/>
  <c r="V73" i="27" s="1"/>
  <c r="S73" i="27" a="1"/>
  <c r="S73" i="27" s="1"/>
  <c r="AC41" i="27" a="1"/>
  <c r="AC41" i="27" s="1"/>
  <c r="U84" i="27" a="1"/>
  <c r="U84" i="27" s="1"/>
  <c r="AE21" i="27" a="1"/>
  <c r="AE21" i="27" s="1"/>
  <c r="V97" i="27" a="1"/>
  <c r="V97" i="27" s="1"/>
  <c r="AC21" i="27" a="1"/>
  <c r="AC21" i="27" s="1"/>
  <c r="AC33" i="27" a="1"/>
  <c r="AC33" i="27" s="1"/>
  <c r="R57" i="27" a="1"/>
  <c r="R57" i="27" s="1"/>
  <c r="R84" i="27" a="1"/>
  <c r="R84" i="27" s="1"/>
  <c r="P57" i="27" a="1"/>
  <c r="P57" i="27" s="1"/>
  <c r="X84" i="27" a="1"/>
  <c r="X84" i="27" s="1"/>
  <c r="W21" i="27" a="1"/>
  <c r="W21" i="27" s="1"/>
  <c r="Y57" i="27" a="1"/>
  <c r="Y57" i="27" s="1"/>
  <c r="AD57" i="27" a="1"/>
  <c r="AD57" i="27" s="1"/>
  <c r="U97" i="27" a="1"/>
  <c r="U97" i="27" s="1"/>
  <c r="AH57" i="27" a="1"/>
  <c r="AH57" i="27" s="1"/>
  <c r="O57" i="27" a="1"/>
  <c r="O57" i="27" s="1"/>
  <c r="M97" i="27" a="1"/>
  <c r="M97" i="27" s="1"/>
  <c r="AD97" i="27" a="1"/>
  <c r="AD97" i="27" s="1"/>
  <c r="AA84" i="27" a="1"/>
  <c r="AA84" i="27" s="1"/>
  <c r="O97" i="27" a="1"/>
  <c r="O97" i="27" s="1"/>
  <c r="AG84" i="27" a="1"/>
  <c r="AG84" i="27" s="1"/>
  <c r="Z57" i="27" a="1"/>
  <c r="Z57" i="27" s="1"/>
  <c r="AB21" i="27" a="1"/>
  <c r="AB21" i="27" s="1"/>
  <c r="AB57" i="27" a="1"/>
  <c r="AB57" i="27" s="1"/>
  <c r="L21" i="27" a="1"/>
  <c r="L21" i="27" s="1"/>
  <c r="W33" i="27" a="1"/>
  <c r="W33" i="27" s="1"/>
  <c r="N33" i="27" a="1"/>
  <c r="N33" i="27" s="1"/>
  <c r="AF84" i="27" a="1"/>
  <c r="AF84" i="27" s="1"/>
  <c r="AA97" i="27" a="1"/>
  <c r="AA97" i="27" s="1"/>
  <c r="AI78" i="27" a="1"/>
  <c r="AI78" i="27" s="1"/>
  <c r="AB78" i="27" a="1"/>
  <c r="AB78" i="27" s="1"/>
  <c r="U109" i="27" a="1"/>
  <c r="U109" i="27" s="1"/>
  <c r="AD109" i="27" a="1"/>
  <c r="AD109" i="27" s="1"/>
  <c r="P109" i="27" a="1"/>
  <c r="P109" i="27" s="1"/>
  <c r="R109" i="27" a="1"/>
  <c r="R109" i="27" s="1"/>
  <c r="O109" i="27" a="1"/>
  <c r="O109" i="27" s="1"/>
  <c r="AC109" i="27" a="1"/>
  <c r="AC109" i="27" s="1"/>
  <c r="AF77" i="27" a="1"/>
  <c r="AF77" i="27" s="1"/>
  <c r="AD77" i="27" a="1"/>
  <c r="AD77" i="27" s="1"/>
  <c r="Y77" i="27" a="1"/>
  <c r="Y77" i="27" s="1"/>
  <c r="R77" i="27" a="1"/>
  <c r="R77" i="27" s="1"/>
  <c r="X77" i="27" a="1"/>
  <c r="X77" i="27" s="1"/>
  <c r="AC88" i="27" a="1"/>
  <c r="AC88" i="27" s="1"/>
  <c r="N73" i="27" a="1"/>
  <c r="N73" i="27" s="1"/>
  <c r="L88" i="27" a="1"/>
  <c r="L88" i="27" s="1"/>
  <c r="AB84" i="27" a="1"/>
  <c r="AB84" i="27" s="1"/>
  <c r="BP99" i="27"/>
  <c r="BO99" i="27"/>
  <c r="BH135" i="27"/>
  <c r="BM135" i="27"/>
  <c r="BQ54" i="27"/>
  <c r="BP54" i="27"/>
  <c r="BO54" i="27"/>
  <c r="BP115" i="27"/>
  <c r="BO115" i="27"/>
  <c r="BK131" i="27"/>
  <c r="BM131" i="27" s="1"/>
  <c r="BK30" i="27"/>
  <c r="BK108" i="27"/>
  <c r="BK43" i="27"/>
  <c r="BK91" i="27"/>
  <c r="BK50" i="27"/>
  <c r="BK104" i="27"/>
  <c r="BM104" i="27" s="1"/>
  <c r="BK136" i="27"/>
  <c r="BK79" i="27"/>
  <c r="BK127" i="27"/>
  <c r="BK123" i="27"/>
  <c r="BK15" i="27"/>
  <c r="P124" i="27" a="1"/>
  <c r="P124" i="27" s="1"/>
  <c r="AC124" i="27" a="1"/>
  <c r="AC124" i="27" s="1"/>
  <c r="V124" i="27" a="1"/>
  <c r="V124" i="27" s="1"/>
  <c r="AG124" i="27" a="1"/>
  <c r="AG124" i="27" s="1"/>
  <c r="R88" i="27" a="1"/>
  <c r="R88" i="27" s="1"/>
  <c r="M124" i="27" a="1"/>
  <c r="M124" i="27" s="1"/>
  <c r="AH88" i="27" a="1"/>
  <c r="AH88" i="27" s="1"/>
  <c r="AI124" i="27" a="1"/>
  <c r="AI124" i="27" s="1"/>
  <c r="T88" i="27" a="1"/>
  <c r="T88" i="27" s="1"/>
  <c r="V88" i="27" a="1"/>
  <c r="V88" i="27" s="1"/>
  <c r="X78" i="27" a="1"/>
  <c r="X78" i="27" s="1"/>
  <c r="P78" i="27" a="1"/>
  <c r="P78" i="27" s="1"/>
  <c r="AH78" i="27" a="1"/>
  <c r="AH78" i="27" s="1"/>
  <c r="AH73" i="27" a="1"/>
  <c r="AH73" i="27" s="1"/>
  <c r="AD73" i="27" a="1"/>
  <c r="AD73" i="27" s="1"/>
  <c r="O73" i="27" a="1"/>
  <c r="O73" i="27" s="1"/>
  <c r="AF41" i="27" a="1"/>
  <c r="AF41" i="27" s="1"/>
  <c r="AB73" i="27" a="1"/>
  <c r="AB73" i="27" s="1"/>
  <c r="U41" i="27" a="1"/>
  <c r="U41" i="27" s="1"/>
  <c r="AI41" i="27" a="1"/>
  <c r="AI41" i="27" s="1"/>
  <c r="V41" i="27" a="1"/>
  <c r="V41" i="27" s="1"/>
  <c r="AE41" i="27" a="1"/>
  <c r="AE41" i="27" s="1"/>
  <c r="Y41" i="27" a="1"/>
  <c r="Y41" i="27" s="1"/>
  <c r="Q84" i="27" a="1"/>
  <c r="Q84" i="27" s="1"/>
  <c r="W84" i="27" a="1"/>
  <c r="W84" i="27" s="1"/>
  <c r="Q33" i="27" a="1"/>
  <c r="Q33" i="27" s="1"/>
  <c r="AH97" i="27" a="1"/>
  <c r="AH97" i="27" s="1"/>
  <c r="M84" i="27" a="1"/>
  <c r="M84" i="27" s="1"/>
  <c r="Z33" i="27" a="1"/>
  <c r="Z33" i="27" s="1"/>
  <c r="L57" i="27" a="1"/>
  <c r="L57" i="27" s="1"/>
  <c r="AB33" i="27" a="1"/>
  <c r="AB33" i="27" s="1"/>
  <c r="P97" i="27" a="1"/>
  <c r="P97" i="27" s="1"/>
  <c r="AC84" i="27" a="1"/>
  <c r="AC84" i="27" s="1"/>
  <c r="M33" i="27" a="1"/>
  <c r="M33" i="27" s="1"/>
  <c r="T21" i="27" a="1"/>
  <c r="T21" i="27" s="1"/>
  <c r="R33" i="27" a="1"/>
  <c r="R33" i="27" s="1"/>
  <c r="AG57" i="27" a="1"/>
  <c r="AG57" i="27" s="1"/>
  <c r="AF33" i="27" a="1"/>
  <c r="AF33" i="27" s="1"/>
  <c r="AA21" i="27" a="1"/>
  <c r="AA21" i="27" s="1"/>
  <c r="AI33" i="27" a="1"/>
  <c r="AI33" i="27" s="1"/>
  <c r="AG33" i="27" a="1"/>
  <c r="AG33" i="27" s="1"/>
  <c r="AE57" i="27" a="1"/>
  <c r="AE57" i="27" s="1"/>
  <c r="L84" i="27" a="1"/>
  <c r="L84" i="27" s="1"/>
  <c r="S33" i="27" a="1"/>
  <c r="S33" i="27" s="1"/>
  <c r="V21" i="27" a="1"/>
  <c r="V21" i="27" s="1"/>
  <c r="Y21" i="27" a="1"/>
  <c r="Y21" i="27" s="1"/>
  <c r="R21" i="27" a="1"/>
  <c r="R21" i="27" s="1"/>
  <c r="Z84" i="27" a="1"/>
  <c r="Z84" i="27" s="1"/>
  <c r="AE33" i="27" a="1"/>
  <c r="AE33" i="27" s="1"/>
  <c r="AI21" i="27" a="1"/>
  <c r="AI21" i="27" s="1"/>
  <c r="X88" i="27" a="1"/>
  <c r="X88" i="27" s="1"/>
  <c r="Y78" i="27" a="1"/>
  <c r="Y78" i="27" s="1"/>
  <c r="N124" i="27" a="1"/>
  <c r="N124" i="27" s="1"/>
  <c r="M109" i="27" a="1"/>
  <c r="M109" i="27" s="1"/>
  <c r="X109" i="27" a="1"/>
  <c r="X109" i="27" s="1"/>
  <c r="AH109" i="27" a="1"/>
  <c r="AH109" i="27" s="1"/>
  <c r="AE109" i="27" a="1"/>
  <c r="AE109" i="27" s="1"/>
  <c r="S77" i="27" a="1"/>
  <c r="S77" i="27" s="1"/>
  <c r="M77" i="27" a="1"/>
  <c r="M77" i="27" s="1"/>
  <c r="AC77" i="27" a="1"/>
  <c r="AC77" i="27" s="1"/>
  <c r="BK62" i="27"/>
  <c r="BK81" i="27"/>
  <c r="BM81" i="27" s="1"/>
  <c r="BP101" i="27"/>
  <c r="BO101" i="27"/>
  <c r="BK55" i="27"/>
  <c r="BM55" i="27" s="1"/>
  <c r="BQ55" i="27" s="1"/>
  <c r="BK37" i="27"/>
  <c r="BK47" i="27"/>
  <c r="BK51" i="27"/>
  <c r="BK52" i="27"/>
  <c r="BM52" i="27" s="1"/>
  <c r="BK71" i="27"/>
  <c r="M117" i="27" a="1"/>
  <c r="M117" i="27" s="1"/>
  <c r="S113" i="27" a="1"/>
  <c r="S113" i="27" s="1"/>
  <c r="AA66" i="27" a="1"/>
  <c r="AA66" i="27" s="1"/>
  <c r="P72" i="27" a="1"/>
  <c r="P72" i="27" s="1"/>
  <c r="Y49" i="27" a="1"/>
  <c r="Y49" i="27" s="1"/>
  <c r="L66" i="27" a="1"/>
  <c r="L66" i="27" s="1"/>
  <c r="P117" i="27" a="1"/>
  <c r="P117" i="27" s="1"/>
  <c r="Q66" i="27" a="1"/>
  <c r="Q66" i="27" s="1"/>
  <c r="AB117" i="27" a="1"/>
  <c r="AB117" i="27" s="1"/>
  <c r="AG40" i="27" a="1"/>
  <c r="AG40" i="27" s="1"/>
  <c r="AI118" i="27" a="1"/>
  <c r="AI118" i="27" s="1"/>
  <c r="O66" i="27" a="1"/>
  <c r="O66" i="27" s="1"/>
  <c r="M121" i="27" a="1"/>
  <c r="M121" i="27" s="1"/>
  <c r="N118" i="27" a="1"/>
  <c r="N118" i="27" s="1"/>
  <c r="V117" i="27" a="1"/>
  <c r="V117" i="27" s="1"/>
  <c r="P118" i="27" a="1"/>
  <c r="P118" i="27" s="1"/>
  <c r="Z118" i="27" a="1"/>
  <c r="Z118" i="27" s="1"/>
  <c r="AI40" i="27" a="1"/>
  <c r="AI40" i="27" s="1"/>
  <c r="AF132" i="27" a="1"/>
  <c r="AF132" i="27" s="1"/>
  <c r="M132" i="27" a="1"/>
  <c r="M132" i="27" s="1"/>
  <c r="R49" i="27" a="1"/>
  <c r="R49" i="27" s="1"/>
  <c r="X121" i="27" a="1"/>
  <c r="X121" i="27" s="1"/>
  <c r="V72" i="27" a="1"/>
  <c r="V72" i="27" s="1"/>
  <c r="P40" i="27" a="1"/>
  <c r="P40" i="27" s="1"/>
  <c r="O117" i="27" a="1"/>
  <c r="O117" i="27" s="1"/>
  <c r="X72" i="27" a="1"/>
  <c r="X72" i="27" s="1"/>
  <c r="AB118" i="27" a="1"/>
  <c r="AB118" i="27" s="1"/>
  <c r="V40" i="27" a="1"/>
  <c r="V40" i="27" s="1"/>
  <c r="AH66" i="27" a="1"/>
  <c r="AH66" i="27" s="1"/>
  <c r="R132" i="27" a="1"/>
  <c r="R132" i="27" s="1"/>
  <c r="Z49" i="27" a="1"/>
  <c r="Z49" i="27" s="1"/>
  <c r="P113" i="27" a="1"/>
  <c r="P113" i="27" s="1"/>
  <c r="Q121" i="27" a="1"/>
  <c r="Q121" i="27" s="1"/>
  <c r="U49" i="27" a="1"/>
  <c r="U49" i="27" s="1"/>
  <c r="AC121" i="27" a="1"/>
  <c r="AC121" i="27" s="1"/>
  <c r="R121" i="27" a="1"/>
  <c r="R121" i="27" s="1"/>
  <c r="AI72" i="27" a="1"/>
  <c r="AI72" i="27" s="1"/>
  <c r="Q40" i="27" a="1"/>
  <c r="Q40" i="27" s="1"/>
  <c r="AA113" i="27" a="1"/>
  <c r="AA113" i="27" s="1"/>
  <c r="AA72" i="27" a="1"/>
  <c r="AA72" i="27" s="1"/>
  <c r="AC72" i="27" a="1"/>
  <c r="AC72" i="27" s="1"/>
  <c r="Z72" i="27" a="1"/>
  <c r="Z72" i="27" s="1"/>
  <c r="T113" i="27" a="1"/>
  <c r="T113" i="27" s="1"/>
  <c r="AE72" i="27" a="1"/>
  <c r="AE72" i="27" s="1"/>
  <c r="N121" i="27" a="1"/>
  <c r="N121" i="27" s="1"/>
  <c r="P28" i="27" a="1"/>
  <c r="P28" i="27" s="1"/>
  <c r="P88" i="27" a="1"/>
  <c r="P88" i="27" s="1"/>
  <c r="L124" i="27" a="1"/>
  <c r="L124" i="27" s="1"/>
  <c r="S124" i="27" a="1"/>
  <c r="S124" i="27" s="1"/>
  <c r="Z124" i="27" a="1"/>
  <c r="Z124" i="27" s="1"/>
  <c r="Y124" i="27" a="1"/>
  <c r="Y124" i="27" s="1"/>
  <c r="M88" i="27" a="1"/>
  <c r="M88" i="27" s="1"/>
  <c r="R124" i="27" a="1"/>
  <c r="R124" i="27" s="1"/>
  <c r="AD88" i="27" a="1"/>
  <c r="AD88" i="27" s="1"/>
  <c r="U124" i="27" a="1"/>
  <c r="U124" i="27" s="1"/>
  <c r="T124" i="27" a="1"/>
  <c r="T124" i="27" s="1"/>
  <c r="O88" i="27" a="1"/>
  <c r="O88" i="27" s="1"/>
  <c r="AD124" i="27" a="1"/>
  <c r="AD124" i="27" s="1"/>
  <c r="N88" i="27" a="1"/>
  <c r="N88" i="27" s="1"/>
  <c r="AE88" i="27" a="1"/>
  <c r="AE88" i="27" s="1"/>
  <c r="O124" i="27" a="1"/>
  <c r="O124" i="27" s="1"/>
  <c r="AB88" i="27" a="1"/>
  <c r="AB88" i="27" s="1"/>
  <c r="R78" i="27" a="1"/>
  <c r="R78" i="27" s="1"/>
  <c r="AA78" i="27" a="1"/>
  <c r="AA78" i="27" s="1"/>
  <c r="AD78" i="27" a="1"/>
  <c r="AD78" i="27" s="1"/>
  <c r="M78" i="27" a="1"/>
  <c r="M78" i="27" s="1"/>
  <c r="L73" i="27" a="1"/>
  <c r="L73" i="27" s="1"/>
  <c r="AI73" i="27" a="1"/>
  <c r="AI73" i="27" s="1"/>
  <c r="AG73" i="27" a="1"/>
  <c r="AG73" i="27" s="1"/>
  <c r="AB41" i="27" a="1"/>
  <c r="AB41" i="27" s="1"/>
  <c r="Q73" i="27" a="1"/>
  <c r="Q73" i="27" s="1"/>
  <c r="T78" i="27" a="1"/>
  <c r="T78" i="27" s="1"/>
  <c r="T73" i="27" a="1"/>
  <c r="T73" i="27" s="1"/>
  <c r="W73" i="27" a="1"/>
  <c r="W73" i="27" s="1"/>
  <c r="O41" i="27" a="1"/>
  <c r="O41" i="27" s="1"/>
  <c r="AF73" i="27" a="1"/>
  <c r="AF73" i="27" s="1"/>
  <c r="AD41" i="27" a="1"/>
  <c r="AD41" i="27" s="1"/>
  <c r="Q41" i="27" a="1"/>
  <c r="Q41" i="27" s="1"/>
  <c r="T41" i="27" a="1"/>
  <c r="T41" i="27" s="1"/>
  <c r="M57" i="27" a="1"/>
  <c r="M57" i="27" s="1"/>
  <c r="S97" i="27" a="1"/>
  <c r="S97" i="27" s="1"/>
  <c r="V84" i="27" a="1"/>
  <c r="V84" i="27" s="1"/>
  <c r="M21" i="27" a="1"/>
  <c r="M21" i="27" s="1"/>
  <c r="Q57" i="27" a="1"/>
  <c r="Q57" i="27" s="1"/>
  <c r="AF97" i="27" a="1"/>
  <c r="AF97" i="27" s="1"/>
  <c r="W97" i="27" a="1"/>
  <c r="W97" i="27" s="1"/>
  <c r="Y84" i="27" a="1"/>
  <c r="Y84" i="27" s="1"/>
  <c r="T84" i="27" a="1"/>
  <c r="T84" i="27" s="1"/>
  <c r="V57" i="27" a="1"/>
  <c r="V57" i="27" s="1"/>
  <c r="AH21" i="27" a="1"/>
  <c r="AH21" i="27" s="1"/>
  <c r="X21" i="27" a="1"/>
  <c r="X21" i="27" s="1"/>
  <c r="AI57" i="27" a="1"/>
  <c r="AI57" i="27" s="1"/>
  <c r="AI84" i="27" a="1"/>
  <c r="AI84" i="27" s="1"/>
  <c r="Y97" i="27" a="1"/>
  <c r="Y97" i="27" s="1"/>
  <c r="X97" i="27" a="1"/>
  <c r="X97" i="27" s="1"/>
  <c r="T97" i="27" a="1"/>
  <c r="T97" i="27" s="1"/>
  <c r="AD84" i="27" a="1"/>
  <c r="AD84" i="27" s="1"/>
  <c r="AC97" i="27" a="1"/>
  <c r="AC97" i="27" s="1"/>
  <c r="V33" i="27" a="1"/>
  <c r="V33" i="27" s="1"/>
  <c r="X33" i="27" a="1"/>
  <c r="X33" i="27" s="1"/>
  <c r="AC57" i="27" a="1"/>
  <c r="AC57" i="27" s="1"/>
  <c r="L33" i="27" a="1"/>
  <c r="L33" i="27" s="1"/>
  <c r="O84" i="27" a="1"/>
  <c r="O84" i="27" s="1"/>
  <c r="L97" i="27" a="1"/>
  <c r="L97" i="27" s="1"/>
  <c r="X57" i="27" a="1"/>
  <c r="X57" i="27" s="1"/>
  <c r="Y33" i="27" a="1"/>
  <c r="Y33" i="27" s="1"/>
  <c r="AF21" i="27" a="1"/>
  <c r="AF21" i="27" s="1"/>
  <c r="S84" i="27" a="1"/>
  <c r="S84" i="27" s="1"/>
  <c r="AI97" i="27" a="1"/>
  <c r="AI97" i="27" s="1"/>
  <c r="N84" i="27" a="1"/>
  <c r="N84" i="27" s="1"/>
  <c r="U88" i="27" a="1"/>
  <c r="U88" i="27" s="1"/>
  <c r="V78" i="27" a="1"/>
  <c r="V78" i="27" s="1"/>
  <c r="AH33" i="27" a="1"/>
  <c r="AH33" i="27" s="1"/>
  <c r="AE78" i="27" a="1"/>
  <c r="AE78" i="27" s="1"/>
  <c r="V109" i="27" a="1"/>
  <c r="V109" i="27" s="1"/>
  <c r="W109" i="27" a="1"/>
  <c r="W109" i="27" s="1"/>
  <c r="S109" i="27" a="1"/>
  <c r="S109" i="27" s="1"/>
  <c r="AI109" i="27" a="1"/>
  <c r="AI109" i="27" s="1"/>
  <c r="Y109" i="27" a="1"/>
  <c r="Y109" i="27" s="1"/>
  <c r="N109" i="27" a="1"/>
  <c r="N109" i="27" s="1"/>
  <c r="Z109" i="27" a="1"/>
  <c r="Z109" i="27" s="1"/>
  <c r="AG77" i="27" a="1"/>
  <c r="AG77" i="27" s="1"/>
  <c r="AA77" i="27" a="1"/>
  <c r="AA77" i="27" s="1"/>
  <c r="P77" i="27" a="1"/>
  <c r="P77" i="27" s="1"/>
  <c r="V77" i="27" a="1"/>
  <c r="V77" i="27" s="1"/>
  <c r="W77" i="27" a="1"/>
  <c r="W77" i="27" s="1"/>
  <c r="AE77" i="27" a="1"/>
  <c r="AE77" i="27" s="1"/>
  <c r="AI77" i="27" a="1"/>
  <c r="AI77" i="27" s="1"/>
  <c r="Z77" i="27" a="1"/>
  <c r="Z77" i="27" s="1"/>
  <c r="Q77" i="27" a="1"/>
  <c r="Q77" i="27" s="1"/>
  <c r="AB77" i="27" a="1"/>
  <c r="AB77" i="27" s="1"/>
  <c r="AD21" i="27" a="1"/>
  <c r="AD21" i="27" s="1"/>
  <c r="L41" i="27" a="1"/>
  <c r="L41" i="27" s="1"/>
  <c r="T57" i="27" a="1"/>
  <c r="T57" i="27" s="1"/>
  <c r="BP74" i="27"/>
  <c r="BO74" i="27"/>
  <c r="BK61" i="27"/>
  <c r="BM61" i="27" s="1"/>
  <c r="BP70" i="27"/>
  <c r="BO70" i="27"/>
  <c r="BK39" i="27"/>
  <c r="BK18" i="27"/>
  <c r="BK31" i="27"/>
  <c r="BK75" i="27"/>
  <c r="BK19" i="27"/>
  <c r="BK34" i="27"/>
  <c r="BK86" i="27"/>
  <c r="BK27" i="27"/>
  <c r="BK119" i="27"/>
  <c r="BK87" i="27"/>
  <c r="BK103" i="27"/>
  <c r="BP67" i="27"/>
  <c r="BO67" i="27"/>
  <c r="O9" i="27" a="1"/>
  <c r="O9" i="27" s="1"/>
  <c r="AE9" i="27" a="1"/>
  <c r="AE9" i="27" s="1"/>
  <c r="AH6" i="27" a="1"/>
  <c r="AH6" i="27" s="1"/>
  <c r="AG6" i="27" a="1"/>
  <c r="AG6" i="27" s="1"/>
  <c r="AF9" i="27" a="1"/>
  <c r="AF9" i="27" s="1"/>
  <c r="AF6" i="27" a="1"/>
  <c r="AF6" i="27" s="1"/>
  <c r="T6" i="27" a="1"/>
  <c r="T6" i="27" s="1"/>
  <c r="AD6" i="27" a="1"/>
  <c r="AD6" i="27" s="1"/>
  <c r="V6" i="27" a="1"/>
  <c r="V6" i="27" s="1"/>
  <c r="W6" i="27" a="1"/>
  <c r="W6" i="27" s="1"/>
  <c r="U6" i="27" a="1"/>
  <c r="U6" i="27" s="1"/>
  <c r="S6" i="27" a="1"/>
  <c r="S6" i="27" s="1"/>
  <c r="N9" i="27" a="1"/>
  <c r="N9" i="27" s="1"/>
  <c r="AD9" i="27" a="1"/>
  <c r="AD9" i="27" s="1"/>
  <c r="Q9" i="27" a="1"/>
  <c r="Q9" i="27" s="1"/>
  <c r="X9" i="27" a="1"/>
  <c r="X9" i="27" s="1"/>
  <c r="AH9" i="27" a="1"/>
  <c r="AH9" i="27" s="1"/>
  <c r="N6" i="27" a="1"/>
  <c r="N6" i="27" s="1"/>
  <c r="AE6" i="27" a="1"/>
  <c r="AE6" i="27" s="1"/>
  <c r="P6" i="27" a="1"/>
  <c r="P6" i="27" s="1"/>
  <c r="AA9" i="27" a="1"/>
  <c r="AA9" i="27" s="1"/>
  <c r="P9" i="27" a="1"/>
  <c r="P9" i="27" s="1"/>
  <c r="AG9" i="27" a="1"/>
  <c r="AG9" i="27" s="1"/>
  <c r="S9" i="27" a="1"/>
  <c r="S9" i="27" s="1"/>
  <c r="Z9" i="27" a="1"/>
  <c r="Z9" i="27" s="1"/>
  <c r="Z6" i="27" a="1"/>
  <c r="Z6" i="27" s="1"/>
  <c r="AA6" i="27" a="1"/>
  <c r="AA6" i="27" s="1"/>
  <c r="AI6" i="27" a="1"/>
  <c r="AI6" i="27" s="1"/>
  <c r="X6" i="27" a="1"/>
  <c r="X6" i="27" s="1"/>
  <c r="R6" i="27" a="1"/>
  <c r="R6" i="27" s="1"/>
  <c r="AB6" i="27" a="1"/>
  <c r="AB6" i="27" s="1"/>
  <c r="Q6" i="27" a="1"/>
  <c r="Q6" i="27" s="1"/>
  <c r="Y6" i="27" a="1"/>
  <c r="Y6" i="27" s="1"/>
  <c r="O6" i="27" a="1"/>
  <c r="O6" i="27" s="1"/>
  <c r="AC6" i="27" a="1"/>
  <c r="AC6" i="27" s="1"/>
  <c r="AI9" i="27" a="1"/>
  <c r="AI9" i="27" s="1"/>
  <c r="R9" i="27" a="1"/>
  <c r="R9" i="27" s="1"/>
  <c r="AB9" i="27" a="1"/>
  <c r="AB9" i="27" s="1"/>
  <c r="AC9" i="27" a="1"/>
  <c r="AC9" i="27" s="1"/>
  <c r="T9" i="27" a="1"/>
  <c r="T9" i="27" s="1"/>
  <c r="Y9" i="27" a="1"/>
  <c r="Y9" i="27" s="1"/>
  <c r="U9" i="27" a="1"/>
  <c r="U9" i="27" s="1"/>
  <c r="W9" i="27" a="1"/>
  <c r="W9" i="27" s="1"/>
  <c r="V9" i="27" a="1"/>
  <c r="V9" i="27" s="1"/>
  <c r="M9" i="27" a="1"/>
  <c r="M9" i="27" s="1"/>
  <c r="BK7" i="27"/>
  <c r="L9" i="27" a="1"/>
  <c r="L9" i="27" s="1"/>
  <c r="M6" i="27" a="1"/>
  <c r="M6" i="27" s="1"/>
  <c r="L6" i="27" a="1"/>
  <c r="L6" i="27" s="1"/>
  <c r="J41" i="31" l="1"/>
  <c r="M41" i="31" s="1"/>
  <c r="O41" i="31" s="1"/>
  <c r="J117" i="31"/>
  <c r="M117" i="31" s="1"/>
  <c r="O117" i="31" s="1"/>
  <c r="J121" i="31"/>
  <c r="M121" i="31" s="1"/>
  <c r="O121" i="31" s="1"/>
  <c r="J84" i="31"/>
  <c r="M84" i="31" s="1"/>
  <c r="O84" i="31" s="1"/>
  <c r="J106" i="31"/>
  <c r="M106" i="31" s="1"/>
  <c r="O106" i="31" s="1"/>
  <c r="J134" i="31"/>
  <c r="M134" i="31" s="1"/>
  <c r="O134" i="31" s="1"/>
  <c r="BP44" i="27"/>
  <c r="O59" i="12"/>
  <c r="AB59" i="12" s="1"/>
  <c r="O42" i="12"/>
  <c r="AB42" i="12" s="1"/>
  <c r="O42" i="30"/>
  <c r="AB42" i="30" s="1"/>
  <c r="O59" i="30"/>
  <c r="AB59" i="30" s="1"/>
  <c r="O79" i="12"/>
  <c r="AB79" i="12" s="1"/>
  <c r="G19" i="12"/>
  <c r="G19" i="30"/>
  <c r="G64" i="12"/>
  <c r="G64" i="30"/>
  <c r="G63" i="12"/>
  <c r="G63" i="30"/>
  <c r="G135" i="30"/>
  <c r="G135" i="12"/>
  <c r="G103" i="30"/>
  <c r="G103" i="12"/>
  <c r="G130" i="12"/>
  <c r="G130" i="30"/>
  <c r="G44" i="12"/>
  <c r="G44" i="30"/>
  <c r="G8" i="30"/>
  <c r="G8" i="12"/>
  <c r="G112" i="30"/>
  <c r="G112" i="12"/>
  <c r="G119" i="12"/>
  <c r="G119" i="30"/>
  <c r="G126" i="30"/>
  <c r="G126" i="12"/>
  <c r="G137" i="30"/>
  <c r="G137" i="12"/>
  <c r="G27" i="12"/>
  <c r="G27" i="30"/>
  <c r="G14" i="30"/>
  <c r="G14" i="12"/>
  <c r="G136" i="12"/>
  <c r="G136" i="30"/>
  <c r="G7" i="12"/>
  <c r="G7" i="30"/>
  <c r="G66" i="12"/>
  <c r="G66" i="30"/>
  <c r="G90" i="12"/>
  <c r="G90" i="30"/>
  <c r="G114" i="12"/>
  <c r="G114" i="30"/>
  <c r="G46" i="12"/>
  <c r="G46" i="30"/>
  <c r="G12" i="30"/>
  <c r="G12" i="12"/>
  <c r="G30" i="30"/>
  <c r="G30" i="12"/>
  <c r="G10" i="12"/>
  <c r="G10" i="30"/>
  <c r="G123" i="12"/>
  <c r="G123" i="30"/>
  <c r="G56" i="12"/>
  <c r="G56" i="30"/>
  <c r="G23" i="12"/>
  <c r="G23" i="30"/>
  <c r="G115" i="30"/>
  <c r="G115" i="12"/>
  <c r="G62" i="30"/>
  <c r="G62" i="12"/>
  <c r="G95" i="12"/>
  <c r="G95" i="30"/>
  <c r="G120" i="30"/>
  <c r="G120" i="12"/>
  <c r="G70" i="12"/>
  <c r="G70" i="30"/>
  <c r="G51" i="12"/>
  <c r="G51" i="30"/>
  <c r="G127" i="12"/>
  <c r="G127" i="30"/>
  <c r="G98" i="12"/>
  <c r="G98" i="30"/>
  <c r="G131" i="30"/>
  <c r="G131" i="12"/>
  <c r="G132" i="12"/>
  <c r="G132" i="30"/>
  <c r="G11" i="30"/>
  <c r="G11" i="12"/>
  <c r="G58" i="30"/>
  <c r="G58" i="12"/>
  <c r="G18" i="30"/>
  <c r="G18" i="12"/>
  <c r="G116" i="30"/>
  <c r="G116" i="12"/>
  <c r="G87" i="30"/>
  <c r="G87" i="12"/>
  <c r="G38" i="30"/>
  <c r="G38" i="12"/>
  <c r="G108" i="12"/>
  <c r="G108" i="30"/>
  <c r="G110" i="12"/>
  <c r="G110" i="30"/>
  <c r="G24" i="30"/>
  <c r="G24" i="12"/>
  <c r="G80" i="30"/>
  <c r="G80" i="12"/>
  <c r="G76" i="12"/>
  <c r="G76" i="30"/>
  <c r="G128" i="12"/>
  <c r="G128" i="30"/>
  <c r="G100" i="30"/>
  <c r="G100" i="12"/>
  <c r="G75" i="12"/>
  <c r="G75" i="30"/>
  <c r="G104" i="12"/>
  <c r="G104" i="30"/>
  <c r="G47" i="12"/>
  <c r="G47" i="30"/>
  <c r="G92" i="12"/>
  <c r="G92" i="30"/>
  <c r="G118" i="12"/>
  <c r="G118" i="30"/>
  <c r="G15" i="12"/>
  <c r="G15" i="30"/>
  <c r="G31" i="12"/>
  <c r="G31" i="30"/>
  <c r="G20" i="30"/>
  <c r="G20" i="12"/>
  <c r="G78" i="30"/>
  <c r="G78" i="12"/>
  <c r="G71" i="30"/>
  <c r="G71" i="12"/>
  <c r="G86" i="12"/>
  <c r="G86" i="30"/>
  <c r="G55" i="12"/>
  <c r="G55" i="30"/>
  <c r="G82" i="12"/>
  <c r="G82" i="30"/>
  <c r="G40" i="30"/>
  <c r="G40" i="12"/>
  <c r="G96" i="30"/>
  <c r="G96" i="12"/>
  <c r="G34" i="30"/>
  <c r="G34" i="12"/>
  <c r="G122" i="30"/>
  <c r="G122" i="12"/>
  <c r="G39" i="12"/>
  <c r="G39" i="30"/>
  <c r="G88" i="12"/>
  <c r="G88" i="30"/>
  <c r="G67" i="12"/>
  <c r="G67" i="30"/>
  <c r="G22" i="30"/>
  <c r="G22" i="12"/>
  <c r="G91" i="30"/>
  <c r="G91" i="12"/>
  <c r="G124" i="30"/>
  <c r="G124" i="12"/>
  <c r="G54" i="30"/>
  <c r="G54" i="12"/>
  <c r="G74" i="30"/>
  <c r="G74" i="12"/>
  <c r="G26" i="30"/>
  <c r="G26" i="12"/>
  <c r="G111" i="12"/>
  <c r="G111" i="30"/>
  <c r="F80" i="12"/>
  <c r="F80" i="30"/>
  <c r="F11" i="30"/>
  <c r="F11" i="12"/>
  <c r="F44" i="12"/>
  <c r="F44" i="30"/>
  <c r="F90" i="12"/>
  <c r="F90" i="30"/>
  <c r="F118" i="12"/>
  <c r="F118" i="30"/>
  <c r="F51" i="12"/>
  <c r="F51" i="30"/>
  <c r="BK6" i="27"/>
  <c r="BH6" i="27" s="1"/>
  <c r="F133" i="30"/>
  <c r="F133" i="12"/>
  <c r="N133" i="30"/>
  <c r="N133" i="12"/>
  <c r="F107" i="12"/>
  <c r="M107" i="12" s="1"/>
  <c r="N107" i="12"/>
  <c r="N107" i="30"/>
  <c r="F107" i="30"/>
  <c r="M107" i="30" s="1"/>
  <c r="F78" i="12"/>
  <c r="F78" i="30"/>
  <c r="F95" i="12"/>
  <c r="F95" i="30"/>
  <c r="O79" i="30"/>
  <c r="AB79" i="30" s="1"/>
  <c r="G31" i="31"/>
  <c r="J31" i="31" s="1"/>
  <c r="G20" i="31"/>
  <c r="J20" i="31" s="1"/>
  <c r="G78" i="31"/>
  <c r="J78" i="31" s="1"/>
  <c r="G71" i="31"/>
  <c r="J71" i="31" s="1"/>
  <c r="G47" i="31"/>
  <c r="J47" i="31" s="1"/>
  <c r="G92" i="31"/>
  <c r="J92" i="31" s="1"/>
  <c r="G118" i="31"/>
  <c r="J118" i="31" s="1"/>
  <c r="G15" i="31"/>
  <c r="J15" i="31" s="1"/>
  <c r="G8" i="31"/>
  <c r="J8" i="31" s="1"/>
  <c r="G112" i="31"/>
  <c r="J112" i="31" s="1"/>
  <c r="G119" i="31"/>
  <c r="G126" i="31"/>
  <c r="J126" i="31" s="1"/>
  <c r="G137" i="31"/>
  <c r="J137" i="31" s="1"/>
  <c r="G27" i="31"/>
  <c r="J27" i="31" s="1"/>
  <c r="G14" i="31"/>
  <c r="J14" i="31" s="1"/>
  <c r="G136" i="31"/>
  <c r="G7" i="31"/>
  <c r="J7" i="31" s="1"/>
  <c r="G66" i="31"/>
  <c r="J66" i="31" s="1"/>
  <c r="G90" i="31"/>
  <c r="J90" i="31" s="1"/>
  <c r="G114" i="31"/>
  <c r="G46" i="31"/>
  <c r="J46" i="31" s="1"/>
  <c r="G12" i="31"/>
  <c r="G30" i="31"/>
  <c r="J30" i="31" s="1"/>
  <c r="G10" i="31"/>
  <c r="J10" i="31" s="1"/>
  <c r="M36" i="31"/>
  <c r="O36" i="31" s="1"/>
  <c r="M101" i="31"/>
  <c r="O101" i="31" s="1"/>
  <c r="M125" i="31"/>
  <c r="O125" i="31" s="1"/>
  <c r="M105" i="31"/>
  <c r="O105" i="31" s="1"/>
  <c r="M37" i="31"/>
  <c r="O37" i="31" s="1"/>
  <c r="M25" i="31"/>
  <c r="O25" i="31" s="1"/>
  <c r="G64" i="31"/>
  <c r="J64" i="31" s="1"/>
  <c r="G63" i="31"/>
  <c r="J63" i="31" s="1"/>
  <c r="G86" i="31"/>
  <c r="G55" i="31"/>
  <c r="J55" i="31" s="1"/>
  <c r="G82" i="31"/>
  <c r="J82" i="31" s="1"/>
  <c r="G40" i="31"/>
  <c r="G95" i="31"/>
  <c r="J95" i="31" s="1"/>
  <c r="G120" i="31"/>
  <c r="J120" i="31" s="1"/>
  <c r="G70" i="31"/>
  <c r="J70" i="31" s="1"/>
  <c r="G51" i="31"/>
  <c r="J51" i="31" s="1"/>
  <c r="G127" i="31"/>
  <c r="G98" i="31"/>
  <c r="J98" i="31" s="1"/>
  <c r="G131" i="31"/>
  <c r="G132" i="31"/>
  <c r="J132" i="31" s="1"/>
  <c r="G11" i="31"/>
  <c r="J11" i="31" s="1"/>
  <c r="G58" i="31"/>
  <c r="J58" i="31" s="1"/>
  <c r="M45" i="31"/>
  <c r="O45" i="31" s="1"/>
  <c r="M28" i="31"/>
  <c r="O28" i="31" s="1"/>
  <c r="M49" i="31"/>
  <c r="O49" i="31" s="1"/>
  <c r="M17" i="31"/>
  <c r="O17" i="31" s="1"/>
  <c r="M83" i="31"/>
  <c r="O83" i="31" s="1"/>
  <c r="M32" i="31"/>
  <c r="O32" i="31" s="1"/>
  <c r="M13" i="31"/>
  <c r="O13" i="31" s="1"/>
  <c r="M33" i="31"/>
  <c r="O33" i="31" s="1"/>
  <c r="M60" i="31"/>
  <c r="O60" i="31" s="1"/>
  <c r="M21" i="31"/>
  <c r="O21" i="31" s="1"/>
  <c r="M77" i="31"/>
  <c r="O77" i="31" s="1"/>
  <c r="G23" i="31"/>
  <c r="J23" i="31" s="1"/>
  <c r="G103" i="31"/>
  <c r="J103" i="31" s="1"/>
  <c r="G130" i="31"/>
  <c r="J130" i="31" s="1"/>
  <c r="G44" i="31"/>
  <c r="J44" i="31" s="1"/>
  <c r="G116" i="31"/>
  <c r="J116" i="31" s="1"/>
  <c r="G87" i="31"/>
  <c r="J87" i="31" s="1"/>
  <c r="G38" i="31"/>
  <c r="J38" i="31" s="1"/>
  <c r="G108" i="31"/>
  <c r="J108" i="31" s="1"/>
  <c r="G110" i="31"/>
  <c r="J110" i="31" s="1"/>
  <c r="G24" i="31"/>
  <c r="J24" i="31" s="1"/>
  <c r="G80" i="31"/>
  <c r="J80" i="31" s="1"/>
  <c r="G76" i="31"/>
  <c r="G128" i="31"/>
  <c r="J128" i="31" s="1"/>
  <c r="G100" i="31"/>
  <c r="J100" i="31" s="1"/>
  <c r="M35" i="31"/>
  <c r="O35" i="31" s="1"/>
  <c r="M89" i="31"/>
  <c r="O89" i="31" s="1"/>
  <c r="M5" i="31"/>
  <c r="O5" i="31" s="1"/>
  <c r="M29" i="31"/>
  <c r="O29" i="31" s="1"/>
  <c r="G19" i="31"/>
  <c r="J19" i="31" s="1"/>
  <c r="G135" i="31"/>
  <c r="J135" i="31" s="1"/>
  <c r="G56" i="31"/>
  <c r="J56" i="31" s="1"/>
  <c r="G75" i="31"/>
  <c r="J75" i="31" s="1"/>
  <c r="G18" i="31"/>
  <c r="J18" i="31" s="1"/>
  <c r="G123" i="31"/>
  <c r="G104" i="31"/>
  <c r="J104" i="31" s="1"/>
  <c r="G115" i="31"/>
  <c r="G62" i="31"/>
  <c r="J62" i="31" s="1"/>
  <c r="G96" i="31"/>
  <c r="J96" i="31" s="1"/>
  <c r="G34" i="31"/>
  <c r="J34" i="31" s="1"/>
  <c r="G122" i="31"/>
  <c r="J122" i="31" s="1"/>
  <c r="G39" i="31"/>
  <c r="J39" i="31" s="1"/>
  <c r="G88" i="31"/>
  <c r="J88" i="31" s="1"/>
  <c r="G67" i="31"/>
  <c r="J67" i="31" s="1"/>
  <c r="G22" i="31"/>
  <c r="J22" i="31" s="1"/>
  <c r="G91" i="31"/>
  <c r="J91" i="31" s="1"/>
  <c r="G124" i="31"/>
  <c r="J124" i="31" s="1"/>
  <c r="G54" i="31"/>
  <c r="J54" i="31" s="1"/>
  <c r="G74" i="31"/>
  <c r="G26" i="31"/>
  <c r="J26" i="31" s="1"/>
  <c r="G111" i="31"/>
  <c r="M48" i="31"/>
  <c r="O48" i="31" s="1"/>
  <c r="M85" i="31"/>
  <c r="O85" i="31" s="1"/>
  <c r="M69" i="31"/>
  <c r="O69" i="31" s="1"/>
  <c r="M16" i="31"/>
  <c r="O16" i="31" s="1"/>
  <c r="M73" i="31"/>
  <c r="O73" i="31" s="1"/>
  <c r="M81" i="31"/>
  <c r="O81" i="31" s="1"/>
  <c r="L140" i="27" a="1"/>
  <c r="L140" i="27" s="1"/>
  <c r="AD140" i="27" a="1"/>
  <c r="AD140" i="27" s="1"/>
  <c r="AG140" i="27" a="1"/>
  <c r="AG140" i="27" s="1"/>
  <c r="W140" i="27" a="1"/>
  <c r="W140" i="27" s="1"/>
  <c r="BH27" i="27"/>
  <c r="BM27" i="27"/>
  <c r="BH75" i="27"/>
  <c r="BM75" i="27"/>
  <c r="BK73" i="27"/>
  <c r="BH71" i="27"/>
  <c r="BM71" i="27"/>
  <c r="BH51" i="27"/>
  <c r="BM51" i="27"/>
  <c r="BH79" i="27"/>
  <c r="BM79" i="27"/>
  <c r="BP104" i="27"/>
  <c r="BO104" i="27"/>
  <c r="BH108" i="27"/>
  <c r="BM108" i="27"/>
  <c r="BP131" i="27"/>
  <c r="BO131" i="27"/>
  <c r="BP135" i="27"/>
  <c r="BO135" i="27"/>
  <c r="BH35" i="27"/>
  <c r="BM35" i="27"/>
  <c r="BH107" i="27"/>
  <c r="BM107" i="27"/>
  <c r="BH85" i="27"/>
  <c r="BM85" i="27"/>
  <c r="BH83" i="27"/>
  <c r="BM83" i="27"/>
  <c r="BK109" i="27"/>
  <c r="BM109" i="27" s="1"/>
  <c r="BQ109" i="27" s="1"/>
  <c r="BK117" i="27"/>
  <c r="BK56" i="27"/>
  <c r="BK116" i="27"/>
  <c r="BK106" i="27"/>
  <c r="BK60" i="27"/>
  <c r="BK49" i="27"/>
  <c r="BK120" i="27"/>
  <c r="BM120" i="27" s="1"/>
  <c r="BK133" i="27"/>
  <c r="BK12" i="27"/>
  <c r="BK90" i="27"/>
  <c r="BK93" i="27"/>
  <c r="BK24" i="27"/>
  <c r="BK58" i="27"/>
  <c r="BK102" i="27"/>
  <c r="BK46" i="27"/>
  <c r="BM46" i="27" s="1"/>
  <c r="BK129" i="27"/>
  <c r="BK25" i="27"/>
  <c r="BK98" i="27"/>
  <c r="BK110" i="27"/>
  <c r="BK68" i="27"/>
  <c r="BK126" i="27"/>
  <c r="BK100" i="27"/>
  <c r="BK92" i="27"/>
  <c r="BM92" i="27" s="1"/>
  <c r="BK17" i="27"/>
  <c r="BK114" i="27"/>
  <c r="BK76" i="27"/>
  <c r="BK130" i="27"/>
  <c r="BK118" i="27"/>
  <c r="BK132" i="27"/>
  <c r="BK28" i="27"/>
  <c r="BK22" i="27"/>
  <c r="BK10" i="27"/>
  <c r="BK48" i="27"/>
  <c r="BK138" i="27"/>
  <c r="BK139" i="27"/>
  <c r="BK26" i="27"/>
  <c r="Z140" i="27" a="1"/>
  <c r="Z140" i="27" s="1"/>
  <c r="AC140" i="27" a="1"/>
  <c r="AC140" i="27" s="1"/>
  <c r="AB140" i="27" a="1"/>
  <c r="AB140" i="27" s="1"/>
  <c r="T140" i="27" a="1"/>
  <c r="T140" i="27" s="1"/>
  <c r="AE140" i="27" a="1"/>
  <c r="AE140" i="27" s="1"/>
  <c r="AI140" i="27" a="1"/>
  <c r="AI140" i="27" s="1"/>
  <c r="Y140" i="27" a="1"/>
  <c r="Y140" i="27" s="1"/>
  <c r="U140" i="27" a="1"/>
  <c r="U140" i="27" s="1"/>
  <c r="BH103" i="27"/>
  <c r="BM103" i="27"/>
  <c r="BH86" i="27"/>
  <c r="BM86" i="27"/>
  <c r="BH31" i="27"/>
  <c r="BM31" i="27"/>
  <c r="BH47" i="27"/>
  <c r="BM47" i="27"/>
  <c r="BP55" i="27"/>
  <c r="BO55" i="27"/>
  <c r="BK57" i="27"/>
  <c r="BH15" i="27"/>
  <c r="BM15" i="27"/>
  <c r="BH136" i="27"/>
  <c r="BM136" i="27"/>
  <c r="BH50" i="27"/>
  <c r="BM50" i="27"/>
  <c r="BH30" i="27"/>
  <c r="BM30" i="27"/>
  <c r="BK88" i="27"/>
  <c r="BK20" i="27"/>
  <c r="BK40" i="27"/>
  <c r="BH38" i="27"/>
  <c r="BM38" i="27"/>
  <c r="N140" i="27" a="1"/>
  <c r="N140" i="27" s="1"/>
  <c r="Q140" i="27" a="1"/>
  <c r="Q140" i="27" s="1"/>
  <c r="O140" i="27" a="1"/>
  <c r="O140" i="27" s="1"/>
  <c r="BH87" i="27"/>
  <c r="BM87" i="27"/>
  <c r="BH34" i="27"/>
  <c r="BM34" i="27"/>
  <c r="BH18" i="27"/>
  <c r="BM18" i="27"/>
  <c r="BK41" i="27"/>
  <c r="BK97" i="27"/>
  <c r="BM97" i="27" s="1"/>
  <c r="BK33" i="27"/>
  <c r="BK124" i="27"/>
  <c r="BK66" i="27"/>
  <c r="BH37" i="27"/>
  <c r="BM37" i="27"/>
  <c r="BP81" i="27"/>
  <c r="BO81" i="27"/>
  <c r="BH62" i="27"/>
  <c r="BM62" i="27"/>
  <c r="BH123" i="27"/>
  <c r="BM123" i="27"/>
  <c r="BH91" i="27"/>
  <c r="BM91" i="27"/>
  <c r="BK77" i="27"/>
  <c r="BK80" i="27"/>
  <c r="BM80" i="27" s="1"/>
  <c r="BK69" i="27"/>
  <c r="BK112" i="27"/>
  <c r="BK64" i="27"/>
  <c r="BK113" i="27"/>
  <c r="BK94" i="27"/>
  <c r="BK82" i="27"/>
  <c r="BM82" i="27" s="1"/>
  <c r="BK14" i="27"/>
  <c r="BK125" i="27"/>
  <c r="BK13" i="27"/>
  <c r="BM13" i="27" s="1"/>
  <c r="BK65" i="27"/>
  <c r="BK42" i="27"/>
  <c r="BK36" i="27"/>
  <c r="BK137" i="27"/>
  <c r="BK128" i="27"/>
  <c r="BK29" i="27"/>
  <c r="BK134" i="27"/>
  <c r="BK53" i="27"/>
  <c r="BM53" i="27" s="1"/>
  <c r="BK32" i="27"/>
  <c r="BK16" i="27"/>
  <c r="BK89" i="27"/>
  <c r="BK105" i="27"/>
  <c r="BK122" i="27"/>
  <c r="P140" i="27" a="1"/>
  <c r="P140" i="27" s="1"/>
  <c r="V140" i="27" a="1"/>
  <c r="V140" i="27" s="1"/>
  <c r="R140" i="27" a="1"/>
  <c r="R140" i="27" s="1"/>
  <c r="AH140" i="27" a="1"/>
  <c r="AH140" i="27" s="1"/>
  <c r="X140" i="27" a="1"/>
  <c r="X140" i="27" s="1"/>
  <c r="AF140" i="27" a="1"/>
  <c r="AF140" i="27" s="1"/>
  <c r="M140" i="27" a="1"/>
  <c r="M140" i="27" s="1"/>
  <c r="AA140" i="27" a="1"/>
  <c r="AA140" i="27" s="1"/>
  <c r="S140" i="27" a="1"/>
  <c r="S140" i="27" s="1"/>
  <c r="BH119" i="27"/>
  <c r="BM119" i="27"/>
  <c r="BH19" i="27"/>
  <c r="BM19" i="27"/>
  <c r="BH39" i="27"/>
  <c r="BM39" i="27"/>
  <c r="BP61" i="27"/>
  <c r="BO61" i="27"/>
  <c r="BO52" i="27"/>
  <c r="BP52" i="27"/>
  <c r="BK84" i="27"/>
  <c r="BH127" i="27"/>
  <c r="BM127" i="27"/>
  <c r="BH43" i="27"/>
  <c r="BM43" i="27"/>
  <c r="BK21" i="27"/>
  <c r="BK78" i="27"/>
  <c r="BK72" i="27"/>
  <c r="BK121" i="27"/>
  <c r="BH23" i="27"/>
  <c r="BM23" i="27"/>
  <c r="BO63" i="27"/>
  <c r="BP63" i="27"/>
  <c r="BO11" i="27"/>
  <c r="BP11" i="27"/>
  <c r="BO95" i="27"/>
  <c r="BP95" i="27"/>
  <c r="BH7" i="27"/>
  <c r="BM7" i="27"/>
  <c r="BK9" i="27"/>
  <c r="J111" i="31" l="1"/>
  <c r="M111" i="31" s="1"/>
  <c r="O111" i="31" s="1"/>
  <c r="J123" i="31"/>
  <c r="M123" i="31" s="1"/>
  <c r="O123" i="31" s="1"/>
  <c r="J76" i="31"/>
  <c r="M76" i="31" s="1"/>
  <c r="O76" i="31" s="1"/>
  <c r="J127" i="31"/>
  <c r="M127" i="31" s="1"/>
  <c r="O127" i="31" s="1"/>
  <c r="J86" i="31"/>
  <c r="M86" i="31" s="1"/>
  <c r="O86" i="31" s="1"/>
  <c r="J40" i="31"/>
  <c r="M40" i="31" s="1"/>
  <c r="O40" i="31" s="1"/>
  <c r="J114" i="31"/>
  <c r="M114" i="31" s="1"/>
  <c r="O114" i="31" s="1"/>
  <c r="J136" i="31"/>
  <c r="M136" i="31" s="1"/>
  <c r="O136" i="31" s="1"/>
  <c r="J74" i="31"/>
  <c r="M74" i="31" s="1"/>
  <c r="O74" i="31" s="1"/>
  <c r="J115" i="31"/>
  <c r="M115" i="31" s="1"/>
  <c r="O115" i="31" s="1"/>
  <c r="J131" i="31"/>
  <c r="M131" i="31" s="1"/>
  <c r="O131" i="31" s="1"/>
  <c r="J119" i="31"/>
  <c r="M119" i="31" s="1"/>
  <c r="O119" i="31" s="1"/>
  <c r="J12" i="31"/>
  <c r="M12" i="31" s="1"/>
  <c r="O12" i="31" s="1"/>
  <c r="Y133" i="31"/>
  <c r="AA133" i="31" s="1"/>
  <c r="AB133" i="31" s="1"/>
  <c r="Y133" i="30"/>
  <c r="AA133" i="30" s="1"/>
  <c r="V133" i="12"/>
  <c r="Y133" i="12" s="1"/>
  <c r="BR52" i="27"/>
  <c r="G138" i="12"/>
  <c r="G138" i="30"/>
  <c r="N37" i="12"/>
  <c r="F37" i="12"/>
  <c r="N37" i="30"/>
  <c r="F37" i="30"/>
  <c r="N117" i="12"/>
  <c r="F117" i="12"/>
  <c r="F117" i="30"/>
  <c r="N117" i="30"/>
  <c r="N73" i="30"/>
  <c r="N73" i="12"/>
  <c r="F73" i="12"/>
  <c r="F73" i="30"/>
  <c r="N121" i="30"/>
  <c r="F121" i="12"/>
  <c r="N121" i="12"/>
  <c r="F121" i="30"/>
  <c r="F32" i="12"/>
  <c r="F32" i="30"/>
  <c r="N32" i="30"/>
  <c r="N32" i="12"/>
  <c r="N134" i="30"/>
  <c r="F134" i="12"/>
  <c r="N134" i="12"/>
  <c r="F134" i="30"/>
  <c r="N81" i="30"/>
  <c r="N81" i="12"/>
  <c r="F81" i="12"/>
  <c r="F81" i="30"/>
  <c r="F106" i="30"/>
  <c r="N106" i="30"/>
  <c r="N106" i="12"/>
  <c r="F106" i="12"/>
  <c r="BR63" i="27"/>
  <c r="N17" i="12"/>
  <c r="F17" i="12"/>
  <c r="N17" i="30"/>
  <c r="F17" i="30"/>
  <c r="F29" i="30"/>
  <c r="N29" i="12"/>
  <c r="N29" i="30"/>
  <c r="F29" i="12"/>
  <c r="F25" i="12"/>
  <c r="N25" i="12"/>
  <c r="N25" i="30"/>
  <c r="F25" i="30"/>
  <c r="F21" i="30"/>
  <c r="N21" i="12"/>
  <c r="F21" i="12"/>
  <c r="N21" i="30"/>
  <c r="F45" i="30"/>
  <c r="F45" i="12"/>
  <c r="N45" i="12"/>
  <c r="N45" i="30"/>
  <c r="N84" i="30"/>
  <c r="N84" i="12"/>
  <c r="F84" i="12"/>
  <c r="F84" i="30"/>
  <c r="N125" i="30"/>
  <c r="F125" i="12"/>
  <c r="N125" i="12"/>
  <c r="F125" i="30"/>
  <c r="N28" i="30"/>
  <c r="F28" i="30"/>
  <c r="N28" i="12"/>
  <c r="F28" i="12"/>
  <c r="N105" i="30"/>
  <c r="N105" i="12"/>
  <c r="F105" i="12"/>
  <c r="F105" i="30"/>
  <c r="N77" i="30"/>
  <c r="N77" i="12"/>
  <c r="F77" i="12"/>
  <c r="F77" i="30"/>
  <c r="BR95" i="27"/>
  <c r="N101" i="30"/>
  <c r="F101" i="12"/>
  <c r="N101" i="12"/>
  <c r="F101" i="30"/>
  <c r="N41" i="30"/>
  <c r="F41" i="30"/>
  <c r="N41" i="12"/>
  <c r="F41" i="12"/>
  <c r="N89" i="30"/>
  <c r="N89" i="12"/>
  <c r="F89" i="12"/>
  <c r="F89" i="30"/>
  <c r="F60" i="30"/>
  <c r="F60" i="12"/>
  <c r="N60" i="12"/>
  <c r="N60" i="30"/>
  <c r="F35" i="30"/>
  <c r="F35" i="12"/>
  <c r="N35" i="12"/>
  <c r="N35" i="30"/>
  <c r="N16" i="30"/>
  <c r="F16" i="30"/>
  <c r="N16" i="12"/>
  <c r="F16" i="12"/>
  <c r="N85" i="30"/>
  <c r="N85" i="12"/>
  <c r="F85" i="12"/>
  <c r="F85" i="30"/>
  <c r="F48" i="30"/>
  <c r="N48" i="12"/>
  <c r="F48" i="12"/>
  <c r="N48" i="30"/>
  <c r="F13" i="30"/>
  <c r="N13" i="12"/>
  <c r="F13" i="12"/>
  <c r="N13" i="30"/>
  <c r="N83" i="30"/>
  <c r="F83" i="12"/>
  <c r="N83" i="12"/>
  <c r="F83" i="30"/>
  <c r="F33" i="30"/>
  <c r="N33" i="12"/>
  <c r="F33" i="12"/>
  <c r="N33" i="30"/>
  <c r="F49" i="30"/>
  <c r="F49" i="12"/>
  <c r="N49" i="12"/>
  <c r="N49" i="30"/>
  <c r="O107" i="12"/>
  <c r="F5" i="30"/>
  <c r="N5" i="12"/>
  <c r="F5" i="12"/>
  <c r="N5" i="30"/>
  <c r="N36" i="12"/>
  <c r="F36" i="12"/>
  <c r="N36" i="30"/>
  <c r="F36" i="30"/>
  <c r="F69" i="30"/>
  <c r="F69" i="12"/>
  <c r="N69" i="30"/>
  <c r="N69" i="12"/>
  <c r="O107" i="30"/>
  <c r="AB107" i="30" s="1"/>
  <c r="M26" i="31"/>
  <c r="O26" i="31" s="1"/>
  <c r="M54" i="31"/>
  <c r="O54" i="31" s="1"/>
  <c r="M91" i="31"/>
  <c r="O91" i="31" s="1"/>
  <c r="M67" i="31"/>
  <c r="O67" i="31" s="1"/>
  <c r="M39" i="31"/>
  <c r="O39" i="31" s="1"/>
  <c r="M34" i="31"/>
  <c r="O34" i="31" s="1"/>
  <c r="M62" i="31"/>
  <c r="O62" i="31" s="1"/>
  <c r="M104" i="31"/>
  <c r="O104" i="31" s="1"/>
  <c r="M18" i="31"/>
  <c r="O18" i="31" s="1"/>
  <c r="G138" i="31"/>
  <c r="M19" i="31"/>
  <c r="O19" i="31" s="1"/>
  <c r="M128" i="31"/>
  <c r="O128" i="31" s="1"/>
  <c r="M110" i="31"/>
  <c r="O110" i="31" s="1"/>
  <c r="M38" i="31"/>
  <c r="O38" i="31" s="1"/>
  <c r="M116" i="31"/>
  <c r="O116" i="31" s="1"/>
  <c r="M130" i="31"/>
  <c r="O130" i="31" s="1"/>
  <c r="M23" i="31"/>
  <c r="O23" i="31" s="1"/>
  <c r="M58" i="31"/>
  <c r="O58" i="31" s="1"/>
  <c r="M132" i="31"/>
  <c r="O132" i="31" s="1"/>
  <c r="M98" i="31"/>
  <c r="O98" i="31" s="1"/>
  <c r="M120" i="31"/>
  <c r="O120" i="31" s="1"/>
  <c r="M55" i="31"/>
  <c r="O55" i="31" s="1"/>
  <c r="M63" i="31"/>
  <c r="O63" i="31" s="1"/>
  <c r="M30" i="31"/>
  <c r="O30" i="31" s="1"/>
  <c r="M46" i="31"/>
  <c r="O46" i="31" s="1"/>
  <c r="M7" i="31"/>
  <c r="O7" i="31" s="1"/>
  <c r="M14" i="31"/>
  <c r="O14" i="31" s="1"/>
  <c r="M137" i="31"/>
  <c r="O137" i="31" s="1"/>
  <c r="M8" i="31"/>
  <c r="O8" i="31" s="1"/>
  <c r="M47" i="31"/>
  <c r="O47" i="31" s="1"/>
  <c r="M31" i="31"/>
  <c r="O31" i="31" s="1"/>
  <c r="M124" i="31"/>
  <c r="O124" i="31" s="1"/>
  <c r="M22" i="31"/>
  <c r="O22" i="31" s="1"/>
  <c r="M88" i="31"/>
  <c r="O88" i="31" s="1"/>
  <c r="M122" i="31"/>
  <c r="O122" i="31" s="1"/>
  <c r="M96" i="31"/>
  <c r="O96" i="31" s="1"/>
  <c r="M75" i="31"/>
  <c r="O75" i="31" s="1"/>
  <c r="M56" i="31"/>
  <c r="O56" i="31" s="1"/>
  <c r="G4" i="31"/>
  <c r="J4" i="31" s="1"/>
  <c r="G4" i="30"/>
  <c r="M135" i="31"/>
  <c r="O135" i="31" s="1"/>
  <c r="M100" i="31"/>
  <c r="O100" i="31" s="1"/>
  <c r="M24" i="31"/>
  <c r="O24" i="31" s="1"/>
  <c r="M108" i="31"/>
  <c r="O108" i="31" s="1"/>
  <c r="M87" i="31"/>
  <c r="O87" i="31" s="1"/>
  <c r="M103" i="31"/>
  <c r="O103" i="31" s="1"/>
  <c r="M70" i="31"/>
  <c r="O70" i="31" s="1"/>
  <c r="M82" i="31"/>
  <c r="O82" i="31" s="1"/>
  <c r="M64" i="31"/>
  <c r="O64" i="31" s="1"/>
  <c r="M10" i="31"/>
  <c r="O10" i="31" s="1"/>
  <c r="M66" i="31"/>
  <c r="O66" i="31" s="1"/>
  <c r="M27" i="31"/>
  <c r="O27" i="31" s="1"/>
  <c r="M126" i="31"/>
  <c r="O126" i="31" s="1"/>
  <c r="M112" i="31"/>
  <c r="O112" i="31" s="1"/>
  <c r="M15" i="31"/>
  <c r="O15" i="31" s="1"/>
  <c r="M92" i="31"/>
  <c r="O92" i="31" s="1"/>
  <c r="M71" i="31"/>
  <c r="O71" i="31" s="1"/>
  <c r="M20" i="31"/>
  <c r="O20" i="31" s="1"/>
  <c r="AB107" i="12"/>
  <c r="G4" i="12"/>
  <c r="BH72" i="27"/>
  <c r="BM72" i="27"/>
  <c r="BO43" i="27"/>
  <c r="BP43" i="27"/>
  <c r="BH84" i="27"/>
  <c r="BM84" i="27"/>
  <c r="BH105" i="27"/>
  <c r="BM105" i="27"/>
  <c r="BH29" i="27"/>
  <c r="BM29" i="27"/>
  <c r="BH42" i="27"/>
  <c r="BM42" i="27"/>
  <c r="BP13" i="27"/>
  <c r="BO13" i="27"/>
  <c r="BH64" i="27"/>
  <c r="BM64" i="27"/>
  <c r="BP30" i="27"/>
  <c r="BO30" i="27"/>
  <c r="BP136" i="27"/>
  <c r="BO136" i="27"/>
  <c r="BH57" i="27"/>
  <c r="BM57" i="27"/>
  <c r="BH138" i="27"/>
  <c r="BM138" i="27"/>
  <c r="BH28" i="27"/>
  <c r="BM28" i="27"/>
  <c r="BH76" i="27"/>
  <c r="BM76" i="27"/>
  <c r="BH68" i="27"/>
  <c r="BM68" i="27"/>
  <c r="BH129" i="27"/>
  <c r="BM129" i="27"/>
  <c r="BH102" i="27"/>
  <c r="BM102" i="27"/>
  <c r="BH90" i="27"/>
  <c r="BM90" i="27"/>
  <c r="BH106" i="27"/>
  <c r="BM106" i="27"/>
  <c r="BO75" i="27"/>
  <c r="BP75" i="27"/>
  <c r="BO23" i="27"/>
  <c r="BP23" i="27"/>
  <c r="BH78" i="27"/>
  <c r="BM78" i="27"/>
  <c r="BO39" i="27"/>
  <c r="BP39" i="27"/>
  <c r="BP119" i="27"/>
  <c r="BO119" i="27"/>
  <c r="BH89" i="27"/>
  <c r="BM89" i="27"/>
  <c r="BH128" i="27"/>
  <c r="BM128" i="27"/>
  <c r="BH65" i="27"/>
  <c r="BM65" i="27"/>
  <c r="BH125" i="27"/>
  <c r="BM125" i="27"/>
  <c r="BP82" i="27"/>
  <c r="BO82" i="27"/>
  <c r="BH112" i="27"/>
  <c r="BM112" i="27"/>
  <c r="BP80" i="27"/>
  <c r="BO80" i="27"/>
  <c r="BP123" i="27"/>
  <c r="BO123" i="27"/>
  <c r="BH66" i="27"/>
  <c r="BM66" i="27"/>
  <c r="BO18" i="27"/>
  <c r="BP18" i="27"/>
  <c r="BO87" i="27"/>
  <c r="BP87" i="27"/>
  <c r="BH40" i="27"/>
  <c r="BM40" i="27"/>
  <c r="BR55" i="27"/>
  <c r="BO31" i="27"/>
  <c r="BP31" i="27"/>
  <c r="BO103" i="27"/>
  <c r="BP103" i="27"/>
  <c r="BH48" i="27"/>
  <c r="BM48" i="27"/>
  <c r="BH132" i="27"/>
  <c r="BM132" i="27"/>
  <c r="BH114" i="27"/>
  <c r="BM114" i="27"/>
  <c r="BO92" i="27"/>
  <c r="BP92" i="27"/>
  <c r="BH110" i="27"/>
  <c r="BM110" i="27"/>
  <c r="BH58" i="27"/>
  <c r="BM58" i="27"/>
  <c r="BH12" i="27"/>
  <c r="BM12" i="27"/>
  <c r="BO120" i="27"/>
  <c r="BP120" i="27"/>
  <c r="BH116" i="27"/>
  <c r="BM116" i="27"/>
  <c r="BO83" i="27"/>
  <c r="BP83" i="27"/>
  <c r="BP107" i="27"/>
  <c r="BO107" i="27"/>
  <c r="BR135" i="27"/>
  <c r="BO108" i="27"/>
  <c r="BP108" i="27"/>
  <c r="BO79" i="27"/>
  <c r="BP79" i="27"/>
  <c r="BO71" i="27"/>
  <c r="BP71" i="27"/>
  <c r="BR11" i="27"/>
  <c r="BH21" i="27"/>
  <c r="BM21" i="27"/>
  <c r="BP127" i="27"/>
  <c r="BO127" i="27"/>
  <c r="BH16" i="27"/>
  <c r="BM16" i="27"/>
  <c r="BO53" i="27"/>
  <c r="BP53" i="27"/>
  <c r="BH137" i="27"/>
  <c r="BM137" i="27"/>
  <c r="BH14" i="27"/>
  <c r="BM14" i="27"/>
  <c r="BH94" i="27"/>
  <c r="BM94" i="27"/>
  <c r="BH69" i="27"/>
  <c r="BM69" i="27"/>
  <c r="BH77" i="27"/>
  <c r="BM77" i="27"/>
  <c r="BH124" i="27"/>
  <c r="BM124" i="27"/>
  <c r="BO97" i="27"/>
  <c r="BP97" i="27"/>
  <c r="BH20" i="27"/>
  <c r="BM20" i="27"/>
  <c r="BP50" i="27"/>
  <c r="BO50" i="27"/>
  <c r="BP15" i="27"/>
  <c r="BO15" i="27"/>
  <c r="BH26" i="27"/>
  <c r="BM26" i="27"/>
  <c r="BH10" i="27"/>
  <c r="BM10" i="27"/>
  <c r="BH118" i="27"/>
  <c r="BM118" i="27"/>
  <c r="BH17" i="27"/>
  <c r="BM17" i="27"/>
  <c r="BH100" i="27"/>
  <c r="BM100" i="27"/>
  <c r="BH98" i="27"/>
  <c r="BM98" i="27"/>
  <c r="BH24" i="27"/>
  <c r="BM24" i="27"/>
  <c r="BQ24" i="27" s="1"/>
  <c r="BH133" i="27"/>
  <c r="BM133" i="27"/>
  <c r="BH49" i="27"/>
  <c r="BM49" i="27"/>
  <c r="BQ49" i="27" s="1"/>
  <c r="BH56" i="27"/>
  <c r="BM56" i="27"/>
  <c r="BP109" i="27"/>
  <c r="BO109" i="27"/>
  <c r="BO27" i="27"/>
  <c r="BP27" i="27"/>
  <c r="BK140" i="27"/>
  <c r="BH121" i="27"/>
  <c r="BM121" i="27"/>
  <c r="BP19" i="27"/>
  <c r="BO19" i="27"/>
  <c r="BH122" i="27"/>
  <c r="BM122" i="27"/>
  <c r="BH32" i="27"/>
  <c r="BM32" i="27"/>
  <c r="BH134" i="27"/>
  <c r="BM134" i="27"/>
  <c r="BH36" i="27"/>
  <c r="BM36" i="27"/>
  <c r="BH113" i="27"/>
  <c r="BM113" i="27"/>
  <c r="BO91" i="27"/>
  <c r="BP91" i="27"/>
  <c r="BP62" i="27"/>
  <c r="BO62" i="27"/>
  <c r="BP37" i="27"/>
  <c r="BO37" i="27"/>
  <c r="BH33" i="27"/>
  <c r="BM33" i="27"/>
  <c r="BQ33" i="27" s="1"/>
  <c r="BH41" i="27"/>
  <c r="BM41" i="27"/>
  <c r="BP34" i="27"/>
  <c r="BO34" i="27"/>
  <c r="BP38" i="27"/>
  <c r="BO38" i="27"/>
  <c r="BH88" i="27"/>
  <c r="BM88" i="27"/>
  <c r="BO47" i="27"/>
  <c r="BP47" i="27"/>
  <c r="BP86" i="27"/>
  <c r="BO86" i="27"/>
  <c r="BH139" i="27"/>
  <c r="BM139" i="27"/>
  <c r="BH22" i="27"/>
  <c r="BM22" i="27"/>
  <c r="BH130" i="27"/>
  <c r="BM130" i="27"/>
  <c r="BH126" i="27"/>
  <c r="BM126" i="27"/>
  <c r="BH25" i="27"/>
  <c r="BM25" i="27"/>
  <c r="BO46" i="27"/>
  <c r="BP46" i="27"/>
  <c r="BH93" i="27"/>
  <c r="BM93" i="27"/>
  <c r="BH60" i="27"/>
  <c r="BM60" i="27"/>
  <c r="BH117" i="27"/>
  <c r="BM117" i="27"/>
  <c r="BO85" i="27"/>
  <c r="BP85" i="27"/>
  <c r="BP35" i="27"/>
  <c r="BO35" i="27"/>
  <c r="BR131" i="27"/>
  <c r="BR104" i="27"/>
  <c r="BP51" i="27"/>
  <c r="BO51" i="27"/>
  <c r="BH73" i="27"/>
  <c r="BM73" i="27"/>
  <c r="BH9" i="27"/>
  <c r="BM9" i="27"/>
  <c r="BP7" i="27"/>
  <c r="BO7" i="27"/>
  <c r="F4" i="12"/>
  <c r="BM6" i="27"/>
  <c r="BQ6" i="27" s="1"/>
  <c r="H129" i="12" l="1"/>
  <c r="H129" i="30"/>
  <c r="J129" i="30" s="1"/>
  <c r="H53" i="12"/>
  <c r="J53" i="12" s="1"/>
  <c r="H53" i="30"/>
  <c r="H61" i="12"/>
  <c r="H61" i="30"/>
  <c r="J61" i="30" s="1"/>
  <c r="H133" i="12"/>
  <c r="H133" i="30"/>
  <c r="H9" i="12"/>
  <c r="H9" i="30"/>
  <c r="J9" i="30" s="1"/>
  <c r="H102" i="12"/>
  <c r="J102" i="12" s="1"/>
  <c r="H102" i="30"/>
  <c r="H93" i="12"/>
  <c r="H93" i="30"/>
  <c r="J93" i="30" s="1"/>
  <c r="H50" i="12"/>
  <c r="J50" i="12" s="1"/>
  <c r="H50" i="30"/>
  <c r="AA133" i="12"/>
  <c r="J138" i="31"/>
  <c r="M138" i="31" s="1"/>
  <c r="O138" i="31" s="1"/>
  <c r="Y101" i="31"/>
  <c r="AA101" i="31" s="1"/>
  <c r="AB101" i="31" s="1"/>
  <c r="V121" i="12"/>
  <c r="Y121" i="12" s="1"/>
  <c r="Y21" i="31"/>
  <c r="AA21" i="31" s="1"/>
  <c r="AB21" i="31" s="1"/>
  <c r="Y5" i="30"/>
  <c r="AA5" i="30" s="1"/>
  <c r="Y83" i="30"/>
  <c r="AA83" i="30" s="1"/>
  <c r="Y48" i="31"/>
  <c r="AA48" i="31" s="1"/>
  <c r="AB48" i="31" s="1"/>
  <c r="Y85" i="30"/>
  <c r="AA85" i="30" s="1"/>
  <c r="Y69" i="31"/>
  <c r="AA69" i="31" s="1"/>
  <c r="AB69" i="31" s="1"/>
  <c r="Y77" i="30"/>
  <c r="AA77" i="30" s="1"/>
  <c r="V106" i="12"/>
  <c r="Y106" i="12" s="1"/>
  <c r="Y81" i="31"/>
  <c r="AA81" i="31" s="1"/>
  <c r="AB81" i="31" s="1"/>
  <c r="Y134" i="30"/>
  <c r="AA134" i="30" s="1"/>
  <c r="V28" i="12"/>
  <c r="Y28" i="12" s="1"/>
  <c r="Y117" i="31"/>
  <c r="AA117" i="31" s="1"/>
  <c r="AB117" i="31" s="1"/>
  <c r="Y37" i="30"/>
  <c r="AA37" i="30" s="1"/>
  <c r="V49" i="12"/>
  <c r="Y49" i="12" s="1"/>
  <c r="Y84" i="31"/>
  <c r="AA84" i="31" s="1"/>
  <c r="AB84" i="31" s="1"/>
  <c r="Y45" i="30"/>
  <c r="AA45" i="30" s="1"/>
  <c r="V36" i="12"/>
  <c r="Y36" i="12" s="1"/>
  <c r="Y60" i="31"/>
  <c r="AA60" i="31" s="1"/>
  <c r="AB60" i="31" s="1"/>
  <c r="Y89" i="30"/>
  <c r="AA89" i="30" s="1"/>
  <c r="V41" i="12"/>
  <c r="Y41" i="12" s="1"/>
  <c r="V33" i="12"/>
  <c r="Y33" i="12" s="1"/>
  <c r="V4" i="12"/>
  <c r="Y4" i="12" s="1"/>
  <c r="Y74" i="30"/>
  <c r="AA74" i="30" s="1"/>
  <c r="Y25" i="31"/>
  <c r="AA25" i="31" s="1"/>
  <c r="AB25" i="31" s="1"/>
  <c r="V101" i="12"/>
  <c r="Y101" i="12" s="1"/>
  <c r="V29" i="12"/>
  <c r="Y29" i="12" s="1"/>
  <c r="Y125" i="31"/>
  <c r="AA125" i="31" s="1"/>
  <c r="AB125" i="31" s="1"/>
  <c r="Y21" i="30"/>
  <c r="AA21" i="30" s="1"/>
  <c r="V5" i="12"/>
  <c r="Y5" i="12" s="1"/>
  <c r="Y13" i="31"/>
  <c r="AA13" i="31" s="1"/>
  <c r="AB13" i="31" s="1"/>
  <c r="Y48" i="30"/>
  <c r="AA48" i="30" s="1"/>
  <c r="V85" i="12"/>
  <c r="Y85" i="12" s="1"/>
  <c r="Y69" i="30"/>
  <c r="AA69" i="30" s="1"/>
  <c r="V77" i="12"/>
  <c r="Y77" i="12" s="1"/>
  <c r="Y105" i="31"/>
  <c r="AA105" i="31" s="1"/>
  <c r="AB105" i="31" s="1"/>
  <c r="Y81" i="30"/>
  <c r="AA81" i="30" s="1"/>
  <c r="V134" i="12"/>
  <c r="Y134" i="12" s="1"/>
  <c r="Y32" i="31"/>
  <c r="AA32" i="31" s="1"/>
  <c r="AB32" i="31" s="1"/>
  <c r="Y117" i="30"/>
  <c r="AA117" i="30" s="1"/>
  <c r="V37" i="12"/>
  <c r="Y37" i="12" s="1"/>
  <c r="Y17" i="31"/>
  <c r="AA17" i="31" s="1"/>
  <c r="AB17" i="31" s="1"/>
  <c r="Y73" i="31"/>
  <c r="AA73" i="31" s="1"/>
  <c r="AB73" i="31" s="1"/>
  <c r="Y84" i="30"/>
  <c r="AA84" i="30" s="1"/>
  <c r="V45" i="12"/>
  <c r="Y45" i="12" s="1"/>
  <c r="Y35" i="31"/>
  <c r="AA35" i="31" s="1"/>
  <c r="AB35" i="31" s="1"/>
  <c r="Y60" i="30"/>
  <c r="AA60" i="30" s="1"/>
  <c r="V89" i="12"/>
  <c r="Y89" i="12" s="1"/>
  <c r="Y16" i="31"/>
  <c r="AA16" i="31" s="1"/>
  <c r="AB16" i="31" s="1"/>
  <c r="Y29" i="30"/>
  <c r="AA29" i="30" s="1"/>
  <c r="Y96" i="31"/>
  <c r="AA96" i="31" s="1"/>
  <c r="AB96" i="31" s="1"/>
  <c r="Y25" i="30"/>
  <c r="AA25" i="30" s="1"/>
  <c r="Y101" i="30"/>
  <c r="AA101" i="30" s="1"/>
  <c r="Y121" i="31"/>
  <c r="AA121" i="31" s="1"/>
  <c r="AB121" i="31" s="1"/>
  <c r="Y125" i="30"/>
  <c r="AA125" i="30" s="1"/>
  <c r="V21" i="12"/>
  <c r="Y21" i="12" s="1"/>
  <c r="Y83" i="31"/>
  <c r="AA83" i="31" s="1"/>
  <c r="AB83" i="31" s="1"/>
  <c r="Y13" i="30"/>
  <c r="AA13" i="30" s="1"/>
  <c r="V48" i="12"/>
  <c r="Y48" i="12" s="1"/>
  <c r="V69" i="12"/>
  <c r="Y69" i="12" s="1"/>
  <c r="Y106" i="31"/>
  <c r="AA106" i="31" s="1"/>
  <c r="AB106" i="31" s="1"/>
  <c r="Y105" i="30"/>
  <c r="AA105" i="30" s="1"/>
  <c r="V81" i="12"/>
  <c r="Y81" i="12" s="1"/>
  <c r="Y28" i="31"/>
  <c r="AA28" i="31" s="1"/>
  <c r="AB28" i="31" s="1"/>
  <c r="Y32" i="30"/>
  <c r="AA32" i="30" s="1"/>
  <c r="V117" i="12"/>
  <c r="Y117" i="12" s="1"/>
  <c r="Y49" i="31"/>
  <c r="AA49" i="31" s="1"/>
  <c r="AB49" i="31" s="1"/>
  <c r="Y17" i="30"/>
  <c r="AA17" i="30" s="1"/>
  <c r="Y73" i="30"/>
  <c r="AA73" i="30" s="1"/>
  <c r="V84" i="12"/>
  <c r="Y84" i="12" s="1"/>
  <c r="Y36" i="31"/>
  <c r="AA36" i="31" s="1"/>
  <c r="AB36" i="31" s="1"/>
  <c r="Y35" i="30"/>
  <c r="AA35" i="30" s="1"/>
  <c r="V60" i="12"/>
  <c r="Y60" i="12" s="1"/>
  <c r="Y41" i="31"/>
  <c r="AA41" i="31" s="1"/>
  <c r="AB41" i="31" s="1"/>
  <c r="Y33" i="31"/>
  <c r="AA33" i="31" s="1"/>
  <c r="AB33" i="31" s="1"/>
  <c r="Y16" i="30"/>
  <c r="AA16" i="30" s="1"/>
  <c r="V25" i="12"/>
  <c r="Y25" i="12" s="1"/>
  <c r="Y29" i="31"/>
  <c r="AA29" i="31" s="1"/>
  <c r="AB29" i="31" s="1"/>
  <c r="Y121" i="30"/>
  <c r="AA121" i="30" s="1"/>
  <c r="V125" i="12"/>
  <c r="Y125" i="12" s="1"/>
  <c r="Y5" i="31"/>
  <c r="AA5" i="31" s="1"/>
  <c r="AB5" i="31" s="1"/>
  <c r="V83" i="12"/>
  <c r="Y83" i="12" s="1"/>
  <c r="V13" i="12"/>
  <c r="Y13" i="12" s="1"/>
  <c r="Y85" i="31"/>
  <c r="AA85" i="31" s="1"/>
  <c r="AB85" i="31" s="1"/>
  <c r="Y77" i="31"/>
  <c r="AA77" i="31" s="1"/>
  <c r="AB77" i="31" s="1"/>
  <c r="Y106" i="30"/>
  <c r="AA106" i="30" s="1"/>
  <c r="V105" i="12"/>
  <c r="Y105" i="12" s="1"/>
  <c r="Y134" i="31"/>
  <c r="AA134" i="31" s="1"/>
  <c r="AB134" i="31" s="1"/>
  <c r="Y28" i="30"/>
  <c r="AA28" i="30" s="1"/>
  <c r="V32" i="12"/>
  <c r="Y32" i="12" s="1"/>
  <c r="Y37" i="31"/>
  <c r="AA37" i="31" s="1"/>
  <c r="AB37" i="31" s="1"/>
  <c r="Y49" i="30"/>
  <c r="AA49" i="30" s="1"/>
  <c r="V17" i="12"/>
  <c r="Y17" i="12" s="1"/>
  <c r="V73" i="12"/>
  <c r="Y73" i="12" s="1"/>
  <c r="Y45" i="31"/>
  <c r="AA45" i="31" s="1"/>
  <c r="AB45" i="31" s="1"/>
  <c r="Y36" i="30"/>
  <c r="AA36" i="30" s="1"/>
  <c r="V35" i="12"/>
  <c r="Y35" i="12" s="1"/>
  <c r="Y89" i="31"/>
  <c r="AA89" i="31" s="1"/>
  <c r="AB89" i="31" s="1"/>
  <c r="Y41" i="30"/>
  <c r="AA41" i="30" s="1"/>
  <c r="Y33" i="30"/>
  <c r="AA33" i="30" s="1"/>
  <c r="V16" i="12"/>
  <c r="Y16" i="12" s="1"/>
  <c r="BR27" i="27"/>
  <c r="J50" i="30"/>
  <c r="BR19" i="27"/>
  <c r="BR15" i="27"/>
  <c r="BR127" i="27"/>
  <c r="BR107" i="27"/>
  <c r="BR71" i="27"/>
  <c r="BR108" i="27"/>
  <c r="BR87" i="27"/>
  <c r="BR39" i="27"/>
  <c r="BR23" i="27"/>
  <c r="N98" i="30"/>
  <c r="F98" i="30"/>
  <c r="F98" i="12"/>
  <c r="N98" i="12"/>
  <c r="N75" i="12"/>
  <c r="F75" i="30"/>
  <c r="N75" i="30"/>
  <c r="F75" i="12"/>
  <c r="N14" i="12"/>
  <c r="N14" i="30"/>
  <c r="F14" i="30"/>
  <c r="F14" i="12"/>
  <c r="N56" i="12"/>
  <c r="F56" i="12"/>
  <c r="F56" i="30"/>
  <c r="N56" i="30"/>
  <c r="F7" i="12"/>
  <c r="N7" i="12"/>
  <c r="N7" i="30"/>
  <c r="F7" i="30"/>
  <c r="F91" i="30"/>
  <c r="N91" i="12"/>
  <c r="F91" i="12"/>
  <c r="N91" i="30"/>
  <c r="N128" i="12"/>
  <c r="F128" i="30"/>
  <c r="N128" i="30"/>
  <c r="F128" i="12"/>
  <c r="F39" i="12"/>
  <c r="N39" i="12"/>
  <c r="N39" i="30"/>
  <c r="F39" i="30"/>
  <c r="F34" i="12"/>
  <c r="N34" i="12"/>
  <c r="N34" i="30"/>
  <c r="F34" i="30"/>
  <c r="F30" i="12"/>
  <c r="N30" i="12"/>
  <c r="N30" i="30"/>
  <c r="F30" i="30"/>
  <c r="J9" i="12"/>
  <c r="BR79" i="27"/>
  <c r="N38" i="30"/>
  <c r="F38" i="30"/>
  <c r="F38" i="12"/>
  <c r="N38" i="12"/>
  <c r="BR18" i="27"/>
  <c r="F110" i="12"/>
  <c r="N110" i="12"/>
  <c r="N110" i="30"/>
  <c r="F110" i="30"/>
  <c r="N123" i="30"/>
  <c r="N123" i="12"/>
  <c r="F123" i="12"/>
  <c r="F123" i="30"/>
  <c r="N126" i="12"/>
  <c r="F126" i="12"/>
  <c r="F126" i="30"/>
  <c r="N126" i="30"/>
  <c r="N76" i="12"/>
  <c r="F76" i="30"/>
  <c r="N76" i="30"/>
  <c r="F76" i="12"/>
  <c r="BR75" i="27"/>
  <c r="N88" i="12"/>
  <c r="F88" i="12"/>
  <c r="F88" i="30"/>
  <c r="N88" i="30"/>
  <c r="F127" i="30"/>
  <c r="N127" i="30"/>
  <c r="N127" i="12"/>
  <c r="F127" i="12"/>
  <c r="N74" i="12"/>
  <c r="F74" i="12"/>
  <c r="F74" i="30"/>
  <c r="N74" i="30"/>
  <c r="N136" i="12"/>
  <c r="F136" i="12"/>
  <c r="F136" i="30"/>
  <c r="N136" i="30"/>
  <c r="N62" i="12"/>
  <c r="N62" i="30"/>
  <c r="F62" i="30"/>
  <c r="F62" i="12"/>
  <c r="F40" i="30"/>
  <c r="N40" i="12"/>
  <c r="F40" i="12"/>
  <c r="N40" i="30"/>
  <c r="N103" i="12"/>
  <c r="F103" i="30"/>
  <c r="N103" i="30"/>
  <c r="F103" i="12"/>
  <c r="N22" i="30"/>
  <c r="F22" i="30"/>
  <c r="F22" i="12"/>
  <c r="N22" i="12"/>
  <c r="F24" i="12"/>
  <c r="N24" i="30"/>
  <c r="F24" i="30"/>
  <c r="N24" i="12"/>
  <c r="F92" i="12"/>
  <c r="N92" i="12"/>
  <c r="N92" i="30"/>
  <c r="F92" i="30"/>
  <c r="N19" i="30"/>
  <c r="F19" i="30"/>
  <c r="F19" i="12"/>
  <c r="N19" i="12"/>
  <c r="F4" i="30"/>
  <c r="N4" i="30"/>
  <c r="N4" i="12"/>
  <c r="F115" i="30"/>
  <c r="N115" i="30"/>
  <c r="F115" i="12"/>
  <c r="N115" i="12"/>
  <c r="F23" i="12"/>
  <c r="N23" i="30"/>
  <c r="N23" i="12"/>
  <c r="F23" i="30"/>
  <c r="F137" i="30"/>
  <c r="N137" i="30"/>
  <c r="N137" i="12"/>
  <c r="F137" i="12"/>
  <c r="J102" i="30"/>
  <c r="F54" i="12"/>
  <c r="N54" i="12"/>
  <c r="F54" i="30"/>
  <c r="N54" i="30"/>
  <c r="F131" i="12"/>
  <c r="N131" i="12"/>
  <c r="N131" i="30"/>
  <c r="F131" i="30"/>
  <c r="F96" i="30"/>
  <c r="N96" i="30"/>
  <c r="F96" i="12"/>
  <c r="N96" i="12"/>
  <c r="N15" i="30"/>
  <c r="F15" i="30"/>
  <c r="F15" i="12"/>
  <c r="N15" i="12"/>
  <c r="N8" i="30"/>
  <c r="F8" i="30"/>
  <c r="N8" i="12"/>
  <c r="F8" i="12"/>
  <c r="N18" i="12"/>
  <c r="N18" i="30"/>
  <c r="F18" i="30"/>
  <c r="F18" i="12"/>
  <c r="N122" i="30"/>
  <c r="F122" i="30"/>
  <c r="N122" i="12"/>
  <c r="F122" i="12"/>
  <c r="N67" i="12"/>
  <c r="F67" i="12"/>
  <c r="F67" i="30"/>
  <c r="N67" i="30"/>
  <c r="N12" i="30"/>
  <c r="F12" i="30"/>
  <c r="N12" i="12"/>
  <c r="F12" i="12"/>
  <c r="N114" i="12"/>
  <c r="F114" i="12"/>
  <c r="F114" i="30"/>
  <c r="N114" i="30"/>
  <c r="F10" i="30"/>
  <c r="N10" i="30"/>
  <c r="N10" i="12"/>
  <c r="F10" i="12"/>
  <c r="N108" i="30"/>
  <c r="F108" i="30"/>
  <c r="N108" i="12"/>
  <c r="F108" i="12"/>
  <c r="N112" i="30"/>
  <c r="F112" i="30"/>
  <c r="N112" i="12"/>
  <c r="F112" i="12"/>
  <c r="N46" i="30"/>
  <c r="F46" i="30"/>
  <c r="F46" i="12"/>
  <c r="N46" i="12"/>
  <c r="N47" i="12"/>
  <c r="F47" i="12"/>
  <c r="N47" i="30"/>
  <c r="F47" i="30"/>
  <c r="F116" i="12"/>
  <c r="N116" i="12"/>
  <c r="F116" i="30"/>
  <c r="N116" i="30"/>
  <c r="N135" i="30"/>
  <c r="F135" i="12"/>
  <c r="F135" i="30"/>
  <c r="N135" i="12"/>
  <c r="F130" i="12"/>
  <c r="N130" i="12"/>
  <c r="N130" i="30"/>
  <c r="F130" i="30"/>
  <c r="N71" i="12"/>
  <c r="F71" i="12"/>
  <c r="F71" i="30"/>
  <c r="N71" i="30"/>
  <c r="J129" i="12"/>
  <c r="F58" i="30"/>
  <c r="N58" i="30"/>
  <c r="F58" i="12"/>
  <c r="N58" i="12"/>
  <c r="N124" i="30"/>
  <c r="F124" i="30"/>
  <c r="F124" i="12"/>
  <c r="N124" i="12"/>
  <c r="N20" i="12"/>
  <c r="F20" i="12"/>
  <c r="N20" i="30"/>
  <c r="F20" i="30"/>
  <c r="F86" i="30"/>
  <c r="N86" i="30"/>
  <c r="F86" i="12"/>
  <c r="N86" i="12"/>
  <c r="N31" i="12"/>
  <c r="N31" i="30"/>
  <c r="F31" i="30"/>
  <c r="F31" i="12"/>
  <c r="N111" i="12"/>
  <c r="F111" i="12"/>
  <c r="N111" i="30"/>
  <c r="F111" i="30"/>
  <c r="N132" i="30"/>
  <c r="N132" i="12"/>
  <c r="F132" i="12"/>
  <c r="F132" i="30"/>
  <c r="F120" i="12"/>
  <c r="N120" i="12"/>
  <c r="F120" i="30"/>
  <c r="N120" i="30"/>
  <c r="N119" i="12"/>
  <c r="F119" i="12"/>
  <c r="F119" i="30"/>
  <c r="N119" i="30"/>
  <c r="J53" i="30"/>
  <c r="F64" i="12"/>
  <c r="F64" i="30"/>
  <c r="N64" i="30"/>
  <c r="N64" i="12"/>
  <c r="F63" i="12"/>
  <c r="F63" i="30"/>
  <c r="N63" i="12"/>
  <c r="N63" i="30"/>
  <c r="F87" i="30"/>
  <c r="N87" i="30"/>
  <c r="F87" i="12"/>
  <c r="N87" i="12"/>
  <c r="F104" i="30"/>
  <c r="N104" i="30"/>
  <c r="F104" i="12"/>
  <c r="N104" i="12"/>
  <c r="N100" i="12"/>
  <c r="F100" i="12"/>
  <c r="N100" i="30"/>
  <c r="F100" i="30"/>
  <c r="F66" i="30"/>
  <c r="N66" i="30"/>
  <c r="F66" i="12"/>
  <c r="N66" i="12"/>
  <c r="F26" i="12"/>
  <c r="N26" i="12"/>
  <c r="N26" i="30"/>
  <c r="F26" i="30"/>
  <c r="N55" i="12"/>
  <c r="F55" i="30"/>
  <c r="N55" i="30"/>
  <c r="F55" i="12"/>
  <c r="F27" i="12"/>
  <c r="N27" i="30"/>
  <c r="N27" i="12"/>
  <c r="F27" i="30"/>
  <c r="F82" i="12"/>
  <c r="N82" i="12"/>
  <c r="F82" i="30"/>
  <c r="N82" i="30"/>
  <c r="N70" i="30"/>
  <c r="F70" i="30"/>
  <c r="N70" i="12"/>
  <c r="F70" i="12"/>
  <c r="J93" i="12"/>
  <c r="J61" i="12"/>
  <c r="M4" i="31"/>
  <c r="O4" i="31" s="1"/>
  <c r="BR50" i="27"/>
  <c r="BR86" i="27"/>
  <c r="BR91" i="27"/>
  <c r="BR51" i="27"/>
  <c r="BR35" i="27"/>
  <c r="BP117" i="27"/>
  <c r="BO117" i="27"/>
  <c r="BP93" i="27"/>
  <c r="BO93" i="27"/>
  <c r="BP25" i="27"/>
  <c r="BO25" i="27"/>
  <c r="BP130" i="27"/>
  <c r="BO130" i="27"/>
  <c r="BO139" i="27"/>
  <c r="BP139" i="27"/>
  <c r="BP134" i="27"/>
  <c r="BO134" i="27"/>
  <c r="BO122" i="27"/>
  <c r="BP122" i="27"/>
  <c r="BP121" i="27"/>
  <c r="BO121" i="27"/>
  <c r="BR53" i="27"/>
  <c r="BR83" i="27"/>
  <c r="BR120" i="27"/>
  <c r="BR92" i="27"/>
  <c r="BR103" i="27"/>
  <c r="BP40" i="27"/>
  <c r="BO40" i="27"/>
  <c r="BR123" i="27"/>
  <c r="BO112" i="27"/>
  <c r="BP112" i="27"/>
  <c r="BO125" i="27"/>
  <c r="BP125" i="27"/>
  <c r="BP128" i="27"/>
  <c r="BO128" i="27"/>
  <c r="BR119" i="27"/>
  <c r="BP78" i="27"/>
  <c r="BO78" i="27"/>
  <c r="BO90" i="27"/>
  <c r="BP90" i="27"/>
  <c r="BP129" i="27"/>
  <c r="BO129" i="27"/>
  <c r="BO76" i="27"/>
  <c r="BP76" i="27"/>
  <c r="BP138" i="27"/>
  <c r="BO138" i="27"/>
  <c r="BR136" i="27"/>
  <c r="BP64" i="27"/>
  <c r="BO64" i="27"/>
  <c r="BP42" i="27"/>
  <c r="BO42" i="27"/>
  <c r="BP105" i="27"/>
  <c r="BO105" i="27"/>
  <c r="BR47" i="27"/>
  <c r="BR38" i="27"/>
  <c r="BP41" i="27"/>
  <c r="BO41" i="27"/>
  <c r="BR37" i="27"/>
  <c r="BO36" i="27"/>
  <c r="BP36" i="27"/>
  <c r="BP49" i="27"/>
  <c r="BO49" i="27"/>
  <c r="BO24" i="27"/>
  <c r="BP24" i="27"/>
  <c r="BO100" i="27"/>
  <c r="BP100" i="27"/>
  <c r="BP118" i="27"/>
  <c r="BO118" i="27"/>
  <c r="BO26" i="27"/>
  <c r="BP26" i="27"/>
  <c r="BO77" i="27"/>
  <c r="BP77" i="27"/>
  <c r="BO94" i="27"/>
  <c r="BP94" i="27"/>
  <c r="BO137" i="27"/>
  <c r="BP137" i="27"/>
  <c r="BP16" i="27"/>
  <c r="BO16" i="27"/>
  <c r="BO116" i="27"/>
  <c r="BP116" i="27"/>
  <c r="BO12" i="27"/>
  <c r="BP12" i="27"/>
  <c r="BO110" i="27"/>
  <c r="BP110" i="27"/>
  <c r="BO114" i="27"/>
  <c r="BP114" i="27"/>
  <c r="BP48" i="27"/>
  <c r="BO48" i="27"/>
  <c r="BR43" i="27"/>
  <c r="BR7" i="27"/>
  <c r="BP73" i="27"/>
  <c r="BO73" i="27"/>
  <c r="BP60" i="27"/>
  <c r="BO60" i="27"/>
  <c r="BO126" i="27"/>
  <c r="BP126" i="27"/>
  <c r="BP22" i="27"/>
  <c r="BO22" i="27"/>
  <c r="BP32" i="27"/>
  <c r="BO32" i="27"/>
  <c r="BH140" i="27"/>
  <c r="F138" i="12" s="1"/>
  <c r="BM140" i="27"/>
  <c r="BR97" i="27"/>
  <c r="BR31" i="27"/>
  <c r="BP66" i="27"/>
  <c r="BO66" i="27"/>
  <c r="BR80" i="27"/>
  <c r="BR82" i="27"/>
  <c r="BP65" i="27"/>
  <c r="BO65" i="27"/>
  <c r="BO89" i="27"/>
  <c r="BP89" i="27"/>
  <c r="BO106" i="27"/>
  <c r="BP106" i="27"/>
  <c r="BP102" i="27"/>
  <c r="BO102" i="27"/>
  <c r="BO68" i="27"/>
  <c r="BP68" i="27"/>
  <c r="BO28" i="27"/>
  <c r="BP28" i="27"/>
  <c r="BO57" i="27"/>
  <c r="BP57" i="27"/>
  <c r="BR30" i="27"/>
  <c r="BR13" i="27"/>
  <c r="BO29" i="27"/>
  <c r="BP29" i="27"/>
  <c r="BP84" i="27"/>
  <c r="BO84" i="27"/>
  <c r="BP72" i="27"/>
  <c r="BO72" i="27"/>
  <c r="BR85" i="27"/>
  <c r="BR46" i="27"/>
  <c r="BO88" i="27"/>
  <c r="BP88" i="27"/>
  <c r="BR34" i="27"/>
  <c r="BP33" i="27"/>
  <c r="BO33" i="27"/>
  <c r="BR62" i="27"/>
  <c r="BP113" i="27"/>
  <c r="BO113" i="27"/>
  <c r="BO56" i="27"/>
  <c r="BP56" i="27"/>
  <c r="BO133" i="27"/>
  <c r="BP133" i="27"/>
  <c r="BO98" i="27"/>
  <c r="BP98" i="27"/>
  <c r="BP17" i="27"/>
  <c r="BO17" i="27"/>
  <c r="BP10" i="27"/>
  <c r="BO10" i="27"/>
  <c r="BO20" i="27"/>
  <c r="BP20" i="27"/>
  <c r="BO124" i="27"/>
  <c r="BP124" i="27"/>
  <c r="BO69" i="27"/>
  <c r="BP69" i="27"/>
  <c r="BO14" i="27"/>
  <c r="BP14" i="27"/>
  <c r="BO21" i="27"/>
  <c r="BP21" i="27"/>
  <c r="BP58" i="27"/>
  <c r="BO58" i="27"/>
  <c r="BO132" i="27"/>
  <c r="BP132" i="27"/>
  <c r="BO9" i="27"/>
  <c r="BP9" i="27"/>
  <c r="BO6" i="27"/>
  <c r="BP6" i="27"/>
  <c r="H11" i="12" l="1"/>
  <c r="H11" i="30"/>
  <c r="J11" i="30" s="1"/>
  <c r="H80" i="12"/>
  <c r="J80" i="12" s="1"/>
  <c r="H80" i="30"/>
  <c r="H117" i="12"/>
  <c r="H117" i="30"/>
  <c r="J117" i="30" s="1"/>
  <c r="H118" i="12"/>
  <c r="H118" i="30"/>
  <c r="H49" i="12"/>
  <c r="H49" i="30"/>
  <c r="H77" i="12"/>
  <c r="J77" i="12" s="1"/>
  <c r="M77" i="12" s="1"/>
  <c r="O77" i="12" s="1"/>
  <c r="H77" i="30"/>
  <c r="H32" i="12"/>
  <c r="H32" i="30"/>
  <c r="J32" i="30" s="1"/>
  <c r="H28" i="12"/>
  <c r="J28" i="12" s="1"/>
  <c r="M28" i="12" s="1"/>
  <c r="O28" i="12" s="1"/>
  <c r="H28" i="30"/>
  <c r="H78" i="12"/>
  <c r="H78" i="30"/>
  <c r="J78" i="30" s="1"/>
  <c r="H134" i="12"/>
  <c r="H134" i="30"/>
  <c r="H81" i="12"/>
  <c r="H81" i="30"/>
  <c r="H89" i="12"/>
  <c r="J89" i="12" s="1"/>
  <c r="M89" i="12" s="1"/>
  <c r="O89" i="12" s="1"/>
  <c r="H89" i="30"/>
  <c r="H25" i="12"/>
  <c r="H25" i="30"/>
  <c r="H41" i="12"/>
  <c r="H41" i="30"/>
  <c r="H121" i="12"/>
  <c r="H121" i="30"/>
  <c r="J121" i="30" s="1"/>
  <c r="H90" i="12"/>
  <c r="J90" i="12" s="1"/>
  <c r="H90" i="30"/>
  <c r="H33" i="12"/>
  <c r="H33" i="30"/>
  <c r="J33" i="30" s="1"/>
  <c r="H48" i="12"/>
  <c r="J48" i="12" s="1"/>
  <c r="M48" i="12" s="1"/>
  <c r="O48" i="12" s="1"/>
  <c r="H48" i="30"/>
  <c r="H16" i="12"/>
  <c r="H16" i="30"/>
  <c r="H21" i="12"/>
  <c r="H21" i="30"/>
  <c r="H69" i="12"/>
  <c r="H69" i="30"/>
  <c r="H17" i="12"/>
  <c r="J17" i="12" s="1"/>
  <c r="M17" i="12" s="1"/>
  <c r="O17" i="12" s="1"/>
  <c r="H17" i="30"/>
  <c r="H44" i="12"/>
  <c r="H44" i="30"/>
  <c r="H29" i="12"/>
  <c r="J29" i="12" s="1"/>
  <c r="M29" i="12" s="1"/>
  <c r="O29" i="12" s="1"/>
  <c r="H29" i="30"/>
  <c r="H37" i="12"/>
  <c r="H37" i="30"/>
  <c r="J37" i="30" s="1"/>
  <c r="M37" i="30" s="1"/>
  <c r="O37" i="30" s="1"/>
  <c r="AB37" i="30" s="1"/>
  <c r="H105" i="12"/>
  <c r="J105" i="12" s="1"/>
  <c r="M105" i="12" s="1"/>
  <c r="O105" i="12" s="1"/>
  <c r="H105" i="30"/>
  <c r="H83" i="12"/>
  <c r="H83" i="30"/>
  <c r="J83" i="30" s="1"/>
  <c r="H95" i="12"/>
  <c r="J95" i="12" s="1"/>
  <c r="H95" i="30"/>
  <c r="H36" i="12"/>
  <c r="H36" i="30"/>
  <c r="J36" i="30" s="1"/>
  <c r="H85" i="12"/>
  <c r="J85" i="12" s="1"/>
  <c r="M85" i="12" s="1"/>
  <c r="O85" i="12" s="1"/>
  <c r="H85" i="30"/>
  <c r="H125" i="12"/>
  <c r="H125" i="30"/>
  <c r="H60" i="12"/>
  <c r="J60" i="12" s="1"/>
  <c r="M60" i="12" s="1"/>
  <c r="O60" i="12" s="1"/>
  <c r="H60" i="30"/>
  <c r="H5" i="12"/>
  <c r="H5" i="30"/>
  <c r="H35" i="12"/>
  <c r="J35" i="12" s="1"/>
  <c r="M35" i="12" s="1"/>
  <c r="O35" i="12" s="1"/>
  <c r="H35" i="30"/>
  <c r="H45" i="12"/>
  <c r="H45" i="30"/>
  <c r="H101" i="12"/>
  <c r="J101" i="12" s="1"/>
  <c r="M101" i="12" s="1"/>
  <c r="O101" i="12" s="1"/>
  <c r="H101" i="30"/>
  <c r="H51" i="12"/>
  <c r="H51" i="30"/>
  <c r="J51" i="30" s="1"/>
  <c r="H84" i="12"/>
  <c r="H84" i="30"/>
  <c r="H73" i="12"/>
  <c r="H73" i="30"/>
  <c r="J73" i="30" s="1"/>
  <c r="H106" i="12"/>
  <c r="H106" i="30"/>
  <c r="H13" i="12"/>
  <c r="J13" i="12" s="1"/>
  <c r="M13" i="12" s="1"/>
  <c r="O13" i="12" s="1"/>
  <c r="H13" i="30"/>
  <c r="J13" i="30" s="1"/>
  <c r="J125" i="12"/>
  <c r="M125" i="12" s="1"/>
  <c r="O125" i="12" s="1"/>
  <c r="J106" i="30"/>
  <c r="J25" i="12"/>
  <c r="M25" i="12" s="1"/>
  <c r="O25" i="12" s="1"/>
  <c r="J21" i="12"/>
  <c r="M21" i="12" s="1"/>
  <c r="O21" i="12" s="1"/>
  <c r="J69" i="12"/>
  <c r="M69" i="12" s="1"/>
  <c r="O69" i="12" s="1"/>
  <c r="AA69" i="12"/>
  <c r="AA13" i="12"/>
  <c r="AA48" i="12"/>
  <c r="AA77" i="12"/>
  <c r="AA29" i="12"/>
  <c r="AA32" i="12"/>
  <c r="AA83" i="12"/>
  <c r="AA117" i="12"/>
  <c r="AA101" i="12"/>
  <c r="AA36" i="12"/>
  <c r="AA28" i="12"/>
  <c r="AA35" i="12"/>
  <c r="AA60" i="12"/>
  <c r="AA37" i="12"/>
  <c r="AA85" i="12"/>
  <c r="AA106" i="12"/>
  <c r="AA121" i="12"/>
  <c r="AA125" i="12"/>
  <c r="AA21" i="12"/>
  <c r="AA89" i="12"/>
  <c r="AA105" i="12"/>
  <c r="AA81" i="12"/>
  <c r="AA4" i="12"/>
  <c r="AA49" i="12"/>
  <c r="AA73" i="12"/>
  <c r="AA84" i="12"/>
  <c r="AA134" i="12"/>
  <c r="AA5" i="12"/>
  <c r="AA33" i="12"/>
  <c r="AA16" i="12"/>
  <c r="AA17" i="12"/>
  <c r="AA25" i="12"/>
  <c r="AA45" i="12"/>
  <c r="AA41" i="12"/>
  <c r="J133" i="30"/>
  <c r="M133" i="30" s="1"/>
  <c r="O133" i="30" s="1"/>
  <c r="AB133" i="30" s="1"/>
  <c r="Y27" i="30"/>
  <c r="AA27" i="30" s="1"/>
  <c r="Y55" i="30"/>
  <c r="AA55" i="30" s="1"/>
  <c r="Y66" i="31"/>
  <c r="AA66" i="31" s="1"/>
  <c r="AB66" i="31" s="1"/>
  <c r="Y104" i="30"/>
  <c r="AA104" i="30" s="1"/>
  <c r="Y63" i="31"/>
  <c r="AA63" i="31" s="1"/>
  <c r="AB63" i="31" s="1"/>
  <c r="V119" i="12"/>
  <c r="Y119" i="12" s="1"/>
  <c r="Y132" i="31"/>
  <c r="AA132" i="31" s="1"/>
  <c r="AB132" i="31" s="1"/>
  <c r="Y111" i="30"/>
  <c r="AA111" i="30" s="1"/>
  <c r="Y31" i="30"/>
  <c r="AA31" i="30" s="1"/>
  <c r="Y20" i="31"/>
  <c r="AA20" i="31" s="1"/>
  <c r="AB20" i="31" s="1"/>
  <c r="V124" i="12"/>
  <c r="Y124" i="12" s="1"/>
  <c r="Y58" i="30"/>
  <c r="AA58" i="30" s="1"/>
  <c r="Y130" i="30"/>
  <c r="AA130" i="30" s="1"/>
  <c r="V135" i="12"/>
  <c r="Y135" i="12" s="1"/>
  <c r="Y112" i="31"/>
  <c r="AA112" i="31" s="1"/>
  <c r="AB112" i="31" s="1"/>
  <c r="Y108" i="30"/>
  <c r="AA108" i="30" s="1"/>
  <c r="V10" i="12"/>
  <c r="Y10" i="12" s="1"/>
  <c r="Y12" i="31"/>
  <c r="AA12" i="31" s="1"/>
  <c r="AB12" i="31" s="1"/>
  <c r="Y67" i="30"/>
  <c r="AA67" i="30" s="1"/>
  <c r="V122" i="12"/>
  <c r="Y122" i="12" s="1"/>
  <c r="Y8" i="31"/>
  <c r="AA8" i="31" s="1"/>
  <c r="AB8" i="31" s="1"/>
  <c r="V15" i="12"/>
  <c r="Y15" i="12" s="1"/>
  <c r="V96" i="12"/>
  <c r="Y96" i="12" s="1"/>
  <c r="Y54" i="31"/>
  <c r="AA54" i="31" s="1"/>
  <c r="AB54" i="31" s="1"/>
  <c r="Y56" i="31"/>
  <c r="AA56" i="31" s="1"/>
  <c r="AB56" i="31" s="1"/>
  <c r="Y14" i="30"/>
  <c r="AA14" i="30" s="1"/>
  <c r="V75" i="12"/>
  <c r="Y75" i="12" s="1"/>
  <c r="V103" i="12"/>
  <c r="Y103" i="12" s="1"/>
  <c r="V40" i="12"/>
  <c r="Y40" i="12" s="1"/>
  <c r="Y136" i="31"/>
  <c r="AA136" i="31" s="1"/>
  <c r="AB136" i="31" s="1"/>
  <c r="V74" i="12"/>
  <c r="Y74" i="12" s="1"/>
  <c r="V127" i="12"/>
  <c r="Y127" i="12" s="1"/>
  <c r="Y76" i="31"/>
  <c r="AA76" i="31" s="1"/>
  <c r="AB76" i="31" s="1"/>
  <c r="Y126" i="30"/>
  <c r="AA126" i="30" s="1"/>
  <c r="Y123" i="30"/>
  <c r="AA123" i="30" s="1"/>
  <c r="Y38" i="31"/>
  <c r="AA38" i="31" s="1"/>
  <c r="AB38" i="31" s="1"/>
  <c r="Y30" i="30"/>
  <c r="AA30" i="30" s="1"/>
  <c r="V34" i="12"/>
  <c r="Y34" i="12" s="1"/>
  <c r="Y137" i="31"/>
  <c r="AA137" i="31" s="1"/>
  <c r="AB137" i="31" s="1"/>
  <c r="Y128" i="30"/>
  <c r="AA128" i="30" s="1"/>
  <c r="Y23" i="30"/>
  <c r="AA23" i="30" s="1"/>
  <c r="Y115" i="31"/>
  <c r="AA115" i="31" s="1"/>
  <c r="AB115" i="31" s="1"/>
  <c r="Y7" i="30"/>
  <c r="AA7" i="30" s="1"/>
  <c r="Y4" i="30"/>
  <c r="AA4" i="30" s="1"/>
  <c r="Y92" i="31"/>
  <c r="AA92" i="31" s="1"/>
  <c r="AB92" i="31" s="1"/>
  <c r="Y24" i="30"/>
  <c r="AA24" i="30" s="1"/>
  <c r="V98" i="12"/>
  <c r="Y98" i="12" s="1"/>
  <c r="Y70" i="31"/>
  <c r="AA70" i="31" s="1"/>
  <c r="AB70" i="31" s="1"/>
  <c r="Y82" i="30"/>
  <c r="AA82" i="30" s="1"/>
  <c r="V27" i="12"/>
  <c r="Y27" i="12" s="1"/>
  <c r="Y26" i="31"/>
  <c r="AA26" i="31" s="1"/>
  <c r="AB26" i="31" s="1"/>
  <c r="Y66" i="30"/>
  <c r="AA66" i="30" s="1"/>
  <c r="Y100" i="30"/>
  <c r="AA100" i="30" s="1"/>
  <c r="Y87" i="31"/>
  <c r="AA87" i="31" s="1"/>
  <c r="AB87" i="31" s="1"/>
  <c r="Y63" i="30"/>
  <c r="AA63" i="30" s="1"/>
  <c r="V64" i="12"/>
  <c r="Y64" i="12" s="1"/>
  <c r="Y120" i="31"/>
  <c r="AA120" i="31" s="1"/>
  <c r="AB120" i="31" s="1"/>
  <c r="Y132" i="30"/>
  <c r="AA132" i="30" s="1"/>
  <c r="V111" i="12"/>
  <c r="Y111" i="12" s="1"/>
  <c r="Y86" i="31"/>
  <c r="AA86" i="31" s="1"/>
  <c r="AB86" i="31" s="1"/>
  <c r="Y20" i="30"/>
  <c r="AA20" i="30" s="1"/>
  <c r="Y124" i="30"/>
  <c r="AA124" i="30" s="1"/>
  <c r="Y71" i="31"/>
  <c r="AA71" i="31" s="1"/>
  <c r="AB71" i="31" s="1"/>
  <c r="V130" i="12"/>
  <c r="Y130" i="12" s="1"/>
  <c r="Y116" i="31"/>
  <c r="AA116" i="31" s="1"/>
  <c r="AB116" i="31" s="1"/>
  <c r="Y46" i="31"/>
  <c r="AA46" i="31" s="1"/>
  <c r="AB46" i="31" s="1"/>
  <c r="Y112" i="30"/>
  <c r="AA112" i="30" s="1"/>
  <c r="V108" i="12"/>
  <c r="Y108" i="12" s="1"/>
  <c r="Y114" i="31"/>
  <c r="AA114" i="31" s="1"/>
  <c r="AB114" i="31" s="1"/>
  <c r="Y12" i="30"/>
  <c r="AA12" i="30" s="1"/>
  <c r="V67" i="12"/>
  <c r="Y67" i="12" s="1"/>
  <c r="Y18" i="31"/>
  <c r="AA18" i="31" s="1"/>
  <c r="AB18" i="31" s="1"/>
  <c r="Y8" i="30"/>
  <c r="AA8" i="30" s="1"/>
  <c r="Y15" i="30"/>
  <c r="AA15" i="30" s="1"/>
  <c r="Y131" i="31"/>
  <c r="AA131" i="31" s="1"/>
  <c r="AB131" i="31" s="1"/>
  <c r="Y54" i="30"/>
  <c r="AA54" i="30" s="1"/>
  <c r="V56" i="12"/>
  <c r="Y56" i="12" s="1"/>
  <c r="V14" i="12"/>
  <c r="Y14" i="12" s="1"/>
  <c r="Y22" i="31"/>
  <c r="AA22" i="31" s="1"/>
  <c r="AB22" i="31" s="1"/>
  <c r="Y103" i="30"/>
  <c r="AA103" i="30" s="1"/>
  <c r="Y62" i="31"/>
  <c r="AA62" i="31" s="1"/>
  <c r="AB62" i="31" s="1"/>
  <c r="Y136" i="30"/>
  <c r="AA136" i="30" s="1"/>
  <c r="Y88" i="31"/>
  <c r="AA88" i="31" s="1"/>
  <c r="AB88" i="31" s="1"/>
  <c r="Y76" i="30"/>
  <c r="AA76" i="30" s="1"/>
  <c r="V126" i="12"/>
  <c r="Y126" i="12" s="1"/>
  <c r="Y110" i="31"/>
  <c r="AA110" i="31" s="1"/>
  <c r="AB110" i="31" s="1"/>
  <c r="Y38" i="30"/>
  <c r="AA38" i="30" s="1"/>
  <c r="V30" i="12"/>
  <c r="Y30" i="12" s="1"/>
  <c r="Y39" i="31"/>
  <c r="AA39" i="31" s="1"/>
  <c r="AB39" i="31" s="1"/>
  <c r="Y137" i="30"/>
  <c r="AA137" i="30" s="1"/>
  <c r="V128" i="12"/>
  <c r="Y128" i="12" s="1"/>
  <c r="Y91" i="31"/>
  <c r="AA91" i="31" s="1"/>
  <c r="AB91" i="31" s="1"/>
  <c r="Y115" i="30"/>
  <c r="AA115" i="30" s="1"/>
  <c r="V7" i="12"/>
  <c r="Y7" i="12" s="1"/>
  <c r="Y19" i="31"/>
  <c r="AA19" i="31" s="1"/>
  <c r="AB19" i="31" s="1"/>
  <c r="Y92" i="30"/>
  <c r="AA92" i="30" s="1"/>
  <c r="V24" i="12"/>
  <c r="Y24" i="12" s="1"/>
  <c r="Y47" i="31"/>
  <c r="AA47" i="31" s="1"/>
  <c r="AB47" i="31" s="1"/>
  <c r="Y82" i="31"/>
  <c r="AA82" i="31" s="1"/>
  <c r="AB82" i="31" s="1"/>
  <c r="Y64" i="30"/>
  <c r="AA64" i="30" s="1"/>
  <c r="Y70" i="30"/>
  <c r="AA70" i="30" s="1"/>
  <c r="V82" i="12"/>
  <c r="Y82" i="12" s="1"/>
  <c r="Y55" i="31"/>
  <c r="AA55" i="31" s="1"/>
  <c r="AB55" i="31" s="1"/>
  <c r="V26" i="12"/>
  <c r="Y26" i="12" s="1"/>
  <c r="V66" i="12"/>
  <c r="Y66" i="12" s="1"/>
  <c r="Y104" i="31"/>
  <c r="AA104" i="31" s="1"/>
  <c r="AB104" i="31" s="1"/>
  <c r="Y87" i="30"/>
  <c r="AA87" i="30" s="1"/>
  <c r="V63" i="12"/>
  <c r="Y63" i="12" s="1"/>
  <c r="Y119" i="31"/>
  <c r="AA119" i="31" s="1"/>
  <c r="AB119" i="31" s="1"/>
  <c r="Y120" i="30"/>
  <c r="AA120" i="30" s="1"/>
  <c r="V132" i="12"/>
  <c r="Y132" i="12" s="1"/>
  <c r="Y31" i="31"/>
  <c r="AA31" i="31" s="1"/>
  <c r="AB31" i="31" s="1"/>
  <c r="V86" i="12"/>
  <c r="Y86" i="12" s="1"/>
  <c r="V20" i="12"/>
  <c r="Y20" i="12" s="1"/>
  <c r="Y58" i="31"/>
  <c r="AA58" i="31" s="1"/>
  <c r="AB58" i="31" s="1"/>
  <c r="V71" i="12"/>
  <c r="Y71" i="12" s="1"/>
  <c r="Y135" i="31"/>
  <c r="AA135" i="31" s="1"/>
  <c r="AB135" i="31" s="1"/>
  <c r="Y116" i="30"/>
  <c r="AA116" i="30" s="1"/>
  <c r="Y46" i="30"/>
  <c r="AA46" i="30" s="1"/>
  <c r="V112" i="12"/>
  <c r="Y112" i="12" s="1"/>
  <c r="Y10" i="31"/>
  <c r="AA10" i="31" s="1"/>
  <c r="AB10" i="31" s="1"/>
  <c r="Y114" i="30"/>
  <c r="AA114" i="30" s="1"/>
  <c r="V12" i="12"/>
  <c r="Y12" i="12" s="1"/>
  <c r="Y122" i="31"/>
  <c r="AA122" i="31" s="1"/>
  <c r="AB122" i="31" s="1"/>
  <c r="Y18" i="30"/>
  <c r="AA18" i="30" s="1"/>
  <c r="V8" i="12"/>
  <c r="Y8" i="12" s="1"/>
  <c r="Y131" i="30"/>
  <c r="AA131" i="30" s="1"/>
  <c r="V54" i="12"/>
  <c r="Y54" i="12" s="1"/>
  <c r="Y56" i="30"/>
  <c r="AA56" i="30" s="1"/>
  <c r="Y75" i="31"/>
  <c r="AA75" i="31" s="1"/>
  <c r="AB75" i="31" s="1"/>
  <c r="Y22" i="30"/>
  <c r="AA22" i="30" s="1"/>
  <c r="Y40" i="31"/>
  <c r="AA40" i="31" s="1"/>
  <c r="AB40" i="31" s="1"/>
  <c r="Y62" i="30"/>
  <c r="AA62" i="30" s="1"/>
  <c r="V136" i="12"/>
  <c r="Y136" i="12" s="1"/>
  <c r="Y127" i="31"/>
  <c r="AA127" i="31" s="1"/>
  <c r="AB127" i="31" s="1"/>
  <c r="Y88" i="30"/>
  <c r="AA88" i="30" s="1"/>
  <c r="V76" i="12"/>
  <c r="Y76" i="12" s="1"/>
  <c r="Y123" i="31"/>
  <c r="AA123" i="31" s="1"/>
  <c r="AB123" i="31" s="1"/>
  <c r="Y110" i="30"/>
  <c r="AA110" i="30" s="1"/>
  <c r="V38" i="12"/>
  <c r="Y38" i="12" s="1"/>
  <c r="Y34" i="31"/>
  <c r="AA34" i="31" s="1"/>
  <c r="AB34" i="31" s="1"/>
  <c r="V39" i="12"/>
  <c r="Y39" i="12" s="1"/>
  <c r="V137" i="12"/>
  <c r="Y137" i="12" s="1"/>
  <c r="Y23" i="31"/>
  <c r="AA23" i="31" s="1"/>
  <c r="AB23" i="31" s="1"/>
  <c r="Y91" i="30"/>
  <c r="AA91" i="30" s="1"/>
  <c r="V115" i="12"/>
  <c r="Y115" i="12" s="1"/>
  <c r="Y19" i="30"/>
  <c r="AA19" i="30" s="1"/>
  <c r="V92" i="12"/>
  <c r="Y92" i="12" s="1"/>
  <c r="Y98" i="31"/>
  <c r="AA98" i="31" s="1"/>
  <c r="AB98" i="31" s="1"/>
  <c r="Y47" i="30"/>
  <c r="AA47" i="30" s="1"/>
  <c r="V100" i="12"/>
  <c r="Y100" i="12" s="1"/>
  <c r="V70" i="12"/>
  <c r="Y70" i="12" s="1"/>
  <c r="Y27" i="31"/>
  <c r="AA27" i="31" s="1"/>
  <c r="AB27" i="31" s="1"/>
  <c r="V55" i="12"/>
  <c r="Y55" i="12" s="1"/>
  <c r="Y26" i="30"/>
  <c r="AA26" i="30" s="1"/>
  <c r="Y100" i="31"/>
  <c r="AA100" i="31" s="1"/>
  <c r="AB100" i="31" s="1"/>
  <c r="V104" i="12"/>
  <c r="Y104" i="12" s="1"/>
  <c r="V87" i="12"/>
  <c r="Y87" i="12" s="1"/>
  <c r="Y64" i="31"/>
  <c r="AA64" i="31" s="1"/>
  <c r="AB64" i="31" s="1"/>
  <c r="Y119" i="30"/>
  <c r="AA119" i="30" s="1"/>
  <c r="V120" i="12"/>
  <c r="Y120" i="12" s="1"/>
  <c r="Y111" i="31"/>
  <c r="AA111" i="31" s="1"/>
  <c r="AB111" i="31" s="1"/>
  <c r="V31" i="12"/>
  <c r="Y31" i="12" s="1"/>
  <c r="Y86" i="30"/>
  <c r="AA86" i="30" s="1"/>
  <c r="Y124" i="31"/>
  <c r="AA124" i="31" s="1"/>
  <c r="AB124" i="31" s="1"/>
  <c r="V58" i="12"/>
  <c r="Y58" i="12" s="1"/>
  <c r="Y71" i="30"/>
  <c r="AA71" i="30" s="1"/>
  <c r="Y130" i="31"/>
  <c r="AA130" i="31" s="1"/>
  <c r="AB130" i="31" s="1"/>
  <c r="Y135" i="30"/>
  <c r="AA135" i="30" s="1"/>
  <c r="V116" i="12"/>
  <c r="Y116" i="12" s="1"/>
  <c r="V46" i="12"/>
  <c r="Y46" i="12" s="1"/>
  <c r="Y108" i="31"/>
  <c r="AA108" i="31" s="1"/>
  <c r="AB108" i="31" s="1"/>
  <c r="Y10" i="30"/>
  <c r="AA10" i="30" s="1"/>
  <c r="V114" i="12"/>
  <c r="Y114" i="12" s="1"/>
  <c r="Y67" i="31"/>
  <c r="AA67" i="31" s="1"/>
  <c r="Y122" i="30"/>
  <c r="AA122" i="30" s="1"/>
  <c r="V18" i="12"/>
  <c r="Y18" i="12" s="1"/>
  <c r="Y15" i="31"/>
  <c r="AA15" i="31" s="1"/>
  <c r="AB15" i="31" s="1"/>
  <c r="Y96" i="30"/>
  <c r="AA96" i="30" s="1"/>
  <c r="V131" i="12"/>
  <c r="Y131" i="12" s="1"/>
  <c r="Y14" i="31"/>
  <c r="AA14" i="31" s="1"/>
  <c r="AB14" i="31" s="1"/>
  <c r="Y75" i="30"/>
  <c r="AA75" i="30" s="1"/>
  <c r="V22" i="12"/>
  <c r="Y22" i="12" s="1"/>
  <c r="Y103" i="31"/>
  <c r="AA103" i="31" s="1"/>
  <c r="AB103" i="31" s="1"/>
  <c r="Y40" i="30"/>
  <c r="AA40" i="30" s="1"/>
  <c r="V62" i="12"/>
  <c r="Y62" i="12" s="1"/>
  <c r="Y74" i="31"/>
  <c r="AA74" i="31" s="1"/>
  <c r="AB74" i="31" s="1"/>
  <c r="Y127" i="30"/>
  <c r="AA127" i="30" s="1"/>
  <c r="V88" i="12"/>
  <c r="Y88" i="12" s="1"/>
  <c r="Y126" i="31"/>
  <c r="AA126" i="31" s="1"/>
  <c r="AB126" i="31" s="1"/>
  <c r="V123" i="12"/>
  <c r="Y123" i="12" s="1"/>
  <c r="V110" i="12"/>
  <c r="Y110" i="12" s="1"/>
  <c r="Y30" i="31"/>
  <c r="AA30" i="31" s="1"/>
  <c r="AB30" i="31" s="1"/>
  <c r="Y34" i="30"/>
  <c r="AA34" i="30" s="1"/>
  <c r="Y39" i="30"/>
  <c r="AA39" i="30" s="1"/>
  <c r="Y128" i="31"/>
  <c r="AA128" i="31" s="1"/>
  <c r="AB128" i="31" s="1"/>
  <c r="V23" i="12"/>
  <c r="Y23" i="12" s="1"/>
  <c r="V91" i="12"/>
  <c r="Y91" i="12" s="1"/>
  <c r="Y7" i="31"/>
  <c r="AA7" i="31" s="1"/>
  <c r="AB7" i="31" s="1"/>
  <c r="Y4" i="31"/>
  <c r="AA4" i="31" s="1"/>
  <c r="AB4" i="31" s="1"/>
  <c r="V19" i="12"/>
  <c r="Y19" i="12" s="1"/>
  <c r="Y24" i="31"/>
  <c r="AA24" i="31" s="1"/>
  <c r="AB24" i="31" s="1"/>
  <c r="Y98" i="30"/>
  <c r="AA98" i="30" s="1"/>
  <c r="V47" i="12"/>
  <c r="Y47" i="12" s="1"/>
  <c r="J37" i="12"/>
  <c r="M37" i="12" s="1"/>
  <c r="O37" i="12" s="1"/>
  <c r="BR10" i="27"/>
  <c r="BR65" i="27"/>
  <c r="BR66" i="27"/>
  <c r="BR24" i="27"/>
  <c r="BR36" i="27"/>
  <c r="BR42" i="27"/>
  <c r="BR17" i="27"/>
  <c r="BR113" i="27"/>
  <c r="BR48" i="27"/>
  <c r="J106" i="12"/>
  <c r="M106" i="12" s="1"/>
  <c r="O106" i="12" s="1"/>
  <c r="J134" i="30"/>
  <c r="J81" i="12"/>
  <c r="M81" i="12" s="1"/>
  <c r="O81" i="12" s="1"/>
  <c r="J16" i="12"/>
  <c r="M16" i="12" s="1"/>
  <c r="O16" i="12" s="1"/>
  <c r="J16" i="30"/>
  <c r="N138" i="30"/>
  <c r="N138" i="12"/>
  <c r="F138" i="30"/>
  <c r="BR16" i="27"/>
  <c r="BR49" i="27"/>
  <c r="J45" i="12"/>
  <c r="M45" i="12" s="1"/>
  <c r="O45" i="12" s="1"/>
  <c r="BR112" i="27"/>
  <c r="J101" i="30"/>
  <c r="BR25" i="27"/>
  <c r="BR117" i="27"/>
  <c r="J133" i="12"/>
  <c r="M133" i="12" s="1"/>
  <c r="O133" i="12" s="1"/>
  <c r="AB133" i="12" s="1"/>
  <c r="J60" i="30"/>
  <c r="J36" i="12"/>
  <c r="M36" i="12" s="1"/>
  <c r="O36" i="12" s="1"/>
  <c r="J80" i="30"/>
  <c r="J5" i="12"/>
  <c r="M5" i="12" s="1"/>
  <c r="O5" i="12" s="1"/>
  <c r="J90" i="30"/>
  <c r="J84" i="12"/>
  <c r="M84" i="12" s="1"/>
  <c r="O84" i="12" s="1"/>
  <c r="J49" i="12"/>
  <c r="M49" i="12" s="1"/>
  <c r="O49" i="12" s="1"/>
  <c r="J44" i="12"/>
  <c r="J44" i="30"/>
  <c r="J11" i="12"/>
  <c r="J121" i="12"/>
  <c r="M121" i="12" s="1"/>
  <c r="O121" i="12" s="1"/>
  <c r="J51" i="12"/>
  <c r="J32" i="12"/>
  <c r="M32" i="12" s="1"/>
  <c r="O32" i="12" s="1"/>
  <c r="J83" i="12"/>
  <c r="M83" i="12" s="1"/>
  <c r="O83" i="12" s="1"/>
  <c r="J78" i="12"/>
  <c r="J95" i="30"/>
  <c r="J41" i="12"/>
  <c r="M41" i="12" s="1"/>
  <c r="O41" i="12" s="1"/>
  <c r="BR137" i="27"/>
  <c r="BR118" i="27"/>
  <c r="J118" i="12"/>
  <c r="J118" i="30"/>
  <c r="BR121" i="27"/>
  <c r="BR134" i="27"/>
  <c r="J33" i="12"/>
  <c r="M33" i="12" s="1"/>
  <c r="O33" i="12" s="1"/>
  <c r="J48" i="30"/>
  <c r="J73" i="12"/>
  <c r="M73" i="12" s="1"/>
  <c r="O73" i="12" s="1"/>
  <c r="J77" i="30"/>
  <c r="BR58" i="27"/>
  <c r="BR21" i="27"/>
  <c r="BR57" i="27"/>
  <c r="BR78" i="27"/>
  <c r="BR124" i="27"/>
  <c r="BR102" i="27"/>
  <c r="BR126" i="27"/>
  <c r="BR122" i="27"/>
  <c r="BR130" i="27"/>
  <c r="BR93" i="27"/>
  <c r="BR22" i="27"/>
  <c r="BR60" i="27"/>
  <c r="BR73" i="27"/>
  <c r="BR110" i="27"/>
  <c r="BR116" i="27"/>
  <c r="BR77" i="27"/>
  <c r="BR69" i="27"/>
  <c r="BR133" i="27"/>
  <c r="BR33" i="27"/>
  <c r="BR88" i="27"/>
  <c r="BR72" i="27"/>
  <c r="BR68" i="27"/>
  <c r="BR106" i="27"/>
  <c r="BR89" i="27"/>
  <c r="BO140" i="27"/>
  <c r="BP140" i="27"/>
  <c r="BR139" i="27"/>
  <c r="BR32" i="27"/>
  <c r="BR114" i="27"/>
  <c r="BR12" i="27"/>
  <c r="BR94" i="27"/>
  <c r="BR26" i="27"/>
  <c r="BR100" i="27"/>
  <c r="BR41" i="27"/>
  <c r="BR76" i="27"/>
  <c r="BR90" i="27"/>
  <c r="BR125" i="27"/>
  <c r="BR40" i="27"/>
  <c r="BR132" i="27"/>
  <c r="BR14" i="27"/>
  <c r="BR20" i="27"/>
  <c r="BR98" i="27"/>
  <c r="BR56" i="27"/>
  <c r="BR84" i="27"/>
  <c r="BR29" i="27"/>
  <c r="BR28" i="27"/>
  <c r="BR105" i="27"/>
  <c r="BR64" i="27"/>
  <c r="BR138" i="27"/>
  <c r="BR129" i="27"/>
  <c r="BR128" i="27"/>
  <c r="BR9" i="27"/>
  <c r="BR6" i="27"/>
  <c r="H4" i="12" l="1"/>
  <c r="H4" i="30"/>
  <c r="H27" i="12"/>
  <c r="J27" i="12" s="1"/>
  <c r="M27" i="12" s="1"/>
  <c r="O27" i="12" s="1"/>
  <c r="H27" i="30"/>
  <c r="H123" i="12"/>
  <c r="H123" i="30"/>
  <c r="H112" i="12"/>
  <c r="H112" i="30"/>
  <c r="H70" i="12"/>
  <c r="H70" i="30"/>
  <c r="J70" i="30" s="1"/>
  <c r="H67" i="12"/>
  <c r="J67" i="12" s="1"/>
  <c r="M67" i="12" s="1"/>
  <c r="O67" i="12" s="1"/>
  <c r="H67" i="30"/>
  <c r="H128" i="12"/>
  <c r="H128" i="30"/>
  <c r="H122" i="12"/>
  <c r="J122" i="12" s="1"/>
  <c r="M122" i="12" s="1"/>
  <c r="O122" i="12" s="1"/>
  <c r="H122" i="30"/>
  <c r="H56" i="12"/>
  <c r="H56" i="30"/>
  <c r="J56" i="30" s="1"/>
  <c r="H115" i="12"/>
  <c r="H115" i="30"/>
  <c r="H63" i="12"/>
  <c r="H63" i="30"/>
  <c r="J63" i="30" s="1"/>
  <c r="M63" i="30" s="1"/>
  <c r="O63" i="30" s="1"/>
  <c r="AB63" i="30" s="1"/>
  <c r="H62" i="12"/>
  <c r="J62" i="12" s="1"/>
  <c r="M62" i="12" s="1"/>
  <c r="O62" i="12" s="1"/>
  <c r="H62" i="30"/>
  <c r="H12" i="12"/>
  <c r="H12" i="30"/>
  <c r="H24" i="12"/>
  <c r="J24" i="12" s="1"/>
  <c r="M24" i="12" s="1"/>
  <c r="O24" i="12" s="1"/>
  <c r="H24" i="30"/>
  <c r="H87" i="12"/>
  <c r="H87" i="30"/>
  <c r="J87" i="30" s="1"/>
  <c r="H75" i="12"/>
  <c r="J75" i="12" s="1"/>
  <c r="M75" i="12" s="1"/>
  <c r="O75" i="12" s="1"/>
  <c r="H75" i="30"/>
  <c r="H58" i="12"/>
  <c r="H58" i="30"/>
  <c r="J58" i="30" s="1"/>
  <c r="H76" i="12"/>
  <c r="H76" i="30"/>
  <c r="H132" i="12"/>
  <c r="H132" i="30"/>
  <c r="J132" i="30" s="1"/>
  <c r="H23" i="12"/>
  <c r="J23" i="12" s="1"/>
  <c r="M23" i="12" s="1"/>
  <c r="O23" i="12" s="1"/>
  <c r="H23" i="30"/>
  <c r="H46" i="12"/>
  <c r="H46" i="30"/>
  <c r="J46" i="30" s="1"/>
  <c r="H8" i="12"/>
  <c r="J8" i="12" s="1"/>
  <c r="M8" i="12" s="1"/>
  <c r="O8" i="12" s="1"/>
  <c r="H8" i="30"/>
  <c r="H127" i="12"/>
  <c r="H127" i="30"/>
  <c r="J127" i="30" s="1"/>
  <c r="H26" i="12"/>
  <c r="H26" i="30"/>
  <c r="H96" i="12"/>
  <c r="H96" i="30"/>
  <c r="J96" i="30" s="1"/>
  <c r="H38" i="12"/>
  <c r="J38" i="12" s="1"/>
  <c r="M38" i="12" s="1"/>
  <c r="O38" i="12" s="1"/>
  <c r="H38" i="30"/>
  <c r="H39" i="12"/>
  <c r="H39" i="30"/>
  <c r="J39" i="30" s="1"/>
  <c r="H10" i="12"/>
  <c r="J10" i="12" s="1"/>
  <c r="M10" i="12" s="1"/>
  <c r="O10" i="12" s="1"/>
  <c r="H10" i="30"/>
  <c r="H66" i="12"/>
  <c r="H66" i="30"/>
  <c r="J66" i="30" s="1"/>
  <c r="H131" i="12"/>
  <c r="H131" i="30"/>
  <c r="H108" i="12"/>
  <c r="H108" i="30"/>
  <c r="J108" i="30" s="1"/>
  <c r="H91" i="12"/>
  <c r="H91" i="30"/>
  <c r="H100" i="12"/>
  <c r="H100" i="30"/>
  <c r="J100" i="30" s="1"/>
  <c r="H19" i="12"/>
  <c r="J19" i="12" s="1"/>
  <c r="M19" i="12" s="1"/>
  <c r="O19" i="12" s="1"/>
  <c r="H19" i="30"/>
  <c r="H135" i="12"/>
  <c r="H135" i="30"/>
  <c r="H47" i="12"/>
  <c r="J47" i="12" s="1"/>
  <c r="M47" i="12" s="1"/>
  <c r="O47" i="12" s="1"/>
  <c r="H47" i="30"/>
  <c r="H15" i="12"/>
  <c r="H15" i="30"/>
  <c r="H64" i="12"/>
  <c r="J64" i="12" s="1"/>
  <c r="M64" i="12" s="1"/>
  <c r="O64" i="12" s="1"/>
  <c r="H64" i="30"/>
  <c r="H136" i="12"/>
  <c r="H136" i="30"/>
  <c r="J136" i="30" s="1"/>
  <c r="H18" i="12"/>
  <c r="J18" i="12" s="1"/>
  <c r="M18" i="12" s="1"/>
  <c r="O18" i="12" s="1"/>
  <c r="H18" i="30"/>
  <c r="H98" i="12"/>
  <c r="H98" i="30"/>
  <c r="H71" i="12"/>
  <c r="J71" i="12" s="1"/>
  <c r="M71" i="12" s="1"/>
  <c r="O71" i="12" s="1"/>
  <c r="H71" i="30"/>
  <c r="H110" i="12"/>
  <c r="H110" i="30"/>
  <c r="J110" i="30" s="1"/>
  <c r="H14" i="12"/>
  <c r="H14" i="30"/>
  <c r="H40" i="12"/>
  <c r="H40" i="30"/>
  <c r="J40" i="30" s="1"/>
  <c r="H7" i="12"/>
  <c r="J7" i="12" s="1"/>
  <c r="M7" i="12" s="1"/>
  <c r="O7" i="12" s="1"/>
  <c r="H7" i="30"/>
  <c r="H82" i="12"/>
  <c r="H82" i="30"/>
  <c r="J82" i="30" s="1"/>
  <c r="H88" i="12"/>
  <c r="H88" i="30"/>
  <c r="H30" i="12"/>
  <c r="H30" i="30"/>
  <c r="J30" i="30" s="1"/>
  <c r="H86" i="12"/>
  <c r="H86" i="30"/>
  <c r="H120" i="12"/>
  <c r="H120" i="30"/>
  <c r="H34" i="12"/>
  <c r="J34" i="12" s="1"/>
  <c r="M34" i="12" s="1"/>
  <c r="O34" i="12" s="1"/>
  <c r="H34" i="30"/>
  <c r="H126" i="12"/>
  <c r="H126" i="30"/>
  <c r="H103" i="12"/>
  <c r="J103" i="12" s="1"/>
  <c r="M103" i="12" s="1"/>
  <c r="O103" i="12" s="1"/>
  <c r="H103" i="30"/>
  <c r="H54" i="12"/>
  <c r="H54" i="30"/>
  <c r="J54" i="30" s="1"/>
  <c r="H130" i="12"/>
  <c r="J130" i="12" s="1"/>
  <c r="M130" i="12" s="1"/>
  <c r="O130" i="12" s="1"/>
  <c r="H130" i="30"/>
  <c r="H74" i="12"/>
  <c r="H74" i="30"/>
  <c r="J74" i="30" s="1"/>
  <c r="H92" i="12"/>
  <c r="H92" i="30"/>
  <c r="H137" i="12"/>
  <c r="H137" i="30"/>
  <c r="H104" i="12"/>
  <c r="J104" i="12" s="1"/>
  <c r="M104" i="12" s="1"/>
  <c r="O104" i="12" s="1"/>
  <c r="H104" i="30"/>
  <c r="H31" i="12"/>
  <c r="H31" i="30"/>
  <c r="J31" i="30" s="1"/>
  <c r="H114" i="12"/>
  <c r="J114" i="12" s="1"/>
  <c r="M114" i="12" s="1"/>
  <c r="O114" i="12" s="1"/>
  <c r="H114" i="30"/>
  <c r="H20" i="12"/>
  <c r="H20" i="30"/>
  <c r="J20" i="30" s="1"/>
  <c r="H124" i="12"/>
  <c r="H124" i="30"/>
  <c r="H55" i="12"/>
  <c r="H55" i="30"/>
  <c r="H119" i="12"/>
  <c r="H119" i="30"/>
  <c r="H116" i="12"/>
  <c r="H116" i="30"/>
  <c r="J116" i="30" s="1"/>
  <c r="H111" i="12"/>
  <c r="J111" i="12" s="1"/>
  <c r="M111" i="12" s="1"/>
  <c r="O111" i="12" s="1"/>
  <c r="H111" i="30"/>
  <c r="H22" i="12"/>
  <c r="H22" i="30"/>
  <c r="AB73" i="12"/>
  <c r="AB121" i="12"/>
  <c r="AB60" i="12"/>
  <c r="AB17" i="12"/>
  <c r="AB21" i="12"/>
  <c r="AB85" i="12"/>
  <c r="AB69" i="12"/>
  <c r="M13" i="30"/>
  <c r="O13" i="30" s="1"/>
  <c r="AB13" i="30" s="1"/>
  <c r="J111" i="30"/>
  <c r="J22" i="12"/>
  <c r="M22" i="12" s="1"/>
  <c r="O22" i="12" s="1"/>
  <c r="J63" i="12"/>
  <c r="M63" i="12" s="1"/>
  <c r="O63" i="12" s="1"/>
  <c r="J15" i="12"/>
  <c r="M15" i="12" s="1"/>
  <c r="O15" i="12" s="1"/>
  <c r="J8" i="30"/>
  <c r="AB125" i="12"/>
  <c r="J46" i="12"/>
  <c r="M46" i="12" s="1"/>
  <c r="O46" i="12" s="1"/>
  <c r="AB25" i="12"/>
  <c r="AB28" i="12"/>
  <c r="J40" i="12"/>
  <c r="M40" i="12" s="1"/>
  <c r="O40" i="12" s="1"/>
  <c r="M106" i="30"/>
  <c r="O106" i="30" s="1"/>
  <c r="AB106" i="30" s="1"/>
  <c r="AB105" i="12"/>
  <c r="AB101" i="12"/>
  <c r="AB16" i="12"/>
  <c r="AB45" i="12"/>
  <c r="AB81" i="12"/>
  <c r="AB13" i="12"/>
  <c r="AB77" i="12"/>
  <c r="AB41" i="12"/>
  <c r="AB84" i="12"/>
  <c r="AB37" i="12"/>
  <c r="AB83" i="12"/>
  <c r="AB48" i="12"/>
  <c r="AB5" i="12"/>
  <c r="AB106" i="12"/>
  <c r="AB89" i="12"/>
  <c r="AB49" i="12"/>
  <c r="AB35" i="12"/>
  <c r="AA23" i="12"/>
  <c r="AA88" i="12"/>
  <c r="AA104" i="12"/>
  <c r="AA7" i="12"/>
  <c r="AA14" i="12"/>
  <c r="AA98" i="12"/>
  <c r="AA74" i="12"/>
  <c r="AA96" i="12"/>
  <c r="AA47" i="12"/>
  <c r="AA131" i="12"/>
  <c r="AA92" i="12"/>
  <c r="AA38" i="12"/>
  <c r="AA71" i="12"/>
  <c r="AA63" i="12"/>
  <c r="AA126" i="12"/>
  <c r="AA56" i="12"/>
  <c r="AA34" i="12"/>
  <c r="AA15" i="12"/>
  <c r="AA135" i="12"/>
  <c r="AA119" i="12"/>
  <c r="AA46" i="12"/>
  <c r="AA31" i="12"/>
  <c r="AA12" i="12"/>
  <c r="AA108" i="12"/>
  <c r="AA40" i="12"/>
  <c r="AA62" i="12"/>
  <c r="AA116" i="12"/>
  <c r="AA55" i="12"/>
  <c r="AA115" i="12"/>
  <c r="AA20" i="12"/>
  <c r="AA128" i="12"/>
  <c r="AA111" i="12"/>
  <c r="AA103" i="12"/>
  <c r="AA122" i="12"/>
  <c r="AA19" i="12"/>
  <c r="AA18" i="12"/>
  <c r="AA120" i="12"/>
  <c r="AA76" i="12"/>
  <c r="AA86" i="12"/>
  <c r="AA66" i="12"/>
  <c r="AA27" i="12"/>
  <c r="AA75" i="12"/>
  <c r="AA124" i="12"/>
  <c r="AA110" i="12"/>
  <c r="AA70" i="12"/>
  <c r="AA54" i="12"/>
  <c r="AA112" i="12"/>
  <c r="AA26" i="12"/>
  <c r="AA24" i="12"/>
  <c r="AA123" i="12"/>
  <c r="AA22" i="12"/>
  <c r="AA100" i="12"/>
  <c r="AA137" i="12"/>
  <c r="AA132" i="12"/>
  <c r="AA30" i="12"/>
  <c r="AA130" i="12"/>
  <c r="AA64" i="12"/>
  <c r="AA10" i="12"/>
  <c r="AA91" i="12"/>
  <c r="AA114" i="12"/>
  <c r="AA58" i="12"/>
  <c r="AA87" i="12"/>
  <c r="AA39" i="12"/>
  <c r="AA136" i="12"/>
  <c r="AA8" i="12"/>
  <c r="AA82" i="12"/>
  <c r="AA67" i="12"/>
  <c r="AA127" i="12"/>
  <c r="J64" i="30"/>
  <c r="M64" i="30" s="1"/>
  <c r="O64" i="30" s="1"/>
  <c r="AB64" i="30" s="1"/>
  <c r="J35" i="30"/>
  <c r="M35" i="30" s="1"/>
  <c r="O35" i="30" s="1"/>
  <c r="AB35" i="30" s="1"/>
  <c r="J21" i="30"/>
  <c r="M21" i="30" s="1"/>
  <c r="O21" i="30" s="1"/>
  <c r="AB21" i="30" s="1"/>
  <c r="J25" i="30"/>
  <c r="M25" i="30" s="1"/>
  <c r="O25" i="30" s="1"/>
  <c r="AB25" i="30" s="1"/>
  <c r="J41" i="30"/>
  <c r="M41" i="30" s="1"/>
  <c r="O41" i="30" s="1"/>
  <c r="AB41" i="30" s="1"/>
  <c r="J29" i="30"/>
  <c r="M29" i="30" s="1"/>
  <c r="O29" i="30" s="1"/>
  <c r="AB29" i="30" s="1"/>
  <c r="J81" i="30"/>
  <c r="M81" i="30" s="1"/>
  <c r="O81" i="30" s="1"/>
  <c r="AB81" i="30" s="1"/>
  <c r="J125" i="30"/>
  <c r="M125" i="30" s="1"/>
  <c r="O125" i="30" s="1"/>
  <c r="AB125" i="30" s="1"/>
  <c r="J84" i="30"/>
  <c r="M84" i="30" s="1"/>
  <c r="O84" i="30" s="1"/>
  <c r="AB84" i="30" s="1"/>
  <c r="J5" i="30"/>
  <c r="M5" i="30" s="1"/>
  <c r="O5" i="30" s="1"/>
  <c r="AB5" i="30" s="1"/>
  <c r="J45" i="30"/>
  <c r="M45" i="30" s="1"/>
  <c r="O45" i="30" s="1"/>
  <c r="AB45" i="30" s="1"/>
  <c r="J105" i="30"/>
  <c r="M105" i="30" s="1"/>
  <c r="O105" i="30" s="1"/>
  <c r="AB105" i="30" s="1"/>
  <c r="J69" i="30"/>
  <c r="M69" i="30" s="1"/>
  <c r="O69" i="30" s="1"/>
  <c r="AB69" i="30" s="1"/>
  <c r="J28" i="30"/>
  <c r="M28" i="30" s="1"/>
  <c r="O28" i="30" s="1"/>
  <c r="AB28" i="30" s="1"/>
  <c r="J49" i="30"/>
  <c r="M49" i="30" s="1"/>
  <c r="O49" i="30" s="1"/>
  <c r="AB49" i="30" s="1"/>
  <c r="J89" i="30"/>
  <c r="M89" i="30" s="1"/>
  <c r="O89" i="30" s="1"/>
  <c r="AB89" i="30" s="1"/>
  <c r="J17" i="30"/>
  <c r="M17" i="30" s="1"/>
  <c r="O17" i="30" s="1"/>
  <c r="AB17" i="30" s="1"/>
  <c r="J85" i="30"/>
  <c r="M85" i="30" s="1"/>
  <c r="O85" i="30" s="1"/>
  <c r="AB85" i="30" s="1"/>
  <c r="J4" i="12"/>
  <c r="V138" i="12"/>
  <c r="Y138" i="12" s="1"/>
  <c r="Y138" i="31"/>
  <c r="AA138" i="31" s="1"/>
  <c r="AB138" i="31" s="1"/>
  <c r="AC14" i="31" s="1"/>
  <c r="Y138" i="30"/>
  <c r="AA138" i="30" s="1"/>
  <c r="J126" i="12"/>
  <c r="M126" i="12" s="1"/>
  <c r="O126" i="12" s="1"/>
  <c r="J82" i="12"/>
  <c r="M82" i="12" s="1"/>
  <c r="O82" i="12" s="1"/>
  <c r="J12" i="12"/>
  <c r="M12" i="12" s="1"/>
  <c r="O12" i="12" s="1"/>
  <c r="J12" i="30"/>
  <c r="J88" i="12"/>
  <c r="M88" i="12" s="1"/>
  <c r="O88" i="12" s="1"/>
  <c r="J88" i="30"/>
  <c r="J98" i="12"/>
  <c r="M98" i="12" s="1"/>
  <c r="O98" i="12" s="1"/>
  <c r="J98" i="30"/>
  <c r="J112" i="30"/>
  <c r="J87" i="12"/>
  <c r="M87" i="12" s="1"/>
  <c r="O87" i="12" s="1"/>
  <c r="J108" i="12"/>
  <c r="M108" i="12" s="1"/>
  <c r="O108" i="12" s="1"/>
  <c r="J128" i="12"/>
  <c r="M128" i="12" s="1"/>
  <c r="O128" i="12" s="1"/>
  <c r="J56" i="12"/>
  <c r="M56" i="12" s="1"/>
  <c r="O56" i="12" s="1"/>
  <c r="J119" i="30"/>
  <c r="J117" i="12"/>
  <c r="M117" i="12" s="1"/>
  <c r="O117" i="12" s="1"/>
  <c r="AB117" i="12" s="1"/>
  <c r="J115" i="12"/>
  <c r="M115" i="12" s="1"/>
  <c r="O115" i="12" s="1"/>
  <c r="J110" i="12"/>
  <c r="M110" i="12" s="1"/>
  <c r="O110" i="12" s="1"/>
  <c r="M16" i="30"/>
  <c r="O16" i="30" s="1"/>
  <c r="AB16" i="30" s="1"/>
  <c r="J130" i="30"/>
  <c r="J74" i="12"/>
  <c r="M74" i="12" s="1"/>
  <c r="O74" i="12" s="1"/>
  <c r="J30" i="12"/>
  <c r="M30" i="12" s="1"/>
  <c r="O30" i="12" s="1"/>
  <c r="J86" i="12"/>
  <c r="M86" i="12" s="1"/>
  <c r="O86" i="12" s="1"/>
  <c r="J86" i="30"/>
  <c r="J120" i="12"/>
  <c r="M120" i="12" s="1"/>
  <c r="O120" i="12" s="1"/>
  <c r="J76" i="12"/>
  <c r="M76" i="12" s="1"/>
  <c r="O76" i="12" s="1"/>
  <c r="J76" i="30"/>
  <c r="M33" i="30"/>
  <c r="O33" i="30" s="1"/>
  <c r="AB33" i="30" s="1"/>
  <c r="J116" i="12"/>
  <c r="M116" i="12" s="1"/>
  <c r="O116" i="12" s="1"/>
  <c r="M32" i="30"/>
  <c r="O32" i="30" s="1"/>
  <c r="AB32" i="30" s="1"/>
  <c r="M36" i="30"/>
  <c r="O36" i="30" s="1"/>
  <c r="AB36" i="30" s="1"/>
  <c r="M60" i="30"/>
  <c r="O60" i="30" s="1"/>
  <c r="AB60" i="30" s="1"/>
  <c r="M111" i="30"/>
  <c r="O111" i="30" s="1"/>
  <c r="AB111" i="30" s="1"/>
  <c r="J47" i="30"/>
  <c r="M134" i="30"/>
  <c r="O134" i="30" s="1"/>
  <c r="AB134" i="30" s="1"/>
  <c r="J62" i="30"/>
  <c r="J26" i="30"/>
  <c r="J123" i="12"/>
  <c r="M123" i="12" s="1"/>
  <c r="O123" i="12" s="1"/>
  <c r="J92" i="30"/>
  <c r="J66" i="12"/>
  <c r="M66" i="12" s="1"/>
  <c r="O66" i="12" s="1"/>
  <c r="J31" i="12"/>
  <c r="M31" i="12" s="1"/>
  <c r="O31" i="12" s="1"/>
  <c r="J124" i="12"/>
  <c r="M124" i="12" s="1"/>
  <c r="O124" i="12" s="1"/>
  <c r="J55" i="12"/>
  <c r="M55" i="12" s="1"/>
  <c r="O55" i="12" s="1"/>
  <c r="M77" i="30"/>
  <c r="O77" i="30" s="1"/>
  <c r="AB77" i="30" s="1"/>
  <c r="M101" i="30"/>
  <c r="O101" i="30" s="1"/>
  <c r="AB101" i="30" s="1"/>
  <c r="J14" i="12"/>
  <c r="M14" i="12" s="1"/>
  <c r="O14" i="12" s="1"/>
  <c r="J14" i="30"/>
  <c r="J134" i="12"/>
  <c r="M134" i="12" s="1"/>
  <c r="O134" i="12" s="1"/>
  <c r="AB134" i="12" s="1"/>
  <c r="J54" i="12"/>
  <c r="M54" i="12" s="1"/>
  <c r="O54" i="12" s="1"/>
  <c r="J38" i="30"/>
  <c r="J24" i="30"/>
  <c r="J96" i="12"/>
  <c r="M96" i="12" s="1"/>
  <c r="O96" i="12" s="1"/>
  <c r="J103" i="30"/>
  <c r="J27" i="30"/>
  <c r="J18" i="30"/>
  <c r="J39" i="12"/>
  <c r="M39" i="12" s="1"/>
  <c r="O39" i="12" s="1"/>
  <c r="J10" i="30"/>
  <c r="J70" i="12"/>
  <c r="M70" i="12" s="1"/>
  <c r="O70" i="12" s="1"/>
  <c r="J114" i="30"/>
  <c r="J20" i="12"/>
  <c r="M20" i="12" s="1"/>
  <c r="O20" i="12" s="1"/>
  <c r="J100" i="12"/>
  <c r="M100" i="12" s="1"/>
  <c r="O100" i="12" s="1"/>
  <c r="M73" i="30"/>
  <c r="O73" i="30" s="1"/>
  <c r="AB73" i="30" s="1"/>
  <c r="M48" i="30"/>
  <c r="O48" i="30" s="1"/>
  <c r="AB48" i="30" s="1"/>
  <c r="J132" i="12"/>
  <c r="M132" i="12" s="1"/>
  <c r="O132" i="12" s="1"/>
  <c r="M117" i="30"/>
  <c r="O117" i="30" s="1"/>
  <c r="AB117" i="30" s="1"/>
  <c r="M83" i="30"/>
  <c r="O83" i="30" s="1"/>
  <c r="AB83" i="30" s="1"/>
  <c r="M121" i="30"/>
  <c r="O121" i="30" s="1"/>
  <c r="AB121" i="30" s="1"/>
  <c r="AB36" i="12"/>
  <c r="AB32" i="12"/>
  <c r="AB33" i="12"/>
  <c r="AB29" i="12"/>
  <c r="BR140" i="27"/>
  <c r="H138" i="12" l="1"/>
  <c r="H138" i="30"/>
  <c r="J138" i="30" s="1"/>
  <c r="M8" i="30"/>
  <c r="O8" i="30" s="1"/>
  <c r="AB8" i="30" s="1"/>
  <c r="AB8" i="12"/>
  <c r="M40" i="30"/>
  <c r="O40" i="30" s="1"/>
  <c r="AB40" i="30" s="1"/>
  <c r="AB64" i="12"/>
  <c r="AB46" i="12"/>
  <c r="AB34" i="12"/>
  <c r="AB22" i="12"/>
  <c r="AB15" i="12"/>
  <c r="AB63" i="12"/>
  <c r="AB108" i="12"/>
  <c r="AB56" i="12"/>
  <c r="AB128" i="12"/>
  <c r="AB7" i="12"/>
  <c r="AB19" i="12"/>
  <c r="AB114" i="12"/>
  <c r="AB96" i="12"/>
  <c r="AB55" i="12"/>
  <c r="AB23" i="12"/>
  <c r="AB86" i="12"/>
  <c r="AB30" i="12"/>
  <c r="AB130" i="12"/>
  <c r="AB115" i="12"/>
  <c r="AB111" i="12"/>
  <c r="AB100" i="12"/>
  <c r="AB18" i="12"/>
  <c r="AB124" i="12"/>
  <c r="AB66" i="12"/>
  <c r="AB104" i="12"/>
  <c r="AB110" i="12"/>
  <c r="AB14" i="12"/>
  <c r="AB24" i="12"/>
  <c r="AB27" i="12"/>
  <c r="AB70" i="12"/>
  <c r="AB103" i="12"/>
  <c r="AB71" i="12"/>
  <c r="AB74" i="12"/>
  <c r="AB120" i="12"/>
  <c r="AB47" i="12"/>
  <c r="AB116" i="12"/>
  <c r="AB12" i="12"/>
  <c r="AB126" i="12"/>
  <c r="AB40" i="12"/>
  <c r="AB82" i="12"/>
  <c r="AB98" i="12"/>
  <c r="AB132" i="12"/>
  <c r="AB62" i="12"/>
  <c r="AB88" i="12"/>
  <c r="AB54" i="12"/>
  <c r="AB75" i="12"/>
  <c r="AB20" i="12"/>
  <c r="AB122" i="12"/>
  <c r="AB87" i="12"/>
  <c r="AB76" i="12"/>
  <c r="AB123" i="12"/>
  <c r="AA138" i="12"/>
  <c r="J131" i="30"/>
  <c r="M131" i="30" s="1"/>
  <c r="O131" i="30" s="1"/>
  <c r="AB131" i="30" s="1"/>
  <c r="J124" i="30"/>
  <c r="M124" i="30" s="1"/>
  <c r="O124" i="30" s="1"/>
  <c r="AB124" i="30" s="1"/>
  <c r="J75" i="30"/>
  <c r="M75" i="30" s="1"/>
  <c r="O75" i="30" s="1"/>
  <c r="AB75" i="30" s="1"/>
  <c r="J23" i="30"/>
  <c r="M23" i="30" s="1"/>
  <c r="O23" i="30" s="1"/>
  <c r="AB23" i="30" s="1"/>
  <c r="J71" i="30"/>
  <c r="M71" i="30" s="1"/>
  <c r="O71" i="30" s="1"/>
  <c r="AB71" i="30" s="1"/>
  <c r="J104" i="30"/>
  <c r="M104" i="30" s="1"/>
  <c r="O104" i="30" s="1"/>
  <c r="AB104" i="30" s="1"/>
  <c r="J22" i="30"/>
  <c r="M22" i="30" s="1"/>
  <c r="O22" i="30" s="1"/>
  <c r="AB22" i="30" s="1"/>
  <c r="J122" i="30"/>
  <c r="M122" i="30" s="1"/>
  <c r="O122" i="30" s="1"/>
  <c r="AB122" i="30" s="1"/>
  <c r="J126" i="30"/>
  <c r="M126" i="30" s="1"/>
  <c r="O126" i="30" s="1"/>
  <c r="AB126" i="30" s="1"/>
  <c r="J4" i="30"/>
  <c r="M4" i="30" s="1"/>
  <c r="O4" i="30" s="1"/>
  <c r="AB4" i="30" s="1"/>
  <c r="J91" i="30"/>
  <c r="M91" i="30" s="1"/>
  <c r="O91" i="30" s="1"/>
  <c r="AB91" i="30" s="1"/>
  <c r="J55" i="30"/>
  <c r="M55" i="30" s="1"/>
  <c r="O55" i="30" s="1"/>
  <c r="AB55" i="30" s="1"/>
  <c r="J137" i="30"/>
  <c r="M137" i="30" s="1"/>
  <c r="O137" i="30" s="1"/>
  <c r="AB137" i="30" s="1"/>
  <c r="J123" i="30"/>
  <c r="M123" i="30" s="1"/>
  <c r="O123" i="30" s="1"/>
  <c r="AB123" i="30" s="1"/>
  <c r="J120" i="30"/>
  <c r="M120" i="30" s="1"/>
  <c r="O120" i="30" s="1"/>
  <c r="AB120" i="30" s="1"/>
  <c r="J115" i="30"/>
  <c r="M115" i="30" s="1"/>
  <c r="O115" i="30" s="1"/>
  <c r="AB115" i="30" s="1"/>
  <c r="J19" i="30"/>
  <c r="M19" i="30" s="1"/>
  <c r="O19" i="30" s="1"/>
  <c r="AB19" i="30" s="1"/>
  <c r="J135" i="30"/>
  <c r="M135" i="30" s="1"/>
  <c r="O135" i="30" s="1"/>
  <c r="AB135" i="30" s="1"/>
  <c r="J128" i="30"/>
  <c r="M128" i="30" s="1"/>
  <c r="O128" i="30" s="1"/>
  <c r="AB128" i="30" s="1"/>
  <c r="J67" i="30"/>
  <c r="M67" i="30" s="1"/>
  <c r="O67" i="30" s="1"/>
  <c r="J7" i="30"/>
  <c r="M7" i="30" s="1"/>
  <c r="O7" i="30" s="1"/>
  <c r="AB7" i="30" s="1"/>
  <c r="J15" i="30"/>
  <c r="M15" i="30" s="1"/>
  <c r="O15" i="30" s="1"/>
  <c r="AB15" i="30" s="1"/>
  <c r="J34" i="30"/>
  <c r="M34" i="30" s="1"/>
  <c r="O34" i="30" s="1"/>
  <c r="AB34" i="30" s="1"/>
  <c r="M46" i="30"/>
  <c r="O46" i="30" s="1"/>
  <c r="AB46" i="30" s="1"/>
  <c r="AC30" i="31"/>
  <c r="AC16" i="31"/>
  <c r="AC8" i="31"/>
  <c r="AC99" i="31"/>
  <c r="AC119" i="31"/>
  <c r="AC56" i="31"/>
  <c r="AC108" i="31"/>
  <c r="AC104" i="31"/>
  <c r="AC31" i="31"/>
  <c r="AC116" i="31"/>
  <c r="AC128" i="31"/>
  <c r="AC5" i="31"/>
  <c r="AC37" i="31"/>
  <c r="AC52" i="31"/>
  <c r="AC55" i="31"/>
  <c r="AC45" i="31"/>
  <c r="AC17" i="31"/>
  <c r="AC66" i="31"/>
  <c r="AC83" i="31"/>
  <c r="AC132" i="31"/>
  <c r="AC54" i="31"/>
  <c r="AC25" i="31"/>
  <c r="AC13" i="31"/>
  <c r="AC68" i="31"/>
  <c r="AC92" i="31"/>
  <c r="AC4" i="31"/>
  <c r="AC64" i="31"/>
  <c r="AC15" i="31"/>
  <c r="AC103" i="31"/>
  <c r="AC59" i="31"/>
  <c r="AC98" i="31"/>
  <c r="AC12" i="31"/>
  <c r="AC115" i="31"/>
  <c r="AC82" i="31"/>
  <c r="AC100" i="31"/>
  <c r="AC111" i="31"/>
  <c r="AC40" i="31"/>
  <c r="AC112" i="31"/>
  <c r="AC101" i="31"/>
  <c r="AC125" i="31"/>
  <c r="AC75" i="31"/>
  <c r="AC26" i="31"/>
  <c r="AC114" i="31"/>
  <c r="AC27" i="31"/>
  <c r="AC22" i="31"/>
  <c r="AC137" i="31"/>
  <c r="AC127" i="31"/>
  <c r="AC121" i="31"/>
  <c r="AC79" i="31"/>
  <c r="AC135" i="31"/>
  <c r="AC69" i="31"/>
  <c r="AC106" i="31"/>
  <c r="AC105" i="31"/>
  <c r="AC41" i="31"/>
  <c r="AC120" i="31"/>
  <c r="AC74" i="31"/>
  <c r="AC49" i="31"/>
  <c r="AC84" i="31"/>
  <c r="AC107" i="31"/>
  <c r="AC96" i="31"/>
  <c r="AC113" i="31"/>
  <c r="AC86" i="31"/>
  <c r="AC46" i="31"/>
  <c r="AC126" i="31"/>
  <c r="AC117" i="31"/>
  <c r="AC39" i="31"/>
  <c r="AC70" i="31"/>
  <c r="AC71" i="31"/>
  <c r="AC123" i="31"/>
  <c r="AC24" i="31"/>
  <c r="AC47" i="31"/>
  <c r="AC138" i="31"/>
  <c r="AC130" i="31"/>
  <c r="AC48" i="31"/>
  <c r="AC7" i="31"/>
  <c r="AC33" i="31"/>
  <c r="AC38" i="31"/>
  <c r="AC97" i="31"/>
  <c r="AC85" i="31"/>
  <c r="AC36" i="31"/>
  <c r="AC109" i="31"/>
  <c r="AC81" i="31"/>
  <c r="AC94" i="31"/>
  <c r="AC58" i="31"/>
  <c r="AC6" i="31"/>
  <c r="AC89" i="31"/>
  <c r="AC122" i="31"/>
  <c r="AC32" i="31"/>
  <c r="AC91" i="31"/>
  <c r="AC29" i="31"/>
  <c r="AC124" i="31"/>
  <c r="AC76" i="31"/>
  <c r="AC28" i="31"/>
  <c r="AC134" i="31"/>
  <c r="AC42" i="31"/>
  <c r="AC10" i="31"/>
  <c r="AC60" i="31"/>
  <c r="AC43" i="31"/>
  <c r="AC73" i="31"/>
  <c r="AC57" i="31"/>
  <c r="AC63" i="31"/>
  <c r="AC77" i="31"/>
  <c r="AC35" i="31"/>
  <c r="AC133" i="31"/>
  <c r="AC65" i="31"/>
  <c r="AC20" i="31"/>
  <c r="AC136" i="31"/>
  <c r="AC18" i="31"/>
  <c r="AC19" i="31"/>
  <c r="AC34" i="31"/>
  <c r="AC21" i="31"/>
  <c r="AC72" i="31"/>
  <c r="AC131" i="31"/>
  <c r="AC62" i="31"/>
  <c r="AC23" i="31"/>
  <c r="AC88" i="31"/>
  <c r="AC110" i="31"/>
  <c r="AC87" i="31"/>
  <c r="M114" i="30"/>
  <c r="O114" i="30" s="1"/>
  <c r="AB114" i="30" s="1"/>
  <c r="M70" i="30"/>
  <c r="O70" i="30" s="1"/>
  <c r="AB70" i="30" s="1"/>
  <c r="M39" i="30"/>
  <c r="O39" i="30" s="1"/>
  <c r="AB39" i="30" s="1"/>
  <c r="M96" i="30"/>
  <c r="O96" i="30" s="1"/>
  <c r="AB96" i="30" s="1"/>
  <c r="M38" i="30"/>
  <c r="O38" i="30" s="1"/>
  <c r="AB38" i="30" s="1"/>
  <c r="M58" i="30"/>
  <c r="O58" i="30" s="1"/>
  <c r="AB58" i="30" s="1"/>
  <c r="M31" i="30"/>
  <c r="O31" i="30" s="1"/>
  <c r="AB31" i="30" s="1"/>
  <c r="M62" i="30"/>
  <c r="O62" i="30" s="1"/>
  <c r="AB62" i="30" s="1"/>
  <c r="M119" i="30"/>
  <c r="O119" i="30" s="1"/>
  <c r="AB119" i="30" s="1"/>
  <c r="M108" i="30"/>
  <c r="O108" i="30" s="1"/>
  <c r="AB108" i="30" s="1"/>
  <c r="M87" i="30"/>
  <c r="O87" i="30" s="1"/>
  <c r="AB87" i="30" s="1"/>
  <c r="M98" i="30"/>
  <c r="O98" i="30" s="1"/>
  <c r="AB98" i="30" s="1"/>
  <c r="M12" i="30"/>
  <c r="O12" i="30" s="1"/>
  <c r="AB12" i="30" s="1"/>
  <c r="M127" i="30"/>
  <c r="O127" i="30" s="1"/>
  <c r="AB127" i="30" s="1"/>
  <c r="J138" i="12"/>
  <c r="M138" i="12" s="1"/>
  <c r="O138" i="12" s="1"/>
  <c r="J91" i="12"/>
  <c r="M91" i="12" s="1"/>
  <c r="O91" i="12" s="1"/>
  <c r="AB91" i="12" s="1"/>
  <c r="M27" i="30"/>
  <c r="O27" i="30" s="1"/>
  <c r="AB27" i="30" s="1"/>
  <c r="J135" i="12"/>
  <c r="M135" i="12" s="1"/>
  <c r="O135" i="12" s="1"/>
  <c r="AB135" i="12" s="1"/>
  <c r="J58" i="12"/>
  <c r="M58" i="12" s="1"/>
  <c r="O58" i="12" s="1"/>
  <c r="AB58" i="12" s="1"/>
  <c r="J137" i="12"/>
  <c r="M137" i="12" s="1"/>
  <c r="O137" i="12" s="1"/>
  <c r="AB137" i="12" s="1"/>
  <c r="M116" i="30"/>
  <c r="O116" i="30" s="1"/>
  <c r="AB116" i="30" s="1"/>
  <c r="M76" i="30"/>
  <c r="O76" i="30" s="1"/>
  <c r="AB76" i="30" s="1"/>
  <c r="M74" i="30"/>
  <c r="O74" i="30" s="1"/>
  <c r="AB74" i="30" s="1"/>
  <c r="M136" i="30"/>
  <c r="O136" i="30" s="1"/>
  <c r="AB136" i="30" s="1"/>
  <c r="J119" i="12"/>
  <c r="M119" i="12" s="1"/>
  <c r="O119" i="12" s="1"/>
  <c r="AB119" i="12" s="1"/>
  <c r="J127" i="12"/>
  <c r="M127" i="12" s="1"/>
  <c r="O127" i="12" s="1"/>
  <c r="AB127" i="12" s="1"/>
  <c r="M132" i="30"/>
  <c r="O132" i="30" s="1"/>
  <c r="AB132" i="30" s="1"/>
  <c r="M100" i="30"/>
  <c r="O100" i="30" s="1"/>
  <c r="AB100" i="30" s="1"/>
  <c r="M20" i="30"/>
  <c r="O20" i="30" s="1"/>
  <c r="AB20" i="30" s="1"/>
  <c r="M10" i="30"/>
  <c r="O10" i="30" s="1"/>
  <c r="AB10" i="30" s="1"/>
  <c r="M18" i="30"/>
  <c r="O18" i="30" s="1"/>
  <c r="AB18" i="30" s="1"/>
  <c r="M103" i="30"/>
  <c r="O103" i="30" s="1"/>
  <c r="AB103" i="30" s="1"/>
  <c r="M24" i="30"/>
  <c r="O24" i="30" s="1"/>
  <c r="AB24" i="30" s="1"/>
  <c r="M54" i="30"/>
  <c r="O54" i="30" s="1"/>
  <c r="AB54" i="30" s="1"/>
  <c r="M66" i="30"/>
  <c r="O66" i="30" s="1"/>
  <c r="AB66" i="30" s="1"/>
  <c r="M92" i="30"/>
  <c r="O92" i="30" s="1"/>
  <c r="AB92" i="30" s="1"/>
  <c r="M26" i="30"/>
  <c r="O26" i="30" s="1"/>
  <c r="AB26" i="30" s="1"/>
  <c r="M47" i="30"/>
  <c r="O47" i="30" s="1"/>
  <c r="AB47" i="30" s="1"/>
  <c r="J136" i="12"/>
  <c r="M136" i="12" s="1"/>
  <c r="O136" i="12" s="1"/>
  <c r="AB136" i="12" s="1"/>
  <c r="M110" i="30"/>
  <c r="O110" i="30" s="1"/>
  <c r="AB110" i="30" s="1"/>
  <c r="M56" i="30"/>
  <c r="O56" i="30" s="1"/>
  <c r="AB56" i="30" s="1"/>
  <c r="M112" i="30"/>
  <c r="O112" i="30" s="1"/>
  <c r="AB112" i="30" s="1"/>
  <c r="M88" i="30"/>
  <c r="O88" i="30" s="1"/>
  <c r="AB88" i="30" s="1"/>
  <c r="M82" i="30"/>
  <c r="O82" i="30" s="1"/>
  <c r="AB82" i="30" s="1"/>
  <c r="J131" i="12"/>
  <c r="M131" i="12" s="1"/>
  <c r="O131" i="12" s="1"/>
  <c r="AB131" i="12" s="1"/>
  <c r="M14" i="30"/>
  <c r="O14" i="30" s="1"/>
  <c r="AB14" i="30" s="1"/>
  <c r="J92" i="12"/>
  <c r="M92" i="12" s="1"/>
  <c r="O92" i="12" s="1"/>
  <c r="AB92" i="12" s="1"/>
  <c r="J26" i="12"/>
  <c r="M26" i="12" s="1"/>
  <c r="O26" i="12" s="1"/>
  <c r="AB26" i="12" s="1"/>
  <c r="M86" i="30"/>
  <c r="O86" i="30" s="1"/>
  <c r="AB86" i="30" s="1"/>
  <c r="M30" i="30"/>
  <c r="O30" i="30" s="1"/>
  <c r="AB30" i="30" s="1"/>
  <c r="M130" i="30"/>
  <c r="O130" i="30" s="1"/>
  <c r="AB130" i="30" s="1"/>
  <c r="J112" i="12"/>
  <c r="M112" i="12" s="1"/>
  <c r="O112" i="12" s="1"/>
  <c r="AB112" i="12" s="1"/>
  <c r="AB38" i="12"/>
  <c r="AB39" i="12"/>
  <c r="AB31" i="12"/>
  <c r="AB10" i="12"/>
  <c r="Q119" i="23"/>
  <c r="Q91" i="23"/>
  <c r="Q97" i="23"/>
  <c r="AB138" i="12" l="1"/>
  <c r="M4" i="12"/>
  <c r="O4" i="12" s="1"/>
  <c r="AB4" i="12" s="1"/>
  <c r="N42" i="20"/>
  <c r="N106" i="20"/>
  <c r="N19" i="20"/>
  <c r="N83" i="20"/>
  <c r="N64" i="20"/>
  <c r="N49" i="20"/>
  <c r="N113" i="20"/>
  <c r="Q8" i="20"/>
  <c r="O30" i="20"/>
  <c r="P51" i="20"/>
  <c r="Q72" i="20"/>
  <c r="O94" i="20"/>
  <c r="O9" i="20"/>
  <c r="P30" i="20"/>
  <c r="Q51" i="20"/>
  <c r="O73" i="20"/>
  <c r="P94" i="20"/>
  <c r="Q115" i="20"/>
  <c r="O24" i="20"/>
  <c r="P45" i="20"/>
  <c r="N62" i="20"/>
  <c r="N12" i="20"/>
  <c r="N39" i="20"/>
  <c r="N103" i="20"/>
  <c r="N120" i="20"/>
  <c r="N69" i="20"/>
  <c r="N36" i="20"/>
  <c r="P15" i="20"/>
  <c r="Q36" i="20"/>
  <c r="O58" i="20"/>
  <c r="P79" i="20"/>
  <c r="Q100" i="20"/>
  <c r="Q15" i="20"/>
  <c r="O37" i="20"/>
  <c r="P58" i="20"/>
  <c r="Q79" i="20"/>
  <c r="N5" i="20"/>
  <c r="N66" i="20"/>
  <c r="N28" i="20"/>
  <c r="N43" i="20"/>
  <c r="N107" i="20"/>
  <c r="N9" i="20"/>
  <c r="N73" i="20"/>
  <c r="N48" i="20"/>
  <c r="P11" i="20"/>
  <c r="Q32" i="20"/>
  <c r="O54" i="20"/>
  <c r="P75" i="20"/>
  <c r="Q96" i="20"/>
  <c r="Q11" i="20"/>
  <c r="O33" i="20"/>
  <c r="P54" i="20"/>
  <c r="Q75" i="20"/>
  <c r="O97" i="20"/>
  <c r="N38" i="20"/>
  <c r="N102" i="20"/>
  <c r="N15" i="20"/>
  <c r="N79" i="20"/>
  <c r="N52" i="20"/>
  <c r="N45" i="20"/>
  <c r="N109" i="20"/>
  <c r="Q123" i="20"/>
  <c r="P23" i="20"/>
  <c r="Q44" i="20"/>
  <c r="O66" i="20"/>
  <c r="P87" i="20"/>
  <c r="Q108" i="20"/>
  <c r="Q23" i="20"/>
  <c r="O45" i="20"/>
  <c r="P66" i="20"/>
  <c r="Q87" i="20"/>
  <c r="O109" i="20"/>
  <c r="P17" i="20"/>
  <c r="O113" i="20"/>
  <c r="Q38" i="20"/>
  <c r="Q62" i="20"/>
  <c r="O11" i="20"/>
  <c r="P32" i="20"/>
  <c r="Q53" i="20"/>
  <c r="O75" i="20"/>
  <c r="Q101" i="20"/>
  <c r="Q86" i="20"/>
  <c r="P122" i="20"/>
  <c r="P92" i="20"/>
  <c r="Q5" i="20"/>
  <c r="P25" i="20"/>
  <c r="P53" i="20"/>
  <c r="Q74" i="20"/>
  <c r="O23" i="20"/>
  <c r="P44" i="20"/>
  <c r="Q65" i="20"/>
  <c r="O80" i="20"/>
  <c r="Q120" i="20"/>
  <c r="Q110" i="20"/>
  <c r="Q113" i="20"/>
  <c r="O115" i="20"/>
  <c r="P118" i="20"/>
  <c r="Q42" i="20"/>
  <c r="P65" i="20"/>
  <c r="Q13" i="20"/>
  <c r="O35" i="20"/>
  <c r="P56" i="20"/>
  <c r="Q77" i="20"/>
  <c r="O107" i="20"/>
  <c r="O92" i="20"/>
  <c r="P93" i="20"/>
  <c r="Q97" i="20"/>
  <c r="O5" i="20"/>
  <c r="Q30" i="20"/>
  <c r="O56" i="20"/>
  <c r="P77" i="20"/>
  <c r="Q25" i="20"/>
  <c r="O47" i="20"/>
  <c r="P68" i="20"/>
  <c r="P88" i="20"/>
  <c r="O88" i="20"/>
  <c r="Q114" i="20"/>
  <c r="O119" i="20"/>
  <c r="Q118" i="20"/>
  <c r="N24" i="20"/>
  <c r="O78" i="20"/>
  <c r="P14" i="20"/>
  <c r="Q35" i="20"/>
  <c r="P78" i="20"/>
  <c r="Q99" i="20"/>
  <c r="P29" i="20"/>
  <c r="N14" i="20"/>
  <c r="N68" i="20"/>
  <c r="N119" i="20"/>
  <c r="N21" i="20"/>
  <c r="N84" i="20"/>
  <c r="Q20" i="20"/>
  <c r="P63" i="20"/>
  <c r="O106" i="20"/>
  <c r="P42" i="20"/>
  <c r="Q63" i="20"/>
  <c r="N18" i="20"/>
  <c r="N80" i="20"/>
  <c r="N59" i="20"/>
  <c r="N25" i="20"/>
  <c r="N89" i="20"/>
  <c r="Q16" i="20"/>
  <c r="P59" i="20"/>
  <c r="Q80" i="20"/>
  <c r="O17" i="20"/>
  <c r="P38" i="20"/>
  <c r="Q59" i="20"/>
  <c r="P102" i="20"/>
  <c r="N54" i="20"/>
  <c r="N31" i="20"/>
  <c r="N95" i="20"/>
  <c r="N61" i="20"/>
  <c r="P7" i="20"/>
  <c r="Q28" i="20"/>
  <c r="P71" i="20"/>
  <c r="Q92" i="20"/>
  <c r="O29" i="20"/>
  <c r="P50" i="20"/>
  <c r="O93" i="20"/>
  <c r="P114" i="20"/>
  <c r="Q10" i="20"/>
  <c r="Q46" i="20"/>
  <c r="P16" i="20"/>
  <c r="Q37" i="20"/>
  <c r="P80" i="20"/>
  <c r="P97" i="20"/>
  <c r="Q98" i="20"/>
  <c r="P106" i="20"/>
  <c r="P33" i="20"/>
  <c r="O7" i="20"/>
  <c r="P28" i="20"/>
  <c r="O71" i="20"/>
  <c r="Q93" i="20"/>
  <c r="O118" i="20"/>
  <c r="Q82" i="20"/>
  <c r="O16" i="20"/>
  <c r="P49" i="20"/>
  <c r="O19" i="20"/>
  <c r="P40" i="20"/>
  <c r="O83" i="20"/>
  <c r="O116" i="20"/>
  <c r="O104" i="20"/>
  <c r="Q111" i="20"/>
  <c r="P37" i="20"/>
  <c r="Q9" i="20"/>
  <c r="O31" i="20"/>
  <c r="Q73" i="20"/>
  <c r="P81" i="20"/>
  <c r="O121" i="20"/>
  <c r="Q90" i="20"/>
  <c r="P21" i="20"/>
  <c r="P73" i="20"/>
  <c r="P64" i="20"/>
  <c r="Q85" i="20"/>
  <c r="P109" i="20"/>
  <c r="O117" i="20"/>
  <c r="O64" i="20"/>
  <c r="O55" i="20"/>
  <c r="P76" i="20"/>
  <c r="O84" i="20"/>
  <c r="O95" i="20"/>
  <c r="Q54" i="20"/>
  <c r="P24" i="20"/>
  <c r="O67" i="20"/>
  <c r="Q112" i="20"/>
  <c r="P9" i="20"/>
  <c r="O44" i="20"/>
  <c r="P36" i="20"/>
  <c r="Q57" i="20"/>
  <c r="Q94" i="20"/>
  <c r="N26" i="20"/>
  <c r="N112" i="20"/>
  <c r="N20" i="20"/>
  <c r="N33" i="20"/>
  <c r="Q24" i="20"/>
  <c r="Q88" i="20"/>
  <c r="O110" i="20"/>
  <c r="Q67" i="20"/>
  <c r="P110" i="20"/>
  <c r="O40" i="20"/>
  <c r="N23" i="20"/>
  <c r="N87" i="20"/>
  <c r="N117" i="20"/>
  <c r="O10" i="20"/>
  <c r="O74" i="20"/>
  <c r="Q31" i="20"/>
  <c r="O53" i="20"/>
  <c r="N50" i="20"/>
  <c r="N91" i="20"/>
  <c r="N57" i="20"/>
  <c r="O6" i="20"/>
  <c r="O70" i="20"/>
  <c r="P6" i="20"/>
  <c r="O49" i="20"/>
  <c r="Q91" i="20"/>
  <c r="N86" i="20"/>
  <c r="N16" i="20"/>
  <c r="N29" i="20"/>
  <c r="O18" i="20"/>
  <c r="P39" i="20"/>
  <c r="P103" i="20"/>
  <c r="O61" i="20"/>
  <c r="P82" i="20"/>
  <c r="O101" i="20"/>
  <c r="O32" i="20"/>
  <c r="O27" i="20"/>
  <c r="Q69" i="20"/>
  <c r="O112" i="20"/>
  <c r="O120" i="20"/>
  <c r="Q14" i="20"/>
  <c r="Q17" i="20"/>
  <c r="P60" i="20"/>
  <c r="O114" i="20"/>
  <c r="P101" i="20"/>
  <c r="Q107" i="20"/>
  <c r="P8" i="20"/>
  <c r="O51" i="20"/>
  <c r="P96" i="20"/>
  <c r="O87" i="20"/>
  <c r="Q122" i="20"/>
  <c r="O72" i="20"/>
  <c r="P20" i="20"/>
  <c r="P84" i="20"/>
  <c r="P105" i="20"/>
  <c r="O111" i="20"/>
  <c r="N58" i="20"/>
  <c r="N122" i="20"/>
  <c r="N35" i="20"/>
  <c r="N99" i="20"/>
  <c r="N108" i="20"/>
  <c r="N65" i="20"/>
  <c r="O14" i="20"/>
  <c r="P35" i="20"/>
  <c r="Q56" i="20"/>
  <c r="P99" i="20"/>
  <c r="O57" i="20"/>
  <c r="O8" i="20"/>
  <c r="N78" i="20"/>
  <c r="N55" i="20"/>
  <c r="N85" i="20"/>
  <c r="O42" i="20"/>
  <c r="Q84" i="20"/>
  <c r="O21" i="20"/>
  <c r="O85" i="20"/>
  <c r="N82" i="20"/>
  <c r="N123" i="20"/>
  <c r="N92" i="20"/>
  <c r="O38" i="20"/>
  <c r="O102" i="20"/>
  <c r="O81" i="20"/>
  <c r="N118" i="20"/>
  <c r="N100" i="20"/>
  <c r="N8" i="20"/>
  <c r="O50" i="20"/>
  <c r="Q7" i="20"/>
  <c r="Q71" i="20"/>
  <c r="Q22" i="20"/>
  <c r="O68" i="20"/>
  <c r="O59" i="20"/>
  <c r="P112" i="20"/>
  <c r="O103" i="20"/>
  <c r="Q58" i="20"/>
  <c r="Q49" i="20"/>
  <c r="P117" i="20"/>
  <c r="P121" i="20"/>
  <c r="Q70" i="20"/>
  <c r="Q61" i="20"/>
  <c r="Q102" i="20"/>
  <c r="P108" i="20"/>
  <c r="P61" i="20"/>
  <c r="P52" i="20"/>
  <c r="O99" i="20"/>
  <c r="Q89" i="20"/>
  <c r="Q6" i="20"/>
  <c r="Q21" i="20"/>
  <c r="O108" i="20"/>
  <c r="P113" i="20"/>
  <c r="P12" i="20"/>
  <c r="P104" i="20"/>
  <c r="P5" i="20"/>
  <c r="O76" i="20"/>
  <c r="P85" i="20"/>
  <c r="P115" i="20"/>
  <c r="Q66" i="20"/>
  <c r="O79" i="20"/>
  <c r="O96" i="20"/>
  <c r="N67" i="20"/>
  <c r="N116" i="20"/>
  <c r="P67" i="20"/>
  <c r="O25" i="20"/>
  <c r="O89" i="20"/>
  <c r="N46" i="20"/>
  <c r="N72" i="20"/>
  <c r="P31" i="20"/>
  <c r="P95" i="20"/>
  <c r="P74" i="20"/>
  <c r="N114" i="20"/>
  <c r="N88" i="20"/>
  <c r="P27" i="20"/>
  <c r="P91" i="20"/>
  <c r="P70" i="20"/>
  <c r="N96" i="20"/>
  <c r="N93" i="20"/>
  <c r="O82" i="20"/>
  <c r="P18" i="20"/>
  <c r="Q103" i="20"/>
  <c r="Q78" i="20"/>
  <c r="O91" i="20"/>
  <c r="P116" i="20"/>
  <c r="O48" i="20"/>
  <c r="O39" i="20"/>
  <c r="O100" i="20"/>
  <c r="O36" i="20"/>
  <c r="Q29" i="20"/>
  <c r="Q121" i="20"/>
  <c r="O20" i="20"/>
  <c r="Q41" i="20"/>
  <c r="Q117" i="20"/>
  <c r="N10" i="20"/>
  <c r="N74" i="20"/>
  <c r="N56" i="20"/>
  <c r="N51" i="20"/>
  <c r="N115" i="20"/>
  <c r="N17" i="20"/>
  <c r="N81" i="20"/>
  <c r="N76" i="20"/>
  <c r="P19" i="20"/>
  <c r="Q40" i="20"/>
  <c r="O62" i="20"/>
  <c r="P83" i="20"/>
  <c r="Q104" i="20"/>
  <c r="Q19" i="20"/>
  <c r="O41" i="20"/>
  <c r="P62" i="20"/>
  <c r="Q83" i="20"/>
  <c r="O105" i="20"/>
  <c r="P13" i="20"/>
  <c r="Q34" i="20"/>
  <c r="N30" i="20"/>
  <c r="N94" i="20"/>
  <c r="N7" i="20"/>
  <c r="N71" i="20"/>
  <c r="N32" i="20"/>
  <c r="N37" i="20"/>
  <c r="N101" i="20"/>
  <c r="O123" i="20"/>
  <c r="O26" i="20"/>
  <c r="P47" i="20"/>
  <c r="Q68" i="20"/>
  <c r="O90" i="20"/>
  <c r="P111" i="20"/>
  <c r="P26" i="20"/>
  <c r="Q47" i="20"/>
  <c r="O69" i="20"/>
  <c r="P90" i="20"/>
  <c r="N34" i="20"/>
  <c r="N98" i="20"/>
  <c r="N11" i="20"/>
  <c r="N75" i="20"/>
  <c r="N44" i="20"/>
  <c r="N41" i="20"/>
  <c r="N105" i="20"/>
  <c r="P123" i="20"/>
  <c r="O22" i="20"/>
  <c r="P43" i="20"/>
  <c r="Q64" i="20"/>
  <c r="O86" i="20"/>
  <c r="P107" i="20"/>
  <c r="P22" i="20"/>
  <c r="Q43" i="20"/>
  <c r="O65" i="20"/>
  <c r="P86" i="20"/>
  <c r="N6" i="20"/>
  <c r="N70" i="20"/>
  <c r="N40" i="20"/>
  <c r="N47" i="20"/>
  <c r="N111" i="20"/>
  <c r="N13" i="20"/>
  <c r="N77" i="20"/>
  <c r="N60" i="20"/>
  <c r="Q12" i="20"/>
  <c r="O34" i="20"/>
  <c r="P55" i="20"/>
  <c r="Q76" i="20"/>
  <c r="O98" i="20"/>
  <c r="O13" i="20"/>
  <c r="P34" i="20"/>
  <c r="Q55" i="20"/>
  <c r="O77" i="20"/>
  <c r="P98" i="20"/>
  <c r="O28" i="20"/>
  <c r="O52" i="20"/>
  <c r="O43" i="20"/>
  <c r="P119" i="20"/>
  <c r="P41" i="20"/>
  <c r="Q33" i="20"/>
  <c r="P89" i="20"/>
  <c r="Q26" i="20"/>
  <c r="Q45" i="20"/>
  <c r="O122" i="20"/>
  <c r="Q116" i="20"/>
  <c r="O15" i="20"/>
  <c r="Q109" i="20"/>
  <c r="P100" i="20"/>
  <c r="N90" i="20"/>
  <c r="N97" i="20"/>
  <c r="O46" i="20"/>
  <c r="P46" i="20"/>
  <c r="Q18" i="20"/>
  <c r="N110" i="20"/>
  <c r="N53" i="20"/>
  <c r="Q52" i="20"/>
  <c r="P10" i="20"/>
  <c r="Q95" i="20"/>
  <c r="N27" i="20"/>
  <c r="N121" i="20"/>
  <c r="Q48" i="20"/>
  <c r="Q27" i="20"/>
  <c r="N22" i="20"/>
  <c r="N63" i="20"/>
  <c r="N104" i="20"/>
  <c r="Q60" i="20"/>
  <c r="Q39" i="20"/>
  <c r="O12" i="20"/>
  <c r="P57" i="20"/>
  <c r="P48" i="20"/>
  <c r="P120" i="20"/>
  <c r="P69" i="20"/>
  <c r="Q81" i="20"/>
  <c r="Q105" i="20"/>
  <c r="O60" i="20"/>
  <c r="P72" i="20"/>
  <c r="Q119" i="20"/>
  <c r="Q50" i="20"/>
  <c r="O63" i="20"/>
  <c r="Q106" i="20"/>
  <c r="M138" i="30"/>
  <c r="O138" i="30" s="1"/>
  <c r="AB138" i="30" s="1"/>
  <c r="P94" i="23" l="1"/>
  <c r="P85" i="23"/>
  <c r="P59" i="23"/>
  <c r="P52" i="23"/>
  <c r="P74" i="23"/>
  <c r="P20" i="23"/>
  <c r="P9" i="23"/>
  <c r="P103" i="23"/>
  <c r="P41" i="23"/>
  <c r="P49" i="23"/>
  <c r="P8" i="23"/>
  <c r="P40" i="23"/>
  <c r="P46" i="23"/>
  <c r="P70" i="23"/>
  <c r="P29" i="23"/>
  <c r="P107" i="23"/>
  <c r="P72" i="23"/>
  <c r="P10" i="23"/>
  <c r="P31" i="23"/>
  <c r="P35" i="23"/>
  <c r="P102" i="23"/>
  <c r="P98" i="23"/>
  <c r="P4" i="23"/>
  <c r="P38" i="23"/>
  <c r="P39" i="23"/>
  <c r="P77" i="23"/>
  <c r="P44" i="23"/>
  <c r="P79" i="23"/>
  <c r="P65" i="23"/>
  <c r="P71" i="23"/>
  <c r="P7" i="23"/>
  <c r="P15" i="23"/>
  <c r="P93" i="23"/>
  <c r="P67" i="23"/>
  <c r="P36" i="23"/>
  <c r="P12" i="23"/>
  <c r="P6" i="23"/>
  <c r="P75" i="23"/>
  <c r="P95" i="23"/>
  <c r="P23" i="23"/>
  <c r="P81" i="23"/>
  <c r="P86" i="23"/>
  <c r="P21" i="23"/>
  <c r="P24" i="23"/>
  <c r="P50" i="23"/>
  <c r="P58" i="23"/>
  <c r="P99" i="23"/>
  <c r="P27" i="23"/>
  <c r="P73" i="23"/>
  <c r="P63" i="23"/>
  <c r="P47" i="23"/>
  <c r="P66" i="23"/>
  <c r="P57" i="23"/>
  <c r="P51" i="23"/>
  <c r="P80" i="23"/>
  <c r="P56" i="23"/>
  <c r="P69" i="23"/>
  <c r="P19" i="23"/>
  <c r="P62" i="23"/>
  <c r="P26" i="23"/>
  <c r="P54" i="23"/>
  <c r="P25" i="23"/>
  <c r="P14" i="23"/>
  <c r="P22" i="23"/>
  <c r="P84" i="23"/>
  <c r="P61" i="23"/>
  <c r="P104" i="23"/>
  <c r="P78" i="23"/>
  <c r="P5" i="23"/>
  <c r="P114" i="23"/>
  <c r="P32" i="23"/>
  <c r="P42" i="23"/>
  <c r="P113" i="23"/>
  <c r="P34" i="23"/>
  <c r="P33" i="23"/>
  <c r="P55" i="23"/>
  <c r="P82" i="23"/>
  <c r="P89" i="23"/>
  <c r="P37" i="23"/>
  <c r="P101" i="23"/>
  <c r="P76" i="23"/>
  <c r="P30" i="23"/>
  <c r="P43" i="23"/>
  <c r="P109" i="23"/>
  <c r="P108" i="23"/>
  <c r="P48" i="23"/>
  <c r="P53" i="23"/>
  <c r="P96" i="23"/>
  <c r="P28" i="23"/>
  <c r="P16" i="23"/>
  <c r="P18" i="23"/>
  <c r="P68" i="23"/>
  <c r="P64" i="23"/>
  <c r="P87" i="23"/>
  <c r="P90" i="23"/>
  <c r="P17" i="23"/>
  <c r="P13" i="23"/>
  <c r="P45" i="23"/>
  <c r="P88" i="23"/>
  <c r="P60" i="23"/>
  <c r="P106" i="23"/>
  <c r="P11" i="23"/>
  <c r="P120" i="23"/>
  <c r="P92" i="23"/>
  <c r="P121" i="23"/>
  <c r="P100" i="23"/>
  <c r="AC39" i="12"/>
  <c r="AC70" i="12"/>
  <c r="AC79" i="12"/>
  <c r="AC25" i="12"/>
  <c r="AC82" i="12"/>
  <c r="AC108" i="12"/>
  <c r="AC74" i="12"/>
  <c r="AC28" i="12"/>
  <c r="AC121" i="12"/>
  <c r="AC35" i="12"/>
  <c r="AC109" i="12"/>
  <c r="AC122" i="12"/>
  <c r="AC136" i="12"/>
  <c r="AC46" i="12"/>
  <c r="AC111" i="12"/>
  <c r="AC37" i="12"/>
  <c r="AC13" i="12"/>
  <c r="AC76" i="12"/>
  <c r="AC20" i="12"/>
  <c r="AC113" i="12"/>
  <c r="AC96" i="12"/>
  <c r="AC10" i="12"/>
  <c r="AC75" i="12"/>
  <c r="AC132" i="12"/>
  <c r="AC56" i="12"/>
  <c r="AC23" i="12"/>
  <c r="AC64" i="12"/>
  <c r="AC133" i="12"/>
  <c r="AC59" i="12"/>
  <c r="AC68" i="12"/>
  <c r="AC31" i="12"/>
  <c r="AC114" i="12"/>
  <c r="AC77" i="12"/>
  <c r="AC41" i="12"/>
  <c r="AC30" i="12"/>
  <c r="AC115" i="12"/>
  <c r="AC106" i="12"/>
  <c r="AC83" i="12"/>
  <c r="AC21" i="12"/>
  <c r="AC40" i="12"/>
  <c r="AC43" i="12"/>
  <c r="AC128" i="12"/>
  <c r="AC57" i="12"/>
  <c r="AC116" i="12"/>
  <c r="AC99" i="12"/>
  <c r="AC119" i="12"/>
  <c r="AC127" i="12"/>
  <c r="AC103" i="12"/>
  <c r="AC12" i="12"/>
  <c r="AC81" i="12"/>
  <c r="AC88" i="12"/>
  <c r="AC66" i="12"/>
  <c r="AC34" i="12"/>
  <c r="AC42" i="12"/>
  <c r="AC65" i="12"/>
  <c r="AC110" i="12"/>
  <c r="AC32" i="12"/>
  <c r="AC52" i="12"/>
  <c r="AC72" i="12"/>
  <c r="AC98" i="12"/>
  <c r="AC131" i="12"/>
  <c r="AC89" i="12"/>
  <c r="AC125" i="12"/>
  <c r="AC55" i="12"/>
  <c r="AC45" i="12"/>
  <c r="AC135" i="12"/>
  <c r="AC26" i="12"/>
  <c r="AC71" i="12"/>
  <c r="AC62" i="12"/>
  <c r="AC36" i="12"/>
  <c r="AC58" i="12"/>
  <c r="AC126" i="12"/>
  <c r="AC22" i="12"/>
  <c r="AC27" i="12"/>
  <c r="AC54" i="12"/>
  <c r="AC104" i="12"/>
  <c r="AC130" i="12"/>
  <c r="AC15" i="12"/>
  <c r="AC29" i="12"/>
  <c r="AC60" i="12"/>
  <c r="AC17" i="12"/>
  <c r="AC73" i="12"/>
  <c r="AC101" i="12"/>
  <c r="AC16" i="12"/>
  <c r="AC47" i="12"/>
  <c r="AC123" i="12"/>
  <c r="AC4" i="12"/>
  <c r="AC138" i="12"/>
  <c r="AC120" i="12"/>
  <c r="AC107" i="12"/>
  <c r="AC87" i="12"/>
  <c r="AC38" i="12"/>
  <c r="AC105" i="12"/>
  <c r="AC49" i="12"/>
  <c r="AC48" i="12"/>
  <c r="AC117" i="12"/>
  <c r="AC19" i="12"/>
  <c r="AC69" i="12"/>
  <c r="AC97" i="12"/>
  <c r="AC18" i="12"/>
  <c r="AC33" i="12"/>
  <c r="AC24" i="12"/>
  <c r="AC5" i="12"/>
  <c r="AC94" i="12"/>
  <c r="AC91" i="12"/>
  <c r="AC85" i="12"/>
  <c r="AC84" i="12"/>
  <c r="AC7" i="12"/>
  <c r="AC86" i="12"/>
  <c r="AC63" i="12"/>
  <c r="AC14" i="12"/>
  <c r="AC112" i="12"/>
  <c r="AC92" i="12"/>
  <c r="AC100" i="12"/>
  <c r="AC6" i="12"/>
  <c r="AC8" i="12"/>
  <c r="AC137" i="12"/>
  <c r="AC124" i="12"/>
  <c r="AC134" i="12"/>
  <c r="R43" i="20"/>
  <c r="R49" i="20"/>
  <c r="R65" i="20"/>
  <c r="R22" i="20"/>
  <c r="R13" i="20"/>
  <c r="R6" i="20"/>
  <c r="R56" i="20"/>
  <c r="R23" i="20"/>
  <c r="R9" i="20"/>
  <c r="R18" i="20"/>
  <c r="R63" i="20"/>
  <c r="R112" i="20"/>
  <c r="R15" i="20"/>
  <c r="R61" i="20"/>
  <c r="R44" i="20"/>
  <c r="R101" i="20"/>
  <c r="R26" i="20"/>
  <c r="R79" i="20"/>
  <c r="R62" i="20"/>
  <c r="R106" i="20"/>
  <c r="R113" i="20"/>
  <c r="R98" i="20"/>
  <c r="R88" i="20"/>
  <c r="R83" i="20"/>
  <c r="R47" i="20"/>
  <c r="R24" i="20"/>
  <c r="R14" i="20"/>
  <c r="R119" i="20"/>
  <c r="R25" i="20"/>
  <c r="R19" i="20"/>
  <c r="R116" i="20"/>
  <c r="R78" i="20"/>
  <c r="R38" i="20"/>
  <c r="R33" i="20"/>
  <c r="R108" i="20"/>
  <c r="R20" i="20"/>
  <c r="R7" i="20"/>
  <c r="R89" i="20"/>
  <c r="R36" i="20"/>
  <c r="R16" i="20"/>
  <c r="R42" i="20"/>
  <c r="R92" i="20"/>
  <c r="R111" i="20"/>
  <c r="R80" i="20"/>
  <c r="R120" i="20"/>
  <c r="R117" i="20"/>
  <c r="R99" i="20"/>
  <c r="R82" i="20"/>
  <c r="R104" i="20"/>
  <c r="R52" i="20"/>
  <c r="R122" i="20"/>
  <c r="R64" i="20"/>
  <c r="R91" i="20"/>
  <c r="R100" i="20"/>
  <c r="R58" i="20"/>
  <c r="R107" i="20"/>
  <c r="R90" i="20"/>
  <c r="R28" i="20"/>
  <c r="R68" i="20"/>
  <c r="R71" i="20"/>
  <c r="R46" i="20"/>
  <c r="R76" i="20"/>
  <c r="R72" i="20"/>
  <c r="R109" i="20"/>
  <c r="R55" i="20"/>
  <c r="R86" i="20"/>
  <c r="R37" i="20"/>
  <c r="R66" i="20"/>
  <c r="R96" i="20"/>
  <c r="R5" i="20"/>
  <c r="R75" i="20"/>
  <c r="R53" i="20"/>
  <c r="R48" i="20"/>
  <c r="R31" i="20"/>
  <c r="R81" i="20"/>
  <c r="R54" i="20"/>
  <c r="R77" i="20"/>
  <c r="R59" i="20"/>
  <c r="R70" i="20"/>
  <c r="R102" i="20"/>
  <c r="R95" i="20"/>
  <c r="R41" i="20"/>
  <c r="R30" i="20"/>
  <c r="R84" i="20"/>
  <c r="R105" i="20"/>
  <c r="R110" i="20"/>
  <c r="R40" i="20"/>
  <c r="R21" i="20"/>
  <c r="R8" i="20"/>
  <c r="R73" i="20"/>
  <c r="R94" i="20"/>
  <c r="R10" i="20"/>
  <c r="R51" i="20"/>
  <c r="R121" i="20"/>
  <c r="R57" i="20"/>
  <c r="R97" i="20"/>
  <c r="R103" i="20"/>
  <c r="R32" i="20"/>
  <c r="R50" i="20"/>
  <c r="R12" i="20"/>
  <c r="R27" i="20"/>
  <c r="R85" i="20"/>
  <c r="R93" i="20"/>
  <c r="R67" i="20"/>
  <c r="R118" i="20"/>
  <c r="R45" i="20"/>
  <c r="R34" i="20"/>
  <c r="R17" i="20"/>
  <c r="R39" i="20"/>
  <c r="R29" i="20"/>
  <c r="R11" i="20"/>
  <c r="R74" i="20"/>
  <c r="R114" i="20"/>
  <c r="R87" i="20"/>
  <c r="R115" i="20"/>
  <c r="R69" i="20"/>
  <c r="R60" i="20"/>
  <c r="R35" i="20"/>
  <c r="R123" i="20"/>
  <c r="P91" i="23"/>
  <c r="Q16" i="23"/>
  <c r="Q61" i="23"/>
  <c r="Q101" i="23"/>
  <c r="Q32" i="23"/>
  <c r="Q108" i="23"/>
  <c r="Q6" i="23"/>
  <c r="J43" i="23"/>
  <c r="J63" i="23"/>
  <c r="J73" i="23"/>
  <c r="Q65" i="23"/>
  <c r="Q22" i="23"/>
  <c r="Q78" i="23"/>
  <c r="J122" i="23"/>
  <c r="J70" i="23"/>
  <c r="J112" i="23"/>
  <c r="Q52" i="23"/>
  <c r="J22" i="23"/>
  <c r="Q38" i="23"/>
  <c r="Q54" i="23"/>
  <c r="J100" i="23"/>
  <c r="J32" i="23"/>
  <c r="J30" i="23"/>
  <c r="J90" i="23"/>
  <c r="J16" i="23"/>
  <c r="J99" i="23"/>
  <c r="J109" i="23"/>
  <c r="Q13" i="23"/>
  <c r="J96" i="23"/>
  <c r="J17" i="23"/>
  <c r="P112" i="23"/>
  <c r="Q95" i="23"/>
  <c r="J24" i="23"/>
  <c r="Q106" i="23"/>
  <c r="J95" i="23"/>
  <c r="J113" i="23"/>
  <c r="J103" i="23"/>
  <c r="Q36" i="23"/>
  <c r="Q53" i="23"/>
  <c r="J31" i="23"/>
  <c r="J79" i="23"/>
  <c r="Q69" i="23"/>
  <c r="J119" i="23"/>
  <c r="Q71" i="23"/>
  <c r="J12" i="23"/>
  <c r="Q88" i="23"/>
  <c r="J68" i="23"/>
  <c r="J84" i="23"/>
  <c r="Q82" i="23"/>
  <c r="P117" i="23"/>
  <c r="J60" i="23"/>
  <c r="J83" i="23"/>
  <c r="J86" i="23"/>
  <c r="Q45" i="23"/>
  <c r="J13" i="23"/>
  <c r="Q41" i="23"/>
  <c r="Q85" i="23"/>
  <c r="J91" i="23"/>
  <c r="Q87" i="23"/>
  <c r="Q94" i="23"/>
  <c r="Q39" i="23"/>
  <c r="J33" i="23"/>
  <c r="Q51" i="23"/>
  <c r="Q103" i="23"/>
  <c r="J116" i="23"/>
  <c r="J71" i="23"/>
  <c r="J42" i="23"/>
  <c r="Q8" i="23"/>
  <c r="Q84" i="23"/>
  <c r="J72" i="23"/>
  <c r="J19" i="23"/>
  <c r="J48" i="23"/>
  <c r="J36" i="23"/>
  <c r="Q55" i="23"/>
  <c r="Q79" i="23"/>
  <c r="J8" i="23"/>
  <c r="Q30" i="23"/>
  <c r="Q68" i="23"/>
  <c r="J5" i="23"/>
  <c r="J87" i="23"/>
  <c r="J15" i="23"/>
  <c r="Q21" i="23"/>
  <c r="J46" i="23"/>
  <c r="J120" i="23"/>
  <c r="Q93" i="23"/>
  <c r="Q18" i="23"/>
  <c r="J88" i="23"/>
  <c r="J115" i="23"/>
  <c r="Q81" i="23"/>
  <c r="J118" i="23"/>
  <c r="J27" i="23"/>
  <c r="Q48" i="23"/>
  <c r="J105" i="23"/>
  <c r="Q46" i="23"/>
  <c r="Q49" i="23"/>
  <c r="Q27" i="23"/>
  <c r="Q20" i="23"/>
  <c r="Q121" i="23"/>
  <c r="Q86" i="23"/>
  <c r="J50" i="23"/>
  <c r="Q96" i="23"/>
  <c r="Q104" i="23"/>
  <c r="Q47" i="23"/>
  <c r="J7" i="23"/>
  <c r="J75" i="23"/>
  <c r="J58" i="23"/>
  <c r="Q33" i="23"/>
  <c r="J18" i="23"/>
  <c r="Q14" i="23"/>
  <c r="Q5" i="23"/>
  <c r="Q80" i="23"/>
  <c r="P105" i="23"/>
  <c r="Q98" i="23"/>
  <c r="Q9" i="23"/>
  <c r="Q102" i="23"/>
  <c r="P111" i="23"/>
  <c r="J85" i="23"/>
  <c r="Q58" i="23"/>
  <c r="Q37" i="23"/>
  <c r="J14" i="23"/>
  <c r="J57" i="23"/>
  <c r="Q15" i="23"/>
  <c r="Q60" i="23"/>
  <c r="J37" i="23"/>
  <c r="Q100" i="23"/>
  <c r="P119" i="23"/>
  <c r="J98" i="23"/>
  <c r="J29" i="23"/>
  <c r="Q19" i="23"/>
  <c r="J44" i="23"/>
  <c r="J74" i="23"/>
  <c r="Q66" i="23"/>
  <c r="Q28" i="23"/>
  <c r="J54" i="23"/>
  <c r="Q26" i="23"/>
  <c r="J61" i="23"/>
  <c r="J62" i="23"/>
  <c r="Q109" i="23"/>
  <c r="P83" i="23"/>
  <c r="J40" i="23"/>
  <c r="Q31" i="23"/>
  <c r="J4" i="23"/>
  <c r="J51" i="23"/>
  <c r="J34" i="23"/>
  <c r="Q67" i="23"/>
  <c r="P118" i="23"/>
  <c r="J107" i="23"/>
  <c r="J97" i="23"/>
  <c r="Q107" i="23"/>
  <c r="J28" i="23"/>
  <c r="Q59" i="23"/>
  <c r="J26" i="23"/>
  <c r="J55" i="23"/>
  <c r="J38" i="23"/>
  <c r="Q56" i="23"/>
  <c r="Q74" i="23"/>
  <c r="J45" i="23"/>
  <c r="J80" i="23"/>
  <c r="J81" i="23"/>
  <c r="J11" i="23"/>
  <c r="Q7" i="23"/>
  <c r="J21" i="23"/>
  <c r="J59" i="23"/>
  <c r="Q42" i="23"/>
  <c r="Q89" i="23"/>
  <c r="Q50" i="23"/>
  <c r="Q40" i="23"/>
  <c r="Q24" i="23"/>
  <c r="Q44" i="23"/>
  <c r="Q113" i="23"/>
  <c r="P110" i="23"/>
  <c r="Q99" i="23"/>
  <c r="Q64" i="23"/>
  <c r="P122" i="23"/>
  <c r="J67" i="23"/>
  <c r="Q92" i="23"/>
  <c r="P97" i="23"/>
  <c r="Q10" i="23"/>
  <c r="Q29" i="23"/>
  <c r="J104" i="23"/>
  <c r="J69" i="23"/>
  <c r="Q75" i="23"/>
  <c r="J101" i="23"/>
  <c r="J35" i="23"/>
  <c r="Q73" i="23"/>
  <c r="J110" i="23"/>
  <c r="J53" i="23"/>
  <c r="Q70" i="23"/>
  <c r="J64" i="23"/>
  <c r="J49" i="23"/>
  <c r="Q72" i="23"/>
  <c r="Q23" i="23"/>
  <c r="J92" i="23"/>
  <c r="J9" i="23"/>
  <c r="J121" i="23"/>
  <c r="J111" i="23"/>
  <c r="P116" i="23"/>
  <c r="J106" i="23"/>
  <c r="J6" i="23"/>
  <c r="J82" i="23"/>
  <c r="Q35" i="23"/>
  <c r="Q62" i="23"/>
  <c r="Q76" i="23"/>
  <c r="Q17" i="23"/>
  <c r="Q90" i="23"/>
  <c r="Q57" i="23"/>
  <c r="Q12" i="23"/>
  <c r="J117" i="23"/>
  <c r="Q25" i="23"/>
  <c r="J25" i="23"/>
  <c r="Q34" i="23"/>
  <c r="J66" i="23"/>
  <c r="J94" i="23"/>
  <c r="Q43" i="23"/>
  <c r="J78" i="23"/>
  <c r="Q114" i="23"/>
  <c r="J102" i="23"/>
  <c r="J47" i="23"/>
  <c r="J108" i="23"/>
  <c r="J10" i="23"/>
  <c r="Q4" i="23"/>
  <c r="J39" i="23"/>
  <c r="J93" i="23"/>
  <c r="J56" i="23"/>
  <c r="P115" i="23"/>
  <c r="J89" i="23"/>
  <c r="Q11" i="23"/>
  <c r="J41" i="23"/>
  <c r="Q77" i="23"/>
  <c r="J20" i="23"/>
  <c r="J76" i="23"/>
  <c r="J65" i="23"/>
  <c r="J114" i="23"/>
  <c r="J52" i="23"/>
  <c r="J23" i="23"/>
  <c r="J77" i="23"/>
  <c r="Q63" i="23"/>
  <c r="Q120" i="23"/>
  <c r="AC138" i="30"/>
  <c r="AC82" i="30"/>
  <c r="AC92" i="30"/>
  <c r="AC136" i="30"/>
  <c r="AC96" i="30"/>
  <c r="AC112" i="30"/>
  <c r="AC54" i="30"/>
  <c r="AC127" i="30"/>
  <c r="AC39" i="30"/>
  <c r="AC110" i="30"/>
  <c r="AC103" i="30"/>
  <c r="AC108" i="30"/>
  <c r="AC14" i="30"/>
  <c r="AC47" i="30"/>
  <c r="AC100" i="30"/>
  <c r="AC62" i="30"/>
  <c r="AC24" i="30"/>
  <c r="AC86" i="30"/>
  <c r="AC12" i="30"/>
  <c r="AC30" i="30"/>
  <c r="AC58" i="30"/>
  <c r="AC36" i="30"/>
  <c r="AC134" i="30"/>
  <c r="AC16" i="30"/>
  <c r="AC32" i="30"/>
  <c r="AC123" i="30"/>
  <c r="AC13" i="30"/>
  <c r="AC55" i="30"/>
  <c r="AC46" i="30"/>
  <c r="AC35" i="30"/>
  <c r="AC125" i="30"/>
  <c r="AC106" i="30"/>
  <c r="AC28" i="30"/>
  <c r="AC52" i="30"/>
  <c r="AC75" i="30"/>
  <c r="AC40" i="30"/>
  <c r="AC84" i="30"/>
  <c r="AC7" i="30"/>
  <c r="AC113" i="30"/>
  <c r="AC10" i="30"/>
  <c r="AC131" i="30"/>
  <c r="AC27" i="30"/>
  <c r="AC66" i="30"/>
  <c r="AC130" i="30"/>
  <c r="AC18" i="30"/>
  <c r="AC38" i="30"/>
  <c r="AC119" i="30"/>
  <c r="AC117" i="30"/>
  <c r="AC126" i="30"/>
  <c r="AC91" i="30"/>
  <c r="AC33" i="30"/>
  <c r="AC121" i="30"/>
  <c r="AC77" i="30"/>
  <c r="AC120" i="30"/>
  <c r="AC101" i="30"/>
  <c r="AC94" i="30"/>
  <c r="AC81" i="30"/>
  <c r="AC29" i="30"/>
  <c r="AC49" i="30"/>
  <c r="AC25" i="30"/>
  <c r="AC68" i="30"/>
  <c r="AC41" i="30"/>
  <c r="AC107" i="30"/>
  <c r="AC22" i="30"/>
  <c r="AC69" i="30"/>
  <c r="AC85" i="30"/>
  <c r="AC104" i="30"/>
  <c r="AC132" i="30"/>
  <c r="AC56" i="30"/>
  <c r="AC114" i="30"/>
  <c r="AC70" i="30"/>
  <c r="AC87" i="30"/>
  <c r="AC98" i="30"/>
  <c r="AC73" i="30"/>
  <c r="AC48" i="30"/>
  <c r="AC115" i="30"/>
  <c r="AC19" i="30"/>
  <c r="AC122" i="30"/>
  <c r="AC63" i="30"/>
  <c r="AC128" i="30"/>
  <c r="AC64" i="30"/>
  <c r="AC71" i="30"/>
  <c r="AC37" i="30"/>
  <c r="AC57" i="30"/>
  <c r="AC17" i="30"/>
  <c r="AC59" i="30"/>
  <c r="AC79" i="30"/>
  <c r="AC43" i="30"/>
  <c r="AC15" i="30"/>
  <c r="AC97" i="30"/>
  <c r="AC34" i="30"/>
  <c r="AC124" i="30"/>
  <c r="AC99" i="30"/>
  <c r="AC20" i="30"/>
  <c r="AC88" i="30"/>
  <c r="AC31" i="30"/>
  <c r="AC116" i="30"/>
  <c r="AC76" i="30"/>
  <c r="AC74" i="30"/>
  <c r="AC137" i="30"/>
  <c r="AC135" i="30"/>
  <c r="AC111" i="30"/>
  <c r="AC60" i="30"/>
  <c r="AC72" i="30"/>
  <c r="AC21" i="30"/>
  <c r="AC105" i="30"/>
  <c r="AC83" i="30"/>
  <c r="AC23" i="30"/>
  <c r="AC5" i="30"/>
  <c r="AC45" i="30"/>
  <c r="AC8" i="30"/>
  <c r="AC42" i="30"/>
  <c r="AC65" i="30"/>
  <c r="AC109" i="30"/>
  <c r="AC6" i="30"/>
  <c r="AC4" i="30"/>
  <c r="AC89" i="30"/>
  <c r="AC133" i="30"/>
  <c r="AC26" i="30"/>
  <c r="T5" i="20" l="1"/>
  <c r="E20" i="20"/>
  <c r="C7" i="20"/>
  <c r="B35" i="20"/>
  <c r="C17" i="20"/>
  <c r="C96" i="20"/>
  <c r="D31" i="20"/>
  <c r="D21" i="20"/>
  <c r="D41" i="20"/>
  <c r="E75" i="20"/>
  <c r="C68" i="20"/>
  <c r="B65" i="20"/>
  <c r="B115" i="20"/>
  <c r="D51" i="20"/>
  <c r="E26" i="20"/>
  <c r="D44" i="20"/>
  <c r="C26" i="20"/>
  <c r="E56" i="20"/>
  <c r="C114" i="20"/>
  <c r="D20" i="20"/>
  <c r="D60" i="20"/>
  <c r="B79" i="20"/>
  <c r="C22" i="20"/>
  <c r="D98" i="20"/>
  <c r="B55" i="20"/>
  <c r="B12" i="20"/>
  <c r="D42" i="20"/>
  <c r="E74" i="20"/>
  <c r="C21" i="20"/>
  <c r="C79" i="20"/>
  <c r="E106" i="20"/>
  <c r="B117" i="20"/>
  <c r="E100" i="20"/>
  <c r="B114" i="20"/>
  <c r="C43" i="20"/>
  <c r="B21" i="20"/>
  <c r="B91" i="20"/>
  <c r="C106" i="20"/>
  <c r="D14" i="20"/>
  <c r="E97" i="20"/>
  <c r="D80" i="20"/>
  <c r="C76" i="20"/>
  <c r="B51" i="20"/>
  <c r="D64" i="20"/>
  <c r="B33" i="20"/>
  <c r="C66" i="20"/>
  <c r="C25" i="20"/>
  <c r="C16" i="20"/>
  <c r="B57" i="20"/>
  <c r="D90" i="20"/>
  <c r="B58" i="20"/>
  <c r="C101" i="20"/>
  <c r="C81" i="20"/>
  <c r="D123" i="20"/>
  <c r="C8" i="20"/>
  <c r="D11" i="20"/>
  <c r="B7" i="20"/>
  <c r="B98" i="20"/>
  <c r="E109" i="20"/>
  <c r="E60" i="20"/>
  <c r="C19" i="20"/>
  <c r="B46" i="20"/>
  <c r="D55" i="20"/>
  <c r="B93" i="20"/>
  <c r="C104" i="20"/>
  <c r="C99" i="20"/>
  <c r="E49" i="20"/>
  <c r="D70" i="20"/>
  <c r="E90" i="20"/>
  <c r="E88" i="20"/>
  <c r="E28" i="20"/>
  <c r="B112" i="20"/>
  <c r="D7" i="20"/>
  <c r="C65" i="20"/>
  <c r="E81" i="20"/>
  <c r="C62" i="20"/>
  <c r="B64" i="20"/>
  <c r="D85" i="20"/>
  <c r="E102" i="20"/>
  <c r="C97" i="20"/>
  <c r="C38" i="20"/>
  <c r="B50" i="20"/>
  <c r="B90" i="20"/>
  <c r="C49" i="20"/>
  <c r="D46" i="20"/>
  <c r="D116" i="20"/>
  <c r="D86" i="20"/>
  <c r="C85" i="20"/>
  <c r="E118" i="20"/>
  <c r="E9" i="20"/>
  <c r="C52" i="20"/>
  <c r="D17" i="20"/>
  <c r="C113" i="20"/>
  <c r="D88" i="20"/>
  <c r="B73" i="20"/>
  <c r="C70" i="20"/>
  <c r="D18" i="20"/>
  <c r="B68" i="20"/>
  <c r="D105" i="20"/>
  <c r="E65" i="20"/>
  <c r="D29" i="20"/>
  <c r="E87" i="20"/>
  <c r="D87" i="20"/>
  <c r="B69" i="20"/>
  <c r="E11" i="20"/>
  <c r="B37" i="20"/>
  <c r="D109" i="20"/>
  <c r="D27" i="20"/>
  <c r="D49" i="20"/>
  <c r="B62" i="20"/>
  <c r="E116" i="20"/>
  <c r="D77" i="20"/>
  <c r="E18" i="20"/>
  <c r="D43" i="20"/>
  <c r="C69" i="20"/>
  <c r="E30" i="20"/>
  <c r="E17" i="20"/>
  <c r="C33" i="20"/>
  <c r="B30" i="20"/>
  <c r="E71" i="20"/>
  <c r="D19" i="20"/>
  <c r="C15" i="20"/>
  <c r="B26" i="20"/>
  <c r="C90" i="20"/>
  <c r="C46" i="20"/>
  <c r="B113" i="20"/>
  <c r="B76" i="20"/>
  <c r="D78" i="20"/>
  <c r="C56" i="20"/>
  <c r="C91" i="20"/>
  <c r="E85" i="20"/>
  <c r="D22" i="20"/>
  <c r="B59" i="20"/>
  <c r="E68" i="20"/>
  <c r="B28" i="20"/>
  <c r="B74" i="20"/>
  <c r="C42" i="20"/>
  <c r="D45" i="20"/>
  <c r="E16" i="20"/>
  <c r="C95" i="20"/>
  <c r="B85" i="20"/>
  <c r="B99" i="20"/>
  <c r="E5" i="20"/>
  <c r="F5" i="20" s="1"/>
  <c r="B14" i="20"/>
  <c r="E110" i="20"/>
  <c r="E58" i="20"/>
  <c r="E32" i="20"/>
  <c r="E24" i="20"/>
  <c r="B118" i="20"/>
  <c r="D113" i="20"/>
  <c r="E42" i="20"/>
  <c r="E69" i="20"/>
  <c r="E52" i="20"/>
  <c r="C27" i="20"/>
  <c r="C67" i="20"/>
  <c r="D117" i="20"/>
  <c r="C117" i="20"/>
  <c r="C107" i="20"/>
  <c r="E107" i="20"/>
  <c r="C98" i="20"/>
  <c r="D59" i="20"/>
  <c r="E14" i="20"/>
  <c r="D15" i="20"/>
  <c r="E31" i="20"/>
  <c r="B104" i="20"/>
  <c r="E119" i="20"/>
  <c r="B8" i="20"/>
  <c r="B31" i="20"/>
  <c r="B103" i="20"/>
  <c r="B54" i="20"/>
  <c r="B84" i="20"/>
  <c r="B32" i="20"/>
  <c r="D104" i="20"/>
  <c r="E82" i="20"/>
  <c r="D92" i="20"/>
  <c r="E80" i="20"/>
  <c r="E103" i="20"/>
  <c r="D24" i="20"/>
  <c r="D97" i="20"/>
  <c r="B52" i="20"/>
  <c r="C63" i="20"/>
  <c r="E54" i="20"/>
  <c r="B86" i="20"/>
  <c r="C31" i="20"/>
  <c r="B44" i="20"/>
  <c r="D115" i="20"/>
  <c r="E38" i="20"/>
  <c r="D91" i="20"/>
  <c r="C53" i="20"/>
  <c r="C88" i="20"/>
  <c r="D118" i="20"/>
  <c r="E76" i="20"/>
  <c r="E57" i="20"/>
  <c r="D95" i="20"/>
  <c r="C29" i="20"/>
  <c r="C40" i="20"/>
  <c r="B66" i="20"/>
  <c r="C30" i="20"/>
  <c r="B95" i="20"/>
  <c r="C119" i="20"/>
  <c r="D53" i="20"/>
  <c r="D50" i="20"/>
  <c r="C74" i="20"/>
  <c r="E117" i="20"/>
  <c r="D23" i="20"/>
  <c r="C44" i="20"/>
  <c r="C77" i="20"/>
  <c r="D73" i="20"/>
  <c r="E79" i="20"/>
  <c r="D67" i="20"/>
  <c r="E15" i="20"/>
  <c r="D26" i="20"/>
  <c r="E6" i="20"/>
  <c r="C118" i="20"/>
  <c r="D119" i="20"/>
  <c r="E114" i="20"/>
  <c r="E8" i="20"/>
  <c r="E21" i="20"/>
  <c r="D96" i="20"/>
  <c r="B119" i="20"/>
  <c r="C64" i="20"/>
  <c r="B11" i="20"/>
  <c r="C86" i="20"/>
  <c r="B20" i="20"/>
  <c r="C84" i="20"/>
  <c r="D52" i="20"/>
  <c r="E44" i="20"/>
  <c r="E91" i="20"/>
  <c r="E34" i="20"/>
  <c r="D28" i="20"/>
  <c r="C73" i="20"/>
  <c r="D39" i="20"/>
  <c r="E93" i="20"/>
  <c r="E59" i="20"/>
  <c r="D79" i="20"/>
  <c r="E13" i="20"/>
  <c r="E84" i="20"/>
  <c r="D13" i="20"/>
  <c r="D114" i="20"/>
  <c r="D32" i="20"/>
  <c r="D107" i="20"/>
  <c r="B13" i="20"/>
  <c r="C10" i="20"/>
  <c r="B71" i="20"/>
  <c r="E89" i="20"/>
  <c r="B81" i="20"/>
  <c r="B49" i="20"/>
  <c r="D12" i="20"/>
  <c r="C78" i="20"/>
  <c r="C102" i="20"/>
  <c r="E55" i="20"/>
  <c r="C35" i="20"/>
  <c r="E39" i="20"/>
  <c r="C20" i="20"/>
  <c r="D71" i="20"/>
  <c r="B43" i="20"/>
  <c r="C83" i="20"/>
  <c r="C51" i="20"/>
  <c r="C58" i="20"/>
  <c r="E51" i="20"/>
  <c r="E120" i="20"/>
  <c r="C54" i="20"/>
  <c r="D81" i="20"/>
  <c r="E10" i="20"/>
  <c r="B41" i="20"/>
  <c r="D74" i="20"/>
  <c r="B80" i="20"/>
  <c r="C120" i="20"/>
  <c r="C9" i="20"/>
  <c r="D83" i="20"/>
  <c r="D106" i="20"/>
  <c r="E36" i="20"/>
  <c r="D69" i="20"/>
  <c r="B6" i="20"/>
  <c r="C123" i="20"/>
  <c r="E41" i="20"/>
  <c r="E70" i="20"/>
  <c r="E33" i="20"/>
  <c r="D40" i="20"/>
  <c r="D75" i="20"/>
  <c r="D36" i="20"/>
  <c r="B116" i="20"/>
  <c r="C103" i="20"/>
  <c r="E73" i="20"/>
  <c r="E29" i="20"/>
  <c r="C59" i="20"/>
  <c r="D76" i="20"/>
  <c r="E99" i="20"/>
  <c r="E101" i="20"/>
  <c r="B106" i="20"/>
  <c r="D108" i="20"/>
  <c r="E7" i="20"/>
  <c r="C32" i="20"/>
  <c r="D89" i="20"/>
  <c r="E66" i="20"/>
  <c r="B61" i="20"/>
  <c r="C34" i="20"/>
  <c r="B18" i="20"/>
  <c r="C105" i="20"/>
  <c r="C112" i="20"/>
  <c r="D102" i="20"/>
  <c r="D16" i="20"/>
  <c r="D58" i="20"/>
  <c r="B77" i="20"/>
  <c r="E83" i="20"/>
  <c r="E115" i="20"/>
  <c r="B16" i="20"/>
  <c r="C60" i="20"/>
  <c r="B67" i="20"/>
  <c r="C75" i="20"/>
  <c r="D61" i="20"/>
  <c r="D68" i="20"/>
  <c r="C24" i="20"/>
  <c r="B45" i="20"/>
  <c r="C14" i="20"/>
  <c r="D56" i="20"/>
  <c r="D8" i="20"/>
  <c r="C110" i="20"/>
  <c r="B78" i="20"/>
  <c r="D111" i="20"/>
  <c r="D122" i="20"/>
  <c r="C50" i="20"/>
  <c r="B5" i="20"/>
  <c r="C122" i="20"/>
  <c r="D72" i="20"/>
  <c r="B24" i="20"/>
  <c r="E64" i="20"/>
  <c r="B63" i="20"/>
  <c r="D84" i="20"/>
  <c r="E121" i="20"/>
  <c r="B39" i="20"/>
  <c r="D93" i="20"/>
  <c r="B47" i="20"/>
  <c r="D6" i="20"/>
  <c r="B10" i="20"/>
  <c r="B29" i="20"/>
  <c r="B108" i="20"/>
  <c r="D101" i="20"/>
  <c r="D54" i="20"/>
  <c r="C6" i="20"/>
  <c r="D63" i="20"/>
  <c r="B111" i="20"/>
  <c r="D57" i="20"/>
  <c r="C13" i="20"/>
  <c r="E77" i="20"/>
  <c r="D25" i="20"/>
  <c r="B72" i="20"/>
  <c r="E104" i="20"/>
  <c r="B102" i="20"/>
  <c r="B110" i="20"/>
  <c r="D35" i="20"/>
  <c r="E98" i="20"/>
  <c r="C45" i="20"/>
  <c r="B121" i="20"/>
  <c r="E108" i="20"/>
  <c r="C82" i="20"/>
  <c r="B120" i="20"/>
  <c r="E122" i="20"/>
  <c r="E23" i="20"/>
  <c r="B56" i="20"/>
  <c r="E43" i="20"/>
  <c r="E53" i="20"/>
  <c r="E95" i="20"/>
  <c r="B48" i="20"/>
  <c r="E50" i="20"/>
  <c r="C39" i="20"/>
  <c r="D99" i="20"/>
  <c r="E113" i="20"/>
  <c r="C87" i="20"/>
  <c r="D94" i="20"/>
  <c r="B100" i="20"/>
  <c r="B82" i="20"/>
  <c r="D62" i="20"/>
  <c r="B101" i="20"/>
  <c r="E94" i="20"/>
  <c r="B94" i="20"/>
  <c r="B83" i="20"/>
  <c r="B22" i="20"/>
  <c r="C108" i="20"/>
  <c r="C93" i="20"/>
  <c r="B87" i="20"/>
  <c r="B92" i="20"/>
  <c r="E72" i="20"/>
  <c r="D34" i="20"/>
  <c r="E111" i="20"/>
  <c r="B89" i="20"/>
  <c r="D33" i="20"/>
  <c r="E62" i="20"/>
  <c r="C55" i="20"/>
  <c r="D82" i="20"/>
  <c r="D65" i="20"/>
  <c r="B88" i="20"/>
  <c r="C41" i="20"/>
  <c r="D112" i="20"/>
  <c r="E25" i="20"/>
  <c r="B105" i="20"/>
  <c r="B19" i="20"/>
  <c r="D30" i="20"/>
  <c r="E27" i="20"/>
  <c r="B15" i="20"/>
  <c r="E96" i="20"/>
  <c r="E37" i="20"/>
  <c r="B109" i="20"/>
  <c r="D47" i="20"/>
  <c r="C48" i="20"/>
  <c r="D9" i="20"/>
  <c r="E22" i="20"/>
  <c r="B60" i="20"/>
  <c r="D10" i="20"/>
  <c r="E112" i="20"/>
  <c r="B75" i="20"/>
  <c r="E92" i="20"/>
  <c r="B27" i="20"/>
  <c r="E78" i="20"/>
  <c r="E45" i="20"/>
  <c r="B107" i="20"/>
  <c r="C115" i="20"/>
  <c r="C36" i="20"/>
  <c r="E105" i="20"/>
  <c r="C12" i="20"/>
  <c r="B40" i="20"/>
  <c r="D66" i="20"/>
  <c r="E86" i="20"/>
  <c r="E63" i="20"/>
  <c r="E40" i="20"/>
  <c r="C61" i="20"/>
  <c r="B53" i="20"/>
  <c r="D121" i="20"/>
  <c r="B123" i="20"/>
  <c r="D48" i="20"/>
  <c r="D120" i="20"/>
  <c r="E67" i="20"/>
  <c r="D5" i="20"/>
  <c r="E61" i="20"/>
  <c r="C47" i="20"/>
  <c r="C92" i="20"/>
  <c r="B36" i="20"/>
  <c r="C116" i="20"/>
  <c r="B97" i="20"/>
  <c r="B17" i="20"/>
  <c r="E12" i="20"/>
  <c r="C18" i="20"/>
  <c r="C23" i="20"/>
  <c r="C5" i="20"/>
  <c r="E123" i="20"/>
  <c r="D110" i="20"/>
  <c r="B34" i="20"/>
  <c r="C80" i="20"/>
  <c r="C57" i="20"/>
  <c r="B122" i="20"/>
  <c r="C28" i="20"/>
  <c r="C37" i="20"/>
  <c r="B25" i="20"/>
  <c r="C109" i="20"/>
  <c r="C71" i="20"/>
  <c r="B70" i="20"/>
  <c r="C89" i="20"/>
  <c r="B23" i="20"/>
  <c r="D38" i="20"/>
  <c r="D103" i="20"/>
  <c r="B96" i="20"/>
  <c r="C72" i="20"/>
  <c r="C11" i="20"/>
  <c r="E19" i="20"/>
  <c r="E48" i="20"/>
  <c r="D100" i="20"/>
  <c r="B38" i="20"/>
  <c r="C121" i="20"/>
  <c r="E35" i="20"/>
  <c r="B9" i="20"/>
  <c r="E47" i="20"/>
  <c r="D37" i="20"/>
  <c r="C111" i="20"/>
  <c r="E46" i="20"/>
  <c r="C94" i="20"/>
  <c r="B42" i="20"/>
  <c r="C100" i="20"/>
  <c r="K42" i="20"/>
  <c r="K46" i="20"/>
  <c r="H9" i="20"/>
  <c r="H70" i="20"/>
  <c r="K37" i="20"/>
  <c r="I50" i="20"/>
  <c r="T38" i="20"/>
  <c r="W38" i="20" s="1"/>
  <c r="K12" i="20"/>
  <c r="K17" i="20"/>
  <c r="T39" i="20"/>
  <c r="W39" i="20" s="1"/>
  <c r="I41" i="20"/>
  <c r="K89" i="20"/>
  <c r="J42" i="20"/>
  <c r="J22" i="20"/>
  <c r="J104" i="20"/>
  <c r="H87" i="20"/>
  <c r="T56" i="20"/>
  <c r="W56" i="20" s="1"/>
  <c r="J30" i="20"/>
  <c r="J86" i="20"/>
  <c r="H109" i="20"/>
  <c r="H40" i="20"/>
  <c r="I15" i="20"/>
  <c r="K47" i="20"/>
  <c r="K75" i="20"/>
  <c r="K55" i="20"/>
  <c r="K51" i="20"/>
  <c r="V122" i="20"/>
  <c r="J61" i="20"/>
  <c r="I76" i="20"/>
  <c r="J36" i="20"/>
  <c r="K111" i="20"/>
  <c r="J26" i="20"/>
  <c r="I53" i="20"/>
  <c r="J6" i="20"/>
  <c r="I52" i="20"/>
  <c r="J43" i="20"/>
  <c r="H50" i="20"/>
  <c r="H7" i="20"/>
  <c r="V117" i="20"/>
  <c r="V5" i="20"/>
  <c r="V107" i="20"/>
  <c r="T6" i="20"/>
  <c r="W6" i="20" s="1"/>
  <c r="T24" i="20"/>
  <c r="W24" i="20" s="1"/>
  <c r="H38" i="20"/>
  <c r="H56" i="20"/>
  <c r="V54" i="20"/>
  <c r="V72" i="20"/>
  <c r="T90" i="20"/>
  <c r="W90" i="20" s="1"/>
  <c r="T108" i="20"/>
  <c r="W108" i="20" s="1"/>
  <c r="H122" i="20"/>
  <c r="H25" i="20"/>
  <c r="V19" i="20"/>
  <c r="V41" i="20"/>
  <c r="T55" i="20"/>
  <c r="W55" i="20" s="1"/>
  <c r="T77" i="20"/>
  <c r="W77" i="20" s="1"/>
  <c r="H103" i="20"/>
  <c r="H5" i="20"/>
  <c r="V59" i="20"/>
  <c r="V81" i="20"/>
  <c r="T40" i="20"/>
  <c r="W40" i="20" s="1"/>
  <c r="H54" i="20"/>
  <c r="H72" i="20"/>
  <c r="V70" i="20"/>
  <c r="V88" i="20"/>
  <c r="T106" i="20"/>
  <c r="W106" i="20" s="1"/>
  <c r="T9" i="20"/>
  <c r="W9" i="20" s="1"/>
  <c r="H19" i="20"/>
  <c r="H41" i="20"/>
  <c r="V35" i="20"/>
  <c r="V57" i="20"/>
  <c r="T71" i="20"/>
  <c r="W71" i="20" s="1"/>
  <c r="T93" i="20"/>
  <c r="W93" i="20" s="1"/>
  <c r="H119" i="20"/>
  <c r="V14" i="20"/>
  <c r="V32" i="20"/>
  <c r="T50" i="20"/>
  <c r="W50" i="20" s="1"/>
  <c r="T68" i="20"/>
  <c r="W68" i="20" s="1"/>
  <c r="H98" i="20"/>
  <c r="V75" i="20"/>
  <c r="T63" i="20"/>
  <c r="W63" i="20" s="1"/>
  <c r="H95" i="20"/>
  <c r="V111" i="20"/>
  <c r="T28" i="20"/>
  <c r="W28" i="20" s="1"/>
  <c r="H60" i="20"/>
  <c r="V76" i="20"/>
  <c r="T112" i="20"/>
  <c r="W112" i="20" s="1"/>
  <c r="H45" i="20"/>
  <c r="V80" i="20"/>
  <c r="T75" i="20"/>
  <c r="W75" i="20" s="1"/>
  <c r="H66" i="20"/>
  <c r="H17" i="20"/>
  <c r="K19" i="20"/>
  <c r="K45" i="20"/>
  <c r="J59" i="20"/>
  <c r="J85" i="20"/>
  <c r="I99" i="20"/>
  <c r="I5" i="20"/>
  <c r="I100" i="20"/>
  <c r="K14" i="20"/>
  <c r="V82" i="20"/>
  <c r="T102" i="20"/>
  <c r="W102" i="20" s="1"/>
  <c r="H15" i="20"/>
  <c r="T96" i="20"/>
  <c r="W96" i="20" s="1"/>
  <c r="K118" i="20"/>
  <c r="T22" i="20"/>
  <c r="W22" i="20" s="1"/>
  <c r="V56" i="20"/>
  <c r="I122" i="20"/>
  <c r="J82" i="20"/>
  <c r="J109" i="20"/>
  <c r="I49" i="20"/>
  <c r="J64" i="20"/>
  <c r="I29" i="20"/>
  <c r="H22" i="20"/>
  <c r="I79" i="20"/>
  <c r="K63" i="20"/>
  <c r="K24" i="20"/>
  <c r="K36" i="20"/>
  <c r="K64" i="20"/>
  <c r="V25" i="20"/>
  <c r="V18" i="20"/>
  <c r="K54" i="20"/>
  <c r="I59" i="20"/>
  <c r="H106" i="20"/>
  <c r="I24" i="20"/>
  <c r="J65" i="20"/>
  <c r="I101" i="20"/>
  <c r="I107" i="20"/>
  <c r="I62" i="20"/>
  <c r="H114" i="20"/>
  <c r="T74" i="20"/>
  <c r="W74" i="20" s="1"/>
  <c r="I55" i="20"/>
  <c r="I63" i="20"/>
  <c r="J23" i="20"/>
  <c r="K102" i="20"/>
  <c r="K21" i="20"/>
  <c r="J112" i="20"/>
  <c r="K100" i="20"/>
  <c r="I109" i="20"/>
  <c r="K29" i="20"/>
  <c r="T43" i="20"/>
  <c r="W43" i="20" s="1"/>
  <c r="T78" i="20"/>
  <c r="W78" i="20" s="1"/>
  <c r="V95" i="20"/>
  <c r="V34" i="20"/>
  <c r="V52" i="20"/>
  <c r="T70" i="20"/>
  <c r="W70" i="20" s="1"/>
  <c r="T88" i="20"/>
  <c r="W88" i="20" s="1"/>
  <c r="H102" i="20"/>
  <c r="H120" i="20"/>
  <c r="V118" i="20"/>
  <c r="V21" i="20"/>
  <c r="T35" i="20"/>
  <c r="W35" i="20" s="1"/>
  <c r="T57" i="20"/>
  <c r="W57" i="20" s="1"/>
  <c r="H67" i="20"/>
  <c r="H89" i="20"/>
  <c r="V83" i="20"/>
  <c r="V105" i="20"/>
  <c r="T119" i="20"/>
  <c r="W119" i="20" s="1"/>
  <c r="H30" i="20"/>
  <c r="H48" i="20"/>
  <c r="V62" i="20"/>
  <c r="V123" i="20"/>
  <c r="T86" i="20"/>
  <c r="W86" i="20" s="1"/>
  <c r="T104" i="20"/>
  <c r="W104" i="20" s="1"/>
  <c r="H118" i="20"/>
  <c r="H21" i="20"/>
  <c r="V15" i="20"/>
  <c r="V37" i="20"/>
  <c r="T51" i="20"/>
  <c r="W51" i="20" s="1"/>
  <c r="T73" i="20"/>
  <c r="W73" i="20" s="1"/>
  <c r="H83" i="20"/>
  <c r="H105" i="20"/>
  <c r="V99" i="20"/>
  <c r="V121" i="20"/>
  <c r="J47" i="20"/>
  <c r="I92" i="20"/>
  <c r="J60" i="20"/>
  <c r="I70" i="20"/>
  <c r="V71" i="20"/>
  <c r="J5" i="20"/>
  <c r="J95" i="20"/>
  <c r="I28" i="20"/>
  <c r="K88" i="20"/>
  <c r="K77" i="20"/>
  <c r="I6" i="20"/>
  <c r="K22" i="20"/>
  <c r="I117" i="20"/>
  <c r="I65" i="20"/>
  <c r="H36" i="20"/>
  <c r="T92" i="20"/>
  <c r="W92" i="20" s="1"/>
  <c r="I105" i="20"/>
  <c r="J106" i="20"/>
  <c r="J117" i="20"/>
  <c r="V38" i="20"/>
  <c r="I30" i="20"/>
  <c r="J39" i="20"/>
  <c r="J51" i="20"/>
  <c r="J92" i="20"/>
  <c r="I16" i="20"/>
  <c r="V13" i="20"/>
  <c r="H88" i="20"/>
  <c r="J12" i="20"/>
  <c r="I54" i="20"/>
  <c r="J14" i="20"/>
  <c r="I120" i="20"/>
  <c r="K8" i="20"/>
  <c r="I14" i="20"/>
  <c r="K7" i="20"/>
  <c r="I83" i="20"/>
  <c r="K122" i="20"/>
  <c r="V64" i="20"/>
  <c r="V42" i="20"/>
  <c r="T8" i="20"/>
  <c r="W8" i="20" s="1"/>
  <c r="V98" i="20"/>
  <c r="V116" i="20"/>
  <c r="T15" i="20"/>
  <c r="W15" i="20" s="1"/>
  <c r="T37" i="20"/>
  <c r="W37" i="20" s="1"/>
  <c r="H47" i="20"/>
  <c r="H69" i="20"/>
  <c r="V63" i="20"/>
  <c r="V85" i="20"/>
  <c r="T99" i="20"/>
  <c r="W99" i="20" s="1"/>
  <c r="T121" i="20"/>
  <c r="W121" i="20" s="1"/>
  <c r="H12" i="20"/>
  <c r="V10" i="20"/>
  <c r="V28" i="20"/>
  <c r="T46" i="20"/>
  <c r="W46" i="20" s="1"/>
  <c r="T64" i="20"/>
  <c r="W64" i="20" s="1"/>
  <c r="H94" i="20"/>
  <c r="H112" i="20"/>
  <c r="V50" i="20"/>
  <c r="V68" i="20"/>
  <c r="T31" i="20"/>
  <c r="W31" i="20" s="1"/>
  <c r="T53" i="20"/>
  <c r="W53" i="20" s="1"/>
  <c r="H63" i="20"/>
  <c r="H85" i="20"/>
  <c r="V79" i="20"/>
  <c r="V101" i="20"/>
  <c r="T115" i="20"/>
  <c r="W115" i="20" s="1"/>
  <c r="H10" i="20"/>
  <c r="H28" i="20"/>
  <c r="V26" i="20"/>
  <c r="V44" i="20"/>
  <c r="T62" i="20"/>
  <c r="W62" i="20" s="1"/>
  <c r="T80" i="20"/>
  <c r="W80" i="20" s="1"/>
  <c r="U80" i="20" s="1"/>
  <c r="H110" i="20"/>
  <c r="H13" i="20"/>
  <c r="V23" i="20"/>
  <c r="V45" i="20"/>
  <c r="T59" i="20"/>
  <c r="W59" i="20" s="1"/>
  <c r="T81" i="20"/>
  <c r="W81" i="20" s="1"/>
  <c r="H107" i="20"/>
  <c r="V97" i="20"/>
  <c r="T85" i="20"/>
  <c r="W85" i="20" s="1"/>
  <c r="H117" i="20"/>
  <c r="T10" i="20"/>
  <c r="H42" i="20"/>
  <c r="V58" i="20"/>
  <c r="T94" i="20"/>
  <c r="W94" i="20" s="1"/>
  <c r="H23" i="20"/>
  <c r="V39" i="20"/>
  <c r="T18" i="20"/>
  <c r="W18" i="20" s="1"/>
  <c r="T116" i="20"/>
  <c r="W116" i="20" s="1"/>
  <c r="U116" i="20" s="1"/>
  <c r="H123" i="20"/>
  <c r="K10" i="20"/>
  <c r="K32" i="20"/>
  <c r="J50" i="20"/>
  <c r="J72" i="20"/>
  <c r="I90" i="20"/>
  <c r="I112" i="20"/>
  <c r="J121" i="20"/>
  <c r="I66" i="20"/>
  <c r="K23" i="20"/>
  <c r="V100" i="20"/>
  <c r="J94" i="20"/>
  <c r="J35" i="20"/>
  <c r="K65" i="20"/>
  <c r="K11" i="20"/>
  <c r="K76" i="20"/>
  <c r="J116" i="20"/>
  <c r="T49" i="20"/>
  <c r="W49" i="20" s="1"/>
  <c r="J52" i="20"/>
  <c r="I84" i="20"/>
  <c r="T107" i="20"/>
  <c r="W107" i="20" s="1"/>
  <c r="I103" i="20"/>
  <c r="J103" i="20"/>
  <c r="J115" i="20"/>
  <c r="I94" i="20"/>
  <c r="I96" i="20"/>
  <c r="T66" i="20"/>
  <c r="W66" i="20" s="1"/>
  <c r="V22" i="20"/>
  <c r="I22" i="20"/>
  <c r="K66" i="20"/>
  <c r="H49" i="20"/>
  <c r="V36" i="20"/>
  <c r="I25" i="20"/>
  <c r="K25" i="20"/>
  <c r="K101" i="20"/>
  <c r="K81" i="20"/>
  <c r="J91" i="20"/>
  <c r="T61" i="20"/>
  <c r="W61" i="20" s="1"/>
  <c r="I85" i="20"/>
  <c r="I89" i="20"/>
  <c r="J49" i="20"/>
  <c r="K9" i="20"/>
  <c r="J48" i="20"/>
  <c r="K114" i="20"/>
  <c r="J15" i="20"/>
  <c r="I69" i="20"/>
  <c r="J69" i="20"/>
  <c r="H116" i="20"/>
  <c r="H29" i="20"/>
  <c r="H26" i="20"/>
  <c r="V20" i="20"/>
  <c r="V43" i="20"/>
  <c r="V65" i="20"/>
  <c r="T79" i="20"/>
  <c r="W79" i="20" s="1"/>
  <c r="U79" i="20" s="1"/>
  <c r="T101" i="20"/>
  <c r="W101" i="20" s="1"/>
  <c r="U101" i="20" s="1"/>
  <c r="H111" i="20"/>
  <c r="J123" i="20"/>
  <c r="V8" i="20"/>
  <c r="T26" i="20"/>
  <c r="W26" i="20" s="1"/>
  <c r="U26" i="20" s="1"/>
  <c r="T44" i="20"/>
  <c r="W44" i="20" s="1"/>
  <c r="U44" i="20" s="1"/>
  <c r="H58" i="20"/>
  <c r="H76" i="20"/>
  <c r="V74" i="20"/>
  <c r="V92" i="20"/>
  <c r="T110" i="20"/>
  <c r="W110" i="20" s="1"/>
  <c r="T13" i="20"/>
  <c r="W13" i="20" s="1"/>
  <c r="H39" i="20"/>
  <c r="H61" i="20"/>
  <c r="V114" i="20"/>
  <c r="V17" i="20"/>
  <c r="T95" i="20"/>
  <c r="W95" i="20" s="1"/>
  <c r="T117" i="20"/>
  <c r="W117" i="20" s="1"/>
  <c r="H8" i="20"/>
  <c r="V6" i="20"/>
  <c r="V24" i="20"/>
  <c r="T42" i="20"/>
  <c r="W42" i="20" s="1"/>
  <c r="T60" i="20"/>
  <c r="W60" i="20" s="1"/>
  <c r="H74" i="20"/>
  <c r="H92" i="20"/>
  <c r="V90" i="20"/>
  <c r="V108" i="20"/>
  <c r="H46" i="20"/>
  <c r="V78" i="20"/>
  <c r="T114" i="20"/>
  <c r="W114" i="20" s="1"/>
  <c r="H43" i="20"/>
  <c r="T72" i="20"/>
  <c r="W72" i="20" s="1"/>
  <c r="V120" i="20"/>
  <c r="H73" i="20"/>
  <c r="H14" i="20"/>
  <c r="V61" i="20"/>
  <c r="H27" i="20"/>
  <c r="K83" i="20"/>
  <c r="J8" i="20"/>
  <c r="I48" i="20"/>
  <c r="J96" i="20"/>
  <c r="V91" i="20"/>
  <c r="H6" i="20"/>
  <c r="V40" i="20"/>
  <c r="T76" i="20"/>
  <c r="W76" i="20" s="1"/>
  <c r="U76" i="20" s="1"/>
  <c r="H108" i="20"/>
  <c r="V9" i="20"/>
  <c r="T45" i="20"/>
  <c r="W45" i="20" s="1"/>
  <c r="U45" i="20" s="1"/>
  <c r="H93" i="20"/>
  <c r="V112" i="20"/>
  <c r="T91" i="20"/>
  <c r="W91" i="20" s="1"/>
  <c r="H82" i="20"/>
  <c r="H33" i="20"/>
  <c r="K35" i="20"/>
  <c r="K61" i="20"/>
  <c r="J75" i="20"/>
  <c r="J101" i="20"/>
  <c r="I115" i="20"/>
  <c r="J63" i="20"/>
  <c r="I17" i="20"/>
  <c r="K30" i="20"/>
  <c r="K52" i="20"/>
  <c r="J13" i="20"/>
  <c r="J31" i="20"/>
  <c r="I111" i="20"/>
  <c r="J97" i="20"/>
  <c r="J71" i="20"/>
  <c r="K57" i="20"/>
  <c r="K31" i="20"/>
  <c r="J32" i="20"/>
  <c r="J10" i="20"/>
  <c r="K107" i="20"/>
  <c r="I104" i="20"/>
  <c r="J89" i="20"/>
  <c r="K113" i="20"/>
  <c r="K110" i="20"/>
  <c r="J41" i="20"/>
  <c r="I58" i="20"/>
  <c r="J18" i="20"/>
  <c r="H113" i="20"/>
  <c r="T84" i="20"/>
  <c r="W84" i="20" s="1"/>
  <c r="V110" i="20"/>
  <c r="T30" i="20"/>
  <c r="W30" i="20" s="1"/>
  <c r="T105" i="20"/>
  <c r="W105" i="20" s="1"/>
  <c r="H101" i="20"/>
  <c r="V49" i="20"/>
  <c r="J105" i="20"/>
  <c r="J100" i="20"/>
  <c r="K60" i="20"/>
  <c r="J90" i="20"/>
  <c r="K50" i="20"/>
  <c r="J70" i="20"/>
  <c r="I74" i="20"/>
  <c r="I123" i="20"/>
  <c r="V7" i="20"/>
  <c r="I36" i="20"/>
  <c r="I57" i="20"/>
  <c r="I31" i="20"/>
  <c r="J68" i="20"/>
  <c r="J46" i="20"/>
  <c r="K28" i="20"/>
  <c r="K6" i="20"/>
  <c r="J67" i="20"/>
  <c r="K53" i="20"/>
  <c r="K27" i="20"/>
  <c r="I34" i="20"/>
  <c r="J79" i="20"/>
  <c r="K33" i="20"/>
  <c r="I91" i="20"/>
  <c r="I45" i="20"/>
  <c r="J120" i="20"/>
  <c r="K80" i="20"/>
  <c r="H52" i="20"/>
  <c r="T82" i="20"/>
  <c r="W82" i="20" s="1"/>
  <c r="H16" i="20"/>
  <c r="V51" i="20"/>
  <c r="T122" i="20"/>
  <c r="W122" i="20" s="1"/>
  <c r="H31" i="20"/>
  <c r="V11" i="20"/>
  <c r="T7" i="20"/>
  <c r="W7" i="20" s="1"/>
  <c r="H55" i="20"/>
  <c r="V87" i="20"/>
  <c r="T123" i="20"/>
  <c r="W123" i="20" s="1"/>
  <c r="V66" i="20"/>
  <c r="H86" i="20"/>
  <c r="T19" i="20"/>
  <c r="W19" i="20" s="1"/>
  <c r="V67" i="20"/>
  <c r="H32" i="20"/>
  <c r="T98" i="20"/>
  <c r="W98" i="20" s="1"/>
  <c r="U98" i="20" s="1"/>
  <c r="H68" i="20"/>
  <c r="K96" i="20"/>
  <c r="J21" i="20"/>
  <c r="I61" i="20"/>
  <c r="I40" i="20"/>
  <c r="V113" i="20"/>
  <c r="H24" i="20"/>
  <c r="V53" i="20"/>
  <c r="T89" i="20"/>
  <c r="W89" i="20" s="1"/>
  <c r="H121" i="20"/>
  <c r="T14" i="20"/>
  <c r="W14" i="20" s="1"/>
  <c r="H62" i="20"/>
  <c r="V94" i="20"/>
  <c r="V77" i="20"/>
  <c r="T52" i="20"/>
  <c r="W52" i="20" s="1"/>
  <c r="H59" i="20"/>
  <c r="H97" i="20"/>
  <c r="K99" i="20"/>
  <c r="K5" i="20"/>
  <c r="J24" i="20"/>
  <c r="I42" i="20"/>
  <c r="I64" i="20"/>
  <c r="J108" i="20"/>
  <c r="J45" i="20"/>
  <c r="K94" i="20"/>
  <c r="K116" i="20"/>
  <c r="I68" i="20"/>
  <c r="I73" i="20"/>
  <c r="I47" i="20"/>
  <c r="J33" i="20"/>
  <c r="J7" i="20"/>
  <c r="K108" i="20"/>
  <c r="K86" i="20"/>
  <c r="J83" i="20"/>
  <c r="K69" i="20"/>
  <c r="K43" i="20"/>
  <c r="I98" i="20"/>
  <c r="J111" i="20"/>
  <c r="K49" i="20"/>
  <c r="I37" i="20"/>
  <c r="I93" i="20"/>
  <c r="J53" i="20"/>
  <c r="K13" i="20"/>
  <c r="H100" i="20"/>
  <c r="T27" i="20"/>
  <c r="W27" i="20" s="1"/>
  <c r="H96" i="20"/>
  <c r="V12" i="20"/>
  <c r="T83" i="20"/>
  <c r="W83" i="20" s="1"/>
  <c r="H79" i="20"/>
  <c r="V27" i="20"/>
  <c r="I12" i="20"/>
  <c r="J87" i="20"/>
  <c r="K38" i="20"/>
  <c r="K85" i="20"/>
  <c r="I43" i="20"/>
  <c r="K20" i="20"/>
  <c r="J56" i="20"/>
  <c r="H91" i="20"/>
  <c r="V60" i="20"/>
  <c r="I72" i="20"/>
  <c r="I78" i="20"/>
  <c r="I108" i="20"/>
  <c r="I86" i="20"/>
  <c r="J119" i="20"/>
  <c r="K105" i="20"/>
  <c r="K79" i="20"/>
  <c r="I27" i="20"/>
  <c r="J122" i="20"/>
  <c r="K104" i="20"/>
  <c r="K82" i="20"/>
  <c r="I33" i="20"/>
  <c r="J102" i="20"/>
  <c r="K68" i="20"/>
  <c r="I97" i="20"/>
  <c r="I32" i="20"/>
  <c r="J107" i="20"/>
  <c r="K67" i="20"/>
  <c r="H11" i="20"/>
  <c r="V29" i="20"/>
  <c r="T109" i="20"/>
  <c r="W109" i="20" s="1"/>
  <c r="H57" i="20"/>
  <c r="V104" i="20"/>
  <c r="T21" i="20"/>
  <c r="W21" i="20" s="1"/>
  <c r="T16" i="20"/>
  <c r="W16" i="20" s="1"/>
  <c r="H64" i="20"/>
  <c r="V96" i="20"/>
  <c r="T17" i="20"/>
  <c r="W17" i="20" s="1"/>
  <c r="U17" i="20" s="1"/>
  <c r="V84" i="20"/>
  <c r="H104" i="20"/>
  <c r="T41" i="20"/>
  <c r="W41" i="20" s="1"/>
  <c r="V89" i="20"/>
  <c r="V46" i="20"/>
  <c r="T36" i="20"/>
  <c r="W36" i="20" s="1"/>
  <c r="U36" i="20" s="1"/>
  <c r="H81" i="20"/>
  <c r="K109" i="20"/>
  <c r="I26" i="20"/>
  <c r="J76" i="20"/>
  <c r="K78" i="20"/>
  <c r="T111" i="20"/>
  <c r="W111" i="20" s="1"/>
  <c r="H37" i="20"/>
  <c r="T58" i="20"/>
  <c r="W58" i="20" s="1"/>
  <c r="H90" i="20"/>
  <c r="V106" i="20"/>
  <c r="T23" i="20"/>
  <c r="W23" i="20" s="1"/>
  <c r="H71" i="20"/>
  <c r="V55" i="20"/>
  <c r="T34" i="20"/>
  <c r="W34" i="20" s="1"/>
  <c r="T33" i="20"/>
  <c r="W33" i="20" s="1"/>
  <c r="H20" i="20"/>
  <c r="K26" i="20"/>
  <c r="K48" i="20"/>
  <c r="J66" i="20"/>
  <c r="J88" i="20"/>
  <c r="I106" i="20"/>
  <c r="I13" i="20"/>
  <c r="I46" i="20"/>
  <c r="I114" i="20"/>
  <c r="K39" i="20"/>
  <c r="I21" i="20"/>
  <c r="I7" i="20"/>
  <c r="I9" i="20"/>
  <c r="I102" i="20"/>
  <c r="J84" i="20"/>
  <c r="J62" i="20"/>
  <c r="K44" i="20"/>
  <c r="I8" i="20"/>
  <c r="J19" i="20"/>
  <c r="K120" i="20"/>
  <c r="K98" i="20"/>
  <c r="I81" i="20"/>
  <c r="J118" i="20"/>
  <c r="K84" i="20"/>
  <c r="J93" i="20"/>
  <c r="I80" i="20"/>
  <c r="J40" i="20"/>
  <c r="K115" i="20"/>
  <c r="H75" i="20"/>
  <c r="V93" i="20"/>
  <c r="H78" i="20"/>
  <c r="K123" i="20"/>
  <c r="V69" i="20"/>
  <c r="T69" i="20"/>
  <c r="W69" i="20" s="1"/>
  <c r="I75" i="20"/>
  <c r="I118" i="20"/>
  <c r="J78" i="20"/>
  <c r="J77" i="20"/>
  <c r="K72" i="20"/>
  <c r="I20" i="20"/>
  <c r="I18" i="20"/>
  <c r="J34" i="20"/>
  <c r="T100" i="20"/>
  <c r="W100" i="20" s="1"/>
  <c r="H44" i="20"/>
  <c r="I82" i="20"/>
  <c r="J9" i="20"/>
  <c r="I44" i="20"/>
  <c r="J81" i="20"/>
  <c r="J55" i="20"/>
  <c r="K41" i="20"/>
  <c r="K15" i="20"/>
  <c r="J80" i="20"/>
  <c r="J58" i="20"/>
  <c r="K40" i="20"/>
  <c r="K18" i="20"/>
  <c r="I23" i="20"/>
  <c r="J38" i="20"/>
  <c r="K71" i="20"/>
  <c r="I110" i="20"/>
  <c r="I19" i="20"/>
  <c r="J98" i="20"/>
  <c r="K58" i="20"/>
  <c r="T65" i="20"/>
  <c r="W65" i="20" s="1"/>
  <c r="V103" i="20"/>
  <c r="T87" i="20"/>
  <c r="W87" i="20" s="1"/>
  <c r="U87" i="20" s="1"/>
  <c r="H35" i="20"/>
  <c r="V86" i="20"/>
  <c r="T118" i="20"/>
  <c r="W118" i="20" s="1"/>
  <c r="U118" i="20" s="1"/>
  <c r="T29" i="20"/>
  <c r="W29" i="20" s="1"/>
  <c r="H77" i="20"/>
  <c r="V109" i="20"/>
  <c r="H34" i="20"/>
  <c r="T54" i="20"/>
  <c r="W54" i="20" s="1"/>
  <c r="U54" i="20" s="1"/>
  <c r="V102" i="20"/>
  <c r="H51" i="20"/>
  <c r="T103" i="20"/>
  <c r="W103" i="20" s="1"/>
  <c r="V119" i="20"/>
  <c r="T97" i="20"/>
  <c r="W97" i="20" s="1"/>
  <c r="K74" i="20"/>
  <c r="J114" i="20"/>
  <c r="I35" i="20"/>
  <c r="I39" i="20"/>
  <c r="K87" i="20"/>
  <c r="T120" i="20"/>
  <c r="W120" i="20" s="1"/>
  <c r="U120" i="20" s="1"/>
  <c r="V31" i="20"/>
  <c r="T67" i="20"/>
  <c r="W67" i="20" s="1"/>
  <c r="H99" i="20"/>
  <c r="V115" i="20"/>
  <c r="T32" i="20"/>
  <c r="W32" i="20" s="1"/>
  <c r="H80" i="20"/>
  <c r="V16" i="20"/>
  <c r="T11" i="20"/>
  <c r="W11" i="20" s="1"/>
  <c r="T113" i="20"/>
  <c r="W113" i="20" s="1"/>
  <c r="H84" i="20"/>
  <c r="K90" i="20"/>
  <c r="K112" i="20"/>
  <c r="J11" i="20"/>
  <c r="J37" i="20"/>
  <c r="I51" i="20"/>
  <c r="I77" i="20"/>
  <c r="I71" i="20"/>
  <c r="I88" i="20"/>
  <c r="K103" i="20"/>
  <c r="I11" i="20"/>
  <c r="J57" i="20"/>
  <c r="I60" i="20"/>
  <c r="I38" i="20"/>
  <c r="J20" i="20"/>
  <c r="K121" i="20"/>
  <c r="K95" i="20"/>
  <c r="J29" i="20"/>
  <c r="J74" i="20"/>
  <c r="K56" i="20"/>
  <c r="K34" i="20"/>
  <c r="I87" i="20"/>
  <c r="J54" i="20"/>
  <c r="K119" i="20"/>
  <c r="I119" i="20"/>
  <c r="I67" i="20"/>
  <c r="J27" i="20"/>
  <c r="K106" i="20"/>
  <c r="H18" i="20"/>
  <c r="V48" i="20"/>
  <c r="T48" i="20"/>
  <c r="W48" i="20" s="1"/>
  <c r="H115" i="20"/>
  <c r="V47" i="20"/>
  <c r="T47" i="20"/>
  <c r="W47" i="20" s="1"/>
  <c r="I116" i="20"/>
  <c r="J113" i="20"/>
  <c r="K73" i="20"/>
  <c r="J99" i="20"/>
  <c r="K59" i="20"/>
  <c r="J44" i="20"/>
  <c r="J73" i="20"/>
  <c r="K16" i="20"/>
  <c r="W5" i="20"/>
  <c r="T12" i="20"/>
  <c r="W12" i="20" s="1"/>
  <c r="I113" i="20"/>
  <c r="I121" i="20"/>
  <c r="I95" i="20"/>
  <c r="J17" i="20"/>
  <c r="J110" i="20"/>
  <c r="K92" i="20"/>
  <c r="K70" i="20"/>
  <c r="J16" i="20"/>
  <c r="K117" i="20"/>
  <c r="K91" i="20"/>
  <c r="I56" i="20"/>
  <c r="J25" i="20"/>
  <c r="K97" i="20"/>
  <c r="K62" i="20"/>
  <c r="J28" i="20"/>
  <c r="I10" i="20"/>
  <c r="K93" i="20"/>
  <c r="H65" i="20"/>
  <c r="T20" i="20"/>
  <c r="W20" i="20" s="1"/>
  <c r="U20" i="20" s="1"/>
  <c r="V30" i="20"/>
  <c r="V73" i="20"/>
  <c r="T25" i="20"/>
  <c r="W25" i="20" s="1"/>
  <c r="H53" i="20"/>
  <c r="V33" i="20"/>
  <c r="D91" i="23"/>
  <c r="M97" i="23"/>
  <c r="L92" i="23"/>
  <c r="M119" i="23"/>
  <c r="D97" i="23"/>
  <c r="D119" i="23"/>
  <c r="M91" i="23"/>
  <c r="L100" i="23"/>
  <c r="G119" i="23"/>
  <c r="O119" i="23"/>
  <c r="O91" i="23"/>
  <c r="G97" i="23"/>
  <c r="G91" i="23"/>
  <c r="O97" i="23"/>
  <c r="U52" i="20" l="1"/>
  <c r="U105" i="20"/>
  <c r="U67" i="20"/>
  <c r="U103" i="20"/>
  <c r="F121" i="23"/>
  <c r="N92" i="23"/>
  <c r="C92" i="23"/>
  <c r="L121" i="23"/>
  <c r="N121" i="23"/>
  <c r="F92" i="23"/>
  <c r="C121" i="23"/>
  <c r="C100" i="23"/>
  <c r="F100" i="23"/>
  <c r="N100" i="23"/>
  <c r="C4" i="23"/>
  <c r="L88" i="23"/>
  <c r="L32" i="23"/>
  <c r="L87" i="23"/>
  <c r="L109" i="23"/>
  <c r="C41" i="23"/>
  <c r="C5" i="23"/>
  <c r="L74" i="23"/>
  <c r="L13" i="23"/>
  <c r="C9" i="23"/>
  <c r="L24" i="23"/>
  <c r="C22" i="23"/>
  <c r="C64" i="23"/>
  <c r="L71" i="23"/>
  <c r="C47" i="23"/>
  <c r="C75" i="23"/>
  <c r="C62" i="23"/>
  <c r="C107" i="23"/>
  <c r="L56" i="23"/>
  <c r="L5" i="23"/>
  <c r="C74" i="23"/>
  <c r="C10" i="23"/>
  <c r="C65" i="23"/>
  <c r="C27" i="23"/>
  <c r="C32" i="23"/>
  <c r="L38" i="23"/>
  <c r="C48" i="23"/>
  <c r="L40" i="23"/>
  <c r="C15" i="23"/>
  <c r="L10" i="23"/>
  <c r="L81" i="23"/>
  <c r="L22" i="23"/>
  <c r="C18" i="23"/>
  <c r="C93" i="23"/>
  <c r="L51" i="23"/>
  <c r="L67" i="23"/>
  <c r="L94" i="23"/>
  <c r="C37" i="23"/>
  <c r="L78" i="23"/>
  <c r="C76" i="23"/>
  <c r="L62" i="23"/>
  <c r="C102" i="23"/>
  <c r="C12" i="23"/>
  <c r="C108" i="23"/>
  <c r="C78" i="23"/>
  <c r="L63" i="23"/>
  <c r="L58" i="23"/>
  <c r="L23" i="23"/>
  <c r="C94" i="23"/>
  <c r="L17" i="23"/>
  <c r="L4" i="23"/>
  <c r="L89" i="23"/>
  <c r="C11" i="23"/>
  <c r="L84" i="23"/>
  <c r="C103" i="23"/>
  <c r="C77" i="23"/>
  <c r="L25" i="23"/>
  <c r="L26" i="23"/>
  <c r="L70" i="23"/>
  <c r="C21" i="23"/>
  <c r="L46" i="23"/>
  <c r="C99" i="23"/>
  <c r="C73" i="23"/>
  <c r="L6" i="23"/>
  <c r="C36" i="23"/>
  <c r="C109" i="23"/>
  <c r="C104" i="23"/>
  <c r="C40" i="23"/>
  <c r="C57" i="23"/>
  <c r="C16" i="23"/>
  <c r="C106" i="23"/>
  <c r="C113" i="23"/>
  <c r="L80" i="23"/>
  <c r="C26" i="23"/>
  <c r="L61" i="23"/>
  <c r="L33" i="23"/>
  <c r="L85" i="23"/>
  <c r="C70" i="23"/>
  <c r="C63" i="23"/>
  <c r="C84" i="23"/>
  <c r="C31" i="23"/>
  <c r="C80" i="23"/>
  <c r="L11" i="23"/>
  <c r="L52" i="23"/>
  <c r="L64" i="23"/>
  <c r="L19" i="23"/>
  <c r="C90" i="23"/>
  <c r="L45" i="23"/>
  <c r="L59" i="23"/>
  <c r="C68" i="23"/>
  <c r="L114" i="23"/>
  <c r="C82" i="23"/>
  <c r="C88" i="23"/>
  <c r="C14" i="23"/>
  <c r="L90" i="23"/>
  <c r="L106" i="23"/>
  <c r="L72" i="23"/>
  <c r="L101" i="23"/>
  <c r="C61" i="23"/>
  <c r="C35" i="23"/>
  <c r="L86" i="23"/>
  <c r="C30" i="23"/>
  <c r="L55" i="23"/>
  <c r="C38" i="23"/>
  <c r="C89" i="23"/>
  <c r="L48" i="23"/>
  <c r="L20" i="23"/>
  <c r="C54" i="23"/>
  <c r="C87" i="23"/>
  <c r="L93" i="23"/>
  <c r="L18" i="23"/>
  <c r="C17" i="23"/>
  <c r="L8" i="23"/>
  <c r="L57" i="23"/>
  <c r="L28" i="23"/>
  <c r="C34" i="23"/>
  <c r="C66" i="23"/>
  <c r="C50" i="23"/>
  <c r="L7" i="23"/>
  <c r="L50" i="23"/>
  <c r="C46" i="23"/>
  <c r="L53" i="23"/>
  <c r="L77" i="23"/>
  <c r="L107" i="23"/>
  <c r="L44" i="23"/>
  <c r="C33" i="23"/>
  <c r="L73" i="23"/>
  <c r="L96" i="23"/>
  <c r="L69" i="23"/>
  <c r="C24" i="23"/>
  <c r="C69" i="23"/>
  <c r="L103" i="23"/>
  <c r="L108" i="23"/>
  <c r="L75" i="23"/>
  <c r="L12" i="23"/>
  <c r="C79" i="23"/>
  <c r="L99" i="23"/>
  <c r="C43" i="23"/>
  <c r="C53" i="23"/>
  <c r="L66" i="23"/>
  <c r="C52" i="23"/>
  <c r="L27" i="23"/>
  <c r="C49" i="23"/>
  <c r="L104" i="23"/>
  <c r="L31" i="23"/>
  <c r="C29" i="23"/>
  <c r="L41" i="23"/>
  <c r="C55" i="23"/>
  <c r="L36" i="23"/>
  <c r="C39" i="23"/>
  <c r="L14" i="23"/>
  <c r="L60" i="23"/>
  <c r="L113" i="23"/>
  <c r="C23" i="23"/>
  <c r="C72" i="23"/>
  <c r="C7" i="23"/>
  <c r="C85" i="23"/>
  <c r="L34" i="23"/>
  <c r="C45" i="23"/>
  <c r="L95" i="23"/>
  <c r="L49" i="23"/>
  <c r="C86" i="23"/>
  <c r="L16" i="23"/>
  <c r="C114" i="23"/>
  <c r="L9" i="23"/>
  <c r="C8" i="23"/>
  <c r="L37" i="23"/>
  <c r="L82" i="23"/>
  <c r="L76" i="23"/>
  <c r="L21" i="23"/>
  <c r="C42" i="23"/>
  <c r="C6" i="23"/>
  <c r="C67" i="23"/>
  <c r="C96" i="23"/>
  <c r="L39" i="23"/>
  <c r="C51" i="23"/>
  <c r="L65" i="23"/>
  <c r="C13" i="23"/>
  <c r="C95" i="23"/>
  <c r="L29" i="23"/>
  <c r="L120" i="23"/>
  <c r="L47" i="23"/>
  <c r="L102" i="23"/>
  <c r="L98" i="23"/>
  <c r="C56" i="23"/>
  <c r="L43" i="23"/>
  <c r="C81" i="23"/>
  <c r="L15" i="23"/>
  <c r="C25" i="23"/>
  <c r="L30" i="23"/>
  <c r="C98" i="23"/>
  <c r="C44" i="23"/>
  <c r="C101" i="23"/>
  <c r="C71" i="23"/>
  <c r="C19" i="23"/>
  <c r="L54" i="23"/>
  <c r="L35" i="23"/>
  <c r="C58" i="23"/>
  <c r="C59" i="23"/>
  <c r="C20" i="23"/>
  <c r="C28" i="23"/>
  <c r="L42" i="23"/>
  <c r="L79" i="23"/>
  <c r="L68" i="23"/>
  <c r="C60" i="23"/>
  <c r="C120" i="23"/>
  <c r="F71" i="23"/>
  <c r="F53" i="23"/>
  <c r="F67" i="23"/>
  <c r="F51" i="23"/>
  <c r="N19" i="23"/>
  <c r="N60" i="23"/>
  <c r="N101" i="23"/>
  <c r="F39" i="23"/>
  <c r="N51" i="23"/>
  <c r="F24" i="23"/>
  <c r="F31" i="23"/>
  <c r="F38" i="23"/>
  <c r="N108" i="23"/>
  <c r="N120" i="23"/>
  <c r="F82" i="23"/>
  <c r="F10" i="23"/>
  <c r="F72" i="23"/>
  <c r="N58" i="23"/>
  <c r="N114" i="23"/>
  <c r="N6" i="23"/>
  <c r="N104" i="23"/>
  <c r="N72" i="23"/>
  <c r="N70" i="23"/>
  <c r="N85" i="23"/>
  <c r="F41" i="23"/>
  <c r="F85" i="23"/>
  <c r="F96" i="23"/>
  <c r="N53" i="23"/>
  <c r="N31" i="23"/>
  <c r="F8" i="23"/>
  <c r="F47" i="23"/>
  <c r="N96" i="23"/>
  <c r="N18" i="23"/>
  <c r="F48" i="23"/>
  <c r="F36" i="23"/>
  <c r="N26" i="23"/>
  <c r="F94" i="23"/>
  <c r="N36" i="23"/>
  <c r="F30" i="23"/>
  <c r="F46" i="23"/>
  <c r="N113" i="23"/>
  <c r="N20" i="23"/>
  <c r="F4" i="23"/>
  <c r="F88" i="23"/>
  <c r="N63" i="23"/>
  <c r="N7" i="23"/>
  <c r="N64" i="23"/>
  <c r="N34" i="23"/>
  <c r="F64" i="23"/>
  <c r="N68" i="23"/>
  <c r="F114" i="23"/>
  <c r="F89" i="23"/>
  <c r="N71" i="23"/>
  <c r="F6" i="23"/>
  <c r="N56" i="23"/>
  <c r="F102" i="23"/>
  <c r="F69" i="23"/>
  <c r="N69" i="23"/>
  <c r="N43" i="23"/>
  <c r="N22" i="23"/>
  <c r="N38" i="23"/>
  <c r="F90" i="23"/>
  <c r="F43" i="23"/>
  <c r="F98" i="23"/>
  <c r="F26" i="23"/>
  <c r="N28" i="23"/>
  <c r="F120" i="23"/>
  <c r="F15" i="23"/>
  <c r="N54" i="23"/>
  <c r="F68" i="23"/>
  <c r="F35" i="23"/>
  <c r="F58" i="23"/>
  <c r="F103" i="23"/>
  <c r="F45" i="23"/>
  <c r="N55" i="23"/>
  <c r="F7" i="23"/>
  <c r="F95" i="23"/>
  <c r="F50" i="23"/>
  <c r="N45" i="23"/>
  <c r="F55" i="23"/>
  <c r="N4" i="23"/>
  <c r="N11" i="23"/>
  <c r="N86" i="23"/>
  <c r="F42" i="23"/>
  <c r="N15" i="23"/>
  <c r="N35" i="23"/>
  <c r="N14" i="23"/>
  <c r="N94" i="23"/>
  <c r="F78" i="23"/>
  <c r="F5" i="23"/>
  <c r="F52" i="23"/>
  <c r="F34" i="23"/>
  <c r="F21" i="23"/>
  <c r="N10" i="23"/>
  <c r="F80" i="23"/>
  <c r="F99" i="23"/>
  <c r="N49" i="23"/>
  <c r="N30" i="23"/>
  <c r="N12" i="23"/>
  <c r="N81" i="23"/>
  <c r="F86" i="23"/>
  <c r="F28" i="23"/>
  <c r="F87" i="23"/>
  <c r="N89" i="23"/>
  <c r="N48" i="23"/>
  <c r="N66" i="23"/>
  <c r="N23" i="23"/>
  <c r="F77" i="23"/>
  <c r="N87" i="23"/>
  <c r="N41" i="23"/>
  <c r="F40" i="23"/>
  <c r="N27" i="23"/>
  <c r="N29" i="23"/>
  <c r="N59" i="23"/>
  <c r="F65" i="23"/>
  <c r="F33" i="23"/>
  <c r="N80" i="23"/>
  <c r="N82" i="23"/>
  <c r="N76" i="23"/>
  <c r="F79" i="23"/>
  <c r="N17" i="23"/>
  <c r="F17" i="23"/>
  <c r="F57" i="23"/>
  <c r="N65" i="23"/>
  <c r="F56" i="23"/>
  <c r="F81" i="23"/>
  <c r="F73" i="23"/>
  <c r="F16" i="23"/>
  <c r="N21" i="23"/>
  <c r="F60" i="23"/>
  <c r="F63" i="23"/>
  <c r="N74" i="23"/>
  <c r="F12" i="23"/>
  <c r="F62" i="23"/>
  <c r="F25" i="23"/>
  <c r="N39" i="23"/>
  <c r="F13" i="23"/>
  <c r="N52" i="23"/>
  <c r="N67" i="23"/>
  <c r="F107" i="23"/>
  <c r="N102" i="23"/>
  <c r="N16" i="23"/>
  <c r="F44" i="23"/>
  <c r="N75" i="23"/>
  <c r="F14" i="23"/>
  <c r="N46" i="23"/>
  <c r="F109" i="23"/>
  <c r="N32" i="23"/>
  <c r="N8" i="23"/>
  <c r="N44" i="23"/>
  <c r="N24" i="23"/>
  <c r="N88" i="23"/>
  <c r="F74" i="23"/>
  <c r="F61" i="23"/>
  <c r="N93" i="23"/>
  <c r="F23" i="23"/>
  <c r="N107" i="23"/>
  <c r="F20" i="23"/>
  <c r="F76" i="23"/>
  <c r="F59" i="23"/>
  <c r="N98" i="23"/>
  <c r="N106" i="23"/>
  <c r="N109" i="23"/>
  <c r="N73" i="23"/>
  <c r="F84" i="23"/>
  <c r="N47" i="23"/>
  <c r="F108" i="23"/>
  <c r="N33" i="23"/>
  <c r="F18" i="23"/>
  <c r="N79" i="23"/>
  <c r="N42" i="23"/>
  <c r="F29" i="23"/>
  <c r="F19" i="23"/>
  <c r="N61" i="23"/>
  <c r="N77" i="23"/>
  <c r="F37" i="23"/>
  <c r="F22" i="23"/>
  <c r="F66" i="23"/>
  <c r="F27" i="23"/>
  <c r="N13" i="23"/>
  <c r="N25" i="23"/>
  <c r="F70" i="23"/>
  <c r="F75" i="23"/>
  <c r="N78" i="23"/>
  <c r="F104" i="23"/>
  <c r="N103" i="23"/>
  <c r="F113" i="23"/>
  <c r="N37" i="23"/>
  <c r="F32" i="23"/>
  <c r="F9" i="23"/>
  <c r="N90" i="23"/>
  <c r="F11" i="23"/>
  <c r="F101" i="23"/>
  <c r="F49" i="23"/>
  <c r="N95" i="23"/>
  <c r="F93" i="23"/>
  <c r="N84" i="23"/>
  <c r="F106" i="23"/>
  <c r="N9" i="23"/>
  <c r="F54" i="23"/>
  <c r="N40" i="23"/>
  <c r="N50" i="23"/>
  <c r="N62" i="23"/>
  <c r="N99" i="23"/>
  <c r="N5" i="23"/>
  <c r="N57" i="23"/>
  <c r="G71" i="23"/>
  <c r="D71" i="23"/>
  <c r="M99" i="23"/>
  <c r="F97" i="20"/>
  <c r="M40" i="23"/>
  <c r="D30" i="23"/>
  <c r="F79" i="20"/>
  <c r="M103" i="23"/>
  <c r="M12" i="23"/>
  <c r="F41" i="20"/>
  <c r="M89" i="23"/>
  <c r="D69" i="23"/>
  <c r="C122" i="23"/>
  <c r="F89" i="20"/>
  <c r="F95" i="20"/>
  <c r="M43" i="23"/>
  <c r="D9" i="23"/>
  <c r="F35" i="20"/>
  <c r="D38" i="23"/>
  <c r="F20" i="20"/>
  <c r="D52" i="23"/>
  <c r="F94" i="20"/>
  <c r="D78" i="23"/>
  <c r="D53" i="23"/>
  <c r="D15" i="23"/>
  <c r="C119" i="23"/>
  <c r="F118" i="20"/>
  <c r="M81" i="23"/>
  <c r="D63" i="23"/>
  <c r="F109" i="20"/>
  <c r="F72" i="20"/>
  <c r="F29" i="20"/>
  <c r="C116" i="23"/>
  <c r="D70" i="23"/>
  <c r="M15" i="23"/>
  <c r="M71" i="23"/>
  <c r="L105" i="23"/>
  <c r="M23" i="23"/>
  <c r="D23" i="23"/>
  <c r="D25" i="23"/>
  <c r="F69" i="20"/>
  <c r="M101" i="23"/>
  <c r="M30" i="23"/>
  <c r="F16" i="20"/>
  <c r="D113" i="23"/>
  <c r="D101" i="23"/>
  <c r="F55" i="20"/>
  <c r="C118" i="23"/>
  <c r="L97" i="23"/>
  <c r="D121" i="23"/>
  <c r="F54" i="20"/>
  <c r="F73" i="20"/>
  <c r="F88" i="20"/>
  <c r="M88" i="23"/>
  <c r="F110" i="20"/>
  <c r="F92" i="20"/>
  <c r="F93" i="20"/>
  <c r="M4" i="23"/>
  <c r="D65" i="23"/>
  <c r="D98" i="23"/>
  <c r="M37" i="23"/>
  <c r="D40" i="23"/>
  <c r="M48" i="23"/>
  <c r="F101" i="20"/>
  <c r="M64" i="23"/>
  <c r="D60" i="23"/>
  <c r="D73" i="23"/>
  <c r="D81" i="23"/>
  <c r="M10" i="23"/>
  <c r="D51" i="23"/>
  <c r="M9" i="23"/>
  <c r="D85" i="23"/>
  <c r="D92" i="23"/>
  <c r="F113" i="20"/>
  <c r="F59" i="20"/>
  <c r="F65" i="20"/>
  <c r="F106" i="20"/>
  <c r="F83" i="20"/>
  <c r="F13" i="20"/>
  <c r="M107" i="23"/>
  <c r="M21" i="23"/>
  <c r="D96" i="23"/>
  <c r="M60" i="23"/>
  <c r="D95" i="23"/>
  <c r="D37" i="23"/>
  <c r="D4" i="23"/>
  <c r="F75" i="20"/>
  <c r="M95" i="23"/>
  <c r="M113" i="23"/>
  <c r="F36" i="20"/>
  <c r="M34" i="23"/>
  <c r="F38" i="20"/>
  <c r="F87" i="20"/>
  <c r="M77" i="23"/>
  <c r="D102" i="23"/>
  <c r="M61" i="23"/>
  <c r="F6" i="20"/>
  <c r="F33" i="20"/>
  <c r="D17" i="23"/>
  <c r="M87" i="23"/>
  <c r="D107" i="23"/>
  <c r="F48" i="20"/>
  <c r="F122" i="20"/>
  <c r="F53" i="20"/>
  <c r="F66" i="20"/>
  <c r="F71" i="20"/>
  <c r="F116" i="20"/>
  <c r="F57" i="20"/>
  <c r="F46" i="20"/>
  <c r="D18" i="23"/>
  <c r="L83" i="23"/>
  <c r="C112" i="23"/>
  <c r="M36" i="23"/>
  <c r="D68" i="23"/>
  <c r="M51" i="23"/>
  <c r="D41" i="23"/>
  <c r="D62" i="23"/>
  <c r="D36" i="23"/>
  <c r="M78" i="23"/>
  <c r="M84" i="23"/>
  <c r="M65" i="23"/>
  <c r="M70" i="23"/>
  <c r="F43" i="20"/>
  <c r="D114" i="23"/>
  <c r="M41" i="23"/>
  <c r="M56" i="23"/>
  <c r="F45" i="20"/>
  <c r="D74" i="23"/>
  <c r="D109" i="23"/>
  <c r="M69" i="23"/>
  <c r="M73" i="23"/>
  <c r="M102" i="23"/>
  <c r="F107" i="20"/>
  <c r="M8" i="23"/>
  <c r="D50" i="23"/>
  <c r="M94" i="23"/>
  <c r="M86" i="23"/>
  <c r="F40" i="20"/>
  <c r="D104" i="23"/>
  <c r="F76" i="20"/>
  <c r="F51" i="20"/>
  <c r="F14" i="20"/>
  <c r="L119" i="23"/>
  <c r="L91" i="23"/>
  <c r="M100" i="23"/>
  <c r="D5" i="23"/>
  <c r="F12" i="20"/>
  <c r="M57" i="23"/>
  <c r="F120" i="20"/>
  <c r="F85" i="20"/>
  <c r="D82" i="23"/>
  <c r="M59" i="23"/>
  <c r="M47" i="23"/>
  <c r="D94" i="23"/>
  <c r="M25" i="23"/>
  <c r="M50" i="23"/>
  <c r="F119" i="20"/>
  <c r="F117" i="20"/>
  <c r="F105" i="20"/>
  <c r="F98" i="20"/>
  <c r="F56" i="20"/>
  <c r="F112" i="20"/>
  <c r="F78" i="20"/>
  <c r="F62" i="20"/>
  <c r="F108" i="20"/>
  <c r="F114" i="20"/>
  <c r="F26" i="20"/>
  <c r="F60" i="20"/>
  <c r="F104" i="20"/>
  <c r="C117" i="23"/>
  <c r="D27" i="23"/>
  <c r="M72" i="23"/>
  <c r="D35" i="23"/>
  <c r="M52" i="23"/>
  <c r="L118" i="23"/>
  <c r="M46" i="23"/>
  <c r="M44" i="23"/>
  <c r="M39" i="23"/>
  <c r="D39" i="23"/>
  <c r="D47" i="23"/>
  <c r="D108" i="23"/>
  <c r="M108" i="23"/>
  <c r="D45" i="23"/>
  <c r="M20" i="23"/>
  <c r="M74" i="23"/>
  <c r="M75" i="23"/>
  <c r="M54" i="23"/>
  <c r="M28" i="23"/>
  <c r="M93" i="23"/>
  <c r="M53" i="23"/>
  <c r="M66" i="23"/>
  <c r="D55" i="23"/>
  <c r="D61" i="23"/>
  <c r="M85" i="23"/>
  <c r="D66" i="23"/>
  <c r="D14" i="23"/>
  <c r="F47" i="20"/>
  <c r="F77" i="20"/>
  <c r="M114" i="23"/>
  <c r="D87" i="23"/>
  <c r="M45" i="23"/>
  <c r="M49" i="23"/>
  <c r="D57" i="23"/>
  <c r="M11" i="23"/>
  <c r="D32" i="23"/>
  <c r="F90" i="20"/>
  <c r="M106" i="23"/>
  <c r="M67" i="23"/>
  <c r="D8" i="23"/>
  <c r="D24" i="23"/>
  <c r="F50" i="20"/>
  <c r="F67" i="20"/>
  <c r="D89" i="23"/>
  <c r="C83" i="23"/>
  <c r="D21" i="23"/>
  <c r="F31" i="20"/>
  <c r="F49" i="20"/>
  <c r="D86" i="23"/>
  <c r="C105" i="23"/>
  <c r="D28" i="23"/>
  <c r="D10" i="23"/>
  <c r="F74" i="20"/>
  <c r="D12" i="23"/>
  <c r="F123" i="20"/>
  <c r="L117" i="23"/>
  <c r="M96" i="23"/>
  <c r="M29" i="23"/>
  <c r="M98" i="23"/>
  <c r="M38" i="23"/>
  <c r="D29" i="23"/>
  <c r="M80" i="23"/>
  <c r="C97" i="23"/>
  <c r="D100" i="23"/>
  <c r="M92" i="23"/>
  <c r="F19" i="20"/>
  <c r="F17" i="20"/>
  <c r="F32" i="20"/>
  <c r="F80" i="20"/>
  <c r="D67" i="23"/>
  <c r="M27" i="23"/>
  <c r="F24" i="20"/>
  <c r="F91" i="20"/>
  <c r="F21" i="20"/>
  <c r="F111" i="20"/>
  <c r="F37" i="20"/>
  <c r="F44" i="20"/>
  <c r="D72" i="23"/>
  <c r="D56" i="23"/>
  <c r="M35" i="23"/>
  <c r="C115" i="23"/>
  <c r="D64" i="23"/>
  <c r="D84" i="23"/>
  <c r="D33" i="23"/>
  <c r="L112" i="23"/>
  <c r="M63" i="23"/>
  <c r="C111" i="23"/>
  <c r="D31" i="23"/>
  <c r="D46" i="23"/>
  <c r="M26" i="23"/>
  <c r="F81" i="20"/>
  <c r="M17" i="23"/>
  <c r="D106" i="23"/>
  <c r="D19" i="23"/>
  <c r="D34" i="23"/>
  <c r="F100" i="20"/>
  <c r="L110" i="23"/>
  <c r="F15" i="20"/>
  <c r="F34" i="20"/>
  <c r="L116" i="23"/>
  <c r="F9" i="20"/>
  <c r="M120" i="23"/>
  <c r="M16" i="23"/>
  <c r="L115" i="23"/>
  <c r="F25" i="20"/>
  <c r="F27" i="20"/>
  <c r="M6" i="23"/>
  <c r="M68" i="23"/>
  <c r="F115" i="20"/>
  <c r="M19" i="23"/>
  <c r="D49" i="23"/>
  <c r="L111" i="23"/>
  <c r="F52" i="20"/>
  <c r="F63" i="20"/>
  <c r="F102" i="20"/>
  <c r="F61" i="20"/>
  <c r="F42" i="20"/>
  <c r="F7" i="20"/>
  <c r="F23" i="20"/>
  <c r="F82" i="20"/>
  <c r="F30" i="20"/>
  <c r="F99" i="20"/>
  <c r="F96" i="20"/>
  <c r="F86" i="20"/>
  <c r="F18" i="20"/>
  <c r="F8" i="20"/>
  <c r="D7" i="23"/>
  <c r="M109" i="23"/>
  <c r="D80" i="23"/>
  <c r="M90" i="23"/>
  <c r="M79" i="23"/>
  <c r="L122" i="23"/>
  <c r="M13" i="23"/>
  <c r="D79" i="23"/>
  <c r="D90" i="23"/>
  <c r="M18" i="23"/>
  <c r="D93" i="23"/>
  <c r="C110" i="23"/>
  <c r="M22" i="23"/>
  <c r="M33" i="23"/>
  <c r="D88" i="23"/>
  <c r="D76" i="23"/>
  <c r="D48" i="23"/>
  <c r="M82" i="23"/>
  <c r="D77" i="23"/>
  <c r="D13" i="23"/>
  <c r="D58" i="23"/>
  <c r="D26" i="23"/>
  <c r="D6" i="23"/>
  <c r="D43" i="23"/>
  <c r="D44" i="23"/>
  <c r="M76" i="23"/>
  <c r="D54" i="23"/>
  <c r="F11" i="20"/>
  <c r="M31" i="23"/>
  <c r="F103" i="20"/>
  <c r="F58" i="20"/>
  <c r="F22" i="20"/>
  <c r="D11" i="23"/>
  <c r="D20" i="23"/>
  <c r="D59" i="23"/>
  <c r="F10" i="20"/>
  <c r="M42" i="23"/>
  <c r="F70" i="20"/>
  <c r="F39" i="20"/>
  <c r="D75" i="23"/>
  <c r="M62" i="23"/>
  <c r="F64" i="20"/>
  <c r="F121" i="20"/>
  <c r="F68" i="20"/>
  <c r="M24" i="23"/>
  <c r="F84" i="20"/>
  <c r="M14" i="23"/>
  <c r="F28" i="20"/>
  <c r="M7" i="23"/>
  <c r="D16" i="23"/>
  <c r="D22" i="23"/>
  <c r="M104" i="23"/>
  <c r="M58" i="23"/>
  <c r="D99" i="23"/>
  <c r="M32" i="23"/>
  <c r="D120" i="23"/>
  <c r="D42" i="23"/>
  <c r="D103" i="23"/>
  <c r="M5" i="23"/>
  <c r="M55" i="23"/>
  <c r="C91" i="23"/>
  <c r="M121" i="23"/>
  <c r="U58" i="20"/>
  <c r="G80" i="23"/>
  <c r="U100" i="20"/>
  <c r="U111" i="20"/>
  <c r="U21" i="20"/>
  <c r="U14" i="20"/>
  <c r="U57" i="20"/>
  <c r="U95" i="20"/>
  <c r="U59" i="20"/>
  <c r="U41" i="20"/>
  <c r="U107" i="20"/>
  <c r="U64" i="20"/>
  <c r="U15" i="20"/>
  <c r="U35" i="20"/>
  <c r="G10" i="23"/>
  <c r="O99" i="23"/>
  <c r="O36" i="23"/>
  <c r="O68" i="23"/>
  <c r="L12" i="20"/>
  <c r="L89" i="20"/>
  <c r="G63" i="23"/>
  <c r="L72" i="20"/>
  <c r="O90" i="23"/>
  <c r="G66" i="23"/>
  <c r="G16" i="23"/>
  <c r="L91" i="20"/>
  <c r="L102" i="20"/>
  <c r="L54" i="20"/>
  <c r="O25" i="23"/>
  <c r="O18" i="23"/>
  <c r="L14" i="20"/>
  <c r="L116" i="20"/>
  <c r="L6" i="20"/>
  <c r="L50" i="20"/>
  <c r="O63" i="23"/>
  <c r="G109" i="23"/>
  <c r="O85" i="23"/>
  <c r="O46" i="23"/>
  <c r="G62" i="23"/>
  <c r="G84" i="23"/>
  <c r="O77" i="23"/>
  <c r="U97" i="20"/>
  <c r="U62" i="20"/>
  <c r="O55" i="23"/>
  <c r="O72" i="23"/>
  <c r="G86" i="23"/>
  <c r="G85" i="23"/>
  <c r="G11" i="23"/>
  <c r="O108" i="23"/>
  <c r="G79" i="23"/>
  <c r="G47" i="23"/>
  <c r="U12" i="20"/>
  <c r="U29" i="20"/>
  <c r="U19" i="20"/>
  <c r="U82" i="20"/>
  <c r="U88" i="20"/>
  <c r="L63" i="20"/>
  <c r="L60" i="20"/>
  <c r="L74" i="20"/>
  <c r="L48" i="20"/>
  <c r="F116" i="23"/>
  <c r="L17" i="20"/>
  <c r="L30" i="20"/>
  <c r="L57" i="20"/>
  <c r="O4" i="23"/>
  <c r="O104" i="23"/>
  <c r="U48" i="20"/>
  <c r="U18" i="20"/>
  <c r="U85" i="20"/>
  <c r="U99" i="20"/>
  <c r="U91" i="20"/>
  <c r="U69" i="20"/>
  <c r="L27" i="20"/>
  <c r="U30" i="20"/>
  <c r="N110" i="23"/>
  <c r="U60" i="20"/>
  <c r="U110" i="20"/>
  <c r="O80" i="23"/>
  <c r="U28" i="20"/>
  <c r="U71" i="20"/>
  <c r="U24" i="20"/>
  <c r="U38" i="20"/>
  <c r="U121" i="20"/>
  <c r="L71" i="20"/>
  <c r="L115" i="20"/>
  <c r="L101" i="20"/>
  <c r="L99" i="20"/>
  <c r="L58" i="20"/>
  <c r="L83" i="20"/>
  <c r="L81" i="20"/>
  <c r="L118" i="20"/>
  <c r="L40" i="20"/>
  <c r="L110" i="20"/>
  <c r="L35" i="20"/>
  <c r="L112" i="20"/>
  <c r="L11" i="20"/>
  <c r="L100" i="20"/>
  <c r="L32" i="20"/>
  <c r="L44" i="20"/>
  <c r="L45" i="20"/>
  <c r="L19" i="20"/>
  <c r="L104" i="20"/>
  <c r="L33" i="20"/>
  <c r="L117" i="20"/>
  <c r="L82" i="20"/>
  <c r="L92" i="20"/>
  <c r="L13" i="20"/>
  <c r="L46" i="20"/>
  <c r="L90" i="20"/>
  <c r="L119" i="20"/>
  <c r="L122" i="20"/>
  <c r="L97" i="20"/>
  <c r="L24" i="20"/>
  <c r="L25" i="20"/>
  <c r="L77" i="20"/>
  <c r="L55" i="20"/>
  <c r="L86" i="20"/>
  <c r="L79" i="20"/>
  <c r="L111" i="20"/>
  <c r="L22" i="20"/>
  <c r="L29" i="20"/>
  <c r="L41" i="20"/>
  <c r="L113" i="20"/>
  <c r="L120" i="20"/>
  <c r="L87" i="20"/>
  <c r="L80" i="20"/>
  <c r="L96" i="20"/>
  <c r="L21" i="20"/>
  <c r="L65" i="20"/>
  <c r="L106" i="20"/>
  <c r="L36" i="20"/>
  <c r="L15" i="20"/>
  <c r="L20" i="20"/>
  <c r="L16" i="20"/>
  <c r="L107" i="20"/>
  <c r="L105" i="20"/>
  <c r="L95" i="20"/>
  <c r="L7" i="20"/>
  <c r="L69" i="20"/>
  <c r="L109" i="20"/>
  <c r="L23" i="20"/>
  <c r="L76" i="20"/>
  <c r="L88" i="20"/>
  <c r="L49" i="20"/>
  <c r="L98" i="20"/>
  <c r="L75" i="20"/>
  <c r="L64" i="20"/>
  <c r="L94" i="20"/>
  <c r="L84" i="20"/>
  <c r="L61" i="20"/>
  <c r="L103" i="20"/>
  <c r="L38" i="20"/>
  <c r="L78" i="20"/>
  <c r="L73" i="20"/>
  <c r="L10" i="20"/>
  <c r="L70" i="20"/>
  <c r="L9" i="20"/>
  <c r="L85" i="20"/>
  <c r="L67" i="20"/>
  <c r="L53" i="20"/>
  <c r="L121" i="20"/>
  <c r="L37" i="20"/>
  <c r="L26" i="20"/>
  <c r="L18" i="20"/>
  <c r="L28" i="20"/>
  <c r="L93" i="20"/>
  <c r="L43" i="20"/>
  <c r="L34" i="20"/>
  <c r="L8" i="20"/>
  <c r="L39" i="20"/>
  <c r="O70" i="23"/>
  <c r="L66" i="20"/>
  <c r="L108" i="20"/>
  <c r="L62" i="20"/>
  <c r="L31" i="20"/>
  <c r="L51" i="20"/>
  <c r="L56" i="20"/>
  <c r="N118" i="23"/>
  <c r="G60" i="23"/>
  <c r="F118" i="23"/>
  <c r="O113" i="23"/>
  <c r="G59" i="23"/>
  <c r="G75" i="23"/>
  <c r="G52" i="23"/>
  <c r="O39" i="23"/>
  <c r="G88" i="23"/>
  <c r="G20" i="23"/>
  <c r="O103" i="23"/>
  <c r="G104" i="23"/>
  <c r="G50" i="23"/>
  <c r="O73" i="23"/>
  <c r="O89" i="23"/>
  <c r="G22" i="23"/>
  <c r="G29" i="23"/>
  <c r="O49" i="23"/>
  <c r="O45" i="23"/>
  <c r="G58" i="23"/>
  <c r="O57" i="23"/>
  <c r="O47" i="23"/>
  <c r="G69" i="23"/>
  <c r="O34" i="23"/>
  <c r="F83" i="23"/>
  <c r="G46" i="23"/>
  <c r="O24" i="23"/>
  <c r="F110" i="23"/>
  <c r="O79" i="23"/>
  <c r="O20" i="23"/>
  <c r="F122" i="23"/>
  <c r="G33" i="23"/>
  <c r="G90" i="23"/>
  <c r="O59" i="23"/>
  <c r="O67" i="23"/>
  <c r="G77" i="23"/>
  <c r="O60" i="23"/>
  <c r="G17" i="23"/>
  <c r="F112" i="23"/>
  <c r="G31" i="23"/>
  <c r="G74" i="23"/>
  <c r="G94" i="23"/>
  <c r="O87" i="23"/>
  <c r="O23" i="23"/>
  <c r="O96" i="23"/>
  <c r="O11" i="23"/>
  <c r="G93" i="23"/>
  <c r="G5" i="23"/>
  <c r="O52" i="23"/>
  <c r="G76" i="23"/>
  <c r="G24" i="23"/>
  <c r="G19" i="23"/>
  <c r="G55" i="23"/>
  <c r="G41" i="23"/>
  <c r="O53" i="23"/>
  <c r="G25" i="23"/>
  <c r="O35" i="23"/>
  <c r="O13" i="23"/>
  <c r="O78" i="23"/>
  <c r="G106" i="23"/>
  <c r="G42" i="23"/>
  <c r="O27" i="23"/>
  <c r="O48" i="23"/>
  <c r="O8" i="23"/>
  <c r="G15" i="23"/>
  <c r="G43" i="23"/>
  <c r="O50" i="23"/>
  <c r="O33" i="23"/>
  <c r="O7" i="23"/>
  <c r="O54" i="23"/>
  <c r="G101" i="23"/>
  <c r="O38" i="23"/>
  <c r="O32" i="23"/>
  <c r="G12" i="23"/>
  <c r="O84" i="23"/>
  <c r="O93" i="23"/>
  <c r="G64" i="23"/>
  <c r="G8" i="23"/>
  <c r="O86" i="23"/>
  <c r="O114" i="23"/>
  <c r="G107" i="23"/>
  <c r="O9" i="23"/>
  <c r="N122" i="23"/>
  <c r="G57" i="23"/>
  <c r="N111" i="23"/>
  <c r="O107" i="23"/>
  <c r="G18" i="23"/>
  <c r="G27" i="23"/>
  <c r="G95" i="23"/>
  <c r="O21" i="23"/>
  <c r="N83" i="23"/>
  <c r="G26" i="23"/>
  <c r="G78" i="23"/>
  <c r="O94" i="23"/>
  <c r="O6" i="23"/>
  <c r="G70" i="23"/>
  <c r="G67" i="23"/>
  <c r="G21" i="23"/>
  <c r="G23" i="23"/>
  <c r="G45" i="23"/>
  <c r="G13" i="23"/>
  <c r="G6" i="23"/>
  <c r="G89" i="23"/>
  <c r="O22" i="23"/>
  <c r="G32" i="23"/>
  <c r="G65" i="23"/>
  <c r="G44" i="23"/>
  <c r="O26" i="23"/>
  <c r="G53" i="23"/>
  <c r="O31" i="23"/>
  <c r="F115" i="23"/>
  <c r="F111" i="23"/>
  <c r="O14" i="23"/>
  <c r="G35" i="23"/>
  <c r="O74" i="23"/>
  <c r="O41" i="23"/>
  <c r="O44" i="23"/>
  <c r="G28" i="23"/>
  <c r="G99" i="23"/>
  <c r="O17" i="23"/>
  <c r="G4" i="23"/>
  <c r="O16" i="23"/>
  <c r="G103" i="23"/>
  <c r="G39" i="23"/>
  <c r="O76" i="23"/>
  <c r="G37" i="23"/>
  <c r="G14" i="23"/>
  <c r="G49" i="23"/>
  <c r="O106" i="23"/>
  <c r="O102" i="23"/>
  <c r="G81" i="23"/>
  <c r="O29" i="23"/>
  <c r="G38" i="23"/>
  <c r="O28" i="23"/>
  <c r="N117" i="23"/>
  <c r="N116" i="23"/>
  <c r="O58" i="23"/>
  <c r="G108" i="23"/>
  <c r="G87" i="23"/>
  <c r="G96" i="23"/>
  <c r="O69" i="23"/>
  <c r="G73" i="23"/>
  <c r="O19" i="23"/>
  <c r="O15" i="23"/>
  <c r="O81" i="23"/>
  <c r="G7" i="23"/>
  <c r="O64" i="23"/>
  <c r="O75" i="23"/>
  <c r="O43" i="23"/>
  <c r="N105" i="23"/>
  <c r="O51" i="23"/>
  <c r="O62" i="23"/>
  <c r="G9" i="23"/>
  <c r="O65" i="23"/>
  <c r="O61" i="23"/>
  <c r="G48" i="23"/>
  <c r="G34" i="23"/>
  <c r="N115" i="23"/>
  <c r="G68" i="23"/>
  <c r="G40" i="23"/>
  <c r="F105" i="23"/>
  <c r="G120" i="23"/>
  <c r="G72" i="23"/>
  <c r="O66" i="23"/>
  <c r="O88" i="23"/>
  <c r="G51" i="23"/>
  <c r="G36" i="23"/>
  <c r="G98" i="23"/>
  <c r="G102" i="23"/>
  <c r="O37" i="23"/>
  <c r="O95" i="23"/>
  <c r="O98" i="23"/>
  <c r="G30" i="23"/>
  <c r="O40" i="23"/>
  <c r="O120" i="23"/>
  <c r="G82" i="23"/>
  <c r="O5" i="23"/>
  <c r="W10" i="20"/>
  <c r="U10" i="20" s="1"/>
  <c r="G113" i="23"/>
  <c r="L68" i="20"/>
  <c r="L47" i="20"/>
  <c r="L114" i="20"/>
  <c r="L42" i="20"/>
  <c r="L52" i="20"/>
  <c r="L59" i="20"/>
  <c r="G56" i="23"/>
  <c r="O71" i="23"/>
  <c r="G54" i="23"/>
  <c r="O12" i="23"/>
  <c r="O109" i="23"/>
  <c r="G61" i="23"/>
  <c r="O82" i="23"/>
  <c r="O56" i="23"/>
  <c r="O42" i="23"/>
  <c r="O101" i="23"/>
  <c r="F117" i="23"/>
  <c r="N112" i="23"/>
  <c r="G114" i="23"/>
  <c r="U104" i="20"/>
  <c r="U25" i="20"/>
  <c r="U47" i="20"/>
  <c r="U65" i="20"/>
  <c r="U34" i="20"/>
  <c r="L123" i="20"/>
  <c r="L5" i="20"/>
  <c r="U7" i="20"/>
  <c r="U72" i="20"/>
  <c r="U13" i="20"/>
  <c r="U61" i="20"/>
  <c r="U49" i="20"/>
  <c r="U31" i="20"/>
  <c r="U37" i="20"/>
  <c r="U8" i="20"/>
  <c r="U51" i="20"/>
  <c r="U43" i="20"/>
  <c r="U63" i="20"/>
  <c r="U50" i="20"/>
  <c r="U93" i="20"/>
  <c r="U40" i="20"/>
  <c r="U90" i="20"/>
  <c r="U5" i="20"/>
  <c r="U96" i="20"/>
  <c r="U113" i="20"/>
  <c r="U32" i="20"/>
  <c r="U27" i="20"/>
  <c r="U89" i="20"/>
  <c r="U114" i="20"/>
  <c r="U42" i="20"/>
  <c r="U117" i="20"/>
  <c r="U94" i="20"/>
  <c r="U81" i="20"/>
  <c r="U115" i="20"/>
  <c r="U46" i="20"/>
  <c r="U86" i="20"/>
  <c r="U74" i="20"/>
  <c r="U112" i="20"/>
  <c r="U9" i="20"/>
  <c r="U55" i="20"/>
  <c r="U6" i="20"/>
  <c r="U39" i="20"/>
  <c r="U77" i="20"/>
  <c r="U11" i="20"/>
  <c r="U33" i="20"/>
  <c r="U23" i="20"/>
  <c r="U16" i="20"/>
  <c r="U109" i="20"/>
  <c r="U83" i="20"/>
  <c r="U122" i="20"/>
  <c r="U84" i="20"/>
  <c r="U66" i="20"/>
  <c r="U53" i="20"/>
  <c r="U92" i="20"/>
  <c r="U73" i="20"/>
  <c r="U123" i="20"/>
  <c r="U119" i="20"/>
  <c r="U70" i="20"/>
  <c r="U78" i="20"/>
  <c r="U22" i="20"/>
  <c r="U102" i="20"/>
  <c r="U75" i="20"/>
  <c r="U68" i="20"/>
  <c r="U106" i="20"/>
  <c r="G100" i="23"/>
  <c r="G121" i="23"/>
  <c r="N119" i="23"/>
  <c r="O100" i="23"/>
  <c r="O92" i="23"/>
  <c r="N91" i="23"/>
  <c r="O121" i="23"/>
  <c r="F97" i="23"/>
  <c r="F119" i="23"/>
  <c r="G92" i="23"/>
  <c r="N97" i="23"/>
  <c r="F91" i="23"/>
  <c r="O30" i="23"/>
  <c r="O10" i="23"/>
  <c r="U108" i="20"/>
  <c r="U56" i="20"/>
  <c r="K121" i="23" l="1"/>
  <c r="K115" i="23"/>
  <c r="K84" i="23"/>
  <c r="K23" i="23"/>
  <c r="K102" i="23"/>
  <c r="K108" i="23"/>
  <c r="K113" i="23"/>
  <c r="K14" i="23"/>
  <c r="K62" i="23"/>
  <c r="K10" i="23"/>
  <c r="K104" i="23"/>
  <c r="K41" i="23"/>
  <c r="K95" i="23"/>
  <c r="K64" i="23"/>
  <c r="K67" i="23"/>
  <c r="K90" i="23"/>
  <c r="K6" i="23"/>
  <c r="K20" i="23"/>
  <c r="K24" i="23"/>
  <c r="K105" i="23"/>
  <c r="K8" i="23"/>
  <c r="K81" i="23"/>
  <c r="K110" i="23"/>
  <c r="K69" i="23"/>
  <c r="K75" i="23"/>
  <c r="K25" i="23"/>
  <c r="K15" i="23"/>
  <c r="K118" i="23"/>
  <c r="K52" i="23"/>
  <c r="K38" i="23"/>
  <c r="K59" i="23"/>
  <c r="K48" i="23"/>
  <c r="K34" i="23"/>
  <c r="K122" i="23"/>
  <c r="K72" i="23"/>
  <c r="K58" i="23"/>
  <c r="K80" i="23"/>
  <c r="K77" i="23"/>
  <c r="K4" i="23"/>
  <c r="K29" i="23"/>
  <c r="K56" i="23"/>
  <c r="K18" i="23"/>
  <c r="K40" i="23"/>
  <c r="K53" i="23"/>
  <c r="K117" i="23"/>
  <c r="K106" i="23"/>
  <c r="K28" i="23"/>
  <c r="K47" i="23"/>
  <c r="K101" i="23"/>
  <c r="K51" i="23"/>
  <c r="K42" i="23"/>
  <c r="K111" i="23"/>
  <c r="K65" i="23"/>
  <c r="K107" i="23"/>
  <c r="K7" i="23"/>
  <c r="K13" i="23"/>
  <c r="K103" i="23"/>
  <c r="K78" i="23"/>
  <c r="K88" i="23"/>
  <c r="K55" i="23"/>
  <c r="K35" i="23"/>
  <c r="K39" i="23"/>
  <c r="K71" i="23"/>
  <c r="K50" i="23"/>
  <c r="K9" i="23"/>
  <c r="K63" i="23"/>
  <c r="K37" i="23"/>
  <c r="K83" i="23"/>
  <c r="K119" i="23"/>
  <c r="K112" i="23"/>
  <c r="K21" i="23"/>
  <c r="K98" i="23"/>
  <c r="K16" i="23"/>
  <c r="K32" i="23"/>
  <c r="K99" i="23"/>
  <c r="K85" i="23"/>
  <c r="K31" i="23"/>
  <c r="K43" i="23"/>
  <c r="K36" i="23"/>
  <c r="K27" i="23"/>
  <c r="K66" i="23"/>
  <c r="K87" i="23"/>
  <c r="K44" i="23"/>
  <c r="K93" i="23"/>
  <c r="K5" i="23"/>
  <c r="K26" i="23"/>
  <c r="K114" i="23"/>
  <c r="K45" i="23"/>
  <c r="K73" i="23"/>
  <c r="K30" i="23"/>
  <c r="K100" i="23"/>
  <c r="K68" i="23"/>
  <c r="K46" i="23"/>
  <c r="K109" i="23"/>
  <c r="K97" i="23"/>
  <c r="K33" i="23"/>
  <c r="K82" i="23"/>
  <c r="K92" i="23"/>
  <c r="K86" i="23"/>
  <c r="K11" i="23"/>
  <c r="K19" i="23"/>
  <c r="K96" i="23"/>
  <c r="K94" i="23"/>
  <c r="K89" i="23"/>
  <c r="K74" i="23"/>
  <c r="K76" i="23"/>
  <c r="K79" i="23"/>
  <c r="K70" i="23"/>
  <c r="K120" i="23"/>
  <c r="K60" i="23"/>
  <c r="K116" i="23"/>
  <c r="K12" i="23"/>
  <c r="K17" i="23"/>
  <c r="K54" i="23"/>
  <c r="K91" i="23"/>
  <c r="K22" i="23"/>
  <c r="K57" i="23"/>
  <c r="K61" i="23"/>
  <c r="K49" i="23"/>
</calcChain>
</file>

<file path=xl/sharedStrings.xml><?xml version="1.0" encoding="utf-8"?>
<sst xmlns="http://schemas.openxmlformats.org/spreadsheetml/2006/main" count="7203" uniqueCount="423">
  <si>
    <t>TOC</t>
  </si>
  <si>
    <t>é</t>
  </si>
  <si>
    <t>BESID</t>
  </si>
  <si>
    <t>Preference Customer</t>
  </si>
  <si>
    <t>NOTJOE</t>
  </si>
  <si>
    <t>JOE</t>
  </si>
  <si>
    <t>Avg Non-Slice
TOCA</t>
  </si>
  <si>
    <t>Alder Mutual</t>
  </si>
  <si>
    <t>Asotin County PUD #1</t>
  </si>
  <si>
    <t>Benton County PUD #1</t>
  </si>
  <si>
    <t>Benton REA</t>
  </si>
  <si>
    <t>Big Bend Elec Coop</t>
  </si>
  <si>
    <t>Blachly Lane Elec Coop</t>
  </si>
  <si>
    <t>Canby, City of</t>
  </si>
  <si>
    <t>Central Electric Coop</t>
  </si>
  <si>
    <t>Central Lincoln PUD</t>
  </si>
  <si>
    <t>Albion, City of</t>
  </si>
  <si>
    <t>Ashland, City of</t>
  </si>
  <si>
    <t>Bandon, City of</t>
  </si>
  <si>
    <t>Blaine, City of</t>
  </si>
  <si>
    <t>Bonners Ferry, City of</t>
  </si>
  <si>
    <t>Burley, City of</t>
  </si>
  <si>
    <t>Cascade Locks, City of</t>
  </si>
  <si>
    <t>Centralia, City of</t>
  </si>
  <si>
    <t>Cheney, City of</t>
  </si>
  <si>
    <t>Chewelah, City of</t>
  </si>
  <si>
    <t>Declo, City of</t>
  </si>
  <si>
    <t>Drain, City of</t>
  </si>
  <si>
    <t>Ellensburg, City of</t>
  </si>
  <si>
    <t>Forest Grove, City of</t>
  </si>
  <si>
    <t>Heyburn, City of</t>
  </si>
  <si>
    <t>McCleary, City of</t>
  </si>
  <si>
    <t>McMinnville, City of</t>
  </si>
  <si>
    <t>Milton, Town of</t>
  </si>
  <si>
    <t>Milton-Freewater, City of</t>
  </si>
  <si>
    <t>Minidoka, City of</t>
  </si>
  <si>
    <t>Monmouth, City of</t>
  </si>
  <si>
    <t>Plummer, City of</t>
  </si>
  <si>
    <t>Port Angeles, City of</t>
  </si>
  <si>
    <t>Richland, City of</t>
  </si>
  <si>
    <t>Rupert, City of</t>
  </si>
  <si>
    <t>Soda Springs, City of</t>
  </si>
  <si>
    <t>Sumas, Town of</t>
  </si>
  <si>
    <t>Troy, City of</t>
  </si>
  <si>
    <t>Clallam County PUD #1</t>
  </si>
  <si>
    <t>Clark County PUD #1</t>
  </si>
  <si>
    <t>Clatskanie PUD</t>
  </si>
  <si>
    <t>Clearwater Power</t>
  </si>
  <si>
    <t>Columbia Basin Elec Coop</t>
  </si>
  <si>
    <t>Columbia Power Coop</t>
  </si>
  <si>
    <t>Columbia River PUD</t>
  </si>
  <si>
    <t>Columbia REA</t>
  </si>
  <si>
    <t>Consolidated Irrigation District #19</t>
  </si>
  <si>
    <t>Consumers Power</t>
  </si>
  <si>
    <t>Coos Curry Elec Coop</t>
  </si>
  <si>
    <t>Cowlitz County PUD #1</t>
  </si>
  <si>
    <t>Douglas Electric Cooperative</t>
  </si>
  <si>
    <t>East End Mutual Electric</t>
  </si>
  <si>
    <t>Eatonville, City of</t>
  </si>
  <si>
    <t>Elmhurst Mutual P &amp; L</t>
  </si>
  <si>
    <t>Emerald PUD</t>
  </si>
  <si>
    <t>Energy Northwest</t>
  </si>
  <si>
    <t>Eugene Water &amp; Electric Board</t>
  </si>
  <si>
    <t>U.S. Airforce Base, Fairchild</t>
  </si>
  <si>
    <t>Fall River Elec Coop</t>
  </si>
  <si>
    <t>Farmers Elec Coop</t>
  </si>
  <si>
    <t>Ferry County PUD #1</t>
  </si>
  <si>
    <t>Flathead Elec Coop</t>
  </si>
  <si>
    <t>Franklin County PUD #1</t>
  </si>
  <si>
    <t>Glacier Elec  Coop</t>
  </si>
  <si>
    <t>Grant County PUD #2</t>
  </si>
  <si>
    <t>Grays Harbor PUD #1</t>
  </si>
  <si>
    <t>Harney Elec Coop</t>
  </si>
  <si>
    <t>Hood River Elec Coop</t>
  </si>
  <si>
    <t>Idaho County L &amp; P</t>
  </si>
  <si>
    <t>Idaho Falls Power</t>
  </si>
  <si>
    <t>Inland P &amp; L</t>
  </si>
  <si>
    <t>Kittitas County PUD #1</t>
  </si>
  <si>
    <t>Klickitat County PUD #1</t>
  </si>
  <si>
    <t>Kootenai Electric Coop</t>
  </si>
  <si>
    <t>Lakeview L &amp; P (WA)</t>
  </si>
  <si>
    <t>Lane County Elec Coop</t>
  </si>
  <si>
    <t>Lewis County PUD #1</t>
  </si>
  <si>
    <t>Lincoln Elec Coop (MT)</t>
  </si>
  <si>
    <t>Lost River Elec Coop</t>
  </si>
  <si>
    <t>Lower Valley Energy</t>
  </si>
  <si>
    <t>Mason County PUD #1</t>
  </si>
  <si>
    <t>Mason County PUD #3</t>
  </si>
  <si>
    <t>Midstate Elec Coop</t>
  </si>
  <si>
    <t>Mission Valley</t>
  </si>
  <si>
    <t>Missoula Elec Coop</t>
  </si>
  <si>
    <t>Modern Elec Coop</t>
  </si>
  <si>
    <t>Nespelem Valley Elec Coop</t>
  </si>
  <si>
    <t>Northern Lights</t>
  </si>
  <si>
    <t>Northern Wasco County PUD</t>
  </si>
  <si>
    <t>Ohop Mutual Light Company</t>
  </si>
  <si>
    <t>Okanogan County Elec Coop</t>
  </si>
  <si>
    <t>Okanogan County PUD #1</t>
  </si>
  <si>
    <t>Orcas P &amp; L</t>
  </si>
  <si>
    <t>Oregon Trail Coop</t>
  </si>
  <si>
    <t>Pacific County PUD #2</t>
  </si>
  <si>
    <t>Parkland L &amp; W</t>
  </si>
  <si>
    <t>Pend Oreille County PUD  #1</t>
  </si>
  <si>
    <t>Peninsula Light Company</t>
  </si>
  <si>
    <t>U.S. Naval Base,  Bremerton</t>
  </si>
  <si>
    <t>Raft River Elec Coop</t>
  </si>
  <si>
    <t>Ravalli County Elec Coop</t>
  </si>
  <si>
    <t>Riverside Elec Coop</t>
  </si>
  <si>
    <t>Salem Elec Coop</t>
  </si>
  <si>
    <t>Salmon River Elec Coop</t>
  </si>
  <si>
    <t>Seattle City Light</t>
  </si>
  <si>
    <t>Skamania County PUD #1</t>
  </si>
  <si>
    <t>Snohomish County PUD #1</t>
  </si>
  <si>
    <t>Southside Elec Lines</t>
  </si>
  <si>
    <t>Springfield Utility Board</t>
  </si>
  <si>
    <t>Surprise Valley Elec Coop</t>
  </si>
  <si>
    <t>Tacoma Public Utilities</t>
  </si>
  <si>
    <t>Tanner Elec Coop</t>
  </si>
  <si>
    <t>Tillamook PUD #1</t>
  </si>
  <si>
    <t>Coulee Dam, City of</t>
  </si>
  <si>
    <t>Steilacoom, Town of</t>
  </si>
  <si>
    <t>Umatilla Elec Coop</t>
  </si>
  <si>
    <t>United Electric Coop</t>
  </si>
  <si>
    <t>U.S. DOE Albany Research Center</t>
  </si>
  <si>
    <t>U.S. Naval Station, Everett (Jim Creek)</t>
  </si>
  <si>
    <t>U.S. Naval Submarine Base, Bangor</t>
  </si>
  <si>
    <t>U.S. DOE Richland Operations Office</t>
  </si>
  <si>
    <t>Vera Irrigation District</t>
  </si>
  <si>
    <t>Vigilante Elec Coop</t>
  </si>
  <si>
    <t>Wahkiakum County PUD #1</t>
  </si>
  <si>
    <t>Wasco Elec Coop</t>
  </si>
  <si>
    <t>Wells Rural Elec Coop</t>
  </si>
  <si>
    <t>West Oregon Elec Coop</t>
  </si>
  <si>
    <t>Whatcom County PUD #1</t>
  </si>
  <si>
    <t>Umpqua Indian Utility Cooperative</t>
  </si>
  <si>
    <t>Yakama Power</t>
  </si>
  <si>
    <t>Hermiston, City of</t>
  </si>
  <si>
    <t>Port of Seattle - SETAC In'tl. Airport</t>
  </si>
  <si>
    <t>Weiser, City of</t>
  </si>
  <si>
    <t>Jefferson County PUD #1</t>
  </si>
  <si>
    <t>PNGC Aggregate</t>
  </si>
  <si>
    <t/>
  </si>
  <si>
    <t>TOCA Computations, RHWMs and Net Requirements</t>
  </si>
  <si>
    <t>HLH</t>
  </si>
  <si>
    <t>LLH</t>
  </si>
  <si>
    <t>Tier 1 Demand Charge Billing Determinant (KW)</t>
  </si>
  <si>
    <t>Preference Customer Parameters</t>
  </si>
  <si>
    <t>AccountName</t>
  </si>
  <si>
    <t>IRD Loads</t>
  </si>
  <si>
    <t>Previous</t>
  </si>
  <si>
    <t>Current</t>
  </si>
  <si>
    <t>Diurnal Hours</t>
  </si>
  <si>
    <t>Annual Hours</t>
  </si>
  <si>
    <t>date</t>
  </si>
  <si>
    <t>days</t>
  </si>
  <si>
    <t>hours</t>
  </si>
  <si>
    <t>#Sun</t>
  </si>
  <si>
    <t>#Hol</t>
  </si>
  <si>
    <t>HLH%</t>
  </si>
  <si>
    <t>year</t>
  </si>
  <si>
    <t>Cost Allocation under Tiered Rates</t>
  </si>
  <si>
    <t>Costs ($000)</t>
  </si>
  <si>
    <t>Rate Period</t>
  </si>
  <si>
    <t>Composite</t>
  </si>
  <si>
    <t>Non-Slice</t>
  </si>
  <si>
    <t>Slice</t>
  </si>
  <si>
    <t>Tier 2</t>
  </si>
  <si>
    <t>Total Costs</t>
  </si>
  <si>
    <t>Adjustments</t>
  </si>
  <si>
    <t>Revenues from Rate Pools to Composite Cost Pool</t>
  </si>
  <si>
    <t>DSI Revenue Credit</t>
  </si>
  <si>
    <t>Exchange Revenues</t>
  </si>
  <si>
    <t>New Resource Revenues</t>
  </si>
  <si>
    <t>FPS Revenues</t>
  </si>
  <si>
    <t>Non-Federal RSS Revenues</t>
  </si>
  <si>
    <t>Other Credits</t>
  </si>
  <si>
    <t>Tiered Rate Elements</t>
  </si>
  <si>
    <t>Unused RHWM Credit Reallocation</t>
  </si>
  <si>
    <t>Balancing Augmentation Adjustment Reallocation</t>
  </si>
  <si>
    <t>Composite Augmentation RSS Revenue Debit/(Credit)</t>
  </si>
  <si>
    <t>Composite Tier 2 RSS Revenue Debit/(Credit)</t>
  </si>
  <si>
    <t>Composite Tier 2 Rate Design Adjustment Debit/(Credit)</t>
  </si>
  <si>
    <t>Transmission Losses Adjustment Reallocation</t>
  </si>
  <si>
    <t>Total</t>
  </si>
  <si>
    <t>Rate Discount Costs Applied to Composite Pool</t>
  </si>
  <si>
    <t>Irigation Rate Discout Costs</t>
  </si>
  <si>
    <t>Low Density Discount Costs</t>
  </si>
  <si>
    <t>Non-Slice Revenues, Credits, and Costs</t>
  </si>
  <si>
    <t>Secondary Revenue</t>
  </si>
  <si>
    <t>Non-federal RSC Revenues</t>
  </si>
  <si>
    <t>Load Shaping Revenue</t>
  </si>
  <si>
    <t>Demand Revenue</t>
  </si>
  <si>
    <t>Non-Slice Augmentation RSC Revenue Debit/(Credit)</t>
  </si>
  <si>
    <t>Non-Slice Tier 2 RSC Revenue Debit/(Credit)</t>
  </si>
  <si>
    <t>Non-Slice Tier 2 Rate Design Debit/(Credit)</t>
  </si>
  <si>
    <t>TRM Costs after Adjustments</t>
  </si>
  <si>
    <t>Billing Determinants</t>
  </si>
  <si>
    <t>TOCA</t>
  </si>
  <si>
    <t>Non-slice TOCA</t>
  </si>
  <si>
    <t>Slice Percentage</t>
  </si>
  <si>
    <t>Annual TRM Rates ($000/percent)</t>
  </si>
  <si>
    <t>Monthly TRM Rates ($/percent)</t>
  </si>
  <si>
    <t>Tier 2 Rates ($/MWh)</t>
  </si>
  <si>
    <t>Tier 2 Short Term</t>
  </si>
  <si>
    <t>Tier 2 Load Growth</t>
  </si>
  <si>
    <t>Tier 2 Vintage 2014</t>
  </si>
  <si>
    <t>Demand (kW)</t>
  </si>
  <si>
    <t>Demand Rate ($/kW/mo.)</t>
  </si>
  <si>
    <t>Demand</t>
  </si>
  <si>
    <t>Load Shaping HLH (MWh)</t>
  </si>
  <si>
    <t>Load Shaping LLH (MWh)</t>
  </si>
  <si>
    <t>Load Shaping HLH Rate ($/MWh)</t>
  </si>
  <si>
    <t>Load Shaping LLH Rate ($/MWh)</t>
  </si>
  <si>
    <t>Load Shaping</t>
  </si>
  <si>
    <t>previous LS</t>
  </si>
  <si>
    <t>current LS</t>
  </si>
  <si>
    <t>previous Demand</t>
  </si>
  <si>
    <t>current Demand</t>
  </si>
  <si>
    <t>Rate Class</t>
  </si>
  <si>
    <t>Charges</t>
  </si>
  <si>
    <t>IRD Discount</t>
  </si>
  <si>
    <t>IRD</t>
  </si>
  <si>
    <t>Tier 1 Energy</t>
  </si>
  <si>
    <t>Tier 1 System Capability</t>
  </si>
  <si>
    <t>previous</t>
  </si>
  <si>
    <t>current</t>
  </si>
  <si>
    <t>Previous Year</t>
  </si>
  <si>
    <t>Effective Rate</t>
  </si>
  <si>
    <t>Percent Change</t>
  </si>
  <si>
    <t>LSTUR</t>
  </si>
  <si>
    <t>Rank</t>
  </si>
  <si>
    <t>Rate Increase Including Slice and LS</t>
  </si>
  <si>
    <t>Increase</t>
  </si>
  <si>
    <t>Customer</t>
  </si>
  <si>
    <t>Energy</t>
  </si>
  <si>
    <t>Cumulative</t>
  </si>
  <si>
    <t>Rate</t>
  </si>
  <si>
    <t>Rate Increase NonSlice and Previous LS Rates</t>
  </si>
  <si>
    <t>Rate Increase NonSlice and Excluding Load Shaping</t>
  </si>
  <si>
    <t>Rate Increase NonSlice</t>
  </si>
  <si>
    <t>Rate Increase NonSlice Effective Rate to Effective Rate</t>
  </si>
  <si>
    <t>Effective Rate Increase</t>
  </si>
  <si>
    <t>NR Revenues from ESS services</t>
  </si>
  <si>
    <t>Tier 2 Vintage 2016</t>
  </si>
  <si>
    <t>Reshaping physical format of rates for calculations</t>
  </si>
  <si>
    <t>TRL 2018</t>
  </si>
  <si>
    <t>TRL 2019</t>
  </si>
  <si>
    <t>CHWM 2018</t>
  </si>
  <si>
    <t>NLSL 2018</t>
  </si>
  <si>
    <t>NLSL 2019</t>
  </si>
  <si>
    <t>Existing/Other Resource aMW 2018</t>
  </si>
  <si>
    <t>Existing/Other Resource aMW 2019</t>
  </si>
  <si>
    <t>Existing/Other Resource MWh 2018</t>
  </si>
  <si>
    <t>Existing/Other Resource MWh 2019</t>
  </si>
  <si>
    <t>RHWM 2018</t>
  </si>
  <si>
    <t>RHWM MWh 2018</t>
  </si>
  <si>
    <t>Above RHWM 2018</t>
  </si>
  <si>
    <t>Above RHWM 2019</t>
  </si>
  <si>
    <t>TOCA 2018</t>
  </si>
  <si>
    <t>TOCA 2019</t>
  </si>
  <si>
    <t>Slice% 2018</t>
  </si>
  <si>
    <t>Non-slice TOCA 2018</t>
  </si>
  <si>
    <t>Non-slice TOCA 2019</t>
  </si>
  <si>
    <t>T1 Percentage 2018</t>
  </si>
  <si>
    <t>T1 Percentage 2019</t>
  </si>
  <si>
    <t>LDD adjTRL/RHWM 2018</t>
  </si>
  <si>
    <t>LDD adjTRL/RHWM 2019</t>
  </si>
  <si>
    <t>Applicable LDD 2018</t>
  </si>
  <si>
    <t>Applicable LDD 2019</t>
  </si>
  <si>
    <t>Kalispel Tribe Utility</t>
  </si>
  <si>
    <t>TRL - NLSL - Existing Resource 2018</t>
  </si>
  <si>
    <t>TRL - NLSL - Existing Resource 2019</t>
  </si>
  <si>
    <t>TRL - NLSL - Existing Resource MWh 2018</t>
  </si>
  <si>
    <t>TRL - NLSL - Existing Resource MWh 2019</t>
  </si>
  <si>
    <t>Above RHWM Not Served with LS 2018</t>
  </si>
  <si>
    <t>Above RHWM Not Served with LS 2019</t>
  </si>
  <si>
    <t>RAM2018.xls</t>
  </si>
  <si>
    <t>Product Conversion Adjustment Revenues</t>
  </si>
  <si>
    <t>BP-18 Rate</t>
  </si>
  <si>
    <t>LSTU</t>
  </si>
  <si>
    <t>Tier 2 Load Shaping Flat Block</t>
  </si>
  <si>
    <t>Rounddown</t>
  </si>
  <si>
    <t>Tier 1 Load Shaping Charges Billing Determinant (MWh)</t>
  </si>
  <si>
    <t>Other Long Term Contract Revenues</t>
  </si>
  <si>
    <t>Tier 2 Vintage 3</t>
  </si>
  <si>
    <t>Staging Table</t>
  </si>
  <si>
    <t xml:space="preserve">Previous Year: </t>
  </si>
  <si>
    <t>Current Year:</t>
  </si>
  <si>
    <t>MWh</t>
  </si>
  <si>
    <t>Demand MW</t>
  </si>
  <si>
    <t>Tier 2 Load Shaping</t>
  </si>
  <si>
    <t>Load Shaping True Up</t>
  </si>
  <si>
    <t>Load Shaping MWh (If Slice/Block Customer then Load Shaping Billing Determinant is the average of the Monthly/Diurnal amounts in both years of the Rate Period)</t>
  </si>
  <si>
    <t>Sum of RHWMs</t>
  </si>
  <si>
    <t>LSTU Credit</t>
  </si>
  <si>
    <t>LSTU Charge</t>
  </si>
  <si>
    <t>Hours</t>
  </si>
  <si>
    <t>Special Implimentation Provision</t>
  </si>
  <si>
    <t>NonSlice</t>
  </si>
  <si>
    <t>LDD</t>
  </si>
  <si>
    <t>Include Tier 2 Load Shaping in Tier 1 Rate Impacts?</t>
  </si>
  <si>
    <t>Slice/Block or Block</t>
  </si>
  <si>
    <t>Yes</t>
  </si>
  <si>
    <t>BPA Customer ID Number</t>
  </si>
  <si>
    <t>BP Customer Name</t>
  </si>
  <si>
    <t>FY 2018 Total Refund</t>
  </si>
  <si>
    <t>FY 2019 Total Refund</t>
  </si>
  <si>
    <t>REP Refund</t>
  </si>
  <si>
    <t>$$$</t>
  </si>
  <si>
    <t>PNGC LDD</t>
  </si>
  <si>
    <t>PNGC TOCA</t>
  </si>
  <si>
    <t>CHWM 2020</t>
  </si>
  <si>
    <t>TRL 2020</t>
  </si>
  <si>
    <t>TRL 2021</t>
  </si>
  <si>
    <t>NLSL 2020</t>
  </si>
  <si>
    <t>NLSL 2021</t>
  </si>
  <si>
    <t>Existing/Other Resource aMW 2020</t>
  </si>
  <si>
    <t>Existing/Other Resource aMW 2021</t>
  </si>
  <si>
    <t>Existing/Other Resource MWh 2020</t>
  </si>
  <si>
    <t>Existing/Other Resource MWh 2021</t>
  </si>
  <si>
    <t>TRL - NLSL - Existing Resource 2020</t>
  </si>
  <si>
    <t>TRL - NLSL - Existing Resource 2021</t>
  </si>
  <si>
    <t>TRL - NLSL - Existing Resource MWh 2020</t>
  </si>
  <si>
    <t>TRL - NLSL - Existing Resource MWh 2021</t>
  </si>
  <si>
    <t>RHWM 2020</t>
  </si>
  <si>
    <t>RHWM MWh 2020</t>
  </si>
  <si>
    <t>Above RHWM 2020</t>
  </si>
  <si>
    <t>Above RHWM 2021</t>
  </si>
  <si>
    <t>Above RHWM Not Served with LS 2020</t>
  </si>
  <si>
    <t>Above RHWM Not Served with LS 2021</t>
  </si>
  <si>
    <t>RHWM MWh 2021</t>
  </si>
  <si>
    <t>Above RHWM Load Served at the LS rate 2020</t>
  </si>
  <si>
    <t>Above RHWM Load Served at the LS rate 2021</t>
  </si>
  <si>
    <t>Total Vintage 2020</t>
  </si>
  <si>
    <t>Total Vintage 2021</t>
  </si>
  <si>
    <t>Remaining Above RHWM 2020</t>
  </si>
  <si>
    <t>Remaining Above RHWM 2021</t>
  </si>
  <si>
    <t>TOCA 2020</t>
  </si>
  <si>
    <t>TOCA 2021</t>
  </si>
  <si>
    <t>Slice% 2020</t>
  </si>
  <si>
    <t>Non-slice TOCA 2020</t>
  </si>
  <si>
    <t>Non-slice TOCA 2021</t>
  </si>
  <si>
    <t>T1 Percentage 2020</t>
  </si>
  <si>
    <t>T1 Percentage 2021</t>
  </si>
  <si>
    <t>LDD adjTRL/RHWM 2020</t>
  </si>
  <si>
    <t>LDD adjTRL/RHWM 2021</t>
  </si>
  <si>
    <t>Applicable LDD 2020</t>
  </si>
  <si>
    <t>Applicable LDD 2021</t>
  </si>
  <si>
    <t>Election 2020</t>
  </si>
  <si>
    <t>Election 2021</t>
  </si>
  <si>
    <t>Amount 2020</t>
  </si>
  <si>
    <t>Amount 2021</t>
  </si>
  <si>
    <t>Tier 2 Amounts 2020</t>
  </si>
  <si>
    <t>Tier 2 Amounts 2021</t>
  </si>
  <si>
    <t>New Resource aMW 2020</t>
  </si>
  <si>
    <t>New Resource aMW 2021</t>
  </si>
  <si>
    <t>Remarketing 2020</t>
  </si>
  <si>
    <t>Remarketing 2021</t>
  </si>
  <si>
    <t>T2 Remarketing 2020</t>
  </si>
  <si>
    <t>T2 Remarketing 2021</t>
  </si>
  <si>
    <t>NR Remarketing 2020</t>
  </si>
  <si>
    <t>NR Remarketing 2021</t>
  </si>
  <si>
    <t>Forecast Net Requirement 2020</t>
  </si>
  <si>
    <t>Forecast Net Requirement 2021</t>
  </si>
  <si>
    <t>FY 2020 Total Refund</t>
  </si>
  <si>
    <t>FY 2021 Total Refund</t>
  </si>
  <si>
    <t>Use Previous at BP-18 Billing Determinants adjusted for 2020 Loads and CSP?</t>
  </si>
  <si>
    <t>Include REP Refund amount in Previous Year?</t>
  </si>
  <si>
    <t>Spill Surcharge Annual Rate</t>
  </si>
  <si>
    <t>Surcharges</t>
  </si>
  <si>
    <t>Composite............................................................................</t>
  </si>
  <si>
    <t>Non-Slice..............................................................................</t>
  </si>
  <si>
    <t>Slice......................................................................................</t>
  </si>
  <si>
    <t xml:space="preserve"> $                      -  </t>
  </si>
  <si>
    <t xml:space="preserve"> $                       -  </t>
  </si>
  <si>
    <t>Tier 2...................................................................................</t>
  </si>
  <si>
    <t>DSI Revenue Credit...............................................................</t>
  </si>
  <si>
    <t>Exchange Revenues...............................................................</t>
  </si>
  <si>
    <t>New Resource Revenues........................................................</t>
  </si>
  <si>
    <t>FPS Revenues........................................................................</t>
  </si>
  <si>
    <t>Non-Federal RSS Revenues....................................................</t>
  </si>
  <si>
    <t>Other Credits.........................................................................</t>
  </si>
  <si>
    <t>Tiered Rate Elements.............................................................</t>
  </si>
  <si>
    <t>Unused RHWM Credit Reallocation.....................................</t>
  </si>
  <si>
    <t>Balancing Augmentation Adjustment Reallocation..................</t>
  </si>
  <si>
    <t>Composite Augmentation RSS Revenue Debit/(Credit)..........</t>
  </si>
  <si>
    <t>Composite Tier 2 RSS Revenue Debit/(Credit)......................</t>
  </si>
  <si>
    <t>Composite Tier 2 Rate Design Adjustment Debit/(Credit).......</t>
  </si>
  <si>
    <t>Transmission Losses Adjustment Reallocation.......................</t>
  </si>
  <si>
    <t>Total......................................................................................</t>
  </si>
  <si>
    <t>Irigation Rate Discout Costs....................................................</t>
  </si>
  <si>
    <t>Low Density Discount Costs...................................................</t>
  </si>
  <si>
    <t>Secondary Revenue................................................................</t>
  </si>
  <si>
    <t>Other Long Term Contract Revenues......................................</t>
  </si>
  <si>
    <t>Non-federal RSC Revenues....................................................</t>
  </si>
  <si>
    <t>NR Revenues from ESS services............................................</t>
  </si>
  <si>
    <t>Load Shaping Revenue...........................................................</t>
  </si>
  <si>
    <t>Demand Revenue...................................................................</t>
  </si>
  <si>
    <t>Non-Slice Augmentation RSC Revenue Debit/(Credit)..............</t>
  </si>
  <si>
    <t>Non-Slice Tier 2 RSC Revenue Debit/(Credit)..........................</t>
  </si>
  <si>
    <t>Non-Slice Tier 2 Rate Design Debit/(Credit)............................</t>
  </si>
  <si>
    <t>Transmission Losses Adjustment Reallocation..........................</t>
  </si>
  <si>
    <t>TOCA..................................................................................</t>
  </si>
  <si>
    <t>Non-slice TOCA..................................................................</t>
  </si>
  <si>
    <t>Slice Percentage..................................................................</t>
  </si>
  <si>
    <t xml:space="preserve">                         -  </t>
  </si>
  <si>
    <t xml:space="preserve">                          -  </t>
  </si>
  <si>
    <t>Tier 2 Short Term................................................................</t>
  </si>
  <si>
    <t>Tier 2 Load Growth.............................................................</t>
  </si>
  <si>
    <t>Tier 2 Vintage 3...................................................................</t>
  </si>
  <si>
    <t>BP-20 Rate</t>
  </si>
  <si>
    <t>Spill Surcharge Jun-Sept Rate</t>
  </si>
  <si>
    <t>RT1SC HLH</t>
  </si>
  <si>
    <t>RT1SC LLH</t>
  </si>
  <si>
    <t>RAM2020.xls</t>
  </si>
  <si>
    <t>System Shaped Load</t>
  </si>
  <si>
    <t xml:space="preserve">Total </t>
  </si>
  <si>
    <t>No</t>
  </si>
  <si>
    <t>Select Current Year?</t>
  </si>
  <si>
    <t>Financial Reserves Surcharge Annual Rate 2020</t>
  </si>
  <si>
    <t>FRP Surcharge Dec-Sept rate 2020</t>
  </si>
  <si>
    <t>Include Maximum Financial Reserves Surcharge ($30 Million) in BP-20?</t>
  </si>
  <si>
    <t>BP18 Tier 1 TRM Effective Rate $/MWh previous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</si>
</sst>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0_);_(* \(#,##0.000000\);_(* &quot;-&quot;????_);_(@_)"/>
    <numFmt numFmtId="165" formatCode="_(* #,##0_);_(* \(#,##0\);_(* &quot;-&quot;????_);_(@_)"/>
    <numFmt numFmtId="166" formatCode="_(* #,##0.000_);_(* \(#,##0.000\);_(* &quot;-&quot;????_);_(@_)"/>
    <numFmt numFmtId="167" formatCode="_(* #,##0.0000000_);_(* \(#,##0.0000000\);_(* &quot;-&quot;??_);_(@_)"/>
    <numFmt numFmtId="168" formatCode="_(* #,##0_);_(* \(#,##0\);_(* &quot;-&quot;??_);_(@_)"/>
    <numFmt numFmtId="169" formatCode="0.000%"/>
    <numFmt numFmtId="170" formatCode="_(* #,##0.000_);_(* \(#,##0.000\);_(* &quot;-&quot;??_);_(@_)"/>
    <numFmt numFmtId="171" formatCode="mmm"/>
    <numFmt numFmtId="172" formatCode="@*."/>
    <numFmt numFmtId="173" formatCode="_(&quot;$&quot;* #,##0_);_(&quot;$&quot;* \(#,##0\);_(&quot;$&quot;* &quot;-&quot;??_);_(@_)"/>
    <numFmt numFmtId="174" formatCode="0.0000"/>
    <numFmt numFmtId="175" formatCode="[$-409]mmm\-yy;@"/>
    <numFmt numFmtId="176" formatCode="0.0%"/>
    <numFmt numFmtId="177" formatCode="_(* #,##0.00_);\(* #,##0.00\);_(* &quot;-&quot;??_);_(@_)"/>
    <numFmt numFmtId="178" formatCode="#,##0.0_)\x;\(#,##0.0\)\x;0.0_)\x;@_)_x"/>
    <numFmt numFmtId="179" formatCode="#,##0.0_);\(#,##0.0\);#,##0.0_);@_)"/>
    <numFmt numFmtId="180" formatCode="&quot;$&quot;_(#,##0.00_);&quot;$&quot;\(#,##0.00\);&quot;$&quot;_(0.00_);@_)"/>
    <numFmt numFmtId="181" formatCode="#,##0.00_);\(#,##0.00\);0.00_);@_)"/>
    <numFmt numFmtId="182" formatCode="\€_(#,##0.00_);\€\(#,##0.00\);\€_(0.00_);@_)"/>
    <numFmt numFmtId="183" formatCode="0.0_)\%;\(0.0\)\%;0.0_)\%;@_)_%"/>
    <numFmt numFmtId="184" formatCode="#,##0.0_)_%;\(#,##0.0\)_%;0.0_)_%;@_)_%"/>
    <numFmt numFmtId="185" formatCode="#,##0.0_)_x;\(#,##0.0\)_x;0.0_)_x;@_)_x"/>
    <numFmt numFmtId="186" formatCode="0.000%;;"/>
    <numFmt numFmtId="187" formatCode="&quot;$&quot;#,##0.0;[Red]\-&quot;$&quot;#,##0.0"/>
    <numFmt numFmtId="188" formatCode="_([$€-2]* #,##0.00_);_([$€-2]* \(#,##0.00\);_([$€-2]* &quot;-&quot;??_)"/>
    <numFmt numFmtId="189" formatCode="_-* #,##0.0_-;\-* #,##0.0_-;_-* &quot;-&quot;??_-;_-@_-"/>
    <numFmt numFmtId="190" formatCode="#,##0.00&quot; $&quot;;\-#,##0.00&quot; $&quot;"/>
    <numFmt numFmtId="191" formatCode="#,##0.0000\ ;[Red]\(#,##0.0000\)"/>
    <numFmt numFmtId="192" formatCode="mmm\-yyyy"/>
    <numFmt numFmtId="193" formatCode="_(* #,##0.00000_);_(* \(#,##0.00000\);_(* &quot;-&quot;??_);_(@_)"/>
    <numFmt numFmtId="194" formatCode="0.0000000"/>
    <numFmt numFmtId="195" formatCode="#,##0.000_);[Red]\(#,##0.000\)"/>
    <numFmt numFmtId="196" formatCode="0.0000000000000"/>
    <numFmt numFmtId="197" formatCode="#,##0.000"/>
  </numFmts>
  <fonts count="1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48"/>
      <name val="Arial"/>
      <family val="2"/>
    </font>
    <font>
      <sz val="8"/>
      <name val="Calibri"/>
      <family val="2"/>
    </font>
    <font>
      <sz val="10"/>
      <name val="Calibri"/>
      <family val="2"/>
    </font>
    <font>
      <sz val="10"/>
      <color indexed="22"/>
      <name val="Calibri"/>
      <family val="2"/>
    </font>
    <font>
      <u/>
      <sz val="10"/>
      <color indexed="12"/>
      <name val="Arial"/>
      <family val="2"/>
    </font>
    <font>
      <b/>
      <u/>
      <sz val="8"/>
      <color indexed="12"/>
      <name val="Times"/>
      <family val="1"/>
    </font>
    <font>
      <b/>
      <sz val="10"/>
      <name val="Times"/>
      <family val="1"/>
    </font>
    <font>
      <sz val="10"/>
      <name val="Arial"/>
      <family val="2"/>
    </font>
    <font>
      <b/>
      <u/>
      <sz val="10"/>
      <color indexed="12"/>
      <name val="Wingdings"/>
      <charset val="2"/>
    </font>
    <font>
      <b/>
      <sz val="10"/>
      <name val="Calibri"/>
      <family val="2"/>
    </font>
    <font>
      <b/>
      <sz val="8"/>
      <name val="Calibri"/>
      <family val="2"/>
    </font>
    <font>
      <sz val="10"/>
      <name val="Times New Roman"/>
      <family val="1"/>
    </font>
    <font>
      <sz val="10"/>
      <color indexed="22"/>
      <name val="Arial"/>
      <family val="2"/>
    </font>
    <font>
      <b/>
      <sz val="10"/>
      <name val="Arial"/>
      <family val="2"/>
    </font>
    <font>
      <sz val="10"/>
      <name val="Times"/>
      <family val="1"/>
    </font>
    <font>
      <b/>
      <sz val="12"/>
      <color indexed="48"/>
      <name val="Times New Roman"/>
      <family val="1"/>
    </font>
    <font>
      <sz val="10"/>
      <color indexed="9"/>
      <name val="Times New Roman"/>
      <family val="1"/>
    </font>
    <font>
      <sz val="10"/>
      <color indexed="48"/>
      <name val="Times New Roman"/>
      <family val="1"/>
    </font>
    <font>
      <b/>
      <sz val="10"/>
      <name val="Times"/>
    </font>
    <font>
      <sz val="10"/>
      <color rgb="FFFF000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MS Sans Serif"/>
      <family val="2"/>
    </font>
    <font>
      <b/>
      <sz val="10"/>
      <name val="MS Sans Serif"/>
      <family val="2"/>
    </font>
    <font>
      <b/>
      <sz val="11"/>
      <color theme="4"/>
      <name val="Calibri"/>
      <family val="2"/>
      <scheme val="minor"/>
    </font>
    <font>
      <sz val="10"/>
      <color indexed="9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7.5"/>
      <color indexed="12"/>
      <name val="Arial"/>
      <family val="2"/>
    </font>
    <font>
      <sz val="11"/>
      <color indexed="62"/>
      <name val="Arial"/>
      <family val="2"/>
    </font>
    <font>
      <sz val="11"/>
      <color indexed="52"/>
      <name val="Arial"/>
      <family val="2"/>
    </font>
    <font>
      <sz val="11"/>
      <color indexed="60"/>
      <name val="Arial"/>
      <family val="2"/>
    </font>
    <font>
      <b/>
      <sz val="11"/>
      <color indexed="63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Arial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9"/>
      <color indexed="8"/>
      <name val="Arial"/>
      <family val="2"/>
    </font>
    <font>
      <b/>
      <sz val="10"/>
      <color indexed="9"/>
      <name val="Arial"/>
      <family val="2"/>
    </font>
    <font>
      <b/>
      <sz val="9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sz val="8"/>
      <name val="Palatino"/>
      <family val="1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sz val="6"/>
      <color indexed="16"/>
      <name val="Palatino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sz val="10"/>
      <color indexed="16"/>
      <name val="Helvetica-Black"/>
    </font>
    <font>
      <sz val="8"/>
      <color indexed="8"/>
      <name val="Times New Roman"/>
      <family val="1"/>
    </font>
    <font>
      <b/>
      <i/>
      <sz val="10"/>
      <name val="Times New Roman"/>
      <family val="1"/>
    </font>
    <font>
      <b/>
      <sz val="9"/>
      <name val="Palatino"/>
      <family val="1"/>
    </font>
    <font>
      <sz val="9"/>
      <color indexed="21"/>
      <name val="Helvetica-Black"/>
    </font>
    <font>
      <b/>
      <sz val="8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Helv"/>
    </font>
    <font>
      <sz val="11"/>
      <name val="??"/>
      <family val="3"/>
      <charset val="129"/>
    </font>
    <font>
      <sz val="10"/>
      <name val="Helv"/>
    </font>
    <font>
      <b/>
      <u/>
      <sz val="11"/>
      <color indexed="37"/>
      <name val="Arial"/>
      <family val="2"/>
    </font>
    <font>
      <sz val="7"/>
      <name val="Small Fonts"/>
      <family val="2"/>
    </font>
    <font>
      <sz val="8"/>
      <color indexed="12"/>
      <name val="Arial"/>
      <family val="2"/>
    </font>
    <font>
      <sz val="9"/>
      <color indexed="20"/>
      <name val="Times New Roman"/>
      <family val="1"/>
    </font>
    <font>
      <sz val="10"/>
      <color theme="1"/>
      <name val="Arial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i/>
      <sz val="12"/>
      <name val="Times New Roman"/>
      <family val="1"/>
    </font>
    <font>
      <b/>
      <sz val="12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sz val="12"/>
      <name val="Times New Roman"/>
      <family val="1"/>
    </font>
    <font>
      <b/>
      <sz val="11"/>
      <name val="Calibri"/>
      <family val="2"/>
    </font>
    <font>
      <sz val="11"/>
      <color theme="0" tint="-0.249977111117893"/>
      <name val="Calibri"/>
      <family val="2"/>
      <scheme val="minor"/>
    </font>
    <font>
      <b/>
      <sz val="8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2"/>
      <name val="Times New Roman"/>
      <family val="1"/>
    </font>
    <font>
      <sz val="11"/>
      <name val="Calibri"/>
      <family val="2"/>
      <scheme val="minor"/>
    </font>
    <font>
      <sz val="11"/>
      <color indexed="4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u/>
      <sz val="11"/>
      <color indexed="12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theme="0"/>
      <name val="Times New Roman"/>
      <family val="1"/>
    </font>
    <font>
      <sz val="12"/>
      <name val="Times New Roman"/>
    </font>
  </fonts>
  <fills count="7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1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3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32" fillId="0" borderId="19">
      <alignment horizontal="center"/>
    </xf>
    <xf numFmtId="3" fontId="31" fillId="0" borderId="0" applyFont="0" applyFill="0" applyBorder="0" applyAlignment="0" applyProtection="0"/>
    <xf numFmtId="0" fontId="31" fillId="7" borderId="0" applyNumberFormat="0" applyFont="0" applyBorder="0" applyAlignment="0" applyProtection="0"/>
    <xf numFmtId="0" fontId="12" fillId="0" borderId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4" fontId="35" fillId="0" borderId="0" applyFont="0" applyFill="0" applyBorder="0" applyAlignment="0" applyProtection="0"/>
    <xf numFmtId="184" fontId="35" fillId="0" borderId="0" applyFont="0" applyFill="0" applyBorder="0" applyAlignment="0" applyProtection="0"/>
    <xf numFmtId="179" fontId="35" fillId="0" borderId="0" applyFont="0" applyFill="0" applyBorder="0" applyAlignment="0" applyProtection="0"/>
    <xf numFmtId="179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2" fontId="35" fillId="0" borderId="0" applyFont="0" applyFill="0" applyBorder="0" applyAlignment="0" applyProtection="0"/>
    <xf numFmtId="182" fontId="35" fillId="0" borderId="0" applyFont="0" applyFill="0" applyBorder="0" applyAlignment="0" applyProtection="0"/>
    <xf numFmtId="0" fontId="63" fillId="0" borderId="0" applyNumberFormat="0" applyFill="0" applyBorder="0" applyAlignment="0" applyProtection="0"/>
    <xf numFmtId="38" fontId="35" fillId="10" borderId="0" applyNumberFormat="0" applyFont="0" applyAlignment="0" applyProtection="0"/>
    <xf numFmtId="38" fontId="35" fillId="10" borderId="0" applyNumberFormat="0" applyFont="0" applyAlignment="0" applyProtection="0"/>
    <xf numFmtId="178" fontId="35" fillId="0" borderId="0" applyFont="0" applyFill="0" applyBorder="0" applyAlignment="0" applyProtection="0"/>
    <xf numFmtId="178" fontId="35" fillId="0" borderId="0" applyFont="0" applyFill="0" applyBorder="0" applyAlignment="0" applyProtection="0"/>
    <xf numFmtId="185" fontId="35" fillId="0" borderId="0" applyFont="0" applyFill="0" applyBorder="0" applyProtection="0">
      <alignment horizontal="right"/>
    </xf>
    <xf numFmtId="185" fontId="35" fillId="0" borderId="0" applyFont="0" applyFill="0" applyBorder="0" applyProtection="0">
      <alignment horizontal="right"/>
    </xf>
    <xf numFmtId="0" fontId="64" fillId="0" borderId="0" applyNumberFormat="0" applyFill="0" applyBorder="0" applyProtection="0">
      <alignment vertical="top"/>
    </xf>
    <xf numFmtId="38" fontId="60" fillId="0" borderId="28" applyNumberFormat="0" applyFill="0" applyAlignment="0" applyProtection="0"/>
    <xf numFmtId="38" fontId="65" fillId="0" borderId="29" applyNumberFormat="0" applyFill="0" applyProtection="0">
      <alignment horizontal="center"/>
    </xf>
    <xf numFmtId="38" fontId="65" fillId="0" borderId="0" applyNumberFormat="0" applyFill="0" applyBorder="0" applyProtection="0">
      <alignment horizontal="left"/>
    </xf>
    <xf numFmtId="38" fontId="66" fillId="0" borderId="0" applyNumberFormat="0" applyFill="0" applyBorder="0" applyProtection="0">
      <alignment horizontal="centerContinuous"/>
    </xf>
    <xf numFmtId="0" fontId="37" fillId="11" borderId="0" applyNumberFormat="0" applyBorder="0" applyAlignment="0" applyProtection="0"/>
    <xf numFmtId="0" fontId="5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37" fillId="12" borderId="0" applyNumberFormat="0" applyBorder="0" applyAlignment="0" applyProtection="0"/>
    <xf numFmtId="0" fontId="5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37" fillId="13" borderId="0" applyNumberFormat="0" applyBorder="0" applyAlignment="0" applyProtection="0"/>
    <xf numFmtId="0" fontId="5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37" fillId="14" borderId="0" applyNumberFormat="0" applyBorder="0" applyAlignment="0" applyProtection="0"/>
    <xf numFmtId="0" fontId="5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37" fillId="15" borderId="0" applyNumberFormat="0" applyBorder="0" applyAlignment="0" applyProtection="0"/>
    <xf numFmtId="0" fontId="5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37" fillId="16" borderId="0" applyNumberFormat="0" applyBorder="0" applyAlignment="0" applyProtection="0"/>
    <xf numFmtId="0" fontId="5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37" fillId="17" borderId="0" applyNumberFormat="0" applyBorder="0" applyAlignment="0" applyProtection="0"/>
    <xf numFmtId="0" fontId="5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37" fillId="18" borderId="0" applyNumberFormat="0" applyBorder="0" applyAlignment="0" applyProtection="0"/>
    <xf numFmtId="0" fontId="5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37" fillId="19" borderId="0" applyNumberFormat="0" applyBorder="0" applyAlignment="0" applyProtection="0"/>
    <xf numFmtId="0" fontId="5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37" fillId="14" borderId="0" applyNumberFormat="0" applyBorder="0" applyAlignment="0" applyProtection="0"/>
    <xf numFmtId="0" fontId="5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37" fillId="17" borderId="0" applyNumberFormat="0" applyBorder="0" applyAlignment="0" applyProtection="0"/>
    <xf numFmtId="0" fontId="5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37" fillId="20" borderId="0" applyNumberFormat="0" applyBorder="0" applyAlignment="0" applyProtection="0"/>
    <xf numFmtId="0" fontId="5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38" fillId="21" borderId="0" applyNumberFormat="0" applyBorder="0" applyAlignment="0" applyProtection="0"/>
    <xf numFmtId="0" fontId="34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38" fillId="18" borderId="0" applyNumberFormat="0" applyBorder="0" applyAlignment="0" applyProtection="0"/>
    <xf numFmtId="0" fontId="34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38" fillId="19" borderId="0" applyNumberFormat="0" applyBorder="0" applyAlignment="0" applyProtection="0"/>
    <xf numFmtId="0" fontId="34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38" fillId="22" borderId="0" applyNumberFormat="0" applyBorder="0" applyAlignment="0" applyProtection="0"/>
    <xf numFmtId="0" fontId="34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38" fillId="23" borderId="0" applyNumberFormat="0" applyBorder="0" applyAlignment="0" applyProtection="0"/>
    <xf numFmtId="0" fontId="34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38" fillId="24" borderId="0" applyNumberFormat="0" applyBorder="0" applyAlignment="0" applyProtection="0"/>
    <xf numFmtId="0" fontId="34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38" fillId="25" borderId="0" applyNumberFormat="0" applyBorder="0" applyAlignment="0" applyProtection="0"/>
    <xf numFmtId="0" fontId="34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38" fillId="26" borderId="0" applyNumberFormat="0" applyBorder="0" applyAlignment="0" applyProtection="0"/>
    <xf numFmtId="0" fontId="34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38" fillId="27" borderId="0" applyNumberFormat="0" applyBorder="0" applyAlignment="0" applyProtection="0"/>
    <xf numFmtId="0" fontId="34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38" fillId="22" borderId="0" applyNumberFormat="0" applyBorder="0" applyAlignment="0" applyProtection="0"/>
    <xf numFmtId="0" fontId="34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38" fillId="23" borderId="0" applyNumberFormat="0" applyBorder="0" applyAlignment="0" applyProtection="0"/>
    <xf numFmtId="0" fontId="34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38" fillId="28" borderId="0" applyNumberFormat="0" applyBorder="0" applyAlignment="0" applyProtection="0"/>
    <xf numFmtId="0" fontId="34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58" fillId="0" borderId="0" applyNumberFormat="0" applyFill="0" applyBorder="0" applyAlignment="0">
      <protection locked="0"/>
    </xf>
    <xf numFmtId="0" fontId="39" fillId="12" borderId="0" applyNumberFormat="0" applyBorder="0" applyAlignment="0" applyProtection="0"/>
    <xf numFmtId="0" fontId="70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40" fillId="29" borderId="30" applyNumberFormat="0" applyAlignment="0" applyProtection="0"/>
    <xf numFmtId="0" fontId="72" fillId="29" borderId="30" applyNumberFormat="0" applyAlignment="0" applyProtection="0"/>
    <xf numFmtId="0" fontId="71" fillId="29" borderId="30" applyNumberFormat="0" applyAlignment="0" applyProtection="0"/>
    <xf numFmtId="0" fontId="71" fillId="29" borderId="30" applyNumberFormat="0" applyAlignment="0" applyProtection="0"/>
    <xf numFmtId="0" fontId="41" fillId="30" borderId="31" applyNumberFormat="0" applyAlignment="0" applyProtection="0"/>
    <xf numFmtId="0" fontId="61" fillId="30" borderId="31" applyNumberFormat="0" applyAlignment="0" applyProtection="0"/>
    <xf numFmtId="0" fontId="73" fillId="30" borderId="31" applyNumberFormat="0" applyAlignment="0" applyProtection="0"/>
    <xf numFmtId="0" fontId="73" fillId="30" borderId="31" applyNumberFormat="0" applyAlignment="0" applyProtection="0"/>
    <xf numFmtId="43" fontId="12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74" fillId="0" borderId="0" applyFont="0" applyFill="0" applyBorder="0" applyAlignment="0" applyProtection="0">
      <alignment horizontal="right"/>
    </xf>
    <xf numFmtId="44" fontId="12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4" fontId="35" fillId="0" borderId="0" applyFont="0" applyFill="0" applyBorder="0" applyAlignment="0" applyProtection="0"/>
    <xf numFmtId="14" fontId="35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32" applyNumberFormat="0" applyFont="0" applyFill="0" applyAlignment="0" applyProtection="0"/>
    <xf numFmtId="0" fontId="42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36" fillId="0" borderId="0" applyFill="0" applyBorder="0" applyProtection="0">
      <alignment horizontal="left"/>
    </xf>
    <xf numFmtId="0" fontId="43" fillId="13" borderId="0" applyNumberFormat="0" applyBorder="0" applyAlignment="0" applyProtection="0"/>
    <xf numFmtId="0" fontId="59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78" fillId="0" borderId="0" applyProtection="0">
      <alignment horizontal="right"/>
    </xf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45" fillId="0" borderId="34" applyNumberFormat="0" applyFill="0" applyAlignment="0" applyProtection="0"/>
    <xf numFmtId="0" fontId="45" fillId="0" borderId="34" applyNumberFormat="0" applyFill="0" applyAlignment="0" applyProtection="0"/>
    <xf numFmtId="0" fontId="80" fillId="0" borderId="34" applyNumberFormat="0" applyFill="0" applyAlignment="0" applyProtection="0"/>
    <xf numFmtId="0" fontId="80" fillId="0" borderId="34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8" fillId="16" borderId="30" applyNumberFormat="0" applyAlignment="0" applyProtection="0"/>
    <xf numFmtId="0" fontId="83" fillId="16" borderId="30" applyNumberFormat="0" applyAlignment="0" applyProtection="0"/>
    <xf numFmtId="0" fontId="82" fillId="16" borderId="30" applyNumberFormat="0" applyAlignment="0" applyProtection="0"/>
    <xf numFmtId="0" fontId="82" fillId="16" borderId="30" applyNumberFormat="0" applyAlignment="0" applyProtection="0"/>
    <xf numFmtId="0" fontId="49" fillId="0" borderId="36" applyNumberFormat="0" applyFill="0" applyAlignment="0" applyProtection="0"/>
    <xf numFmtId="0" fontId="85" fillId="0" borderId="36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74" fillId="0" borderId="0" applyFont="0" applyFill="0" applyBorder="0" applyAlignment="0" applyProtection="0">
      <alignment horizontal="right"/>
    </xf>
    <xf numFmtId="0" fontId="50" fillId="10" borderId="0" applyNumberFormat="0" applyBorder="0" applyAlignment="0" applyProtection="0"/>
    <xf numFmtId="0" fontId="87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26" fillId="0" borderId="0"/>
    <xf numFmtId="0" fontId="26" fillId="0" borderId="0"/>
    <xf numFmtId="0" fontId="12" fillId="0" borderId="0"/>
    <xf numFmtId="0" fontId="12" fillId="31" borderId="37" applyNumberFormat="0" applyFont="0" applyAlignment="0" applyProtection="0"/>
    <xf numFmtId="0" fontId="12" fillId="31" borderId="37" applyNumberFormat="0" applyFont="0" applyAlignment="0" applyProtection="0"/>
    <xf numFmtId="0" fontId="12" fillId="31" borderId="37" applyNumberFormat="0" applyFont="0" applyAlignment="0" applyProtection="0"/>
    <xf numFmtId="0" fontId="12" fillId="31" borderId="37" applyNumberFormat="0" applyFont="0" applyAlignment="0" applyProtection="0"/>
    <xf numFmtId="0" fontId="12" fillId="31" borderId="37" applyNumberFormat="0" applyFont="0" applyAlignment="0" applyProtection="0"/>
    <xf numFmtId="0" fontId="12" fillId="31" borderId="37" applyNumberFormat="0" applyFont="0" applyAlignment="0" applyProtection="0"/>
    <xf numFmtId="0" fontId="51" fillId="29" borderId="38" applyNumberFormat="0" applyAlignment="0" applyProtection="0"/>
    <xf numFmtId="0" fontId="89" fillId="29" borderId="38" applyNumberFormat="0" applyAlignment="0" applyProtection="0"/>
    <xf numFmtId="0" fontId="88" fillId="29" borderId="38" applyNumberFormat="0" applyAlignment="0" applyProtection="0"/>
    <xf numFmtId="0" fontId="88" fillId="29" borderId="38" applyNumberFormat="0" applyAlignment="0" applyProtection="0"/>
    <xf numFmtId="1" fontId="90" fillId="0" borderId="0" applyProtection="0">
      <alignment horizontal="right" vertical="center"/>
    </xf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31" fillId="0" borderId="0" applyNumberFormat="0" applyFont="0" applyFill="0" applyBorder="0" applyAlignment="0" applyProtection="0">
      <alignment horizontal="left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15" fontId="31" fillId="0" borderId="0" applyFont="0" applyFill="0" applyBorder="0" applyAlignment="0" applyProtection="0"/>
    <xf numFmtId="15" fontId="31" fillId="0" borderId="0" applyFont="0" applyFill="0" applyBorder="0" applyAlignment="0" applyProtection="0"/>
    <xf numFmtId="15" fontId="31" fillId="0" borderId="0" applyFont="0" applyFill="0" applyBorder="0" applyAlignment="0" applyProtection="0"/>
    <xf numFmtId="15" fontId="31" fillId="0" borderId="0" applyFont="0" applyFill="0" applyBorder="0" applyAlignment="0" applyProtection="0"/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32" fillId="0" borderId="19">
      <alignment horizontal="center"/>
    </xf>
    <xf numFmtId="0" fontId="32" fillId="0" borderId="19">
      <alignment horizontal="center"/>
    </xf>
    <xf numFmtId="0" fontId="32" fillId="0" borderId="19">
      <alignment horizontal="center"/>
    </xf>
    <xf numFmtId="0" fontId="32" fillId="0" borderId="19">
      <alignment horizontal="center"/>
    </xf>
    <xf numFmtId="0" fontId="32" fillId="0" borderId="19">
      <alignment horizontal="center"/>
    </xf>
    <xf numFmtId="0" fontId="32" fillId="0" borderId="19">
      <alignment horizontal="center"/>
    </xf>
    <xf numFmtId="0" fontId="32" fillId="0" borderId="19">
      <alignment horizontal="center"/>
    </xf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31" fillId="7" borderId="0" applyNumberFormat="0" applyFont="0" applyBorder="0" applyAlignment="0" applyProtection="0"/>
    <xf numFmtId="0" fontId="31" fillId="7" borderId="0" applyNumberFormat="0" applyFont="0" applyBorder="0" applyAlignment="0" applyProtection="0"/>
    <xf numFmtId="0" fontId="31" fillId="7" borderId="0" applyNumberFormat="0" applyFont="0" applyBorder="0" applyAlignment="0" applyProtection="0"/>
    <xf numFmtId="0" fontId="31" fillId="7" borderId="0" applyNumberFormat="0" applyFont="0" applyBorder="0" applyAlignment="0" applyProtection="0"/>
    <xf numFmtId="0" fontId="31" fillId="7" borderId="0" applyNumberFormat="0" applyFont="0" applyBorder="0" applyAlignment="0" applyProtection="0"/>
    <xf numFmtId="0" fontId="31" fillId="7" borderId="0" applyNumberFormat="0" applyFont="0" applyBorder="0" applyAlignment="0" applyProtection="0"/>
    <xf numFmtId="186" fontId="36" fillId="0" borderId="10" applyFont="0" applyFill="0" applyBorder="0" applyAlignment="0" applyProtection="0"/>
    <xf numFmtId="186" fontId="36" fillId="0" borderId="10" applyFont="0" applyFill="0" applyBorder="0" applyAlignment="0" applyProtection="0"/>
    <xf numFmtId="186" fontId="36" fillId="0" borderId="10" applyFont="0" applyFill="0" applyBorder="0" applyAlignment="0" applyProtection="0"/>
    <xf numFmtId="186" fontId="36" fillId="0" borderId="10" applyFont="0" applyFill="0" applyBorder="0" applyAlignment="0" applyProtection="0"/>
    <xf numFmtId="186" fontId="36" fillId="0" borderId="10" applyFont="0" applyFill="0" applyBorder="0" applyAlignment="0" applyProtection="0"/>
    <xf numFmtId="186" fontId="36" fillId="0" borderId="10" applyFont="0" applyFill="0" applyBorder="0" applyAlignment="0" applyProtection="0"/>
    <xf numFmtId="186" fontId="36" fillId="0" borderId="10" applyFont="0" applyFill="0" applyBorder="0" applyAlignment="0" applyProtection="0"/>
    <xf numFmtId="186" fontId="36" fillId="0" borderId="10" applyFont="0" applyFill="0" applyBorder="0" applyAlignment="0" applyProtection="0"/>
    <xf numFmtId="0" fontId="91" fillId="0" borderId="0" applyNumberFormat="0" applyFill="0" applyBorder="0" applyAlignment="0" applyProtection="0"/>
    <xf numFmtId="0" fontId="92" fillId="3" borderId="0" applyNumberFormat="0" applyFont="0" applyBorder="0" applyAlignment="0" applyProtection="0"/>
    <xf numFmtId="0" fontId="92" fillId="3" borderId="0" applyNumberFormat="0" applyFont="0" applyBorder="0" applyAlignment="0" applyProtection="0"/>
    <xf numFmtId="0" fontId="92" fillId="3" borderId="0" applyNumberFormat="0" applyFont="0" applyBorder="0" applyAlignment="0" applyProtection="0"/>
    <xf numFmtId="0" fontId="92" fillId="3" borderId="0" applyNumberFormat="0" applyFont="0" applyBorder="0" applyAlignment="0" applyProtection="0"/>
    <xf numFmtId="0" fontId="92" fillId="3" borderId="0" applyNumberFormat="0" applyFont="0" applyBorder="0" applyAlignment="0" applyProtection="0"/>
    <xf numFmtId="0" fontId="92" fillId="3" borderId="0" applyNumberFormat="0" applyFont="0" applyBorder="0" applyAlignment="0" applyProtection="0"/>
    <xf numFmtId="0" fontId="92" fillId="3" borderId="0" applyNumberFormat="0" applyFont="0" applyBorder="0" applyAlignment="0" applyProtection="0"/>
    <xf numFmtId="0" fontId="93" fillId="0" borderId="0" applyBorder="0" applyProtection="0">
      <alignment vertical="center"/>
    </xf>
    <xf numFmtId="0" fontId="93" fillId="0" borderId="1" applyBorder="0" applyProtection="0">
      <alignment horizontal="right" vertical="center"/>
    </xf>
    <xf numFmtId="0" fontId="94" fillId="32" borderId="0" applyBorder="0" applyProtection="0">
      <alignment horizontal="centerContinuous" vertical="center"/>
    </xf>
    <xf numFmtId="0" fontId="94" fillId="9" borderId="1" applyBorder="0" applyProtection="0">
      <alignment horizontal="centerContinuous" vertical="center"/>
    </xf>
    <xf numFmtId="0" fontId="95" fillId="0" borderId="0" applyBorder="0" applyProtection="0">
      <alignment horizontal="left"/>
    </xf>
    <xf numFmtId="0" fontId="95" fillId="0" borderId="0" applyBorder="0" applyProtection="0">
      <alignment horizontal="left"/>
    </xf>
    <xf numFmtId="0" fontId="62" fillId="0" borderId="0" applyFill="0" applyBorder="0" applyProtection="0">
      <alignment horizontal="left"/>
    </xf>
    <xf numFmtId="0" fontId="35" fillId="0" borderId="10" applyFill="0" applyBorder="0" applyProtection="0">
      <alignment horizontal="left" vertical="top"/>
    </xf>
    <xf numFmtId="0" fontId="35" fillId="0" borderId="10" applyFill="0" applyBorder="0" applyProtection="0">
      <alignment horizontal="left" vertical="top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39" applyNumberFormat="0" applyFill="0" applyAlignment="0" applyProtection="0"/>
    <xf numFmtId="0" fontId="56" fillId="0" borderId="39" applyNumberFormat="0" applyFill="0" applyAlignment="0" applyProtection="0"/>
    <xf numFmtId="0" fontId="96" fillId="0" borderId="39" applyNumberFormat="0" applyFill="0" applyAlignment="0" applyProtection="0"/>
    <xf numFmtId="0" fontId="96" fillId="0" borderId="39" applyNumberFormat="0" applyFill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6" fillId="0" borderId="0"/>
    <xf numFmtId="0" fontId="48" fillId="16" borderId="30" applyNumberFormat="0" applyAlignment="0" applyProtection="0"/>
    <xf numFmtId="9" fontId="26" fillId="0" borderId="0" applyFont="0" applyFill="0" applyBorder="0" applyAlignment="0" applyProtection="0"/>
    <xf numFmtId="0" fontId="48" fillId="16" borderId="30" applyNumberForma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48" fillId="16" borderId="30" applyNumberFormat="0" applyAlignment="0" applyProtection="0"/>
    <xf numFmtId="0" fontId="48" fillId="16" borderId="30" applyNumberFormat="0" applyAlignment="0" applyProtection="0"/>
    <xf numFmtId="0" fontId="26" fillId="0" borderId="0"/>
    <xf numFmtId="43" fontId="1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32" fillId="0" borderId="19">
      <alignment horizontal="center"/>
    </xf>
    <xf numFmtId="3" fontId="31" fillId="0" borderId="0" applyFont="0" applyFill="0" applyBorder="0" applyAlignment="0" applyProtection="0"/>
    <xf numFmtId="0" fontId="31" fillId="7" borderId="0" applyNumberFormat="0" applyFon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4" borderId="0" applyNumberFormat="0" applyBorder="0" applyAlignment="0" applyProtection="0"/>
    <xf numFmtId="0" fontId="37" fillId="17" borderId="0" applyNumberFormat="0" applyBorder="0" applyAlignment="0" applyProtection="0"/>
    <xf numFmtId="0" fontId="37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8" borderId="0" applyNumberFormat="0" applyBorder="0" applyAlignment="0" applyProtection="0"/>
    <xf numFmtId="187" fontId="16" fillId="33" borderId="40">
      <alignment horizontal="center" vertical="center"/>
    </xf>
    <xf numFmtId="0" fontId="39" fillId="12" borderId="0" applyNumberFormat="0" applyBorder="0" applyAlignment="0" applyProtection="0"/>
    <xf numFmtId="0" fontId="40" fillId="29" borderId="30" applyNumberFormat="0" applyAlignment="0" applyProtection="0"/>
    <xf numFmtId="0" fontId="41" fillId="30" borderId="31" applyNumberFormat="0" applyAlignment="0" applyProtection="0"/>
    <xf numFmtId="43" fontId="12" fillId="0" borderId="0" applyFont="0" applyFill="0" applyBorder="0" applyAlignment="0" applyProtection="0"/>
    <xf numFmtId="0" fontId="98" fillId="0" borderId="0"/>
    <xf numFmtId="44" fontId="12" fillId="0" borderId="0" applyFont="0" applyFill="0" applyBorder="0" applyAlignment="0" applyProtection="0"/>
    <xf numFmtId="6" fontId="99" fillId="0" borderId="0">
      <protection locked="0"/>
    </xf>
    <xf numFmtId="188" fontId="1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189" fontId="12" fillId="0" borderId="0">
      <protection locked="0"/>
    </xf>
    <xf numFmtId="189" fontId="12" fillId="0" borderId="0">
      <protection locked="0"/>
    </xf>
    <xf numFmtId="0" fontId="100" fillId="0" borderId="0"/>
    <xf numFmtId="0" fontId="43" fillId="13" borderId="0" applyNumberFormat="0" applyBorder="0" applyAlignment="0" applyProtection="0"/>
    <xf numFmtId="38" fontId="35" fillId="3" borderId="0" applyNumberFormat="0" applyBorder="0" applyAlignment="0" applyProtection="0"/>
    <xf numFmtId="0" fontId="101" fillId="0" borderId="0" applyNumberFormat="0" applyFill="0" applyBorder="0" applyAlignment="0" applyProtection="0"/>
    <xf numFmtId="190" fontId="12" fillId="0" borderId="0">
      <protection locked="0"/>
    </xf>
    <xf numFmtId="190" fontId="12" fillId="0" borderId="0">
      <protection locked="0"/>
    </xf>
    <xf numFmtId="190" fontId="12" fillId="0" borderId="0">
      <protection locked="0"/>
    </xf>
    <xf numFmtId="190" fontId="12" fillId="0" borderId="0">
      <protection locked="0"/>
    </xf>
    <xf numFmtId="0" fontId="58" fillId="0" borderId="41" applyNumberFormat="0" applyFill="0" applyAlignment="0" applyProtection="0"/>
    <xf numFmtId="10" fontId="35" fillId="34" borderId="11" applyNumberFormat="0" applyBorder="0" applyAlignment="0" applyProtection="0"/>
    <xf numFmtId="0" fontId="48" fillId="16" borderId="30" applyNumberFormat="0" applyAlignment="0" applyProtection="0"/>
    <xf numFmtId="0" fontId="49" fillId="0" borderId="36" applyNumberFormat="0" applyFill="0" applyAlignment="0" applyProtection="0"/>
    <xf numFmtId="0" fontId="50" fillId="10" borderId="0" applyNumberFormat="0" applyBorder="0" applyAlignment="0" applyProtection="0"/>
    <xf numFmtId="37" fontId="102" fillId="0" borderId="0"/>
    <xf numFmtId="191" fontId="16" fillId="0" borderId="0"/>
    <xf numFmtId="0" fontId="1" fillId="0" borderId="0"/>
    <xf numFmtId="0" fontId="1" fillId="0" borderId="0"/>
    <xf numFmtId="0" fontId="51" fillId="29" borderId="38" applyNumberFormat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192" fontId="12" fillId="0" borderId="0" applyFill="0" applyBorder="0" applyAlignment="0" applyProtection="0">
      <alignment wrapText="1"/>
    </xf>
    <xf numFmtId="192" fontId="12" fillId="0" borderId="0" applyFill="0" applyBorder="0" applyAlignment="0" applyProtection="0">
      <alignment wrapText="1"/>
    </xf>
    <xf numFmtId="0" fontId="53" fillId="0" borderId="39" applyNumberFormat="0" applyFill="0" applyAlignment="0" applyProtection="0"/>
    <xf numFmtId="37" fontId="35" fillId="8" borderId="0" applyNumberFormat="0" applyBorder="0" applyAlignment="0" applyProtection="0"/>
    <xf numFmtId="37" fontId="35" fillId="0" borderId="0"/>
    <xf numFmtId="37" fontId="35" fillId="8" borderId="0" applyNumberFormat="0" applyBorder="0" applyAlignment="0" applyProtection="0"/>
    <xf numFmtId="3" fontId="103" fillId="0" borderId="41" applyProtection="0"/>
    <xf numFmtId="0" fontId="104" fillId="0" borderId="0">
      <alignment horizontal="center"/>
    </xf>
    <xf numFmtId="0" fontId="54" fillId="0" borderId="0" applyNumberForma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12" fillId="0" borderId="0"/>
    <xf numFmtId="0" fontId="57" fillId="11" borderId="0" applyNumberFormat="0" applyBorder="0" applyAlignment="0" applyProtection="0"/>
    <xf numFmtId="0" fontId="57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4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8" borderId="0" applyNumberFormat="0" applyBorder="0" applyAlignment="0" applyProtection="0"/>
    <xf numFmtId="0" fontId="70" fillId="12" borderId="0" applyNumberFormat="0" applyBorder="0" applyAlignment="0" applyProtection="0"/>
    <xf numFmtId="0" fontId="72" fillId="29" borderId="30" applyNumberFormat="0" applyAlignment="0" applyProtection="0"/>
    <xf numFmtId="0" fontId="61" fillId="30" borderId="31" applyNumberFormat="0" applyAlignment="0" applyProtection="0"/>
    <xf numFmtId="43" fontId="12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76" fillId="0" borderId="0" applyNumberFormat="0" applyFill="0" applyBorder="0" applyAlignment="0" applyProtection="0"/>
    <xf numFmtId="0" fontId="59" fillId="13" borderId="0" applyNumberFormat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83" fillId="16" borderId="30" applyNumberFormat="0" applyAlignment="0" applyProtection="0"/>
    <xf numFmtId="0" fontId="85" fillId="0" borderId="36" applyNumberFormat="0" applyFill="0" applyAlignment="0" applyProtection="0"/>
    <xf numFmtId="0" fontId="87" fillId="10" borderId="0" applyNumberFormat="0" applyBorder="0" applyAlignment="0" applyProtection="0"/>
    <xf numFmtId="0" fontId="12" fillId="31" borderId="37" applyNumberFormat="0" applyFont="0" applyAlignment="0" applyProtection="0"/>
    <xf numFmtId="0" fontId="89" fillId="29" borderId="38" applyNumberForma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56" fillId="0" borderId="39" applyNumberFormat="0" applyFill="0" applyAlignment="0" applyProtection="0"/>
    <xf numFmtId="0" fontId="55" fillId="0" borderId="0" applyNumberFormat="0" applyFill="0" applyBorder="0" applyAlignment="0" applyProtection="0"/>
    <xf numFmtId="0" fontId="12" fillId="0" borderId="0"/>
    <xf numFmtId="0" fontId="67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67" fillId="14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9" borderId="0" applyNumberFormat="0" applyBorder="0" applyAlignment="0" applyProtection="0"/>
    <xf numFmtId="0" fontId="67" fillId="14" borderId="0" applyNumberFormat="0" applyBorder="0" applyAlignment="0" applyProtection="0"/>
    <xf numFmtId="0" fontId="67" fillId="17" borderId="0" applyNumberFormat="0" applyBorder="0" applyAlignment="0" applyProtection="0"/>
    <xf numFmtId="0" fontId="67" fillId="20" borderId="0" applyNumberFormat="0" applyBorder="0" applyAlignment="0" applyProtection="0"/>
    <xf numFmtId="0" fontId="68" fillId="21" borderId="0" applyNumberFormat="0" applyBorder="0" applyAlignment="0" applyProtection="0"/>
    <xf numFmtId="0" fontId="68" fillId="18" borderId="0" applyNumberFormat="0" applyBorder="0" applyAlignment="0" applyProtection="0"/>
    <xf numFmtId="0" fontId="68" fillId="19" borderId="0" applyNumberFormat="0" applyBorder="0" applyAlignment="0" applyProtection="0"/>
    <xf numFmtId="0" fontId="68" fillId="22" borderId="0" applyNumberFormat="0" applyBorder="0" applyAlignment="0" applyProtection="0"/>
    <xf numFmtId="0" fontId="68" fillId="23" borderId="0" applyNumberFormat="0" applyBorder="0" applyAlignment="0" applyProtection="0"/>
    <xf numFmtId="0" fontId="68" fillId="24" borderId="0" applyNumberFormat="0" applyBorder="0" applyAlignment="0" applyProtection="0"/>
    <xf numFmtId="0" fontId="68" fillId="25" borderId="0" applyNumberFormat="0" applyBorder="0" applyAlignment="0" applyProtection="0"/>
    <xf numFmtId="0" fontId="68" fillId="26" borderId="0" applyNumberFormat="0" applyBorder="0" applyAlignment="0" applyProtection="0"/>
    <xf numFmtId="0" fontId="68" fillId="27" borderId="0" applyNumberFormat="0" applyBorder="0" applyAlignment="0" applyProtection="0"/>
    <xf numFmtId="0" fontId="68" fillId="22" borderId="0" applyNumberFormat="0" applyBorder="0" applyAlignment="0" applyProtection="0"/>
    <xf numFmtId="0" fontId="68" fillId="23" borderId="0" applyNumberFormat="0" applyBorder="0" applyAlignment="0" applyProtection="0"/>
    <xf numFmtId="0" fontId="68" fillId="28" borderId="0" applyNumberFormat="0" applyBorder="0" applyAlignment="0" applyProtection="0"/>
    <xf numFmtId="187" fontId="16" fillId="33" borderId="40">
      <alignment horizontal="center" vertical="center"/>
    </xf>
    <xf numFmtId="0" fontId="58" fillId="0" borderId="0" applyNumberFormat="0" applyFill="0" applyBorder="0" applyAlignment="0">
      <protection locked="0"/>
    </xf>
    <xf numFmtId="0" fontId="69" fillId="12" borderId="0" applyNumberFormat="0" applyBorder="0" applyAlignment="0" applyProtection="0"/>
    <xf numFmtId="0" fontId="71" fillId="29" borderId="30" applyNumberFormat="0" applyAlignment="0" applyProtection="0"/>
    <xf numFmtId="0" fontId="71" fillId="29" borderId="30" applyNumberFormat="0" applyAlignment="0" applyProtection="0"/>
    <xf numFmtId="0" fontId="40" fillId="29" borderId="30" applyNumberFormat="0" applyAlignment="0" applyProtection="0"/>
    <xf numFmtId="0" fontId="71" fillId="29" borderId="30" applyNumberFormat="0" applyAlignment="0" applyProtection="0"/>
    <xf numFmtId="0" fontId="73" fillId="30" borderId="31" applyNumberFormat="0" applyAlignment="0" applyProtection="0"/>
    <xf numFmtId="43" fontId="1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43" fontId="12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4" fontId="35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106" fillId="0" borderId="0" applyProtection="0"/>
    <xf numFmtId="0" fontId="106" fillId="0" borderId="0" applyProtection="0"/>
    <xf numFmtId="0" fontId="106" fillId="0" borderId="0" applyProtection="0"/>
    <xf numFmtId="0" fontId="35" fillId="0" borderId="0" applyProtection="0"/>
    <xf numFmtId="0" fontId="35" fillId="0" borderId="0" applyProtection="0"/>
    <xf numFmtId="0" fontId="35" fillId="0" borderId="0" applyProtection="0"/>
    <xf numFmtId="0" fontId="35" fillId="0" borderId="0" applyProtection="0"/>
    <xf numFmtId="0" fontId="107" fillId="0" borderId="0" applyProtection="0"/>
    <xf numFmtId="0" fontId="107" fillId="0" borderId="0" applyProtection="0"/>
    <xf numFmtId="0" fontId="107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108" fillId="0" borderId="0" applyProtection="0"/>
    <xf numFmtId="0" fontId="108" fillId="0" borderId="0" applyProtection="0"/>
    <xf numFmtId="0" fontId="108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109" fillId="0" borderId="0" applyProtection="0"/>
    <xf numFmtId="0" fontId="109" fillId="0" borderId="0" applyProtection="0"/>
    <xf numFmtId="0" fontId="109" fillId="0" borderId="0" applyProtection="0"/>
    <xf numFmtId="189" fontId="12" fillId="0" borderId="0">
      <protection locked="0"/>
    </xf>
    <xf numFmtId="0" fontId="77" fillId="13" borderId="0" applyNumberFormat="0" applyBorder="0" applyAlignment="0" applyProtection="0"/>
    <xf numFmtId="38" fontId="35" fillId="3" borderId="0" applyNumberFormat="0" applyBorder="0" applyAlignment="0" applyProtection="0"/>
    <xf numFmtId="0" fontId="78" fillId="0" borderId="0" applyProtection="0">
      <alignment horizontal="right"/>
    </xf>
    <xf numFmtId="0" fontId="79" fillId="0" borderId="33" applyNumberFormat="0" applyFill="0" applyAlignment="0" applyProtection="0"/>
    <xf numFmtId="0" fontId="80" fillId="0" borderId="34" applyNumberFormat="0" applyFill="0" applyAlignment="0" applyProtection="0"/>
    <xf numFmtId="0" fontId="81" fillId="0" borderId="35" applyNumberFormat="0" applyFill="0" applyAlignment="0" applyProtection="0"/>
    <xf numFmtId="0" fontId="81" fillId="0" borderId="0" applyNumberFormat="0" applyFill="0" applyBorder="0" applyAlignment="0" applyProtection="0"/>
    <xf numFmtId="190" fontId="12" fillId="0" borderId="0">
      <protection locked="0"/>
    </xf>
    <xf numFmtId="190" fontId="12" fillId="0" borderId="0">
      <protection locked="0"/>
    </xf>
    <xf numFmtId="0" fontId="58" fillId="0" borderId="41" applyNumberFormat="0" applyFill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175" fontId="47" fillId="0" borderId="0" applyNumberFormat="0" applyFill="0" applyBorder="0" applyAlignment="0" applyProtection="0">
      <alignment vertical="top"/>
      <protection locked="0"/>
    </xf>
    <xf numFmtId="10" fontId="35" fillId="34" borderId="11" applyNumberFormat="0" applyBorder="0" applyAlignment="0" applyProtection="0"/>
    <xf numFmtId="10" fontId="35" fillId="34" borderId="11" applyNumberFormat="0" applyBorder="0" applyAlignment="0" applyProtection="0"/>
    <xf numFmtId="10" fontId="35" fillId="34" borderId="11" applyNumberFormat="0" applyBorder="0" applyAlignment="0" applyProtection="0"/>
    <xf numFmtId="0" fontId="82" fillId="16" borderId="30" applyNumberFormat="0" applyAlignment="0" applyProtection="0"/>
    <xf numFmtId="0" fontId="82" fillId="16" borderId="30" applyNumberFormat="0" applyAlignment="0" applyProtection="0"/>
    <xf numFmtId="0" fontId="48" fillId="16" borderId="30" applyNumberFormat="0" applyAlignment="0" applyProtection="0"/>
    <xf numFmtId="0" fontId="82" fillId="16" borderId="30" applyNumberFormat="0" applyAlignment="0" applyProtection="0"/>
    <xf numFmtId="0" fontId="82" fillId="16" borderId="30" applyNumberFormat="0" applyAlignment="0" applyProtection="0"/>
    <xf numFmtId="0" fontId="84" fillId="0" borderId="36" applyNumberFormat="0" applyFill="0" applyAlignment="0" applyProtection="0"/>
    <xf numFmtId="0" fontId="86" fillId="10" borderId="0" applyNumberFormat="0" applyBorder="0" applyAlignment="0" applyProtection="0"/>
    <xf numFmtId="37" fontId="102" fillId="0" borderId="0"/>
    <xf numFmtId="37" fontId="102" fillId="0" borderId="0"/>
    <xf numFmtId="191" fontId="16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6" fillId="0" borderId="0"/>
    <xf numFmtId="0" fontId="12" fillId="0" borderId="0"/>
    <xf numFmtId="0" fontId="26" fillId="0" borderId="0"/>
    <xf numFmtId="0" fontId="26" fillId="0" borderId="0"/>
    <xf numFmtId="0" fontId="1" fillId="0" borderId="0"/>
    <xf numFmtId="175" fontId="26" fillId="0" borderId="0"/>
    <xf numFmtId="175" fontId="26" fillId="0" borderId="0"/>
    <xf numFmtId="0" fontId="105" fillId="0" borderId="0"/>
    <xf numFmtId="0" fontId="26" fillId="31" borderId="37" applyNumberFormat="0" applyFont="0" applyAlignment="0" applyProtection="0"/>
    <xf numFmtId="0" fontId="26" fillId="31" borderId="37" applyNumberFormat="0" applyFont="0" applyAlignment="0" applyProtection="0"/>
    <xf numFmtId="0" fontId="26" fillId="31" borderId="37" applyNumberFormat="0" applyFont="0" applyAlignment="0" applyProtection="0"/>
    <xf numFmtId="0" fontId="26" fillId="31" borderId="37" applyNumberFormat="0" applyFont="0" applyAlignment="0" applyProtection="0"/>
    <xf numFmtId="0" fontId="12" fillId="31" borderId="37" applyNumberFormat="0" applyFont="0" applyAlignment="0" applyProtection="0"/>
    <xf numFmtId="0" fontId="12" fillId="31" borderId="37" applyNumberFormat="0" applyFont="0" applyAlignment="0" applyProtection="0"/>
    <xf numFmtId="0" fontId="12" fillId="31" borderId="37" applyNumberFormat="0" applyFont="0" applyAlignment="0" applyProtection="0"/>
    <xf numFmtId="0" fontId="12" fillId="31" borderId="37" applyNumberFormat="0" applyFont="0" applyAlignment="0" applyProtection="0"/>
    <xf numFmtId="0" fontId="12" fillId="31" borderId="37" applyNumberFormat="0" applyFont="0" applyAlignment="0" applyProtection="0"/>
    <xf numFmtId="0" fontId="12" fillId="31" borderId="37" applyNumberFormat="0" applyFont="0" applyAlignment="0" applyProtection="0"/>
    <xf numFmtId="0" fontId="12" fillId="31" borderId="37" applyNumberFormat="0" applyFont="0" applyAlignment="0" applyProtection="0"/>
    <xf numFmtId="0" fontId="12" fillId="31" borderId="37" applyNumberFormat="0" applyFont="0" applyAlignment="0" applyProtection="0"/>
    <xf numFmtId="0" fontId="12" fillId="31" borderId="37" applyNumberFormat="0" applyFont="0" applyAlignment="0" applyProtection="0"/>
    <xf numFmtId="0" fontId="12" fillId="31" borderId="37" applyNumberFormat="0" applyFont="0" applyAlignment="0" applyProtection="0"/>
    <xf numFmtId="0" fontId="26" fillId="31" borderId="37" applyNumberFormat="0" applyFont="0" applyAlignment="0" applyProtection="0"/>
    <xf numFmtId="0" fontId="26" fillId="31" borderId="37" applyNumberFormat="0" applyFont="0" applyAlignment="0" applyProtection="0"/>
    <xf numFmtId="0" fontId="89" fillId="29" borderId="38" applyNumberFormat="0" applyAlignment="0" applyProtection="0"/>
    <xf numFmtId="0" fontId="88" fillId="29" borderId="38" applyNumberFormat="0" applyAlignment="0" applyProtection="0"/>
    <xf numFmtId="0" fontId="88" fillId="29" borderId="38" applyNumberFormat="0" applyAlignment="0" applyProtection="0"/>
    <xf numFmtId="0" fontId="88" fillId="29" borderId="38" applyNumberFormat="0" applyAlignment="0" applyProtection="0"/>
    <xf numFmtId="0" fontId="88" fillId="29" borderId="38" applyNumberFormat="0" applyAlignment="0" applyProtection="0"/>
    <xf numFmtId="0" fontId="88" fillId="29" borderId="38" applyNumberFormat="0" applyAlignment="0" applyProtection="0"/>
    <xf numFmtId="0" fontId="88" fillId="29" borderId="38" applyNumberFormat="0" applyAlignment="0" applyProtection="0"/>
    <xf numFmtId="0" fontId="51" fillId="29" borderId="38" applyNumberFormat="0" applyAlignment="0" applyProtection="0"/>
    <xf numFmtId="0" fontId="51" fillId="29" borderId="38" applyNumberFormat="0" applyAlignment="0" applyProtection="0"/>
    <xf numFmtId="0" fontId="51" fillId="29" borderId="38" applyNumberFormat="0" applyAlignment="0" applyProtection="0"/>
    <xf numFmtId="0" fontId="88" fillId="29" borderId="38" applyNumberFormat="0" applyAlignment="0" applyProtection="0"/>
    <xf numFmtId="0" fontId="88" fillId="29" borderId="38" applyNumberFormat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NumberFormat="0" applyFill="0" applyBorder="0" applyProtection="0">
      <alignment horizontal="right" wrapText="1"/>
    </xf>
    <xf numFmtId="192" fontId="12" fillId="0" borderId="0" applyFill="0" applyBorder="0" applyAlignment="0" applyProtection="0">
      <alignment wrapText="1"/>
    </xf>
    <xf numFmtId="0" fontId="52" fillId="0" borderId="0" applyNumberFormat="0" applyFill="0" applyBorder="0" applyAlignment="0" applyProtection="0"/>
    <xf numFmtId="0" fontId="12" fillId="0" borderId="0"/>
    <xf numFmtId="0" fontId="96" fillId="0" borderId="39" applyNumberFormat="0" applyFill="0" applyAlignment="0" applyProtection="0"/>
    <xf numFmtId="0" fontId="96" fillId="0" borderId="39" applyNumberFormat="0" applyFill="0" applyAlignment="0" applyProtection="0"/>
    <xf numFmtId="0" fontId="53" fillId="0" borderId="39" applyNumberFormat="0" applyFill="0" applyAlignment="0" applyProtection="0"/>
    <xf numFmtId="0" fontId="96" fillId="0" borderId="39" applyNumberFormat="0" applyFill="0" applyAlignment="0" applyProtection="0"/>
    <xf numFmtId="37" fontId="35" fillId="8" borderId="0" applyNumberFormat="0" applyBorder="0" applyAlignment="0" applyProtection="0"/>
    <xf numFmtId="37" fontId="35" fillId="0" borderId="0"/>
    <xf numFmtId="37" fontId="35" fillId="0" borderId="0"/>
    <xf numFmtId="0" fontId="97" fillId="0" borderId="0" applyNumberForma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0" fontId="48" fillId="16" borderId="30" applyNumberForma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48" fillId="16" borderId="30" applyNumberFormat="0" applyAlignment="0" applyProtection="0"/>
    <xf numFmtId="9" fontId="26" fillId="0" borderId="0" applyFont="0" applyFill="0" applyBorder="0" applyAlignment="0" applyProtection="0"/>
    <xf numFmtId="0" fontId="1" fillId="0" borderId="0"/>
    <xf numFmtId="0" fontId="1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31" borderId="37" applyNumberFormat="0" applyFont="0" applyAlignment="0" applyProtection="0"/>
    <xf numFmtId="9" fontId="12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6" fillId="0" borderId="0"/>
    <xf numFmtId="0" fontId="48" fillId="16" borderId="30" applyNumberFormat="0" applyAlignment="0" applyProtection="0"/>
    <xf numFmtId="0" fontId="26" fillId="0" borderId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4" fontId="35" fillId="0" borderId="0" applyFont="0" applyFill="0" applyBorder="0" applyAlignment="0" applyProtection="0"/>
    <xf numFmtId="184" fontId="35" fillId="0" borderId="0" applyFont="0" applyFill="0" applyBorder="0" applyAlignment="0" applyProtection="0"/>
    <xf numFmtId="179" fontId="35" fillId="0" borderId="0" applyFont="0" applyFill="0" applyBorder="0" applyAlignment="0" applyProtection="0"/>
    <xf numFmtId="179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2" fontId="35" fillId="0" borderId="0" applyFont="0" applyFill="0" applyBorder="0" applyAlignment="0" applyProtection="0"/>
    <xf numFmtId="182" fontId="35" fillId="0" borderId="0" applyFont="0" applyFill="0" applyBorder="0" applyAlignment="0" applyProtection="0"/>
    <xf numFmtId="38" fontId="35" fillId="10" borderId="0" applyNumberFormat="0" applyFont="0" applyAlignment="0" applyProtection="0"/>
    <xf numFmtId="38" fontId="35" fillId="10" borderId="0" applyNumberFormat="0" applyFont="0" applyAlignment="0" applyProtection="0"/>
    <xf numFmtId="178" fontId="35" fillId="0" borderId="0" applyFont="0" applyFill="0" applyBorder="0" applyAlignment="0" applyProtection="0"/>
    <xf numFmtId="178" fontId="35" fillId="0" borderId="0" applyFont="0" applyFill="0" applyBorder="0" applyAlignment="0" applyProtection="0"/>
    <xf numFmtId="185" fontId="35" fillId="0" borderId="0" applyFont="0" applyFill="0" applyBorder="0" applyProtection="0">
      <alignment horizontal="right"/>
    </xf>
    <xf numFmtId="185" fontId="35" fillId="0" borderId="0" applyFont="0" applyFill="0" applyBorder="0" applyProtection="0">
      <alignment horizontal="right"/>
    </xf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4" fontId="35" fillId="0" borderId="0" applyFont="0" applyFill="0" applyBorder="0" applyAlignment="0" applyProtection="0"/>
    <xf numFmtId="6" fontId="99" fillId="0" borderId="0">
      <protection locked="0"/>
    </xf>
    <xf numFmtId="188" fontId="16" fillId="0" borderId="0" applyFont="0" applyFill="0" applyBorder="0" applyAlignment="0" applyProtection="0"/>
    <xf numFmtId="189" fontId="12" fillId="0" borderId="0">
      <protection locked="0"/>
    </xf>
    <xf numFmtId="190" fontId="12" fillId="0" borderId="0">
      <protection locked="0"/>
    </xf>
    <xf numFmtId="190" fontId="12" fillId="0" borderId="0"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8" fillId="16" borderId="30" applyNumberFormat="0" applyAlignment="0" applyProtection="0"/>
    <xf numFmtId="0" fontId="48" fillId="16" borderId="30" applyNumberFormat="0" applyAlignment="0" applyProtection="0"/>
    <xf numFmtId="0" fontId="48" fillId="16" borderId="30" applyNumberFormat="0" applyAlignment="0" applyProtection="0"/>
    <xf numFmtId="0" fontId="48" fillId="16" borderId="30" applyNumberFormat="0" applyAlignment="0" applyProtection="0"/>
    <xf numFmtId="0" fontId="48" fillId="16" borderId="30" applyNumberFormat="0" applyAlignment="0" applyProtection="0"/>
    <xf numFmtId="0" fontId="48" fillId="16" borderId="30" applyNumberFormat="0" applyAlignment="0" applyProtection="0"/>
    <xf numFmtId="0" fontId="48" fillId="16" borderId="30" applyNumberFormat="0" applyAlignment="0" applyProtection="0"/>
    <xf numFmtId="0" fontId="48" fillId="16" borderId="30" applyNumberFormat="0" applyAlignment="0" applyProtection="0"/>
    <xf numFmtId="0" fontId="48" fillId="16" borderId="30" applyNumberFormat="0" applyAlignment="0" applyProtection="0"/>
    <xf numFmtId="0" fontId="48" fillId="16" borderId="30" applyNumberFormat="0" applyAlignment="0" applyProtection="0"/>
    <xf numFmtId="0" fontId="48" fillId="16" borderId="30" applyNumberFormat="0" applyAlignment="0" applyProtection="0"/>
    <xf numFmtId="0" fontId="48" fillId="16" borderId="30" applyNumberFormat="0" applyAlignment="0" applyProtection="0"/>
    <xf numFmtId="0" fontId="48" fillId="16" borderId="30" applyNumberFormat="0" applyAlignment="0" applyProtection="0"/>
    <xf numFmtId="0" fontId="48" fillId="16" borderId="30" applyNumberFormat="0" applyAlignment="0" applyProtection="0"/>
    <xf numFmtId="0" fontId="1" fillId="0" borderId="0"/>
    <xf numFmtId="0" fontId="12" fillId="31" borderId="37" applyNumberFormat="0" applyFont="0" applyAlignment="0" applyProtection="0"/>
    <xf numFmtId="10" fontId="12" fillId="0" borderId="0" applyFont="0" applyFill="0" applyBorder="0" applyAlignment="0" applyProtection="0"/>
    <xf numFmtId="0" fontId="31" fillId="0" borderId="0" applyNumberFormat="0" applyFont="0" applyFill="0" applyBorder="0" applyAlignment="0" applyProtection="0">
      <alignment horizontal="left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15" fontId="31" fillId="0" borderId="0" applyFont="0" applyFill="0" applyBorder="0" applyAlignment="0" applyProtection="0"/>
    <xf numFmtId="15" fontId="31" fillId="0" borderId="0" applyFont="0" applyFill="0" applyBorder="0" applyAlignment="0" applyProtection="0"/>
    <xf numFmtId="15" fontId="31" fillId="0" borderId="0" applyFont="0" applyFill="0" applyBorder="0" applyAlignment="0" applyProtection="0"/>
    <xf numFmtId="15" fontId="31" fillId="0" borderId="0" applyFont="0" applyFill="0" applyBorder="0" applyAlignment="0" applyProtection="0"/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32" fillId="0" borderId="19">
      <alignment horizontal="center"/>
    </xf>
    <xf numFmtId="0" fontId="32" fillId="0" borderId="19">
      <alignment horizontal="center"/>
    </xf>
    <xf numFmtId="0" fontId="32" fillId="0" borderId="19">
      <alignment horizontal="center"/>
    </xf>
    <xf numFmtId="0" fontId="32" fillId="0" borderId="19">
      <alignment horizontal="center"/>
    </xf>
    <xf numFmtId="0" fontId="32" fillId="0" borderId="19">
      <alignment horizontal="center"/>
    </xf>
    <xf numFmtId="0" fontId="32" fillId="0" borderId="19">
      <alignment horizontal="center"/>
    </xf>
    <xf numFmtId="0" fontId="32" fillId="0" borderId="19">
      <alignment horizontal="center"/>
    </xf>
    <xf numFmtId="0" fontId="32" fillId="0" borderId="19">
      <alignment horizontal="center"/>
    </xf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31" fillId="7" borderId="0" applyNumberFormat="0" applyFont="0" applyBorder="0" applyAlignment="0" applyProtection="0"/>
    <xf numFmtId="0" fontId="31" fillId="7" borderId="0" applyNumberFormat="0" applyFont="0" applyBorder="0" applyAlignment="0" applyProtection="0"/>
    <xf numFmtId="0" fontId="31" fillId="7" borderId="0" applyNumberFormat="0" applyFont="0" applyBorder="0" applyAlignment="0" applyProtection="0"/>
    <xf numFmtId="0" fontId="31" fillId="7" borderId="0" applyNumberFormat="0" applyFont="0" applyBorder="0" applyAlignment="0" applyProtection="0"/>
    <xf numFmtId="0" fontId="31" fillId="7" borderId="0" applyNumberFormat="0" applyFont="0" applyBorder="0" applyAlignment="0" applyProtection="0"/>
    <xf numFmtId="0" fontId="31" fillId="7" borderId="0" applyNumberFormat="0" applyFont="0" applyBorder="0" applyAlignment="0" applyProtection="0"/>
    <xf numFmtId="0" fontId="12" fillId="0" borderId="0" applyNumberFormat="0" applyFill="0" applyBorder="0" applyProtection="0">
      <alignment horizontal="right" wrapText="1"/>
    </xf>
    <xf numFmtId="192" fontId="12" fillId="0" borderId="0" applyFill="0" applyBorder="0" applyAlignment="0" applyProtection="0">
      <alignment wrapText="1"/>
    </xf>
    <xf numFmtId="0" fontId="35" fillId="0" borderId="10" applyFill="0" applyBorder="0" applyProtection="0">
      <alignment horizontal="left" vertical="top"/>
    </xf>
    <xf numFmtId="0" fontId="35" fillId="0" borderId="10" applyFill="0" applyBorder="0" applyProtection="0">
      <alignment horizontal="left" vertical="top"/>
    </xf>
    <xf numFmtId="0" fontId="35" fillId="0" borderId="10" applyFill="0" applyBorder="0" applyProtection="0">
      <alignment horizontal="left" vertical="top"/>
    </xf>
    <xf numFmtId="0" fontId="54" fillId="0" borderId="0" applyNumberFormat="0" applyFill="0" applyBorder="0" applyAlignment="0" applyProtection="0"/>
    <xf numFmtId="0" fontId="48" fillId="16" borderId="30" applyNumberFormat="0" applyAlignment="0" applyProtection="0"/>
    <xf numFmtId="0" fontId="48" fillId="16" borderId="30" applyNumberFormat="0" applyAlignment="0" applyProtection="0"/>
    <xf numFmtId="0" fontId="26" fillId="0" borderId="0"/>
    <xf numFmtId="0" fontId="48" fillId="16" borderId="30" applyNumberFormat="0" applyAlignment="0" applyProtection="0"/>
    <xf numFmtId="0" fontId="26" fillId="0" borderId="0"/>
    <xf numFmtId="9" fontId="26" fillId="0" borderId="0" applyFont="0" applyFill="0" applyBorder="0" applyAlignment="0" applyProtection="0"/>
    <xf numFmtId="0" fontId="48" fillId="16" borderId="30" applyNumberFormat="0" applyAlignment="0" applyProtection="0"/>
    <xf numFmtId="0" fontId="48" fillId="16" borderId="30" applyNumberFormat="0" applyAlignment="0" applyProtection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48" fillId="16" borderId="30" applyNumberFormat="0" applyAlignment="0" applyProtection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48" fillId="16" borderId="30" applyNumberFormat="0" applyAlignment="0" applyProtection="0"/>
    <xf numFmtId="0" fontId="12" fillId="0" borderId="0"/>
    <xf numFmtId="43" fontId="1" fillId="0" borderId="0" applyFont="0" applyFill="0" applyBorder="0" applyAlignment="0" applyProtection="0"/>
    <xf numFmtId="0" fontId="1" fillId="0" borderId="0"/>
    <xf numFmtId="9" fontId="12" fillId="0" borderId="0" applyFont="0" applyFill="0" applyBorder="0" applyAlignment="0" applyProtection="0"/>
    <xf numFmtId="0" fontId="12" fillId="0" borderId="0"/>
    <xf numFmtId="44" fontId="26" fillId="0" borderId="0" applyFont="0" applyFill="0" applyBorder="0" applyAlignment="0" applyProtection="0"/>
    <xf numFmtId="0" fontId="12" fillId="31" borderId="37" applyNumberFormat="0" applyFont="0" applyAlignment="0" applyProtection="0"/>
    <xf numFmtId="14" fontId="35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2" fillId="31" borderId="37" applyNumberFormat="0" applyFont="0" applyAlignment="0" applyProtection="0"/>
    <xf numFmtId="0" fontId="26" fillId="0" borderId="0"/>
    <xf numFmtId="44" fontId="26" fillId="0" borderId="0" applyFont="0" applyFill="0" applyBorder="0" applyAlignment="0" applyProtection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8" fontId="16" fillId="0" borderId="0" applyFont="0" applyFill="0" applyBorder="0" applyAlignment="0" applyProtection="0"/>
    <xf numFmtId="189" fontId="12" fillId="0" borderId="0">
      <protection locked="0"/>
    </xf>
    <xf numFmtId="190" fontId="12" fillId="0" borderId="0">
      <protection locked="0"/>
    </xf>
    <xf numFmtId="190" fontId="12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31" borderId="37" applyNumberFormat="0" applyFont="0" applyAlignment="0" applyProtection="0"/>
    <xf numFmtId="0" fontId="12" fillId="31" borderId="37" applyNumberFormat="0" applyFont="0" applyAlignment="0" applyProtection="0"/>
    <xf numFmtId="0" fontId="12" fillId="31" borderId="37" applyNumberFormat="0" applyFont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NumberFormat="0" applyFill="0" applyBorder="0" applyProtection="0">
      <alignment horizontal="right" wrapText="1"/>
    </xf>
    <xf numFmtId="192" fontId="12" fillId="0" borderId="0" applyFill="0" applyBorder="0" applyAlignment="0" applyProtection="0">
      <alignment wrapText="1"/>
    </xf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6" fontId="99" fillId="0" borderId="0"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" fillId="0" borderId="0"/>
    <xf numFmtId="0" fontId="26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6" fillId="0" borderId="0"/>
    <xf numFmtId="175" fontId="26" fillId="0" borderId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9" fontId="26" fillId="0" borderId="0" applyFont="0" applyFill="0" applyBorder="0" applyAlignment="0" applyProtection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48" fillId="16" borderId="30" applyNumberFormat="0" applyAlignment="0" applyProtection="0"/>
    <xf numFmtId="9" fontId="26" fillId="0" borderId="0" applyFont="0" applyFill="0" applyBorder="0" applyAlignment="0" applyProtection="0"/>
    <xf numFmtId="0" fontId="112" fillId="0" borderId="0"/>
    <xf numFmtId="9" fontId="26" fillId="0" borderId="0" applyFont="0" applyFill="0" applyBorder="0" applyAlignment="0" applyProtection="0"/>
    <xf numFmtId="0" fontId="112" fillId="0" borderId="0"/>
    <xf numFmtId="0" fontId="48" fillId="16" borderId="30" applyNumberFormat="0" applyAlignment="0" applyProtection="0"/>
    <xf numFmtId="0" fontId="48" fillId="16" borderId="30" applyNumberFormat="0" applyAlignment="0" applyProtection="0"/>
    <xf numFmtId="0" fontId="48" fillId="16" borderId="30" applyNumberFormat="0" applyAlignment="0" applyProtection="0"/>
    <xf numFmtId="0" fontId="48" fillId="16" borderId="30" applyNumberFormat="0" applyAlignment="0" applyProtection="0"/>
    <xf numFmtId="0" fontId="48" fillId="16" borderId="30" applyNumberFormat="0" applyAlignment="0" applyProtection="0"/>
    <xf numFmtId="0" fontId="48" fillId="16" borderId="30" applyNumberFormat="0" applyAlignment="0" applyProtection="0"/>
    <xf numFmtId="0" fontId="112" fillId="0" borderId="0"/>
    <xf numFmtId="0" fontId="112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12" fillId="0" borderId="0"/>
    <xf numFmtId="9" fontId="26" fillId="0" borderId="0" applyFont="0" applyFill="0" applyBorder="0" applyAlignment="0" applyProtection="0"/>
    <xf numFmtId="0" fontId="112" fillId="0" borderId="0"/>
    <xf numFmtId="0" fontId="112" fillId="0" borderId="0"/>
    <xf numFmtId="0" fontId="48" fillId="16" borderId="30" applyNumberFormat="0" applyAlignment="0" applyProtection="0"/>
    <xf numFmtId="0" fontId="48" fillId="16" borderId="30" applyNumberFormat="0" applyAlignment="0" applyProtection="0"/>
    <xf numFmtId="9" fontId="26" fillId="0" borderId="0" applyFont="0" applyFill="0" applyBorder="0" applyAlignment="0" applyProtection="0"/>
    <xf numFmtId="0" fontId="112" fillId="0" borderId="0"/>
    <xf numFmtId="9" fontId="26" fillId="0" borderId="0" applyFont="0" applyFill="0" applyBorder="0" applyAlignment="0" applyProtection="0"/>
    <xf numFmtId="0" fontId="112" fillId="0" borderId="0"/>
    <xf numFmtId="0" fontId="26" fillId="0" borderId="0"/>
    <xf numFmtId="0" fontId="26" fillId="0" borderId="0"/>
    <xf numFmtId="0" fontId="26" fillId="0" borderId="0"/>
    <xf numFmtId="0" fontId="48" fillId="16" borderId="30" applyNumberForma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12" fillId="0" borderId="0"/>
    <xf numFmtId="0" fontId="48" fillId="16" borderId="30" applyNumberFormat="0" applyAlignment="0" applyProtection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16" fillId="0" borderId="0"/>
    <xf numFmtId="0" fontId="116" fillId="0" borderId="0" applyNumberFormat="0" applyFill="0" applyBorder="0" applyAlignment="0" applyProtection="0"/>
    <xf numFmtId="0" fontId="117" fillId="0" borderId="42" applyNumberFormat="0" applyFill="0" applyAlignment="0" applyProtection="0"/>
    <xf numFmtId="0" fontId="118" fillId="0" borderId="43" applyNumberFormat="0" applyFill="0" applyAlignment="0" applyProtection="0"/>
    <xf numFmtId="0" fontId="119" fillId="0" borderId="44" applyNumberFormat="0" applyFill="0" applyAlignment="0" applyProtection="0"/>
    <xf numFmtId="0" fontId="119" fillId="0" borderId="0" applyNumberFormat="0" applyFill="0" applyBorder="0" applyAlignment="0" applyProtection="0"/>
    <xf numFmtId="0" fontId="120" fillId="39" borderId="0" applyNumberFormat="0" applyBorder="0" applyAlignment="0" applyProtection="0"/>
    <xf numFmtId="0" fontId="121" fillId="40" borderId="0" applyNumberFormat="0" applyBorder="0" applyAlignment="0" applyProtection="0"/>
    <xf numFmtId="0" fontId="122" fillId="41" borderId="0" applyNumberFormat="0" applyBorder="0" applyAlignment="0" applyProtection="0"/>
    <xf numFmtId="0" fontId="123" fillId="42" borderId="45" applyNumberFormat="0" applyAlignment="0" applyProtection="0"/>
    <xf numFmtId="0" fontId="124" fillId="43" borderId="46" applyNumberFormat="0" applyAlignment="0" applyProtection="0"/>
    <xf numFmtId="0" fontId="125" fillId="43" borderId="45" applyNumberFormat="0" applyAlignment="0" applyProtection="0"/>
    <xf numFmtId="0" fontId="126" fillId="0" borderId="47" applyNumberFormat="0" applyFill="0" applyAlignment="0" applyProtection="0"/>
    <xf numFmtId="0" fontId="127" fillId="44" borderId="48" applyNumberFormat="0" applyAlignment="0" applyProtection="0"/>
    <xf numFmtId="0" fontId="2" fillId="0" borderId="0" applyNumberFormat="0" applyFill="0" applyBorder="0" applyAlignment="0" applyProtection="0"/>
    <xf numFmtId="0" fontId="1" fillId="45" borderId="49" applyNumberFormat="0" applyFont="0" applyAlignment="0" applyProtection="0"/>
    <xf numFmtId="0" fontId="128" fillId="0" borderId="0" applyNumberFormat="0" applyFill="0" applyBorder="0" applyAlignment="0" applyProtection="0"/>
    <xf numFmtId="0" fontId="3" fillId="0" borderId="50" applyNumberFormat="0" applyFill="0" applyAlignment="0" applyProtection="0"/>
    <xf numFmtId="0" fontId="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4" fillId="57" borderId="0" applyNumberFormat="0" applyBorder="0" applyAlignment="0" applyProtection="0"/>
    <xf numFmtId="0" fontId="4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4" fillId="61" borderId="0" applyNumberFormat="0" applyBorder="0" applyAlignment="0" applyProtection="0"/>
    <xf numFmtId="0" fontId="4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4" fillId="65" borderId="0" applyNumberFormat="0" applyBorder="0" applyAlignment="0" applyProtection="0"/>
    <xf numFmtId="0" fontId="4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4" fillId="69" borderId="0" applyNumberFormat="0" applyBorder="0" applyAlignment="0" applyProtection="0"/>
    <xf numFmtId="9" fontId="26" fillId="0" borderId="0" applyFont="0" applyFill="0" applyBorder="0" applyAlignment="0" applyProtection="0"/>
    <xf numFmtId="0" fontId="48" fillId="16" borderId="30" applyNumberFormat="0" applyAlignment="0" applyProtection="0"/>
    <xf numFmtId="9" fontId="26" fillId="0" borderId="0" applyFont="0" applyFill="0" applyBorder="0" applyAlignment="0" applyProtection="0"/>
    <xf numFmtId="0" fontId="48" fillId="16" borderId="30" applyNumberFormat="0" applyAlignment="0" applyProtection="0"/>
    <xf numFmtId="0" fontId="129" fillId="0" borderId="0"/>
    <xf numFmtId="9" fontId="26" fillId="0" borderId="0" applyFont="0" applyFill="0" applyBorder="0" applyAlignment="0" applyProtection="0"/>
    <xf numFmtId="0" fontId="48" fillId="16" borderId="30" applyNumberFormat="0" applyAlignment="0" applyProtection="0"/>
    <xf numFmtId="0" fontId="129" fillId="0" borderId="0"/>
    <xf numFmtId="0" fontId="129" fillId="0" borderId="0"/>
    <xf numFmtId="9" fontId="26" fillId="0" borderId="0" applyFont="0" applyFill="0" applyBorder="0" applyAlignment="0" applyProtection="0"/>
    <xf numFmtId="0" fontId="129" fillId="0" borderId="0"/>
    <xf numFmtId="9" fontId="26" fillId="0" borderId="0" applyFont="0" applyFill="0" applyBorder="0" applyAlignment="0" applyProtection="0"/>
    <xf numFmtId="0" fontId="48" fillId="16" borderId="30" applyNumberFormat="0" applyAlignment="0" applyProtection="0"/>
    <xf numFmtId="0" fontId="129" fillId="0" borderId="0"/>
    <xf numFmtId="0" fontId="129" fillId="0" borderId="0"/>
    <xf numFmtId="9" fontId="26" fillId="0" borderId="0" applyFont="0" applyFill="0" applyBorder="0" applyAlignment="0" applyProtection="0"/>
    <xf numFmtId="0" fontId="48" fillId="16" borderId="30" applyNumberForma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48" fillId="16" borderId="30" applyNumberFormat="0" applyAlignment="0" applyProtection="0"/>
    <xf numFmtId="0" fontId="129" fillId="0" borderId="0"/>
    <xf numFmtId="0" fontId="129" fillId="0" borderId="0"/>
    <xf numFmtId="0" fontId="48" fillId="16" borderId="30" applyNumberFormat="0" applyAlignment="0" applyProtection="0"/>
    <xf numFmtId="0" fontId="48" fillId="16" borderId="30" applyNumberFormat="0" applyAlignment="0" applyProtection="0"/>
    <xf numFmtId="0" fontId="129" fillId="0" borderId="0"/>
    <xf numFmtId="9" fontId="26" fillId="0" borderId="0" applyFont="0" applyFill="0" applyBorder="0" applyAlignment="0" applyProtection="0"/>
    <xf numFmtId="0" fontId="129" fillId="0" borderId="0"/>
    <xf numFmtId="0" fontId="48" fillId="16" borderId="30" applyNumberFormat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  <xf numFmtId="0" fontId="12" fillId="0" borderId="0"/>
    <xf numFmtId="43" fontId="1" fillId="0" borderId="0" applyFont="0" applyFill="0" applyBorder="0" applyAlignment="0" applyProtection="0"/>
    <xf numFmtId="0" fontId="16" fillId="0" borderId="0"/>
    <xf numFmtId="9" fontId="1" fillId="0" borderId="0" applyFont="0" applyFill="0" applyBorder="0" applyAlignment="0" applyProtection="0"/>
    <xf numFmtId="0" fontId="16" fillId="0" borderId="0"/>
    <xf numFmtId="0" fontId="1" fillId="0" borderId="0"/>
    <xf numFmtId="0" fontId="1" fillId="0" borderId="0"/>
    <xf numFmtId="0" fontId="116" fillId="0" borderId="0" applyNumberFormat="0" applyFill="0" applyBorder="0" applyAlignment="0" applyProtection="0"/>
    <xf numFmtId="0" fontId="117" fillId="0" borderId="42" applyNumberFormat="0" applyFill="0" applyAlignment="0" applyProtection="0"/>
    <xf numFmtId="0" fontId="118" fillId="0" borderId="43" applyNumberFormat="0" applyFill="0" applyAlignment="0" applyProtection="0"/>
    <xf numFmtId="0" fontId="119" fillId="0" borderId="44" applyNumberFormat="0" applyFill="0" applyAlignment="0" applyProtection="0"/>
    <xf numFmtId="0" fontId="119" fillId="0" borderId="0" applyNumberFormat="0" applyFill="0" applyBorder="0" applyAlignment="0" applyProtection="0"/>
    <xf numFmtId="0" fontId="120" fillId="39" borderId="0" applyNumberFormat="0" applyBorder="0" applyAlignment="0" applyProtection="0"/>
    <xf numFmtId="0" fontId="121" fillId="40" borderId="0" applyNumberFormat="0" applyBorder="0" applyAlignment="0" applyProtection="0"/>
    <xf numFmtId="0" fontId="122" fillId="41" borderId="0" applyNumberFormat="0" applyBorder="0" applyAlignment="0" applyProtection="0"/>
    <xf numFmtId="0" fontId="123" fillId="42" borderId="45" applyNumberFormat="0" applyAlignment="0" applyProtection="0"/>
    <xf numFmtId="0" fontId="124" fillId="43" borderId="46" applyNumberFormat="0" applyAlignment="0" applyProtection="0"/>
    <xf numFmtId="0" fontId="125" fillId="43" borderId="45" applyNumberFormat="0" applyAlignment="0" applyProtection="0"/>
    <xf numFmtId="0" fontId="126" fillId="0" borderId="47" applyNumberFormat="0" applyFill="0" applyAlignment="0" applyProtection="0"/>
    <xf numFmtId="0" fontId="127" fillId="44" borderId="48" applyNumberFormat="0" applyAlignment="0" applyProtection="0"/>
    <xf numFmtId="0" fontId="2" fillId="0" borderId="0" applyNumberFormat="0" applyFill="0" applyBorder="0" applyAlignment="0" applyProtection="0"/>
    <xf numFmtId="0" fontId="1" fillId="45" borderId="49" applyNumberFormat="0" applyFont="0" applyAlignment="0" applyProtection="0"/>
    <xf numFmtId="0" fontId="128" fillId="0" borderId="0" applyNumberFormat="0" applyFill="0" applyBorder="0" applyAlignment="0" applyProtection="0"/>
    <xf numFmtId="0" fontId="3" fillId="0" borderId="50" applyNumberFormat="0" applyFill="0" applyAlignment="0" applyProtection="0"/>
    <xf numFmtId="0" fontId="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4" fillId="57" borderId="0" applyNumberFormat="0" applyBorder="0" applyAlignment="0" applyProtection="0"/>
    <xf numFmtId="0" fontId="4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4" fillId="61" borderId="0" applyNumberFormat="0" applyBorder="0" applyAlignment="0" applyProtection="0"/>
    <xf numFmtId="0" fontId="4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4" fillId="65" borderId="0" applyNumberFormat="0" applyBorder="0" applyAlignment="0" applyProtection="0"/>
    <xf numFmtId="0" fontId="4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4" fillId="69" borderId="0" applyNumberFormat="0" applyBorder="0" applyAlignment="0" applyProtection="0"/>
    <xf numFmtId="0" fontId="123" fillId="42" borderId="45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0" fontId="123" fillId="42" borderId="45" applyNumberFormat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4" borderId="0" applyNumberFormat="0" applyBorder="0" applyAlignment="0" applyProtection="0"/>
    <xf numFmtId="0" fontId="37" fillId="17" borderId="0" applyNumberFormat="0" applyBorder="0" applyAlignment="0" applyProtection="0"/>
    <xf numFmtId="0" fontId="37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8" borderId="0" applyNumberFormat="0" applyBorder="0" applyAlignment="0" applyProtection="0"/>
    <xf numFmtId="0" fontId="39" fillId="12" borderId="0" applyNumberFormat="0" applyBorder="0" applyAlignment="0" applyProtection="0"/>
    <xf numFmtId="0" fontId="40" fillId="29" borderId="30" applyNumberFormat="0" applyAlignment="0" applyProtection="0"/>
    <xf numFmtId="0" fontId="41" fillId="30" borderId="31" applyNumberFormat="0" applyAlignment="0" applyProtection="0"/>
    <xf numFmtId="0" fontId="42" fillId="0" borderId="0" applyNumberFormat="0" applyFill="0" applyBorder="0" applyAlignment="0" applyProtection="0"/>
    <xf numFmtId="0" fontId="43" fillId="13" borderId="0" applyNumberFormat="0" applyBorder="0" applyAlignment="0" applyProtection="0"/>
    <xf numFmtId="0" fontId="48" fillId="16" borderId="30" applyNumberFormat="0" applyAlignment="0" applyProtection="0"/>
    <xf numFmtId="0" fontId="49" fillId="0" borderId="36" applyNumberFormat="0" applyFill="0" applyAlignment="0" applyProtection="0"/>
    <xf numFmtId="0" fontId="50" fillId="10" borderId="0" applyNumberFormat="0" applyBorder="0" applyAlignment="0" applyProtection="0"/>
    <xf numFmtId="0" fontId="51" fillId="29" borderId="38" applyNumberFormat="0" applyAlignment="0" applyProtection="0"/>
    <xf numFmtId="0" fontId="53" fillId="0" borderId="39" applyNumberFormat="0" applyFill="0" applyAlignment="0" applyProtection="0"/>
    <xf numFmtId="0" fontId="48" fillId="16" borderId="30" applyNumberFormat="0" applyAlignment="0" applyProtection="0"/>
    <xf numFmtId="9" fontId="26" fillId="0" borderId="0" applyFont="0" applyFill="0" applyBorder="0" applyAlignment="0" applyProtection="0"/>
    <xf numFmtId="0" fontId="129" fillId="0" borderId="0"/>
    <xf numFmtId="0" fontId="48" fillId="16" borderId="30" applyNumberFormat="0" applyAlignment="0" applyProtection="0"/>
    <xf numFmtId="0" fontId="26" fillId="0" borderId="0"/>
    <xf numFmtId="44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8" fillId="16" borderId="30" applyNumberForma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29" fillId="0" borderId="0"/>
    <xf numFmtId="9" fontId="26" fillId="0" borderId="0" applyFont="0" applyFill="0" applyBorder="0" applyAlignment="0" applyProtection="0"/>
    <xf numFmtId="0" fontId="48" fillId="16" borderId="30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40" fillId="0" borderId="0"/>
    <xf numFmtId="0" fontId="48" fillId="16" borderId="30" applyNumberForma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48" fillId="16" borderId="30" applyNumberFormat="0" applyAlignment="0" applyProtection="0"/>
    <xf numFmtId="0" fontId="140" fillId="0" borderId="0"/>
    <xf numFmtId="0" fontId="140" fillId="0" borderId="0"/>
    <xf numFmtId="0" fontId="48" fillId="16" borderId="30" applyNumberFormat="0" applyAlignment="0" applyProtection="0"/>
    <xf numFmtId="9" fontId="2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0">
    <xf numFmtId="0" fontId="0" fillId="0" borderId="0" xfId="0"/>
    <xf numFmtId="0" fontId="0" fillId="2" borderId="0" xfId="0" applyFill="1"/>
    <xf numFmtId="0" fontId="0" fillId="0" borderId="0" xfId="0" applyFill="1"/>
    <xf numFmtId="1" fontId="6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>
      <alignment horizontal="left"/>
    </xf>
    <xf numFmtId="1" fontId="7" fillId="0" borderId="0" xfId="0" applyNumberFormat="1" applyFont="1" applyFill="1" applyAlignment="1">
      <alignment horizontal="center"/>
    </xf>
    <xf numFmtId="166" fontId="7" fillId="0" borderId="0" xfId="0" applyNumberFormat="1" applyFont="1" applyFill="1"/>
    <xf numFmtId="164" fontId="7" fillId="0" borderId="0" xfId="0" applyNumberFormat="1" applyFont="1" applyFill="1"/>
    <xf numFmtId="165" fontId="7" fillId="0" borderId="0" xfId="0" applyNumberFormat="1" applyFont="1" applyFill="1"/>
    <xf numFmtId="164" fontId="8" fillId="0" borderId="0" xfId="0" applyNumberFormat="1" applyFont="1" applyFill="1"/>
    <xf numFmtId="167" fontId="7" fillId="0" borderId="0" xfId="0" applyNumberFormat="1" applyFont="1" applyFill="1" applyAlignment="1">
      <alignment horizontal="center"/>
    </xf>
    <xf numFmtId="9" fontId="7" fillId="0" borderId="0" xfId="3" applyFont="1" applyFill="1"/>
    <xf numFmtId="169" fontId="7" fillId="0" borderId="0" xfId="3" applyNumberFormat="1" applyFont="1" applyFill="1"/>
    <xf numFmtId="166" fontId="0" fillId="0" borderId="0" xfId="0" applyNumberFormat="1" applyFill="1"/>
    <xf numFmtId="165" fontId="0" fillId="0" borderId="0" xfId="0" applyNumberFormat="1" applyFill="1"/>
    <xf numFmtId="0" fontId="17" fillId="0" borderId="0" xfId="0" applyFont="1" applyFill="1"/>
    <xf numFmtId="164" fontId="7" fillId="0" borderId="0" xfId="0" applyNumberFormat="1" applyFont="1" applyFill="1" applyAlignment="1"/>
    <xf numFmtId="167" fontId="7" fillId="0" borderId="0" xfId="0" applyNumberFormat="1" applyFont="1" applyFill="1" applyAlignment="1"/>
    <xf numFmtId="49" fontId="7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164" fontId="0" fillId="0" borderId="0" xfId="0" applyNumberFormat="1" applyFill="1"/>
    <xf numFmtId="0" fontId="16" fillId="0" borderId="0" xfId="0" applyFont="1" applyFill="1" applyAlignment="1"/>
    <xf numFmtId="0" fontId="0" fillId="0" borderId="0" xfId="0" applyFill="1" applyAlignment="1"/>
    <xf numFmtId="0" fontId="0" fillId="0" borderId="0" xfId="0" applyAlignment="1"/>
    <xf numFmtId="1" fontId="6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left"/>
    </xf>
    <xf numFmtId="37" fontId="6" fillId="0" borderId="0" xfId="0" applyNumberFormat="1" applyFont="1" applyFill="1" applyBorder="1" applyAlignment="1">
      <alignment horizontal="right" wrapText="1"/>
    </xf>
    <xf numFmtId="37" fontId="6" fillId="0" borderId="7" xfId="0" applyNumberFormat="1" applyFont="1" applyFill="1" applyBorder="1" applyAlignment="1">
      <alignment horizontal="right" wrapText="1"/>
    </xf>
    <xf numFmtId="0" fontId="22" fillId="2" borderId="8" xfId="0" applyFont="1" applyFill="1" applyBorder="1" applyAlignment="1">
      <alignment wrapText="1"/>
    </xf>
    <xf numFmtId="0" fontId="22" fillId="2" borderId="9" xfId="0" applyFont="1" applyFill="1" applyBorder="1" applyAlignment="1">
      <alignment wrapText="1"/>
    </xf>
    <xf numFmtId="0" fontId="16" fillId="0" borderId="2" xfId="0" applyFont="1" applyFill="1" applyBorder="1" applyAlignment="1">
      <alignment horizontal="right"/>
    </xf>
    <xf numFmtId="0" fontId="16" fillId="0" borderId="0" xfId="0" applyFont="1" applyFill="1" applyBorder="1" applyAlignment="1"/>
    <xf numFmtId="0" fontId="16" fillId="0" borderId="10" xfId="0" applyFont="1" applyFill="1" applyBorder="1" applyAlignment="1">
      <alignment horizontal="righ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center"/>
    </xf>
    <xf numFmtId="0" fontId="16" fillId="4" borderId="11" xfId="0" applyFont="1" applyFill="1" applyBorder="1" applyAlignment="1">
      <alignment horizontal="center"/>
    </xf>
    <xf numFmtId="0" fontId="22" fillId="2" borderId="12" xfId="0" applyFont="1" applyFill="1" applyBorder="1" applyAlignment="1">
      <alignment horizontal="center" wrapText="1"/>
    </xf>
    <xf numFmtId="0" fontId="19" fillId="0" borderId="0" xfId="0" applyFont="1" applyFill="1" applyAlignment="1"/>
    <xf numFmtId="0" fontId="19" fillId="0" borderId="0" xfId="0" applyFont="1" applyFill="1" applyBorder="1" applyAlignment="1">
      <alignment horizontal="center"/>
    </xf>
    <xf numFmtId="0" fontId="23" fillId="0" borderId="0" xfId="0" applyFont="1" applyFill="1" applyAlignment="1"/>
    <xf numFmtId="0" fontId="20" fillId="0" borderId="0" xfId="0" applyFont="1" applyFill="1" applyAlignment="1">
      <alignment horizontal="left"/>
    </xf>
    <xf numFmtId="0" fontId="21" fillId="0" borderId="0" xfId="0" applyFont="1" applyFill="1" applyBorder="1" applyAlignment="1"/>
    <xf numFmtId="0" fontId="21" fillId="0" borderId="0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center"/>
    </xf>
    <xf numFmtId="171" fontId="16" fillId="0" borderId="2" xfId="0" applyNumberFormat="1" applyFont="1" applyFill="1" applyBorder="1" applyAlignment="1"/>
    <xf numFmtId="0" fontId="16" fillId="0" borderId="4" xfId="0" applyFont="1" applyFill="1" applyBorder="1" applyAlignment="1"/>
    <xf numFmtId="1" fontId="16" fillId="0" borderId="3" xfId="0" applyNumberFormat="1" applyFont="1" applyFill="1" applyBorder="1" applyAlignment="1"/>
    <xf numFmtId="2" fontId="16" fillId="0" borderId="13" xfId="0" applyNumberFormat="1" applyFont="1" applyFill="1" applyBorder="1" applyAlignment="1"/>
    <xf numFmtId="0" fontId="16" fillId="0" borderId="2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171" fontId="16" fillId="0" borderId="10" xfId="0" applyNumberFormat="1" applyFont="1" applyFill="1" applyBorder="1" applyAlignment="1"/>
    <xf numFmtId="1" fontId="16" fillId="0" borderId="7" xfId="0" applyNumberFormat="1" applyFont="1" applyFill="1" applyBorder="1" applyAlignment="1"/>
    <xf numFmtId="2" fontId="16" fillId="0" borderId="14" xfId="0" applyNumberFormat="1" applyFont="1" applyFill="1" applyBorder="1" applyAlignment="1"/>
    <xf numFmtId="0" fontId="16" fillId="0" borderId="10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171" fontId="16" fillId="0" borderId="5" xfId="0" applyNumberFormat="1" applyFont="1" applyFill="1" applyBorder="1" applyAlignment="1"/>
    <xf numFmtId="0" fontId="16" fillId="0" borderId="1" xfId="0" applyFont="1" applyFill="1" applyBorder="1" applyAlignment="1"/>
    <xf numFmtId="1" fontId="16" fillId="0" borderId="6" xfId="0" applyNumberFormat="1" applyFont="1" applyFill="1" applyBorder="1" applyAlignment="1"/>
    <xf numFmtId="2" fontId="16" fillId="0" borderId="15" xfId="0" applyNumberFormat="1" applyFont="1" applyFill="1" applyBorder="1" applyAlignment="1"/>
    <xf numFmtId="168" fontId="0" fillId="0" borderId="0" xfId="0" applyNumberFormat="1"/>
    <xf numFmtId="168" fontId="0" fillId="0" borderId="0" xfId="1" applyNumberFormat="1" applyFont="1"/>
    <xf numFmtId="0" fontId="3" fillId="0" borderId="0" xfId="0" applyFont="1"/>
    <xf numFmtId="0" fontId="5" fillId="0" borderId="0" xfId="0" applyFont="1" applyFill="1" applyAlignment="1"/>
    <xf numFmtId="164" fontId="6" fillId="0" borderId="0" xfId="0" applyNumberFormat="1" applyFont="1" applyFill="1" applyAlignment="1"/>
    <xf numFmtId="0" fontId="10" fillId="0" borderId="0" xfId="4" applyFont="1" applyFill="1" applyAlignment="1" applyProtection="1"/>
    <xf numFmtId="0" fontId="11" fillId="0" borderId="0" xfId="0" applyFont="1" applyFill="1" applyAlignment="1"/>
    <xf numFmtId="0" fontId="15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center" wrapText="1"/>
    </xf>
    <xf numFmtId="0" fontId="16" fillId="0" borderId="8" xfId="0" applyFont="1" applyFill="1" applyBorder="1" applyAlignment="1">
      <alignment horizontal="center" wrapText="1"/>
    </xf>
    <xf numFmtId="0" fontId="16" fillId="0" borderId="9" xfId="0" applyFont="1" applyFill="1" applyBorder="1" applyAlignment="1">
      <alignment horizontal="center" wrapText="1"/>
    </xf>
    <xf numFmtId="0" fontId="16" fillId="0" borderId="12" xfId="0" applyFont="1" applyFill="1" applyBorder="1" applyAlignment="1">
      <alignment horizontal="center" wrapText="1"/>
    </xf>
    <xf numFmtId="0" fontId="16" fillId="0" borderId="11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wrapText="1"/>
    </xf>
    <xf numFmtId="0" fontId="27" fillId="0" borderId="0" xfId="0" applyFont="1"/>
    <xf numFmtId="0" fontId="28" fillId="0" borderId="0" xfId="0" applyFont="1"/>
    <xf numFmtId="0" fontId="30" fillId="4" borderId="11" xfId="0" applyFont="1" applyFill="1" applyBorder="1" applyAlignment="1">
      <alignment horizontal="center"/>
    </xf>
    <xf numFmtId="0" fontId="13" fillId="0" borderId="0" xfId="4" applyFont="1" applyFill="1" applyBorder="1" applyAlignment="1" applyProtection="1">
      <alignment horizontal="center"/>
    </xf>
    <xf numFmtId="0" fontId="14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3" fillId="0" borderId="0" xfId="0" applyFont="1"/>
    <xf numFmtId="43" fontId="33" fillId="0" borderId="0" xfId="1" applyFont="1"/>
    <xf numFmtId="43" fontId="0" fillId="0" borderId="0" xfId="1" applyFont="1"/>
    <xf numFmtId="43" fontId="3" fillId="0" borderId="0" xfId="1" applyFont="1" applyAlignment="1">
      <alignment wrapText="1"/>
    </xf>
    <xf numFmtId="43" fontId="0" fillId="6" borderId="25" xfId="1" applyFont="1" applyFill="1" applyBorder="1"/>
    <xf numFmtId="43" fontId="0" fillId="6" borderId="26" xfId="1" applyFont="1" applyFill="1" applyBorder="1"/>
    <xf numFmtId="43" fontId="0" fillId="6" borderId="27" xfId="1" applyFont="1" applyFill="1" applyBorder="1"/>
    <xf numFmtId="9" fontId="0" fillId="6" borderId="20" xfId="3" applyFont="1" applyFill="1" applyBorder="1"/>
    <xf numFmtId="9" fontId="0" fillId="6" borderId="21" xfId="3" applyFont="1" applyFill="1" applyBorder="1"/>
    <xf numFmtId="9" fontId="0" fillId="6" borderId="22" xfId="3" applyFont="1" applyFill="1" applyBorder="1"/>
    <xf numFmtId="9" fontId="0" fillId="6" borderId="17" xfId="3" applyFont="1" applyFill="1" applyBorder="1"/>
    <xf numFmtId="9" fontId="0" fillId="6" borderId="0" xfId="3" applyFont="1" applyFill="1" applyBorder="1"/>
    <xf numFmtId="9" fontId="0" fillId="6" borderId="18" xfId="3" applyFont="1" applyFill="1" applyBorder="1"/>
    <xf numFmtId="9" fontId="0" fillId="6" borderId="23" xfId="3" applyFont="1" applyFill="1" applyBorder="1"/>
    <xf numFmtId="9" fontId="0" fillId="6" borderId="19" xfId="3" applyFont="1" applyFill="1" applyBorder="1"/>
    <xf numFmtId="9" fontId="0" fillId="6" borderId="24" xfId="3" applyFont="1" applyFill="1" applyBorder="1"/>
    <xf numFmtId="9" fontId="0" fillId="0" borderId="0" xfId="3" applyFont="1"/>
    <xf numFmtId="0" fontId="7" fillId="0" borderId="0" xfId="0" applyFont="1" applyBorder="1"/>
    <xf numFmtId="0" fontId="7" fillId="0" borderId="0" xfId="0" applyFont="1"/>
    <xf numFmtId="1" fontId="7" fillId="4" borderId="11" xfId="0" applyNumberFormat="1" applyFont="1" applyFill="1" applyBorder="1" applyAlignment="1">
      <alignment horizontal="left"/>
    </xf>
    <xf numFmtId="44" fontId="7" fillId="4" borderId="11" xfId="2" applyFont="1" applyFill="1" applyBorder="1" applyAlignment="1">
      <alignment horizontal="left"/>
    </xf>
    <xf numFmtId="2" fontId="16" fillId="4" borderId="11" xfId="0" applyNumberFormat="1" applyFont="1" applyFill="1" applyBorder="1" applyAlignment="1">
      <alignment horizontal="center"/>
    </xf>
    <xf numFmtId="9" fontId="0" fillId="0" borderId="0" xfId="0" applyNumberFormat="1"/>
    <xf numFmtId="168" fontId="0" fillId="0" borderId="0" xfId="1" applyNumberFormat="1" applyFont="1"/>
    <xf numFmtId="175" fontId="3" fillId="0" borderId="3" xfId="0" applyNumberFormat="1" applyFont="1" applyBorder="1" applyAlignment="1">
      <alignment horizontal="center"/>
    </xf>
    <xf numFmtId="4" fontId="0" fillId="4" borderId="11" xfId="0" applyNumberFormat="1" applyFill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0" xfId="0"/>
    <xf numFmtId="0" fontId="0" fillId="0" borderId="0" xfId="0" applyFill="1"/>
    <xf numFmtId="175" fontId="3" fillId="0" borderId="2" xfId="0" applyNumberFormat="1" applyFont="1" applyBorder="1" applyAlignment="1">
      <alignment horizontal="center"/>
    </xf>
    <xf numFmtId="164" fontId="7" fillId="0" borderId="0" xfId="0" applyNumberFormat="1" applyFont="1" applyFill="1" applyAlignment="1">
      <alignment horizontal="center" vertical="center"/>
    </xf>
    <xf numFmtId="170" fontId="7" fillId="0" borderId="0" xfId="1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7" xfId="3" applyNumberFormat="1" applyFont="1" applyBorder="1"/>
    <xf numFmtId="0" fontId="0" fillId="6" borderId="13" xfId="0" applyFill="1" applyBorder="1"/>
    <xf numFmtId="0" fontId="0" fillId="6" borderId="14" xfId="0" applyFill="1" applyBorder="1"/>
    <xf numFmtId="0" fontId="3" fillId="35" borderId="0" xfId="0" applyNumberFormat="1" applyFont="1" applyFill="1" applyBorder="1" applyAlignment="1">
      <alignment horizontal="center"/>
    </xf>
    <xf numFmtId="0" fontId="3" fillId="35" borderId="0" xfId="0" applyFont="1" applyFill="1" applyBorder="1" applyAlignment="1">
      <alignment horizontal="center"/>
    </xf>
    <xf numFmtId="37" fontId="0" fillId="35" borderId="0" xfId="0" applyNumberFormat="1" applyFill="1"/>
    <xf numFmtId="0" fontId="2" fillId="0" borderId="0" xfId="0" applyFont="1" applyAlignment="1"/>
    <xf numFmtId="0" fontId="3" fillId="35" borderId="0" xfId="0" applyFont="1" applyFill="1" applyAlignment="1"/>
    <xf numFmtId="43" fontId="0" fillId="0" borderId="7" xfId="0" applyNumberFormat="1" applyFill="1" applyBorder="1"/>
    <xf numFmtId="168" fontId="0" fillId="0" borderId="0" xfId="0" applyNumberFormat="1" applyFill="1"/>
    <xf numFmtId="0" fontId="113" fillId="0" borderId="0" xfId="0" applyFont="1" applyFill="1" applyAlignment="1">
      <alignment horizontal="center" vertical="center"/>
    </xf>
    <xf numFmtId="43" fontId="0" fillId="0" borderId="0" xfId="1" applyFont="1"/>
    <xf numFmtId="0" fontId="3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wrapText="1"/>
    </xf>
    <xf numFmtId="168" fontId="0" fillId="0" borderId="0" xfId="1" applyNumberFormat="1" applyFont="1"/>
    <xf numFmtId="170" fontId="0" fillId="0" borderId="0" xfId="1" applyNumberFormat="1" applyFont="1"/>
    <xf numFmtId="167" fontId="0" fillId="0" borderId="0" xfId="1" applyNumberFormat="1" applyFont="1"/>
    <xf numFmtId="170" fontId="0" fillId="0" borderId="0" xfId="0" applyNumberFormat="1"/>
    <xf numFmtId="43" fontId="0" fillId="0" borderId="0" xfId="0" applyNumberFormat="1"/>
    <xf numFmtId="0" fontId="0" fillId="0" borderId="0" xfId="0" applyFill="1"/>
    <xf numFmtId="0" fontId="110" fillId="0" borderId="0" xfId="0" applyFont="1" applyFill="1"/>
    <xf numFmtId="168" fontId="0" fillId="0" borderId="0" xfId="1" applyNumberFormat="1" applyFont="1" applyFill="1"/>
    <xf numFmtId="193" fontId="0" fillId="0" borderId="0" xfId="0" applyNumberFormat="1"/>
    <xf numFmtId="170" fontId="0" fillId="0" borderId="0" xfId="1" applyNumberFormat="1" applyFont="1" applyFill="1"/>
    <xf numFmtId="167" fontId="0" fillId="0" borderId="0" xfId="1" applyNumberFormat="1" applyFont="1" applyFill="1"/>
    <xf numFmtId="0" fontId="0" fillId="0" borderId="0" xfId="0"/>
    <xf numFmtId="0" fontId="111" fillId="0" borderId="0" xfId="0" applyFont="1" applyFill="1"/>
    <xf numFmtId="0" fontId="9" fillId="0" borderId="0" xfId="4" applyAlignment="1" applyProtection="1"/>
    <xf numFmtId="0" fontId="0" fillId="0" borderId="0" xfId="0"/>
    <xf numFmtId="0" fontId="111" fillId="0" borderId="0" xfId="0" applyFont="1" applyFill="1"/>
    <xf numFmtId="0" fontId="9" fillId="0" borderId="0" xfId="4" applyAlignment="1" applyProtection="1"/>
    <xf numFmtId="194" fontId="0" fillId="0" borderId="0" xfId="2" applyNumberFormat="1" applyFont="1" applyFill="1"/>
    <xf numFmtId="194" fontId="0" fillId="0" borderId="0" xfId="2" applyNumberFormat="1" applyFont="1"/>
    <xf numFmtId="0" fontId="0" fillId="0" borderId="0" xfId="0"/>
    <xf numFmtId="170" fontId="0" fillId="0" borderId="0" xfId="1" applyNumberFormat="1" applyFont="1"/>
    <xf numFmtId="167" fontId="0" fillId="0" borderId="0" xfId="1" applyNumberFormat="1" applyFont="1"/>
    <xf numFmtId="43" fontId="0" fillId="0" borderId="0" xfId="0" applyNumberFormat="1"/>
    <xf numFmtId="0" fontId="0" fillId="0" borderId="0" xfId="0" applyFill="1"/>
    <xf numFmtId="0" fontId="110" fillId="0" borderId="0" xfId="0" applyFont="1" applyFill="1"/>
    <xf numFmtId="0" fontId="111" fillId="0" borderId="0" xfId="0" applyFont="1" applyFill="1"/>
    <xf numFmtId="193" fontId="0" fillId="0" borderId="0" xfId="0" applyNumberFormat="1"/>
    <xf numFmtId="170" fontId="0" fillId="0" borderId="0" xfId="1" applyNumberFormat="1" applyFont="1" applyFill="1"/>
    <xf numFmtId="167" fontId="0" fillId="0" borderId="0" xfId="1" applyNumberFormat="1" applyFont="1" applyFill="1"/>
    <xf numFmtId="0" fontId="9" fillId="0" borderId="0" xfId="4" applyAlignment="1" applyProtection="1"/>
    <xf numFmtId="0" fontId="0" fillId="0" borderId="0" xfId="0"/>
    <xf numFmtId="0" fontId="0" fillId="2" borderId="0" xfId="0" applyFill="1"/>
    <xf numFmtId="0" fontId="0" fillId="0" borderId="0" xfId="0" applyFill="1"/>
    <xf numFmtId="1" fontId="6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>
      <alignment horizontal="left"/>
    </xf>
    <xf numFmtId="1" fontId="7" fillId="0" borderId="0" xfId="0" applyNumberFormat="1" applyFont="1" applyFill="1" applyAlignment="1">
      <alignment horizontal="center"/>
    </xf>
    <xf numFmtId="166" fontId="7" fillId="0" borderId="0" xfId="0" applyNumberFormat="1" applyFont="1" applyFill="1"/>
    <xf numFmtId="164" fontId="7" fillId="0" borderId="0" xfId="0" applyNumberFormat="1" applyFont="1" applyFill="1"/>
    <xf numFmtId="165" fontId="7" fillId="0" borderId="0" xfId="0" applyNumberFormat="1" applyFont="1" applyFill="1"/>
    <xf numFmtId="164" fontId="8" fillId="0" borderId="0" xfId="0" applyNumberFormat="1" applyFont="1" applyFill="1"/>
    <xf numFmtId="167" fontId="7" fillId="0" borderId="0" xfId="0" applyNumberFormat="1" applyFont="1" applyFill="1" applyAlignment="1">
      <alignment horizontal="center"/>
    </xf>
    <xf numFmtId="9" fontId="7" fillId="0" borderId="0" xfId="3" applyFont="1" applyFill="1"/>
    <xf numFmtId="169" fontId="7" fillId="0" borderId="0" xfId="3" applyNumberFormat="1" applyFont="1" applyFill="1"/>
    <xf numFmtId="166" fontId="0" fillId="0" borderId="0" xfId="0" applyNumberFormat="1" applyFill="1"/>
    <xf numFmtId="165" fontId="0" fillId="0" borderId="0" xfId="0" applyNumberFormat="1" applyFill="1"/>
    <xf numFmtId="0" fontId="17" fillId="0" borderId="0" xfId="0" applyFont="1" applyFill="1"/>
    <xf numFmtId="164" fontId="7" fillId="0" borderId="0" xfId="0" applyNumberFormat="1" applyFont="1" applyFill="1" applyAlignment="1"/>
    <xf numFmtId="167" fontId="7" fillId="0" borderId="0" xfId="0" applyNumberFormat="1" applyFont="1" applyFill="1" applyAlignment="1"/>
    <xf numFmtId="0" fontId="0" fillId="0" borderId="0" xfId="0" applyFill="1" applyAlignment="1">
      <alignment horizontal="left"/>
    </xf>
    <xf numFmtId="164" fontId="0" fillId="0" borderId="0" xfId="0" applyNumberFormat="1" applyFill="1"/>
    <xf numFmtId="0" fontId="16" fillId="0" borderId="0" xfId="0" applyFont="1" applyFill="1" applyAlignment="1"/>
    <xf numFmtId="0" fontId="0" fillId="0" borderId="0" xfId="0" applyFill="1" applyAlignment="1"/>
    <xf numFmtId="0" fontId="0" fillId="0" borderId="0" xfId="0" applyAlignment="1"/>
    <xf numFmtId="1" fontId="6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left"/>
    </xf>
    <xf numFmtId="37" fontId="6" fillId="0" borderId="0" xfId="0" applyNumberFormat="1" applyFont="1" applyFill="1" applyBorder="1" applyAlignment="1">
      <alignment horizontal="right" wrapText="1"/>
    </xf>
    <xf numFmtId="37" fontId="6" fillId="0" borderId="7" xfId="0" applyNumberFormat="1" applyFont="1" applyFill="1" applyBorder="1" applyAlignment="1">
      <alignment horizontal="right" wrapText="1"/>
    </xf>
    <xf numFmtId="168" fontId="0" fillId="0" borderId="0" xfId="0" applyNumberFormat="1"/>
    <xf numFmtId="44" fontId="0" fillId="0" borderId="0" xfId="2" applyNumberFormat="1" applyFont="1"/>
    <xf numFmtId="173" fontId="0" fillId="0" borderId="0" xfId="2" applyNumberFormat="1" applyFont="1"/>
    <xf numFmtId="44" fontId="0" fillId="0" borderId="1" xfId="2" applyNumberFormat="1" applyFont="1" applyBorder="1"/>
    <xf numFmtId="173" fontId="0" fillId="0" borderId="1" xfId="2" applyNumberFormat="1" applyFont="1" applyBorder="1"/>
    <xf numFmtId="0" fontId="3" fillId="0" borderId="0" xfId="0" applyFont="1"/>
    <xf numFmtId="170" fontId="0" fillId="0" borderId="0" xfId="1" applyNumberFormat="1" applyFont="1"/>
    <xf numFmtId="170" fontId="0" fillId="0" borderId="0" xfId="0" applyNumberFormat="1"/>
    <xf numFmtId="175" fontId="3" fillId="0" borderId="2" xfId="0" applyNumberFormat="1" applyFont="1" applyBorder="1" applyAlignment="1">
      <alignment horizontal="center"/>
    </xf>
    <xf numFmtId="164" fontId="7" fillId="0" borderId="0" xfId="0" applyNumberFormat="1" applyFont="1" applyFill="1" applyAlignment="1">
      <alignment horizontal="center" vertical="center"/>
    </xf>
    <xf numFmtId="170" fontId="7" fillId="0" borderId="0" xfId="1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wrapText="1"/>
    </xf>
    <xf numFmtId="0" fontId="3" fillId="35" borderId="0" xfId="0" applyNumberFormat="1" applyFont="1" applyFill="1" applyBorder="1" applyAlignment="1">
      <alignment horizontal="center"/>
    </xf>
    <xf numFmtId="0" fontId="3" fillId="35" borderId="0" xfId="0" applyFont="1" applyFill="1" applyBorder="1" applyAlignment="1">
      <alignment horizontal="center"/>
    </xf>
    <xf numFmtId="37" fontId="0" fillId="35" borderId="0" xfId="0" applyNumberFormat="1" applyFill="1"/>
    <xf numFmtId="0" fontId="2" fillId="0" borderId="0" xfId="0" applyFont="1" applyAlignment="1"/>
    <xf numFmtId="0" fontId="3" fillId="35" borderId="0" xfId="0" applyFont="1" applyFill="1" applyAlignment="1"/>
    <xf numFmtId="0" fontId="0" fillId="0" borderId="0" xfId="0"/>
    <xf numFmtId="0" fontId="0" fillId="0" borderId="0" xfId="0" applyFill="1"/>
    <xf numFmtId="0" fontId="3" fillId="0" borderId="0" xfId="0" applyFont="1" applyAlignment="1">
      <alignment horizontal="right"/>
    </xf>
    <xf numFmtId="0" fontId="0" fillId="36" borderId="0" xfId="0" applyFill="1"/>
    <xf numFmtId="0" fontId="0" fillId="37" borderId="0" xfId="0" applyFill="1"/>
    <xf numFmtId="1" fontId="7" fillId="0" borderId="0" xfId="0" applyNumberFormat="1" applyFont="1" applyFill="1"/>
    <xf numFmtId="1" fontId="8" fillId="0" borderId="0" xfId="0" applyNumberFormat="1" applyFont="1" applyFill="1"/>
    <xf numFmtId="1" fontId="7" fillId="0" borderId="0" xfId="0" applyNumberFormat="1" applyFont="1" applyFill="1" applyAlignment="1">
      <alignment horizontal="center" vertical="center"/>
    </xf>
    <xf numFmtId="1" fontId="7" fillId="0" borderId="0" xfId="1" applyNumberFormat="1" applyFont="1" applyFill="1" applyAlignment="1">
      <alignment horizontal="center" vertical="center"/>
    </xf>
    <xf numFmtId="1" fontId="0" fillId="0" borderId="0" xfId="0" applyNumberFormat="1" applyFill="1"/>
    <xf numFmtId="1" fontId="7" fillId="0" borderId="0" xfId="0" applyNumberFormat="1" applyFont="1" applyFill="1" applyAlignment="1"/>
    <xf numFmtId="0" fontId="3" fillId="0" borderId="0" xfId="0" applyFont="1" applyAlignment="1">
      <alignment horizontal="left"/>
    </xf>
    <xf numFmtId="0" fontId="14" fillId="0" borderId="0" xfId="0" applyFont="1" applyFill="1" applyAlignment="1">
      <alignment horizontal="center" vertical="center"/>
    </xf>
    <xf numFmtId="0" fontId="0" fillId="36" borderId="0" xfId="0" applyFont="1" applyFill="1" applyAlignment="1">
      <alignment horizontal="center" vertical="center"/>
    </xf>
    <xf numFmtId="0" fontId="0" fillId="36" borderId="0" xfId="0" applyFont="1" applyFill="1" applyAlignment="1">
      <alignment horizontal="center" vertical="center" wrapText="1"/>
    </xf>
    <xf numFmtId="175" fontId="0" fillId="36" borderId="0" xfId="0" applyNumberFormat="1" applyFont="1" applyFill="1" applyAlignment="1">
      <alignment horizontal="center" vertical="center" wrapText="1"/>
    </xf>
    <xf numFmtId="0" fontId="0" fillId="37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0" fillId="0" borderId="0" xfId="2" applyNumberFormat="1" applyFont="1"/>
    <xf numFmtId="38" fontId="0" fillId="0" borderId="0" xfId="2" applyNumberFormat="1" applyFont="1"/>
    <xf numFmtId="0" fontId="3" fillId="0" borderId="0" xfId="0" applyFont="1" applyFill="1" applyAlignment="1">
      <alignment horizontal="right"/>
    </xf>
    <xf numFmtId="195" fontId="0" fillId="0" borderId="0" xfId="2" applyNumberFormat="1" applyFont="1"/>
    <xf numFmtId="0" fontId="3" fillId="0" borderId="0" xfId="0" applyFont="1" applyAlignment="1">
      <alignment horizontal="center"/>
    </xf>
    <xf numFmtId="1" fontId="0" fillId="36" borderId="0" xfId="0" applyNumberFormat="1" applyFont="1" applyFill="1" applyAlignment="1">
      <alignment horizontal="center" vertical="center" wrapText="1"/>
    </xf>
    <xf numFmtId="0" fontId="0" fillId="37" borderId="0" xfId="0" applyFont="1" applyFill="1" applyAlignment="1">
      <alignment horizontal="center" vertical="center"/>
    </xf>
    <xf numFmtId="175" fontId="0" fillId="37" borderId="0" xfId="0" applyNumberFormat="1" applyFont="1" applyFill="1" applyAlignment="1">
      <alignment horizontal="center" vertical="center" wrapText="1"/>
    </xf>
    <xf numFmtId="1" fontId="0" fillId="37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194" fontId="0" fillId="0" borderId="0" xfId="0" applyNumberFormat="1"/>
    <xf numFmtId="196" fontId="0" fillId="0" borderId="0" xfId="2" applyNumberFormat="1" applyFont="1"/>
    <xf numFmtId="0" fontId="0" fillId="0" borderId="0" xfId="0"/>
    <xf numFmtId="0" fontId="0" fillId="0" borderId="0" xfId="0" applyFill="1"/>
    <xf numFmtId="0" fontId="0" fillId="0" borderId="0" xfId="0"/>
    <xf numFmtId="195" fontId="0" fillId="0" borderId="0" xfId="2" quotePrefix="1" applyNumberFormat="1" applyFont="1"/>
    <xf numFmtId="194" fontId="0" fillId="0" borderId="0" xfId="2" quotePrefix="1" applyNumberFormat="1" applyFont="1"/>
    <xf numFmtId="196" fontId="0" fillId="0" borderId="0" xfId="2" quotePrefix="1" applyNumberFormat="1" applyFont="1"/>
    <xf numFmtId="195" fontId="0" fillId="0" borderId="0" xfId="0" applyNumberFormat="1"/>
    <xf numFmtId="0" fontId="0" fillId="36" borderId="0" xfId="0" quotePrefix="1" applyFill="1"/>
    <xf numFmtId="0" fontId="0" fillId="37" borderId="0" xfId="0" quotePrefix="1" applyFill="1"/>
    <xf numFmtId="0" fontId="114" fillId="0" borderId="0" xfId="0" applyFont="1"/>
    <xf numFmtId="0" fontId="3" fillId="36" borderId="0" xfId="0" applyFont="1" applyFill="1" applyAlignment="1">
      <alignment horizontal="center"/>
    </xf>
    <xf numFmtId="0" fontId="3" fillId="36" borderId="0" xfId="0" applyFont="1" applyFill="1" applyBorder="1" applyAlignment="1">
      <alignment horizontal="center"/>
    </xf>
    <xf numFmtId="37" fontId="0" fillId="0" borderId="0" xfId="1" applyNumberFormat="1" applyFont="1" applyFill="1" applyBorder="1"/>
    <xf numFmtId="37" fontId="0" fillId="0" borderId="0" xfId="2" applyNumberFormat="1" applyFont="1" applyFill="1" applyBorder="1"/>
    <xf numFmtId="37" fontId="0" fillId="0" borderId="0" xfId="1" quotePrefix="1" applyNumberFormat="1" applyFont="1" applyFill="1" applyBorder="1"/>
    <xf numFmtId="0" fontId="3" fillId="37" borderId="0" xfId="0" applyFont="1" applyFill="1" applyBorder="1" applyAlignment="1">
      <alignment horizontal="center"/>
    </xf>
    <xf numFmtId="0" fontId="3" fillId="37" borderId="0" xfId="0" applyFont="1" applyFill="1" applyAlignment="1">
      <alignment horizontal="center"/>
    </xf>
    <xf numFmtId="37" fontId="0" fillId="0" borderId="0" xfId="0" applyNumberFormat="1"/>
    <xf numFmtId="44" fontId="0" fillId="38" borderId="0" xfId="2" applyNumberFormat="1" applyFont="1" applyFill="1"/>
    <xf numFmtId="44" fontId="0" fillId="38" borderId="1" xfId="2" applyNumberFormat="1" applyFont="1" applyFill="1" applyBorder="1"/>
    <xf numFmtId="0" fontId="3" fillId="0" borderId="0" xfId="0" applyFont="1" applyFill="1" applyAlignment="1">
      <alignment horizontal="center"/>
    </xf>
    <xf numFmtId="0" fontId="29" fillId="0" borderId="1" xfId="0" applyFont="1" applyBorder="1" applyAlignment="1">
      <alignment horizontal="center"/>
    </xf>
    <xf numFmtId="1" fontId="36" fillId="0" borderId="11" xfId="0" applyNumberFormat="1" applyFont="1" applyFill="1" applyBorder="1" applyAlignment="1">
      <alignment horizontal="center"/>
    </xf>
    <xf numFmtId="1" fontId="36" fillId="0" borderId="11" xfId="0" applyNumberFormat="1" applyFont="1" applyFill="1" applyBorder="1" applyAlignment="1">
      <alignment horizontal="left"/>
    </xf>
    <xf numFmtId="0" fontId="115" fillId="2" borderId="1" xfId="0" applyFont="1" applyFill="1" applyBorder="1" applyAlignment="1"/>
    <xf numFmtId="0" fontId="115" fillId="2" borderId="1" xfId="0" applyFont="1" applyFill="1" applyBorder="1" applyAlignment="1">
      <alignment horizontal="center"/>
    </xf>
    <xf numFmtId="0" fontId="115" fillId="0" borderId="1" xfId="1045" applyFont="1" applyFill="1" applyBorder="1" applyAlignment="1">
      <alignment horizontal="center" wrapText="1"/>
    </xf>
    <xf numFmtId="173" fontId="36" fillId="0" borderId="11" xfId="2" applyNumberFormat="1" applyFont="1" applyFill="1" applyBorder="1"/>
    <xf numFmtId="44" fontId="0" fillId="0" borderId="0" xfId="2" applyFont="1"/>
    <xf numFmtId="0" fontId="0" fillId="0" borderId="0" xfId="0"/>
    <xf numFmtId="0" fontId="0" fillId="0" borderId="0" xfId="0" applyFill="1"/>
    <xf numFmtId="0" fontId="0" fillId="0" borderId="0" xfId="0"/>
    <xf numFmtId="170" fontId="0" fillId="0" borderId="0" xfId="1" applyNumberFormat="1" applyFont="1"/>
    <xf numFmtId="0" fontId="0" fillId="0" borderId="0" xfId="0"/>
    <xf numFmtId="170" fontId="0" fillId="0" borderId="0" xfId="1" applyNumberFormat="1" applyFont="1"/>
    <xf numFmtId="197" fontId="0" fillId="4" borderId="11" xfId="0" applyNumberFormat="1" applyFill="1" applyBorder="1"/>
    <xf numFmtId="0" fontId="0" fillId="0" borderId="0" xfId="0"/>
    <xf numFmtId="0" fontId="3" fillId="0" borderId="0" xfId="0" applyFont="1"/>
    <xf numFmtId="168" fontId="0" fillId="0" borderId="0" xfId="1" applyNumberFormat="1" applyFont="1"/>
    <xf numFmtId="175" fontId="3" fillId="0" borderId="2" xfId="0" applyNumberFormat="1" applyFont="1" applyBorder="1" applyAlignment="1">
      <alignment horizontal="center"/>
    </xf>
    <xf numFmtId="175" fontId="3" fillId="0" borderId="3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0" xfId="0"/>
    <xf numFmtId="0" fontId="3" fillId="0" borderId="0" xfId="0" applyFont="1"/>
    <xf numFmtId="168" fontId="0" fillId="0" borderId="0" xfId="1" applyNumberFormat="1" applyFont="1"/>
    <xf numFmtId="175" fontId="3" fillId="0" borderId="2" xfId="0" applyNumberFormat="1" applyFont="1" applyBorder="1" applyAlignment="1">
      <alignment horizontal="center"/>
    </xf>
    <xf numFmtId="175" fontId="3" fillId="0" borderId="3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0" xfId="0"/>
    <xf numFmtId="0" fontId="3" fillId="0" borderId="0" xfId="0" applyFont="1"/>
    <xf numFmtId="168" fontId="0" fillId="0" borderId="0" xfId="1" applyNumberFormat="1" applyFont="1"/>
    <xf numFmtId="175" fontId="3" fillId="0" borderId="2" xfId="0" applyNumberFormat="1" applyFont="1" applyBorder="1" applyAlignment="1">
      <alignment horizontal="center"/>
    </xf>
    <xf numFmtId="175" fontId="3" fillId="0" borderId="3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0" xfId="0"/>
    <xf numFmtId="0" fontId="3" fillId="0" borderId="0" xfId="0" applyFont="1"/>
    <xf numFmtId="168" fontId="0" fillId="0" borderId="0" xfId="1" applyNumberFormat="1" applyFont="1"/>
    <xf numFmtId="175" fontId="3" fillId="0" borderId="2" xfId="0" applyNumberFormat="1" applyFont="1" applyBorder="1" applyAlignment="1">
      <alignment horizontal="center"/>
    </xf>
    <xf numFmtId="175" fontId="3" fillId="0" borderId="3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0" xfId="0" applyFill="1"/>
    <xf numFmtId="168" fontId="0" fillId="0" borderId="1" xfId="1" applyNumberFormat="1" applyFont="1" applyBorder="1"/>
    <xf numFmtId="39" fontId="0" fillId="0" borderId="0" xfId="1" applyNumberFormat="1" applyFont="1" applyFill="1" applyBorder="1"/>
    <xf numFmtId="168" fontId="0" fillId="0" borderId="0" xfId="1" applyNumberFormat="1" applyFont="1"/>
    <xf numFmtId="168" fontId="0" fillId="0" borderId="0" xfId="1" applyNumberFormat="1" applyFont="1"/>
    <xf numFmtId="0" fontId="0" fillId="0" borderId="0" xfId="0" applyFont="1" applyFill="1"/>
    <xf numFmtId="0" fontId="0" fillId="0" borderId="0" xfId="0" applyFont="1" applyFill="1" applyBorder="1"/>
    <xf numFmtId="4" fontId="0" fillId="0" borderId="0" xfId="0" applyNumberFormat="1" applyFont="1" applyFill="1"/>
    <xf numFmtId="4" fontId="130" fillId="0" borderId="0" xfId="1023" applyNumberFormat="1" applyFont="1" applyFill="1" applyBorder="1"/>
    <xf numFmtId="4" fontId="0" fillId="0" borderId="0" xfId="0" applyNumberFormat="1" applyFont="1" applyFill="1" applyBorder="1"/>
    <xf numFmtId="4" fontId="130" fillId="0" borderId="0" xfId="1101" applyNumberFormat="1" applyFont="1" applyFill="1" applyBorder="1"/>
    <xf numFmtId="4" fontId="130" fillId="0" borderId="0" xfId="148" applyNumberFormat="1" applyFont="1" applyFill="1" applyBorder="1"/>
    <xf numFmtId="0" fontId="0" fillId="2" borderId="0" xfId="0" applyFont="1" applyFill="1" applyAlignment="1"/>
    <xf numFmtId="0" fontId="0" fillId="2" borderId="0" xfId="0" applyFont="1" applyFill="1"/>
    <xf numFmtId="0" fontId="0" fillId="0" borderId="0" xfId="0" applyFont="1"/>
    <xf numFmtId="0" fontId="132" fillId="0" borderId="16" xfId="5" applyFont="1" applyBorder="1" applyAlignment="1">
      <alignment horizontal="left"/>
    </xf>
    <xf numFmtId="0" fontId="30" fillId="0" borderId="16" xfId="780" applyFont="1" applyBorder="1" applyAlignment="1">
      <alignment horizontal="center"/>
    </xf>
    <xf numFmtId="0" fontId="30" fillId="0" borderId="16" xfId="780" applyFont="1" applyBorder="1" applyAlignment="1">
      <alignment horizontal="left"/>
    </xf>
    <xf numFmtId="172" fontId="132" fillId="0" borderId="0" xfId="5" applyNumberFormat="1" applyFont="1" applyBorder="1"/>
    <xf numFmtId="173" fontId="130" fillId="0" borderId="0" xfId="1025" applyNumberFormat="1" applyFont="1" applyBorder="1"/>
    <xf numFmtId="8" fontId="0" fillId="0" borderId="0" xfId="0" applyNumberFormat="1" applyFont="1"/>
    <xf numFmtId="172" fontId="132" fillId="0" borderId="1" xfId="5" applyNumberFormat="1" applyFont="1" applyBorder="1"/>
    <xf numFmtId="173" fontId="130" fillId="0" borderId="1" xfId="1025" applyNumberFormat="1" applyFont="1" applyBorder="1"/>
    <xf numFmtId="0" fontId="30" fillId="0" borderId="0" xfId="1019" applyFont="1" applyAlignment="1">
      <alignment horizontal="right"/>
    </xf>
    <xf numFmtId="173" fontId="130" fillId="0" borderId="0" xfId="1019" applyNumberFormat="1" applyFont="1" applyBorder="1"/>
    <xf numFmtId="0" fontId="130" fillId="0" borderId="0" xfId="780" applyFont="1"/>
    <xf numFmtId="173" fontId="130" fillId="0" borderId="0" xfId="780" applyNumberFormat="1" applyFont="1"/>
    <xf numFmtId="0" fontId="130" fillId="0" borderId="16" xfId="780" applyFont="1" applyBorder="1" applyAlignment="1">
      <alignment horizontal="center"/>
    </xf>
    <xf numFmtId="173" fontId="130" fillId="0" borderId="16" xfId="780" applyNumberFormat="1" applyFont="1" applyBorder="1" applyAlignment="1">
      <alignment horizontal="center"/>
    </xf>
    <xf numFmtId="0" fontId="132" fillId="0" borderId="1" xfId="5" applyFont="1" applyBorder="1" applyAlignment="1">
      <alignment horizontal="left"/>
    </xf>
    <xf numFmtId="0" fontId="30" fillId="0" borderId="16" xfId="1030" applyFont="1" applyBorder="1" applyAlignment="1">
      <alignment horizontal="center"/>
    </xf>
    <xf numFmtId="0" fontId="30" fillId="0" borderId="16" xfId="1030" applyFont="1" applyBorder="1" applyAlignment="1">
      <alignment horizontal="left"/>
    </xf>
    <xf numFmtId="172" fontId="133" fillId="0" borderId="0" xfId="5" applyNumberFormat="1" applyFont="1" applyBorder="1"/>
    <xf numFmtId="173" fontId="134" fillId="0" borderId="0" xfId="1030" applyNumberFormat="1" applyFont="1"/>
    <xf numFmtId="8" fontId="134" fillId="0" borderId="0" xfId="1030" applyNumberFormat="1" applyFont="1"/>
    <xf numFmtId="173" fontId="130" fillId="0" borderId="0" xfId="1030" applyNumberFormat="1" applyFont="1" applyBorder="1"/>
    <xf numFmtId="173" fontId="130" fillId="0" borderId="0" xfId="1030" applyNumberFormat="1" applyFont="1" applyFill="1" applyBorder="1"/>
    <xf numFmtId="172" fontId="133" fillId="0" borderId="0" xfId="5" applyNumberFormat="1" applyFont="1" applyBorder="1" applyAlignment="1">
      <alignment horizontal="left" indent="1"/>
    </xf>
    <xf numFmtId="172" fontId="133" fillId="0" borderId="1" xfId="5" applyNumberFormat="1" applyFont="1" applyBorder="1" applyAlignment="1">
      <alignment horizontal="left" indent="1"/>
    </xf>
    <xf numFmtId="173" fontId="130" fillId="0" borderId="1" xfId="1030" applyNumberFormat="1" applyFont="1" applyBorder="1"/>
    <xf numFmtId="173" fontId="130" fillId="0" borderId="0" xfId="1030" applyNumberFormat="1" applyFont="1"/>
    <xf numFmtId="0" fontId="30" fillId="0" borderId="16" xfId="1018" applyFont="1" applyBorder="1" applyAlignment="1">
      <alignment horizontal="center"/>
    </xf>
    <xf numFmtId="0" fontId="30" fillId="0" borderId="16" xfId="1018" applyFont="1" applyBorder="1" applyAlignment="1">
      <alignment horizontal="left"/>
    </xf>
    <xf numFmtId="172" fontId="133" fillId="0" borderId="0" xfId="5" applyNumberFormat="1" applyFont="1" applyFill="1" applyBorder="1"/>
    <xf numFmtId="173" fontId="130" fillId="0" borderId="0" xfId="1018" applyNumberFormat="1" applyFont="1" applyFill="1"/>
    <xf numFmtId="172" fontId="133" fillId="0" borderId="1" xfId="5" applyNumberFormat="1" applyFont="1" applyFill="1" applyBorder="1"/>
    <xf numFmtId="173" fontId="130" fillId="0" borderId="1" xfId="1018" applyNumberFormat="1" applyFont="1" applyFill="1" applyBorder="1"/>
    <xf numFmtId="173" fontId="130" fillId="0" borderId="0" xfId="1018" applyNumberFormat="1" applyFont="1"/>
    <xf numFmtId="0" fontId="30" fillId="0" borderId="16" xfId="1023" applyFont="1" applyBorder="1" applyAlignment="1">
      <alignment horizontal="center"/>
    </xf>
    <xf numFmtId="0" fontId="30" fillId="0" borderId="16" xfId="1023" applyFont="1" applyBorder="1" applyAlignment="1">
      <alignment horizontal="left"/>
    </xf>
    <xf numFmtId="173" fontId="130" fillId="0" borderId="0" xfId="1023" applyNumberFormat="1" applyFont="1" applyBorder="1"/>
    <xf numFmtId="0" fontId="0" fillId="0" borderId="0" xfId="0" applyFont="1" applyBorder="1"/>
    <xf numFmtId="0" fontId="30" fillId="0" borderId="16" xfId="1011" applyFont="1" applyBorder="1" applyAlignment="1">
      <alignment horizontal="center"/>
    </xf>
    <xf numFmtId="0" fontId="30" fillId="0" borderId="16" xfId="1011" applyFont="1" applyBorder="1" applyAlignment="1">
      <alignment horizontal="left"/>
    </xf>
    <xf numFmtId="173" fontId="130" fillId="0" borderId="0" xfId="1011" applyNumberFormat="1" applyFont="1"/>
    <xf numFmtId="173" fontId="130" fillId="0" borderId="0" xfId="1011" applyNumberFormat="1" applyFont="1" applyFill="1"/>
    <xf numFmtId="172" fontId="133" fillId="0" borderId="0" xfId="5" applyNumberFormat="1" applyFont="1" applyBorder="1" applyAlignment="1">
      <alignment horizontal="left"/>
    </xf>
    <xf numFmtId="173" fontId="130" fillId="0" borderId="0" xfId="1011" applyNumberFormat="1" applyFont="1" applyBorder="1"/>
    <xf numFmtId="172" fontId="133" fillId="0" borderId="1" xfId="5" applyNumberFormat="1" applyFont="1" applyBorder="1"/>
    <xf numFmtId="173" fontId="130" fillId="0" borderId="1" xfId="1011" applyNumberFormat="1" applyFont="1" applyBorder="1"/>
    <xf numFmtId="0" fontId="130" fillId="0" borderId="0" xfId="1011" applyFont="1"/>
    <xf numFmtId="0" fontId="30" fillId="0" borderId="0" xfId="1011" applyFont="1" applyAlignment="1">
      <alignment horizontal="right"/>
    </xf>
    <xf numFmtId="174" fontId="130" fillId="0" borderId="0" xfId="1011" applyNumberFormat="1" applyFont="1" applyBorder="1"/>
    <xf numFmtId="168" fontId="0" fillId="0" borderId="0" xfId="0" applyNumberFormat="1" applyFont="1"/>
    <xf numFmtId="168" fontId="130" fillId="0" borderId="0" xfId="1011" applyNumberFormat="1" applyFont="1"/>
    <xf numFmtId="168" fontId="130" fillId="38" borderId="0" xfId="1011" applyNumberFormat="1" applyFont="1" applyFill="1"/>
    <xf numFmtId="8" fontId="130" fillId="38" borderId="0" xfId="1011" applyNumberFormat="1" applyFont="1" applyFill="1" applyBorder="1"/>
    <xf numFmtId="8" fontId="130" fillId="0" borderId="0" xfId="1011" applyNumberFormat="1" applyFont="1" applyBorder="1"/>
    <xf numFmtId="172" fontId="132" fillId="0" borderId="0" xfId="5" applyNumberFormat="1" applyFont="1" applyFill="1" applyBorder="1"/>
    <xf numFmtId="44" fontId="130" fillId="0" borderId="0" xfId="1011" applyNumberFormat="1" applyFont="1" applyBorder="1"/>
    <xf numFmtId="0" fontId="135" fillId="2" borderId="0" xfId="0" applyFont="1" applyFill="1" applyAlignment="1"/>
    <xf numFmtId="0" fontId="136" fillId="2" borderId="0" xfId="4" applyFont="1" applyFill="1" applyAlignment="1" applyProtection="1"/>
    <xf numFmtId="0" fontId="130" fillId="5" borderId="0" xfId="0" applyFont="1" applyFill="1" applyAlignment="1"/>
    <xf numFmtId="0" fontId="137" fillId="2" borderId="0" xfId="4" applyFont="1" applyFill="1" applyAlignment="1" applyProtection="1"/>
    <xf numFmtId="0" fontId="30" fillId="0" borderId="16" xfId="0" applyFont="1" applyFill="1" applyBorder="1" applyAlignment="1">
      <alignment horizontal="left" wrapText="1"/>
    </xf>
    <xf numFmtId="0" fontId="131" fillId="0" borderId="16" xfId="0" applyFont="1" applyBorder="1" applyAlignment="1">
      <alignment wrapText="1"/>
    </xf>
    <xf numFmtId="175" fontId="131" fillId="0" borderId="0" xfId="1097" applyNumberFormat="1" applyFont="1"/>
    <xf numFmtId="168" fontId="130" fillId="0" borderId="0" xfId="148" applyNumberFormat="1" applyFont="1"/>
    <xf numFmtId="8" fontId="130" fillId="0" borderId="0" xfId="803" applyNumberFormat="1" applyFont="1"/>
    <xf numFmtId="173" fontId="130" fillId="0" borderId="0" xfId="803" applyNumberFormat="1" applyFont="1"/>
    <xf numFmtId="173" fontId="130" fillId="0" borderId="0" xfId="1223" applyNumberFormat="1" applyFont="1"/>
    <xf numFmtId="175" fontId="131" fillId="0" borderId="1" xfId="1097" applyNumberFormat="1" applyFont="1" applyBorder="1"/>
    <xf numFmtId="168" fontId="130" fillId="0" borderId="1" xfId="148" applyNumberFormat="1" applyFont="1" applyBorder="1"/>
    <xf numFmtId="8" fontId="130" fillId="0" borderId="1" xfId="803" applyNumberFormat="1" applyFont="1" applyBorder="1"/>
    <xf numFmtId="173" fontId="130" fillId="0" borderId="1" xfId="803" applyNumberFormat="1" applyFont="1" applyBorder="1"/>
    <xf numFmtId="173" fontId="130" fillId="0" borderId="1" xfId="1223" applyNumberFormat="1" applyFont="1" applyBorder="1"/>
    <xf numFmtId="175" fontId="131" fillId="0" borderId="0" xfId="1107" applyNumberFormat="1" applyFont="1"/>
    <xf numFmtId="8" fontId="138" fillId="0" borderId="0" xfId="803" applyNumberFormat="1" applyFont="1"/>
    <xf numFmtId="173" fontId="130" fillId="0" borderId="0" xfId="1108" applyNumberFormat="1" applyFont="1"/>
    <xf numFmtId="175" fontId="131" fillId="0" borderId="1" xfId="1107" applyNumberFormat="1" applyFont="1" applyBorder="1"/>
    <xf numFmtId="8" fontId="138" fillId="0" borderId="1" xfId="803" applyNumberFormat="1" applyFont="1" applyBorder="1"/>
    <xf numFmtId="173" fontId="130" fillId="0" borderId="1" xfId="1108" applyNumberFormat="1" applyFont="1" applyBorder="1"/>
    <xf numFmtId="4" fontId="131" fillId="0" borderId="0" xfId="1006" applyNumberFormat="1" applyFont="1" applyFill="1" applyBorder="1"/>
    <xf numFmtId="4" fontId="130" fillId="0" borderId="0" xfId="803" applyNumberFormat="1" applyFont="1" applyFill="1" applyBorder="1"/>
    <xf numFmtId="173" fontId="130" fillId="0" borderId="0" xfId="803" applyNumberFormat="1" applyFont="1" applyFill="1" applyBorder="1"/>
    <xf numFmtId="168" fontId="130" fillId="0" borderId="0" xfId="148" applyNumberFormat="1" applyFont="1" applyBorder="1"/>
    <xf numFmtId="44" fontId="138" fillId="0" borderId="0" xfId="803" applyNumberFormat="1" applyFont="1" applyBorder="1"/>
    <xf numFmtId="173" fontId="130" fillId="0" borderId="0" xfId="1006" applyNumberFormat="1" applyFont="1" applyBorder="1"/>
    <xf numFmtId="175" fontId="131" fillId="0" borderId="0" xfId="1006" applyNumberFormat="1" applyFont="1" applyBorder="1"/>
    <xf numFmtId="44" fontId="130" fillId="0" borderId="0" xfId="803" applyNumberFormat="1" applyFont="1" applyBorder="1"/>
    <xf numFmtId="173" fontId="130" fillId="0" borderId="0" xfId="803" applyNumberFormat="1" applyFont="1" applyBorder="1"/>
    <xf numFmtId="175" fontId="131" fillId="0" borderId="0" xfId="782" applyNumberFormat="1" applyFont="1" applyBorder="1"/>
    <xf numFmtId="173" fontId="130" fillId="0" borderId="0" xfId="782" applyNumberFormat="1" applyFont="1" applyBorder="1"/>
    <xf numFmtId="173" fontId="0" fillId="0" borderId="0" xfId="0" applyNumberFormat="1" applyFont="1"/>
    <xf numFmtId="173" fontId="0" fillId="0" borderId="1" xfId="0" applyNumberFormat="1" applyFont="1" applyBorder="1"/>
    <xf numFmtId="44" fontId="0" fillId="0" borderId="0" xfId="0" applyNumberFormat="1" applyFont="1"/>
    <xf numFmtId="175" fontId="131" fillId="0" borderId="0" xfId="0" applyNumberFormat="1" applyFont="1"/>
    <xf numFmtId="44" fontId="134" fillId="0" borderId="0" xfId="1030" applyNumberFormat="1" applyFont="1"/>
    <xf numFmtId="175" fontId="131" fillId="0" borderId="1" xfId="0" applyNumberFormat="1" applyFont="1" applyBorder="1"/>
    <xf numFmtId="44" fontId="138" fillId="0" borderId="0" xfId="2" applyNumberFormat="1" applyFont="1"/>
    <xf numFmtId="44" fontId="138" fillId="0" borderId="1" xfId="2" applyNumberFormat="1" applyFont="1" applyBorder="1"/>
    <xf numFmtId="44" fontId="130" fillId="38" borderId="0" xfId="1011" applyNumberFormat="1" applyFont="1" applyFill="1" applyBorder="1"/>
    <xf numFmtId="3" fontId="0" fillId="0" borderId="0" xfId="0" applyNumberFormat="1" applyFont="1"/>
    <xf numFmtId="3" fontId="2" fillId="0" borderId="0" xfId="787" applyNumberFormat="1" applyFont="1" applyFill="1"/>
    <xf numFmtId="0" fontId="4" fillId="70" borderId="0" xfId="0" applyFont="1" applyFill="1" applyAlignment="1">
      <alignment horizontal="center"/>
    </xf>
    <xf numFmtId="0" fontId="0" fillId="70" borderId="0" xfId="0" applyFill="1"/>
    <xf numFmtId="0" fontId="139" fillId="70" borderId="0" xfId="0" applyFont="1" applyFill="1" applyAlignment="1">
      <alignment horizontal="left"/>
    </xf>
    <xf numFmtId="1" fontId="0" fillId="0" borderId="0" xfId="2" applyNumberFormat="1" applyFont="1"/>
    <xf numFmtId="176" fontId="0" fillId="0" borderId="7" xfId="3" applyNumberFormat="1" applyFont="1" applyFill="1" applyBorder="1"/>
    <xf numFmtId="0" fontId="28" fillId="0" borderId="0" xfId="0" applyFont="1" applyFill="1"/>
    <xf numFmtId="0" fontId="0" fillId="0" borderId="0" xfId="0" applyFill="1"/>
    <xf numFmtId="43" fontId="0" fillId="0" borderId="7" xfId="0" applyNumberFormat="1" applyFill="1" applyBorder="1"/>
    <xf numFmtId="195" fontId="0" fillId="0" borderId="0" xfId="2" applyNumberFormat="1" applyFont="1"/>
    <xf numFmtId="4" fontId="0" fillId="0" borderId="0" xfId="0" applyNumberFormat="1"/>
    <xf numFmtId="8" fontId="130" fillId="0" borderId="0" xfId="1011" applyNumberFormat="1" applyFont="1" applyFill="1" applyBorder="1"/>
    <xf numFmtId="37" fontId="0" fillId="0" borderId="0" xfId="0" applyNumberFormat="1" applyFill="1"/>
    <xf numFmtId="4" fontId="0" fillId="0" borderId="0" xfId="0" applyNumberFormat="1" applyFont="1"/>
    <xf numFmtId="0" fontId="3" fillId="0" borderId="0" xfId="0" applyFont="1" applyAlignment="1">
      <alignment horizontal="left" vertical="top"/>
    </xf>
  </cellXfs>
  <cellStyles count="1436">
    <cellStyle name="_%(SignOnly)" xfId="13"/>
    <cellStyle name="_%(SignOnly) 2" xfId="14"/>
    <cellStyle name="_%(SignOnly) 2 2" xfId="690"/>
    <cellStyle name="_%(SignOnly) 3" xfId="691"/>
    <cellStyle name="_%(SignSpaceOnly)" xfId="15"/>
    <cellStyle name="_%(SignSpaceOnly) 2" xfId="16"/>
    <cellStyle name="_%(SignSpaceOnly) 2 2" xfId="692"/>
    <cellStyle name="_%(SignSpaceOnly) 3" xfId="693"/>
    <cellStyle name="_Comma" xfId="17"/>
    <cellStyle name="_Comma 2" xfId="18"/>
    <cellStyle name="_Comma 2 2" xfId="694"/>
    <cellStyle name="_Comma 3" xfId="695"/>
    <cellStyle name="_Currency" xfId="19"/>
    <cellStyle name="_Currency 2" xfId="20"/>
    <cellStyle name="_Currency 2 2" xfId="696"/>
    <cellStyle name="_Currency 3" xfId="697"/>
    <cellStyle name="_CurrencySpace" xfId="21"/>
    <cellStyle name="_CurrencySpace 2" xfId="22"/>
    <cellStyle name="_CurrencySpace 2 2" xfId="698"/>
    <cellStyle name="_CurrencySpace 3" xfId="699"/>
    <cellStyle name="_Euro" xfId="23"/>
    <cellStyle name="_Euro 2" xfId="24"/>
    <cellStyle name="_Euro 2 2" xfId="700"/>
    <cellStyle name="_Euro 3" xfId="701"/>
    <cellStyle name="_Heading" xfId="25"/>
    <cellStyle name="_Highlight" xfId="26"/>
    <cellStyle name="_Highlight 2" xfId="27"/>
    <cellStyle name="_Highlight 2 2" xfId="702"/>
    <cellStyle name="_Highlight 3" xfId="703"/>
    <cellStyle name="_Multiple" xfId="28"/>
    <cellStyle name="_Multiple 2" xfId="29"/>
    <cellStyle name="_Multiple 2 2" xfId="704"/>
    <cellStyle name="_Multiple 3" xfId="705"/>
    <cellStyle name="_MultipleSpace" xfId="30"/>
    <cellStyle name="_MultipleSpace 2" xfId="31"/>
    <cellStyle name="_MultipleSpace 2 2" xfId="706"/>
    <cellStyle name="_MultipleSpace 3" xfId="707"/>
    <cellStyle name="_SubHeading" xfId="32"/>
    <cellStyle name="_Table" xfId="33"/>
    <cellStyle name="_TableHead" xfId="34"/>
    <cellStyle name="_TableRowHead" xfId="35"/>
    <cellStyle name="_TableSuperHead" xfId="36"/>
    <cellStyle name="20% - Accent1" xfId="1064" builtinId="30" customBuiltin="1"/>
    <cellStyle name="20% - Accent1 2" xfId="38"/>
    <cellStyle name="20% - Accent1 2 2" xfId="340"/>
    <cellStyle name="20% - Accent1 2 2 2" xfId="412"/>
    <cellStyle name="20% - Accent1 2 2 3" xfId="1187"/>
    <cellStyle name="20% - Accent1 3" xfId="39"/>
    <cellStyle name="20% - Accent1 4" xfId="40"/>
    <cellStyle name="20% - Accent1 5" xfId="37"/>
    <cellStyle name="20% - Accent1 6" xfId="455"/>
    <cellStyle name="20% - Accent1 7" xfId="1157"/>
    <cellStyle name="20% - Accent2" xfId="1068" builtinId="34" customBuiltin="1"/>
    <cellStyle name="20% - Accent2 2" xfId="42"/>
    <cellStyle name="20% - Accent2 2 2" xfId="341"/>
    <cellStyle name="20% - Accent2 2 2 2" xfId="413"/>
    <cellStyle name="20% - Accent2 2 2 3" xfId="1188"/>
    <cellStyle name="20% - Accent2 3" xfId="43"/>
    <cellStyle name="20% - Accent2 4" xfId="44"/>
    <cellStyle name="20% - Accent2 5" xfId="41"/>
    <cellStyle name="20% - Accent2 6" xfId="456"/>
    <cellStyle name="20% - Accent2 7" xfId="1161"/>
    <cellStyle name="20% - Accent3" xfId="1072" builtinId="38" customBuiltin="1"/>
    <cellStyle name="20% - Accent3 2" xfId="46"/>
    <cellStyle name="20% - Accent3 2 2" xfId="342"/>
    <cellStyle name="20% - Accent3 2 2 2" xfId="414"/>
    <cellStyle name="20% - Accent3 2 2 3" xfId="1189"/>
    <cellStyle name="20% - Accent3 3" xfId="47"/>
    <cellStyle name="20% - Accent3 4" xfId="48"/>
    <cellStyle name="20% - Accent3 5" xfId="45"/>
    <cellStyle name="20% - Accent3 6" xfId="457"/>
    <cellStyle name="20% - Accent3 7" xfId="1165"/>
    <cellStyle name="20% - Accent4" xfId="1076" builtinId="42" customBuiltin="1"/>
    <cellStyle name="20% - Accent4 2" xfId="50"/>
    <cellStyle name="20% - Accent4 2 2" xfId="343"/>
    <cellStyle name="20% - Accent4 2 2 2" xfId="415"/>
    <cellStyle name="20% - Accent4 2 2 3" xfId="1190"/>
    <cellStyle name="20% - Accent4 3" xfId="51"/>
    <cellStyle name="20% - Accent4 4" xfId="52"/>
    <cellStyle name="20% - Accent4 5" xfId="49"/>
    <cellStyle name="20% - Accent4 6" xfId="458"/>
    <cellStyle name="20% - Accent4 7" xfId="1169"/>
    <cellStyle name="20% - Accent5" xfId="1080" builtinId="46" customBuiltin="1"/>
    <cellStyle name="20% - Accent5 2" xfId="54"/>
    <cellStyle name="20% - Accent5 2 2" xfId="344"/>
    <cellStyle name="20% - Accent5 2 2 2" xfId="416"/>
    <cellStyle name="20% - Accent5 2 2 3" xfId="1191"/>
    <cellStyle name="20% - Accent5 3" xfId="55"/>
    <cellStyle name="20% - Accent5 4" xfId="56"/>
    <cellStyle name="20% - Accent5 5" xfId="53"/>
    <cellStyle name="20% - Accent5 6" xfId="459"/>
    <cellStyle name="20% - Accent5 7" xfId="1173"/>
    <cellStyle name="20% - Accent6" xfId="1084" builtinId="50" customBuiltin="1"/>
    <cellStyle name="20% - Accent6 2" xfId="58"/>
    <cellStyle name="20% - Accent6 2 2" xfId="345"/>
    <cellStyle name="20% - Accent6 2 2 2" xfId="417"/>
    <cellStyle name="20% - Accent6 2 2 3" xfId="1192"/>
    <cellStyle name="20% - Accent6 3" xfId="59"/>
    <cellStyle name="20% - Accent6 4" xfId="60"/>
    <cellStyle name="20% - Accent6 5" xfId="57"/>
    <cellStyle name="20% - Accent6 6" xfId="460"/>
    <cellStyle name="20% - Accent6 7" xfId="1177"/>
    <cellStyle name="40% - Accent1" xfId="1065" builtinId="31" customBuiltin="1"/>
    <cellStyle name="40% - Accent1 2" xfId="62"/>
    <cellStyle name="40% - Accent1 2 2" xfId="346"/>
    <cellStyle name="40% - Accent1 2 2 2" xfId="418"/>
    <cellStyle name="40% - Accent1 2 2 3" xfId="1193"/>
    <cellStyle name="40% - Accent1 3" xfId="63"/>
    <cellStyle name="40% - Accent1 4" xfId="64"/>
    <cellStyle name="40% - Accent1 5" xfId="61"/>
    <cellStyle name="40% - Accent1 6" xfId="461"/>
    <cellStyle name="40% - Accent1 7" xfId="1158"/>
    <cellStyle name="40% - Accent2" xfId="1069" builtinId="35" customBuiltin="1"/>
    <cellStyle name="40% - Accent2 2" xfId="66"/>
    <cellStyle name="40% - Accent2 2 2" xfId="347"/>
    <cellStyle name="40% - Accent2 2 2 2" xfId="419"/>
    <cellStyle name="40% - Accent2 2 2 3" xfId="1194"/>
    <cellStyle name="40% - Accent2 3" xfId="67"/>
    <cellStyle name="40% - Accent2 4" xfId="68"/>
    <cellStyle name="40% - Accent2 5" xfId="65"/>
    <cellStyle name="40% - Accent2 6" xfId="462"/>
    <cellStyle name="40% - Accent2 7" xfId="1162"/>
    <cellStyle name="40% - Accent3" xfId="1073" builtinId="39" customBuiltin="1"/>
    <cellStyle name="40% - Accent3 2" xfId="70"/>
    <cellStyle name="40% - Accent3 2 2" xfId="348"/>
    <cellStyle name="40% - Accent3 2 2 2" xfId="420"/>
    <cellStyle name="40% - Accent3 2 2 3" xfId="1195"/>
    <cellStyle name="40% - Accent3 3" xfId="71"/>
    <cellStyle name="40% - Accent3 4" xfId="72"/>
    <cellStyle name="40% - Accent3 5" xfId="69"/>
    <cellStyle name="40% - Accent3 6" xfId="463"/>
    <cellStyle name="40% - Accent3 7" xfId="1166"/>
    <cellStyle name="40% - Accent4" xfId="1077" builtinId="43" customBuiltin="1"/>
    <cellStyle name="40% - Accent4 2" xfId="74"/>
    <cellStyle name="40% - Accent4 2 2" xfId="349"/>
    <cellStyle name="40% - Accent4 2 2 2" xfId="421"/>
    <cellStyle name="40% - Accent4 2 2 3" xfId="1196"/>
    <cellStyle name="40% - Accent4 3" xfId="75"/>
    <cellStyle name="40% - Accent4 4" xfId="76"/>
    <cellStyle name="40% - Accent4 5" xfId="73"/>
    <cellStyle name="40% - Accent4 6" xfId="464"/>
    <cellStyle name="40% - Accent4 7" xfId="1170"/>
    <cellStyle name="40% - Accent5" xfId="1081" builtinId="47" customBuiltin="1"/>
    <cellStyle name="40% - Accent5 2" xfId="78"/>
    <cellStyle name="40% - Accent5 2 2" xfId="350"/>
    <cellStyle name="40% - Accent5 2 2 2" xfId="422"/>
    <cellStyle name="40% - Accent5 2 2 3" xfId="1197"/>
    <cellStyle name="40% - Accent5 3" xfId="79"/>
    <cellStyle name="40% - Accent5 4" xfId="80"/>
    <cellStyle name="40% - Accent5 5" xfId="77"/>
    <cellStyle name="40% - Accent5 6" xfId="465"/>
    <cellStyle name="40% - Accent5 7" xfId="1174"/>
    <cellStyle name="40% - Accent6" xfId="1085" builtinId="51" customBuiltin="1"/>
    <cellStyle name="40% - Accent6 2" xfId="82"/>
    <cellStyle name="40% - Accent6 2 2" xfId="351"/>
    <cellStyle name="40% - Accent6 2 2 2" xfId="423"/>
    <cellStyle name="40% - Accent6 2 2 3" xfId="1198"/>
    <cellStyle name="40% - Accent6 3" xfId="83"/>
    <cellStyle name="40% - Accent6 4" xfId="84"/>
    <cellStyle name="40% - Accent6 5" xfId="81"/>
    <cellStyle name="40% - Accent6 6" xfId="466"/>
    <cellStyle name="40% - Accent6 7" xfId="1178"/>
    <cellStyle name="60% - Accent1" xfId="1066" builtinId="32" customBuiltin="1"/>
    <cellStyle name="60% - Accent1 2" xfId="86"/>
    <cellStyle name="60% - Accent1 2 2" xfId="352"/>
    <cellStyle name="60% - Accent1 2 2 2" xfId="424"/>
    <cellStyle name="60% - Accent1 2 2 3" xfId="1199"/>
    <cellStyle name="60% - Accent1 3" xfId="87"/>
    <cellStyle name="60% - Accent1 4" xfId="88"/>
    <cellStyle name="60% - Accent1 5" xfId="85"/>
    <cellStyle name="60% - Accent1 6" xfId="467"/>
    <cellStyle name="60% - Accent1 7" xfId="1159"/>
    <cellStyle name="60% - Accent2" xfId="1070" builtinId="36" customBuiltin="1"/>
    <cellStyle name="60% - Accent2 2" xfId="90"/>
    <cellStyle name="60% - Accent2 2 2" xfId="353"/>
    <cellStyle name="60% - Accent2 2 2 2" xfId="425"/>
    <cellStyle name="60% - Accent2 2 2 3" xfId="1200"/>
    <cellStyle name="60% - Accent2 3" xfId="91"/>
    <cellStyle name="60% - Accent2 4" xfId="92"/>
    <cellStyle name="60% - Accent2 5" xfId="89"/>
    <cellStyle name="60% - Accent2 6" xfId="468"/>
    <cellStyle name="60% - Accent2 7" xfId="1163"/>
    <cellStyle name="60% - Accent3" xfId="1074" builtinId="40" customBuiltin="1"/>
    <cellStyle name="60% - Accent3 2" xfId="94"/>
    <cellStyle name="60% - Accent3 2 2" xfId="354"/>
    <cellStyle name="60% - Accent3 2 2 2" xfId="426"/>
    <cellStyle name="60% - Accent3 2 2 3" xfId="1201"/>
    <cellStyle name="60% - Accent3 3" xfId="95"/>
    <cellStyle name="60% - Accent3 4" xfId="96"/>
    <cellStyle name="60% - Accent3 5" xfId="93"/>
    <cellStyle name="60% - Accent3 6" xfId="469"/>
    <cellStyle name="60% - Accent3 7" xfId="1167"/>
    <cellStyle name="60% - Accent4" xfId="1078" builtinId="44" customBuiltin="1"/>
    <cellStyle name="60% - Accent4 2" xfId="98"/>
    <cellStyle name="60% - Accent4 2 2" xfId="355"/>
    <cellStyle name="60% - Accent4 2 2 2" xfId="427"/>
    <cellStyle name="60% - Accent4 2 2 3" xfId="1202"/>
    <cellStyle name="60% - Accent4 3" xfId="99"/>
    <cellStyle name="60% - Accent4 4" xfId="100"/>
    <cellStyle name="60% - Accent4 5" xfId="97"/>
    <cellStyle name="60% - Accent4 6" xfId="470"/>
    <cellStyle name="60% - Accent4 7" xfId="1171"/>
    <cellStyle name="60% - Accent5" xfId="1082" builtinId="48" customBuiltin="1"/>
    <cellStyle name="60% - Accent5 2" xfId="102"/>
    <cellStyle name="60% - Accent5 2 2" xfId="356"/>
    <cellStyle name="60% - Accent5 2 2 2" xfId="428"/>
    <cellStyle name="60% - Accent5 2 2 3" xfId="1203"/>
    <cellStyle name="60% - Accent5 3" xfId="103"/>
    <cellStyle name="60% - Accent5 4" xfId="104"/>
    <cellStyle name="60% - Accent5 5" xfId="101"/>
    <cellStyle name="60% - Accent5 6" xfId="471"/>
    <cellStyle name="60% - Accent5 7" xfId="1175"/>
    <cellStyle name="60% - Accent6" xfId="1086" builtinId="52" customBuiltin="1"/>
    <cellStyle name="60% - Accent6 2" xfId="106"/>
    <cellStyle name="60% - Accent6 2 2" xfId="357"/>
    <cellStyle name="60% - Accent6 2 2 2" xfId="429"/>
    <cellStyle name="60% - Accent6 2 2 3" xfId="1204"/>
    <cellStyle name="60% - Accent6 3" xfId="107"/>
    <cellStyle name="60% - Accent6 4" xfId="108"/>
    <cellStyle name="60% - Accent6 5" xfId="105"/>
    <cellStyle name="60% - Accent6 6" xfId="472"/>
    <cellStyle name="60% - Accent6 7" xfId="1179"/>
    <cellStyle name="Accent1" xfId="1063" builtinId="29" customBuiltin="1"/>
    <cellStyle name="Accent1 2" xfId="110"/>
    <cellStyle name="Accent1 2 2" xfId="358"/>
    <cellStyle name="Accent1 2 2 2" xfId="430"/>
    <cellStyle name="Accent1 2 2 3" xfId="1205"/>
    <cellStyle name="Accent1 3" xfId="111"/>
    <cellStyle name="Accent1 4" xfId="112"/>
    <cellStyle name="Accent1 5" xfId="109"/>
    <cellStyle name="Accent1 6" xfId="473"/>
    <cellStyle name="Accent1 7" xfId="1156"/>
    <cellStyle name="Accent2" xfId="1067" builtinId="33" customBuiltin="1"/>
    <cellStyle name="Accent2 2" xfId="114"/>
    <cellStyle name="Accent2 2 2" xfId="359"/>
    <cellStyle name="Accent2 2 2 2" xfId="431"/>
    <cellStyle name="Accent2 2 2 3" xfId="1206"/>
    <cellStyle name="Accent2 3" xfId="115"/>
    <cellStyle name="Accent2 4" xfId="116"/>
    <cellStyle name="Accent2 5" xfId="113"/>
    <cellStyle name="Accent2 6" xfId="474"/>
    <cellStyle name="Accent2 7" xfId="1160"/>
    <cellStyle name="Accent3" xfId="1071" builtinId="37" customBuiltin="1"/>
    <cellStyle name="Accent3 2" xfId="118"/>
    <cellStyle name="Accent3 2 2" xfId="360"/>
    <cellStyle name="Accent3 2 2 2" xfId="432"/>
    <cellStyle name="Accent3 2 2 3" xfId="1207"/>
    <cellStyle name="Accent3 3" xfId="119"/>
    <cellStyle name="Accent3 4" xfId="120"/>
    <cellStyle name="Accent3 5" xfId="117"/>
    <cellStyle name="Accent3 6" xfId="475"/>
    <cellStyle name="Accent3 7" xfId="1164"/>
    <cellStyle name="Accent4" xfId="1075" builtinId="41" customBuiltin="1"/>
    <cellStyle name="Accent4 2" xfId="122"/>
    <cellStyle name="Accent4 2 2" xfId="361"/>
    <cellStyle name="Accent4 2 2 2" xfId="433"/>
    <cellStyle name="Accent4 2 2 3" xfId="1208"/>
    <cellStyle name="Accent4 3" xfId="123"/>
    <cellStyle name="Accent4 4" xfId="124"/>
    <cellStyle name="Accent4 5" xfId="121"/>
    <cellStyle name="Accent4 6" xfId="476"/>
    <cellStyle name="Accent4 7" xfId="1168"/>
    <cellStyle name="Accent5" xfId="1079" builtinId="45" customBuiltin="1"/>
    <cellStyle name="Accent5 2" xfId="126"/>
    <cellStyle name="Accent5 2 2" xfId="362"/>
    <cellStyle name="Accent5 2 2 2" xfId="434"/>
    <cellStyle name="Accent5 2 2 3" xfId="1209"/>
    <cellStyle name="Accent5 3" xfId="127"/>
    <cellStyle name="Accent5 4" xfId="128"/>
    <cellStyle name="Accent5 5" xfId="125"/>
    <cellStyle name="Accent5 6" xfId="477"/>
    <cellStyle name="Accent5 7" xfId="1172"/>
    <cellStyle name="Accent6" xfId="1083" builtinId="49" customBuiltin="1"/>
    <cellStyle name="Accent6 2" xfId="130"/>
    <cellStyle name="Accent6 2 2" xfId="363"/>
    <cellStyle name="Accent6 2 2 2" xfId="435"/>
    <cellStyle name="Accent6 2 2 3" xfId="1210"/>
    <cellStyle name="Accent6 3" xfId="131"/>
    <cellStyle name="Accent6 4" xfId="132"/>
    <cellStyle name="Accent6 5" xfId="129"/>
    <cellStyle name="Accent6 6" xfId="478"/>
    <cellStyle name="Accent6 7" xfId="1176"/>
    <cellStyle name="Actual Date" xfId="364"/>
    <cellStyle name="Actual Date 2" xfId="479"/>
    <cellStyle name="Adjustable" xfId="133"/>
    <cellStyle name="Adjustable 2" xfId="480"/>
    <cellStyle name="Bad" xfId="1052" builtinId="27" customBuiltin="1"/>
    <cellStyle name="Bad 2" xfId="135"/>
    <cellStyle name="Bad 2 2" xfId="365"/>
    <cellStyle name="Bad 2 2 2" xfId="436"/>
    <cellStyle name="Bad 2 2 3" xfId="1211"/>
    <cellStyle name="Bad 3" xfId="136"/>
    <cellStyle name="Bad 4" xfId="137"/>
    <cellStyle name="Bad 5" xfId="134"/>
    <cellStyle name="Bad 6" xfId="481"/>
    <cellStyle name="Bad 7" xfId="1145"/>
    <cellStyle name="Calculation" xfId="1056" builtinId="22" customBuiltin="1"/>
    <cellStyle name="Calculation 2" xfId="139"/>
    <cellStyle name="Calculation 2 2" xfId="366"/>
    <cellStyle name="Calculation 2 2 2" xfId="437"/>
    <cellStyle name="Calculation 2 2 3" xfId="1212"/>
    <cellStyle name="Calculation 3" xfId="140"/>
    <cellStyle name="Calculation 3 2" xfId="482"/>
    <cellStyle name="Calculation 4" xfId="141"/>
    <cellStyle name="Calculation 4 2" xfId="483"/>
    <cellStyle name="Calculation 5" xfId="138"/>
    <cellStyle name="Calculation 5 2" xfId="484"/>
    <cellStyle name="Calculation 6" xfId="485"/>
    <cellStyle name="Calculation 7" xfId="1149"/>
    <cellStyle name="Check Cell" xfId="1058" builtinId="23" customBuiltin="1"/>
    <cellStyle name="Check Cell 2" xfId="143"/>
    <cellStyle name="Check Cell 2 2" xfId="367"/>
    <cellStyle name="Check Cell 2 2 2" xfId="438"/>
    <cellStyle name="Check Cell 2 2 3" xfId="1213"/>
    <cellStyle name="Check Cell 3" xfId="144"/>
    <cellStyle name="Check Cell 4" xfId="145"/>
    <cellStyle name="Check Cell 5" xfId="142"/>
    <cellStyle name="Check Cell 6" xfId="486"/>
    <cellStyle name="Check Cell 7" xfId="1151"/>
    <cellStyle name="Comma" xfId="1" builtinId="3"/>
    <cellStyle name="Comma 0" xfId="147"/>
    <cellStyle name="Comma 10" xfId="148"/>
    <cellStyle name="Comma 11" xfId="149"/>
    <cellStyle name="Comma 12" xfId="146"/>
    <cellStyle name="Comma 12 2" xfId="487"/>
    <cellStyle name="Comma 12 2 2" xfId="1435"/>
    <cellStyle name="Comma 12 3" xfId="678"/>
    <cellStyle name="Comma 13" xfId="488"/>
    <cellStyle name="Comma 13 2" xfId="489"/>
    <cellStyle name="Comma 13 3" xfId="490"/>
    <cellStyle name="Comma 13 3 2" xfId="837"/>
    <cellStyle name="Comma 13 3 2 2" xfId="898"/>
    <cellStyle name="Comma 13 3 2 2 2" xfId="1229"/>
    <cellStyle name="Comma 13 3 2 3" xfId="1228"/>
    <cellStyle name="Comma 13 3 3" xfId="920"/>
    <cellStyle name="Comma 13 3 3 2" xfId="1230"/>
    <cellStyle name="Comma 13 3 4" xfId="883"/>
    <cellStyle name="Comma 13 3 4 2" xfId="1231"/>
    <cellStyle name="Comma 13 3 5" xfId="979"/>
    <cellStyle name="Comma 13 3 5 2" xfId="1232"/>
    <cellStyle name="Comma 13 3 6" xfId="822"/>
    <cellStyle name="Comma 13 3 6 2" xfId="1233"/>
    <cellStyle name="Comma 13 3 7" xfId="1227"/>
    <cellStyle name="Comma 14" xfId="491"/>
    <cellStyle name="Comma 14 2" xfId="492"/>
    <cellStyle name="Comma 14 2 2" xfId="493"/>
    <cellStyle name="Comma 14 3" xfId="494"/>
    <cellStyle name="Comma 15" xfId="495"/>
    <cellStyle name="Comma 15 2" xfId="496"/>
    <cellStyle name="Comma 15 2 2" xfId="497"/>
    <cellStyle name="Comma 15 2 2 2" xfId="840"/>
    <cellStyle name="Comma 15 2 2 2 2" xfId="901"/>
    <cellStyle name="Comma 15 2 2 2 2 2" xfId="1238"/>
    <cellStyle name="Comma 15 2 2 2 3" xfId="1237"/>
    <cellStyle name="Comma 15 2 2 3" xfId="923"/>
    <cellStyle name="Comma 15 2 2 3 2" xfId="1239"/>
    <cellStyle name="Comma 15 2 2 4" xfId="886"/>
    <cellStyle name="Comma 15 2 2 4 2" xfId="1240"/>
    <cellStyle name="Comma 15 2 2 5" xfId="982"/>
    <cellStyle name="Comma 15 2 2 5 2" xfId="1241"/>
    <cellStyle name="Comma 15 2 2 6" xfId="825"/>
    <cellStyle name="Comma 15 2 2 6 2" xfId="1242"/>
    <cellStyle name="Comma 15 2 2 7" xfId="1236"/>
    <cellStyle name="Comma 15 2 3" xfId="839"/>
    <cellStyle name="Comma 15 2 3 2" xfId="900"/>
    <cellStyle name="Comma 15 2 3 2 2" xfId="1244"/>
    <cellStyle name="Comma 15 2 3 3" xfId="1243"/>
    <cellStyle name="Comma 15 2 4" xfId="922"/>
    <cellStyle name="Comma 15 2 4 2" xfId="1245"/>
    <cellStyle name="Comma 15 2 5" xfId="885"/>
    <cellStyle name="Comma 15 2 5 2" xfId="1246"/>
    <cellStyle name="Comma 15 2 6" xfId="981"/>
    <cellStyle name="Comma 15 2 6 2" xfId="1247"/>
    <cellStyle name="Comma 15 2 7" xfId="824"/>
    <cellStyle name="Comma 15 2 7 2" xfId="1248"/>
    <cellStyle name="Comma 15 2 8" xfId="1235"/>
    <cellStyle name="Comma 15 3" xfId="498"/>
    <cellStyle name="Comma 15 3 2" xfId="841"/>
    <cellStyle name="Comma 15 3 2 2" xfId="902"/>
    <cellStyle name="Comma 15 3 2 2 2" xfId="1251"/>
    <cellStyle name="Comma 15 3 2 3" xfId="1250"/>
    <cellStyle name="Comma 15 3 3" xfId="924"/>
    <cellStyle name="Comma 15 3 3 2" xfId="1252"/>
    <cellStyle name="Comma 15 3 4" xfId="887"/>
    <cellStyle name="Comma 15 3 4 2" xfId="1253"/>
    <cellStyle name="Comma 15 3 5" xfId="983"/>
    <cellStyle name="Comma 15 3 5 2" xfId="1254"/>
    <cellStyle name="Comma 15 3 6" xfId="826"/>
    <cellStyle name="Comma 15 3 6 2" xfId="1255"/>
    <cellStyle name="Comma 15 3 7" xfId="1249"/>
    <cellStyle name="Comma 15 4" xfId="838"/>
    <cellStyle name="Comma 15 4 2" xfId="899"/>
    <cellStyle name="Comma 15 4 2 2" xfId="1257"/>
    <cellStyle name="Comma 15 4 3" xfId="1256"/>
    <cellStyle name="Comma 15 5" xfId="921"/>
    <cellStyle name="Comma 15 5 2" xfId="1258"/>
    <cellStyle name="Comma 15 6" xfId="884"/>
    <cellStyle name="Comma 15 6 2" xfId="1259"/>
    <cellStyle name="Comma 15 7" xfId="980"/>
    <cellStyle name="Comma 15 7 2" xfId="1260"/>
    <cellStyle name="Comma 15 8" xfId="823"/>
    <cellStyle name="Comma 15 8 2" xfId="1261"/>
    <cellStyle name="Comma 15 9" xfId="1234"/>
    <cellStyle name="Comma 16" xfId="499"/>
    <cellStyle name="Comma 17" xfId="500"/>
    <cellStyle name="Comma 18" xfId="676"/>
    <cellStyle name="Comma 18 2" xfId="973"/>
    <cellStyle name="Comma 18 2 2" xfId="1263"/>
    <cellStyle name="Comma 18 3" xfId="919"/>
    <cellStyle name="Comma 18 3 2" xfId="1264"/>
    <cellStyle name="Comma 18 4" xfId="1262"/>
    <cellStyle name="Comma 19" xfId="1133"/>
    <cellStyle name="Comma 2" xfId="150"/>
    <cellStyle name="Comma 2 2" xfId="151"/>
    <cellStyle name="Comma 2 2 2" xfId="368"/>
    <cellStyle name="Comma 2 2 2 2" xfId="501"/>
    <cellStyle name="Comma 2 2 2 3" xfId="925"/>
    <cellStyle name="Comma 2 2 3" xfId="502"/>
    <cellStyle name="Comma 2 2 4" xfId="708"/>
    <cellStyle name="Comma 2 2 4 2" xfId="842"/>
    <cellStyle name="Comma 2 2_Augmentation" xfId="503"/>
    <cellStyle name="Comma 2 3" xfId="152"/>
    <cellStyle name="Comma 2 3 2" xfId="504"/>
    <cellStyle name="Comma 2 3 3" xfId="843"/>
    <cellStyle name="Comma 2 3 3 2" xfId="903"/>
    <cellStyle name="Comma 2 3 3 2 2" xfId="1266"/>
    <cellStyle name="Comma 2 3 3 3" xfId="1265"/>
    <cellStyle name="Comma 2 3 4" xfId="878"/>
    <cellStyle name="Comma 2 3 4 2" xfId="1267"/>
    <cellStyle name="Comma 2 3 5" xfId="799"/>
    <cellStyle name="Comma 2 3 5 2" xfId="1268"/>
    <cellStyle name="Comma 2 4" xfId="331"/>
    <cellStyle name="Comma 2 4 2" xfId="505"/>
    <cellStyle name="Comma 2 4 3" xfId="683"/>
    <cellStyle name="Comma 2 5" xfId="506"/>
    <cellStyle name="Comma 3" xfId="153"/>
    <cellStyle name="Comma 3 2" xfId="439"/>
    <cellStyle name="Comma 4" xfId="154"/>
    <cellStyle name="Comma 4 2" xfId="507"/>
    <cellStyle name="Comma 5" xfId="155"/>
    <cellStyle name="Comma 5 2" xfId="156"/>
    <cellStyle name="Comma 5 2 2" xfId="508"/>
    <cellStyle name="Comma 5 3" xfId="157"/>
    <cellStyle name="Comma 6" xfId="158"/>
    <cellStyle name="Comma 6 2" xfId="159"/>
    <cellStyle name="Comma 6 2 2" xfId="509"/>
    <cellStyle name="Comma 6 3" xfId="510"/>
    <cellStyle name="Comma 7" xfId="160"/>
    <cellStyle name="Comma 7 2" xfId="161"/>
    <cellStyle name="Comma 7 2 2" xfId="511"/>
    <cellStyle name="Comma 7 3" xfId="512"/>
    <cellStyle name="Comma 8" xfId="162"/>
    <cellStyle name="Comma 8 2" xfId="163"/>
    <cellStyle name="Comma 9" xfId="164"/>
    <cellStyle name="Comma 9 2" xfId="513"/>
    <cellStyle name="Comma0 - Style1" xfId="369"/>
    <cellStyle name="Currency" xfId="2" builtinId="4"/>
    <cellStyle name="Currency 0" xfId="166"/>
    <cellStyle name="Currency 10" xfId="514"/>
    <cellStyle name="Currency 10 2" xfId="926"/>
    <cellStyle name="Currency 10 3" xfId="803"/>
    <cellStyle name="Currency 11" xfId="515"/>
    <cellStyle name="Currency 12" xfId="668"/>
    <cellStyle name="Currency 2" xfId="167"/>
    <cellStyle name="Currency 2 2" xfId="370"/>
    <cellStyle name="Currency 2 2 2" xfId="440"/>
    <cellStyle name="Currency 2 2 3" xfId="927"/>
    <cellStyle name="Currency 2 3" xfId="516"/>
    <cellStyle name="Currency 2 4" xfId="709"/>
    <cellStyle name="Currency 2 4 2" xfId="844"/>
    <cellStyle name="Currency 2 5" xfId="1226"/>
    <cellStyle name="Currency 2_Augmentation" xfId="517"/>
    <cellStyle name="Currency 3" xfId="168"/>
    <cellStyle name="Currency 3 2" xfId="518"/>
    <cellStyle name="Currency 4" xfId="169"/>
    <cellStyle name="Currency 5" xfId="170"/>
    <cellStyle name="Currency 6" xfId="165"/>
    <cellStyle name="Currency 6 2" xfId="519"/>
    <cellStyle name="Currency 6 3" xfId="679"/>
    <cellStyle name="Currency 7" xfId="520"/>
    <cellStyle name="Currency 7 2" xfId="521"/>
    <cellStyle name="Currency 7 3" xfId="522"/>
    <cellStyle name="Currency 7 3 2" xfId="845"/>
    <cellStyle name="Currency 7 3 2 2" xfId="904"/>
    <cellStyle name="Currency 7 3 2 2 2" xfId="1271"/>
    <cellStyle name="Currency 7 3 2 3" xfId="1270"/>
    <cellStyle name="Currency 7 3 3" xfId="928"/>
    <cellStyle name="Currency 7 3 3 2" xfId="1272"/>
    <cellStyle name="Currency 7 3 4" xfId="888"/>
    <cellStyle name="Currency 7 3 4 2" xfId="1273"/>
    <cellStyle name="Currency 7 3 5" xfId="984"/>
    <cellStyle name="Currency 7 3 5 2" xfId="1274"/>
    <cellStyle name="Currency 7 3 6" xfId="827"/>
    <cellStyle name="Currency 7 3 6 2" xfId="1275"/>
    <cellStyle name="Currency 7 3 7" xfId="1269"/>
    <cellStyle name="Currency 8" xfId="523"/>
    <cellStyle name="Currency 8 2" xfId="524"/>
    <cellStyle name="Currency 8 3" xfId="525"/>
    <cellStyle name="Currency 9" xfId="526"/>
    <cellStyle name="Currency 9 2" xfId="527"/>
    <cellStyle name="Currency 9 2 2" xfId="528"/>
    <cellStyle name="Currency 9 2 2 2" xfId="847"/>
    <cellStyle name="Currency 9 2 2 2 2" xfId="906"/>
    <cellStyle name="Currency 9 2 2 2 2 2" xfId="1280"/>
    <cellStyle name="Currency 9 2 2 2 3" xfId="1279"/>
    <cellStyle name="Currency 9 2 2 3" xfId="931"/>
    <cellStyle name="Currency 9 2 2 3 2" xfId="1281"/>
    <cellStyle name="Currency 9 2 2 4" xfId="890"/>
    <cellStyle name="Currency 9 2 2 4 2" xfId="1282"/>
    <cellStyle name="Currency 9 2 2 5" xfId="987"/>
    <cellStyle name="Currency 9 2 2 5 2" xfId="1283"/>
    <cellStyle name="Currency 9 2 2 6" xfId="829"/>
    <cellStyle name="Currency 9 2 2 6 2" xfId="1284"/>
    <cellStyle name="Currency 9 2 2 7" xfId="1278"/>
    <cellStyle name="Currency 9 2 3" xfId="846"/>
    <cellStyle name="Currency 9 2 3 2" xfId="905"/>
    <cellStyle name="Currency 9 2 3 2 2" xfId="1286"/>
    <cellStyle name="Currency 9 2 3 3" xfId="1285"/>
    <cellStyle name="Currency 9 2 4" xfId="930"/>
    <cellStyle name="Currency 9 2 4 2" xfId="1287"/>
    <cellStyle name="Currency 9 2 5" xfId="889"/>
    <cellStyle name="Currency 9 2 5 2" xfId="1288"/>
    <cellStyle name="Currency 9 2 6" xfId="986"/>
    <cellStyle name="Currency 9 2 6 2" xfId="1289"/>
    <cellStyle name="Currency 9 2 7" xfId="828"/>
    <cellStyle name="Currency 9 2 7 2" xfId="1290"/>
    <cellStyle name="Currency 9 2 8" xfId="1277"/>
    <cellStyle name="Currency 9 3" xfId="529"/>
    <cellStyle name="Currency 9 3 2" xfId="848"/>
    <cellStyle name="Currency 9 3 2 2" xfId="907"/>
    <cellStyle name="Currency 9 3 2 2 2" xfId="1293"/>
    <cellStyle name="Currency 9 3 2 3" xfId="1292"/>
    <cellStyle name="Currency 9 3 3" xfId="932"/>
    <cellStyle name="Currency 9 3 3 2" xfId="1294"/>
    <cellStyle name="Currency 9 3 4" xfId="891"/>
    <cellStyle name="Currency 9 3 4 2" xfId="1295"/>
    <cellStyle name="Currency 9 3 5" xfId="988"/>
    <cellStyle name="Currency 9 3 5 2" xfId="1296"/>
    <cellStyle name="Currency 9 3 6" xfId="830"/>
    <cellStyle name="Currency 9 3 6 2" xfId="1297"/>
    <cellStyle name="Currency 9 3 7" xfId="1291"/>
    <cellStyle name="Currency 9 4" xfId="929"/>
    <cellStyle name="Currency 9 4 2" xfId="1298"/>
    <cellStyle name="Currency 9 5" xfId="985"/>
    <cellStyle name="Currency 9 5 2" xfId="1299"/>
    <cellStyle name="Currency 9 6" xfId="810"/>
    <cellStyle name="Currency 9 7" xfId="1276"/>
    <cellStyle name="Date" xfId="171"/>
    <cellStyle name="Date 2" xfId="172"/>
    <cellStyle name="Date 2 2" xfId="710"/>
    <cellStyle name="Date 3" xfId="371"/>
    <cellStyle name="Date 3 2" xfId="933"/>
    <cellStyle name="Date 3 3" xfId="805"/>
    <cellStyle name="Date 4" xfId="711"/>
    <cellStyle name="Date Aligned" xfId="173"/>
    <cellStyle name="Date_Augmentation" xfId="530"/>
    <cellStyle name="Dotted Line" xfId="174"/>
    <cellStyle name="Euro" xfId="372"/>
    <cellStyle name="Euro 2" xfId="712"/>
    <cellStyle name="Euro 2 2" xfId="849"/>
    <cellStyle name="Explanatory Text" xfId="1061" builtinId="53" customBuiltin="1"/>
    <cellStyle name="Explanatory Text 2" xfId="176"/>
    <cellStyle name="Explanatory Text 2 2" xfId="373"/>
    <cellStyle name="Explanatory Text 2 2 2" xfId="441"/>
    <cellStyle name="Explanatory Text 2 2 3" xfId="1214"/>
    <cellStyle name="Explanatory Text 3" xfId="177"/>
    <cellStyle name="Explanatory Text 4" xfId="178"/>
    <cellStyle name="Explanatory Text 5" xfId="175"/>
    <cellStyle name="Explanatory Text 6" xfId="531"/>
    <cellStyle name="Explanatory Text 7" xfId="1154"/>
    <cellStyle name="F2" xfId="532"/>
    <cellStyle name="F2 2" xfId="533"/>
    <cellStyle name="F2 2 2" xfId="534"/>
    <cellStyle name="F3" xfId="535"/>
    <cellStyle name="F3 2" xfId="536"/>
    <cellStyle name="F3 3" xfId="537"/>
    <cellStyle name="F3 3 2" xfId="538"/>
    <cellStyle name="F4" xfId="539"/>
    <cellStyle name="F4 2" xfId="540"/>
    <cellStyle name="F4 2 2" xfId="541"/>
    <cellStyle name="F5" xfId="542"/>
    <cellStyle name="F5 2" xfId="543"/>
    <cellStyle name="F5 3" xfId="544"/>
    <cellStyle name="F5 3 2" xfId="545"/>
    <cellStyle name="F6" xfId="546"/>
    <cellStyle name="F6 2" xfId="547"/>
    <cellStyle name="F6 2 2" xfId="548"/>
    <cellStyle name="F7" xfId="549"/>
    <cellStyle name="F7 2" xfId="550"/>
    <cellStyle name="F7 3" xfId="551"/>
    <cellStyle name="F7 3 2" xfId="552"/>
    <cellStyle name="F8" xfId="553"/>
    <cellStyle name="F8 2" xfId="554"/>
    <cellStyle name="F8 2 2" xfId="555"/>
    <cellStyle name="Fixed" xfId="374"/>
    <cellStyle name="Fixed 2" xfId="375"/>
    <cellStyle name="Fixed 2 2" xfId="556"/>
    <cellStyle name="Fixed 3" xfId="713"/>
    <cellStyle name="Fixed 3 2" xfId="850"/>
    <cellStyle name="Fixed1 - Style1" xfId="376"/>
    <cellStyle name="Footnote" xfId="179"/>
    <cellStyle name="Good" xfId="1051" builtinId="26" customBuiltin="1"/>
    <cellStyle name="Good 2" xfId="181"/>
    <cellStyle name="Good 2 2" xfId="377"/>
    <cellStyle name="Good 2 2 2" xfId="442"/>
    <cellStyle name="Good 2 2 3" xfId="1215"/>
    <cellStyle name="Good 3" xfId="182"/>
    <cellStyle name="Good 4" xfId="183"/>
    <cellStyle name="Good 5" xfId="180"/>
    <cellStyle name="Good 6" xfId="557"/>
    <cellStyle name="Good 7" xfId="1144"/>
    <cellStyle name="Grey" xfId="378"/>
    <cellStyle name="Grey 2" xfId="558"/>
    <cellStyle name="Hard Percent" xfId="184"/>
    <cellStyle name="Header" xfId="185"/>
    <cellStyle name="HEADER 2" xfId="379"/>
    <cellStyle name="Header 2 2" xfId="559"/>
    <cellStyle name="Heading 1" xfId="1047" builtinId="16" customBuiltin="1"/>
    <cellStyle name="Heading 1 2" xfId="187"/>
    <cellStyle name="Heading 1 3" xfId="188"/>
    <cellStyle name="Heading 1 4" xfId="189"/>
    <cellStyle name="Heading 1 5" xfId="186"/>
    <cellStyle name="Heading 1 6" xfId="560"/>
    <cellStyle name="Heading 1 7" xfId="1140"/>
    <cellStyle name="Heading 2" xfId="1048" builtinId="17" customBuiltin="1"/>
    <cellStyle name="Heading 2 2" xfId="191"/>
    <cellStyle name="Heading 2 3" xfId="192"/>
    <cellStyle name="Heading 2 4" xfId="193"/>
    <cellStyle name="Heading 2 5" xfId="190"/>
    <cellStyle name="Heading 2 6" xfId="561"/>
    <cellStyle name="Heading 2 7" xfId="1141"/>
    <cellStyle name="Heading 3" xfId="1049" builtinId="18" customBuiltin="1"/>
    <cellStyle name="Heading 3 2" xfId="195"/>
    <cellStyle name="Heading 3 3" xfId="196"/>
    <cellStyle name="Heading 3 4" xfId="197"/>
    <cellStyle name="Heading 3 5" xfId="194"/>
    <cellStyle name="Heading 3 6" xfId="562"/>
    <cellStyle name="Heading 3 7" xfId="1142"/>
    <cellStyle name="Heading 4" xfId="1050" builtinId="19" customBuiltin="1"/>
    <cellStyle name="Heading 4 2" xfId="199"/>
    <cellStyle name="Heading 4 3" xfId="200"/>
    <cellStyle name="Heading 4 4" xfId="201"/>
    <cellStyle name="Heading 4 5" xfId="198"/>
    <cellStyle name="Heading 4 6" xfId="563"/>
    <cellStyle name="Heading 4 7" xfId="1143"/>
    <cellStyle name="Heading1" xfId="380"/>
    <cellStyle name="Heading1 2" xfId="381"/>
    <cellStyle name="Heading1 2 2" xfId="564"/>
    <cellStyle name="Heading1 3" xfId="714"/>
    <cellStyle name="Heading1 3 2" xfId="851"/>
    <cellStyle name="Heading2" xfId="382"/>
    <cellStyle name="Heading2 2" xfId="383"/>
    <cellStyle name="Heading2 2 2" xfId="565"/>
    <cellStyle name="Heading2 3" xfId="715"/>
    <cellStyle name="Heading2 3 2" xfId="852"/>
    <cellStyle name="HIGHLIGHT" xfId="384"/>
    <cellStyle name="HIGHLIGHT 2" xfId="566"/>
    <cellStyle name="Hyperlink" xfId="4" builtinId="8"/>
    <cellStyle name="Hyperlink 2" xfId="202"/>
    <cellStyle name="Hyperlink 2 2" xfId="203"/>
    <cellStyle name="Hyperlink 2 2 2" xfId="716"/>
    <cellStyle name="Hyperlink 2 3" xfId="333"/>
    <cellStyle name="Hyperlink 2_Augmentation" xfId="567"/>
    <cellStyle name="Hyperlink 3" xfId="204"/>
    <cellStyle name="Hyperlink 3 2" xfId="443"/>
    <cellStyle name="Hyperlink 3 2 2" xfId="934"/>
    <cellStyle name="Hyperlink 3 2 3" xfId="806"/>
    <cellStyle name="Hyperlink 3 3" xfId="1184"/>
    <cellStyle name="Hyperlink 4" xfId="332"/>
    <cellStyle name="Hyperlink 4 2" xfId="444"/>
    <cellStyle name="Hyperlink 4 3" xfId="1186"/>
    <cellStyle name="Hyperlink 5" xfId="568"/>
    <cellStyle name="Input" xfId="1054" builtinId="20" customBuiltin="1"/>
    <cellStyle name="Input [yellow]" xfId="385"/>
    <cellStyle name="Input [yellow] 2" xfId="569"/>
    <cellStyle name="Input [yellow] 2 2" xfId="570"/>
    <cellStyle name="Input [yellow] 3" xfId="571"/>
    <cellStyle name="Input 10" xfId="717"/>
    <cellStyle name="Input 11" xfId="718"/>
    <cellStyle name="Input 12" xfId="719"/>
    <cellStyle name="Input 13" xfId="720"/>
    <cellStyle name="Input 14" xfId="721"/>
    <cellStyle name="Input 15" xfId="722"/>
    <cellStyle name="Input 16" xfId="723"/>
    <cellStyle name="Input 17" xfId="724"/>
    <cellStyle name="Input 18" xfId="725"/>
    <cellStyle name="Input 19" xfId="726"/>
    <cellStyle name="Input 2" xfId="206"/>
    <cellStyle name="Input 2 2" xfId="386"/>
    <cellStyle name="Input 2 2 2" xfId="445"/>
    <cellStyle name="Input 2 2 3" xfId="1216"/>
    <cellStyle name="Input 20" xfId="727"/>
    <cellStyle name="Input 21" xfId="728"/>
    <cellStyle name="Input 22" xfId="729"/>
    <cellStyle name="Input 23" xfId="730"/>
    <cellStyle name="Input 24" xfId="669"/>
    <cellStyle name="Input 25" xfId="672"/>
    <cellStyle name="Input 26" xfId="688"/>
    <cellStyle name="Input 27" xfId="781"/>
    <cellStyle name="Input 27 2" xfId="1147"/>
    <cellStyle name="Input 28" xfId="784"/>
    <cellStyle name="Input 28 2" xfId="1183"/>
    <cellStyle name="Input 29" xfId="797"/>
    <cellStyle name="Input 29 2" xfId="1180"/>
    <cellStyle name="Input 3" xfId="207"/>
    <cellStyle name="Input 3 2" xfId="572"/>
    <cellStyle name="Input 30" xfId="791"/>
    <cellStyle name="Input 31" xfId="779"/>
    <cellStyle name="Input 32" xfId="1007"/>
    <cellStyle name="Input 33" xfId="778"/>
    <cellStyle name="Input 34" xfId="785"/>
    <cellStyle name="Input 35" xfId="1017"/>
    <cellStyle name="Input 36" xfId="1012"/>
    <cellStyle name="Input 37" xfId="1040"/>
    <cellStyle name="Input 38" xfId="1028"/>
    <cellStyle name="Input 39" xfId="1036"/>
    <cellStyle name="Input 4" xfId="208"/>
    <cellStyle name="Input 4 2" xfId="573"/>
    <cellStyle name="Input 40" xfId="1015"/>
    <cellStyle name="Input 41" xfId="1027"/>
    <cellStyle name="Input 42" xfId="1013"/>
    <cellStyle name="Input 43" xfId="1014"/>
    <cellStyle name="Input 44" xfId="1016"/>
    <cellStyle name="Input 45" xfId="1099"/>
    <cellStyle name="Input 46" xfId="1106"/>
    <cellStyle name="Input 47" xfId="1224"/>
    <cellStyle name="Input 48" xfId="1114"/>
    <cellStyle name="Input 49" xfId="1093"/>
    <cellStyle name="Input 5" xfId="205"/>
    <cellStyle name="Input 5 2" xfId="574"/>
    <cellStyle name="Input 50" xfId="1088"/>
    <cellStyle name="Input 51" xfId="1109"/>
    <cellStyle name="Input 52" xfId="1110"/>
    <cellStyle name="Input 53" xfId="1090"/>
    <cellStyle name="Input 54" xfId="1103"/>
    <cellStyle name="Input 55" xfId="1400"/>
    <cellStyle name="Input 56" xfId="1221"/>
    <cellStyle name="Input 57" xfId="1395"/>
    <cellStyle name="Input 58" xfId="1425"/>
    <cellStyle name="Input 59" xfId="1428"/>
    <cellStyle name="Input 6" xfId="329"/>
    <cellStyle name="Input 6 2" xfId="575"/>
    <cellStyle name="Input 60" xfId="1431"/>
    <cellStyle name="Input 7" xfId="323"/>
    <cellStyle name="Input 7 2" xfId="576"/>
    <cellStyle name="Input 8" xfId="325"/>
    <cellStyle name="Input 9" xfId="328"/>
    <cellStyle name="Linked Cell" xfId="1057" builtinId="24" customBuiltin="1"/>
    <cellStyle name="Linked Cell 2" xfId="210"/>
    <cellStyle name="Linked Cell 2 2" xfId="387"/>
    <cellStyle name="Linked Cell 2 2 2" xfId="446"/>
    <cellStyle name="Linked Cell 2 2 3" xfId="1217"/>
    <cellStyle name="Linked Cell 3" xfId="211"/>
    <cellStyle name="Linked Cell 4" xfId="212"/>
    <cellStyle name="Linked Cell 5" xfId="209"/>
    <cellStyle name="Linked Cell 6" xfId="577"/>
    <cellStyle name="Linked Cell 7" xfId="1150"/>
    <cellStyle name="Multiple" xfId="213"/>
    <cellStyle name="Neutral" xfId="1053" builtinId="28" customBuiltin="1"/>
    <cellStyle name="Neutral 2" xfId="215"/>
    <cellStyle name="Neutral 2 2" xfId="388"/>
    <cellStyle name="Neutral 2 2 2" xfId="447"/>
    <cellStyle name="Neutral 2 2 3" xfId="1218"/>
    <cellStyle name="Neutral 3" xfId="216"/>
    <cellStyle name="Neutral 4" xfId="217"/>
    <cellStyle name="Neutral 5" xfId="214"/>
    <cellStyle name="Neutral 6" xfId="578"/>
    <cellStyle name="Neutral 7" xfId="1146"/>
    <cellStyle name="no dec" xfId="389"/>
    <cellStyle name="no dec 2" xfId="579"/>
    <cellStyle name="no dec 2 2" xfId="580"/>
    <cellStyle name="Normal" xfId="0" builtinId="0"/>
    <cellStyle name="Normal - Style1" xfId="390"/>
    <cellStyle name="Normal - Style1 2" xfId="581"/>
    <cellStyle name="Normal 10" xfId="322"/>
    <cellStyle name="Normal 10 2" xfId="583"/>
    <cellStyle name="Normal 10 2 2" xfId="853"/>
    <cellStyle name="Normal 10 2 2 2" xfId="908"/>
    <cellStyle name="Normal 10 2 2 2 2" xfId="1302"/>
    <cellStyle name="Normal 10 2 2 3" xfId="1301"/>
    <cellStyle name="Normal 10 2 3" xfId="936"/>
    <cellStyle name="Normal 10 2 3 2" xfId="1303"/>
    <cellStyle name="Normal 10 2 4" xfId="892"/>
    <cellStyle name="Normal 10 2 4 2" xfId="1304"/>
    <cellStyle name="Normal 10 2 5" xfId="989"/>
    <cellStyle name="Normal 10 2 5 2" xfId="1305"/>
    <cellStyle name="Normal 10 2 6" xfId="831"/>
    <cellStyle name="Normal 10 2 6 2" xfId="1306"/>
    <cellStyle name="Normal 10 2 7" xfId="1300"/>
    <cellStyle name="Normal 10 3" xfId="582"/>
    <cellStyle name="Normal 10 4" xfId="935"/>
    <cellStyle name="Normal 10 5" xfId="1000"/>
    <cellStyle name="Normal 10 5 2" xfId="1307"/>
    <cellStyle name="Normal 11" xfId="410"/>
    <cellStyle name="Normal 11 2" xfId="585"/>
    <cellStyle name="Normal 11 2 2" xfId="854"/>
    <cellStyle name="Normal 11 2 2 2" xfId="909"/>
    <cellStyle name="Normal 11 2 2 2 2" xfId="1310"/>
    <cellStyle name="Normal 11 2 2 3" xfId="1309"/>
    <cellStyle name="Normal 11 2 3" xfId="938"/>
    <cellStyle name="Normal 11 2 3 2" xfId="1311"/>
    <cellStyle name="Normal 11 2 4" xfId="893"/>
    <cellStyle name="Normal 11 2 4 2" xfId="1312"/>
    <cellStyle name="Normal 11 2 5" xfId="990"/>
    <cellStyle name="Normal 11 2 5 2" xfId="1313"/>
    <cellStyle name="Normal 11 2 6" xfId="832"/>
    <cellStyle name="Normal 11 2 6 2" xfId="1314"/>
    <cellStyle name="Normal 11 2 7" xfId="1308"/>
    <cellStyle name="Normal 11 3" xfId="584"/>
    <cellStyle name="Normal 11 4" xfId="937"/>
    <cellStyle name="Normal 11 5" xfId="1001"/>
    <cellStyle name="Normal 11 5 2" xfId="1315"/>
    <cellStyle name="Normal 12" xfId="409"/>
    <cellStyle name="Normal 12 2" xfId="586"/>
    <cellStyle name="Normal 12 3" xfId="1002"/>
    <cellStyle name="Normal 12 3 2" xfId="1316"/>
    <cellStyle name="Normal 13" xfId="411"/>
    <cellStyle name="Normal 13 2" xfId="587"/>
    <cellStyle name="Normal 13 3" xfId="939"/>
    <cellStyle name="Normal 13 4" xfId="811"/>
    <cellStyle name="Normal 13 5" xfId="1003"/>
    <cellStyle name="Normal 13 5 2" xfId="1317"/>
    <cellStyle name="Normal 14" xfId="588"/>
    <cellStyle name="Normal 14 2" xfId="589"/>
    <cellStyle name="Normal 14 2 2" xfId="590"/>
    <cellStyle name="Normal 14 2 2 2" xfId="856"/>
    <cellStyle name="Normal 14 2 2 2 2" xfId="911"/>
    <cellStyle name="Normal 14 2 2 2 2 2" xfId="1322"/>
    <cellStyle name="Normal 14 2 2 2 3" xfId="1321"/>
    <cellStyle name="Normal 14 2 2 3" xfId="942"/>
    <cellStyle name="Normal 14 2 2 3 2" xfId="1323"/>
    <cellStyle name="Normal 14 2 2 4" xfId="895"/>
    <cellStyle name="Normal 14 2 2 4 2" xfId="1324"/>
    <cellStyle name="Normal 14 2 2 5" xfId="993"/>
    <cellStyle name="Normal 14 2 2 5 2" xfId="1325"/>
    <cellStyle name="Normal 14 2 2 6" xfId="834"/>
    <cellStyle name="Normal 14 2 2 6 2" xfId="1326"/>
    <cellStyle name="Normal 14 2 2 7" xfId="1320"/>
    <cellStyle name="Normal 14 2 3" xfId="855"/>
    <cellStyle name="Normal 14 2 3 2" xfId="910"/>
    <cellStyle name="Normal 14 2 3 2 2" xfId="1328"/>
    <cellStyle name="Normal 14 2 3 3" xfId="1327"/>
    <cellStyle name="Normal 14 2 4" xfId="941"/>
    <cellStyle name="Normal 14 2 4 2" xfId="1329"/>
    <cellStyle name="Normal 14 2 5" xfId="894"/>
    <cellStyle name="Normal 14 2 5 2" xfId="1330"/>
    <cellStyle name="Normal 14 2 6" xfId="992"/>
    <cellStyle name="Normal 14 2 6 2" xfId="1331"/>
    <cellStyle name="Normal 14 2 7" xfId="833"/>
    <cellStyle name="Normal 14 2 7 2" xfId="1332"/>
    <cellStyle name="Normal 14 2 8" xfId="1319"/>
    <cellStyle name="Normal 14 3" xfId="591"/>
    <cellStyle name="Normal 14 3 2" xfId="857"/>
    <cellStyle name="Normal 14 3 2 2" xfId="912"/>
    <cellStyle name="Normal 14 3 2 2 2" xfId="1335"/>
    <cellStyle name="Normal 14 3 2 3" xfId="1334"/>
    <cellStyle name="Normal 14 3 3" xfId="943"/>
    <cellStyle name="Normal 14 3 3 2" xfId="1336"/>
    <cellStyle name="Normal 14 3 4" xfId="896"/>
    <cellStyle name="Normal 14 3 4 2" xfId="1337"/>
    <cellStyle name="Normal 14 3 5" xfId="994"/>
    <cellStyle name="Normal 14 3 5 2" xfId="1338"/>
    <cellStyle name="Normal 14 3 6" xfId="835"/>
    <cellStyle name="Normal 14 3 6 2" xfId="1339"/>
    <cellStyle name="Normal 14 3 7" xfId="1333"/>
    <cellStyle name="Normal 14 4" xfId="940"/>
    <cellStyle name="Normal 14 4 2" xfId="1340"/>
    <cellStyle name="Normal 14 5" xfId="991"/>
    <cellStyle name="Normal 14 5 2" xfId="1341"/>
    <cellStyle name="Normal 14 6" xfId="809"/>
    <cellStyle name="Normal 14 7" xfId="1318"/>
    <cellStyle name="Normal 15" xfId="592"/>
    <cellStyle name="Normal 15 2" xfId="944"/>
    <cellStyle name="Normal 15 3" xfId="812"/>
    <cellStyle name="Normal 16" xfId="593"/>
    <cellStyle name="Normal 16 2" xfId="945"/>
    <cellStyle name="Normal 16 3" xfId="815"/>
    <cellStyle name="Normal 17" xfId="594"/>
    <cellStyle name="Normal 17 2" xfId="858"/>
    <cellStyle name="Normal 17 3" xfId="946"/>
    <cellStyle name="Normal 17 4" xfId="816"/>
    <cellStyle name="Normal 18" xfId="595"/>
    <cellStyle name="Normal 18 2" xfId="859"/>
    <cellStyle name="Normal 18 3" xfId="947"/>
    <cellStyle name="Normal 18 4" xfId="819"/>
    <cellStyle name="Normal 19" xfId="596"/>
    <cellStyle name="Normal 19 2" xfId="860"/>
    <cellStyle name="Normal 19 3" xfId="948"/>
    <cellStyle name="Normal 19 3 2" xfId="1343"/>
    <cellStyle name="Normal 19 4" xfId="995"/>
    <cellStyle name="Normal 19 4 2" xfId="1344"/>
    <cellStyle name="Normal 19 5" xfId="820"/>
    <cellStyle name="Normal 19 6" xfId="1342"/>
    <cellStyle name="Normal 2" xfId="218"/>
    <cellStyle name="Normal 2 2" xfId="597"/>
    <cellStyle name="Normal 2 3" xfId="1132"/>
    <cellStyle name="Normal 2 3 2" xfId="1225"/>
    <cellStyle name="Normal 2 4" xfId="1130"/>
    <cellStyle name="Normal 20" xfId="598"/>
    <cellStyle name="Normal 20 2" xfId="861"/>
    <cellStyle name="Normal 20 3" xfId="949"/>
    <cellStyle name="Normal 20 3 2" xfId="1346"/>
    <cellStyle name="Normal 20 4" xfId="996"/>
    <cellStyle name="Normal 20 4 2" xfId="1347"/>
    <cellStyle name="Normal 20 5" xfId="821"/>
    <cellStyle name="Normal 20 6" xfId="1345"/>
    <cellStyle name="Normal 21" xfId="599"/>
    <cellStyle name="Normal 22" xfId="600"/>
    <cellStyle name="Normal 23" xfId="601"/>
    <cellStyle name="Normal 24" xfId="454"/>
    <cellStyle name="Normal 25" xfId="658"/>
    <cellStyle name="Normal 26" xfId="674"/>
    <cellStyle name="Normal 26 2" xfId="971"/>
    <cellStyle name="Normal 26 2 2" xfId="1349"/>
    <cellStyle name="Normal 26 3" xfId="918"/>
    <cellStyle name="Normal 26 3 2" xfId="1350"/>
    <cellStyle name="Normal 26 4" xfId="1348"/>
    <cellStyle name="Normal 27" xfId="682"/>
    <cellStyle name="Normal 27 2" xfId="975"/>
    <cellStyle name="Normal 27 2 2" xfId="1352"/>
    <cellStyle name="Normal 27 3" xfId="876"/>
    <cellStyle name="Normal 27 4" xfId="1351"/>
    <cellStyle name="Normal 28" xfId="667"/>
    <cellStyle name="Normal 28 2" xfId="877"/>
    <cellStyle name="Normal 28 2 2" xfId="1033"/>
    <cellStyle name="Normal 28 3" xfId="1042"/>
    <cellStyle name="Normal 29" xfId="689"/>
    <cellStyle name="Normal 29 2" xfId="960"/>
    <cellStyle name="Normal 29 2 2" xfId="1035"/>
    <cellStyle name="Normal 29 3" xfId="1044"/>
    <cellStyle name="Normal 3" xfId="219"/>
    <cellStyle name="Normal 3 2" xfId="602"/>
    <cellStyle name="Normal 3 2 2" xfId="862"/>
    <cellStyle name="Normal 30" xfId="687"/>
    <cellStyle name="Normal 30 2" xfId="961"/>
    <cellStyle name="Normal 30 2 2" xfId="1034"/>
    <cellStyle name="Normal 30 3" xfId="1043"/>
    <cellStyle name="Normal 31" xfId="789"/>
    <cellStyle name="Normal 31 2" xfId="962"/>
    <cellStyle name="Normal 31 3" xfId="1115"/>
    <cellStyle name="Normal 32" xfId="792"/>
    <cellStyle name="Normal 32 2" xfId="963"/>
    <cellStyle name="Normal 32 2 2" xfId="1127"/>
    <cellStyle name="Normal 32 3" xfId="1124"/>
    <cellStyle name="Normal 32 4" xfId="1119"/>
    <cellStyle name="Normal 33" xfId="964"/>
    <cellStyle name="Normal 33 2" xfId="1128"/>
    <cellStyle name="Normal 33 3" xfId="1125"/>
    <cellStyle name="Normal 33 4" xfId="1120"/>
    <cellStyle name="Normal 34" xfId="968"/>
    <cellStyle name="Normal 34 2" xfId="1129"/>
    <cellStyle name="Normal 34 3" xfId="1126"/>
    <cellStyle name="Normal 34 4" xfId="1121"/>
    <cellStyle name="Normal 35" xfId="798"/>
    <cellStyle name="Normal 35 2" xfId="1138"/>
    <cellStyle name="Normal 36" xfId="999"/>
    <cellStyle name="Normal 36 2" xfId="1137"/>
    <cellStyle name="Normal 37" xfId="780"/>
    <cellStyle name="Normal 37 2" xfId="1181"/>
    <cellStyle name="Normal 38" xfId="795"/>
    <cellStyle name="Normal 38 2" xfId="1136"/>
    <cellStyle name="Normal 39" xfId="782"/>
    <cellStyle name="Normal 39 2" xfId="1134"/>
    <cellStyle name="Normal 4" xfId="220"/>
    <cellStyle name="Normal 4 2" xfId="391"/>
    <cellStyle name="Normal 4 2 2" xfId="603"/>
    <cellStyle name="Normal 4 2 2 2" xfId="951"/>
    <cellStyle name="Normal 4 2 2 3" xfId="913"/>
    <cellStyle name="Normal 4 2 2 3 2" xfId="1354"/>
    <cellStyle name="Normal 4 2 2 4" xfId="863"/>
    <cellStyle name="Normal 4 2 2 4 2" xfId="1355"/>
    <cellStyle name="Normal 4 2 3" xfId="684"/>
    <cellStyle name="Normal 4 2 3 2" xfId="976"/>
    <cellStyle name="Normal 4 2 3 2 2" xfId="1357"/>
    <cellStyle name="Normal 4 2 3 3" xfId="950"/>
    <cellStyle name="Normal 4 2 3 3 2" xfId="1358"/>
    <cellStyle name="Normal 4 2 3 4" xfId="1356"/>
    <cellStyle name="Normal 4 2 4" xfId="881"/>
    <cellStyle name="Normal 4 2 4 2" xfId="1359"/>
    <cellStyle name="Normal 4 2 5" xfId="966"/>
    <cellStyle name="Normal 4 2 5 2" xfId="1360"/>
    <cellStyle name="Normal 4 2 6" xfId="969"/>
    <cellStyle name="Normal 4 2 6 2" xfId="1361"/>
    <cellStyle name="Normal 4 2 7" xfId="817"/>
    <cellStyle name="Normal 4 2 7 2" xfId="1362"/>
    <cellStyle name="Normal 4 2 8" xfId="1353"/>
    <cellStyle name="Normal 40" xfId="1006"/>
    <cellStyle name="Normal 41" xfId="787"/>
    <cellStyle name="Normal 42" xfId="1005"/>
    <cellStyle name="Normal 43" xfId="1025"/>
    <cellStyle name="Normal 43 2" xfId="1406"/>
    <cellStyle name="Normal 44" xfId="1019"/>
    <cellStyle name="Normal 44 2" xfId="1404"/>
    <cellStyle name="Normal 45" xfId="1030"/>
    <cellStyle name="Normal 45 2" xfId="1408"/>
    <cellStyle name="Normal 46" xfId="1018"/>
    <cellStyle name="Normal 46 2" xfId="1403"/>
    <cellStyle name="Normal 47" xfId="1039"/>
    <cellStyle name="Normal 47 2" xfId="1410"/>
    <cellStyle name="Normal 48" xfId="1032"/>
    <cellStyle name="Normal 48 2" xfId="1409"/>
    <cellStyle name="Normal 49" xfId="1026"/>
    <cellStyle name="Normal 49 2" xfId="1407"/>
    <cellStyle name="Normal 5" xfId="221"/>
    <cellStyle name="Normal 5 2" xfId="392"/>
    <cellStyle name="Normal 5 2 2" xfId="685"/>
    <cellStyle name="Normal 5 2 2 2" xfId="914"/>
    <cellStyle name="Normal 5 2 2 2 2" xfId="1365"/>
    <cellStyle name="Normal 5 2 2 3" xfId="977"/>
    <cellStyle name="Normal 5 2 2 3 2" xfId="1366"/>
    <cellStyle name="Normal 5 2 2 4" xfId="864"/>
    <cellStyle name="Normal 5 2 2 4 2" xfId="1367"/>
    <cellStyle name="Normal 5 2 2 5" xfId="1364"/>
    <cellStyle name="Normal 5 2 3" xfId="731"/>
    <cellStyle name="Normal 5 2 3 2" xfId="998"/>
    <cellStyle name="Normal 5 2 3 2 2" xfId="1369"/>
    <cellStyle name="Normal 5 2 3 3" xfId="952"/>
    <cellStyle name="Normal 5 2 3 3 2" xfId="1370"/>
    <cellStyle name="Normal 5 2 3 4" xfId="1368"/>
    <cellStyle name="Normal 5 2 4" xfId="882"/>
    <cellStyle name="Normal 5 2 4 2" xfId="1371"/>
    <cellStyle name="Normal 5 2 5" xfId="967"/>
    <cellStyle name="Normal 5 2 5 2" xfId="1372"/>
    <cellStyle name="Normal 5 2 6" xfId="970"/>
    <cellStyle name="Normal 5 2 6 2" xfId="1373"/>
    <cellStyle name="Normal 5 2 7" xfId="818"/>
    <cellStyle name="Normal 5 2 7 2" xfId="1374"/>
    <cellStyle name="Normal 5 2 8" xfId="1363"/>
    <cellStyle name="Normal 50" xfId="1023"/>
    <cellStyle name="Normal 50 2" xfId="1405"/>
    <cellStyle name="Normal 51" xfId="1009"/>
    <cellStyle name="Normal 51 2" xfId="1401"/>
    <cellStyle name="Normal 52" xfId="1011"/>
    <cellStyle name="Normal 52 2" xfId="1402"/>
    <cellStyle name="Normal 53" xfId="1113"/>
    <cellStyle name="Normal 53 2" xfId="1420"/>
    <cellStyle name="Normal 54" xfId="1123"/>
    <cellStyle name="Normal 54 2" xfId="1421"/>
    <cellStyle name="Normal 55" xfId="1091"/>
    <cellStyle name="Normal 55 2" xfId="1411"/>
    <cellStyle name="Normal 56" xfId="1100"/>
    <cellStyle name="Normal 56 2" xfId="1415"/>
    <cellStyle name="Normal 57" xfId="1111"/>
    <cellStyle name="Normal 57 2" xfId="1419"/>
    <cellStyle name="Normal 58" xfId="1094"/>
    <cellStyle name="Normal 58 2" xfId="1412"/>
    <cellStyle name="Normal 59" xfId="1398"/>
    <cellStyle name="Normal 59 2" xfId="1423"/>
    <cellStyle name="Normal 6" xfId="222"/>
    <cellStyle name="Normal 6 2" xfId="604"/>
    <cellStyle name="Normal 60" xfId="1097"/>
    <cellStyle name="Normal 60 2" xfId="1414"/>
    <cellStyle name="Normal 61" xfId="1107"/>
    <cellStyle name="Normal 61 2" xfId="1417"/>
    <cellStyle name="Normal 62" xfId="1223"/>
    <cellStyle name="Normal 62 2" xfId="1422"/>
    <cellStyle name="Normal 63" xfId="1108"/>
    <cellStyle name="Normal 63 2" xfId="1418"/>
    <cellStyle name="Normal 64" xfId="1095"/>
    <cellStyle name="Normal 64 2" xfId="1413"/>
    <cellStyle name="Normal 65" xfId="1101"/>
    <cellStyle name="Normal 65 2" xfId="1416"/>
    <cellStyle name="Normal 66" xfId="1424"/>
    <cellStyle name="Normal 67" xfId="1429"/>
    <cellStyle name="Normal 68" xfId="1430"/>
    <cellStyle name="Normal 7" xfId="12"/>
    <cellStyle name="Normal 7 2" xfId="605"/>
    <cellStyle name="Normal 7 2 2" xfId="1433"/>
    <cellStyle name="Normal 7 3" xfId="675"/>
    <cellStyle name="Normal 7 3 2" xfId="866"/>
    <cellStyle name="Normal 7 3 2 2" xfId="916"/>
    <cellStyle name="Normal 7 3 2 2 2" xfId="1376"/>
    <cellStyle name="Normal 7 3 2 3" xfId="1375"/>
    <cellStyle name="Normal 7 3 3" xfId="880"/>
    <cellStyle name="Normal 7 3 3 2" xfId="1377"/>
    <cellStyle name="Normal 7 3 4" xfId="972"/>
    <cellStyle name="Normal 7 3 5" xfId="807"/>
    <cellStyle name="Normal 7 3 5 2" xfId="1378"/>
    <cellStyle name="Normal 7 4" xfId="865"/>
    <cellStyle name="Normal 7 4 2" xfId="915"/>
    <cellStyle name="Normal 7 4 2 2" xfId="1380"/>
    <cellStyle name="Normal 7 4 3" xfId="1185"/>
    <cellStyle name="Normal 7 4 3 2" xfId="1379"/>
    <cellStyle name="Normal 7 5" xfId="879"/>
    <cellStyle name="Normal 7 5 2" xfId="1381"/>
    <cellStyle name="Normal 7 6" xfId="800"/>
    <cellStyle name="Normal 7 6 2" xfId="1382"/>
    <cellStyle name="Normal 8" xfId="223"/>
    <cellStyle name="Normal 8 2" xfId="607"/>
    <cellStyle name="Normal 8 3" xfId="608"/>
    <cellStyle name="Normal 8 3 2" xfId="867"/>
    <cellStyle name="Normal 8 3 2 2" xfId="917"/>
    <cellStyle name="Normal 8 3 2 2 2" xfId="1385"/>
    <cellStyle name="Normal 8 3 2 3" xfId="1384"/>
    <cellStyle name="Normal 8 3 3" xfId="954"/>
    <cellStyle name="Normal 8 3 3 2" xfId="1386"/>
    <cellStyle name="Normal 8 3 4" xfId="897"/>
    <cellStyle name="Normal 8 3 4 2" xfId="1387"/>
    <cellStyle name="Normal 8 3 5" xfId="997"/>
    <cellStyle name="Normal 8 3 5 2" xfId="1388"/>
    <cellStyle name="Normal 8 3 6" xfId="836"/>
    <cellStyle name="Normal 8 3 6 2" xfId="1389"/>
    <cellStyle name="Normal 8 3 7" xfId="1383"/>
    <cellStyle name="Normal 8 4" xfId="606"/>
    <cellStyle name="Normal 8 5" xfId="953"/>
    <cellStyle name="Normal 9" xfId="330"/>
    <cellStyle name="Normal 9 2" xfId="610"/>
    <cellStyle name="Normal 9 2 2" xfId="611"/>
    <cellStyle name="Normal 9 3" xfId="609"/>
    <cellStyle name="Normal 9 3 2" xfId="956"/>
    <cellStyle name="Normal 9 3 3" xfId="868"/>
    <cellStyle name="Normal 9 4" xfId="955"/>
    <cellStyle name="Normal 9 5" xfId="802"/>
    <cellStyle name="Normal 9 6" xfId="1004"/>
    <cellStyle name="Normal 9 6 2" xfId="1390"/>
    <cellStyle name="Normal_Book2 (2)" xfId="1045"/>
    <cellStyle name="Normal_RAM_Prog_07" xfId="5"/>
    <cellStyle name="Note" xfId="1060" builtinId="10" customBuiltin="1"/>
    <cellStyle name="Note 10" xfId="612"/>
    <cellStyle name="Note 10 2" xfId="613"/>
    <cellStyle name="Note 10 3" xfId="869"/>
    <cellStyle name="Note 10 4" xfId="804"/>
    <cellStyle name="Note 11" xfId="614"/>
    <cellStyle name="Note 11 2" xfId="615"/>
    <cellStyle name="Note 12" xfId="616"/>
    <cellStyle name="Note 13" xfId="1153"/>
    <cellStyle name="Note 2" xfId="225"/>
    <cellStyle name="Note 2 2" xfId="448"/>
    <cellStyle name="Note 2 2 2" xfId="617"/>
    <cellStyle name="Note 2 3" xfId="618"/>
    <cellStyle name="Note 2 3 2" xfId="870"/>
    <cellStyle name="Note 2_I_Secondary" xfId="732"/>
    <cellStyle name="Note 3" xfId="226"/>
    <cellStyle name="Note 3 2" xfId="619"/>
    <cellStyle name="Note 4" xfId="227"/>
    <cellStyle name="Note 4 2" xfId="620"/>
    <cellStyle name="Note 5" xfId="228"/>
    <cellStyle name="Note 5 2" xfId="621"/>
    <cellStyle name="Note 6" xfId="229"/>
    <cellStyle name="Note 6 2" xfId="622"/>
    <cellStyle name="Note 7" xfId="224"/>
    <cellStyle name="Note 7 2" xfId="623"/>
    <cellStyle name="Note 7 3" xfId="680"/>
    <cellStyle name="Note 8" xfId="624"/>
    <cellStyle name="Note 8 2" xfId="625"/>
    <cellStyle name="Note 9" xfId="626"/>
    <cellStyle name="Note 9 2" xfId="627"/>
    <cellStyle name="Note 9 3" xfId="871"/>
    <cellStyle name="Note 9 4" xfId="808"/>
    <cellStyle name="Output" xfId="1055" builtinId="21" customBuiltin="1"/>
    <cellStyle name="Output 2" xfId="231"/>
    <cellStyle name="Output 2 2" xfId="393"/>
    <cellStyle name="Output 2 2 2" xfId="449"/>
    <cellStyle name="Output 2 2 3" xfId="1219"/>
    <cellStyle name="Output 2 3" xfId="628"/>
    <cellStyle name="Output 3" xfId="232"/>
    <cellStyle name="Output 3 2" xfId="629"/>
    <cellStyle name="Output 3 2 2" xfId="630"/>
    <cellStyle name="Output 3 3" xfId="631"/>
    <cellStyle name="Output 4" xfId="233"/>
    <cellStyle name="Output 4 2" xfId="632"/>
    <cellStyle name="Output 4 2 2" xfId="633"/>
    <cellStyle name="Output 4 3" xfId="634"/>
    <cellStyle name="Output 5" xfId="230"/>
    <cellStyle name="Output 5 2" xfId="635"/>
    <cellStyle name="Output 5 2 2" xfId="636"/>
    <cellStyle name="Output 5 3" xfId="637"/>
    <cellStyle name="Output 6" xfId="638"/>
    <cellStyle name="Output 6 2" xfId="639"/>
    <cellStyle name="Output 7" xfId="1148"/>
    <cellStyle name="Page Number" xfId="234"/>
    <cellStyle name="Percent" xfId="3" builtinId="5"/>
    <cellStyle name="Percent [2]" xfId="394"/>
    <cellStyle name="Percent [2] 2" xfId="395"/>
    <cellStyle name="Percent [2] 2 2" xfId="640"/>
    <cellStyle name="Percent [2] 3" xfId="733"/>
    <cellStyle name="Percent [2] 3 2" xfId="872"/>
    <cellStyle name="Percent 10" xfId="236"/>
    <cellStyle name="Percent 11" xfId="235"/>
    <cellStyle name="Percent 11 2" xfId="641"/>
    <cellStyle name="Percent 11 2 2" xfId="1434"/>
    <cellStyle name="Percent 11 3" xfId="681"/>
    <cellStyle name="Percent 12" xfId="327"/>
    <cellStyle name="Percent 13" xfId="408"/>
    <cellStyle name="Percent 13 2" xfId="643"/>
    <cellStyle name="Percent 13 3" xfId="642"/>
    <cellStyle name="Percent 14" xfId="324"/>
    <cellStyle name="Percent 14 2" xfId="645"/>
    <cellStyle name="Percent 14 3" xfId="644"/>
    <cellStyle name="Percent 15" xfId="326"/>
    <cellStyle name="Percent 15 2" xfId="646"/>
    <cellStyle name="Percent 16" xfId="450"/>
    <cellStyle name="Percent 16 2" xfId="957"/>
    <cellStyle name="Percent 16 3" xfId="813"/>
    <cellStyle name="Percent 17" xfId="647"/>
    <cellStyle name="Percent 17 2" xfId="958"/>
    <cellStyle name="Percent 17 3" xfId="814"/>
    <cellStyle name="Percent 18" xfId="648"/>
    <cellStyle name="Percent 19" xfId="677"/>
    <cellStyle name="Percent 19 2" xfId="974"/>
    <cellStyle name="Percent 19 2 2" xfId="1392"/>
    <cellStyle name="Percent 19 3" xfId="965"/>
    <cellStyle name="Percent 19 4" xfId="1391"/>
    <cellStyle name="Percent 2" xfId="237"/>
    <cellStyle name="Percent 2 2" xfId="396"/>
    <cellStyle name="Percent 2 2 2" xfId="873"/>
    <cellStyle name="Percent 20" xfId="686"/>
    <cellStyle name="Percent 20 2" xfId="978"/>
    <cellStyle name="Percent 20 2 2" xfId="1394"/>
    <cellStyle name="Percent 20 3" xfId="1393"/>
    <cellStyle name="Percent 21" xfId="670"/>
    <cellStyle name="Percent 22" xfId="671"/>
    <cellStyle name="Percent 22 2" xfId="801"/>
    <cellStyle name="Percent 23" xfId="673"/>
    <cellStyle name="Percent 24" xfId="793"/>
    <cellStyle name="Percent 24 2" xfId="1118"/>
    <cellStyle name="Percent 25" xfId="788"/>
    <cellStyle name="Percent 25 2" xfId="1116"/>
    <cellStyle name="Percent 26" xfId="796"/>
    <cellStyle name="Percent 26 2" xfId="1117"/>
    <cellStyle name="Percent 27" xfId="790"/>
    <cellStyle name="Percent 27 2" xfId="1122"/>
    <cellStyle name="Percent 28" xfId="794"/>
    <cellStyle name="Percent 28 2" xfId="1135"/>
    <cellStyle name="Percent 29" xfId="1008"/>
    <cellStyle name="Percent 29 2" xfId="1131"/>
    <cellStyle name="Percent 3" xfId="238"/>
    <cellStyle name="Percent 3 2" xfId="451"/>
    <cellStyle name="Percent 30" xfId="786"/>
    <cellStyle name="Percent 30 2" xfId="1182"/>
    <cellStyle name="Percent 31" xfId="783"/>
    <cellStyle name="Percent 32" xfId="1021"/>
    <cellStyle name="Percent 33" xfId="1024"/>
    <cellStyle name="Percent 34" xfId="1038"/>
    <cellStyle name="Percent 35" xfId="1041"/>
    <cellStyle name="Percent 36" xfId="1037"/>
    <cellStyle name="Percent 37" xfId="1031"/>
    <cellStyle name="Percent 38" xfId="1022"/>
    <cellStyle name="Percent 39" xfId="1029"/>
    <cellStyle name="Percent 4" xfId="239"/>
    <cellStyle name="Percent 4 2" xfId="240"/>
    <cellStyle name="Percent 4 2 2" xfId="649"/>
    <cellStyle name="Percent 4 3" xfId="241"/>
    <cellStyle name="Percent 40" xfId="1010"/>
    <cellStyle name="Percent 41" xfId="1020"/>
    <cellStyle name="Percent 42" xfId="1222"/>
    <cellStyle name="Percent 43" xfId="1112"/>
    <cellStyle name="Percent 44" xfId="1087"/>
    <cellStyle name="Percent 45" xfId="1092"/>
    <cellStyle name="Percent 46" xfId="1104"/>
    <cellStyle name="Percent 47" xfId="1098"/>
    <cellStyle name="Percent 48" xfId="1396"/>
    <cellStyle name="Percent 49" xfId="1102"/>
    <cellStyle name="Percent 5" xfId="242"/>
    <cellStyle name="Percent 5 2" xfId="243"/>
    <cellStyle name="Percent 5 2 2" xfId="650"/>
    <cellStyle name="Percent 5 3" xfId="651"/>
    <cellStyle name="Percent 50" xfId="1399"/>
    <cellStyle name="Percent 51" xfId="1089"/>
    <cellStyle name="Percent 52" xfId="1397"/>
    <cellStyle name="Percent 53" xfId="1105"/>
    <cellStyle name="Percent 54" xfId="1096"/>
    <cellStyle name="Percent 55" xfId="1426"/>
    <cellStyle name="Percent 56" xfId="1427"/>
    <cellStyle name="Percent 57" xfId="1432"/>
    <cellStyle name="Percent 6" xfId="244"/>
    <cellStyle name="Percent 6 2" xfId="245"/>
    <cellStyle name="Percent 6 2 2" xfId="652"/>
    <cellStyle name="Percent 6 3" xfId="653"/>
    <cellStyle name="Percent 7" xfId="246"/>
    <cellStyle name="Percent 7 2" xfId="247"/>
    <cellStyle name="Percent 8" xfId="248"/>
    <cellStyle name="Percent 8 2" xfId="654"/>
    <cellStyle name="Percent 9" xfId="249"/>
    <cellStyle name="PSChar" xfId="6"/>
    <cellStyle name="PSChar 2" xfId="250"/>
    <cellStyle name="PSChar 2 2" xfId="734"/>
    <cellStyle name="PSChar 3" xfId="251"/>
    <cellStyle name="PSChar 3 2" xfId="735"/>
    <cellStyle name="PSChar 4" xfId="252"/>
    <cellStyle name="PSChar 4 2" xfId="253"/>
    <cellStyle name="PSChar 4 2 2" xfId="736"/>
    <cellStyle name="PSChar 4 3" xfId="737"/>
    <cellStyle name="PSChar 5" xfId="254"/>
    <cellStyle name="PSChar 5 2" xfId="255"/>
    <cellStyle name="PSChar 5 2 2" xfId="738"/>
    <cellStyle name="PSChar 5 3" xfId="739"/>
    <cellStyle name="PSChar 6" xfId="334"/>
    <cellStyle name="PSDate" xfId="7"/>
    <cellStyle name="PSDate 2" xfId="256"/>
    <cellStyle name="PSDate 2 2" xfId="740"/>
    <cellStyle name="PSDate 3" xfId="257"/>
    <cellStyle name="PSDate 3 2" xfId="741"/>
    <cellStyle name="PSDate 4" xfId="258"/>
    <cellStyle name="PSDate 4 2" xfId="259"/>
    <cellStyle name="PSDate 4 2 2" xfId="742"/>
    <cellStyle name="PSDate 4 3" xfId="743"/>
    <cellStyle name="PSDate 5" xfId="260"/>
    <cellStyle name="PSDate 5 2" xfId="261"/>
    <cellStyle name="PSDate 5 2 2" xfId="744"/>
    <cellStyle name="PSDate 5 3" xfId="745"/>
    <cellStyle name="PSDate 6" xfId="335"/>
    <cellStyle name="PSDec" xfId="8"/>
    <cellStyle name="PSDec 2" xfId="262"/>
    <cellStyle name="PSDec 2 2" xfId="746"/>
    <cellStyle name="PSDec 3" xfId="263"/>
    <cellStyle name="PSDec 3 2" xfId="747"/>
    <cellStyle name="PSDec 4" xfId="264"/>
    <cellStyle name="PSDec 4 2" xfId="265"/>
    <cellStyle name="PSDec 4 2 2" xfId="748"/>
    <cellStyle name="PSDec 4 3" xfId="749"/>
    <cellStyle name="PSDec 5" xfId="266"/>
    <cellStyle name="PSDec 5 2" xfId="267"/>
    <cellStyle name="PSDec 5 2 2" xfId="750"/>
    <cellStyle name="PSDec 5 3" xfId="751"/>
    <cellStyle name="PSDec 6" xfId="336"/>
    <cellStyle name="PSHeading" xfId="9"/>
    <cellStyle name="PSHeading 2" xfId="268"/>
    <cellStyle name="PSHeading 2 2" xfId="752"/>
    <cellStyle name="PSHeading 3" xfId="269"/>
    <cellStyle name="PSHeading 3 2" xfId="753"/>
    <cellStyle name="PSHeading 4" xfId="270"/>
    <cellStyle name="PSHeading 4 2" xfId="271"/>
    <cellStyle name="PSHeading 4 2 2" xfId="754"/>
    <cellStyle name="PSHeading 4 3" xfId="755"/>
    <cellStyle name="PSHeading 4_I_Secondary" xfId="756"/>
    <cellStyle name="PSHeading 5" xfId="272"/>
    <cellStyle name="PSHeading 5 2" xfId="273"/>
    <cellStyle name="PSHeading 5 2 2" xfId="757"/>
    <cellStyle name="PSHeading 5 3" xfId="758"/>
    <cellStyle name="PSHeading 5_I_Secondary" xfId="759"/>
    <cellStyle name="PSHeading 6" xfId="337"/>
    <cellStyle name="PSHeading_358_CGS_Lewis_UT_70Conserv" xfId="274"/>
    <cellStyle name="PSInt" xfId="10"/>
    <cellStyle name="PSInt 2" xfId="275"/>
    <cellStyle name="PSInt 2 2" xfId="760"/>
    <cellStyle name="PSInt 3" xfId="276"/>
    <cellStyle name="PSInt 3 2" xfId="761"/>
    <cellStyle name="PSInt 4" xfId="277"/>
    <cellStyle name="PSInt 4 2" xfId="278"/>
    <cellStyle name="PSInt 4 2 2" xfId="762"/>
    <cellStyle name="PSInt 4 3" xfId="763"/>
    <cellStyle name="PSInt 5" xfId="279"/>
    <cellStyle name="PSInt 5 2" xfId="280"/>
    <cellStyle name="PSInt 5 2 2" xfId="764"/>
    <cellStyle name="PSInt 5 3" xfId="765"/>
    <cellStyle name="PSInt 6" xfId="338"/>
    <cellStyle name="PSSpacer" xfId="11"/>
    <cellStyle name="PSSpacer 2" xfId="281"/>
    <cellStyle name="PSSpacer 2 2" xfId="766"/>
    <cellStyle name="PSSpacer 3" xfId="282"/>
    <cellStyle name="PSSpacer 3 2" xfId="767"/>
    <cellStyle name="PSSpacer 4" xfId="283"/>
    <cellStyle name="PSSpacer 4 2" xfId="284"/>
    <cellStyle name="PSSpacer 4 2 2" xfId="768"/>
    <cellStyle name="PSSpacer 4 3" xfId="769"/>
    <cellStyle name="PSSpacer 5" xfId="285"/>
    <cellStyle name="PSSpacer 5 2" xfId="286"/>
    <cellStyle name="PSSpacer 5 2 2" xfId="770"/>
    <cellStyle name="PSSpacer 5 3" xfId="771"/>
    <cellStyle name="PSSpacer 6" xfId="339"/>
    <cellStyle name="Rate" xfId="287"/>
    <cellStyle name="Rate 2" xfId="288"/>
    <cellStyle name="Rate 3" xfId="289"/>
    <cellStyle name="Rate 4" xfId="290"/>
    <cellStyle name="Rate 4 2" xfId="291"/>
    <cellStyle name="Rate 5" xfId="292"/>
    <cellStyle name="Rate 5 2" xfId="293"/>
    <cellStyle name="Rate 6" xfId="294"/>
    <cellStyle name="Reference" xfId="295"/>
    <cellStyle name="SectionBreak" xfId="296"/>
    <cellStyle name="SectionBreak 2" xfId="297"/>
    <cellStyle name="SectionBreak 3" xfId="298"/>
    <cellStyle name="SectionBreak 4" xfId="299"/>
    <cellStyle name="SectionBreak 4 2" xfId="300"/>
    <cellStyle name="SectionBreak 5" xfId="301"/>
    <cellStyle name="SectionBreak 5 2" xfId="302"/>
    <cellStyle name="Style 27" xfId="397"/>
    <cellStyle name="Style 27 2" xfId="398"/>
    <cellStyle name="Style 27 2 2" xfId="655"/>
    <cellStyle name="Style 27 3" xfId="772"/>
    <cellStyle name="Style 27 3 2" xfId="874"/>
    <cellStyle name="Style 28" xfId="399"/>
    <cellStyle name="Style 28 2" xfId="400"/>
    <cellStyle name="Style 28 2 2" xfId="656"/>
    <cellStyle name="Style 28 3" xfId="773"/>
    <cellStyle name="Style 28 3 2" xfId="875"/>
    <cellStyle name="Table Head" xfId="303"/>
    <cellStyle name="Table Head Aligned" xfId="304"/>
    <cellStyle name="Table Head Blue" xfId="305"/>
    <cellStyle name="Table Head Green" xfId="306"/>
    <cellStyle name="Table Heading" xfId="307"/>
    <cellStyle name="Table Heading 2" xfId="308"/>
    <cellStyle name="Table Title" xfId="309"/>
    <cellStyle name="Table Units" xfId="310"/>
    <cellStyle name="Table Units 2" xfId="311"/>
    <cellStyle name="Table Units 2 2" xfId="774"/>
    <cellStyle name="Table Units 3" xfId="775"/>
    <cellStyle name="Table Units_I_Secondary" xfId="776"/>
    <cellStyle name="Title" xfId="1046" builtinId="15" customBuiltin="1"/>
    <cellStyle name="Title 2" xfId="313"/>
    <cellStyle name="Title 3" xfId="312"/>
    <cellStyle name="Title 4" xfId="657"/>
    <cellStyle name="Title 5" xfId="1139"/>
    <cellStyle name="Total" xfId="1062" builtinId="25" customBuiltin="1"/>
    <cellStyle name="Total 2" xfId="315"/>
    <cellStyle name="Total 2 2" xfId="401"/>
    <cellStyle name="Total 2 2 2" xfId="452"/>
    <cellStyle name="Total 2 2 3" xfId="1220"/>
    <cellStyle name="Total 3" xfId="316"/>
    <cellStyle name="Total 3 2" xfId="659"/>
    <cellStyle name="Total 4" xfId="317"/>
    <cellStyle name="Total 4 2" xfId="660"/>
    <cellStyle name="Total 5" xfId="314"/>
    <cellStyle name="Total 5 2" xfId="661"/>
    <cellStyle name="Total 6" xfId="662"/>
    <cellStyle name="Total 7" xfId="1155"/>
    <cellStyle name="Unprot" xfId="402"/>
    <cellStyle name="Unprot 2" xfId="663"/>
    <cellStyle name="Unprot$" xfId="403"/>
    <cellStyle name="Unprot$ 2" xfId="664"/>
    <cellStyle name="Unprot$ 2 2" xfId="665"/>
    <cellStyle name="Unprot_Current Summary" xfId="404"/>
    <cellStyle name="Unprotect" xfId="405"/>
    <cellStyle name="v" xfId="406"/>
    <cellStyle name="Warning Text" xfId="1059" builtinId="11" customBuiltin="1"/>
    <cellStyle name="Warning Text 2" xfId="319"/>
    <cellStyle name="Warning Text 2 2" xfId="407"/>
    <cellStyle name="Warning Text 2 2 2" xfId="453"/>
    <cellStyle name="Warning Text 2 2 3" xfId="959"/>
    <cellStyle name="Warning Text 2 3" xfId="777"/>
    <cellStyle name="Warning Text 3" xfId="320"/>
    <cellStyle name="Warning Text 4" xfId="321"/>
    <cellStyle name="Warning Text 5" xfId="318"/>
    <cellStyle name="Warning Text 6" xfId="666"/>
    <cellStyle name="Warning Text 7" xfId="1152"/>
  </cellStyles>
  <dxfs count="9"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hartsheet" Target="chartsheets/sheet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hartsheet" Target="chartsheets/sheet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Non-Slice Customer Rate Change BP-18 to BP-20 by Customer Type</a:t>
            </a:r>
            <a:endParaRPr lang="en-US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3.8441740496037866E-2"/>
          <c:y val="8.2561004793455683E-2"/>
          <c:w val="0.94679837233416042"/>
          <c:h val="0.8013951782481693"/>
        </c:manualLayout>
      </c:layout>
      <c:barChart>
        <c:barDir val="col"/>
        <c:grouping val="stacked"/>
        <c:varyColors val="0"/>
        <c:ser>
          <c:idx val="0"/>
          <c:order val="0"/>
          <c:tx>
            <c:v>Load Following</c:v>
          </c:tx>
          <c:spPr>
            <a:ln>
              <a:solidFill>
                <a:schemeClr val="tx1"/>
              </a:solidFill>
            </a:ln>
          </c:spPr>
          <c:invertIfNegative val="0"/>
          <c:dPt>
            <c:idx val="67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705-4162-86F7-2998EFB823DD}"/>
              </c:ext>
            </c:extLst>
          </c:dPt>
          <c:dPt>
            <c:idx val="6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5705-4162-86F7-2998EFB823DD}"/>
              </c:ext>
            </c:extLst>
          </c:dPt>
          <c:dPt>
            <c:idx val="85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5705-4162-86F7-2998EFB823DD}"/>
              </c:ext>
            </c:extLst>
          </c:dPt>
          <c:dPt>
            <c:idx val="116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5705-4162-86F7-2998EFB823DD}"/>
              </c:ext>
            </c:extLst>
          </c:dPt>
          <c:cat>
            <c:strRef>
              <c:f>Restatement!$B$4:$B$122</c:f>
              <c:strCache>
                <c:ptCount val="119"/>
                <c:pt idx="0">
                  <c:v>Minidoka, City of</c:v>
                </c:pt>
                <c:pt idx="1">
                  <c:v>Consolidated Irrigation District #19</c:v>
                </c:pt>
                <c:pt idx="2">
                  <c:v>Declo, City of</c:v>
                </c:pt>
                <c:pt idx="3">
                  <c:v>Albion, City of</c:v>
                </c:pt>
                <c:pt idx="4">
                  <c:v>U.S. DOE Albany Research Center</c:v>
                </c:pt>
                <c:pt idx="5">
                  <c:v>Farmers Elec Coop</c:v>
                </c:pt>
                <c:pt idx="6">
                  <c:v>Alder Mutual</c:v>
                </c:pt>
                <c:pt idx="7">
                  <c:v>Asotin County PUD #1</c:v>
                </c:pt>
                <c:pt idx="8">
                  <c:v>U.S. Naval Station, Everett (Jim Creek)</c:v>
                </c:pt>
                <c:pt idx="9">
                  <c:v>Drain, City of</c:v>
                </c:pt>
                <c:pt idx="10">
                  <c:v>Coulee Dam, City of</c:v>
                </c:pt>
                <c:pt idx="11">
                  <c:v>Troy, City of</c:v>
                </c:pt>
                <c:pt idx="12">
                  <c:v>Riverside Elec Coop</c:v>
                </c:pt>
                <c:pt idx="13">
                  <c:v>Cascade Locks, City of</c:v>
                </c:pt>
                <c:pt idx="14">
                  <c:v>Energy Northwest</c:v>
                </c:pt>
                <c:pt idx="15">
                  <c:v>Chewelah, City of</c:v>
                </c:pt>
                <c:pt idx="16">
                  <c:v>East End Mutual Electric</c:v>
                </c:pt>
                <c:pt idx="17">
                  <c:v>Umpqua Indian Utility Cooperative</c:v>
                </c:pt>
                <c:pt idx="18">
                  <c:v>Kalispel Tribe Utility</c:v>
                </c:pt>
                <c:pt idx="19">
                  <c:v>Soda Springs, City of</c:v>
                </c:pt>
                <c:pt idx="20">
                  <c:v>Columbia Power Coop</c:v>
                </c:pt>
                <c:pt idx="21">
                  <c:v>Eatonville, City of</c:v>
                </c:pt>
                <c:pt idx="22">
                  <c:v>Sumas, Town of</c:v>
                </c:pt>
                <c:pt idx="23">
                  <c:v>McCleary, City of</c:v>
                </c:pt>
                <c:pt idx="24">
                  <c:v>Plummer, City of</c:v>
                </c:pt>
                <c:pt idx="25">
                  <c:v>Steilacoom, Town of</c:v>
                </c:pt>
                <c:pt idx="26">
                  <c:v>Heyburn, City of</c:v>
                </c:pt>
                <c:pt idx="27">
                  <c:v>Wahkiakum County PUD #1</c:v>
                </c:pt>
                <c:pt idx="28">
                  <c:v>Bonners Ferry, City of</c:v>
                </c:pt>
                <c:pt idx="29">
                  <c:v>U.S. Airforce Base, Fairchild</c:v>
                </c:pt>
                <c:pt idx="30">
                  <c:v>Nespelem Valley Elec Coop</c:v>
                </c:pt>
                <c:pt idx="31">
                  <c:v>Idaho County L &amp; P</c:v>
                </c:pt>
                <c:pt idx="32">
                  <c:v>Weiser, City of</c:v>
                </c:pt>
                <c:pt idx="33">
                  <c:v>Southside Elec Lines</c:v>
                </c:pt>
                <c:pt idx="34">
                  <c:v>Milton, Town of</c:v>
                </c:pt>
                <c:pt idx="35">
                  <c:v>Bandon, City of</c:v>
                </c:pt>
                <c:pt idx="36">
                  <c:v>Monmouth, City of</c:v>
                </c:pt>
                <c:pt idx="37">
                  <c:v>Blaine, City of</c:v>
                </c:pt>
                <c:pt idx="38">
                  <c:v>Mason County PUD #1</c:v>
                </c:pt>
                <c:pt idx="39">
                  <c:v>Ferry County PUD #1</c:v>
                </c:pt>
                <c:pt idx="40">
                  <c:v>Rupert, City of</c:v>
                </c:pt>
                <c:pt idx="41">
                  <c:v>Lost River Elec Coop</c:v>
                </c:pt>
                <c:pt idx="42">
                  <c:v>Kittitas County PUD #1</c:v>
                </c:pt>
                <c:pt idx="43">
                  <c:v>Ohop Mutual Light Company</c:v>
                </c:pt>
                <c:pt idx="44">
                  <c:v>Milton-Freewater, City of</c:v>
                </c:pt>
                <c:pt idx="45">
                  <c:v>Tanner Elec Coop</c:v>
                </c:pt>
                <c:pt idx="46">
                  <c:v>Columbia Basin Elec Coop</c:v>
                </c:pt>
                <c:pt idx="47">
                  <c:v>Salmon River Elec Coop</c:v>
                </c:pt>
                <c:pt idx="48">
                  <c:v>Hermiston, City of</c:v>
                </c:pt>
                <c:pt idx="49">
                  <c:v>Wasco Elec Coop</c:v>
                </c:pt>
                <c:pt idx="50">
                  <c:v>Hood River Elec Coop</c:v>
                </c:pt>
                <c:pt idx="51">
                  <c:v>Parkland L &amp; W</c:v>
                </c:pt>
                <c:pt idx="52">
                  <c:v>Burley, City of</c:v>
                </c:pt>
                <c:pt idx="53">
                  <c:v>Skamania County PUD #1</c:v>
                </c:pt>
                <c:pt idx="54">
                  <c:v>Cheney, City of</c:v>
                </c:pt>
                <c:pt idx="55">
                  <c:v>Surprise Valley Elec Coop</c:v>
                </c:pt>
                <c:pt idx="56">
                  <c:v>Port of Seattle - SETAC In'tl. Airport</c:v>
                </c:pt>
                <c:pt idx="57">
                  <c:v>Glacier Elec  Coop</c:v>
                </c:pt>
                <c:pt idx="58">
                  <c:v>Ravalli County Elec Coop</c:v>
                </c:pt>
                <c:pt idx="59">
                  <c:v>Yakama Power</c:v>
                </c:pt>
                <c:pt idx="60">
                  <c:v>Vigilante Elec Coop</c:v>
                </c:pt>
                <c:pt idx="61">
                  <c:v>U.S. Naval Submarine Base, Bangor</c:v>
                </c:pt>
                <c:pt idx="62">
                  <c:v>Ashland, City of</c:v>
                </c:pt>
                <c:pt idx="63">
                  <c:v>Canby, City of</c:v>
                </c:pt>
                <c:pt idx="64">
                  <c:v>Harney Elec Coop</c:v>
                </c:pt>
                <c:pt idx="65">
                  <c:v>Ellensburg, City of</c:v>
                </c:pt>
                <c:pt idx="66">
                  <c:v>Centralia, City of</c:v>
                </c:pt>
                <c:pt idx="67">
                  <c:v>Pend Oreille County PUD  #1</c:v>
                </c:pt>
                <c:pt idx="68">
                  <c:v>Modern Elec Coop</c:v>
                </c:pt>
                <c:pt idx="69">
                  <c:v>Whatcom County PUD #1</c:v>
                </c:pt>
                <c:pt idx="70">
                  <c:v>Forest Grove, City of</c:v>
                </c:pt>
                <c:pt idx="71">
                  <c:v>Missoula Elec Coop</c:v>
                </c:pt>
                <c:pt idx="72">
                  <c:v>Vera Irrigation District</c:v>
                </c:pt>
                <c:pt idx="73">
                  <c:v>U.S. Naval Base,  Bremerton</c:v>
                </c:pt>
                <c:pt idx="74">
                  <c:v>United Electric Coop</c:v>
                </c:pt>
                <c:pt idx="75">
                  <c:v>U.S. DOE Richland Operations Office</c:v>
                </c:pt>
                <c:pt idx="76">
                  <c:v>Port Angeles, City of</c:v>
                </c:pt>
                <c:pt idx="77">
                  <c:v>Lakeview L &amp; P (WA)</c:v>
                </c:pt>
                <c:pt idx="78">
                  <c:v>Elmhurst Mutual P &amp; L</c:v>
                </c:pt>
                <c:pt idx="79">
                  <c:v>Pacific County PUD #2</c:v>
                </c:pt>
                <c:pt idx="80">
                  <c:v>Klickitat County PUD #1</c:v>
                </c:pt>
                <c:pt idx="81">
                  <c:v>Columbia REA</c:v>
                </c:pt>
                <c:pt idx="82">
                  <c:v>Mission Valley</c:v>
                </c:pt>
                <c:pt idx="83">
                  <c:v>Salem Elec Coop</c:v>
                </c:pt>
                <c:pt idx="84">
                  <c:v>Jefferson County PUD #1</c:v>
                </c:pt>
                <c:pt idx="85">
                  <c:v>Okanogan County PUD #1</c:v>
                </c:pt>
                <c:pt idx="86">
                  <c:v>Midstate Elec Coop</c:v>
                </c:pt>
                <c:pt idx="87">
                  <c:v>Emerald PUD</c:v>
                </c:pt>
                <c:pt idx="88">
                  <c:v>Kootenai Electric Coop</c:v>
                </c:pt>
                <c:pt idx="89">
                  <c:v>Columbia River PUD</c:v>
                </c:pt>
                <c:pt idx="90">
                  <c:v>Tillamook PUD #1</c:v>
                </c:pt>
                <c:pt idx="91">
                  <c:v>Benton REA</c:v>
                </c:pt>
                <c:pt idx="92">
                  <c:v>Big Bend Elec Coop</c:v>
                </c:pt>
                <c:pt idx="93">
                  <c:v>Idaho Falls Power</c:v>
                </c:pt>
                <c:pt idx="94">
                  <c:v>Northern Wasco County PUD</c:v>
                </c:pt>
                <c:pt idx="95">
                  <c:v>Peninsula Light Company</c:v>
                </c:pt>
                <c:pt idx="96">
                  <c:v>Clallam County PUD #1</c:v>
                </c:pt>
                <c:pt idx="97">
                  <c:v>Oregon Trail Coop</c:v>
                </c:pt>
                <c:pt idx="98">
                  <c:v>Mason County PUD #3</c:v>
                </c:pt>
                <c:pt idx="99">
                  <c:v>Lower Valley Energy</c:v>
                </c:pt>
                <c:pt idx="100">
                  <c:v>McMinnville, City of</c:v>
                </c:pt>
                <c:pt idx="101">
                  <c:v>Clatskanie PUD</c:v>
                </c:pt>
                <c:pt idx="102">
                  <c:v>Wells Rural Elec Coop</c:v>
                </c:pt>
                <c:pt idx="103">
                  <c:v>Springfield Utility Board</c:v>
                </c:pt>
                <c:pt idx="104">
                  <c:v>Richland, City of</c:v>
                </c:pt>
                <c:pt idx="105">
                  <c:v>Inland P &amp; L</c:v>
                </c:pt>
                <c:pt idx="106">
                  <c:v>Lewis County PUD #1</c:v>
                </c:pt>
                <c:pt idx="107">
                  <c:v>Franklin County PUD #1</c:v>
                </c:pt>
                <c:pt idx="108">
                  <c:v>Grays Harbor PUD #1</c:v>
                </c:pt>
                <c:pt idx="109">
                  <c:v>Central Lincoln PUD</c:v>
                </c:pt>
                <c:pt idx="110">
                  <c:v>Flathead Elec Coop</c:v>
                </c:pt>
                <c:pt idx="111">
                  <c:v>Benton County PUD #1</c:v>
                </c:pt>
                <c:pt idx="112">
                  <c:v>Eugene Water &amp; Electric Board</c:v>
                </c:pt>
                <c:pt idx="113">
                  <c:v>Clark County PUD #1</c:v>
                </c:pt>
                <c:pt idx="114">
                  <c:v>Tacoma Public Utilities</c:v>
                </c:pt>
                <c:pt idx="115">
                  <c:v>Cowlitz County PUD #1</c:v>
                </c:pt>
                <c:pt idx="116">
                  <c:v>Seattle City Light</c:v>
                </c:pt>
                <c:pt idx="117">
                  <c:v>PNGC Aggregate</c:v>
                </c:pt>
                <c:pt idx="118">
                  <c:v>Snohomish County PUD #1</c:v>
                </c:pt>
              </c:strCache>
            </c:strRef>
          </c:cat>
          <c:val>
            <c:numRef>
              <c:f>Restatement!$G$4:$G$122</c:f>
              <c:numCache>
                <c:formatCode>0%</c:formatCode>
                <c:ptCount val="119"/>
                <c:pt idx="0">
                  <c:v>5.9604219589658195E-3</c:v>
                </c:pt>
                <c:pt idx="1">
                  <c:v>2.3689943873142751E-2</c:v>
                </c:pt>
                <c:pt idx="2">
                  <c:v>7.2499219529364393E-4</c:v>
                </c:pt>
                <c:pt idx="3">
                  <c:v>3.6075574107837347E-3</c:v>
                </c:pt>
                <c:pt idx="4">
                  <c:v>2.2198811548148744E-2</c:v>
                </c:pt>
                <c:pt idx="5">
                  <c:v>-8.27142527977417E-4</c:v>
                </c:pt>
                <c:pt idx="6">
                  <c:v>2.9064975042651198E-2</c:v>
                </c:pt>
                <c:pt idx="7">
                  <c:v>-4.0934677881310473E-3</c:v>
                </c:pt>
                <c:pt idx="8">
                  <c:v>1.8016160892773678E-2</c:v>
                </c:pt>
                <c:pt idx="9">
                  <c:v>3.2335339471080311E-2</c:v>
                </c:pt>
                <c:pt idx="10">
                  <c:v>-4.1295263243903814E-3</c:v>
                </c:pt>
                <c:pt idx="11">
                  <c:v>9.4529240094381811E-4</c:v>
                </c:pt>
                <c:pt idx="12">
                  <c:v>1.7181665740033381E-3</c:v>
                </c:pt>
                <c:pt idx="13">
                  <c:v>3.2081630866684578E-2</c:v>
                </c:pt>
                <c:pt idx="14">
                  <c:v>2.365445690946226E-2</c:v>
                </c:pt>
                <c:pt idx="15">
                  <c:v>-6.3951061522599236E-4</c:v>
                </c:pt>
                <c:pt idx="16">
                  <c:v>1.0245165079750004E-3</c:v>
                </c:pt>
                <c:pt idx="17">
                  <c:v>1.6251388370118743E-2</c:v>
                </c:pt>
                <c:pt idx="18">
                  <c:v>-2.3082395824109217E-2</c:v>
                </c:pt>
                <c:pt idx="19">
                  <c:v>2.0156725291366998E-4</c:v>
                </c:pt>
                <c:pt idx="20">
                  <c:v>8.3521563376058056E-3</c:v>
                </c:pt>
                <c:pt idx="21">
                  <c:v>2.4587602033614535E-2</c:v>
                </c:pt>
                <c:pt idx="22">
                  <c:v>1.9858047668185625E-2</c:v>
                </c:pt>
                <c:pt idx="23">
                  <c:v>3.0708962421697381E-2</c:v>
                </c:pt>
                <c:pt idx="24">
                  <c:v>2.4030447974436545E-2</c:v>
                </c:pt>
                <c:pt idx="25">
                  <c:v>2.5299479104244016E-2</c:v>
                </c:pt>
                <c:pt idx="26">
                  <c:v>3.0208410988634176E-2</c:v>
                </c:pt>
                <c:pt idx="27">
                  <c:v>2.4531300859117353E-2</c:v>
                </c:pt>
                <c:pt idx="28">
                  <c:v>3.2640688120083888E-2</c:v>
                </c:pt>
                <c:pt idx="29">
                  <c:v>3.5074813504646113E-2</c:v>
                </c:pt>
                <c:pt idx="30">
                  <c:v>3.7714275196477111E-2</c:v>
                </c:pt>
                <c:pt idx="31">
                  <c:v>2.3130384753898899E-2</c:v>
                </c:pt>
                <c:pt idx="32">
                  <c:v>-2.1176413108854025E-3</c:v>
                </c:pt>
                <c:pt idx="33">
                  <c:v>-1.1674858287984485E-3</c:v>
                </c:pt>
                <c:pt idx="34">
                  <c:v>2.6089119795719581E-2</c:v>
                </c:pt>
                <c:pt idx="35">
                  <c:v>2.2349281981221127E-2</c:v>
                </c:pt>
                <c:pt idx="36">
                  <c:v>2.3676917774226841E-2</c:v>
                </c:pt>
                <c:pt idx="37">
                  <c:v>2.2013678034998641E-2</c:v>
                </c:pt>
                <c:pt idx="38">
                  <c:v>3.0787719333790504E-2</c:v>
                </c:pt>
                <c:pt idx="39">
                  <c:v>2.6898812228666889E-2</c:v>
                </c:pt>
                <c:pt idx="40">
                  <c:v>2.3608223463518582E-2</c:v>
                </c:pt>
                <c:pt idx="41">
                  <c:v>2.1234158526746504E-2</c:v>
                </c:pt>
                <c:pt idx="42">
                  <c:v>2.5842918415102129E-2</c:v>
                </c:pt>
                <c:pt idx="43">
                  <c:v>7.4177726239626346E-3</c:v>
                </c:pt>
                <c:pt idx="44">
                  <c:v>2.9894245934101484E-2</c:v>
                </c:pt>
                <c:pt idx="45">
                  <c:v>-3.7584658951404525E-3</c:v>
                </c:pt>
                <c:pt idx="46">
                  <c:v>-2.4082329550978326E-3</c:v>
                </c:pt>
                <c:pt idx="47">
                  <c:v>1.9853527676081218E-2</c:v>
                </c:pt>
                <c:pt idx="48">
                  <c:v>2.5382575685908553E-2</c:v>
                </c:pt>
                <c:pt idx="49">
                  <c:v>5.8477752445761947E-3</c:v>
                </c:pt>
                <c:pt idx="50">
                  <c:v>4.1741234371665846E-2</c:v>
                </c:pt>
                <c:pt idx="51">
                  <c:v>8.4338443518880445E-4</c:v>
                </c:pt>
                <c:pt idx="52">
                  <c:v>2.3704150743427306E-2</c:v>
                </c:pt>
                <c:pt idx="53">
                  <c:v>2.5559845524092403E-2</c:v>
                </c:pt>
                <c:pt idx="54">
                  <c:v>1.5729134548604664E-2</c:v>
                </c:pt>
                <c:pt idx="55">
                  <c:v>4.5857847369213486E-2</c:v>
                </c:pt>
                <c:pt idx="56">
                  <c:v>0.1062072161944561</c:v>
                </c:pt>
                <c:pt idx="57">
                  <c:v>1.9057981549505671E-3</c:v>
                </c:pt>
                <c:pt idx="58">
                  <c:v>2.6046285066632104E-3</c:v>
                </c:pt>
                <c:pt idx="59">
                  <c:v>2.5119888888747166E-4</c:v>
                </c:pt>
                <c:pt idx="60">
                  <c:v>5.1895372801993604E-3</c:v>
                </c:pt>
                <c:pt idx="61">
                  <c:v>2.0593154556978511E-2</c:v>
                </c:pt>
                <c:pt idx="62">
                  <c:v>2.7358914502510566E-2</c:v>
                </c:pt>
                <c:pt idx="63">
                  <c:v>2.2840073649008457E-2</c:v>
                </c:pt>
                <c:pt idx="64">
                  <c:v>1.5055014571912103E-2</c:v>
                </c:pt>
                <c:pt idx="65">
                  <c:v>2.2946787212685577E-2</c:v>
                </c:pt>
                <c:pt idx="66">
                  <c:v>4.5411251950768956E-2</c:v>
                </c:pt>
                <c:pt idx="67">
                  <c:v>1.1706346790973919E-2</c:v>
                </c:pt>
                <c:pt idx="68">
                  <c:v>1.3126888563425495E-2</c:v>
                </c:pt>
                <c:pt idx="69">
                  <c:v>1.9038316078125214E-2</c:v>
                </c:pt>
                <c:pt idx="70">
                  <c:v>3.9962240885026458E-2</c:v>
                </c:pt>
                <c:pt idx="71">
                  <c:v>2.7019917545331607E-3</c:v>
                </c:pt>
                <c:pt idx="72">
                  <c:v>1.1841368979360868E-2</c:v>
                </c:pt>
                <c:pt idx="73">
                  <c:v>2.034531681756328E-2</c:v>
                </c:pt>
                <c:pt idx="74">
                  <c:v>1.8231252817155558E-2</c:v>
                </c:pt>
                <c:pt idx="75">
                  <c:v>7.1268362627351879E-3</c:v>
                </c:pt>
                <c:pt idx="76">
                  <c:v>4.7763559914399192E-2</c:v>
                </c:pt>
                <c:pt idx="77">
                  <c:v>2.7412146213754426E-2</c:v>
                </c:pt>
                <c:pt idx="78">
                  <c:v>2.2956924844997994E-3</c:v>
                </c:pt>
                <c:pt idx="79">
                  <c:v>0</c:v>
                </c:pt>
                <c:pt idx="80">
                  <c:v>2.5993582771107599E-2</c:v>
                </c:pt>
                <c:pt idx="81">
                  <c:v>2.3425898817692446E-2</c:v>
                </c:pt>
                <c:pt idx="82">
                  <c:v>6.0490965553304347E-3</c:v>
                </c:pt>
                <c:pt idx="83">
                  <c:v>2.8180424817611748E-2</c:v>
                </c:pt>
                <c:pt idx="84">
                  <c:v>-1.8408567078609786E-2</c:v>
                </c:pt>
                <c:pt idx="85">
                  <c:v>2.196804461602115E-2</c:v>
                </c:pt>
                <c:pt idx="86">
                  <c:v>2.4605378978970208E-2</c:v>
                </c:pt>
                <c:pt idx="87">
                  <c:v>0</c:v>
                </c:pt>
                <c:pt idx="88">
                  <c:v>-2.2240910308257383E-5</c:v>
                </c:pt>
                <c:pt idx="89">
                  <c:v>1.6860088850394184E-2</c:v>
                </c:pt>
                <c:pt idx="90">
                  <c:v>1.4928190524117851E-2</c:v>
                </c:pt>
                <c:pt idx="91">
                  <c:v>2.4129671377734328E-2</c:v>
                </c:pt>
                <c:pt idx="92">
                  <c:v>1.8070681827188954E-2</c:v>
                </c:pt>
                <c:pt idx="93">
                  <c:v>0</c:v>
                </c:pt>
                <c:pt idx="94">
                  <c:v>1.9796436631541346E-3</c:v>
                </c:pt>
                <c:pt idx="95">
                  <c:v>2.4066474972693635E-2</c:v>
                </c:pt>
                <c:pt idx="96">
                  <c:v>3.0518612103087411E-2</c:v>
                </c:pt>
                <c:pt idx="97">
                  <c:v>2.4264552775850795E-2</c:v>
                </c:pt>
                <c:pt idx="98">
                  <c:v>1.6397327270184139E-2</c:v>
                </c:pt>
                <c:pt idx="99">
                  <c:v>-1.1233507103545351E-3</c:v>
                </c:pt>
                <c:pt idx="100">
                  <c:v>1.9333128247223254E-2</c:v>
                </c:pt>
                <c:pt idx="101">
                  <c:v>0</c:v>
                </c:pt>
                <c:pt idx="102">
                  <c:v>9.1176013540503914E-4</c:v>
                </c:pt>
                <c:pt idx="103">
                  <c:v>1.7539179260307559E-2</c:v>
                </c:pt>
                <c:pt idx="104">
                  <c:v>1.3871622754169756E-2</c:v>
                </c:pt>
                <c:pt idx="105">
                  <c:v>2.1949266170132199E-3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9.0206287211075636E-3</c:v>
                </c:pt>
                <c:pt idx="110">
                  <c:v>1.2203733740683374E-2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1.9427076608073399E-2</c:v>
                </c:pt>
                <c:pt idx="117">
                  <c:v>9.8265636837094814E-3</c:v>
                </c:pt>
                <c:pt idx="1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705-4162-86F7-2998EFB823DD}"/>
            </c:ext>
          </c:extLst>
        </c:ser>
        <c:ser>
          <c:idx val="1"/>
          <c:order val="1"/>
          <c:tx>
            <c:v>Block of Slice Block</c:v>
          </c:tx>
          <c:invertIfNegative val="0"/>
          <c:val>
            <c:numRef>
              <c:f>Restatement!$F$4:$F$122</c:f>
              <c:numCache>
                <c:formatCode>0%</c:formatCode>
                <c:ptCount val="1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2.0960339193335713E-2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2.3380444053685598E-2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1.984101639741194E-2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1.8318616108992221E-2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1.8416782787384442E-2</c:v>
                </c:pt>
                <c:pt idx="107">
                  <c:v>1.2295781886493095E-2</c:v>
                </c:pt>
                <c:pt idx="108">
                  <c:v>1.4161460965822119E-2</c:v>
                </c:pt>
                <c:pt idx="109">
                  <c:v>0</c:v>
                </c:pt>
                <c:pt idx="110">
                  <c:v>0</c:v>
                </c:pt>
                <c:pt idx="111">
                  <c:v>2.060653928477401E-2</c:v>
                </c:pt>
                <c:pt idx="112">
                  <c:v>1.7220597183645284E-2</c:v>
                </c:pt>
                <c:pt idx="113">
                  <c:v>2.0541443642166313E-2</c:v>
                </c:pt>
                <c:pt idx="114">
                  <c:v>2.1045264108393223E-2</c:v>
                </c:pt>
                <c:pt idx="115">
                  <c:v>3.0206688657360876E-2</c:v>
                </c:pt>
                <c:pt idx="116">
                  <c:v>0</c:v>
                </c:pt>
                <c:pt idx="117">
                  <c:v>0</c:v>
                </c:pt>
                <c:pt idx="118">
                  <c:v>1.7001063117070159E-2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705-4162-86F7-2998EFB823DD}"/>
            </c:ext>
          </c:extLst>
        </c:ser>
        <c:ser>
          <c:idx val="2"/>
          <c:order val="2"/>
          <c:tx>
            <c:v>Block</c:v>
          </c:tx>
          <c:invertIfNegative val="0"/>
          <c:val>
            <c:numRef>
              <c:f>Restatement!$E$4:$E$122</c:f>
              <c:numCache>
                <c:formatCode>0%</c:formatCode>
                <c:ptCount val="119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5705-4162-86F7-2998EFB82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25750272"/>
        <c:axId val="125752448"/>
      </c:barChart>
      <c:lineChart>
        <c:grouping val="standard"/>
        <c:varyColors val="0"/>
        <c:ser>
          <c:idx val="3"/>
          <c:order val="3"/>
          <c:tx>
            <c:v>w/o Load Shaping Charges</c:v>
          </c:tx>
          <c:spPr>
            <a:ln w="44450">
              <a:noFill/>
            </a:ln>
          </c:spPr>
          <c:marker>
            <c:symbol val="dash"/>
            <c:size val="3"/>
            <c:spPr>
              <a:ln>
                <a:solidFill>
                  <a:schemeClr val="tx1"/>
                </a:solidFill>
              </a:ln>
            </c:spPr>
          </c:marker>
          <c:val>
            <c:numRef>
              <c:f>Restatement!$J$4:$J$122</c:f>
              <c:numCache>
                <c:formatCode>_(* #,##0.00_);_(* \(#,##0.00\);_(* "-"??_);_(@_)</c:formatCode>
                <c:ptCount val="119"/>
                <c:pt idx="0">
                  <c:v>5.4152176529729231E-3</c:v>
                </c:pt>
                <c:pt idx="1">
                  <c:v>2.4186132943188603E-2</c:v>
                </c:pt>
                <c:pt idx="2">
                  <c:v>-5.0125032782313936E-4</c:v>
                </c:pt>
                <c:pt idx="3">
                  <c:v>2.9262638632089181E-3</c:v>
                </c:pt>
                <c:pt idx="4">
                  <c:v>2.1156356159288101E-2</c:v>
                </c:pt>
                <c:pt idx="5">
                  <c:v>-1.0975659316896586E-3</c:v>
                </c:pt>
                <c:pt idx="6">
                  <c:v>2.7909684792978708E-2</c:v>
                </c:pt>
                <c:pt idx="7">
                  <c:v>-8.4192087190589494E-4</c:v>
                </c:pt>
                <c:pt idx="8">
                  <c:v>1.935311374498876E-2</c:v>
                </c:pt>
                <c:pt idx="9">
                  <c:v>3.1355776768618941E-2</c:v>
                </c:pt>
                <c:pt idx="10">
                  <c:v>-6.0676682216376362E-3</c:v>
                </c:pt>
                <c:pt idx="11">
                  <c:v>-7.1548235465256429E-4</c:v>
                </c:pt>
                <c:pt idx="12">
                  <c:v>5.1126578555765571E-3</c:v>
                </c:pt>
                <c:pt idx="13">
                  <c:v>3.1256650766619126E-2</c:v>
                </c:pt>
                <c:pt idx="14">
                  <c:v>2.0391243853626641E-2</c:v>
                </c:pt>
                <c:pt idx="15">
                  <c:v>-1.6950218720284064E-3</c:v>
                </c:pt>
                <c:pt idx="16">
                  <c:v>5.5523378659292797E-3</c:v>
                </c:pt>
                <c:pt idx="17">
                  <c:v>1.6881068635987418E-2</c:v>
                </c:pt>
                <c:pt idx="18">
                  <c:v>-1.4321583381865493E-2</c:v>
                </c:pt>
                <c:pt idx="19">
                  <c:v>-1.5810733639795604E-3</c:v>
                </c:pt>
                <c:pt idx="20">
                  <c:v>7.2214370691878445E-3</c:v>
                </c:pt>
                <c:pt idx="21">
                  <c:v>2.058353731071878E-2</c:v>
                </c:pt>
                <c:pt idx="22">
                  <c:v>1.9531869494191004E-2</c:v>
                </c:pt>
                <c:pt idx="23">
                  <c:v>2.9598583665469691E-2</c:v>
                </c:pt>
                <c:pt idx="24">
                  <c:v>2.2816176111904497E-2</c:v>
                </c:pt>
                <c:pt idx="25">
                  <c:v>2.196101871815833E-2</c:v>
                </c:pt>
                <c:pt idx="26">
                  <c:v>3.0710186954334574E-2</c:v>
                </c:pt>
                <c:pt idx="27">
                  <c:v>2.2571689131594318E-2</c:v>
                </c:pt>
                <c:pt idx="28">
                  <c:v>2.7596221227031783E-2</c:v>
                </c:pt>
                <c:pt idx="29">
                  <c:v>3.4784973970170711E-2</c:v>
                </c:pt>
                <c:pt idx="30">
                  <c:v>2.8250579699155731E-2</c:v>
                </c:pt>
                <c:pt idx="31">
                  <c:v>2.1784750586435593E-2</c:v>
                </c:pt>
                <c:pt idx="32">
                  <c:v>-3.9225038315210039E-3</c:v>
                </c:pt>
                <c:pt idx="33">
                  <c:v>6.1723926271636063E-3</c:v>
                </c:pt>
                <c:pt idx="34">
                  <c:v>2.4179085797522475E-2</c:v>
                </c:pt>
                <c:pt idx="35">
                  <c:v>2.2112315569523727E-2</c:v>
                </c:pt>
                <c:pt idx="36">
                  <c:v>2.238562490785698E-2</c:v>
                </c:pt>
                <c:pt idx="37">
                  <c:v>2.0942440188659012E-2</c:v>
                </c:pt>
                <c:pt idx="38">
                  <c:v>2.7973571130742662E-2</c:v>
                </c:pt>
                <c:pt idx="39">
                  <c:v>2.1761961254969049E-2</c:v>
                </c:pt>
                <c:pt idx="40">
                  <c:v>2.318147842416881E-2</c:v>
                </c:pt>
                <c:pt idx="41">
                  <c:v>2.9490193687056999E-2</c:v>
                </c:pt>
                <c:pt idx="42">
                  <c:v>4.6333138126292391E-3</c:v>
                </c:pt>
                <c:pt idx="43">
                  <c:v>4.9507739847089172E-3</c:v>
                </c:pt>
                <c:pt idx="44">
                  <c:v>1.9249941776888869E-2</c:v>
                </c:pt>
                <c:pt idx="45">
                  <c:v>9.8099973159161448E-3</c:v>
                </c:pt>
                <c:pt idx="46">
                  <c:v>1.2156390400534504E-2</c:v>
                </c:pt>
                <c:pt idx="47">
                  <c:v>2.7785129419949827E-2</c:v>
                </c:pt>
                <c:pt idx="48">
                  <c:v>2.4640920223567404E-2</c:v>
                </c:pt>
                <c:pt idx="49">
                  <c:v>6.3429471011956142E-3</c:v>
                </c:pt>
                <c:pt idx="50">
                  <c:v>2.1334044897713546E-2</c:v>
                </c:pt>
                <c:pt idx="51">
                  <c:v>-1.5785919703073966E-3</c:v>
                </c:pt>
                <c:pt idx="52">
                  <c:v>2.2056830814786616E-2</c:v>
                </c:pt>
                <c:pt idx="53">
                  <c:v>2.3759526154174222E-2</c:v>
                </c:pt>
                <c:pt idx="54">
                  <c:v>2.1566597294868147E-2</c:v>
                </c:pt>
                <c:pt idx="55">
                  <c:v>2.2810385955916203E-2</c:v>
                </c:pt>
                <c:pt idx="56">
                  <c:v>-2.0048592927646497E-3</c:v>
                </c:pt>
                <c:pt idx="57">
                  <c:v>2.2806653540230785E-3</c:v>
                </c:pt>
                <c:pt idx="58">
                  <c:v>2.6126320521155217E-3</c:v>
                </c:pt>
                <c:pt idx="59">
                  <c:v>-2.3202946219850738E-3</c:v>
                </c:pt>
                <c:pt idx="60">
                  <c:v>1.8423173934386749E-3</c:v>
                </c:pt>
                <c:pt idx="61">
                  <c:v>1.9760849049091103E-2</c:v>
                </c:pt>
                <c:pt idx="62">
                  <c:v>2.5483161665819421E-2</c:v>
                </c:pt>
                <c:pt idx="63">
                  <c:v>2.1405928432200995E-2</c:v>
                </c:pt>
                <c:pt idx="64">
                  <c:v>2.072773690535025E-2</c:v>
                </c:pt>
                <c:pt idx="65">
                  <c:v>2.2067613594784468E-2</c:v>
                </c:pt>
                <c:pt idx="66">
                  <c:v>2.2055660553333377E-2</c:v>
                </c:pt>
                <c:pt idx="67">
                  <c:v>6.1445830749762096E-3</c:v>
                </c:pt>
                <c:pt idx="68">
                  <c:v>-1.2515329668507501E-3</c:v>
                </c:pt>
                <c:pt idx="69">
                  <c:v>1.8881947968968832E-2</c:v>
                </c:pt>
                <c:pt idx="70">
                  <c:v>1.9541272702450232E-2</c:v>
                </c:pt>
                <c:pt idx="71">
                  <c:v>2.0656928630825768E-3</c:v>
                </c:pt>
                <c:pt idx="72">
                  <c:v>2.0780261598947157E-2</c:v>
                </c:pt>
                <c:pt idx="73">
                  <c:v>2.1072874014471395E-2</c:v>
                </c:pt>
                <c:pt idx="74">
                  <c:v>2.2261075468099644E-2</c:v>
                </c:pt>
                <c:pt idx="75">
                  <c:v>2.8011419953814978E-2</c:v>
                </c:pt>
                <c:pt idx="76">
                  <c:v>5.0314271194679933E-2</c:v>
                </c:pt>
                <c:pt idx="77">
                  <c:v>2.5375274082032873E-2</c:v>
                </c:pt>
                <c:pt idx="78">
                  <c:v>4.1343075754394213E-4</c:v>
                </c:pt>
                <c:pt idx="79">
                  <c:v>1.6764197064144386E-2</c:v>
                </c:pt>
                <c:pt idx="80">
                  <c:v>2.3414342812120507E-2</c:v>
                </c:pt>
                <c:pt idx="81">
                  <c:v>7.8146148106451475E-3</c:v>
                </c:pt>
                <c:pt idx="82">
                  <c:v>1.0796453541871649E-2</c:v>
                </c:pt>
                <c:pt idx="83">
                  <c:v>2.6175919863627828E-2</c:v>
                </c:pt>
                <c:pt idx="84">
                  <c:v>-2.0195876353023501E-2</c:v>
                </c:pt>
                <c:pt idx="85">
                  <c:v>1.868243684741035E-2</c:v>
                </c:pt>
                <c:pt idx="86">
                  <c:v>2.4771186297155266E-2</c:v>
                </c:pt>
                <c:pt idx="87">
                  <c:v>1.9951791168357942E-2</c:v>
                </c:pt>
                <c:pt idx="88">
                  <c:v>-1.2322762655073195E-3</c:v>
                </c:pt>
                <c:pt idx="89">
                  <c:v>1.615230121709366E-2</c:v>
                </c:pt>
                <c:pt idx="90">
                  <c:v>1.398568457228958E-2</c:v>
                </c:pt>
                <c:pt idx="91">
                  <c:v>2.3663424235392055E-2</c:v>
                </c:pt>
                <c:pt idx="92">
                  <c:v>2.1241253053791858E-2</c:v>
                </c:pt>
                <c:pt idx="93">
                  <c:v>1.6203713743116983E-2</c:v>
                </c:pt>
                <c:pt idx="94">
                  <c:v>1.3020622169826132E-3</c:v>
                </c:pt>
                <c:pt idx="95">
                  <c:v>2.2077762393359457E-2</c:v>
                </c:pt>
                <c:pt idx="96">
                  <c:v>2.9198982606067847E-2</c:v>
                </c:pt>
                <c:pt idx="97">
                  <c:v>2.3424908918655743E-2</c:v>
                </c:pt>
                <c:pt idx="98">
                  <c:v>2.3069821236385967E-2</c:v>
                </c:pt>
                <c:pt idx="99">
                  <c:v>-2.4454131204706825E-3</c:v>
                </c:pt>
                <c:pt idx="100">
                  <c:v>2.0683252116034997E-2</c:v>
                </c:pt>
                <c:pt idx="101">
                  <c:v>1.5101148827137832E-2</c:v>
                </c:pt>
                <c:pt idx="102">
                  <c:v>9.5733310813159323E-3</c:v>
                </c:pt>
                <c:pt idx="103">
                  <c:v>1.5863554312928199E-2</c:v>
                </c:pt>
                <c:pt idx="104">
                  <c:v>1.7425485535472299E-2</c:v>
                </c:pt>
                <c:pt idx="105">
                  <c:v>1.9099805321766924E-3</c:v>
                </c:pt>
                <c:pt idx="106">
                  <c:v>1.4872784121763455E-2</c:v>
                </c:pt>
                <c:pt idx="107">
                  <c:v>1.0600120046780787E-2</c:v>
                </c:pt>
                <c:pt idx="108">
                  <c:v>1.1124168296930468E-2</c:v>
                </c:pt>
                <c:pt idx="109">
                  <c:v>7.3677144674782931E-3</c:v>
                </c:pt>
                <c:pt idx="110">
                  <c:v>1.1357341171552677E-2</c:v>
                </c:pt>
                <c:pt idx="111">
                  <c:v>2.0709796808526391E-2</c:v>
                </c:pt>
                <c:pt idx="112">
                  <c:v>1.2936351906942305E-2</c:v>
                </c:pt>
                <c:pt idx="113">
                  <c:v>1.782939116871551E-2</c:v>
                </c:pt>
                <c:pt idx="114">
                  <c:v>1.7644828472087329E-2</c:v>
                </c:pt>
                <c:pt idx="115">
                  <c:v>2.5210778212289099E-2</c:v>
                </c:pt>
                <c:pt idx="116">
                  <c:v>1.0831278729281416E-2</c:v>
                </c:pt>
                <c:pt idx="117">
                  <c:v>1.0822058835758146E-2</c:v>
                </c:pt>
                <c:pt idx="118">
                  <c:v>1.3634663298915996E-2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5705-4162-86F7-2998EFB82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780352"/>
        <c:axId val="125753984"/>
      </c:lineChart>
      <c:catAx>
        <c:axId val="1257502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/>
          <a:lstStyle/>
          <a:p>
            <a:pPr>
              <a:defRPr sz="400"/>
            </a:pPr>
            <a:endParaRPr lang="en-US"/>
          </a:p>
        </c:txPr>
        <c:crossAx val="125752448"/>
        <c:crosses val="autoZero"/>
        <c:auto val="1"/>
        <c:lblAlgn val="ctr"/>
        <c:lblOffset val="100"/>
        <c:noMultiLvlLbl val="0"/>
      </c:catAx>
      <c:valAx>
        <c:axId val="12575244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/>
          <a:lstStyle/>
          <a:p>
            <a:pPr>
              <a:defRPr sz="700"/>
            </a:pPr>
            <a:endParaRPr lang="en-US"/>
          </a:p>
        </c:txPr>
        <c:crossAx val="125750272"/>
        <c:crosses val="autoZero"/>
        <c:crossBetween val="between"/>
      </c:valAx>
      <c:valAx>
        <c:axId val="125753984"/>
        <c:scaling>
          <c:orientation val="minMax"/>
          <c:max val="0.16000000000000003"/>
          <c:min val="0"/>
        </c:scaling>
        <c:delete val="1"/>
        <c:axPos val="r"/>
        <c:numFmt formatCode="_(* #,##0.00_);_(* \(#,##0.00\);_(* &quot;-&quot;??_);_(@_)" sourceLinked="1"/>
        <c:majorTickMark val="out"/>
        <c:minorTickMark val="none"/>
        <c:tickLblPos val="nextTo"/>
        <c:crossAx val="125780352"/>
        <c:crosses val="max"/>
        <c:crossBetween val="between"/>
      </c:valAx>
      <c:catAx>
        <c:axId val="125780352"/>
        <c:scaling>
          <c:orientation val="minMax"/>
        </c:scaling>
        <c:delete val="1"/>
        <c:axPos val="b"/>
        <c:majorTickMark val="out"/>
        <c:minorTickMark val="none"/>
        <c:tickLblPos val="nextTo"/>
        <c:crossAx val="125753984"/>
        <c:crosses val="autoZero"/>
        <c:auto val="1"/>
        <c:lblAlgn val="ctr"/>
        <c:lblOffset val="100"/>
        <c:noMultiLvlLbl val="0"/>
      </c:catAx>
      <c:spPr>
        <a:effectLst/>
      </c:spPr>
    </c:plotArea>
    <c:legend>
      <c:legendPos val="b"/>
      <c:layout/>
      <c:overlay val="0"/>
    </c:legend>
    <c:plotVisOnly val="1"/>
    <c:dispBlanksAs val="gap"/>
    <c:showDLblsOverMax val="0"/>
  </c:chart>
  <c:spPr>
    <a:noFill/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Non-Slice Customer Estimated Rate Impacts - Ordered from Highest to Lowest</a:t>
            </a:r>
            <a:endParaRPr lang="en-US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Rate Increase</c:v>
          </c:tx>
          <c:invertIfNegative val="0"/>
          <c:cat>
            <c:strRef>
              <c:f>Outputs!$H$5:$H$124</c:f>
              <c:strCache>
                <c:ptCount val="119"/>
                <c:pt idx="0">
                  <c:v>Port of Seattle - SETAC In'tl. Airport</c:v>
                </c:pt>
                <c:pt idx="1">
                  <c:v>Port Angeles, City of</c:v>
                </c:pt>
                <c:pt idx="2">
                  <c:v>Surprise Valley Elec Coop</c:v>
                </c:pt>
                <c:pt idx="3">
                  <c:v>Centralia, City of</c:v>
                </c:pt>
                <c:pt idx="4">
                  <c:v>Hood River Elec Coop</c:v>
                </c:pt>
                <c:pt idx="5">
                  <c:v>Forest Grove, City of</c:v>
                </c:pt>
                <c:pt idx="6">
                  <c:v>Nespelem Valley Elec Coop</c:v>
                </c:pt>
                <c:pt idx="7">
                  <c:v>U.S. Airforce Base, Fairchild</c:v>
                </c:pt>
                <c:pt idx="8">
                  <c:v>Bonners Ferry, City of</c:v>
                </c:pt>
                <c:pt idx="9">
                  <c:v>Drain, City of</c:v>
                </c:pt>
                <c:pt idx="10">
                  <c:v>Cascade Locks, City of</c:v>
                </c:pt>
                <c:pt idx="11">
                  <c:v>Mason County PUD #1</c:v>
                </c:pt>
                <c:pt idx="12">
                  <c:v>McCleary, City of</c:v>
                </c:pt>
                <c:pt idx="13">
                  <c:v>Clallam County PUD #1</c:v>
                </c:pt>
                <c:pt idx="14">
                  <c:v>Heyburn, City of</c:v>
                </c:pt>
                <c:pt idx="15">
                  <c:v>Cowlitz County PUD #1</c:v>
                </c:pt>
                <c:pt idx="16">
                  <c:v>Milton-Freewater, City of</c:v>
                </c:pt>
                <c:pt idx="17">
                  <c:v>Alder Mutual</c:v>
                </c:pt>
                <c:pt idx="18">
                  <c:v>Salem Elec Coop</c:v>
                </c:pt>
                <c:pt idx="19">
                  <c:v>Lakeview L &amp; P (WA)</c:v>
                </c:pt>
                <c:pt idx="20">
                  <c:v>Ashland, City of</c:v>
                </c:pt>
                <c:pt idx="21">
                  <c:v>Ferry County PUD #1</c:v>
                </c:pt>
                <c:pt idx="22">
                  <c:v>Milton, Town of</c:v>
                </c:pt>
                <c:pt idx="23">
                  <c:v>Klickitat County PUD #1</c:v>
                </c:pt>
                <c:pt idx="24">
                  <c:v>Kittitas County PUD #1</c:v>
                </c:pt>
                <c:pt idx="25">
                  <c:v>Skamania County PUD #1</c:v>
                </c:pt>
                <c:pt idx="26">
                  <c:v>Hermiston, City of</c:v>
                </c:pt>
                <c:pt idx="27">
                  <c:v>Steilacoom, Town of</c:v>
                </c:pt>
                <c:pt idx="28">
                  <c:v>Midstate Elec Coop</c:v>
                </c:pt>
                <c:pt idx="29">
                  <c:v>Eatonville, City of</c:v>
                </c:pt>
                <c:pt idx="30">
                  <c:v>Wahkiakum County PUD #1</c:v>
                </c:pt>
                <c:pt idx="31">
                  <c:v>Oregon Trail Coop</c:v>
                </c:pt>
                <c:pt idx="32">
                  <c:v>Benton REA</c:v>
                </c:pt>
                <c:pt idx="33">
                  <c:v>Peninsula Light Company</c:v>
                </c:pt>
                <c:pt idx="34">
                  <c:v>Plummer, City of</c:v>
                </c:pt>
                <c:pt idx="35">
                  <c:v>Burley, City of</c:v>
                </c:pt>
                <c:pt idx="36">
                  <c:v>Consolidated Irrigation District #19</c:v>
                </c:pt>
                <c:pt idx="37">
                  <c:v>Monmouth, City of</c:v>
                </c:pt>
                <c:pt idx="38">
                  <c:v>Energy Northwest</c:v>
                </c:pt>
                <c:pt idx="39">
                  <c:v>Rupert, City of</c:v>
                </c:pt>
                <c:pt idx="40">
                  <c:v>Columbia REA</c:v>
                </c:pt>
                <c:pt idx="41">
                  <c:v>Emerald PUD</c:v>
                </c:pt>
                <c:pt idx="42">
                  <c:v>Idaho County L &amp; P</c:v>
                </c:pt>
                <c:pt idx="43">
                  <c:v>Ellensburg, City of</c:v>
                </c:pt>
                <c:pt idx="44">
                  <c:v>Canby, City of</c:v>
                </c:pt>
                <c:pt idx="45">
                  <c:v>Bandon, City of</c:v>
                </c:pt>
                <c:pt idx="46">
                  <c:v>U.S. DOE Albany Research Center</c:v>
                </c:pt>
                <c:pt idx="47">
                  <c:v>Blaine, City of</c:v>
                </c:pt>
                <c:pt idx="48">
                  <c:v>Okanogan County PUD #1</c:v>
                </c:pt>
                <c:pt idx="49">
                  <c:v>Lost River Elec Coop</c:v>
                </c:pt>
                <c:pt idx="50">
                  <c:v>Tacoma Public Utilities</c:v>
                </c:pt>
                <c:pt idx="51">
                  <c:v>Pacific County PUD #2</c:v>
                </c:pt>
                <c:pt idx="52">
                  <c:v>Benton County PUD #1</c:v>
                </c:pt>
                <c:pt idx="53">
                  <c:v>U.S. Naval Submarine Base, Bangor</c:v>
                </c:pt>
                <c:pt idx="54">
                  <c:v>Clark County PUD #1</c:v>
                </c:pt>
                <c:pt idx="55">
                  <c:v>U.S. Naval Base,  Bremerton</c:v>
                </c:pt>
                <c:pt idx="56">
                  <c:v>Sumas, Town of</c:v>
                </c:pt>
                <c:pt idx="57">
                  <c:v>Salmon River Elec Coop</c:v>
                </c:pt>
                <c:pt idx="58">
                  <c:v>Idaho Falls Power</c:v>
                </c:pt>
                <c:pt idx="59">
                  <c:v>Seattle City Light</c:v>
                </c:pt>
                <c:pt idx="60">
                  <c:v>McMinnville, City of</c:v>
                </c:pt>
                <c:pt idx="61">
                  <c:v>Whatcom County PUD #1</c:v>
                </c:pt>
                <c:pt idx="62">
                  <c:v>Lewis County PUD #1</c:v>
                </c:pt>
                <c:pt idx="63">
                  <c:v>Clatskanie PUD</c:v>
                </c:pt>
                <c:pt idx="64">
                  <c:v>United Electric Coop</c:v>
                </c:pt>
                <c:pt idx="65">
                  <c:v>Big Bend Elec Coop</c:v>
                </c:pt>
                <c:pt idx="66">
                  <c:v>U.S. Naval Station, Everett (Jim Creek)</c:v>
                </c:pt>
                <c:pt idx="67">
                  <c:v>Springfield Utility Board</c:v>
                </c:pt>
                <c:pt idx="68">
                  <c:v>Eugene Water &amp; Electric Board</c:v>
                </c:pt>
                <c:pt idx="69">
                  <c:v>Snohomish County PUD #1</c:v>
                </c:pt>
                <c:pt idx="70">
                  <c:v>Columbia River PUD</c:v>
                </c:pt>
                <c:pt idx="71">
                  <c:v>Mason County PUD #3</c:v>
                </c:pt>
                <c:pt idx="72">
                  <c:v>Umpqua Indian Utility Cooperative</c:v>
                </c:pt>
                <c:pt idx="73">
                  <c:v>Cheney, City of</c:v>
                </c:pt>
                <c:pt idx="74">
                  <c:v>Harney Elec Coop</c:v>
                </c:pt>
                <c:pt idx="75">
                  <c:v>Tillamook PUD #1</c:v>
                </c:pt>
                <c:pt idx="76">
                  <c:v>Grays Harbor PUD #1</c:v>
                </c:pt>
                <c:pt idx="77">
                  <c:v>Richland, City of</c:v>
                </c:pt>
                <c:pt idx="78">
                  <c:v>Modern Elec Coop</c:v>
                </c:pt>
                <c:pt idx="79">
                  <c:v>Franklin County PUD #1</c:v>
                </c:pt>
                <c:pt idx="80">
                  <c:v>Flathead Elec Coop</c:v>
                </c:pt>
                <c:pt idx="81">
                  <c:v>Vera Irrigation District</c:v>
                </c:pt>
                <c:pt idx="82">
                  <c:v>Pend Oreille County PUD  #1</c:v>
                </c:pt>
                <c:pt idx="83">
                  <c:v>PNGC Aggregate</c:v>
                </c:pt>
                <c:pt idx="84">
                  <c:v>Central Lincoln PUD</c:v>
                </c:pt>
                <c:pt idx="85">
                  <c:v>Columbia Power Coop</c:v>
                </c:pt>
                <c:pt idx="86">
                  <c:v>Ohop Mutual Light Company</c:v>
                </c:pt>
                <c:pt idx="87">
                  <c:v>U.S. DOE Richland Operations Office</c:v>
                </c:pt>
                <c:pt idx="88">
                  <c:v>Mission Valley</c:v>
                </c:pt>
                <c:pt idx="89">
                  <c:v>Minidoka, City of</c:v>
                </c:pt>
                <c:pt idx="90">
                  <c:v>Wasco Elec Coop</c:v>
                </c:pt>
                <c:pt idx="91">
                  <c:v>Vigilante Elec Coop</c:v>
                </c:pt>
                <c:pt idx="92">
                  <c:v>Albion, City of</c:v>
                </c:pt>
                <c:pt idx="93">
                  <c:v>Missoula Elec Coop</c:v>
                </c:pt>
                <c:pt idx="94">
                  <c:v>Ravalli County Elec Coop</c:v>
                </c:pt>
                <c:pt idx="95">
                  <c:v>Elmhurst Mutual P &amp; L</c:v>
                </c:pt>
                <c:pt idx="96">
                  <c:v>Inland P &amp; L</c:v>
                </c:pt>
                <c:pt idx="97">
                  <c:v>Northern Wasco County PUD</c:v>
                </c:pt>
                <c:pt idx="98">
                  <c:v>Glacier Elec  Coop</c:v>
                </c:pt>
                <c:pt idx="99">
                  <c:v>Riverside Elec Coop</c:v>
                </c:pt>
                <c:pt idx="100">
                  <c:v>East End Mutual Electric</c:v>
                </c:pt>
                <c:pt idx="101">
                  <c:v>Troy, City of</c:v>
                </c:pt>
                <c:pt idx="102">
                  <c:v>Wells Rural Elec Coop</c:v>
                </c:pt>
                <c:pt idx="103">
                  <c:v>Parkland L &amp; W</c:v>
                </c:pt>
                <c:pt idx="104">
                  <c:v>Declo, City of</c:v>
                </c:pt>
                <c:pt idx="105">
                  <c:v>Yakama Power</c:v>
                </c:pt>
                <c:pt idx="106">
                  <c:v>Soda Springs, City of</c:v>
                </c:pt>
                <c:pt idx="107">
                  <c:v>Kootenai Electric Coop</c:v>
                </c:pt>
                <c:pt idx="108">
                  <c:v>Chewelah, City of</c:v>
                </c:pt>
                <c:pt idx="109">
                  <c:v>Farmers Elec Coop</c:v>
                </c:pt>
                <c:pt idx="110">
                  <c:v>Lower Valley Energy</c:v>
                </c:pt>
                <c:pt idx="111">
                  <c:v>Southside Elec Lines</c:v>
                </c:pt>
                <c:pt idx="112">
                  <c:v>Weiser, City of</c:v>
                </c:pt>
                <c:pt idx="113">
                  <c:v>Columbia Basin Elec Coop</c:v>
                </c:pt>
                <c:pt idx="114">
                  <c:v>Tanner Elec Coop</c:v>
                </c:pt>
                <c:pt idx="115">
                  <c:v>Asotin County PUD #1</c:v>
                </c:pt>
                <c:pt idx="116">
                  <c:v>Coulee Dam, City of</c:v>
                </c:pt>
                <c:pt idx="117">
                  <c:v>Jefferson County PUD #1</c:v>
                </c:pt>
                <c:pt idx="118">
                  <c:v>Kalispel Tribe Utility</c:v>
                </c:pt>
              </c:strCache>
            </c:strRef>
          </c:cat>
          <c:val>
            <c:numRef>
              <c:f>Outputs!$I$5:$I$124</c:f>
              <c:numCache>
                <c:formatCode>0%</c:formatCode>
                <c:ptCount val="120"/>
                <c:pt idx="0">
                  <c:v>0.1062072161944561</c:v>
                </c:pt>
                <c:pt idx="1">
                  <c:v>4.7763559914399192E-2</c:v>
                </c:pt>
                <c:pt idx="2">
                  <c:v>4.5857847369213486E-2</c:v>
                </c:pt>
                <c:pt idx="3">
                  <c:v>4.5411251950768956E-2</c:v>
                </c:pt>
                <c:pt idx="4">
                  <c:v>4.1741234371665846E-2</c:v>
                </c:pt>
                <c:pt idx="5">
                  <c:v>3.9962240885026458E-2</c:v>
                </c:pt>
                <c:pt idx="6">
                  <c:v>3.7714275196477111E-2</c:v>
                </c:pt>
                <c:pt idx="7">
                  <c:v>3.5074813504646113E-2</c:v>
                </c:pt>
                <c:pt idx="8">
                  <c:v>3.2640688120083888E-2</c:v>
                </c:pt>
                <c:pt idx="9">
                  <c:v>3.2335339471080311E-2</c:v>
                </c:pt>
                <c:pt idx="10">
                  <c:v>3.2081630866684578E-2</c:v>
                </c:pt>
                <c:pt idx="11">
                  <c:v>3.0787719333790504E-2</c:v>
                </c:pt>
                <c:pt idx="12">
                  <c:v>3.0708962421697381E-2</c:v>
                </c:pt>
                <c:pt idx="13">
                  <c:v>3.0518612103087411E-2</c:v>
                </c:pt>
                <c:pt idx="14">
                  <c:v>3.0208410988634176E-2</c:v>
                </c:pt>
                <c:pt idx="15">
                  <c:v>3.0206688657360876E-2</c:v>
                </c:pt>
                <c:pt idx="16">
                  <c:v>2.9894245934101484E-2</c:v>
                </c:pt>
                <c:pt idx="17">
                  <c:v>2.9064975042651198E-2</c:v>
                </c:pt>
                <c:pt idx="18">
                  <c:v>2.8180424817611748E-2</c:v>
                </c:pt>
                <c:pt idx="19">
                  <c:v>2.7412146213754426E-2</c:v>
                </c:pt>
                <c:pt idx="20">
                  <c:v>2.7358914502510566E-2</c:v>
                </c:pt>
                <c:pt idx="21">
                  <c:v>2.6898812228666889E-2</c:v>
                </c:pt>
                <c:pt idx="22">
                  <c:v>2.6089119795719581E-2</c:v>
                </c:pt>
                <c:pt idx="23">
                  <c:v>2.5993582771107599E-2</c:v>
                </c:pt>
                <c:pt idx="24">
                  <c:v>2.5842918415102129E-2</c:v>
                </c:pt>
                <c:pt idx="25">
                  <c:v>2.5559845524092403E-2</c:v>
                </c:pt>
                <c:pt idx="26">
                  <c:v>2.5382575685908553E-2</c:v>
                </c:pt>
                <c:pt idx="27">
                  <c:v>2.5299479104244016E-2</c:v>
                </c:pt>
                <c:pt idx="28">
                  <c:v>2.4605378978970208E-2</c:v>
                </c:pt>
                <c:pt idx="29">
                  <c:v>2.4587602033614535E-2</c:v>
                </c:pt>
                <c:pt idx="30">
                  <c:v>2.4531300859117353E-2</c:v>
                </c:pt>
                <c:pt idx="31">
                  <c:v>2.4264552775850795E-2</c:v>
                </c:pt>
                <c:pt idx="32">
                  <c:v>2.4129671377734328E-2</c:v>
                </c:pt>
                <c:pt idx="33">
                  <c:v>2.4066474972693635E-2</c:v>
                </c:pt>
                <c:pt idx="34">
                  <c:v>2.4030447974436545E-2</c:v>
                </c:pt>
                <c:pt idx="35">
                  <c:v>2.3704150743427306E-2</c:v>
                </c:pt>
                <c:pt idx="36">
                  <c:v>2.3689943873142751E-2</c:v>
                </c:pt>
                <c:pt idx="37">
                  <c:v>2.3676917774226841E-2</c:v>
                </c:pt>
                <c:pt idx="38">
                  <c:v>2.365445690946226E-2</c:v>
                </c:pt>
                <c:pt idx="39">
                  <c:v>2.3608223463518582E-2</c:v>
                </c:pt>
                <c:pt idx="40">
                  <c:v>2.3425898817692446E-2</c:v>
                </c:pt>
                <c:pt idx="41">
                  <c:v>2.3380444053685598E-2</c:v>
                </c:pt>
                <c:pt idx="42">
                  <c:v>2.3130384753898899E-2</c:v>
                </c:pt>
                <c:pt idx="43">
                  <c:v>2.2946787212685577E-2</c:v>
                </c:pt>
                <c:pt idx="44">
                  <c:v>2.2840073649008457E-2</c:v>
                </c:pt>
                <c:pt idx="45">
                  <c:v>2.2349281981221127E-2</c:v>
                </c:pt>
                <c:pt idx="46">
                  <c:v>2.2198811548148744E-2</c:v>
                </c:pt>
                <c:pt idx="47">
                  <c:v>2.2013678034998641E-2</c:v>
                </c:pt>
                <c:pt idx="48">
                  <c:v>2.196804461602115E-2</c:v>
                </c:pt>
                <c:pt idx="49">
                  <c:v>2.1234158526746504E-2</c:v>
                </c:pt>
                <c:pt idx="50">
                  <c:v>2.1045264108393223E-2</c:v>
                </c:pt>
                <c:pt idx="51">
                  <c:v>2.0960339193335713E-2</c:v>
                </c:pt>
                <c:pt idx="52">
                  <c:v>2.060653928477401E-2</c:v>
                </c:pt>
                <c:pt idx="53">
                  <c:v>2.0593154556978511E-2</c:v>
                </c:pt>
                <c:pt idx="54">
                  <c:v>2.0541443642166313E-2</c:v>
                </c:pt>
                <c:pt idx="55">
                  <c:v>2.034531681756328E-2</c:v>
                </c:pt>
                <c:pt idx="56">
                  <c:v>1.9858047668185625E-2</c:v>
                </c:pt>
                <c:pt idx="57">
                  <c:v>1.9853527676081218E-2</c:v>
                </c:pt>
                <c:pt idx="58">
                  <c:v>1.984101639741194E-2</c:v>
                </c:pt>
                <c:pt idx="59">
                  <c:v>1.9427076608073399E-2</c:v>
                </c:pt>
                <c:pt idx="60">
                  <c:v>1.9333128247223254E-2</c:v>
                </c:pt>
                <c:pt idx="61">
                  <c:v>1.9038316078125214E-2</c:v>
                </c:pt>
                <c:pt idx="62">
                  <c:v>1.8416782787384442E-2</c:v>
                </c:pt>
                <c:pt idx="63">
                  <c:v>1.8318616108992221E-2</c:v>
                </c:pt>
                <c:pt idx="64">
                  <c:v>1.8231252817155558E-2</c:v>
                </c:pt>
                <c:pt idx="65">
                  <c:v>1.8070681827188954E-2</c:v>
                </c:pt>
                <c:pt idx="66">
                  <c:v>1.8016160892773678E-2</c:v>
                </c:pt>
                <c:pt idx="67">
                  <c:v>1.7539179260307559E-2</c:v>
                </c:pt>
                <c:pt idx="68">
                  <c:v>1.7220597183645284E-2</c:v>
                </c:pt>
                <c:pt idx="69">
                  <c:v>1.7001063117070159E-2</c:v>
                </c:pt>
                <c:pt idx="70">
                  <c:v>1.6860088850394184E-2</c:v>
                </c:pt>
                <c:pt idx="71">
                  <c:v>1.6397327270184139E-2</c:v>
                </c:pt>
                <c:pt idx="72">
                  <c:v>1.6251388370118743E-2</c:v>
                </c:pt>
                <c:pt idx="73">
                  <c:v>1.5729134548604664E-2</c:v>
                </c:pt>
                <c:pt idx="74">
                  <c:v>1.5055014571912103E-2</c:v>
                </c:pt>
                <c:pt idx="75">
                  <c:v>1.4928190524117851E-2</c:v>
                </c:pt>
                <c:pt idx="76">
                  <c:v>1.4161460965822119E-2</c:v>
                </c:pt>
                <c:pt idx="77">
                  <c:v>1.3871622754169756E-2</c:v>
                </c:pt>
                <c:pt idx="78">
                  <c:v>1.3126888563425495E-2</c:v>
                </c:pt>
                <c:pt idx="79">
                  <c:v>1.2295781886493095E-2</c:v>
                </c:pt>
                <c:pt idx="80">
                  <c:v>1.2203733740683374E-2</c:v>
                </c:pt>
                <c:pt idx="81">
                  <c:v>1.1841368979360868E-2</c:v>
                </c:pt>
                <c:pt idx="82">
                  <c:v>1.1706346790973919E-2</c:v>
                </c:pt>
                <c:pt idx="83">
                  <c:v>9.8265636837094814E-3</c:v>
                </c:pt>
                <c:pt idx="84">
                  <c:v>9.0206287211075636E-3</c:v>
                </c:pt>
                <c:pt idx="85">
                  <c:v>8.3521563376058056E-3</c:v>
                </c:pt>
                <c:pt idx="86">
                  <c:v>7.4177726239626346E-3</c:v>
                </c:pt>
                <c:pt idx="87">
                  <c:v>7.1268362627351879E-3</c:v>
                </c:pt>
                <c:pt idx="88">
                  <c:v>6.0490965553304347E-3</c:v>
                </c:pt>
                <c:pt idx="89">
                  <c:v>5.9604219589658195E-3</c:v>
                </c:pt>
                <c:pt idx="90">
                  <c:v>5.8477752445761947E-3</c:v>
                </c:pt>
                <c:pt idx="91">
                  <c:v>5.1895372801993604E-3</c:v>
                </c:pt>
                <c:pt idx="92">
                  <c:v>3.6075574107837347E-3</c:v>
                </c:pt>
                <c:pt idx="93">
                  <c:v>2.7019917545331607E-3</c:v>
                </c:pt>
                <c:pt idx="94">
                  <c:v>2.6046285066632104E-3</c:v>
                </c:pt>
                <c:pt idx="95">
                  <c:v>2.2956924844997994E-3</c:v>
                </c:pt>
                <c:pt idx="96">
                  <c:v>2.1949266170132199E-3</c:v>
                </c:pt>
                <c:pt idx="97">
                  <c:v>1.9796436631541346E-3</c:v>
                </c:pt>
                <c:pt idx="98">
                  <c:v>1.9057981549505671E-3</c:v>
                </c:pt>
                <c:pt idx="99">
                  <c:v>1.7181665740033381E-3</c:v>
                </c:pt>
                <c:pt idx="100">
                  <c:v>1.0245165079750004E-3</c:v>
                </c:pt>
                <c:pt idx="101">
                  <c:v>9.4529240094381811E-4</c:v>
                </c:pt>
                <c:pt idx="102">
                  <c:v>9.1176013540503914E-4</c:v>
                </c:pt>
                <c:pt idx="103">
                  <c:v>8.4338443518880445E-4</c:v>
                </c:pt>
                <c:pt idx="104">
                  <c:v>7.2499219529364393E-4</c:v>
                </c:pt>
                <c:pt idx="105">
                  <c:v>2.5119888888747166E-4</c:v>
                </c:pt>
                <c:pt idx="106">
                  <c:v>2.0156725291366998E-4</c:v>
                </c:pt>
                <c:pt idx="107">
                  <c:v>-2.2240910308257383E-5</c:v>
                </c:pt>
                <c:pt idx="108">
                  <c:v>-6.3951061522599236E-4</c:v>
                </c:pt>
                <c:pt idx="109">
                  <c:v>-8.27142527977417E-4</c:v>
                </c:pt>
                <c:pt idx="110">
                  <c:v>-1.1233507103545351E-3</c:v>
                </c:pt>
                <c:pt idx="111">
                  <c:v>-1.1674858287984485E-3</c:v>
                </c:pt>
                <c:pt idx="112">
                  <c:v>-2.1176413108854025E-3</c:v>
                </c:pt>
                <c:pt idx="113">
                  <c:v>-2.4082329550978326E-3</c:v>
                </c:pt>
                <c:pt idx="114">
                  <c:v>-3.7584658951404525E-3</c:v>
                </c:pt>
                <c:pt idx="115">
                  <c:v>-4.0934677881310473E-3</c:v>
                </c:pt>
                <c:pt idx="116">
                  <c:v>-4.1295263243903814E-3</c:v>
                </c:pt>
                <c:pt idx="117">
                  <c:v>-1.8408567078609786E-2</c:v>
                </c:pt>
                <c:pt idx="118">
                  <c:v>-2.3082395824109217E-2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B32-488C-B506-2F5774154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25862656"/>
        <c:axId val="125864192"/>
      </c:barChart>
      <c:lineChart>
        <c:grouping val="standard"/>
        <c:varyColors val="0"/>
        <c:ser>
          <c:idx val="1"/>
          <c:order val="1"/>
          <c:tx>
            <c:v>Cumulative GWhs</c:v>
          </c:tx>
          <c:marker>
            <c:symbol val="square"/>
            <c:size val="3"/>
          </c:marker>
          <c:val>
            <c:numRef>
              <c:f>Outputs!$L$5:$L$124</c:f>
              <c:numCache>
                <c:formatCode>_(* #,##0_);_(* \(#,##0\);_(* "-"??_);_(@_)</c:formatCode>
                <c:ptCount val="120"/>
                <c:pt idx="0">
                  <c:v>123.11349691535358</c:v>
                </c:pt>
                <c:pt idx="1">
                  <c:v>405.02016325468162</c:v>
                </c:pt>
                <c:pt idx="2">
                  <c:v>540.7216032237568</c:v>
                </c:pt>
                <c:pt idx="3">
                  <c:v>744.73490812610555</c:v>
                </c:pt>
                <c:pt idx="4">
                  <c:v>855.46921383526399</c:v>
                </c:pt>
                <c:pt idx="5">
                  <c:v>1080.4568428847103</c:v>
                </c:pt>
                <c:pt idx="6">
                  <c:v>1130.7603622908928</c:v>
                </c:pt>
                <c:pt idx="7">
                  <c:v>1178.4336993076224</c:v>
                </c:pt>
                <c:pt idx="8">
                  <c:v>1224.9098433076224</c:v>
                </c:pt>
                <c:pt idx="9">
                  <c:v>1241.4213916920833</c:v>
                </c:pt>
                <c:pt idx="10">
                  <c:v>1262.1955516920832</c:v>
                </c:pt>
                <c:pt idx="11">
                  <c:v>1338.484715440128</c:v>
                </c:pt>
                <c:pt idx="12">
                  <c:v>1370.967947440128</c:v>
                </c:pt>
                <c:pt idx="13">
                  <c:v>2035.257947440128</c:v>
                </c:pt>
                <c:pt idx="14">
                  <c:v>2077.3508754401278</c:v>
                </c:pt>
                <c:pt idx="15">
                  <c:v>3282.4380836135933</c:v>
                </c:pt>
                <c:pt idx="16">
                  <c:v>3365.6248391141376</c:v>
                </c:pt>
                <c:pt idx="17">
                  <c:v>3370.4121191141376</c:v>
                </c:pt>
                <c:pt idx="18">
                  <c:v>3702.9375664874497</c:v>
                </c:pt>
                <c:pt idx="19">
                  <c:v>3975.5270423315455</c:v>
                </c:pt>
                <c:pt idx="20">
                  <c:v>4151.0055019593729</c:v>
                </c:pt>
                <c:pt idx="21">
                  <c:v>4228.6531392104453</c:v>
                </c:pt>
                <c:pt idx="22">
                  <c:v>4288.8685786696706</c:v>
                </c:pt>
                <c:pt idx="23">
                  <c:v>4609.177138669671</c:v>
                </c:pt>
                <c:pt idx="24">
                  <c:v>4690.9063209609221</c:v>
                </c:pt>
                <c:pt idx="25">
                  <c:v>4825.4139068410886</c:v>
                </c:pt>
                <c:pt idx="26">
                  <c:v>4933.4388976244745</c:v>
                </c:pt>
                <c:pt idx="27">
                  <c:v>4974.0756561629196</c:v>
                </c:pt>
                <c:pt idx="28">
                  <c:v>5382.5140881629195</c:v>
                </c:pt>
                <c:pt idx="29">
                  <c:v>5411.400398327195</c:v>
                </c:pt>
                <c:pt idx="30">
                  <c:v>5454.660591357544</c:v>
                </c:pt>
                <c:pt idx="31">
                  <c:v>6146.5147833575438</c:v>
                </c:pt>
                <c:pt idx="32">
                  <c:v>6667.7836953575443</c:v>
                </c:pt>
                <c:pt idx="33">
                  <c:v>7260.8993997071375</c:v>
                </c:pt>
                <c:pt idx="34">
                  <c:v>7294.8616067203084</c:v>
                </c:pt>
                <c:pt idx="35">
                  <c:v>7415.1158046174223</c:v>
                </c:pt>
                <c:pt idx="36">
                  <c:v>7417.1009886174224</c:v>
                </c:pt>
                <c:pt idx="37">
                  <c:v>7490.1750846174227</c:v>
                </c:pt>
                <c:pt idx="38">
                  <c:v>7511.042854098434</c:v>
                </c:pt>
                <c:pt idx="39">
                  <c:v>7593.3752860984341</c:v>
                </c:pt>
                <c:pt idx="40">
                  <c:v>7903.5907214136341</c:v>
                </c:pt>
                <c:pt idx="41">
                  <c:v>8110.9554481417235</c:v>
                </c:pt>
                <c:pt idx="42">
                  <c:v>8165.2405681417231</c:v>
                </c:pt>
                <c:pt idx="43">
                  <c:v>8374.7828881417227</c:v>
                </c:pt>
                <c:pt idx="44">
                  <c:v>8552.2372561417233</c:v>
                </c:pt>
                <c:pt idx="45">
                  <c:v>8618.9868721417224</c:v>
                </c:pt>
                <c:pt idx="46">
                  <c:v>8622.9923761417231</c:v>
                </c:pt>
                <c:pt idx="47">
                  <c:v>8699.4131761417229</c:v>
                </c:pt>
                <c:pt idx="48">
                  <c:v>9100.561757269812</c:v>
                </c:pt>
                <c:pt idx="49">
                  <c:v>9183.542186394523</c:v>
                </c:pt>
                <c:pt idx="50">
                  <c:v>10718.373147949775</c:v>
                </c:pt>
                <c:pt idx="51">
                  <c:v>10851.910557925583</c:v>
                </c:pt>
                <c:pt idx="52">
                  <c:v>11762.985772572367</c:v>
                </c:pt>
                <c:pt idx="53">
                  <c:v>11935.06723655711</c:v>
                </c:pt>
                <c:pt idx="54">
                  <c:v>13251.998248463568</c:v>
                </c:pt>
                <c:pt idx="55">
                  <c:v>13518.135880463567</c:v>
                </c:pt>
                <c:pt idx="56">
                  <c:v>13549.960312463567</c:v>
                </c:pt>
                <c:pt idx="57">
                  <c:v>13656.035478543259</c:v>
                </c:pt>
                <c:pt idx="58">
                  <c:v>13866.545849105716</c:v>
                </c:pt>
                <c:pt idx="59">
                  <c:v>18313.260833166645</c:v>
                </c:pt>
                <c:pt idx="60">
                  <c:v>19069.995176493263</c:v>
                </c:pt>
                <c:pt idx="61">
                  <c:v>19301.405283098626</c:v>
                </c:pt>
                <c:pt idx="62">
                  <c:v>19664.514585372366</c:v>
                </c:pt>
                <c:pt idx="63">
                  <c:v>19982.137512530331</c:v>
                </c:pt>
                <c:pt idx="64">
                  <c:v>20244.053737284608</c:v>
                </c:pt>
                <c:pt idx="65">
                  <c:v>20778.733629290291</c:v>
                </c:pt>
                <c:pt idx="66">
                  <c:v>20792.076525290289</c:v>
                </c:pt>
                <c:pt idx="67">
                  <c:v>21624.61387165952</c:v>
                </c:pt>
                <c:pt idx="68">
                  <c:v>22604.866160278016</c:v>
                </c:pt>
                <c:pt idx="69">
                  <c:v>25607.021910926644</c:v>
                </c:pt>
                <c:pt idx="70">
                  <c:v>26085.56712839373</c:v>
                </c:pt>
                <c:pt idx="71">
                  <c:v>26752.494267340495</c:v>
                </c:pt>
                <c:pt idx="72">
                  <c:v>26776.673680351847</c:v>
                </c:pt>
                <c:pt idx="73">
                  <c:v>26909.273591391746</c:v>
                </c:pt>
                <c:pt idx="74">
                  <c:v>27108.073079391746</c:v>
                </c:pt>
                <c:pt idx="75">
                  <c:v>27593.860939781123</c:v>
                </c:pt>
                <c:pt idx="76">
                  <c:v>28129.521239325699</c:v>
                </c:pt>
                <c:pt idx="77">
                  <c:v>29020.05618829179</c:v>
                </c:pt>
                <c:pt idx="78">
                  <c:v>29243.601091127708</c:v>
                </c:pt>
                <c:pt idx="79">
                  <c:v>29786.296941893532</c:v>
                </c:pt>
                <c:pt idx="80">
                  <c:v>31243.905117893533</c:v>
                </c:pt>
                <c:pt idx="81">
                  <c:v>31481.187309893532</c:v>
                </c:pt>
                <c:pt idx="82">
                  <c:v>31675.471532821302</c:v>
                </c:pt>
                <c:pt idx="83">
                  <c:v>36307.766636821303</c:v>
                </c:pt>
                <c:pt idx="84">
                  <c:v>37648.674432091037</c:v>
                </c:pt>
                <c:pt idx="85">
                  <c:v>37675.429988784745</c:v>
                </c:pt>
                <c:pt idx="86">
                  <c:v>37761.400583579853</c:v>
                </c:pt>
                <c:pt idx="87">
                  <c:v>38028.751617838898</c:v>
                </c:pt>
                <c:pt idx="88">
                  <c:v>38360.356401838901</c:v>
                </c:pt>
                <c:pt idx="89">
                  <c:v>38361.180226238568</c:v>
                </c:pt>
                <c:pt idx="90">
                  <c:v>38471.616646244867</c:v>
                </c:pt>
                <c:pt idx="91">
                  <c:v>38636.290202538701</c:v>
                </c:pt>
                <c:pt idx="92">
                  <c:v>38639.67954411346</c:v>
                </c:pt>
                <c:pt idx="93">
                  <c:v>38875.468456113464</c:v>
                </c:pt>
                <c:pt idx="94">
                  <c:v>39037.243384113463</c:v>
                </c:pt>
                <c:pt idx="95">
                  <c:v>39318.919912113466</c:v>
                </c:pt>
                <c:pt idx="96">
                  <c:v>40235.397226162488</c:v>
                </c:pt>
                <c:pt idx="97">
                  <c:v>40801.280074162489</c:v>
                </c:pt>
                <c:pt idx="98">
                  <c:v>40958.328143983112</c:v>
                </c:pt>
                <c:pt idx="99">
                  <c:v>40979.058383983109</c:v>
                </c:pt>
                <c:pt idx="100">
                  <c:v>41002.538015983111</c:v>
                </c:pt>
                <c:pt idx="101">
                  <c:v>41020.202674611821</c:v>
                </c:pt>
                <c:pt idx="102">
                  <c:v>41829.093621243912</c:v>
                </c:pt>
                <c:pt idx="103">
                  <c:v>41949.185780129905</c:v>
                </c:pt>
                <c:pt idx="104">
                  <c:v>41952.321668129902</c:v>
                </c:pt>
                <c:pt idx="105">
                  <c:v>42108.805745347694</c:v>
                </c:pt>
                <c:pt idx="106">
                  <c:v>42135.342209347691</c:v>
                </c:pt>
                <c:pt idx="107">
                  <c:v>42580.945745347693</c:v>
                </c:pt>
                <c:pt idx="108">
                  <c:v>42603.617240434185</c:v>
                </c:pt>
                <c:pt idx="109">
                  <c:v>42607.984835023468</c:v>
                </c:pt>
                <c:pt idx="110">
                  <c:v>43359.735813267151</c:v>
                </c:pt>
                <c:pt idx="111">
                  <c:v>43418.843349267154</c:v>
                </c:pt>
                <c:pt idx="112">
                  <c:v>43474.138629267152</c:v>
                </c:pt>
                <c:pt idx="113">
                  <c:v>43577.798515075279</c:v>
                </c:pt>
                <c:pt idx="114">
                  <c:v>43674.194131075281</c:v>
                </c:pt>
                <c:pt idx="115">
                  <c:v>43679.201011075282</c:v>
                </c:pt>
                <c:pt idx="116">
                  <c:v>43695.913438677511</c:v>
                </c:pt>
                <c:pt idx="117">
                  <c:v>44090.613694677508</c:v>
                </c:pt>
                <c:pt idx="118">
                  <c:v>44116.994778780267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B32-488C-B506-2F5774154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875712"/>
        <c:axId val="125874176"/>
      </c:lineChart>
      <c:catAx>
        <c:axId val="125862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400"/>
            </a:pPr>
            <a:endParaRPr lang="en-US"/>
          </a:p>
        </c:txPr>
        <c:crossAx val="125864192"/>
        <c:crosses val="autoZero"/>
        <c:auto val="1"/>
        <c:lblAlgn val="ctr"/>
        <c:lblOffset val="100"/>
        <c:noMultiLvlLbl val="0"/>
      </c:catAx>
      <c:valAx>
        <c:axId val="12586419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/>
          <a:lstStyle/>
          <a:p>
            <a:pPr>
              <a:defRPr sz="800"/>
            </a:pPr>
            <a:endParaRPr lang="en-US"/>
          </a:p>
        </c:txPr>
        <c:crossAx val="125862656"/>
        <c:crosses val="autoZero"/>
        <c:crossBetween val="between"/>
      </c:valAx>
      <c:valAx>
        <c:axId val="125874176"/>
        <c:scaling>
          <c:orientation val="minMax"/>
        </c:scaling>
        <c:delete val="0"/>
        <c:axPos val="r"/>
        <c:numFmt formatCode="_(* #,##0_);_(* \(#,##0\);_(* &quot;-&quot;??_);_(@_)" sourceLinked="1"/>
        <c:majorTickMark val="out"/>
        <c:minorTickMark val="none"/>
        <c:tickLblPos val="nextTo"/>
        <c:txPr>
          <a:bodyPr rot="-5340000" vert="horz" anchor="t" anchorCtr="1"/>
          <a:lstStyle/>
          <a:p>
            <a:pPr>
              <a:defRPr sz="800"/>
            </a:pPr>
            <a:endParaRPr lang="en-US"/>
          </a:p>
        </c:txPr>
        <c:crossAx val="125875712"/>
        <c:crosses val="max"/>
        <c:crossBetween val="between"/>
      </c:valAx>
      <c:catAx>
        <c:axId val="125875712"/>
        <c:scaling>
          <c:orientation val="minMax"/>
        </c:scaling>
        <c:delete val="1"/>
        <c:axPos val="b"/>
        <c:majorTickMark val="out"/>
        <c:minorTickMark val="none"/>
        <c:tickLblPos val="nextTo"/>
        <c:crossAx val="125874176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9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0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21">
    <tabColor rgb="FFFFFF99"/>
  </sheetPr>
  <sheetViews>
    <sheetView tabSelected="1" workbookViewId="0"/>
  </sheetViews>
  <pageMargins left="0.25" right="0.25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22">
    <tabColor rgb="FFFFFF99"/>
  </sheetPr>
  <sheetViews>
    <sheetView workbookViewId="0"/>
  </sheetViews>
  <pageMargins left="0.25" right="0.25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472448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0.29175</cdr:x>
      <cdr:y>0.10926</cdr:y>
    </cdr:from>
    <cdr:to>
      <cdr:x>0.70624</cdr:x>
      <cdr:y>0.14264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762250" y="685800"/>
          <a:ext cx="39243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467850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bs8701\Desktop\PublicRateImpacts_BP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_TRM_12"/>
      <sheetName val="Rates_TRM_14"/>
      <sheetName val="Billing Determinants_TRM"/>
      <sheetName val="TRM-12_Charges"/>
      <sheetName val="Charges_TRM&amp;Impacts"/>
      <sheetName val="PastedResults&amp;Sorted"/>
      <sheetName val="Live"/>
      <sheetName val="NoSliceEffectiveRate"/>
      <sheetName val="ByGroupRateImpact2"/>
      <sheetName val="Impact&amp;Impact5"/>
      <sheetName val="NoSliceRateImpact1"/>
    </sheetNames>
    <sheetDataSet>
      <sheetData sheetId="0"/>
      <sheetData sheetId="1"/>
      <sheetData sheetId="2"/>
      <sheetData sheetId="3"/>
      <sheetData sheetId="4"/>
      <sheetData sheetId="5">
        <row r="2">
          <cell r="W2" t="str">
            <v>Load Following IRD Customer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F0"/>
  </sheetPr>
  <dimension ref="A1:AT400"/>
  <sheetViews>
    <sheetView workbookViewId="0">
      <selection activeCell="X26" sqref="X26"/>
    </sheetView>
  </sheetViews>
  <sheetFormatPr defaultRowHeight="15"/>
  <cols>
    <col min="1" max="1" width="14.7109375" style="31" bestFit="1" customWidth="1"/>
    <col min="2" max="2" width="5" style="31" customWidth="1"/>
    <col min="3" max="3" width="5.7109375" style="31" customWidth="1"/>
    <col min="4" max="4" width="7.42578125" style="31" customWidth="1"/>
    <col min="5" max="9" width="5" style="31" customWidth="1"/>
    <col min="10" max="10" width="5" style="34" bestFit="1" customWidth="1"/>
    <col min="11" max="11" width="5.140625" style="34" bestFit="1" customWidth="1"/>
    <col min="12" max="12" width="5.5703125" style="34" bestFit="1" customWidth="1"/>
    <col min="13" max="13" width="6.28515625" style="31" customWidth="1"/>
    <col min="14" max="14" width="5" style="31" customWidth="1"/>
    <col min="16" max="16" width="15.28515625" customWidth="1"/>
    <col min="17" max="17" width="6.5703125" customWidth="1"/>
  </cols>
  <sheetData>
    <row r="1" spans="1:46">
      <c r="A1" s="37"/>
      <c r="B1" s="37"/>
      <c r="C1" s="37"/>
      <c r="D1" s="37"/>
      <c r="E1" s="37"/>
      <c r="F1" s="37"/>
      <c r="G1" s="37"/>
      <c r="H1" s="37"/>
      <c r="I1" s="37"/>
      <c r="J1" s="70"/>
      <c r="K1" s="37"/>
      <c r="L1" s="37"/>
      <c r="M1" s="37"/>
      <c r="N1" s="37"/>
      <c r="O1" s="2"/>
    </row>
    <row r="2" spans="1:46">
      <c r="A2" s="70"/>
      <c r="B2" s="70"/>
      <c r="C2" s="70"/>
      <c r="D2" s="70"/>
      <c r="E2" s="70"/>
      <c r="F2" s="70"/>
      <c r="G2" s="70"/>
      <c r="H2" s="70"/>
      <c r="I2" s="70"/>
      <c r="J2" s="70"/>
      <c r="K2" s="37"/>
      <c r="L2" s="37"/>
      <c r="M2" s="37"/>
      <c r="N2" s="37"/>
      <c r="O2" s="2"/>
    </row>
    <row r="3" spans="1:46" ht="15.75">
      <c r="B3" s="40" t="s">
        <v>151</v>
      </c>
      <c r="C3" s="41"/>
      <c r="D3" s="41"/>
      <c r="E3" s="41"/>
      <c r="F3" s="41"/>
      <c r="G3" s="41"/>
      <c r="H3" s="41"/>
      <c r="I3" s="41"/>
      <c r="J3" s="41"/>
      <c r="K3" s="40" t="s">
        <v>152</v>
      </c>
      <c r="L3" s="42"/>
      <c r="M3" s="42"/>
      <c r="N3" s="41"/>
      <c r="O3" s="2"/>
      <c r="P3" s="418" t="s">
        <v>226</v>
      </c>
      <c r="Q3" s="417"/>
      <c r="R3" s="416">
        <f>IF(R6=2020, 2018, IF(R6=2021, 2019, "ERROR"))</f>
        <v>2018</v>
      </c>
      <c r="AS3">
        <v>2020</v>
      </c>
      <c r="AT3" t="s">
        <v>302</v>
      </c>
    </row>
    <row r="4" spans="1:46" ht="26.25">
      <c r="A4" s="72"/>
      <c r="B4" s="73" t="s">
        <v>153</v>
      </c>
      <c r="C4" s="74" t="s">
        <v>154</v>
      </c>
      <c r="D4" s="74" t="s">
        <v>155</v>
      </c>
      <c r="E4" s="74" t="s">
        <v>156</v>
      </c>
      <c r="F4" s="74" t="s">
        <v>157</v>
      </c>
      <c r="G4" s="74" t="s">
        <v>143</v>
      </c>
      <c r="H4" s="75" t="s">
        <v>144</v>
      </c>
      <c r="I4" s="76" t="s">
        <v>158</v>
      </c>
      <c r="J4" s="77"/>
      <c r="K4" s="73" t="s">
        <v>159</v>
      </c>
      <c r="L4" s="74" t="s">
        <v>154</v>
      </c>
      <c r="M4" s="75" t="s">
        <v>155</v>
      </c>
      <c r="N4" s="77"/>
      <c r="O4" s="2"/>
      <c r="AS4">
        <v>2021</v>
      </c>
      <c r="AT4" t="s">
        <v>417</v>
      </c>
    </row>
    <row r="5" spans="1:46" ht="15.75">
      <c r="A5" s="44">
        <v>2011</v>
      </c>
      <c r="B5" s="45">
        <v>40544</v>
      </c>
      <c r="C5" s="46">
        <v>31</v>
      </c>
      <c r="D5" s="46">
        <v>744</v>
      </c>
      <c r="E5" s="46">
        <v>5</v>
      </c>
      <c r="F5" s="46">
        <v>1</v>
      </c>
      <c r="G5" s="46">
        <v>400</v>
      </c>
      <c r="H5" s="47">
        <v>344</v>
      </c>
      <c r="I5" s="48">
        <v>0.5376344086021505</v>
      </c>
      <c r="J5" s="31"/>
      <c r="K5" s="49">
        <v>2009</v>
      </c>
      <c r="L5" s="50">
        <v>365</v>
      </c>
      <c r="M5" s="51">
        <v>8760</v>
      </c>
      <c r="P5" s="40" t="s">
        <v>418</v>
      </c>
    </row>
    <row r="6" spans="1:46">
      <c r="B6" s="52">
        <v>40575</v>
      </c>
      <c r="C6" s="31">
        <v>28</v>
      </c>
      <c r="D6" s="31">
        <v>672</v>
      </c>
      <c r="E6" s="31">
        <v>4</v>
      </c>
      <c r="F6" s="31">
        <v>0</v>
      </c>
      <c r="G6" s="31">
        <v>384</v>
      </c>
      <c r="H6" s="53">
        <v>288</v>
      </c>
      <c r="I6" s="54">
        <v>0.5714285714285714</v>
      </c>
      <c r="J6" s="31"/>
      <c r="K6" s="55">
        <v>2010</v>
      </c>
      <c r="L6" s="34">
        <v>365</v>
      </c>
      <c r="M6" s="56">
        <v>8760</v>
      </c>
      <c r="R6" s="80">
        <v>2020</v>
      </c>
    </row>
    <row r="7" spans="1:46">
      <c r="B7" s="52">
        <v>40603</v>
      </c>
      <c r="C7" s="31">
        <v>31</v>
      </c>
      <c r="D7" s="31">
        <v>743</v>
      </c>
      <c r="E7" s="31">
        <v>4</v>
      </c>
      <c r="F7" s="31">
        <v>0</v>
      </c>
      <c r="G7" s="31">
        <v>432</v>
      </c>
      <c r="H7" s="53">
        <v>311</v>
      </c>
      <c r="I7" s="54">
        <v>0.58142664872139971</v>
      </c>
      <c r="J7" s="31"/>
      <c r="K7" s="55">
        <v>2011</v>
      </c>
      <c r="L7" s="34">
        <v>365</v>
      </c>
      <c r="M7" s="56">
        <v>8760</v>
      </c>
      <c r="P7" s="78"/>
    </row>
    <row r="8" spans="1:46" ht="15.75">
      <c r="B8" s="52">
        <v>40634</v>
      </c>
      <c r="C8" s="31">
        <v>30</v>
      </c>
      <c r="D8" s="31">
        <v>720</v>
      </c>
      <c r="E8" s="31">
        <v>4</v>
      </c>
      <c r="F8" s="31">
        <v>0</v>
      </c>
      <c r="G8" s="31">
        <v>416</v>
      </c>
      <c r="H8" s="53">
        <v>304</v>
      </c>
      <c r="I8" s="54">
        <v>0.57777777777777772</v>
      </c>
      <c r="J8" s="31"/>
      <c r="K8" s="55">
        <v>2012</v>
      </c>
      <c r="L8" s="34">
        <v>366</v>
      </c>
      <c r="M8" s="56">
        <v>8784</v>
      </c>
      <c r="P8" s="40" t="s">
        <v>366</v>
      </c>
    </row>
    <row r="9" spans="1:46">
      <c r="B9" s="52">
        <v>40664</v>
      </c>
      <c r="C9" s="31">
        <v>31</v>
      </c>
      <c r="D9" s="31">
        <v>744</v>
      </c>
      <c r="E9" s="31">
        <v>5</v>
      </c>
      <c r="F9" s="31">
        <v>1</v>
      </c>
      <c r="G9" s="31">
        <v>400</v>
      </c>
      <c r="H9" s="53">
        <v>344</v>
      </c>
      <c r="I9" s="54">
        <v>0.5376344086021505</v>
      </c>
      <c r="J9" s="31"/>
      <c r="K9" s="55">
        <v>2013</v>
      </c>
      <c r="L9" s="34">
        <v>365</v>
      </c>
      <c r="M9" s="56">
        <v>8760</v>
      </c>
      <c r="R9" s="80" t="s">
        <v>302</v>
      </c>
    </row>
    <row r="10" spans="1:46">
      <c r="B10" s="52">
        <v>40695</v>
      </c>
      <c r="C10" s="31">
        <v>30</v>
      </c>
      <c r="D10" s="31">
        <v>720</v>
      </c>
      <c r="E10" s="31">
        <v>4</v>
      </c>
      <c r="F10" s="31">
        <v>0</v>
      </c>
      <c r="G10" s="31">
        <v>416</v>
      </c>
      <c r="H10" s="53">
        <v>304</v>
      </c>
      <c r="I10" s="54">
        <v>0.57777777777777772</v>
      </c>
      <c r="J10" s="31"/>
      <c r="K10" s="55">
        <v>2014</v>
      </c>
      <c r="L10" s="34">
        <v>365</v>
      </c>
      <c r="M10" s="56">
        <v>8760</v>
      </c>
    </row>
    <row r="11" spans="1:46" ht="15.75">
      <c r="B11" s="52">
        <v>40725</v>
      </c>
      <c r="C11" s="31">
        <v>31</v>
      </c>
      <c r="D11" s="31">
        <v>744</v>
      </c>
      <c r="E11" s="31">
        <v>5</v>
      </c>
      <c r="F11" s="31">
        <v>1</v>
      </c>
      <c r="G11" s="31">
        <v>400</v>
      </c>
      <c r="H11" s="53">
        <v>344</v>
      </c>
      <c r="I11" s="54">
        <v>0.5376344086021505</v>
      </c>
      <c r="J11" s="31"/>
      <c r="K11" s="55">
        <v>2015</v>
      </c>
      <c r="L11" s="34">
        <v>365</v>
      </c>
      <c r="M11" s="56">
        <v>8760</v>
      </c>
      <c r="P11" s="40" t="s">
        <v>367</v>
      </c>
      <c r="Q11" s="240"/>
      <c r="R11" s="240"/>
      <c r="S11" s="240"/>
      <c r="T11" s="240"/>
    </row>
    <row r="12" spans="1:46">
      <c r="B12" s="52">
        <v>40756</v>
      </c>
      <c r="C12" s="31">
        <v>31</v>
      </c>
      <c r="D12" s="31">
        <v>744</v>
      </c>
      <c r="E12" s="31">
        <v>4</v>
      </c>
      <c r="F12" s="31">
        <v>0</v>
      </c>
      <c r="G12" s="31">
        <v>432</v>
      </c>
      <c r="H12" s="53">
        <v>312</v>
      </c>
      <c r="I12" s="54">
        <v>0.58064516129032262</v>
      </c>
      <c r="J12" s="31"/>
      <c r="K12" s="55">
        <v>2016</v>
      </c>
      <c r="L12" s="34">
        <v>366</v>
      </c>
      <c r="M12" s="56">
        <v>8784</v>
      </c>
      <c r="P12" s="240"/>
      <c r="Q12" s="240"/>
      <c r="R12" s="80" t="s">
        <v>302</v>
      </c>
      <c r="S12" s="240"/>
      <c r="T12" s="240"/>
    </row>
    <row r="13" spans="1:46">
      <c r="B13" s="52">
        <v>40787</v>
      </c>
      <c r="C13" s="31">
        <v>30</v>
      </c>
      <c r="D13" s="31">
        <v>720</v>
      </c>
      <c r="E13" s="31">
        <v>4</v>
      </c>
      <c r="F13" s="31">
        <v>1</v>
      </c>
      <c r="G13" s="31">
        <v>400</v>
      </c>
      <c r="H13" s="53">
        <v>320</v>
      </c>
      <c r="I13" s="54">
        <v>0.55555555555555558</v>
      </c>
      <c r="J13" s="31"/>
      <c r="K13" s="55">
        <v>2017</v>
      </c>
      <c r="L13" s="34">
        <v>365</v>
      </c>
      <c r="M13" s="56">
        <v>8760</v>
      </c>
    </row>
    <row r="14" spans="1:46" ht="15.75">
      <c r="B14" s="52">
        <v>40817</v>
      </c>
      <c r="C14" s="31">
        <v>31</v>
      </c>
      <c r="D14" s="31">
        <v>744</v>
      </c>
      <c r="E14" s="31">
        <v>5</v>
      </c>
      <c r="F14" s="31">
        <v>0</v>
      </c>
      <c r="G14" s="31">
        <v>416</v>
      </c>
      <c r="H14" s="53">
        <v>328</v>
      </c>
      <c r="I14" s="54">
        <v>0.55913978494623651</v>
      </c>
      <c r="J14" s="31"/>
      <c r="K14" s="55">
        <v>2018</v>
      </c>
      <c r="L14" s="34">
        <v>365</v>
      </c>
      <c r="M14" s="56">
        <v>8760</v>
      </c>
      <c r="P14" s="40" t="s">
        <v>300</v>
      </c>
      <c r="Q14" s="240"/>
      <c r="R14" s="240"/>
      <c r="S14" s="240"/>
      <c r="T14" s="240"/>
      <c r="U14" s="240"/>
    </row>
    <row r="15" spans="1:46">
      <c r="B15" s="52">
        <v>40848</v>
      </c>
      <c r="C15" s="31">
        <v>30</v>
      </c>
      <c r="D15" s="31">
        <v>721</v>
      </c>
      <c r="E15" s="31">
        <v>4</v>
      </c>
      <c r="F15" s="31">
        <v>1</v>
      </c>
      <c r="G15" s="31">
        <v>400</v>
      </c>
      <c r="H15" s="53">
        <v>321</v>
      </c>
      <c r="I15" s="54">
        <v>0.55478502080443826</v>
      </c>
      <c r="J15" s="31"/>
      <c r="K15" s="55">
        <v>2019</v>
      </c>
      <c r="L15" s="34">
        <v>365</v>
      </c>
      <c r="M15" s="56">
        <v>8760</v>
      </c>
      <c r="P15" s="240"/>
      <c r="Q15" s="240"/>
      <c r="R15" s="80" t="s">
        <v>417</v>
      </c>
      <c r="S15" s="240"/>
      <c r="T15" s="240"/>
      <c r="U15" s="240"/>
    </row>
    <row r="16" spans="1:46">
      <c r="B16" s="52">
        <v>40878</v>
      </c>
      <c r="C16" s="31">
        <v>31</v>
      </c>
      <c r="D16" s="31">
        <v>744</v>
      </c>
      <c r="E16" s="31">
        <v>4</v>
      </c>
      <c r="F16" s="31">
        <v>1</v>
      </c>
      <c r="G16" s="31">
        <v>416</v>
      </c>
      <c r="H16" s="53">
        <v>328</v>
      </c>
      <c r="I16" s="54">
        <v>0.55913978494623651</v>
      </c>
      <c r="J16" s="31"/>
      <c r="K16" s="55">
        <v>2020</v>
      </c>
      <c r="L16" s="34">
        <v>366</v>
      </c>
      <c r="M16" s="56">
        <v>8784</v>
      </c>
    </row>
    <row r="17" spans="1:20" ht="15.75">
      <c r="A17" s="44">
        <v>2012</v>
      </c>
      <c r="B17" s="52">
        <v>40909</v>
      </c>
      <c r="C17" s="31">
        <v>31</v>
      </c>
      <c r="D17" s="31">
        <v>744</v>
      </c>
      <c r="E17" s="31">
        <v>5</v>
      </c>
      <c r="F17" s="31">
        <v>1</v>
      </c>
      <c r="G17" s="31">
        <v>400</v>
      </c>
      <c r="H17" s="53">
        <v>344</v>
      </c>
      <c r="I17" s="54">
        <v>0.5376344086021505</v>
      </c>
      <c r="J17" s="31"/>
      <c r="K17" s="55">
        <v>2021</v>
      </c>
      <c r="L17" s="34">
        <v>365</v>
      </c>
      <c r="M17" s="56">
        <v>8760</v>
      </c>
      <c r="P17" s="40" t="s">
        <v>421</v>
      </c>
      <c r="Q17" s="295"/>
      <c r="R17" s="295"/>
      <c r="S17" s="295"/>
      <c r="T17" s="295"/>
    </row>
    <row r="18" spans="1:20">
      <c r="B18" s="52">
        <v>40940</v>
      </c>
      <c r="C18" s="31">
        <v>29</v>
      </c>
      <c r="D18" s="31">
        <v>696</v>
      </c>
      <c r="E18" s="31">
        <v>4</v>
      </c>
      <c r="F18" s="31">
        <v>0</v>
      </c>
      <c r="G18" s="31">
        <v>400</v>
      </c>
      <c r="H18" s="53">
        <v>296</v>
      </c>
      <c r="I18" s="54">
        <v>0.57471264367816088</v>
      </c>
      <c r="J18" s="31"/>
      <c r="K18" s="55">
        <v>2022</v>
      </c>
      <c r="L18" s="34">
        <v>365</v>
      </c>
      <c r="M18" s="56">
        <v>8760</v>
      </c>
      <c r="P18" s="295"/>
      <c r="Q18" s="295"/>
      <c r="R18" s="80" t="s">
        <v>302</v>
      </c>
      <c r="S18" s="295"/>
      <c r="T18" s="295"/>
    </row>
    <row r="19" spans="1:20">
      <c r="B19" s="52">
        <v>40969</v>
      </c>
      <c r="C19" s="31">
        <v>31</v>
      </c>
      <c r="D19" s="31">
        <v>743</v>
      </c>
      <c r="E19" s="31">
        <v>4</v>
      </c>
      <c r="F19" s="31">
        <v>0</v>
      </c>
      <c r="G19" s="31">
        <v>432</v>
      </c>
      <c r="H19" s="53">
        <v>311</v>
      </c>
      <c r="I19" s="54">
        <v>0.58142664872139971</v>
      </c>
      <c r="J19" s="31"/>
      <c r="K19" s="55">
        <v>2023</v>
      </c>
      <c r="L19" s="34">
        <v>365</v>
      </c>
      <c r="M19" s="56">
        <v>8760</v>
      </c>
    </row>
    <row r="20" spans="1:20">
      <c r="B20" s="52">
        <v>41000</v>
      </c>
      <c r="C20" s="31">
        <v>30</v>
      </c>
      <c r="D20" s="31">
        <v>720</v>
      </c>
      <c r="E20" s="31">
        <v>5</v>
      </c>
      <c r="F20" s="31">
        <v>0</v>
      </c>
      <c r="G20" s="31">
        <v>400</v>
      </c>
      <c r="H20" s="53">
        <v>320</v>
      </c>
      <c r="I20" s="54">
        <v>0.55555555555555558</v>
      </c>
      <c r="J20" s="31"/>
      <c r="K20" s="55">
        <v>2024</v>
      </c>
      <c r="L20" s="34">
        <v>366</v>
      </c>
      <c r="M20" s="56">
        <v>8784</v>
      </c>
    </row>
    <row r="21" spans="1:20">
      <c r="B21" s="52">
        <v>41030</v>
      </c>
      <c r="C21" s="31">
        <v>31</v>
      </c>
      <c r="D21" s="31">
        <v>744</v>
      </c>
      <c r="E21" s="31">
        <v>4</v>
      </c>
      <c r="F21" s="31">
        <v>1</v>
      </c>
      <c r="G21" s="31">
        <v>416</v>
      </c>
      <c r="H21" s="53">
        <v>328</v>
      </c>
      <c r="I21" s="54">
        <v>0.55913978494623651</v>
      </c>
      <c r="J21" s="31"/>
      <c r="K21" s="55">
        <v>2025</v>
      </c>
      <c r="L21" s="34">
        <v>365</v>
      </c>
      <c r="M21" s="56">
        <v>8760</v>
      </c>
    </row>
    <row r="22" spans="1:20">
      <c r="B22" s="52">
        <v>41061</v>
      </c>
      <c r="C22" s="31">
        <v>30</v>
      </c>
      <c r="D22" s="31">
        <v>720</v>
      </c>
      <c r="E22" s="31">
        <v>4</v>
      </c>
      <c r="F22" s="31">
        <v>0</v>
      </c>
      <c r="G22" s="31">
        <v>416</v>
      </c>
      <c r="H22" s="53">
        <v>304</v>
      </c>
      <c r="I22" s="54">
        <v>0.57777777777777772</v>
      </c>
      <c r="J22" s="31"/>
      <c r="K22" s="55">
        <v>2026</v>
      </c>
      <c r="L22" s="34">
        <v>365</v>
      </c>
      <c r="M22" s="56">
        <v>8760</v>
      </c>
    </row>
    <row r="23" spans="1:20">
      <c r="B23" s="52">
        <v>41091</v>
      </c>
      <c r="C23" s="31">
        <v>31</v>
      </c>
      <c r="D23" s="31">
        <v>744</v>
      </c>
      <c r="E23" s="31">
        <v>5</v>
      </c>
      <c r="F23" s="31">
        <v>1</v>
      </c>
      <c r="G23" s="31">
        <v>400</v>
      </c>
      <c r="H23" s="53">
        <v>344</v>
      </c>
      <c r="I23" s="54">
        <v>0.5376344086021505</v>
      </c>
      <c r="J23" s="31"/>
      <c r="K23" s="55">
        <v>2027</v>
      </c>
      <c r="L23" s="34">
        <v>365</v>
      </c>
      <c r="M23" s="56">
        <v>8760</v>
      </c>
    </row>
    <row r="24" spans="1:20">
      <c r="B24" s="52">
        <v>41122</v>
      </c>
      <c r="C24" s="31">
        <v>31</v>
      </c>
      <c r="D24" s="31">
        <v>744</v>
      </c>
      <c r="E24" s="31">
        <v>4</v>
      </c>
      <c r="F24" s="31">
        <v>0</v>
      </c>
      <c r="G24" s="31">
        <v>432</v>
      </c>
      <c r="H24" s="53">
        <v>312</v>
      </c>
      <c r="I24" s="54">
        <v>0.58064516129032262</v>
      </c>
      <c r="J24" s="31"/>
      <c r="K24" s="55">
        <v>2028</v>
      </c>
      <c r="L24" s="34">
        <v>366</v>
      </c>
      <c r="M24" s="56">
        <v>8784</v>
      </c>
    </row>
    <row r="25" spans="1:20">
      <c r="B25" s="52">
        <v>41153</v>
      </c>
      <c r="C25" s="31">
        <v>30</v>
      </c>
      <c r="D25" s="31">
        <v>720</v>
      </c>
      <c r="E25" s="31">
        <v>5</v>
      </c>
      <c r="F25" s="31">
        <v>1</v>
      </c>
      <c r="G25" s="31">
        <v>384</v>
      </c>
      <c r="H25" s="53">
        <v>336</v>
      </c>
      <c r="I25" s="54">
        <v>0.53333333333333333</v>
      </c>
      <c r="J25" s="31"/>
      <c r="K25" s="55">
        <v>2029</v>
      </c>
      <c r="L25" s="34">
        <v>365</v>
      </c>
      <c r="M25" s="56">
        <v>8760</v>
      </c>
    </row>
    <row r="26" spans="1:20">
      <c r="B26" s="52">
        <v>41183</v>
      </c>
      <c r="C26" s="31">
        <v>31</v>
      </c>
      <c r="D26" s="31">
        <v>744</v>
      </c>
      <c r="E26" s="31">
        <v>4</v>
      </c>
      <c r="F26" s="31">
        <v>0</v>
      </c>
      <c r="G26" s="31">
        <v>432</v>
      </c>
      <c r="H26" s="53">
        <v>312</v>
      </c>
      <c r="I26" s="54">
        <v>0.58064516129032262</v>
      </c>
      <c r="J26" s="31"/>
      <c r="K26" s="55">
        <v>2030</v>
      </c>
      <c r="L26" s="34">
        <v>365</v>
      </c>
      <c r="M26" s="56">
        <v>8760</v>
      </c>
    </row>
    <row r="27" spans="1:20">
      <c r="B27" s="52">
        <v>41214</v>
      </c>
      <c r="C27" s="31">
        <v>30</v>
      </c>
      <c r="D27" s="31">
        <v>721</v>
      </c>
      <c r="E27" s="31">
        <v>4</v>
      </c>
      <c r="F27" s="31">
        <v>1</v>
      </c>
      <c r="G27" s="31">
        <v>400</v>
      </c>
      <c r="H27" s="53">
        <v>321</v>
      </c>
      <c r="I27" s="54">
        <v>0.55478502080443826</v>
      </c>
      <c r="J27" s="31"/>
      <c r="K27" s="55">
        <v>2031</v>
      </c>
      <c r="L27" s="34">
        <v>365</v>
      </c>
      <c r="M27" s="56">
        <v>8760</v>
      </c>
    </row>
    <row r="28" spans="1:20">
      <c r="B28" s="52">
        <v>41244</v>
      </c>
      <c r="C28" s="31">
        <v>31</v>
      </c>
      <c r="D28" s="31">
        <v>744</v>
      </c>
      <c r="E28" s="31">
        <v>5</v>
      </c>
      <c r="F28" s="31">
        <v>1</v>
      </c>
      <c r="G28" s="31">
        <v>400</v>
      </c>
      <c r="H28" s="53">
        <v>344</v>
      </c>
      <c r="I28" s="54">
        <v>0.5376344086021505</v>
      </c>
      <c r="J28" s="31"/>
      <c r="K28" s="55">
        <v>2032</v>
      </c>
      <c r="L28" s="34">
        <v>366</v>
      </c>
      <c r="M28" s="56">
        <v>8784</v>
      </c>
    </row>
    <row r="29" spans="1:20">
      <c r="A29" s="44">
        <v>2013</v>
      </c>
      <c r="B29" s="52">
        <v>41275</v>
      </c>
      <c r="C29" s="31">
        <v>31</v>
      </c>
      <c r="D29" s="31">
        <v>744</v>
      </c>
      <c r="E29" s="31">
        <v>4</v>
      </c>
      <c r="F29" s="31">
        <v>1</v>
      </c>
      <c r="G29" s="31">
        <v>416</v>
      </c>
      <c r="H29" s="53">
        <v>328</v>
      </c>
      <c r="I29" s="54">
        <v>0.55913978494623651</v>
      </c>
      <c r="J29" s="31"/>
      <c r="K29" s="55">
        <v>2033</v>
      </c>
      <c r="L29" s="34">
        <v>365</v>
      </c>
      <c r="M29" s="56">
        <v>8760</v>
      </c>
    </row>
    <row r="30" spans="1:20">
      <c r="B30" s="52">
        <v>41306</v>
      </c>
      <c r="C30" s="31">
        <v>28</v>
      </c>
      <c r="D30" s="31">
        <v>672</v>
      </c>
      <c r="E30" s="31">
        <v>4</v>
      </c>
      <c r="F30" s="31">
        <v>0</v>
      </c>
      <c r="G30" s="31">
        <v>384</v>
      </c>
      <c r="H30" s="53">
        <v>288</v>
      </c>
      <c r="I30" s="54">
        <v>0.5714285714285714</v>
      </c>
      <c r="J30" s="31"/>
      <c r="K30" s="55">
        <v>2034</v>
      </c>
      <c r="L30" s="34">
        <v>365</v>
      </c>
      <c r="M30" s="56">
        <v>8760</v>
      </c>
    </row>
    <row r="31" spans="1:20">
      <c r="B31" s="52">
        <v>41334</v>
      </c>
      <c r="C31" s="31">
        <v>31</v>
      </c>
      <c r="D31" s="31">
        <v>743</v>
      </c>
      <c r="E31" s="31">
        <v>5</v>
      </c>
      <c r="F31" s="31">
        <v>0</v>
      </c>
      <c r="G31" s="31">
        <v>416</v>
      </c>
      <c r="H31" s="53">
        <v>327</v>
      </c>
      <c r="I31" s="54">
        <v>0.55989232839838488</v>
      </c>
      <c r="J31" s="31"/>
      <c r="K31" s="55">
        <v>2035</v>
      </c>
      <c r="L31" s="34">
        <v>365</v>
      </c>
      <c r="M31" s="56">
        <v>8760</v>
      </c>
    </row>
    <row r="32" spans="1:20">
      <c r="B32" s="52">
        <v>41365</v>
      </c>
      <c r="C32" s="31">
        <v>30</v>
      </c>
      <c r="D32" s="31">
        <v>720</v>
      </c>
      <c r="E32" s="31">
        <v>4</v>
      </c>
      <c r="F32" s="31">
        <v>0</v>
      </c>
      <c r="G32" s="31">
        <v>416</v>
      </c>
      <c r="H32" s="53">
        <v>304</v>
      </c>
      <c r="I32" s="54">
        <v>0.57777777777777772</v>
      </c>
      <c r="J32" s="31"/>
      <c r="K32" s="55">
        <v>2036</v>
      </c>
      <c r="L32" s="34">
        <v>366</v>
      </c>
      <c r="M32" s="56">
        <v>8784</v>
      </c>
    </row>
    <row r="33" spans="1:13">
      <c r="B33" s="52">
        <v>41395</v>
      </c>
      <c r="C33" s="31">
        <v>31</v>
      </c>
      <c r="D33" s="31">
        <v>744</v>
      </c>
      <c r="E33" s="31">
        <v>4</v>
      </c>
      <c r="F33" s="31">
        <v>1</v>
      </c>
      <c r="G33" s="31">
        <v>416</v>
      </c>
      <c r="H33" s="53">
        <v>328</v>
      </c>
      <c r="I33" s="54">
        <v>0.55913978494623651</v>
      </c>
      <c r="J33" s="31"/>
      <c r="K33" s="55">
        <v>2037</v>
      </c>
      <c r="L33" s="34">
        <v>365</v>
      </c>
      <c r="M33" s="56">
        <v>8760</v>
      </c>
    </row>
    <row r="34" spans="1:13">
      <c r="B34" s="52">
        <v>41426</v>
      </c>
      <c r="C34" s="31">
        <v>30</v>
      </c>
      <c r="D34" s="31">
        <v>720</v>
      </c>
      <c r="E34" s="31">
        <v>5</v>
      </c>
      <c r="F34" s="31">
        <v>0</v>
      </c>
      <c r="G34" s="31">
        <v>400</v>
      </c>
      <c r="H34" s="53">
        <v>320</v>
      </c>
      <c r="I34" s="54">
        <v>0.55555555555555558</v>
      </c>
      <c r="J34" s="31"/>
      <c r="K34" s="55">
        <v>2038</v>
      </c>
      <c r="L34" s="34">
        <v>365</v>
      </c>
      <c r="M34" s="56">
        <v>8760</v>
      </c>
    </row>
    <row r="35" spans="1:13">
      <c r="B35" s="52">
        <v>41456</v>
      </c>
      <c r="C35" s="31">
        <v>31</v>
      </c>
      <c r="D35" s="31">
        <v>744</v>
      </c>
      <c r="E35" s="31">
        <v>4</v>
      </c>
      <c r="F35" s="31">
        <v>1</v>
      </c>
      <c r="G35" s="31">
        <v>416</v>
      </c>
      <c r="H35" s="53">
        <v>328</v>
      </c>
      <c r="I35" s="54">
        <v>0.55913978494623651</v>
      </c>
      <c r="J35" s="31"/>
      <c r="K35" s="55">
        <v>2039</v>
      </c>
      <c r="L35" s="34">
        <v>365</v>
      </c>
      <c r="M35" s="56">
        <v>8760</v>
      </c>
    </row>
    <row r="36" spans="1:13">
      <c r="B36" s="52">
        <v>41487</v>
      </c>
      <c r="C36" s="31">
        <v>31</v>
      </c>
      <c r="D36" s="31">
        <v>744</v>
      </c>
      <c r="E36" s="31">
        <v>4</v>
      </c>
      <c r="F36" s="31">
        <v>0</v>
      </c>
      <c r="G36" s="31">
        <v>432</v>
      </c>
      <c r="H36" s="53">
        <v>312</v>
      </c>
      <c r="I36" s="54">
        <v>0.58064516129032262</v>
      </c>
      <c r="J36" s="31"/>
      <c r="K36" s="55">
        <v>2040</v>
      </c>
      <c r="L36" s="34">
        <v>366</v>
      </c>
      <c r="M36" s="56">
        <v>8784</v>
      </c>
    </row>
    <row r="37" spans="1:13">
      <c r="B37" s="52">
        <v>41518</v>
      </c>
      <c r="C37" s="31">
        <v>30</v>
      </c>
      <c r="D37" s="31">
        <v>720</v>
      </c>
      <c r="E37" s="31">
        <v>5</v>
      </c>
      <c r="F37" s="31">
        <v>1</v>
      </c>
      <c r="G37" s="31">
        <v>384</v>
      </c>
      <c r="H37" s="53">
        <v>336</v>
      </c>
      <c r="I37" s="54">
        <v>0.53333333333333333</v>
      </c>
      <c r="J37" s="31"/>
      <c r="K37" s="55">
        <v>2041</v>
      </c>
      <c r="L37" s="34">
        <v>365</v>
      </c>
      <c r="M37" s="56">
        <v>8760</v>
      </c>
    </row>
    <row r="38" spans="1:13">
      <c r="B38" s="52">
        <v>41548</v>
      </c>
      <c r="C38" s="31">
        <v>31</v>
      </c>
      <c r="D38" s="31">
        <v>744</v>
      </c>
      <c r="E38" s="31">
        <v>4</v>
      </c>
      <c r="F38" s="31">
        <v>0</v>
      </c>
      <c r="G38" s="31">
        <v>432</v>
      </c>
      <c r="H38" s="53">
        <v>312</v>
      </c>
      <c r="I38" s="54">
        <v>0.58064516129032262</v>
      </c>
      <c r="J38" s="31"/>
      <c r="K38" s="55">
        <v>2042</v>
      </c>
      <c r="L38" s="34">
        <v>365</v>
      </c>
      <c r="M38" s="56">
        <v>8760</v>
      </c>
    </row>
    <row r="39" spans="1:13">
      <c r="B39" s="52">
        <v>41579</v>
      </c>
      <c r="C39" s="31">
        <v>30</v>
      </c>
      <c r="D39" s="31">
        <v>721</v>
      </c>
      <c r="E39" s="31">
        <v>4</v>
      </c>
      <c r="F39" s="31">
        <v>1</v>
      </c>
      <c r="G39" s="31">
        <v>400</v>
      </c>
      <c r="H39" s="53">
        <v>321</v>
      </c>
      <c r="I39" s="54">
        <v>0.55478502080443826</v>
      </c>
      <c r="J39" s="31"/>
      <c r="K39" s="55">
        <v>2043</v>
      </c>
      <c r="L39" s="34">
        <v>365</v>
      </c>
      <c r="M39" s="56">
        <v>8760</v>
      </c>
    </row>
    <row r="40" spans="1:13">
      <c r="B40" s="52">
        <v>41609</v>
      </c>
      <c r="C40" s="31">
        <v>31</v>
      </c>
      <c r="D40" s="31">
        <v>744</v>
      </c>
      <c r="E40" s="31">
        <v>5</v>
      </c>
      <c r="F40" s="31">
        <v>1</v>
      </c>
      <c r="G40" s="31">
        <v>400</v>
      </c>
      <c r="H40" s="53">
        <v>344</v>
      </c>
      <c r="I40" s="54">
        <v>0.5376344086021505</v>
      </c>
      <c r="J40" s="31"/>
      <c r="K40" s="57">
        <v>2044</v>
      </c>
      <c r="L40" s="58">
        <v>366</v>
      </c>
      <c r="M40" s="59">
        <v>8784</v>
      </c>
    </row>
    <row r="41" spans="1:13">
      <c r="A41" s="44">
        <v>2014</v>
      </c>
      <c r="B41" s="52">
        <v>41640</v>
      </c>
      <c r="C41" s="31">
        <v>31</v>
      </c>
      <c r="D41" s="31">
        <v>744</v>
      </c>
      <c r="E41" s="31">
        <v>4</v>
      </c>
      <c r="F41" s="31">
        <v>1</v>
      </c>
      <c r="G41" s="31">
        <v>416</v>
      </c>
      <c r="H41" s="53">
        <v>328</v>
      </c>
      <c r="I41" s="54">
        <v>0.55913978494623651</v>
      </c>
      <c r="J41" s="31"/>
      <c r="M41" s="34"/>
    </row>
    <row r="42" spans="1:13">
      <c r="B42" s="52">
        <v>41671</v>
      </c>
      <c r="C42" s="31">
        <v>28</v>
      </c>
      <c r="D42" s="31">
        <v>672</v>
      </c>
      <c r="E42" s="31">
        <v>4</v>
      </c>
      <c r="F42" s="31">
        <v>0</v>
      </c>
      <c r="G42" s="31">
        <v>384</v>
      </c>
      <c r="H42" s="53">
        <v>288</v>
      </c>
      <c r="I42" s="54">
        <v>0.5714285714285714</v>
      </c>
      <c r="J42" s="31"/>
      <c r="M42" s="34"/>
    </row>
    <row r="43" spans="1:13">
      <c r="B43" s="52">
        <v>41699</v>
      </c>
      <c r="C43" s="31">
        <v>31</v>
      </c>
      <c r="D43" s="31">
        <v>743</v>
      </c>
      <c r="E43" s="31">
        <v>5</v>
      </c>
      <c r="F43" s="31">
        <v>0</v>
      </c>
      <c r="G43" s="31">
        <v>416</v>
      </c>
      <c r="H43" s="53">
        <v>327</v>
      </c>
      <c r="I43" s="54">
        <v>0.55989232839838488</v>
      </c>
      <c r="J43" s="31"/>
      <c r="M43" s="34"/>
    </row>
    <row r="44" spans="1:13">
      <c r="B44" s="52">
        <v>41730</v>
      </c>
      <c r="C44" s="31">
        <v>30</v>
      </c>
      <c r="D44" s="31">
        <v>720</v>
      </c>
      <c r="E44" s="31">
        <v>4</v>
      </c>
      <c r="F44" s="31">
        <v>0</v>
      </c>
      <c r="G44" s="31">
        <v>416</v>
      </c>
      <c r="H44" s="53">
        <v>304</v>
      </c>
      <c r="I44" s="54">
        <v>0.57777777777777772</v>
      </c>
      <c r="J44" s="31"/>
      <c r="M44" s="34"/>
    </row>
    <row r="45" spans="1:13">
      <c r="B45" s="52">
        <v>41760</v>
      </c>
      <c r="C45" s="31">
        <v>31</v>
      </c>
      <c r="D45" s="31">
        <v>744</v>
      </c>
      <c r="E45" s="31">
        <v>4</v>
      </c>
      <c r="F45" s="31">
        <v>1</v>
      </c>
      <c r="G45" s="31">
        <v>416</v>
      </c>
      <c r="H45" s="53">
        <v>328</v>
      </c>
      <c r="I45" s="54">
        <v>0.55913978494623651</v>
      </c>
      <c r="J45" s="31"/>
      <c r="M45" s="34"/>
    </row>
    <row r="46" spans="1:13">
      <c r="B46" s="52">
        <v>41791</v>
      </c>
      <c r="C46" s="31">
        <v>30</v>
      </c>
      <c r="D46" s="31">
        <v>720</v>
      </c>
      <c r="E46" s="31">
        <v>5</v>
      </c>
      <c r="F46" s="31">
        <v>0</v>
      </c>
      <c r="G46" s="31">
        <v>400</v>
      </c>
      <c r="H46" s="53">
        <v>320</v>
      </c>
      <c r="I46" s="54">
        <v>0.55555555555555558</v>
      </c>
      <c r="J46" s="31"/>
      <c r="M46" s="34"/>
    </row>
    <row r="47" spans="1:13">
      <c r="B47" s="52">
        <v>41821</v>
      </c>
      <c r="C47" s="31">
        <v>31</v>
      </c>
      <c r="D47" s="31">
        <v>744</v>
      </c>
      <c r="E47" s="31">
        <v>4</v>
      </c>
      <c r="F47" s="31">
        <v>1</v>
      </c>
      <c r="G47" s="31">
        <v>416</v>
      </c>
      <c r="H47" s="53">
        <v>328</v>
      </c>
      <c r="I47" s="54">
        <v>0.55913978494623651</v>
      </c>
      <c r="J47" s="31"/>
      <c r="M47" s="34"/>
    </row>
    <row r="48" spans="1:13">
      <c r="B48" s="52">
        <v>41852</v>
      </c>
      <c r="C48" s="31">
        <v>31</v>
      </c>
      <c r="D48" s="31">
        <v>744</v>
      </c>
      <c r="E48" s="31">
        <v>5</v>
      </c>
      <c r="F48" s="31">
        <v>0</v>
      </c>
      <c r="G48" s="31">
        <v>416</v>
      </c>
      <c r="H48" s="53">
        <v>328</v>
      </c>
      <c r="I48" s="54">
        <v>0.55913978494623651</v>
      </c>
      <c r="J48" s="31"/>
      <c r="M48" s="34"/>
    </row>
    <row r="49" spans="1:13">
      <c r="B49" s="52">
        <v>41883</v>
      </c>
      <c r="C49" s="31">
        <v>30</v>
      </c>
      <c r="D49" s="31">
        <v>720</v>
      </c>
      <c r="E49" s="31">
        <v>4</v>
      </c>
      <c r="F49" s="31">
        <v>1</v>
      </c>
      <c r="G49" s="31">
        <v>400</v>
      </c>
      <c r="H49" s="53">
        <v>320</v>
      </c>
      <c r="I49" s="54">
        <v>0.55555555555555558</v>
      </c>
      <c r="J49" s="31"/>
      <c r="M49" s="34"/>
    </row>
    <row r="50" spans="1:13">
      <c r="B50" s="52">
        <v>41913</v>
      </c>
      <c r="C50" s="31">
        <v>31</v>
      </c>
      <c r="D50" s="31">
        <v>744</v>
      </c>
      <c r="E50" s="31">
        <v>4</v>
      </c>
      <c r="F50" s="31">
        <v>0</v>
      </c>
      <c r="G50" s="31">
        <v>432</v>
      </c>
      <c r="H50" s="53">
        <v>312</v>
      </c>
      <c r="I50" s="54">
        <v>0.58064516129032262</v>
      </c>
      <c r="J50" s="31"/>
      <c r="M50" s="34"/>
    </row>
    <row r="51" spans="1:13">
      <c r="B51" s="52">
        <v>41944</v>
      </c>
      <c r="C51" s="31">
        <v>30</v>
      </c>
      <c r="D51" s="31">
        <v>721</v>
      </c>
      <c r="E51" s="31">
        <v>5</v>
      </c>
      <c r="F51" s="31">
        <v>1</v>
      </c>
      <c r="G51" s="31">
        <v>384</v>
      </c>
      <c r="H51" s="53">
        <v>337</v>
      </c>
      <c r="I51" s="54">
        <v>0.53259361997226073</v>
      </c>
      <c r="J51" s="31"/>
      <c r="M51" s="34"/>
    </row>
    <row r="52" spans="1:13">
      <c r="B52" s="52">
        <v>41974</v>
      </c>
      <c r="C52" s="31">
        <v>31</v>
      </c>
      <c r="D52" s="31">
        <v>744</v>
      </c>
      <c r="E52" s="31">
        <v>4</v>
      </c>
      <c r="F52" s="31">
        <v>1</v>
      </c>
      <c r="G52" s="31">
        <v>416</v>
      </c>
      <c r="H52" s="53">
        <v>328</v>
      </c>
      <c r="I52" s="54">
        <v>0.55913978494623651</v>
      </c>
      <c r="J52" s="31"/>
      <c r="M52" s="34"/>
    </row>
    <row r="53" spans="1:13">
      <c r="A53" s="44">
        <v>2015</v>
      </c>
      <c r="B53" s="52">
        <v>42005</v>
      </c>
      <c r="C53" s="31">
        <v>31</v>
      </c>
      <c r="D53" s="31">
        <v>744</v>
      </c>
      <c r="E53" s="31">
        <v>4</v>
      </c>
      <c r="F53" s="31">
        <v>1</v>
      </c>
      <c r="G53" s="31">
        <v>416</v>
      </c>
      <c r="H53" s="53">
        <v>328</v>
      </c>
      <c r="I53" s="54">
        <v>0.55913978494623651</v>
      </c>
      <c r="J53" s="31"/>
      <c r="M53" s="34"/>
    </row>
    <row r="54" spans="1:13">
      <c r="B54" s="52">
        <v>42036</v>
      </c>
      <c r="C54" s="31">
        <v>28</v>
      </c>
      <c r="D54" s="31">
        <v>672</v>
      </c>
      <c r="E54" s="31">
        <v>4</v>
      </c>
      <c r="F54" s="31">
        <v>0</v>
      </c>
      <c r="G54" s="31">
        <v>384</v>
      </c>
      <c r="H54" s="53">
        <v>288</v>
      </c>
      <c r="I54" s="54">
        <v>0.5714285714285714</v>
      </c>
      <c r="J54" s="31"/>
      <c r="M54" s="34"/>
    </row>
    <row r="55" spans="1:13">
      <c r="B55" s="52">
        <v>42064</v>
      </c>
      <c r="C55" s="31">
        <v>31</v>
      </c>
      <c r="D55" s="31">
        <v>743</v>
      </c>
      <c r="E55" s="31">
        <v>5</v>
      </c>
      <c r="F55" s="31">
        <v>0</v>
      </c>
      <c r="G55" s="31">
        <v>416</v>
      </c>
      <c r="H55" s="53">
        <v>327</v>
      </c>
      <c r="I55" s="54">
        <v>0.55989232839838488</v>
      </c>
      <c r="J55" s="31"/>
      <c r="M55" s="34"/>
    </row>
    <row r="56" spans="1:13">
      <c r="B56" s="52">
        <v>42095</v>
      </c>
      <c r="C56" s="31">
        <v>30</v>
      </c>
      <c r="D56" s="31">
        <v>720</v>
      </c>
      <c r="E56" s="31">
        <v>4</v>
      </c>
      <c r="F56" s="31">
        <v>0</v>
      </c>
      <c r="G56" s="31">
        <v>416</v>
      </c>
      <c r="H56" s="53">
        <v>304</v>
      </c>
      <c r="I56" s="54">
        <v>0.57777777777777772</v>
      </c>
      <c r="J56" s="31"/>
      <c r="M56" s="34"/>
    </row>
    <row r="57" spans="1:13">
      <c r="B57" s="52">
        <v>42125</v>
      </c>
      <c r="C57" s="31">
        <v>31</v>
      </c>
      <c r="D57" s="31">
        <v>744</v>
      </c>
      <c r="E57" s="31">
        <v>5</v>
      </c>
      <c r="F57" s="31">
        <v>1</v>
      </c>
      <c r="G57" s="31">
        <v>400</v>
      </c>
      <c r="H57" s="53">
        <v>344</v>
      </c>
      <c r="I57" s="54">
        <v>0.5376344086021505</v>
      </c>
      <c r="J57" s="31"/>
      <c r="M57" s="34"/>
    </row>
    <row r="58" spans="1:13">
      <c r="B58" s="52">
        <v>42156</v>
      </c>
      <c r="C58" s="31">
        <v>30</v>
      </c>
      <c r="D58" s="31">
        <v>720</v>
      </c>
      <c r="E58" s="31">
        <v>4</v>
      </c>
      <c r="F58" s="31">
        <v>0</v>
      </c>
      <c r="G58" s="31">
        <v>416</v>
      </c>
      <c r="H58" s="53">
        <v>304</v>
      </c>
      <c r="I58" s="54">
        <v>0.57777777777777772</v>
      </c>
      <c r="J58" s="31"/>
      <c r="M58" s="34"/>
    </row>
    <row r="59" spans="1:13">
      <c r="B59" s="52">
        <v>42186</v>
      </c>
      <c r="C59" s="31">
        <v>31</v>
      </c>
      <c r="D59" s="31">
        <v>744</v>
      </c>
      <c r="E59" s="31">
        <v>4</v>
      </c>
      <c r="F59" s="31">
        <v>1</v>
      </c>
      <c r="G59" s="31">
        <v>416</v>
      </c>
      <c r="H59" s="53">
        <v>328</v>
      </c>
      <c r="I59" s="54">
        <v>0.55913978494623651</v>
      </c>
      <c r="J59" s="31"/>
      <c r="M59" s="34"/>
    </row>
    <row r="60" spans="1:13">
      <c r="B60" s="52">
        <v>42217</v>
      </c>
      <c r="C60" s="31">
        <v>31</v>
      </c>
      <c r="D60" s="31">
        <v>744</v>
      </c>
      <c r="E60" s="31">
        <v>5</v>
      </c>
      <c r="F60" s="31">
        <v>0</v>
      </c>
      <c r="G60" s="31">
        <v>416</v>
      </c>
      <c r="H60" s="53">
        <v>328</v>
      </c>
      <c r="I60" s="54">
        <v>0.55913978494623651</v>
      </c>
      <c r="J60" s="31"/>
      <c r="M60" s="34"/>
    </row>
    <row r="61" spans="1:13">
      <c r="B61" s="52">
        <v>42248</v>
      </c>
      <c r="C61" s="31">
        <v>30</v>
      </c>
      <c r="D61" s="31">
        <v>720</v>
      </c>
      <c r="E61" s="31">
        <v>4</v>
      </c>
      <c r="F61" s="31">
        <v>1</v>
      </c>
      <c r="G61" s="31">
        <v>400</v>
      </c>
      <c r="H61" s="53">
        <v>320</v>
      </c>
      <c r="I61" s="54">
        <v>0.55555555555555558</v>
      </c>
      <c r="J61" s="31"/>
      <c r="M61" s="34"/>
    </row>
    <row r="62" spans="1:13">
      <c r="B62" s="52">
        <v>42278</v>
      </c>
      <c r="C62" s="31">
        <v>31</v>
      </c>
      <c r="D62" s="31">
        <v>744</v>
      </c>
      <c r="E62" s="31">
        <v>4</v>
      </c>
      <c r="F62" s="31">
        <v>0</v>
      </c>
      <c r="G62" s="31">
        <v>432</v>
      </c>
      <c r="H62" s="53">
        <v>312</v>
      </c>
      <c r="I62" s="54">
        <v>0.58064516129032262</v>
      </c>
      <c r="J62" s="31"/>
      <c r="M62" s="34"/>
    </row>
    <row r="63" spans="1:13">
      <c r="B63" s="52">
        <v>42309</v>
      </c>
      <c r="C63" s="31">
        <v>30</v>
      </c>
      <c r="D63" s="31">
        <v>721</v>
      </c>
      <c r="E63" s="31">
        <v>5</v>
      </c>
      <c r="F63" s="31">
        <v>1</v>
      </c>
      <c r="G63" s="31">
        <v>384</v>
      </c>
      <c r="H63" s="53">
        <v>337</v>
      </c>
      <c r="I63" s="54">
        <v>0.53259361997226073</v>
      </c>
      <c r="J63" s="31"/>
      <c r="M63" s="34"/>
    </row>
    <row r="64" spans="1:13">
      <c r="B64" s="52">
        <v>42339</v>
      </c>
      <c r="C64" s="31">
        <v>31</v>
      </c>
      <c r="D64" s="31">
        <v>744</v>
      </c>
      <c r="E64" s="31">
        <v>4</v>
      </c>
      <c r="F64" s="31">
        <v>1</v>
      </c>
      <c r="G64" s="31">
        <v>416</v>
      </c>
      <c r="H64" s="53">
        <v>328</v>
      </c>
      <c r="I64" s="54">
        <v>0.55913978494623651</v>
      </c>
      <c r="J64" s="31"/>
      <c r="M64" s="34"/>
    </row>
    <row r="65" spans="1:13">
      <c r="A65" s="44">
        <v>2016</v>
      </c>
      <c r="B65" s="52">
        <v>42370</v>
      </c>
      <c r="C65" s="31">
        <v>31</v>
      </c>
      <c r="D65" s="31">
        <v>744</v>
      </c>
      <c r="E65" s="31">
        <v>5</v>
      </c>
      <c r="F65" s="31">
        <v>1</v>
      </c>
      <c r="G65" s="31">
        <v>400</v>
      </c>
      <c r="H65" s="53">
        <v>344</v>
      </c>
      <c r="I65" s="54">
        <v>0.5376344086021505</v>
      </c>
      <c r="J65" s="31"/>
      <c r="M65" s="34"/>
    </row>
    <row r="66" spans="1:13">
      <c r="B66" s="52">
        <v>42401</v>
      </c>
      <c r="C66" s="31">
        <v>29</v>
      </c>
      <c r="D66" s="31">
        <v>696</v>
      </c>
      <c r="E66" s="31">
        <v>4</v>
      </c>
      <c r="F66" s="31">
        <v>0</v>
      </c>
      <c r="G66" s="31">
        <v>400</v>
      </c>
      <c r="H66" s="53">
        <v>296</v>
      </c>
      <c r="I66" s="54">
        <v>0.57471264367816088</v>
      </c>
      <c r="J66" s="31"/>
      <c r="M66" s="34"/>
    </row>
    <row r="67" spans="1:13">
      <c r="B67" s="52">
        <v>42430</v>
      </c>
      <c r="C67" s="31">
        <v>31</v>
      </c>
      <c r="D67" s="31">
        <v>743</v>
      </c>
      <c r="E67" s="31">
        <v>4</v>
      </c>
      <c r="F67" s="31">
        <v>0</v>
      </c>
      <c r="G67" s="31">
        <v>432</v>
      </c>
      <c r="H67" s="53">
        <v>311</v>
      </c>
      <c r="I67" s="54">
        <v>0.58142664872139971</v>
      </c>
      <c r="J67" s="31"/>
      <c r="M67" s="34"/>
    </row>
    <row r="68" spans="1:13">
      <c r="B68" s="52">
        <v>42461</v>
      </c>
      <c r="C68" s="31">
        <v>30</v>
      </c>
      <c r="D68" s="31">
        <v>720</v>
      </c>
      <c r="E68" s="31">
        <v>4</v>
      </c>
      <c r="F68" s="31">
        <v>0</v>
      </c>
      <c r="G68" s="31">
        <v>416</v>
      </c>
      <c r="H68" s="53">
        <v>304</v>
      </c>
      <c r="I68" s="54">
        <v>0.57777777777777772</v>
      </c>
      <c r="J68" s="31"/>
      <c r="M68" s="34"/>
    </row>
    <row r="69" spans="1:13">
      <c r="B69" s="52">
        <v>42491</v>
      </c>
      <c r="C69" s="31">
        <v>31</v>
      </c>
      <c r="D69" s="31">
        <v>744</v>
      </c>
      <c r="E69" s="31">
        <v>5</v>
      </c>
      <c r="F69" s="31">
        <v>1</v>
      </c>
      <c r="G69" s="31">
        <v>400</v>
      </c>
      <c r="H69" s="53">
        <v>344</v>
      </c>
      <c r="I69" s="54">
        <v>0.5376344086021505</v>
      </c>
      <c r="J69" s="31"/>
      <c r="M69" s="34"/>
    </row>
    <row r="70" spans="1:13">
      <c r="B70" s="52">
        <v>42522</v>
      </c>
      <c r="C70" s="31">
        <v>30</v>
      </c>
      <c r="D70" s="31">
        <v>720</v>
      </c>
      <c r="E70" s="31">
        <v>4</v>
      </c>
      <c r="F70" s="31">
        <v>0</v>
      </c>
      <c r="G70" s="31">
        <v>416</v>
      </c>
      <c r="H70" s="53">
        <v>304</v>
      </c>
      <c r="I70" s="54">
        <v>0.57777777777777772</v>
      </c>
      <c r="J70" s="31"/>
      <c r="M70" s="34"/>
    </row>
    <row r="71" spans="1:13">
      <c r="B71" s="52">
        <v>42552</v>
      </c>
      <c r="C71" s="31">
        <v>31</v>
      </c>
      <c r="D71" s="31">
        <v>744</v>
      </c>
      <c r="E71" s="31">
        <v>5</v>
      </c>
      <c r="F71" s="31">
        <v>1</v>
      </c>
      <c r="G71" s="31">
        <v>400</v>
      </c>
      <c r="H71" s="53">
        <v>344</v>
      </c>
      <c r="I71" s="54">
        <v>0.5376344086021505</v>
      </c>
      <c r="J71" s="31"/>
      <c r="M71" s="34"/>
    </row>
    <row r="72" spans="1:13">
      <c r="B72" s="52">
        <v>42583</v>
      </c>
      <c r="C72" s="31">
        <v>31</v>
      </c>
      <c r="D72" s="31">
        <v>744</v>
      </c>
      <c r="E72" s="31">
        <v>4</v>
      </c>
      <c r="F72" s="31">
        <v>0</v>
      </c>
      <c r="G72" s="31">
        <v>432</v>
      </c>
      <c r="H72" s="53">
        <v>312</v>
      </c>
      <c r="I72" s="54">
        <v>0.58064516129032262</v>
      </c>
      <c r="J72" s="31"/>
      <c r="M72" s="34"/>
    </row>
    <row r="73" spans="1:13">
      <c r="B73" s="52">
        <v>42614</v>
      </c>
      <c r="C73" s="31">
        <v>30</v>
      </c>
      <c r="D73" s="31">
        <v>720</v>
      </c>
      <c r="E73" s="31">
        <v>4</v>
      </c>
      <c r="F73" s="31">
        <v>1</v>
      </c>
      <c r="G73" s="31">
        <v>400</v>
      </c>
      <c r="H73" s="53">
        <v>320</v>
      </c>
      <c r="I73" s="54">
        <v>0.55555555555555558</v>
      </c>
      <c r="J73" s="31"/>
      <c r="M73" s="34"/>
    </row>
    <row r="74" spans="1:13">
      <c r="B74" s="52">
        <v>42644</v>
      </c>
      <c r="C74" s="31">
        <v>31</v>
      </c>
      <c r="D74" s="31">
        <v>744</v>
      </c>
      <c r="E74" s="31">
        <v>5</v>
      </c>
      <c r="F74" s="31">
        <v>0</v>
      </c>
      <c r="G74" s="31">
        <v>416</v>
      </c>
      <c r="H74" s="53">
        <v>328</v>
      </c>
      <c r="I74" s="54">
        <v>0.55913978494623651</v>
      </c>
      <c r="J74" s="31"/>
      <c r="M74" s="34"/>
    </row>
    <row r="75" spans="1:13">
      <c r="B75" s="52">
        <v>42675</v>
      </c>
      <c r="C75" s="31">
        <v>30</v>
      </c>
      <c r="D75" s="31">
        <v>721</v>
      </c>
      <c r="E75" s="31">
        <v>4</v>
      </c>
      <c r="F75" s="31">
        <v>1</v>
      </c>
      <c r="G75" s="31">
        <v>400</v>
      </c>
      <c r="H75" s="53">
        <v>321</v>
      </c>
      <c r="I75" s="54">
        <v>0.55478502080443826</v>
      </c>
      <c r="J75" s="31"/>
      <c r="M75" s="34"/>
    </row>
    <row r="76" spans="1:13">
      <c r="B76" s="52">
        <v>42705</v>
      </c>
      <c r="C76" s="31">
        <v>31</v>
      </c>
      <c r="D76" s="31">
        <v>744</v>
      </c>
      <c r="E76" s="31">
        <v>4</v>
      </c>
      <c r="F76" s="31">
        <v>1</v>
      </c>
      <c r="G76" s="31">
        <v>416</v>
      </c>
      <c r="H76" s="53">
        <v>328</v>
      </c>
      <c r="I76" s="54">
        <v>0.55913978494623651</v>
      </c>
      <c r="J76" s="31"/>
      <c r="M76" s="34"/>
    </row>
    <row r="77" spans="1:13">
      <c r="A77" s="44">
        <v>2017</v>
      </c>
      <c r="B77" s="52">
        <v>42736</v>
      </c>
      <c r="C77" s="31">
        <v>31</v>
      </c>
      <c r="D77" s="31">
        <v>744</v>
      </c>
      <c r="E77" s="31">
        <v>5</v>
      </c>
      <c r="F77" s="31">
        <v>1</v>
      </c>
      <c r="G77" s="31">
        <v>400</v>
      </c>
      <c r="H77" s="53">
        <v>344</v>
      </c>
      <c r="I77" s="54">
        <v>0.5376344086021505</v>
      </c>
      <c r="J77" s="31"/>
      <c r="M77" s="34"/>
    </row>
    <row r="78" spans="1:13">
      <c r="B78" s="52">
        <v>42767</v>
      </c>
      <c r="C78" s="31">
        <v>28</v>
      </c>
      <c r="D78" s="31">
        <v>672</v>
      </c>
      <c r="E78" s="31">
        <v>4</v>
      </c>
      <c r="F78" s="31">
        <v>0</v>
      </c>
      <c r="G78" s="31">
        <v>384</v>
      </c>
      <c r="H78" s="53">
        <v>288</v>
      </c>
      <c r="I78" s="54">
        <v>0.5714285714285714</v>
      </c>
      <c r="J78" s="31"/>
      <c r="M78" s="34"/>
    </row>
    <row r="79" spans="1:13">
      <c r="B79" s="52">
        <v>42795</v>
      </c>
      <c r="C79" s="31">
        <v>31</v>
      </c>
      <c r="D79" s="31">
        <v>743</v>
      </c>
      <c r="E79" s="31">
        <v>4</v>
      </c>
      <c r="F79" s="31">
        <v>0</v>
      </c>
      <c r="G79" s="31">
        <v>432</v>
      </c>
      <c r="H79" s="53">
        <v>311</v>
      </c>
      <c r="I79" s="54">
        <v>0.58142664872139971</v>
      </c>
      <c r="J79" s="31"/>
      <c r="M79" s="34"/>
    </row>
    <row r="80" spans="1:13">
      <c r="B80" s="52">
        <v>42826</v>
      </c>
      <c r="C80" s="31">
        <v>30</v>
      </c>
      <c r="D80" s="31">
        <v>720</v>
      </c>
      <c r="E80" s="31">
        <v>5</v>
      </c>
      <c r="F80" s="31">
        <v>0</v>
      </c>
      <c r="G80" s="31">
        <v>400</v>
      </c>
      <c r="H80" s="53">
        <v>320</v>
      </c>
      <c r="I80" s="54">
        <v>0.55555555555555558</v>
      </c>
      <c r="J80" s="31"/>
      <c r="M80" s="34"/>
    </row>
    <row r="81" spans="1:13">
      <c r="B81" s="52">
        <v>42856</v>
      </c>
      <c r="C81" s="31">
        <v>31</v>
      </c>
      <c r="D81" s="31">
        <v>744</v>
      </c>
      <c r="E81" s="31">
        <v>4</v>
      </c>
      <c r="F81" s="31">
        <v>1</v>
      </c>
      <c r="G81" s="31">
        <v>416</v>
      </c>
      <c r="H81" s="53">
        <v>328</v>
      </c>
      <c r="I81" s="54">
        <v>0.55913978494623651</v>
      </c>
      <c r="J81" s="31"/>
      <c r="M81" s="34"/>
    </row>
    <row r="82" spans="1:13">
      <c r="B82" s="52">
        <v>42887</v>
      </c>
      <c r="C82" s="31">
        <v>30</v>
      </c>
      <c r="D82" s="31">
        <v>720</v>
      </c>
      <c r="E82" s="31">
        <v>4</v>
      </c>
      <c r="F82" s="31">
        <v>0</v>
      </c>
      <c r="G82" s="31">
        <v>416</v>
      </c>
      <c r="H82" s="53">
        <v>304</v>
      </c>
      <c r="I82" s="54">
        <v>0.57777777777777772</v>
      </c>
      <c r="J82" s="31"/>
      <c r="M82" s="34"/>
    </row>
    <row r="83" spans="1:13">
      <c r="B83" s="52">
        <v>42917</v>
      </c>
      <c r="C83" s="31">
        <v>31</v>
      </c>
      <c r="D83" s="31">
        <v>744</v>
      </c>
      <c r="E83" s="31">
        <v>5</v>
      </c>
      <c r="F83" s="31">
        <v>1</v>
      </c>
      <c r="G83" s="31">
        <v>400</v>
      </c>
      <c r="H83" s="53">
        <v>344</v>
      </c>
      <c r="I83" s="54">
        <v>0.5376344086021505</v>
      </c>
      <c r="J83" s="31"/>
      <c r="M83" s="34"/>
    </row>
    <row r="84" spans="1:13">
      <c r="B84" s="52">
        <v>42948</v>
      </c>
      <c r="C84" s="31">
        <v>31</v>
      </c>
      <c r="D84" s="31">
        <v>744</v>
      </c>
      <c r="E84" s="31">
        <v>4</v>
      </c>
      <c r="F84" s="31">
        <v>0</v>
      </c>
      <c r="G84" s="31">
        <v>432</v>
      </c>
      <c r="H84" s="53">
        <v>312</v>
      </c>
      <c r="I84" s="54">
        <v>0.58064516129032262</v>
      </c>
      <c r="J84" s="31"/>
      <c r="M84" s="34"/>
    </row>
    <row r="85" spans="1:13">
      <c r="B85" s="52">
        <v>42979</v>
      </c>
      <c r="C85" s="31">
        <v>30</v>
      </c>
      <c r="D85" s="31">
        <v>720</v>
      </c>
      <c r="E85" s="31">
        <v>4</v>
      </c>
      <c r="F85" s="31">
        <v>1</v>
      </c>
      <c r="G85" s="31">
        <v>400</v>
      </c>
      <c r="H85" s="53">
        <v>320</v>
      </c>
      <c r="I85" s="54">
        <v>0.55555555555555558</v>
      </c>
      <c r="J85" s="31"/>
      <c r="M85" s="34"/>
    </row>
    <row r="86" spans="1:13">
      <c r="B86" s="52">
        <v>43009</v>
      </c>
      <c r="C86" s="31">
        <v>31</v>
      </c>
      <c r="D86" s="31">
        <v>744</v>
      </c>
      <c r="E86" s="31">
        <v>5</v>
      </c>
      <c r="F86" s="31">
        <v>0</v>
      </c>
      <c r="G86" s="31">
        <v>416</v>
      </c>
      <c r="H86" s="53">
        <v>328</v>
      </c>
      <c r="I86" s="54">
        <v>0.55913978494623651</v>
      </c>
      <c r="J86" s="31"/>
      <c r="M86" s="34"/>
    </row>
    <row r="87" spans="1:13">
      <c r="B87" s="52">
        <v>43040</v>
      </c>
      <c r="C87" s="31">
        <v>30</v>
      </c>
      <c r="D87" s="31">
        <v>721</v>
      </c>
      <c r="E87" s="31">
        <v>4</v>
      </c>
      <c r="F87" s="31">
        <v>1</v>
      </c>
      <c r="G87" s="31">
        <v>400</v>
      </c>
      <c r="H87" s="53">
        <v>321</v>
      </c>
      <c r="I87" s="54">
        <v>0.55478502080443826</v>
      </c>
      <c r="J87" s="31"/>
      <c r="M87" s="34"/>
    </row>
    <row r="88" spans="1:13">
      <c r="B88" s="52">
        <v>43070</v>
      </c>
      <c r="C88" s="31">
        <v>31</v>
      </c>
      <c r="D88" s="31">
        <v>744</v>
      </c>
      <c r="E88" s="31">
        <v>5</v>
      </c>
      <c r="F88" s="31">
        <v>1</v>
      </c>
      <c r="G88" s="31">
        <v>400</v>
      </c>
      <c r="H88" s="53">
        <v>344</v>
      </c>
      <c r="I88" s="54">
        <v>0.5376344086021505</v>
      </c>
      <c r="J88" s="31"/>
      <c r="M88" s="34"/>
    </row>
    <row r="89" spans="1:13">
      <c r="A89" s="44">
        <v>2018</v>
      </c>
      <c r="B89" s="52">
        <v>43101</v>
      </c>
      <c r="C89" s="31">
        <v>31</v>
      </c>
      <c r="D89" s="31">
        <v>744</v>
      </c>
      <c r="E89" s="31">
        <v>4</v>
      </c>
      <c r="F89" s="31">
        <v>1</v>
      </c>
      <c r="G89" s="31">
        <v>416</v>
      </c>
      <c r="H89" s="53">
        <v>328</v>
      </c>
      <c r="I89" s="54">
        <v>0.55913978494623651</v>
      </c>
      <c r="J89" s="31"/>
      <c r="M89" s="34"/>
    </row>
    <row r="90" spans="1:13">
      <c r="B90" s="52">
        <v>43132</v>
      </c>
      <c r="C90" s="31">
        <v>28</v>
      </c>
      <c r="D90" s="31">
        <v>672</v>
      </c>
      <c r="E90" s="31">
        <v>4</v>
      </c>
      <c r="F90" s="31">
        <v>0</v>
      </c>
      <c r="G90" s="31">
        <v>384</v>
      </c>
      <c r="H90" s="53">
        <v>288</v>
      </c>
      <c r="I90" s="54">
        <v>0.5714285714285714</v>
      </c>
      <c r="J90" s="31"/>
      <c r="M90" s="34"/>
    </row>
    <row r="91" spans="1:13">
      <c r="B91" s="52">
        <v>43160</v>
      </c>
      <c r="C91" s="31">
        <v>31</v>
      </c>
      <c r="D91" s="31">
        <v>743</v>
      </c>
      <c r="E91" s="31">
        <v>4</v>
      </c>
      <c r="F91" s="31">
        <v>0</v>
      </c>
      <c r="G91" s="31">
        <v>432</v>
      </c>
      <c r="H91" s="53">
        <v>311</v>
      </c>
      <c r="I91" s="54">
        <v>0.58142664872139971</v>
      </c>
      <c r="J91" s="31"/>
      <c r="M91" s="34"/>
    </row>
    <row r="92" spans="1:13">
      <c r="B92" s="52">
        <v>43191</v>
      </c>
      <c r="C92" s="31">
        <v>30</v>
      </c>
      <c r="D92" s="31">
        <v>720</v>
      </c>
      <c r="E92" s="31">
        <v>5</v>
      </c>
      <c r="F92" s="31">
        <v>0</v>
      </c>
      <c r="G92" s="31">
        <v>400</v>
      </c>
      <c r="H92" s="53">
        <v>320</v>
      </c>
      <c r="I92" s="54">
        <v>0.55555555555555558</v>
      </c>
      <c r="J92" s="31"/>
      <c r="M92" s="34"/>
    </row>
    <row r="93" spans="1:13">
      <c r="B93" s="52">
        <v>43221</v>
      </c>
      <c r="C93" s="31">
        <v>31</v>
      </c>
      <c r="D93" s="31">
        <v>744</v>
      </c>
      <c r="E93" s="31">
        <v>4</v>
      </c>
      <c r="F93" s="31">
        <v>1</v>
      </c>
      <c r="G93" s="31">
        <v>416</v>
      </c>
      <c r="H93" s="53">
        <v>328</v>
      </c>
      <c r="I93" s="54">
        <v>0.55913978494623651</v>
      </c>
      <c r="J93" s="31"/>
      <c r="M93" s="34"/>
    </row>
    <row r="94" spans="1:13">
      <c r="B94" s="52">
        <v>43252</v>
      </c>
      <c r="C94" s="31">
        <v>30</v>
      </c>
      <c r="D94" s="31">
        <v>720</v>
      </c>
      <c r="E94" s="31">
        <v>4</v>
      </c>
      <c r="F94" s="31">
        <v>0</v>
      </c>
      <c r="G94" s="31">
        <v>416</v>
      </c>
      <c r="H94" s="53">
        <v>304</v>
      </c>
      <c r="I94" s="54">
        <v>0.57777777777777772</v>
      </c>
      <c r="J94" s="31"/>
      <c r="M94" s="34"/>
    </row>
    <row r="95" spans="1:13">
      <c r="B95" s="52">
        <v>43282</v>
      </c>
      <c r="C95" s="31">
        <v>31</v>
      </c>
      <c r="D95" s="31">
        <v>744</v>
      </c>
      <c r="E95" s="31">
        <v>5</v>
      </c>
      <c r="F95" s="31">
        <v>1</v>
      </c>
      <c r="G95" s="31">
        <v>400</v>
      </c>
      <c r="H95" s="53">
        <v>344</v>
      </c>
      <c r="I95" s="54">
        <v>0.5376344086021505</v>
      </c>
      <c r="J95" s="31"/>
      <c r="M95" s="34"/>
    </row>
    <row r="96" spans="1:13">
      <c r="B96" s="52">
        <v>43313</v>
      </c>
      <c r="C96" s="31">
        <v>31</v>
      </c>
      <c r="D96" s="31">
        <v>744</v>
      </c>
      <c r="E96" s="31">
        <v>4</v>
      </c>
      <c r="F96" s="31">
        <v>0</v>
      </c>
      <c r="G96" s="31">
        <v>432</v>
      </c>
      <c r="H96" s="53">
        <v>312</v>
      </c>
      <c r="I96" s="54">
        <v>0.58064516129032262</v>
      </c>
      <c r="J96" s="31"/>
      <c r="M96" s="34"/>
    </row>
    <row r="97" spans="1:13">
      <c r="B97" s="52">
        <v>43344</v>
      </c>
      <c r="C97" s="31">
        <v>30</v>
      </c>
      <c r="D97" s="31">
        <v>720</v>
      </c>
      <c r="E97" s="31">
        <v>5</v>
      </c>
      <c r="F97" s="31">
        <v>1</v>
      </c>
      <c r="G97" s="31">
        <v>384</v>
      </c>
      <c r="H97" s="53">
        <v>336</v>
      </c>
      <c r="I97" s="54">
        <v>0.53333333333333333</v>
      </c>
      <c r="J97" s="31"/>
      <c r="M97" s="34"/>
    </row>
    <row r="98" spans="1:13">
      <c r="B98" s="52">
        <v>43374</v>
      </c>
      <c r="C98" s="31">
        <v>31</v>
      </c>
      <c r="D98" s="31">
        <v>744</v>
      </c>
      <c r="E98" s="31">
        <v>4</v>
      </c>
      <c r="F98" s="31">
        <v>0</v>
      </c>
      <c r="G98" s="31">
        <v>432</v>
      </c>
      <c r="H98" s="53">
        <v>312</v>
      </c>
      <c r="I98" s="54">
        <v>0.58064516129032262</v>
      </c>
      <c r="J98" s="31"/>
      <c r="M98" s="34"/>
    </row>
    <row r="99" spans="1:13">
      <c r="B99" s="52">
        <v>43405</v>
      </c>
      <c r="C99" s="31">
        <v>30</v>
      </c>
      <c r="D99" s="31">
        <v>721</v>
      </c>
      <c r="E99" s="31">
        <v>4</v>
      </c>
      <c r="F99" s="31">
        <v>1</v>
      </c>
      <c r="G99" s="31">
        <v>400</v>
      </c>
      <c r="H99" s="53">
        <v>321</v>
      </c>
      <c r="I99" s="54">
        <v>0.55478502080443826</v>
      </c>
      <c r="J99" s="31"/>
      <c r="M99" s="34"/>
    </row>
    <row r="100" spans="1:13">
      <c r="B100" s="52">
        <v>43435</v>
      </c>
      <c r="C100" s="31">
        <v>31</v>
      </c>
      <c r="D100" s="31">
        <v>744</v>
      </c>
      <c r="E100" s="31">
        <v>5</v>
      </c>
      <c r="F100" s="31">
        <v>1</v>
      </c>
      <c r="G100" s="31">
        <v>400</v>
      </c>
      <c r="H100" s="53">
        <v>344</v>
      </c>
      <c r="I100" s="54">
        <v>0.5376344086021505</v>
      </c>
      <c r="J100" s="31"/>
      <c r="M100" s="34"/>
    </row>
    <row r="101" spans="1:13">
      <c r="A101" s="44">
        <v>2019</v>
      </c>
      <c r="B101" s="52">
        <v>43466</v>
      </c>
      <c r="C101" s="31">
        <v>31</v>
      </c>
      <c r="D101" s="31">
        <v>744</v>
      </c>
      <c r="E101" s="31">
        <v>4</v>
      </c>
      <c r="F101" s="31">
        <v>1</v>
      </c>
      <c r="G101" s="31">
        <v>416</v>
      </c>
      <c r="H101" s="53">
        <v>328</v>
      </c>
      <c r="I101" s="54">
        <v>0.55913978494623651</v>
      </c>
      <c r="J101" s="31"/>
      <c r="M101" s="34"/>
    </row>
    <row r="102" spans="1:13">
      <c r="B102" s="52">
        <v>43497</v>
      </c>
      <c r="C102" s="31">
        <v>28</v>
      </c>
      <c r="D102" s="31">
        <v>672</v>
      </c>
      <c r="E102" s="31">
        <v>4</v>
      </c>
      <c r="F102" s="31">
        <v>0</v>
      </c>
      <c r="G102" s="31">
        <v>384</v>
      </c>
      <c r="H102" s="53">
        <v>288</v>
      </c>
      <c r="I102" s="54">
        <v>0.5714285714285714</v>
      </c>
      <c r="J102" s="31"/>
      <c r="M102" s="34"/>
    </row>
    <row r="103" spans="1:13">
      <c r="B103" s="52">
        <v>43525</v>
      </c>
      <c r="C103" s="31">
        <v>31</v>
      </c>
      <c r="D103" s="31">
        <v>743</v>
      </c>
      <c r="E103" s="31">
        <v>5</v>
      </c>
      <c r="F103" s="31">
        <v>0</v>
      </c>
      <c r="G103" s="31">
        <v>416</v>
      </c>
      <c r="H103" s="53">
        <v>327</v>
      </c>
      <c r="I103" s="54">
        <v>0.55989232839838488</v>
      </c>
      <c r="J103" s="31"/>
      <c r="M103" s="34"/>
    </row>
    <row r="104" spans="1:13">
      <c r="B104" s="52">
        <v>43556</v>
      </c>
      <c r="C104" s="31">
        <v>30</v>
      </c>
      <c r="D104" s="31">
        <v>720</v>
      </c>
      <c r="E104" s="31">
        <v>4</v>
      </c>
      <c r="F104" s="31">
        <v>0</v>
      </c>
      <c r="G104" s="31">
        <v>416</v>
      </c>
      <c r="H104" s="53">
        <v>304</v>
      </c>
      <c r="I104" s="54">
        <v>0.57777777777777772</v>
      </c>
      <c r="J104" s="31"/>
      <c r="M104" s="34"/>
    </row>
    <row r="105" spans="1:13">
      <c r="B105" s="52">
        <v>43586</v>
      </c>
      <c r="C105" s="31">
        <v>31</v>
      </c>
      <c r="D105" s="31">
        <v>744</v>
      </c>
      <c r="E105" s="31">
        <v>4</v>
      </c>
      <c r="F105" s="31">
        <v>1</v>
      </c>
      <c r="G105" s="31">
        <v>416</v>
      </c>
      <c r="H105" s="53">
        <v>328</v>
      </c>
      <c r="I105" s="54">
        <v>0.55913978494623651</v>
      </c>
      <c r="J105" s="31"/>
      <c r="M105" s="34"/>
    </row>
    <row r="106" spans="1:13">
      <c r="B106" s="52">
        <v>43617</v>
      </c>
      <c r="C106" s="31">
        <v>30</v>
      </c>
      <c r="D106" s="31">
        <v>720</v>
      </c>
      <c r="E106" s="31">
        <v>5</v>
      </c>
      <c r="F106" s="31">
        <v>0</v>
      </c>
      <c r="G106" s="31">
        <v>400</v>
      </c>
      <c r="H106" s="53">
        <v>320</v>
      </c>
      <c r="I106" s="54">
        <v>0.55555555555555558</v>
      </c>
      <c r="J106" s="31"/>
      <c r="M106" s="34"/>
    </row>
    <row r="107" spans="1:13">
      <c r="B107" s="52">
        <v>43647</v>
      </c>
      <c r="C107" s="31">
        <v>31</v>
      </c>
      <c r="D107" s="31">
        <v>744</v>
      </c>
      <c r="E107" s="31">
        <v>4</v>
      </c>
      <c r="F107" s="31">
        <v>1</v>
      </c>
      <c r="G107" s="31">
        <v>416</v>
      </c>
      <c r="H107" s="53">
        <v>328</v>
      </c>
      <c r="I107" s="54">
        <v>0.55913978494623651</v>
      </c>
      <c r="J107" s="31"/>
      <c r="M107" s="34"/>
    </row>
    <row r="108" spans="1:13">
      <c r="B108" s="52">
        <v>43678</v>
      </c>
      <c r="C108" s="31">
        <v>31</v>
      </c>
      <c r="D108" s="31">
        <v>744</v>
      </c>
      <c r="E108" s="31">
        <v>4</v>
      </c>
      <c r="F108" s="31">
        <v>0</v>
      </c>
      <c r="G108" s="31">
        <v>432</v>
      </c>
      <c r="H108" s="53">
        <v>312</v>
      </c>
      <c r="I108" s="54">
        <v>0.58064516129032262</v>
      </c>
      <c r="J108" s="31"/>
      <c r="M108" s="34"/>
    </row>
    <row r="109" spans="1:13">
      <c r="B109" s="52">
        <v>43709</v>
      </c>
      <c r="C109" s="31">
        <v>30</v>
      </c>
      <c r="D109" s="31">
        <v>720</v>
      </c>
      <c r="E109" s="31">
        <v>5</v>
      </c>
      <c r="F109" s="31">
        <v>1</v>
      </c>
      <c r="G109" s="31">
        <v>384</v>
      </c>
      <c r="H109" s="53">
        <v>336</v>
      </c>
      <c r="I109" s="54">
        <v>0.53333333333333333</v>
      </c>
      <c r="J109" s="31"/>
      <c r="M109" s="34"/>
    </row>
    <row r="110" spans="1:13">
      <c r="B110" s="52">
        <v>43739</v>
      </c>
      <c r="C110" s="31">
        <v>31</v>
      </c>
      <c r="D110" s="31">
        <v>744</v>
      </c>
      <c r="E110" s="31">
        <v>4</v>
      </c>
      <c r="F110" s="31">
        <v>0</v>
      </c>
      <c r="G110" s="31">
        <v>432</v>
      </c>
      <c r="H110" s="53">
        <v>312</v>
      </c>
      <c r="I110" s="54">
        <v>0.58064516129032262</v>
      </c>
      <c r="J110" s="31"/>
      <c r="M110" s="34"/>
    </row>
    <row r="111" spans="1:13">
      <c r="B111" s="52">
        <v>43770</v>
      </c>
      <c r="C111" s="31">
        <v>30</v>
      </c>
      <c r="D111" s="31">
        <v>721</v>
      </c>
      <c r="E111" s="31">
        <v>4</v>
      </c>
      <c r="F111" s="31">
        <v>1</v>
      </c>
      <c r="G111" s="31">
        <v>400</v>
      </c>
      <c r="H111" s="53">
        <v>321</v>
      </c>
      <c r="I111" s="54">
        <v>0.55478502080443826</v>
      </c>
      <c r="J111" s="31"/>
      <c r="M111" s="34"/>
    </row>
    <row r="112" spans="1:13">
      <c r="B112" s="60">
        <v>43800</v>
      </c>
      <c r="C112" s="61">
        <v>31</v>
      </c>
      <c r="D112" s="61">
        <v>744</v>
      </c>
      <c r="E112" s="61">
        <v>5</v>
      </c>
      <c r="F112" s="61">
        <v>1</v>
      </c>
      <c r="G112" s="61">
        <v>400</v>
      </c>
      <c r="H112" s="62">
        <v>344</v>
      </c>
      <c r="I112" s="63">
        <v>0.5376344086021505</v>
      </c>
      <c r="J112" s="31"/>
      <c r="M112" s="34"/>
    </row>
    <row r="113" spans="10:13">
      <c r="J113" s="31"/>
      <c r="M113" s="34"/>
    </row>
    <row r="114" spans="10:13">
      <c r="J114" s="31"/>
      <c r="M114" s="34"/>
    </row>
    <row r="115" spans="10:13">
      <c r="J115" s="31"/>
      <c r="M115" s="34"/>
    </row>
    <row r="116" spans="10:13">
      <c r="J116" s="31"/>
      <c r="M116" s="34"/>
    </row>
    <row r="117" spans="10:13">
      <c r="J117" s="31"/>
      <c r="M117" s="34"/>
    </row>
    <row r="118" spans="10:13">
      <c r="J118" s="31"/>
      <c r="M118" s="34"/>
    </row>
    <row r="119" spans="10:13">
      <c r="J119" s="31"/>
      <c r="M119" s="34"/>
    </row>
    <row r="120" spans="10:13">
      <c r="J120" s="31"/>
      <c r="M120" s="34"/>
    </row>
    <row r="121" spans="10:13">
      <c r="J121" s="31"/>
      <c r="M121" s="34"/>
    </row>
    <row r="122" spans="10:13">
      <c r="J122" s="31"/>
      <c r="M122" s="34"/>
    </row>
    <row r="123" spans="10:13">
      <c r="J123" s="31"/>
      <c r="M123" s="34"/>
    </row>
    <row r="124" spans="10:13">
      <c r="J124" s="31"/>
      <c r="M124" s="34"/>
    </row>
    <row r="125" spans="10:13">
      <c r="J125" s="31"/>
      <c r="M125" s="34"/>
    </row>
    <row r="126" spans="10:13">
      <c r="J126" s="31"/>
      <c r="M126" s="34"/>
    </row>
    <row r="127" spans="10:13">
      <c r="J127" s="31"/>
      <c r="M127" s="34"/>
    </row>
    <row r="128" spans="10:13">
      <c r="J128" s="31"/>
      <c r="M128" s="34"/>
    </row>
    <row r="129" spans="10:13">
      <c r="J129" s="31"/>
      <c r="M129" s="34"/>
    </row>
    <row r="130" spans="10:13">
      <c r="J130" s="31"/>
      <c r="M130" s="34"/>
    </row>
    <row r="131" spans="10:13">
      <c r="J131" s="31"/>
      <c r="M131" s="34"/>
    </row>
    <row r="132" spans="10:13">
      <c r="J132" s="31"/>
      <c r="M132" s="34"/>
    </row>
    <row r="133" spans="10:13">
      <c r="J133" s="31"/>
      <c r="M133" s="34"/>
    </row>
    <row r="134" spans="10:13">
      <c r="J134" s="31"/>
      <c r="M134" s="34"/>
    </row>
    <row r="135" spans="10:13">
      <c r="J135" s="31"/>
      <c r="M135" s="34"/>
    </row>
    <row r="136" spans="10:13">
      <c r="J136" s="31"/>
      <c r="M136" s="34"/>
    </row>
    <row r="137" spans="10:13">
      <c r="J137" s="31"/>
      <c r="M137" s="34"/>
    </row>
    <row r="138" spans="10:13">
      <c r="J138" s="31"/>
      <c r="M138" s="34"/>
    </row>
    <row r="139" spans="10:13">
      <c r="J139" s="31"/>
      <c r="M139" s="34"/>
    </row>
    <row r="140" spans="10:13">
      <c r="J140" s="31"/>
      <c r="M140" s="34"/>
    </row>
    <row r="141" spans="10:13">
      <c r="J141" s="31"/>
      <c r="M141" s="34"/>
    </row>
    <row r="142" spans="10:13">
      <c r="J142" s="31"/>
      <c r="M142" s="34"/>
    </row>
    <row r="143" spans="10:13">
      <c r="J143" s="31"/>
      <c r="M143" s="34"/>
    </row>
    <row r="144" spans="10:13">
      <c r="J144" s="31"/>
      <c r="M144" s="34"/>
    </row>
    <row r="145" spans="10:13">
      <c r="J145" s="31"/>
      <c r="M145" s="34"/>
    </row>
    <row r="146" spans="10:13">
      <c r="J146" s="31"/>
      <c r="M146" s="34"/>
    </row>
    <row r="147" spans="10:13">
      <c r="J147" s="31"/>
      <c r="M147" s="34"/>
    </row>
    <row r="148" spans="10:13">
      <c r="J148" s="31"/>
      <c r="M148" s="34"/>
    </row>
    <row r="149" spans="10:13">
      <c r="J149" s="31"/>
      <c r="M149" s="34"/>
    </row>
    <row r="150" spans="10:13">
      <c r="J150" s="31"/>
      <c r="M150" s="34"/>
    </row>
    <row r="151" spans="10:13">
      <c r="J151" s="31"/>
      <c r="M151" s="34"/>
    </row>
    <row r="152" spans="10:13">
      <c r="J152" s="31"/>
      <c r="M152" s="34"/>
    </row>
    <row r="153" spans="10:13">
      <c r="J153" s="31"/>
      <c r="M153" s="34"/>
    </row>
    <row r="154" spans="10:13">
      <c r="J154" s="31"/>
      <c r="M154" s="34"/>
    </row>
    <row r="155" spans="10:13">
      <c r="J155" s="31"/>
      <c r="M155" s="34"/>
    </row>
    <row r="156" spans="10:13">
      <c r="J156" s="31"/>
      <c r="M156" s="34"/>
    </row>
    <row r="157" spans="10:13">
      <c r="J157" s="31"/>
      <c r="M157" s="34"/>
    </row>
    <row r="158" spans="10:13">
      <c r="J158" s="31"/>
      <c r="M158" s="34"/>
    </row>
    <row r="159" spans="10:13">
      <c r="J159" s="31"/>
      <c r="M159" s="34"/>
    </row>
    <row r="160" spans="10:13">
      <c r="J160" s="31"/>
      <c r="M160" s="34"/>
    </row>
    <row r="161" spans="10:13">
      <c r="J161" s="31"/>
      <c r="M161" s="34"/>
    </row>
    <row r="162" spans="10:13">
      <c r="J162" s="31"/>
      <c r="M162" s="34"/>
    </row>
    <row r="163" spans="10:13">
      <c r="J163" s="31"/>
      <c r="M163" s="34"/>
    </row>
    <row r="164" spans="10:13">
      <c r="J164" s="31"/>
      <c r="M164" s="34"/>
    </row>
    <row r="165" spans="10:13">
      <c r="J165" s="31"/>
      <c r="M165" s="34"/>
    </row>
    <row r="166" spans="10:13">
      <c r="J166" s="31"/>
      <c r="M166" s="34"/>
    </row>
    <row r="167" spans="10:13">
      <c r="J167" s="31"/>
      <c r="M167" s="34"/>
    </row>
    <row r="168" spans="10:13">
      <c r="J168" s="31"/>
      <c r="M168" s="34"/>
    </row>
    <row r="169" spans="10:13">
      <c r="J169" s="31"/>
      <c r="M169" s="34"/>
    </row>
    <row r="170" spans="10:13">
      <c r="J170" s="31"/>
      <c r="M170" s="34"/>
    </row>
    <row r="171" spans="10:13">
      <c r="J171" s="31"/>
      <c r="M171" s="34"/>
    </row>
    <row r="172" spans="10:13">
      <c r="J172" s="31"/>
      <c r="M172" s="34"/>
    </row>
    <row r="173" spans="10:13">
      <c r="J173" s="31"/>
      <c r="M173" s="34"/>
    </row>
    <row r="174" spans="10:13">
      <c r="J174" s="31"/>
      <c r="M174" s="34"/>
    </row>
    <row r="175" spans="10:13">
      <c r="J175" s="31"/>
      <c r="M175" s="34"/>
    </row>
    <row r="176" spans="10:13">
      <c r="J176" s="31"/>
      <c r="M176" s="34"/>
    </row>
    <row r="177" spans="10:13">
      <c r="J177" s="31"/>
      <c r="M177" s="34"/>
    </row>
    <row r="178" spans="10:13">
      <c r="J178" s="31"/>
      <c r="M178" s="34"/>
    </row>
    <row r="179" spans="10:13">
      <c r="J179" s="31"/>
      <c r="M179" s="34"/>
    </row>
    <row r="180" spans="10:13">
      <c r="J180" s="31"/>
      <c r="M180" s="34"/>
    </row>
    <row r="181" spans="10:13">
      <c r="J181" s="31"/>
      <c r="M181" s="34"/>
    </row>
    <row r="182" spans="10:13">
      <c r="J182" s="31"/>
      <c r="M182" s="34"/>
    </row>
    <row r="183" spans="10:13">
      <c r="J183" s="31"/>
      <c r="M183" s="34"/>
    </row>
    <row r="184" spans="10:13">
      <c r="J184" s="31"/>
      <c r="M184" s="34"/>
    </row>
    <row r="185" spans="10:13">
      <c r="J185" s="31"/>
      <c r="M185" s="34"/>
    </row>
    <row r="186" spans="10:13">
      <c r="J186" s="31"/>
      <c r="M186" s="34"/>
    </row>
    <row r="187" spans="10:13">
      <c r="J187" s="31"/>
      <c r="M187" s="34"/>
    </row>
    <row r="188" spans="10:13">
      <c r="J188" s="31"/>
      <c r="M188" s="34"/>
    </row>
    <row r="189" spans="10:13">
      <c r="J189" s="31"/>
      <c r="M189" s="34"/>
    </row>
    <row r="190" spans="10:13">
      <c r="J190" s="31"/>
      <c r="M190" s="34"/>
    </row>
    <row r="191" spans="10:13">
      <c r="J191" s="31"/>
      <c r="M191" s="34"/>
    </row>
    <row r="192" spans="10:13">
      <c r="J192" s="31"/>
      <c r="M192" s="34"/>
    </row>
    <row r="193" spans="10:13">
      <c r="J193" s="31"/>
      <c r="M193" s="34"/>
    </row>
    <row r="194" spans="10:13">
      <c r="J194" s="31"/>
      <c r="M194" s="34"/>
    </row>
    <row r="195" spans="10:13">
      <c r="J195" s="31"/>
      <c r="M195" s="34"/>
    </row>
    <row r="196" spans="10:13">
      <c r="J196" s="31"/>
      <c r="M196" s="34"/>
    </row>
    <row r="197" spans="10:13">
      <c r="J197" s="31"/>
      <c r="M197" s="34"/>
    </row>
    <row r="198" spans="10:13">
      <c r="J198" s="31"/>
      <c r="M198" s="34"/>
    </row>
    <row r="199" spans="10:13">
      <c r="J199" s="31"/>
      <c r="M199" s="34"/>
    </row>
    <row r="200" spans="10:13">
      <c r="J200" s="31"/>
      <c r="M200" s="34"/>
    </row>
    <row r="201" spans="10:13">
      <c r="J201" s="31"/>
      <c r="M201" s="34"/>
    </row>
    <row r="202" spans="10:13">
      <c r="J202" s="31"/>
      <c r="M202" s="34"/>
    </row>
    <row r="203" spans="10:13">
      <c r="J203" s="31"/>
      <c r="M203" s="34"/>
    </row>
    <row r="204" spans="10:13">
      <c r="J204" s="31"/>
      <c r="M204" s="34"/>
    </row>
    <row r="205" spans="10:13">
      <c r="J205" s="31"/>
      <c r="M205" s="34"/>
    </row>
    <row r="206" spans="10:13">
      <c r="J206" s="31"/>
      <c r="M206" s="34"/>
    </row>
    <row r="207" spans="10:13">
      <c r="J207" s="31"/>
      <c r="M207" s="34"/>
    </row>
    <row r="208" spans="10:13">
      <c r="J208" s="31"/>
      <c r="M208" s="34"/>
    </row>
    <row r="209" spans="10:13">
      <c r="J209" s="31"/>
      <c r="M209" s="34"/>
    </row>
    <row r="210" spans="10:13">
      <c r="J210" s="31"/>
      <c r="M210" s="34"/>
    </row>
    <row r="211" spans="10:13">
      <c r="J211" s="31"/>
      <c r="M211" s="34"/>
    </row>
    <row r="212" spans="10:13">
      <c r="J212" s="31"/>
      <c r="M212" s="34"/>
    </row>
    <row r="213" spans="10:13">
      <c r="J213" s="31"/>
      <c r="M213" s="34"/>
    </row>
    <row r="214" spans="10:13">
      <c r="J214" s="31"/>
      <c r="M214" s="34"/>
    </row>
    <row r="215" spans="10:13">
      <c r="J215" s="31"/>
      <c r="M215" s="34"/>
    </row>
    <row r="216" spans="10:13">
      <c r="J216" s="31"/>
      <c r="M216" s="34"/>
    </row>
    <row r="217" spans="10:13">
      <c r="J217" s="31"/>
      <c r="M217" s="34"/>
    </row>
    <row r="218" spans="10:13">
      <c r="J218" s="31"/>
      <c r="M218" s="34"/>
    </row>
    <row r="219" spans="10:13">
      <c r="J219" s="31"/>
      <c r="M219" s="34"/>
    </row>
    <row r="220" spans="10:13">
      <c r="J220" s="31"/>
      <c r="M220" s="34"/>
    </row>
    <row r="221" spans="10:13">
      <c r="J221" s="31"/>
      <c r="M221" s="34"/>
    </row>
    <row r="222" spans="10:13">
      <c r="J222" s="31"/>
      <c r="M222" s="34"/>
    </row>
    <row r="223" spans="10:13">
      <c r="J223" s="31"/>
      <c r="M223" s="34"/>
    </row>
    <row r="224" spans="10:13">
      <c r="J224" s="31"/>
      <c r="M224" s="34"/>
    </row>
    <row r="225" spans="10:13">
      <c r="J225" s="31"/>
      <c r="M225" s="34"/>
    </row>
    <row r="226" spans="10:13">
      <c r="J226" s="31"/>
      <c r="M226" s="34"/>
    </row>
    <row r="227" spans="10:13">
      <c r="J227" s="31"/>
      <c r="M227" s="34"/>
    </row>
    <row r="228" spans="10:13">
      <c r="J228" s="31"/>
      <c r="M228" s="34"/>
    </row>
    <row r="229" spans="10:13">
      <c r="J229" s="31"/>
      <c r="M229" s="34"/>
    </row>
    <row r="230" spans="10:13">
      <c r="J230" s="31"/>
      <c r="M230" s="34"/>
    </row>
    <row r="231" spans="10:13">
      <c r="J231" s="31"/>
      <c r="M231" s="34"/>
    </row>
    <row r="232" spans="10:13">
      <c r="J232" s="31"/>
      <c r="M232" s="34"/>
    </row>
    <row r="233" spans="10:13">
      <c r="J233" s="31"/>
      <c r="M233" s="34"/>
    </row>
    <row r="234" spans="10:13">
      <c r="J234" s="31"/>
      <c r="M234" s="34"/>
    </row>
    <row r="235" spans="10:13">
      <c r="J235" s="31"/>
      <c r="M235" s="34"/>
    </row>
    <row r="236" spans="10:13">
      <c r="J236" s="31"/>
      <c r="M236" s="34"/>
    </row>
    <row r="237" spans="10:13">
      <c r="J237" s="31"/>
      <c r="M237" s="34"/>
    </row>
    <row r="238" spans="10:13">
      <c r="J238" s="31"/>
      <c r="M238" s="34"/>
    </row>
    <row r="239" spans="10:13">
      <c r="J239" s="31"/>
      <c r="M239" s="34"/>
    </row>
    <row r="240" spans="10:13">
      <c r="J240" s="31"/>
      <c r="M240" s="34"/>
    </row>
    <row r="241" spans="10:13">
      <c r="J241" s="31"/>
      <c r="M241" s="34"/>
    </row>
    <row r="242" spans="10:13">
      <c r="J242" s="31"/>
      <c r="M242" s="34"/>
    </row>
    <row r="243" spans="10:13">
      <c r="J243" s="31"/>
      <c r="M243" s="34"/>
    </row>
    <row r="244" spans="10:13">
      <c r="J244" s="31"/>
      <c r="M244" s="34"/>
    </row>
    <row r="245" spans="10:13">
      <c r="J245" s="31"/>
      <c r="M245" s="34"/>
    </row>
    <row r="246" spans="10:13">
      <c r="J246" s="31"/>
      <c r="M246" s="34"/>
    </row>
    <row r="247" spans="10:13">
      <c r="J247" s="31"/>
      <c r="M247" s="34"/>
    </row>
    <row r="248" spans="10:13">
      <c r="J248" s="31"/>
      <c r="M248" s="34"/>
    </row>
    <row r="249" spans="10:13">
      <c r="J249" s="31"/>
      <c r="M249" s="34"/>
    </row>
    <row r="250" spans="10:13">
      <c r="J250" s="31"/>
      <c r="M250" s="34"/>
    </row>
    <row r="251" spans="10:13">
      <c r="J251" s="31"/>
      <c r="M251" s="34"/>
    </row>
    <row r="252" spans="10:13">
      <c r="J252" s="31"/>
      <c r="M252" s="34"/>
    </row>
    <row r="253" spans="10:13">
      <c r="J253" s="31"/>
      <c r="M253" s="34"/>
    </row>
    <row r="254" spans="10:13">
      <c r="J254" s="31"/>
      <c r="M254" s="34"/>
    </row>
    <row r="255" spans="10:13">
      <c r="J255" s="31"/>
      <c r="M255" s="34"/>
    </row>
    <row r="256" spans="10:13">
      <c r="J256" s="31"/>
      <c r="M256" s="34"/>
    </row>
    <row r="257" spans="10:13">
      <c r="J257" s="31"/>
      <c r="M257" s="34"/>
    </row>
    <row r="258" spans="10:13">
      <c r="J258" s="31"/>
      <c r="M258" s="34"/>
    </row>
    <row r="259" spans="10:13">
      <c r="J259" s="31"/>
      <c r="M259" s="34"/>
    </row>
    <row r="260" spans="10:13">
      <c r="J260" s="31"/>
      <c r="M260" s="34"/>
    </row>
    <row r="261" spans="10:13">
      <c r="J261" s="31"/>
      <c r="M261" s="34"/>
    </row>
    <row r="262" spans="10:13">
      <c r="J262" s="31"/>
      <c r="M262" s="34"/>
    </row>
    <row r="263" spans="10:13">
      <c r="J263" s="31"/>
      <c r="M263" s="34"/>
    </row>
    <row r="264" spans="10:13">
      <c r="J264" s="31"/>
      <c r="M264" s="34"/>
    </row>
    <row r="265" spans="10:13">
      <c r="J265" s="31"/>
      <c r="M265" s="34"/>
    </row>
    <row r="266" spans="10:13">
      <c r="J266" s="31"/>
      <c r="M266" s="34"/>
    </row>
    <row r="267" spans="10:13">
      <c r="J267" s="31"/>
      <c r="M267" s="34"/>
    </row>
    <row r="268" spans="10:13">
      <c r="J268" s="31"/>
      <c r="M268" s="34"/>
    </row>
    <row r="269" spans="10:13">
      <c r="J269" s="31"/>
      <c r="M269" s="34"/>
    </row>
    <row r="270" spans="10:13">
      <c r="J270" s="31"/>
      <c r="M270" s="34"/>
    </row>
    <row r="271" spans="10:13">
      <c r="J271" s="31"/>
      <c r="M271" s="34"/>
    </row>
    <row r="272" spans="10:13">
      <c r="J272" s="31"/>
      <c r="M272" s="34"/>
    </row>
    <row r="273" spans="10:13">
      <c r="J273" s="31"/>
      <c r="M273" s="34"/>
    </row>
    <row r="274" spans="10:13">
      <c r="J274" s="31"/>
      <c r="M274" s="34"/>
    </row>
    <row r="275" spans="10:13">
      <c r="J275" s="31"/>
      <c r="M275" s="34"/>
    </row>
    <row r="276" spans="10:13">
      <c r="J276" s="31"/>
      <c r="M276" s="34"/>
    </row>
    <row r="277" spans="10:13">
      <c r="J277" s="31"/>
      <c r="M277" s="34"/>
    </row>
    <row r="278" spans="10:13">
      <c r="J278" s="31"/>
      <c r="M278" s="34"/>
    </row>
    <row r="279" spans="10:13">
      <c r="J279" s="31"/>
      <c r="M279" s="34"/>
    </row>
    <row r="280" spans="10:13">
      <c r="J280" s="31"/>
      <c r="M280" s="34"/>
    </row>
    <row r="281" spans="10:13">
      <c r="J281" s="31"/>
      <c r="M281" s="34"/>
    </row>
    <row r="282" spans="10:13">
      <c r="J282" s="31"/>
      <c r="M282" s="34"/>
    </row>
    <row r="283" spans="10:13">
      <c r="J283" s="31"/>
      <c r="M283" s="34"/>
    </row>
    <row r="284" spans="10:13">
      <c r="J284" s="31"/>
      <c r="M284" s="34"/>
    </row>
    <row r="285" spans="10:13">
      <c r="J285" s="31"/>
      <c r="M285" s="34"/>
    </row>
    <row r="286" spans="10:13">
      <c r="J286" s="31"/>
      <c r="M286" s="34"/>
    </row>
    <row r="287" spans="10:13">
      <c r="J287" s="31"/>
      <c r="M287" s="34"/>
    </row>
    <row r="288" spans="10:13">
      <c r="J288" s="31"/>
      <c r="M288" s="34"/>
    </row>
    <row r="289" spans="10:13">
      <c r="J289" s="31"/>
      <c r="M289" s="34"/>
    </row>
    <row r="290" spans="10:13">
      <c r="J290" s="31"/>
      <c r="M290" s="34"/>
    </row>
    <row r="291" spans="10:13">
      <c r="J291" s="31"/>
      <c r="M291" s="34"/>
    </row>
    <row r="292" spans="10:13">
      <c r="J292" s="31"/>
      <c r="M292" s="34"/>
    </row>
    <row r="293" spans="10:13">
      <c r="J293" s="31"/>
      <c r="M293" s="34"/>
    </row>
    <row r="294" spans="10:13">
      <c r="J294" s="31"/>
      <c r="M294" s="34"/>
    </row>
    <row r="295" spans="10:13">
      <c r="J295" s="31"/>
      <c r="M295" s="34"/>
    </row>
    <row r="296" spans="10:13">
      <c r="J296" s="31"/>
      <c r="M296" s="34"/>
    </row>
    <row r="297" spans="10:13">
      <c r="J297" s="31"/>
      <c r="M297" s="34"/>
    </row>
    <row r="298" spans="10:13">
      <c r="J298" s="31"/>
      <c r="M298" s="34"/>
    </row>
    <row r="299" spans="10:13">
      <c r="J299" s="31"/>
      <c r="M299" s="34"/>
    </row>
    <row r="300" spans="10:13">
      <c r="J300" s="31"/>
      <c r="M300" s="34"/>
    </row>
    <row r="301" spans="10:13">
      <c r="J301" s="31"/>
      <c r="M301" s="34"/>
    </row>
    <row r="302" spans="10:13">
      <c r="J302" s="31"/>
      <c r="M302" s="34"/>
    </row>
    <row r="303" spans="10:13">
      <c r="J303" s="31"/>
      <c r="M303" s="34"/>
    </row>
    <row r="304" spans="10:13">
      <c r="J304" s="31"/>
      <c r="M304" s="34"/>
    </row>
    <row r="305" spans="10:13">
      <c r="J305" s="31"/>
      <c r="M305" s="34"/>
    </row>
    <row r="306" spans="10:13">
      <c r="J306" s="31"/>
      <c r="M306" s="34"/>
    </row>
    <row r="307" spans="10:13">
      <c r="J307" s="31"/>
      <c r="M307" s="34"/>
    </row>
    <row r="308" spans="10:13">
      <c r="J308" s="31"/>
      <c r="M308" s="34"/>
    </row>
    <row r="309" spans="10:13">
      <c r="J309" s="31"/>
      <c r="M309" s="34"/>
    </row>
    <row r="310" spans="10:13">
      <c r="J310" s="31"/>
      <c r="M310" s="34"/>
    </row>
    <row r="311" spans="10:13">
      <c r="J311" s="31"/>
      <c r="M311" s="34"/>
    </row>
    <row r="312" spans="10:13">
      <c r="J312" s="31"/>
      <c r="M312" s="34"/>
    </row>
    <row r="313" spans="10:13">
      <c r="J313" s="31"/>
      <c r="M313" s="34"/>
    </row>
    <row r="314" spans="10:13">
      <c r="J314" s="31"/>
      <c r="M314" s="34"/>
    </row>
    <row r="315" spans="10:13">
      <c r="J315" s="31"/>
      <c r="M315" s="34"/>
    </row>
    <row r="316" spans="10:13">
      <c r="J316" s="31"/>
      <c r="M316" s="34"/>
    </row>
    <row r="317" spans="10:13">
      <c r="J317" s="31"/>
      <c r="M317" s="34"/>
    </row>
    <row r="318" spans="10:13">
      <c r="J318" s="31"/>
      <c r="M318" s="34"/>
    </row>
    <row r="319" spans="10:13">
      <c r="J319" s="31"/>
      <c r="M319" s="34"/>
    </row>
    <row r="320" spans="10:13">
      <c r="J320" s="31"/>
      <c r="M320" s="34"/>
    </row>
    <row r="321" spans="10:13">
      <c r="J321" s="31"/>
      <c r="M321" s="34"/>
    </row>
    <row r="322" spans="10:13">
      <c r="J322" s="31"/>
      <c r="M322" s="34"/>
    </row>
    <row r="323" spans="10:13">
      <c r="J323" s="31"/>
      <c r="M323" s="34"/>
    </row>
    <row r="324" spans="10:13">
      <c r="J324" s="31"/>
      <c r="M324" s="34"/>
    </row>
    <row r="325" spans="10:13">
      <c r="J325" s="31"/>
      <c r="M325" s="34"/>
    </row>
    <row r="326" spans="10:13">
      <c r="J326" s="31"/>
      <c r="M326" s="34"/>
    </row>
    <row r="327" spans="10:13">
      <c r="J327" s="31"/>
      <c r="M327" s="34"/>
    </row>
    <row r="328" spans="10:13">
      <c r="J328" s="31"/>
      <c r="M328" s="34"/>
    </row>
    <row r="329" spans="10:13">
      <c r="J329" s="31"/>
      <c r="M329" s="34"/>
    </row>
    <row r="330" spans="10:13">
      <c r="J330" s="31"/>
      <c r="M330" s="34"/>
    </row>
    <row r="331" spans="10:13">
      <c r="J331" s="31"/>
      <c r="M331" s="34"/>
    </row>
    <row r="332" spans="10:13">
      <c r="J332" s="31"/>
      <c r="M332" s="34"/>
    </row>
    <row r="333" spans="10:13">
      <c r="J333" s="31"/>
      <c r="M333" s="34"/>
    </row>
    <row r="334" spans="10:13">
      <c r="J334" s="31"/>
      <c r="M334" s="34"/>
    </row>
    <row r="335" spans="10:13">
      <c r="J335" s="31"/>
      <c r="M335" s="34"/>
    </row>
    <row r="336" spans="10:13">
      <c r="J336" s="31"/>
      <c r="M336" s="34"/>
    </row>
    <row r="337" spans="10:13">
      <c r="J337" s="31"/>
      <c r="M337" s="34"/>
    </row>
    <row r="338" spans="10:13">
      <c r="J338" s="31"/>
      <c r="M338" s="34"/>
    </row>
    <row r="339" spans="10:13">
      <c r="J339" s="31"/>
      <c r="M339" s="34"/>
    </row>
    <row r="340" spans="10:13">
      <c r="J340" s="31"/>
      <c r="M340" s="34"/>
    </row>
    <row r="341" spans="10:13">
      <c r="J341" s="31"/>
      <c r="M341" s="34"/>
    </row>
    <row r="342" spans="10:13">
      <c r="J342" s="31"/>
      <c r="M342" s="34"/>
    </row>
    <row r="343" spans="10:13">
      <c r="J343" s="31"/>
      <c r="M343" s="34"/>
    </row>
    <row r="344" spans="10:13">
      <c r="J344" s="31"/>
      <c r="M344" s="34"/>
    </row>
    <row r="345" spans="10:13">
      <c r="J345" s="31"/>
      <c r="M345" s="34"/>
    </row>
    <row r="346" spans="10:13">
      <c r="J346" s="31"/>
      <c r="M346" s="34"/>
    </row>
    <row r="347" spans="10:13">
      <c r="J347" s="31"/>
      <c r="M347" s="34"/>
    </row>
    <row r="348" spans="10:13">
      <c r="J348" s="31"/>
      <c r="M348" s="34"/>
    </row>
    <row r="349" spans="10:13">
      <c r="J349" s="31"/>
      <c r="M349" s="34"/>
    </row>
    <row r="350" spans="10:13">
      <c r="J350" s="31"/>
      <c r="M350" s="34"/>
    </row>
    <row r="351" spans="10:13">
      <c r="J351" s="31"/>
      <c r="M351" s="34"/>
    </row>
    <row r="352" spans="10:13">
      <c r="J352" s="31"/>
      <c r="M352" s="34"/>
    </row>
    <row r="353" spans="10:13">
      <c r="J353" s="31"/>
      <c r="M353" s="34"/>
    </row>
    <row r="354" spans="10:13">
      <c r="J354" s="31"/>
      <c r="M354" s="34"/>
    </row>
    <row r="355" spans="10:13">
      <c r="J355" s="31"/>
      <c r="M355" s="34"/>
    </row>
    <row r="356" spans="10:13">
      <c r="J356" s="31"/>
      <c r="M356" s="34"/>
    </row>
    <row r="357" spans="10:13">
      <c r="J357" s="31"/>
      <c r="M357" s="34"/>
    </row>
    <row r="358" spans="10:13">
      <c r="J358" s="31"/>
      <c r="M358" s="34"/>
    </row>
    <row r="359" spans="10:13">
      <c r="J359" s="31"/>
      <c r="M359" s="34"/>
    </row>
    <row r="360" spans="10:13">
      <c r="J360" s="31"/>
      <c r="M360" s="34"/>
    </row>
    <row r="361" spans="10:13">
      <c r="J361" s="31"/>
      <c r="M361" s="34"/>
    </row>
    <row r="362" spans="10:13">
      <c r="J362" s="31"/>
      <c r="M362" s="34"/>
    </row>
    <row r="363" spans="10:13">
      <c r="J363" s="31"/>
      <c r="M363" s="34"/>
    </row>
    <row r="364" spans="10:13">
      <c r="J364" s="31"/>
      <c r="M364" s="34"/>
    </row>
    <row r="365" spans="10:13">
      <c r="J365" s="31"/>
      <c r="M365" s="34"/>
    </row>
    <row r="366" spans="10:13">
      <c r="J366" s="31"/>
      <c r="M366" s="34"/>
    </row>
    <row r="367" spans="10:13">
      <c r="J367" s="31"/>
      <c r="M367" s="34"/>
    </row>
    <row r="368" spans="10:13">
      <c r="J368" s="31"/>
      <c r="M368" s="34"/>
    </row>
    <row r="369" spans="10:13">
      <c r="J369" s="31"/>
      <c r="M369" s="34"/>
    </row>
    <row r="370" spans="10:13">
      <c r="J370" s="31"/>
      <c r="M370" s="34"/>
    </row>
    <row r="371" spans="10:13">
      <c r="J371" s="31"/>
      <c r="M371" s="34"/>
    </row>
    <row r="372" spans="10:13">
      <c r="J372" s="31"/>
      <c r="M372" s="34"/>
    </row>
    <row r="373" spans="10:13">
      <c r="J373" s="31"/>
      <c r="M373" s="34"/>
    </row>
    <row r="374" spans="10:13">
      <c r="J374" s="31"/>
      <c r="M374" s="34"/>
    </row>
    <row r="375" spans="10:13">
      <c r="J375" s="31"/>
      <c r="M375" s="34"/>
    </row>
    <row r="376" spans="10:13">
      <c r="J376" s="31"/>
      <c r="M376" s="34"/>
    </row>
    <row r="377" spans="10:13">
      <c r="J377" s="31"/>
      <c r="M377" s="34"/>
    </row>
    <row r="378" spans="10:13">
      <c r="J378" s="31"/>
      <c r="M378" s="34"/>
    </row>
    <row r="379" spans="10:13">
      <c r="J379" s="31"/>
      <c r="M379" s="34"/>
    </row>
    <row r="380" spans="10:13">
      <c r="J380" s="31"/>
      <c r="M380" s="34"/>
    </row>
    <row r="381" spans="10:13">
      <c r="J381" s="31"/>
      <c r="M381" s="34"/>
    </row>
    <row r="382" spans="10:13">
      <c r="J382" s="31"/>
      <c r="M382" s="34"/>
    </row>
    <row r="383" spans="10:13">
      <c r="J383" s="31"/>
      <c r="M383" s="34"/>
    </row>
    <row r="384" spans="10:13">
      <c r="J384" s="31"/>
      <c r="M384" s="34"/>
    </row>
    <row r="385" spans="10:13">
      <c r="J385" s="31"/>
      <c r="M385" s="34"/>
    </row>
    <row r="386" spans="10:13">
      <c r="J386" s="31"/>
      <c r="M386" s="34"/>
    </row>
    <row r="387" spans="10:13">
      <c r="J387" s="31"/>
      <c r="M387" s="34"/>
    </row>
    <row r="388" spans="10:13">
      <c r="J388" s="31"/>
      <c r="M388" s="34"/>
    </row>
    <row r="389" spans="10:13">
      <c r="J389" s="31"/>
      <c r="M389" s="34"/>
    </row>
    <row r="390" spans="10:13">
      <c r="J390" s="31"/>
      <c r="M390" s="34"/>
    </row>
    <row r="391" spans="10:13">
      <c r="J391" s="31"/>
      <c r="M391" s="34"/>
    </row>
    <row r="392" spans="10:13">
      <c r="J392" s="31"/>
      <c r="M392" s="34"/>
    </row>
    <row r="393" spans="10:13">
      <c r="J393" s="31"/>
      <c r="M393" s="34"/>
    </row>
    <row r="394" spans="10:13">
      <c r="J394" s="31"/>
      <c r="M394" s="34"/>
    </row>
    <row r="395" spans="10:13">
      <c r="J395" s="31"/>
      <c r="M395" s="34"/>
    </row>
    <row r="396" spans="10:13">
      <c r="J396" s="31"/>
      <c r="M396" s="34"/>
    </row>
    <row r="397" spans="10:13">
      <c r="J397" s="31"/>
      <c r="M397" s="34"/>
    </row>
    <row r="398" spans="10:13">
      <c r="J398" s="31"/>
      <c r="M398" s="34"/>
    </row>
    <row r="399" spans="10:13">
      <c r="J399" s="31"/>
      <c r="M399" s="34"/>
    </row>
    <row r="400" spans="10:13">
      <c r="J400" s="31"/>
      <c r="M400" s="34"/>
    </row>
  </sheetData>
  <dataValidations count="2">
    <dataValidation type="list" allowBlank="1" showInputMessage="1" showErrorMessage="1" sqref="R6">
      <formula1>CurrentYear</formula1>
    </dataValidation>
    <dataValidation type="list" allowBlank="1" showInputMessage="1" showErrorMessage="1" sqref="R9 R12 R15 R18">
      <formula1>YesNo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</sheetPr>
  <dimension ref="A1:BN407"/>
  <sheetViews>
    <sheetView topLeftCell="A106" zoomScale="85" zoomScaleNormal="85" workbookViewId="0">
      <selection activeCell="R12" sqref="R12"/>
    </sheetView>
  </sheetViews>
  <sheetFormatPr defaultRowHeight="15"/>
  <cols>
    <col min="1" max="1" width="8.7109375" style="184" customWidth="1"/>
    <col min="2" max="2" width="35.28515625" style="184" bestFit="1" customWidth="1"/>
    <col min="3" max="3" width="8" style="184" bestFit="1" customWidth="1"/>
    <col min="4" max="4" width="4.140625" style="184" bestFit="1" customWidth="1"/>
    <col min="5" max="5" width="9" style="165" bestFit="1" customWidth="1"/>
    <col min="6" max="7" width="10.5703125" style="165" bestFit="1" customWidth="1"/>
    <col min="8" max="9" width="9.5703125" style="165" bestFit="1" customWidth="1"/>
    <col min="10" max="10" width="18.7109375" style="165" customWidth="1"/>
    <col min="11" max="12" width="18.7109375" style="177" customWidth="1"/>
    <col min="13" max="13" width="18.7109375" style="165" customWidth="1"/>
    <col min="14" max="15" width="10.85546875" style="165" bestFit="1" customWidth="1"/>
    <col min="16" max="16" width="14.28515625" style="165" bestFit="1" customWidth="1"/>
    <col min="17" max="17" width="14.28515625" style="176" bestFit="1" customWidth="1"/>
    <col min="18" max="18" width="11.42578125" style="165" bestFit="1" customWidth="1"/>
    <col min="19" max="19" width="14.28515625" style="165" bestFit="1" customWidth="1"/>
    <col min="20" max="20" width="16.5703125" style="178" customWidth="1" collapsed="1"/>
    <col min="21" max="21" width="16.5703125" style="178" customWidth="1"/>
    <col min="22" max="23" width="16.5703125" style="201" customWidth="1"/>
    <col min="24" max="25" width="13.28515625" style="201" customWidth="1"/>
    <col min="26" max="26" width="13.28515625" style="165" customWidth="1"/>
    <col min="27" max="27" width="11.7109375" style="165" bestFit="1" customWidth="1" collapsed="1"/>
    <col min="28" max="29" width="11.7109375" style="165" bestFit="1" customWidth="1"/>
    <col min="30" max="30" width="11" style="184" bestFit="1" customWidth="1"/>
    <col min="31" max="33" width="11" style="184" customWidth="1"/>
    <col min="34" max="35" width="14.28515625" style="184" bestFit="1" customWidth="1"/>
    <col min="36" max="41" width="11" style="165" customWidth="1"/>
    <col min="42" max="42" width="11" style="165" customWidth="1" collapsed="1"/>
    <col min="43" max="46" width="8.140625" style="165" bestFit="1" customWidth="1"/>
    <col min="47" max="48" width="9" style="165" bestFit="1" customWidth="1"/>
    <col min="49" max="49" width="10" style="165" bestFit="1" customWidth="1"/>
    <col min="50" max="50" width="9.140625" style="165"/>
    <col min="51" max="59" width="13.7109375" style="165" customWidth="1"/>
    <col min="60" max="255" width="9.140625" style="165"/>
    <col min="256" max="256" width="0" style="165" hidden="1" customWidth="1"/>
    <col min="257" max="257" width="9.140625" style="165"/>
    <col min="258" max="258" width="28.140625" style="165" customWidth="1"/>
    <col min="259" max="260" width="0" style="165" hidden="1" customWidth="1"/>
    <col min="261" max="267" width="11" style="165" customWidth="1"/>
    <col min="268" max="269" width="0" style="165" hidden="1" customWidth="1"/>
    <col min="270" max="271" width="11" style="165" customWidth="1"/>
    <col min="272" max="273" width="0" style="165" hidden="1" customWidth="1"/>
    <col min="274" max="274" width="11" style="165" customWidth="1"/>
    <col min="275" max="275" width="16.5703125" style="165" customWidth="1"/>
    <col min="276" max="279" width="11" style="165" customWidth="1"/>
    <col min="280" max="281" width="11.140625" style="165" customWidth="1"/>
    <col min="282" max="305" width="11" style="165" customWidth="1"/>
    <col min="306" max="511" width="9.140625" style="165"/>
    <col min="512" max="512" width="0" style="165" hidden="1" customWidth="1"/>
    <col min="513" max="513" width="9.140625" style="165"/>
    <col min="514" max="514" width="28.140625" style="165" customWidth="1"/>
    <col min="515" max="516" width="0" style="165" hidden="1" customWidth="1"/>
    <col min="517" max="523" width="11" style="165" customWidth="1"/>
    <col min="524" max="525" width="0" style="165" hidden="1" customWidth="1"/>
    <col min="526" max="527" width="11" style="165" customWidth="1"/>
    <col min="528" max="529" width="0" style="165" hidden="1" customWidth="1"/>
    <col min="530" max="530" width="11" style="165" customWidth="1"/>
    <col min="531" max="531" width="16.5703125" style="165" customWidth="1"/>
    <col min="532" max="535" width="11" style="165" customWidth="1"/>
    <col min="536" max="537" width="11.140625" style="165" customWidth="1"/>
    <col min="538" max="561" width="11" style="165" customWidth="1"/>
    <col min="562" max="767" width="9.140625" style="165"/>
    <col min="768" max="768" width="0" style="165" hidden="1" customWidth="1"/>
    <col min="769" max="769" width="9.140625" style="165"/>
    <col min="770" max="770" width="28.140625" style="165" customWidth="1"/>
    <col min="771" max="772" width="0" style="165" hidden="1" customWidth="1"/>
    <col min="773" max="779" width="11" style="165" customWidth="1"/>
    <col min="780" max="781" width="0" style="165" hidden="1" customWidth="1"/>
    <col min="782" max="783" width="11" style="165" customWidth="1"/>
    <col min="784" max="785" width="0" style="165" hidden="1" customWidth="1"/>
    <col min="786" max="786" width="11" style="165" customWidth="1"/>
    <col min="787" max="787" width="16.5703125" style="165" customWidth="1"/>
    <col min="788" max="791" width="11" style="165" customWidth="1"/>
    <col min="792" max="793" width="11.140625" style="165" customWidth="1"/>
    <col min="794" max="817" width="11" style="165" customWidth="1"/>
    <col min="818" max="1023" width="9.140625" style="165"/>
    <col min="1024" max="1024" width="0" style="165" hidden="1" customWidth="1"/>
    <col min="1025" max="1025" width="9.140625" style="165"/>
    <col min="1026" max="1026" width="28.140625" style="165" customWidth="1"/>
    <col min="1027" max="1028" width="0" style="165" hidden="1" customWidth="1"/>
    <col min="1029" max="1035" width="11" style="165" customWidth="1"/>
    <col min="1036" max="1037" width="0" style="165" hidden="1" customWidth="1"/>
    <col min="1038" max="1039" width="11" style="165" customWidth="1"/>
    <col min="1040" max="1041" width="0" style="165" hidden="1" customWidth="1"/>
    <col min="1042" max="1042" width="11" style="165" customWidth="1"/>
    <col min="1043" max="1043" width="16.5703125" style="165" customWidth="1"/>
    <col min="1044" max="1047" width="11" style="165" customWidth="1"/>
    <col min="1048" max="1049" width="11.140625" style="165" customWidth="1"/>
    <col min="1050" max="1073" width="11" style="165" customWidth="1"/>
    <col min="1074" max="1279" width="9.140625" style="165"/>
    <col min="1280" max="1280" width="0" style="165" hidden="1" customWidth="1"/>
    <col min="1281" max="1281" width="9.140625" style="165"/>
    <col min="1282" max="1282" width="28.140625" style="165" customWidth="1"/>
    <col min="1283" max="1284" width="0" style="165" hidden="1" customWidth="1"/>
    <col min="1285" max="1291" width="11" style="165" customWidth="1"/>
    <col min="1292" max="1293" width="0" style="165" hidden="1" customWidth="1"/>
    <col min="1294" max="1295" width="11" style="165" customWidth="1"/>
    <col min="1296" max="1297" width="0" style="165" hidden="1" customWidth="1"/>
    <col min="1298" max="1298" width="11" style="165" customWidth="1"/>
    <col min="1299" max="1299" width="16.5703125" style="165" customWidth="1"/>
    <col min="1300" max="1303" width="11" style="165" customWidth="1"/>
    <col min="1304" max="1305" width="11.140625" style="165" customWidth="1"/>
    <col min="1306" max="1329" width="11" style="165" customWidth="1"/>
    <col min="1330" max="1535" width="9.140625" style="165"/>
    <col min="1536" max="1536" width="0" style="165" hidden="1" customWidth="1"/>
    <col min="1537" max="1537" width="9.140625" style="165"/>
    <col min="1538" max="1538" width="28.140625" style="165" customWidth="1"/>
    <col min="1539" max="1540" width="0" style="165" hidden="1" customWidth="1"/>
    <col min="1541" max="1547" width="11" style="165" customWidth="1"/>
    <col min="1548" max="1549" width="0" style="165" hidden="1" customWidth="1"/>
    <col min="1550" max="1551" width="11" style="165" customWidth="1"/>
    <col min="1552" max="1553" width="0" style="165" hidden="1" customWidth="1"/>
    <col min="1554" max="1554" width="11" style="165" customWidth="1"/>
    <col min="1555" max="1555" width="16.5703125" style="165" customWidth="1"/>
    <col min="1556" max="1559" width="11" style="165" customWidth="1"/>
    <col min="1560" max="1561" width="11.140625" style="165" customWidth="1"/>
    <col min="1562" max="1585" width="11" style="165" customWidth="1"/>
    <col min="1586" max="1791" width="9.140625" style="165"/>
    <col min="1792" max="1792" width="0" style="165" hidden="1" customWidth="1"/>
    <col min="1793" max="1793" width="9.140625" style="165"/>
    <col min="1794" max="1794" width="28.140625" style="165" customWidth="1"/>
    <col min="1795" max="1796" width="0" style="165" hidden="1" customWidth="1"/>
    <col min="1797" max="1803" width="11" style="165" customWidth="1"/>
    <col min="1804" max="1805" width="0" style="165" hidden="1" customWidth="1"/>
    <col min="1806" max="1807" width="11" style="165" customWidth="1"/>
    <col min="1808" max="1809" width="0" style="165" hidden="1" customWidth="1"/>
    <col min="1810" max="1810" width="11" style="165" customWidth="1"/>
    <col min="1811" max="1811" width="16.5703125" style="165" customWidth="1"/>
    <col min="1812" max="1815" width="11" style="165" customWidth="1"/>
    <col min="1816" max="1817" width="11.140625" style="165" customWidth="1"/>
    <col min="1818" max="1841" width="11" style="165" customWidth="1"/>
    <col min="1842" max="2047" width="9.140625" style="165"/>
    <col min="2048" max="2048" width="0" style="165" hidden="1" customWidth="1"/>
    <col min="2049" max="2049" width="9.140625" style="165"/>
    <col min="2050" max="2050" width="28.140625" style="165" customWidth="1"/>
    <col min="2051" max="2052" width="0" style="165" hidden="1" customWidth="1"/>
    <col min="2053" max="2059" width="11" style="165" customWidth="1"/>
    <col min="2060" max="2061" width="0" style="165" hidden="1" customWidth="1"/>
    <col min="2062" max="2063" width="11" style="165" customWidth="1"/>
    <col min="2064" max="2065" width="0" style="165" hidden="1" customWidth="1"/>
    <col min="2066" max="2066" width="11" style="165" customWidth="1"/>
    <col min="2067" max="2067" width="16.5703125" style="165" customWidth="1"/>
    <col min="2068" max="2071" width="11" style="165" customWidth="1"/>
    <col min="2072" max="2073" width="11.140625" style="165" customWidth="1"/>
    <col min="2074" max="2097" width="11" style="165" customWidth="1"/>
    <col min="2098" max="2303" width="9.140625" style="165"/>
    <col min="2304" max="2304" width="0" style="165" hidden="1" customWidth="1"/>
    <col min="2305" max="2305" width="9.140625" style="165"/>
    <col min="2306" max="2306" width="28.140625" style="165" customWidth="1"/>
    <col min="2307" max="2308" width="0" style="165" hidden="1" customWidth="1"/>
    <col min="2309" max="2315" width="11" style="165" customWidth="1"/>
    <col min="2316" max="2317" width="0" style="165" hidden="1" customWidth="1"/>
    <col min="2318" max="2319" width="11" style="165" customWidth="1"/>
    <col min="2320" max="2321" width="0" style="165" hidden="1" customWidth="1"/>
    <col min="2322" max="2322" width="11" style="165" customWidth="1"/>
    <col min="2323" max="2323" width="16.5703125" style="165" customWidth="1"/>
    <col min="2324" max="2327" width="11" style="165" customWidth="1"/>
    <col min="2328" max="2329" width="11.140625" style="165" customWidth="1"/>
    <col min="2330" max="2353" width="11" style="165" customWidth="1"/>
    <col min="2354" max="2559" width="9.140625" style="165"/>
    <col min="2560" max="2560" width="0" style="165" hidden="1" customWidth="1"/>
    <col min="2561" max="2561" width="9.140625" style="165"/>
    <col min="2562" max="2562" width="28.140625" style="165" customWidth="1"/>
    <col min="2563" max="2564" width="0" style="165" hidden="1" customWidth="1"/>
    <col min="2565" max="2571" width="11" style="165" customWidth="1"/>
    <col min="2572" max="2573" width="0" style="165" hidden="1" customWidth="1"/>
    <col min="2574" max="2575" width="11" style="165" customWidth="1"/>
    <col min="2576" max="2577" width="0" style="165" hidden="1" customWidth="1"/>
    <col min="2578" max="2578" width="11" style="165" customWidth="1"/>
    <col min="2579" max="2579" width="16.5703125" style="165" customWidth="1"/>
    <col min="2580" max="2583" width="11" style="165" customWidth="1"/>
    <col min="2584" max="2585" width="11.140625" style="165" customWidth="1"/>
    <col min="2586" max="2609" width="11" style="165" customWidth="1"/>
    <col min="2610" max="2815" width="9.140625" style="165"/>
    <col min="2816" max="2816" width="0" style="165" hidden="1" customWidth="1"/>
    <col min="2817" max="2817" width="9.140625" style="165"/>
    <col min="2818" max="2818" width="28.140625" style="165" customWidth="1"/>
    <col min="2819" max="2820" width="0" style="165" hidden="1" customWidth="1"/>
    <col min="2821" max="2827" width="11" style="165" customWidth="1"/>
    <col min="2828" max="2829" width="0" style="165" hidden="1" customWidth="1"/>
    <col min="2830" max="2831" width="11" style="165" customWidth="1"/>
    <col min="2832" max="2833" width="0" style="165" hidden="1" customWidth="1"/>
    <col min="2834" max="2834" width="11" style="165" customWidth="1"/>
    <col min="2835" max="2835" width="16.5703125" style="165" customWidth="1"/>
    <col min="2836" max="2839" width="11" style="165" customWidth="1"/>
    <col min="2840" max="2841" width="11.140625" style="165" customWidth="1"/>
    <col min="2842" max="2865" width="11" style="165" customWidth="1"/>
    <col min="2866" max="3071" width="9.140625" style="165"/>
    <col min="3072" max="3072" width="0" style="165" hidden="1" customWidth="1"/>
    <col min="3073" max="3073" width="9.140625" style="165"/>
    <col min="3074" max="3074" width="28.140625" style="165" customWidth="1"/>
    <col min="3075" max="3076" width="0" style="165" hidden="1" customWidth="1"/>
    <col min="3077" max="3083" width="11" style="165" customWidth="1"/>
    <col min="3084" max="3085" width="0" style="165" hidden="1" customWidth="1"/>
    <col min="3086" max="3087" width="11" style="165" customWidth="1"/>
    <col min="3088" max="3089" width="0" style="165" hidden="1" customWidth="1"/>
    <col min="3090" max="3090" width="11" style="165" customWidth="1"/>
    <col min="3091" max="3091" width="16.5703125" style="165" customWidth="1"/>
    <col min="3092" max="3095" width="11" style="165" customWidth="1"/>
    <col min="3096" max="3097" width="11.140625" style="165" customWidth="1"/>
    <col min="3098" max="3121" width="11" style="165" customWidth="1"/>
    <col min="3122" max="3327" width="9.140625" style="165"/>
    <col min="3328" max="3328" width="0" style="165" hidden="1" customWidth="1"/>
    <col min="3329" max="3329" width="9.140625" style="165"/>
    <col min="3330" max="3330" width="28.140625" style="165" customWidth="1"/>
    <col min="3331" max="3332" width="0" style="165" hidden="1" customWidth="1"/>
    <col min="3333" max="3339" width="11" style="165" customWidth="1"/>
    <col min="3340" max="3341" width="0" style="165" hidden="1" customWidth="1"/>
    <col min="3342" max="3343" width="11" style="165" customWidth="1"/>
    <col min="3344" max="3345" width="0" style="165" hidden="1" customWidth="1"/>
    <col min="3346" max="3346" width="11" style="165" customWidth="1"/>
    <col min="3347" max="3347" width="16.5703125" style="165" customWidth="1"/>
    <col min="3348" max="3351" width="11" style="165" customWidth="1"/>
    <col min="3352" max="3353" width="11.140625" style="165" customWidth="1"/>
    <col min="3354" max="3377" width="11" style="165" customWidth="1"/>
    <col min="3378" max="3583" width="9.140625" style="165"/>
    <col min="3584" max="3584" width="0" style="165" hidden="1" customWidth="1"/>
    <col min="3585" max="3585" width="9.140625" style="165"/>
    <col min="3586" max="3586" width="28.140625" style="165" customWidth="1"/>
    <col min="3587" max="3588" width="0" style="165" hidden="1" customWidth="1"/>
    <col min="3589" max="3595" width="11" style="165" customWidth="1"/>
    <col min="3596" max="3597" width="0" style="165" hidden="1" customWidth="1"/>
    <col min="3598" max="3599" width="11" style="165" customWidth="1"/>
    <col min="3600" max="3601" width="0" style="165" hidden="1" customWidth="1"/>
    <col min="3602" max="3602" width="11" style="165" customWidth="1"/>
    <col min="3603" max="3603" width="16.5703125" style="165" customWidth="1"/>
    <col min="3604" max="3607" width="11" style="165" customWidth="1"/>
    <col min="3608" max="3609" width="11.140625" style="165" customWidth="1"/>
    <col min="3610" max="3633" width="11" style="165" customWidth="1"/>
    <col min="3634" max="3839" width="9.140625" style="165"/>
    <col min="3840" max="3840" width="0" style="165" hidden="1" customWidth="1"/>
    <col min="3841" max="3841" width="9.140625" style="165"/>
    <col min="3842" max="3842" width="28.140625" style="165" customWidth="1"/>
    <col min="3843" max="3844" width="0" style="165" hidden="1" customWidth="1"/>
    <col min="3845" max="3851" width="11" style="165" customWidth="1"/>
    <col min="3852" max="3853" width="0" style="165" hidden="1" customWidth="1"/>
    <col min="3854" max="3855" width="11" style="165" customWidth="1"/>
    <col min="3856" max="3857" width="0" style="165" hidden="1" customWidth="1"/>
    <col min="3858" max="3858" width="11" style="165" customWidth="1"/>
    <col min="3859" max="3859" width="16.5703125" style="165" customWidth="1"/>
    <col min="3860" max="3863" width="11" style="165" customWidth="1"/>
    <col min="3864" max="3865" width="11.140625" style="165" customWidth="1"/>
    <col min="3866" max="3889" width="11" style="165" customWidth="1"/>
    <col min="3890" max="4095" width="9.140625" style="165"/>
    <col min="4096" max="4096" width="0" style="165" hidden="1" customWidth="1"/>
    <col min="4097" max="4097" width="9.140625" style="165"/>
    <col min="4098" max="4098" width="28.140625" style="165" customWidth="1"/>
    <col min="4099" max="4100" width="0" style="165" hidden="1" customWidth="1"/>
    <col min="4101" max="4107" width="11" style="165" customWidth="1"/>
    <col min="4108" max="4109" width="0" style="165" hidden="1" customWidth="1"/>
    <col min="4110" max="4111" width="11" style="165" customWidth="1"/>
    <col min="4112" max="4113" width="0" style="165" hidden="1" customWidth="1"/>
    <col min="4114" max="4114" width="11" style="165" customWidth="1"/>
    <col min="4115" max="4115" width="16.5703125" style="165" customWidth="1"/>
    <col min="4116" max="4119" width="11" style="165" customWidth="1"/>
    <col min="4120" max="4121" width="11.140625" style="165" customWidth="1"/>
    <col min="4122" max="4145" width="11" style="165" customWidth="1"/>
    <col min="4146" max="4351" width="9.140625" style="165"/>
    <col min="4352" max="4352" width="0" style="165" hidden="1" customWidth="1"/>
    <col min="4353" max="4353" width="9.140625" style="165"/>
    <col min="4354" max="4354" width="28.140625" style="165" customWidth="1"/>
    <col min="4355" max="4356" width="0" style="165" hidden="1" customWidth="1"/>
    <col min="4357" max="4363" width="11" style="165" customWidth="1"/>
    <col min="4364" max="4365" width="0" style="165" hidden="1" customWidth="1"/>
    <col min="4366" max="4367" width="11" style="165" customWidth="1"/>
    <col min="4368" max="4369" width="0" style="165" hidden="1" customWidth="1"/>
    <col min="4370" max="4370" width="11" style="165" customWidth="1"/>
    <col min="4371" max="4371" width="16.5703125" style="165" customWidth="1"/>
    <col min="4372" max="4375" width="11" style="165" customWidth="1"/>
    <col min="4376" max="4377" width="11.140625" style="165" customWidth="1"/>
    <col min="4378" max="4401" width="11" style="165" customWidth="1"/>
    <col min="4402" max="4607" width="9.140625" style="165"/>
    <col min="4608" max="4608" width="0" style="165" hidden="1" customWidth="1"/>
    <col min="4609" max="4609" width="9.140625" style="165"/>
    <col min="4610" max="4610" width="28.140625" style="165" customWidth="1"/>
    <col min="4611" max="4612" width="0" style="165" hidden="1" customWidth="1"/>
    <col min="4613" max="4619" width="11" style="165" customWidth="1"/>
    <col min="4620" max="4621" width="0" style="165" hidden="1" customWidth="1"/>
    <col min="4622" max="4623" width="11" style="165" customWidth="1"/>
    <col min="4624" max="4625" width="0" style="165" hidden="1" customWidth="1"/>
    <col min="4626" max="4626" width="11" style="165" customWidth="1"/>
    <col min="4627" max="4627" width="16.5703125" style="165" customWidth="1"/>
    <col min="4628" max="4631" width="11" style="165" customWidth="1"/>
    <col min="4632" max="4633" width="11.140625" style="165" customWidth="1"/>
    <col min="4634" max="4657" width="11" style="165" customWidth="1"/>
    <col min="4658" max="4863" width="9.140625" style="165"/>
    <col min="4864" max="4864" width="0" style="165" hidden="1" customWidth="1"/>
    <col min="4865" max="4865" width="9.140625" style="165"/>
    <col min="4866" max="4866" width="28.140625" style="165" customWidth="1"/>
    <col min="4867" max="4868" width="0" style="165" hidden="1" customWidth="1"/>
    <col min="4869" max="4875" width="11" style="165" customWidth="1"/>
    <col min="4876" max="4877" width="0" style="165" hidden="1" customWidth="1"/>
    <col min="4878" max="4879" width="11" style="165" customWidth="1"/>
    <col min="4880" max="4881" width="0" style="165" hidden="1" customWidth="1"/>
    <col min="4882" max="4882" width="11" style="165" customWidth="1"/>
    <col min="4883" max="4883" width="16.5703125" style="165" customWidth="1"/>
    <col min="4884" max="4887" width="11" style="165" customWidth="1"/>
    <col min="4888" max="4889" width="11.140625" style="165" customWidth="1"/>
    <col min="4890" max="4913" width="11" style="165" customWidth="1"/>
    <col min="4914" max="5119" width="9.140625" style="165"/>
    <col min="5120" max="5120" width="0" style="165" hidden="1" customWidth="1"/>
    <col min="5121" max="5121" width="9.140625" style="165"/>
    <col min="5122" max="5122" width="28.140625" style="165" customWidth="1"/>
    <col min="5123" max="5124" width="0" style="165" hidden="1" customWidth="1"/>
    <col min="5125" max="5131" width="11" style="165" customWidth="1"/>
    <col min="5132" max="5133" width="0" style="165" hidden="1" customWidth="1"/>
    <col min="5134" max="5135" width="11" style="165" customWidth="1"/>
    <col min="5136" max="5137" width="0" style="165" hidden="1" customWidth="1"/>
    <col min="5138" max="5138" width="11" style="165" customWidth="1"/>
    <col min="5139" max="5139" width="16.5703125" style="165" customWidth="1"/>
    <col min="5140" max="5143" width="11" style="165" customWidth="1"/>
    <col min="5144" max="5145" width="11.140625" style="165" customWidth="1"/>
    <col min="5146" max="5169" width="11" style="165" customWidth="1"/>
    <col min="5170" max="5375" width="9.140625" style="165"/>
    <col min="5376" max="5376" width="0" style="165" hidden="1" customWidth="1"/>
    <col min="5377" max="5377" width="9.140625" style="165"/>
    <col min="5378" max="5378" width="28.140625" style="165" customWidth="1"/>
    <col min="5379" max="5380" width="0" style="165" hidden="1" customWidth="1"/>
    <col min="5381" max="5387" width="11" style="165" customWidth="1"/>
    <col min="5388" max="5389" width="0" style="165" hidden="1" customWidth="1"/>
    <col min="5390" max="5391" width="11" style="165" customWidth="1"/>
    <col min="5392" max="5393" width="0" style="165" hidden="1" customWidth="1"/>
    <col min="5394" max="5394" width="11" style="165" customWidth="1"/>
    <col min="5395" max="5395" width="16.5703125" style="165" customWidth="1"/>
    <col min="5396" max="5399" width="11" style="165" customWidth="1"/>
    <col min="5400" max="5401" width="11.140625" style="165" customWidth="1"/>
    <col min="5402" max="5425" width="11" style="165" customWidth="1"/>
    <col min="5426" max="5631" width="9.140625" style="165"/>
    <col min="5632" max="5632" width="0" style="165" hidden="1" customWidth="1"/>
    <col min="5633" max="5633" width="9.140625" style="165"/>
    <col min="5634" max="5634" width="28.140625" style="165" customWidth="1"/>
    <col min="5635" max="5636" width="0" style="165" hidden="1" customWidth="1"/>
    <col min="5637" max="5643" width="11" style="165" customWidth="1"/>
    <col min="5644" max="5645" width="0" style="165" hidden="1" customWidth="1"/>
    <col min="5646" max="5647" width="11" style="165" customWidth="1"/>
    <col min="5648" max="5649" width="0" style="165" hidden="1" customWidth="1"/>
    <col min="5650" max="5650" width="11" style="165" customWidth="1"/>
    <col min="5651" max="5651" width="16.5703125" style="165" customWidth="1"/>
    <col min="5652" max="5655" width="11" style="165" customWidth="1"/>
    <col min="5656" max="5657" width="11.140625" style="165" customWidth="1"/>
    <col min="5658" max="5681" width="11" style="165" customWidth="1"/>
    <col min="5682" max="5887" width="9.140625" style="165"/>
    <col min="5888" max="5888" width="0" style="165" hidden="1" customWidth="1"/>
    <col min="5889" max="5889" width="9.140625" style="165"/>
    <col min="5890" max="5890" width="28.140625" style="165" customWidth="1"/>
    <col min="5891" max="5892" width="0" style="165" hidden="1" customWidth="1"/>
    <col min="5893" max="5899" width="11" style="165" customWidth="1"/>
    <col min="5900" max="5901" width="0" style="165" hidden="1" customWidth="1"/>
    <col min="5902" max="5903" width="11" style="165" customWidth="1"/>
    <col min="5904" max="5905" width="0" style="165" hidden="1" customWidth="1"/>
    <col min="5906" max="5906" width="11" style="165" customWidth="1"/>
    <col min="5907" max="5907" width="16.5703125" style="165" customWidth="1"/>
    <col min="5908" max="5911" width="11" style="165" customWidth="1"/>
    <col min="5912" max="5913" width="11.140625" style="165" customWidth="1"/>
    <col min="5914" max="5937" width="11" style="165" customWidth="1"/>
    <col min="5938" max="6143" width="9.140625" style="165"/>
    <col min="6144" max="6144" width="0" style="165" hidden="1" customWidth="1"/>
    <col min="6145" max="6145" width="9.140625" style="165"/>
    <col min="6146" max="6146" width="28.140625" style="165" customWidth="1"/>
    <col min="6147" max="6148" width="0" style="165" hidden="1" customWidth="1"/>
    <col min="6149" max="6155" width="11" style="165" customWidth="1"/>
    <col min="6156" max="6157" width="0" style="165" hidden="1" customWidth="1"/>
    <col min="6158" max="6159" width="11" style="165" customWidth="1"/>
    <col min="6160" max="6161" width="0" style="165" hidden="1" customWidth="1"/>
    <col min="6162" max="6162" width="11" style="165" customWidth="1"/>
    <col min="6163" max="6163" width="16.5703125" style="165" customWidth="1"/>
    <col min="6164" max="6167" width="11" style="165" customWidth="1"/>
    <col min="6168" max="6169" width="11.140625" style="165" customWidth="1"/>
    <col min="6170" max="6193" width="11" style="165" customWidth="1"/>
    <col min="6194" max="6399" width="9.140625" style="165"/>
    <col min="6400" max="6400" width="0" style="165" hidden="1" customWidth="1"/>
    <col min="6401" max="6401" width="9.140625" style="165"/>
    <col min="6402" max="6402" width="28.140625" style="165" customWidth="1"/>
    <col min="6403" max="6404" width="0" style="165" hidden="1" customWidth="1"/>
    <col min="6405" max="6411" width="11" style="165" customWidth="1"/>
    <col min="6412" max="6413" width="0" style="165" hidden="1" customWidth="1"/>
    <col min="6414" max="6415" width="11" style="165" customWidth="1"/>
    <col min="6416" max="6417" width="0" style="165" hidden="1" customWidth="1"/>
    <col min="6418" max="6418" width="11" style="165" customWidth="1"/>
    <col min="6419" max="6419" width="16.5703125" style="165" customWidth="1"/>
    <col min="6420" max="6423" width="11" style="165" customWidth="1"/>
    <col min="6424" max="6425" width="11.140625" style="165" customWidth="1"/>
    <col min="6426" max="6449" width="11" style="165" customWidth="1"/>
    <col min="6450" max="6655" width="9.140625" style="165"/>
    <col min="6656" max="6656" width="0" style="165" hidden="1" customWidth="1"/>
    <col min="6657" max="6657" width="9.140625" style="165"/>
    <col min="6658" max="6658" width="28.140625" style="165" customWidth="1"/>
    <col min="6659" max="6660" width="0" style="165" hidden="1" customWidth="1"/>
    <col min="6661" max="6667" width="11" style="165" customWidth="1"/>
    <col min="6668" max="6669" width="0" style="165" hidden="1" customWidth="1"/>
    <col min="6670" max="6671" width="11" style="165" customWidth="1"/>
    <col min="6672" max="6673" width="0" style="165" hidden="1" customWidth="1"/>
    <col min="6674" max="6674" width="11" style="165" customWidth="1"/>
    <col min="6675" max="6675" width="16.5703125" style="165" customWidth="1"/>
    <col min="6676" max="6679" width="11" style="165" customWidth="1"/>
    <col min="6680" max="6681" width="11.140625" style="165" customWidth="1"/>
    <col min="6682" max="6705" width="11" style="165" customWidth="1"/>
    <col min="6706" max="6911" width="9.140625" style="165"/>
    <col min="6912" max="6912" width="0" style="165" hidden="1" customWidth="1"/>
    <col min="6913" max="6913" width="9.140625" style="165"/>
    <col min="6914" max="6914" width="28.140625" style="165" customWidth="1"/>
    <col min="6915" max="6916" width="0" style="165" hidden="1" customWidth="1"/>
    <col min="6917" max="6923" width="11" style="165" customWidth="1"/>
    <col min="6924" max="6925" width="0" style="165" hidden="1" customWidth="1"/>
    <col min="6926" max="6927" width="11" style="165" customWidth="1"/>
    <col min="6928" max="6929" width="0" style="165" hidden="1" customWidth="1"/>
    <col min="6930" max="6930" width="11" style="165" customWidth="1"/>
    <col min="6931" max="6931" width="16.5703125" style="165" customWidth="1"/>
    <col min="6932" max="6935" width="11" style="165" customWidth="1"/>
    <col min="6936" max="6937" width="11.140625" style="165" customWidth="1"/>
    <col min="6938" max="6961" width="11" style="165" customWidth="1"/>
    <col min="6962" max="7167" width="9.140625" style="165"/>
    <col min="7168" max="7168" width="0" style="165" hidden="1" customWidth="1"/>
    <col min="7169" max="7169" width="9.140625" style="165"/>
    <col min="7170" max="7170" width="28.140625" style="165" customWidth="1"/>
    <col min="7171" max="7172" width="0" style="165" hidden="1" customWidth="1"/>
    <col min="7173" max="7179" width="11" style="165" customWidth="1"/>
    <col min="7180" max="7181" width="0" style="165" hidden="1" customWidth="1"/>
    <col min="7182" max="7183" width="11" style="165" customWidth="1"/>
    <col min="7184" max="7185" width="0" style="165" hidden="1" customWidth="1"/>
    <col min="7186" max="7186" width="11" style="165" customWidth="1"/>
    <col min="7187" max="7187" width="16.5703125" style="165" customWidth="1"/>
    <col min="7188" max="7191" width="11" style="165" customWidth="1"/>
    <col min="7192" max="7193" width="11.140625" style="165" customWidth="1"/>
    <col min="7194" max="7217" width="11" style="165" customWidth="1"/>
    <col min="7218" max="7423" width="9.140625" style="165"/>
    <col min="7424" max="7424" width="0" style="165" hidden="1" customWidth="1"/>
    <col min="7425" max="7425" width="9.140625" style="165"/>
    <col min="7426" max="7426" width="28.140625" style="165" customWidth="1"/>
    <col min="7427" max="7428" width="0" style="165" hidden="1" customWidth="1"/>
    <col min="7429" max="7435" width="11" style="165" customWidth="1"/>
    <col min="7436" max="7437" width="0" style="165" hidden="1" customWidth="1"/>
    <col min="7438" max="7439" width="11" style="165" customWidth="1"/>
    <col min="7440" max="7441" width="0" style="165" hidden="1" customWidth="1"/>
    <col min="7442" max="7442" width="11" style="165" customWidth="1"/>
    <col min="7443" max="7443" width="16.5703125" style="165" customWidth="1"/>
    <col min="7444" max="7447" width="11" style="165" customWidth="1"/>
    <col min="7448" max="7449" width="11.140625" style="165" customWidth="1"/>
    <col min="7450" max="7473" width="11" style="165" customWidth="1"/>
    <col min="7474" max="7679" width="9.140625" style="165"/>
    <col min="7680" max="7680" width="0" style="165" hidden="1" customWidth="1"/>
    <col min="7681" max="7681" width="9.140625" style="165"/>
    <col min="7682" max="7682" width="28.140625" style="165" customWidth="1"/>
    <col min="7683" max="7684" width="0" style="165" hidden="1" customWidth="1"/>
    <col min="7685" max="7691" width="11" style="165" customWidth="1"/>
    <col min="7692" max="7693" width="0" style="165" hidden="1" customWidth="1"/>
    <col min="7694" max="7695" width="11" style="165" customWidth="1"/>
    <col min="7696" max="7697" width="0" style="165" hidden="1" customWidth="1"/>
    <col min="7698" max="7698" width="11" style="165" customWidth="1"/>
    <col min="7699" max="7699" width="16.5703125" style="165" customWidth="1"/>
    <col min="7700" max="7703" width="11" style="165" customWidth="1"/>
    <col min="7704" max="7705" width="11.140625" style="165" customWidth="1"/>
    <col min="7706" max="7729" width="11" style="165" customWidth="1"/>
    <col min="7730" max="7935" width="9.140625" style="165"/>
    <col min="7936" max="7936" width="0" style="165" hidden="1" customWidth="1"/>
    <col min="7937" max="7937" width="9.140625" style="165"/>
    <col min="7938" max="7938" width="28.140625" style="165" customWidth="1"/>
    <col min="7939" max="7940" width="0" style="165" hidden="1" customWidth="1"/>
    <col min="7941" max="7947" width="11" style="165" customWidth="1"/>
    <col min="7948" max="7949" width="0" style="165" hidden="1" customWidth="1"/>
    <col min="7950" max="7951" width="11" style="165" customWidth="1"/>
    <col min="7952" max="7953" width="0" style="165" hidden="1" customWidth="1"/>
    <col min="7954" max="7954" width="11" style="165" customWidth="1"/>
    <col min="7955" max="7955" width="16.5703125" style="165" customWidth="1"/>
    <col min="7956" max="7959" width="11" style="165" customWidth="1"/>
    <col min="7960" max="7961" width="11.140625" style="165" customWidth="1"/>
    <col min="7962" max="7985" width="11" style="165" customWidth="1"/>
    <col min="7986" max="8191" width="9.140625" style="165"/>
    <col min="8192" max="8192" width="0" style="165" hidden="1" customWidth="1"/>
    <col min="8193" max="8193" width="9.140625" style="165"/>
    <col min="8194" max="8194" width="28.140625" style="165" customWidth="1"/>
    <col min="8195" max="8196" width="0" style="165" hidden="1" customWidth="1"/>
    <col min="8197" max="8203" width="11" style="165" customWidth="1"/>
    <col min="8204" max="8205" width="0" style="165" hidden="1" customWidth="1"/>
    <col min="8206" max="8207" width="11" style="165" customWidth="1"/>
    <col min="8208" max="8209" width="0" style="165" hidden="1" customWidth="1"/>
    <col min="8210" max="8210" width="11" style="165" customWidth="1"/>
    <col min="8211" max="8211" width="16.5703125" style="165" customWidth="1"/>
    <col min="8212" max="8215" width="11" style="165" customWidth="1"/>
    <col min="8216" max="8217" width="11.140625" style="165" customWidth="1"/>
    <col min="8218" max="8241" width="11" style="165" customWidth="1"/>
    <col min="8242" max="8447" width="9.140625" style="165"/>
    <col min="8448" max="8448" width="0" style="165" hidden="1" customWidth="1"/>
    <col min="8449" max="8449" width="9.140625" style="165"/>
    <col min="8450" max="8450" width="28.140625" style="165" customWidth="1"/>
    <col min="8451" max="8452" width="0" style="165" hidden="1" customWidth="1"/>
    <col min="8453" max="8459" width="11" style="165" customWidth="1"/>
    <col min="8460" max="8461" width="0" style="165" hidden="1" customWidth="1"/>
    <col min="8462" max="8463" width="11" style="165" customWidth="1"/>
    <col min="8464" max="8465" width="0" style="165" hidden="1" customWidth="1"/>
    <col min="8466" max="8466" width="11" style="165" customWidth="1"/>
    <col min="8467" max="8467" width="16.5703125" style="165" customWidth="1"/>
    <col min="8468" max="8471" width="11" style="165" customWidth="1"/>
    <col min="8472" max="8473" width="11.140625" style="165" customWidth="1"/>
    <col min="8474" max="8497" width="11" style="165" customWidth="1"/>
    <col min="8498" max="8703" width="9.140625" style="165"/>
    <col min="8704" max="8704" width="0" style="165" hidden="1" customWidth="1"/>
    <col min="8705" max="8705" width="9.140625" style="165"/>
    <col min="8706" max="8706" width="28.140625" style="165" customWidth="1"/>
    <col min="8707" max="8708" width="0" style="165" hidden="1" customWidth="1"/>
    <col min="8709" max="8715" width="11" style="165" customWidth="1"/>
    <col min="8716" max="8717" width="0" style="165" hidden="1" customWidth="1"/>
    <col min="8718" max="8719" width="11" style="165" customWidth="1"/>
    <col min="8720" max="8721" width="0" style="165" hidden="1" customWidth="1"/>
    <col min="8722" max="8722" width="11" style="165" customWidth="1"/>
    <col min="8723" max="8723" width="16.5703125" style="165" customWidth="1"/>
    <col min="8724" max="8727" width="11" style="165" customWidth="1"/>
    <col min="8728" max="8729" width="11.140625" style="165" customWidth="1"/>
    <col min="8730" max="8753" width="11" style="165" customWidth="1"/>
    <col min="8754" max="8959" width="9.140625" style="165"/>
    <col min="8960" max="8960" width="0" style="165" hidden="1" customWidth="1"/>
    <col min="8961" max="8961" width="9.140625" style="165"/>
    <col min="8962" max="8962" width="28.140625" style="165" customWidth="1"/>
    <col min="8963" max="8964" width="0" style="165" hidden="1" customWidth="1"/>
    <col min="8965" max="8971" width="11" style="165" customWidth="1"/>
    <col min="8972" max="8973" width="0" style="165" hidden="1" customWidth="1"/>
    <col min="8974" max="8975" width="11" style="165" customWidth="1"/>
    <col min="8976" max="8977" width="0" style="165" hidden="1" customWidth="1"/>
    <col min="8978" max="8978" width="11" style="165" customWidth="1"/>
    <col min="8979" max="8979" width="16.5703125" style="165" customWidth="1"/>
    <col min="8980" max="8983" width="11" style="165" customWidth="1"/>
    <col min="8984" max="8985" width="11.140625" style="165" customWidth="1"/>
    <col min="8986" max="9009" width="11" style="165" customWidth="1"/>
    <col min="9010" max="9215" width="9.140625" style="165"/>
    <col min="9216" max="9216" width="0" style="165" hidden="1" customWidth="1"/>
    <col min="9217" max="9217" width="9.140625" style="165"/>
    <col min="9218" max="9218" width="28.140625" style="165" customWidth="1"/>
    <col min="9219" max="9220" width="0" style="165" hidden="1" customWidth="1"/>
    <col min="9221" max="9227" width="11" style="165" customWidth="1"/>
    <col min="9228" max="9229" width="0" style="165" hidden="1" customWidth="1"/>
    <col min="9230" max="9231" width="11" style="165" customWidth="1"/>
    <col min="9232" max="9233" width="0" style="165" hidden="1" customWidth="1"/>
    <col min="9234" max="9234" width="11" style="165" customWidth="1"/>
    <col min="9235" max="9235" width="16.5703125" style="165" customWidth="1"/>
    <col min="9236" max="9239" width="11" style="165" customWidth="1"/>
    <col min="9240" max="9241" width="11.140625" style="165" customWidth="1"/>
    <col min="9242" max="9265" width="11" style="165" customWidth="1"/>
    <col min="9266" max="9471" width="9.140625" style="165"/>
    <col min="9472" max="9472" width="0" style="165" hidden="1" customWidth="1"/>
    <col min="9473" max="9473" width="9.140625" style="165"/>
    <col min="9474" max="9474" width="28.140625" style="165" customWidth="1"/>
    <col min="9475" max="9476" width="0" style="165" hidden="1" customWidth="1"/>
    <col min="9477" max="9483" width="11" style="165" customWidth="1"/>
    <col min="9484" max="9485" width="0" style="165" hidden="1" customWidth="1"/>
    <col min="9486" max="9487" width="11" style="165" customWidth="1"/>
    <col min="9488" max="9489" width="0" style="165" hidden="1" customWidth="1"/>
    <col min="9490" max="9490" width="11" style="165" customWidth="1"/>
    <col min="9491" max="9491" width="16.5703125" style="165" customWidth="1"/>
    <col min="9492" max="9495" width="11" style="165" customWidth="1"/>
    <col min="9496" max="9497" width="11.140625" style="165" customWidth="1"/>
    <col min="9498" max="9521" width="11" style="165" customWidth="1"/>
    <col min="9522" max="9727" width="9.140625" style="165"/>
    <col min="9728" max="9728" width="0" style="165" hidden="1" customWidth="1"/>
    <col min="9729" max="9729" width="9.140625" style="165"/>
    <col min="9730" max="9730" width="28.140625" style="165" customWidth="1"/>
    <col min="9731" max="9732" width="0" style="165" hidden="1" customWidth="1"/>
    <col min="9733" max="9739" width="11" style="165" customWidth="1"/>
    <col min="9740" max="9741" width="0" style="165" hidden="1" customWidth="1"/>
    <col min="9742" max="9743" width="11" style="165" customWidth="1"/>
    <col min="9744" max="9745" width="0" style="165" hidden="1" customWidth="1"/>
    <col min="9746" max="9746" width="11" style="165" customWidth="1"/>
    <col min="9747" max="9747" width="16.5703125" style="165" customWidth="1"/>
    <col min="9748" max="9751" width="11" style="165" customWidth="1"/>
    <col min="9752" max="9753" width="11.140625" style="165" customWidth="1"/>
    <col min="9754" max="9777" width="11" style="165" customWidth="1"/>
    <col min="9778" max="9983" width="9.140625" style="165"/>
    <col min="9984" max="9984" width="0" style="165" hidden="1" customWidth="1"/>
    <col min="9985" max="9985" width="9.140625" style="165"/>
    <col min="9986" max="9986" width="28.140625" style="165" customWidth="1"/>
    <col min="9987" max="9988" width="0" style="165" hidden="1" customWidth="1"/>
    <col min="9989" max="9995" width="11" style="165" customWidth="1"/>
    <col min="9996" max="9997" width="0" style="165" hidden="1" customWidth="1"/>
    <col min="9998" max="9999" width="11" style="165" customWidth="1"/>
    <col min="10000" max="10001" width="0" style="165" hidden="1" customWidth="1"/>
    <col min="10002" max="10002" width="11" style="165" customWidth="1"/>
    <col min="10003" max="10003" width="16.5703125" style="165" customWidth="1"/>
    <col min="10004" max="10007" width="11" style="165" customWidth="1"/>
    <col min="10008" max="10009" width="11.140625" style="165" customWidth="1"/>
    <col min="10010" max="10033" width="11" style="165" customWidth="1"/>
    <col min="10034" max="10239" width="9.140625" style="165"/>
    <col min="10240" max="10240" width="0" style="165" hidden="1" customWidth="1"/>
    <col min="10241" max="10241" width="9.140625" style="165"/>
    <col min="10242" max="10242" width="28.140625" style="165" customWidth="1"/>
    <col min="10243" max="10244" width="0" style="165" hidden="1" customWidth="1"/>
    <col min="10245" max="10251" width="11" style="165" customWidth="1"/>
    <col min="10252" max="10253" width="0" style="165" hidden="1" customWidth="1"/>
    <col min="10254" max="10255" width="11" style="165" customWidth="1"/>
    <col min="10256" max="10257" width="0" style="165" hidden="1" customWidth="1"/>
    <col min="10258" max="10258" width="11" style="165" customWidth="1"/>
    <col min="10259" max="10259" width="16.5703125" style="165" customWidth="1"/>
    <col min="10260" max="10263" width="11" style="165" customWidth="1"/>
    <col min="10264" max="10265" width="11.140625" style="165" customWidth="1"/>
    <col min="10266" max="10289" width="11" style="165" customWidth="1"/>
    <col min="10290" max="10495" width="9.140625" style="165"/>
    <col min="10496" max="10496" width="0" style="165" hidden="1" customWidth="1"/>
    <col min="10497" max="10497" width="9.140625" style="165"/>
    <col min="10498" max="10498" width="28.140625" style="165" customWidth="1"/>
    <col min="10499" max="10500" width="0" style="165" hidden="1" customWidth="1"/>
    <col min="10501" max="10507" width="11" style="165" customWidth="1"/>
    <col min="10508" max="10509" width="0" style="165" hidden="1" customWidth="1"/>
    <col min="10510" max="10511" width="11" style="165" customWidth="1"/>
    <col min="10512" max="10513" width="0" style="165" hidden="1" customWidth="1"/>
    <col min="10514" max="10514" width="11" style="165" customWidth="1"/>
    <col min="10515" max="10515" width="16.5703125" style="165" customWidth="1"/>
    <col min="10516" max="10519" width="11" style="165" customWidth="1"/>
    <col min="10520" max="10521" width="11.140625" style="165" customWidth="1"/>
    <col min="10522" max="10545" width="11" style="165" customWidth="1"/>
    <col min="10546" max="10751" width="9.140625" style="165"/>
    <col min="10752" max="10752" width="0" style="165" hidden="1" customWidth="1"/>
    <col min="10753" max="10753" width="9.140625" style="165"/>
    <col min="10754" max="10754" width="28.140625" style="165" customWidth="1"/>
    <col min="10755" max="10756" width="0" style="165" hidden="1" customWidth="1"/>
    <col min="10757" max="10763" width="11" style="165" customWidth="1"/>
    <col min="10764" max="10765" width="0" style="165" hidden="1" customWidth="1"/>
    <col min="10766" max="10767" width="11" style="165" customWidth="1"/>
    <col min="10768" max="10769" width="0" style="165" hidden="1" customWidth="1"/>
    <col min="10770" max="10770" width="11" style="165" customWidth="1"/>
    <col min="10771" max="10771" width="16.5703125" style="165" customWidth="1"/>
    <col min="10772" max="10775" width="11" style="165" customWidth="1"/>
    <col min="10776" max="10777" width="11.140625" style="165" customWidth="1"/>
    <col min="10778" max="10801" width="11" style="165" customWidth="1"/>
    <col min="10802" max="11007" width="9.140625" style="165"/>
    <col min="11008" max="11008" width="0" style="165" hidden="1" customWidth="1"/>
    <col min="11009" max="11009" width="9.140625" style="165"/>
    <col min="11010" max="11010" width="28.140625" style="165" customWidth="1"/>
    <col min="11011" max="11012" width="0" style="165" hidden="1" customWidth="1"/>
    <col min="11013" max="11019" width="11" style="165" customWidth="1"/>
    <col min="11020" max="11021" width="0" style="165" hidden="1" customWidth="1"/>
    <col min="11022" max="11023" width="11" style="165" customWidth="1"/>
    <col min="11024" max="11025" width="0" style="165" hidden="1" customWidth="1"/>
    <col min="11026" max="11026" width="11" style="165" customWidth="1"/>
    <col min="11027" max="11027" width="16.5703125" style="165" customWidth="1"/>
    <col min="11028" max="11031" width="11" style="165" customWidth="1"/>
    <col min="11032" max="11033" width="11.140625" style="165" customWidth="1"/>
    <col min="11034" max="11057" width="11" style="165" customWidth="1"/>
    <col min="11058" max="11263" width="9.140625" style="165"/>
    <col min="11264" max="11264" width="0" style="165" hidden="1" customWidth="1"/>
    <col min="11265" max="11265" width="9.140625" style="165"/>
    <col min="11266" max="11266" width="28.140625" style="165" customWidth="1"/>
    <col min="11267" max="11268" width="0" style="165" hidden="1" customWidth="1"/>
    <col min="11269" max="11275" width="11" style="165" customWidth="1"/>
    <col min="11276" max="11277" width="0" style="165" hidden="1" customWidth="1"/>
    <col min="11278" max="11279" width="11" style="165" customWidth="1"/>
    <col min="11280" max="11281" width="0" style="165" hidden="1" customWidth="1"/>
    <col min="11282" max="11282" width="11" style="165" customWidth="1"/>
    <col min="11283" max="11283" width="16.5703125" style="165" customWidth="1"/>
    <col min="11284" max="11287" width="11" style="165" customWidth="1"/>
    <col min="11288" max="11289" width="11.140625" style="165" customWidth="1"/>
    <col min="11290" max="11313" width="11" style="165" customWidth="1"/>
    <col min="11314" max="11519" width="9.140625" style="165"/>
    <col min="11520" max="11520" width="0" style="165" hidden="1" customWidth="1"/>
    <col min="11521" max="11521" width="9.140625" style="165"/>
    <col min="11522" max="11522" width="28.140625" style="165" customWidth="1"/>
    <col min="11523" max="11524" width="0" style="165" hidden="1" customWidth="1"/>
    <col min="11525" max="11531" width="11" style="165" customWidth="1"/>
    <col min="11532" max="11533" width="0" style="165" hidden="1" customWidth="1"/>
    <col min="11534" max="11535" width="11" style="165" customWidth="1"/>
    <col min="11536" max="11537" width="0" style="165" hidden="1" customWidth="1"/>
    <col min="11538" max="11538" width="11" style="165" customWidth="1"/>
    <col min="11539" max="11539" width="16.5703125" style="165" customWidth="1"/>
    <col min="11540" max="11543" width="11" style="165" customWidth="1"/>
    <col min="11544" max="11545" width="11.140625" style="165" customWidth="1"/>
    <col min="11546" max="11569" width="11" style="165" customWidth="1"/>
    <col min="11570" max="11775" width="9.140625" style="165"/>
    <col min="11776" max="11776" width="0" style="165" hidden="1" customWidth="1"/>
    <col min="11777" max="11777" width="9.140625" style="165"/>
    <col min="11778" max="11778" width="28.140625" style="165" customWidth="1"/>
    <col min="11779" max="11780" width="0" style="165" hidden="1" customWidth="1"/>
    <col min="11781" max="11787" width="11" style="165" customWidth="1"/>
    <col min="11788" max="11789" width="0" style="165" hidden="1" customWidth="1"/>
    <col min="11790" max="11791" width="11" style="165" customWidth="1"/>
    <col min="11792" max="11793" width="0" style="165" hidden="1" customWidth="1"/>
    <col min="11794" max="11794" width="11" style="165" customWidth="1"/>
    <col min="11795" max="11795" width="16.5703125" style="165" customWidth="1"/>
    <col min="11796" max="11799" width="11" style="165" customWidth="1"/>
    <col min="11800" max="11801" width="11.140625" style="165" customWidth="1"/>
    <col min="11802" max="11825" width="11" style="165" customWidth="1"/>
    <col min="11826" max="12031" width="9.140625" style="165"/>
    <col min="12032" max="12032" width="0" style="165" hidden="1" customWidth="1"/>
    <col min="12033" max="12033" width="9.140625" style="165"/>
    <col min="12034" max="12034" width="28.140625" style="165" customWidth="1"/>
    <col min="12035" max="12036" width="0" style="165" hidden="1" customWidth="1"/>
    <col min="12037" max="12043" width="11" style="165" customWidth="1"/>
    <col min="12044" max="12045" width="0" style="165" hidden="1" customWidth="1"/>
    <col min="12046" max="12047" width="11" style="165" customWidth="1"/>
    <col min="12048" max="12049" width="0" style="165" hidden="1" customWidth="1"/>
    <col min="12050" max="12050" width="11" style="165" customWidth="1"/>
    <col min="12051" max="12051" width="16.5703125" style="165" customWidth="1"/>
    <col min="12052" max="12055" width="11" style="165" customWidth="1"/>
    <col min="12056" max="12057" width="11.140625" style="165" customWidth="1"/>
    <col min="12058" max="12081" width="11" style="165" customWidth="1"/>
    <col min="12082" max="12287" width="9.140625" style="165"/>
    <col min="12288" max="12288" width="0" style="165" hidden="1" customWidth="1"/>
    <col min="12289" max="12289" width="9.140625" style="165"/>
    <col min="12290" max="12290" width="28.140625" style="165" customWidth="1"/>
    <col min="12291" max="12292" width="0" style="165" hidden="1" customWidth="1"/>
    <col min="12293" max="12299" width="11" style="165" customWidth="1"/>
    <col min="12300" max="12301" width="0" style="165" hidden="1" customWidth="1"/>
    <col min="12302" max="12303" width="11" style="165" customWidth="1"/>
    <col min="12304" max="12305" width="0" style="165" hidden="1" customWidth="1"/>
    <col min="12306" max="12306" width="11" style="165" customWidth="1"/>
    <col min="12307" max="12307" width="16.5703125" style="165" customWidth="1"/>
    <col min="12308" max="12311" width="11" style="165" customWidth="1"/>
    <col min="12312" max="12313" width="11.140625" style="165" customWidth="1"/>
    <col min="12314" max="12337" width="11" style="165" customWidth="1"/>
    <col min="12338" max="12543" width="9.140625" style="165"/>
    <col min="12544" max="12544" width="0" style="165" hidden="1" customWidth="1"/>
    <col min="12545" max="12545" width="9.140625" style="165"/>
    <col min="12546" max="12546" width="28.140625" style="165" customWidth="1"/>
    <col min="12547" max="12548" width="0" style="165" hidden="1" customWidth="1"/>
    <col min="12549" max="12555" width="11" style="165" customWidth="1"/>
    <col min="12556" max="12557" width="0" style="165" hidden="1" customWidth="1"/>
    <col min="12558" max="12559" width="11" style="165" customWidth="1"/>
    <col min="12560" max="12561" width="0" style="165" hidden="1" customWidth="1"/>
    <col min="12562" max="12562" width="11" style="165" customWidth="1"/>
    <col min="12563" max="12563" width="16.5703125" style="165" customWidth="1"/>
    <col min="12564" max="12567" width="11" style="165" customWidth="1"/>
    <col min="12568" max="12569" width="11.140625" style="165" customWidth="1"/>
    <col min="12570" max="12593" width="11" style="165" customWidth="1"/>
    <col min="12594" max="12799" width="9.140625" style="165"/>
    <col min="12800" max="12800" width="0" style="165" hidden="1" customWidth="1"/>
    <col min="12801" max="12801" width="9.140625" style="165"/>
    <col min="12802" max="12802" width="28.140625" style="165" customWidth="1"/>
    <col min="12803" max="12804" width="0" style="165" hidden="1" customWidth="1"/>
    <col min="12805" max="12811" width="11" style="165" customWidth="1"/>
    <col min="12812" max="12813" width="0" style="165" hidden="1" customWidth="1"/>
    <col min="12814" max="12815" width="11" style="165" customWidth="1"/>
    <col min="12816" max="12817" width="0" style="165" hidden="1" customWidth="1"/>
    <col min="12818" max="12818" width="11" style="165" customWidth="1"/>
    <col min="12819" max="12819" width="16.5703125" style="165" customWidth="1"/>
    <col min="12820" max="12823" width="11" style="165" customWidth="1"/>
    <col min="12824" max="12825" width="11.140625" style="165" customWidth="1"/>
    <col min="12826" max="12849" width="11" style="165" customWidth="1"/>
    <col min="12850" max="13055" width="9.140625" style="165"/>
    <col min="13056" max="13056" width="0" style="165" hidden="1" customWidth="1"/>
    <col min="13057" max="13057" width="9.140625" style="165"/>
    <col min="13058" max="13058" width="28.140625" style="165" customWidth="1"/>
    <col min="13059" max="13060" width="0" style="165" hidden="1" customWidth="1"/>
    <col min="13061" max="13067" width="11" style="165" customWidth="1"/>
    <col min="13068" max="13069" width="0" style="165" hidden="1" customWidth="1"/>
    <col min="13070" max="13071" width="11" style="165" customWidth="1"/>
    <col min="13072" max="13073" width="0" style="165" hidden="1" customWidth="1"/>
    <col min="13074" max="13074" width="11" style="165" customWidth="1"/>
    <col min="13075" max="13075" width="16.5703125" style="165" customWidth="1"/>
    <col min="13076" max="13079" width="11" style="165" customWidth="1"/>
    <col min="13080" max="13081" width="11.140625" style="165" customWidth="1"/>
    <col min="13082" max="13105" width="11" style="165" customWidth="1"/>
    <col min="13106" max="13311" width="9.140625" style="165"/>
    <col min="13312" max="13312" width="0" style="165" hidden="1" customWidth="1"/>
    <col min="13313" max="13313" width="9.140625" style="165"/>
    <col min="13314" max="13314" width="28.140625" style="165" customWidth="1"/>
    <col min="13315" max="13316" width="0" style="165" hidden="1" customWidth="1"/>
    <col min="13317" max="13323" width="11" style="165" customWidth="1"/>
    <col min="13324" max="13325" width="0" style="165" hidden="1" customWidth="1"/>
    <col min="13326" max="13327" width="11" style="165" customWidth="1"/>
    <col min="13328" max="13329" width="0" style="165" hidden="1" customWidth="1"/>
    <col min="13330" max="13330" width="11" style="165" customWidth="1"/>
    <col min="13331" max="13331" width="16.5703125" style="165" customWidth="1"/>
    <col min="13332" max="13335" width="11" style="165" customWidth="1"/>
    <col min="13336" max="13337" width="11.140625" style="165" customWidth="1"/>
    <col min="13338" max="13361" width="11" style="165" customWidth="1"/>
    <col min="13362" max="13567" width="9.140625" style="165"/>
    <col min="13568" max="13568" width="0" style="165" hidden="1" customWidth="1"/>
    <col min="13569" max="13569" width="9.140625" style="165"/>
    <col min="13570" max="13570" width="28.140625" style="165" customWidth="1"/>
    <col min="13571" max="13572" width="0" style="165" hidden="1" customWidth="1"/>
    <col min="13573" max="13579" width="11" style="165" customWidth="1"/>
    <col min="13580" max="13581" width="0" style="165" hidden="1" customWidth="1"/>
    <col min="13582" max="13583" width="11" style="165" customWidth="1"/>
    <col min="13584" max="13585" width="0" style="165" hidden="1" customWidth="1"/>
    <col min="13586" max="13586" width="11" style="165" customWidth="1"/>
    <col min="13587" max="13587" width="16.5703125" style="165" customWidth="1"/>
    <col min="13588" max="13591" width="11" style="165" customWidth="1"/>
    <col min="13592" max="13593" width="11.140625" style="165" customWidth="1"/>
    <col min="13594" max="13617" width="11" style="165" customWidth="1"/>
    <col min="13618" max="13823" width="9.140625" style="165"/>
    <col min="13824" max="13824" width="0" style="165" hidden="1" customWidth="1"/>
    <col min="13825" max="13825" width="9.140625" style="165"/>
    <col min="13826" max="13826" width="28.140625" style="165" customWidth="1"/>
    <col min="13827" max="13828" width="0" style="165" hidden="1" customWidth="1"/>
    <col min="13829" max="13835" width="11" style="165" customWidth="1"/>
    <col min="13836" max="13837" width="0" style="165" hidden="1" customWidth="1"/>
    <col min="13838" max="13839" width="11" style="165" customWidth="1"/>
    <col min="13840" max="13841" width="0" style="165" hidden="1" customWidth="1"/>
    <col min="13842" max="13842" width="11" style="165" customWidth="1"/>
    <col min="13843" max="13843" width="16.5703125" style="165" customWidth="1"/>
    <col min="13844" max="13847" width="11" style="165" customWidth="1"/>
    <col min="13848" max="13849" width="11.140625" style="165" customWidth="1"/>
    <col min="13850" max="13873" width="11" style="165" customWidth="1"/>
    <col min="13874" max="14079" width="9.140625" style="165"/>
    <col min="14080" max="14080" width="0" style="165" hidden="1" customWidth="1"/>
    <col min="14081" max="14081" width="9.140625" style="165"/>
    <col min="14082" max="14082" width="28.140625" style="165" customWidth="1"/>
    <col min="14083" max="14084" width="0" style="165" hidden="1" customWidth="1"/>
    <col min="14085" max="14091" width="11" style="165" customWidth="1"/>
    <col min="14092" max="14093" width="0" style="165" hidden="1" customWidth="1"/>
    <col min="14094" max="14095" width="11" style="165" customWidth="1"/>
    <col min="14096" max="14097" width="0" style="165" hidden="1" customWidth="1"/>
    <col min="14098" max="14098" width="11" style="165" customWidth="1"/>
    <col min="14099" max="14099" width="16.5703125" style="165" customWidth="1"/>
    <col min="14100" max="14103" width="11" style="165" customWidth="1"/>
    <col min="14104" max="14105" width="11.140625" style="165" customWidth="1"/>
    <col min="14106" max="14129" width="11" style="165" customWidth="1"/>
    <col min="14130" max="14335" width="9.140625" style="165"/>
    <col min="14336" max="14336" width="0" style="165" hidden="1" customWidth="1"/>
    <col min="14337" max="14337" width="9.140625" style="165"/>
    <col min="14338" max="14338" width="28.140625" style="165" customWidth="1"/>
    <col min="14339" max="14340" width="0" style="165" hidden="1" customWidth="1"/>
    <col min="14341" max="14347" width="11" style="165" customWidth="1"/>
    <col min="14348" max="14349" width="0" style="165" hidden="1" customWidth="1"/>
    <col min="14350" max="14351" width="11" style="165" customWidth="1"/>
    <col min="14352" max="14353" width="0" style="165" hidden="1" customWidth="1"/>
    <col min="14354" max="14354" width="11" style="165" customWidth="1"/>
    <col min="14355" max="14355" width="16.5703125" style="165" customWidth="1"/>
    <col min="14356" max="14359" width="11" style="165" customWidth="1"/>
    <col min="14360" max="14361" width="11.140625" style="165" customWidth="1"/>
    <col min="14362" max="14385" width="11" style="165" customWidth="1"/>
    <col min="14386" max="14591" width="9.140625" style="165"/>
    <col min="14592" max="14592" width="0" style="165" hidden="1" customWidth="1"/>
    <col min="14593" max="14593" width="9.140625" style="165"/>
    <col min="14594" max="14594" width="28.140625" style="165" customWidth="1"/>
    <col min="14595" max="14596" width="0" style="165" hidden="1" customWidth="1"/>
    <col min="14597" max="14603" width="11" style="165" customWidth="1"/>
    <col min="14604" max="14605" width="0" style="165" hidden="1" customWidth="1"/>
    <col min="14606" max="14607" width="11" style="165" customWidth="1"/>
    <col min="14608" max="14609" width="0" style="165" hidden="1" customWidth="1"/>
    <col min="14610" max="14610" width="11" style="165" customWidth="1"/>
    <col min="14611" max="14611" width="16.5703125" style="165" customWidth="1"/>
    <col min="14612" max="14615" width="11" style="165" customWidth="1"/>
    <col min="14616" max="14617" width="11.140625" style="165" customWidth="1"/>
    <col min="14618" max="14641" width="11" style="165" customWidth="1"/>
    <col min="14642" max="14847" width="9.140625" style="165"/>
    <col min="14848" max="14848" width="0" style="165" hidden="1" customWidth="1"/>
    <col min="14849" max="14849" width="9.140625" style="165"/>
    <col min="14850" max="14850" width="28.140625" style="165" customWidth="1"/>
    <col min="14851" max="14852" width="0" style="165" hidden="1" customWidth="1"/>
    <col min="14853" max="14859" width="11" style="165" customWidth="1"/>
    <col min="14860" max="14861" width="0" style="165" hidden="1" customWidth="1"/>
    <col min="14862" max="14863" width="11" style="165" customWidth="1"/>
    <col min="14864" max="14865" width="0" style="165" hidden="1" customWidth="1"/>
    <col min="14866" max="14866" width="11" style="165" customWidth="1"/>
    <col min="14867" max="14867" width="16.5703125" style="165" customWidth="1"/>
    <col min="14868" max="14871" width="11" style="165" customWidth="1"/>
    <col min="14872" max="14873" width="11.140625" style="165" customWidth="1"/>
    <col min="14874" max="14897" width="11" style="165" customWidth="1"/>
    <col min="14898" max="15103" width="9.140625" style="165"/>
    <col min="15104" max="15104" width="0" style="165" hidden="1" customWidth="1"/>
    <col min="15105" max="15105" width="9.140625" style="165"/>
    <col min="15106" max="15106" width="28.140625" style="165" customWidth="1"/>
    <col min="15107" max="15108" width="0" style="165" hidden="1" customWidth="1"/>
    <col min="15109" max="15115" width="11" style="165" customWidth="1"/>
    <col min="15116" max="15117" width="0" style="165" hidden="1" customWidth="1"/>
    <col min="15118" max="15119" width="11" style="165" customWidth="1"/>
    <col min="15120" max="15121" width="0" style="165" hidden="1" customWidth="1"/>
    <col min="15122" max="15122" width="11" style="165" customWidth="1"/>
    <col min="15123" max="15123" width="16.5703125" style="165" customWidth="1"/>
    <col min="15124" max="15127" width="11" style="165" customWidth="1"/>
    <col min="15128" max="15129" width="11.140625" style="165" customWidth="1"/>
    <col min="15130" max="15153" width="11" style="165" customWidth="1"/>
    <col min="15154" max="15359" width="9.140625" style="165"/>
    <col min="15360" max="15360" width="0" style="165" hidden="1" customWidth="1"/>
    <col min="15361" max="15361" width="9.140625" style="165"/>
    <col min="15362" max="15362" width="28.140625" style="165" customWidth="1"/>
    <col min="15363" max="15364" width="0" style="165" hidden="1" customWidth="1"/>
    <col min="15365" max="15371" width="11" style="165" customWidth="1"/>
    <col min="15372" max="15373" width="0" style="165" hidden="1" customWidth="1"/>
    <col min="15374" max="15375" width="11" style="165" customWidth="1"/>
    <col min="15376" max="15377" width="0" style="165" hidden="1" customWidth="1"/>
    <col min="15378" max="15378" width="11" style="165" customWidth="1"/>
    <col min="15379" max="15379" width="16.5703125" style="165" customWidth="1"/>
    <col min="15380" max="15383" width="11" style="165" customWidth="1"/>
    <col min="15384" max="15385" width="11.140625" style="165" customWidth="1"/>
    <col min="15386" max="15409" width="11" style="165" customWidth="1"/>
    <col min="15410" max="15615" width="9.140625" style="165"/>
    <col min="15616" max="15616" width="0" style="165" hidden="1" customWidth="1"/>
    <col min="15617" max="15617" width="9.140625" style="165"/>
    <col min="15618" max="15618" width="28.140625" style="165" customWidth="1"/>
    <col min="15619" max="15620" width="0" style="165" hidden="1" customWidth="1"/>
    <col min="15621" max="15627" width="11" style="165" customWidth="1"/>
    <col min="15628" max="15629" width="0" style="165" hidden="1" customWidth="1"/>
    <col min="15630" max="15631" width="11" style="165" customWidth="1"/>
    <col min="15632" max="15633" width="0" style="165" hidden="1" customWidth="1"/>
    <col min="15634" max="15634" width="11" style="165" customWidth="1"/>
    <col min="15635" max="15635" width="16.5703125" style="165" customWidth="1"/>
    <col min="15636" max="15639" width="11" style="165" customWidth="1"/>
    <col min="15640" max="15641" width="11.140625" style="165" customWidth="1"/>
    <col min="15642" max="15665" width="11" style="165" customWidth="1"/>
    <col min="15666" max="15871" width="9.140625" style="165"/>
    <col min="15872" max="15872" width="0" style="165" hidden="1" customWidth="1"/>
    <col min="15873" max="15873" width="9.140625" style="165"/>
    <col min="15874" max="15874" width="28.140625" style="165" customWidth="1"/>
    <col min="15875" max="15876" width="0" style="165" hidden="1" customWidth="1"/>
    <col min="15877" max="15883" width="11" style="165" customWidth="1"/>
    <col min="15884" max="15885" width="0" style="165" hidden="1" customWidth="1"/>
    <col min="15886" max="15887" width="11" style="165" customWidth="1"/>
    <col min="15888" max="15889" width="0" style="165" hidden="1" customWidth="1"/>
    <col min="15890" max="15890" width="11" style="165" customWidth="1"/>
    <col min="15891" max="15891" width="16.5703125" style="165" customWidth="1"/>
    <col min="15892" max="15895" width="11" style="165" customWidth="1"/>
    <col min="15896" max="15897" width="11.140625" style="165" customWidth="1"/>
    <col min="15898" max="15921" width="11" style="165" customWidth="1"/>
    <col min="15922" max="16127" width="9.140625" style="165"/>
    <col min="16128" max="16128" width="0" style="165" hidden="1" customWidth="1"/>
    <col min="16129" max="16129" width="9.140625" style="165"/>
    <col min="16130" max="16130" width="28.140625" style="165" customWidth="1"/>
    <col min="16131" max="16132" width="0" style="165" hidden="1" customWidth="1"/>
    <col min="16133" max="16139" width="11" style="165" customWidth="1"/>
    <col min="16140" max="16141" width="0" style="165" hidden="1" customWidth="1"/>
    <col min="16142" max="16143" width="11" style="165" customWidth="1"/>
    <col min="16144" max="16145" width="0" style="165" hidden="1" customWidth="1"/>
    <col min="16146" max="16146" width="11" style="165" customWidth="1"/>
    <col min="16147" max="16147" width="16.5703125" style="165" customWidth="1"/>
    <col min="16148" max="16151" width="11" style="165" customWidth="1"/>
    <col min="16152" max="16153" width="11.140625" style="165" customWidth="1"/>
    <col min="16154" max="16177" width="11" style="165" customWidth="1"/>
    <col min="16178" max="16384" width="9.140625" style="165"/>
  </cols>
  <sheetData>
    <row r="1" spans="1:66" s="164" customFormat="1" ht="15.75">
      <c r="A1" s="157" t="s">
        <v>142</v>
      </c>
      <c r="B1" s="163"/>
      <c r="C1" s="202"/>
      <c r="D1" s="202"/>
      <c r="E1" s="202">
        <v>6</v>
      </c>
      <c r="F1" s="202">
        <f>E1+1</f>
        <v>7</v>
      </c>
      <c r="G1" s="202">
        <f t="shared" ref="G1:S1" si="0">F1+1</f>
        <v>8</v>
      </c>
      <c r="H1" s="202">
        <f t="shared" si="0"/>
        <v>9</v>
      </c>
      <c r="I1" s="202">
        <f t="shared" si="0"/>
        <v>10</v>
      </c>
      <c r="J1" s="202">
        <f t="shared" si="0"/>
        <v>11</v>
      </c>
      <c r="K1" s="202">
        <f t="shared" si="0"/>
        <v>12</v>
      </c>
      <c r="L1" s="202">
        <f t="shared" si="0"/>
        <v>13</v>
      </c>
      <c r="M1" s="202">
        <f t="shared" si="0"/>
        <v>14</v>
      </c>
      <c r="N1" s="202">
        <f t="shared" si="0"/>
        <v>15</v>
      </c>
      <c r="O1" s="202">
        <f t="shared" si="0"/>
        <v>16</v>
      </c>
      <c r="P1" s="202">
        <f t="shared" si="0"/>
        <v>17</v>
      </c>
      <c r="Q1" s="202">
        <f t="shared" si="0"/>
        <v>18</v>
      </c>
      <c r="R1" s="202">
        <f t="shared" si="0"/>
        <v>19</v>
      </c>
      <c r="S1" s="202">
        <f t="shared" si="0"/>
        <v>20</v>
      </c>
      <c r="T1" s="202">
        <v>22</v>
      </c>
      <c r="U1" s="202">
        <v>23</v>
      </c>
      <c r="V1" s="202">
        <v>24</v>
      </c>
      <c r="W1" s="202">
        <v>25</v>
      </c>
      <c r="X1" s="202">
        <v>32</v>
      </c>
      <c r="Y1" s="202">
        <f>X1+1</f>
        <v>33</v>
      </c>
      <c r="Z1" s="202">
        <f t="shared" ref="Z1:AI1" si="1">Y1+1</f>
        <v>34</v>
      </c>
      <c r="AA1" s="202">
        <f t="shared" si="1"/>
        <v>35</v>
      </c>
      <c r="AB1" s="202">
        <f t="shared" si="1"/>
        <v>36</v>
      </c>
      <c r="AC1" s="202">
        <f t="shared" si="1"/>
        <v>37</v>
      </c>
      <c r="AD1" s="202">
        <f t="shared" si="1"/>
        <v>38</v>
      </c>
      <c r="AE1" s="202">
        <f t="shared" si="1"/>
        <v>39</v>
      </c>
      <c r="AF1" s="202">
        <f t="shared" si="1"/>
        <v>40</v>
      </c>
      <c r="AG1" s="202">
        <f t="shared" si="1"/>
        <v>41</v>
      </c>
      <c r="AH1" s="202">
        <f t="shared" si="1"/>
        <v>42</v>
      </c>
      <c r="AI1" s="202">
        <f t="shared" si="1"/>
        <v>43</v>
      </c>
      <c r="AJ1" s="202"/>
      <c r="AK1" s="202"/>
      <c r="AL1" s="202"/>
      <c r="AM1" s="202"/>
      <c r="AN1" s="202"/>
      <c r="AO1" s="202"/>
      <c r="AP1" s="202"/>
      <c r="AQ1" s="202"/>
      <c r="AR1" s="202"/>
      <c r="AS1" s="202"/>
      <c r="AT1" s="202"/>
      <c r="AU1" s="202"/>
      <c r="AV1" s="202"/>
      <c r="AW1" s="202"/>
      <c r="AX1" s="202"/>
      <c r="AY1" s="202"/>
      <c r="AZ1" s="202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</row>
    <row r="2" spans="1:66" ht="60">
      <c r="A2" s="202" t="s">
        <v>2</v>
      </c>
      <c r="B2" s="202" t="s">
        <v>3</v>
      </c>
      <c r="C2" s="202" t="s">
        <v>4</v>
      </c>
      <c r="D2" s="202" t="s">
        <v>5</v>
      </c>
      <c r="E2" s="202" t="s">
        <v>247</v>
      </c>
      <c r="F2" s="202" t="s">
        <v>245</v>
      </c>
      <c r="G2" s="202" t="s">
        <v>246</v>
      </c>
      <c r="H2" s="202" t="s">
        <v>248</v>
      </c>
      <c r="I2" s="202" t="s">
        <v>249</v>
      </c>
      <c r="J2" s="202" t="s">
        <v>250</v>
      </c>
      <c r="K2" s="202" t="s">
        <v>251</v>
      </c>
      <c r="L2" s="202" t="s">
        <v>252</v>
      </c>
      <c r="M2" s="202" t="s">
        <v>253</v>
      </c>
      <c r="N2" s="202" t="s">
        <v>270</v>
      </c>
      <c r="O2" s="202" t="s">
        <v>271</v>
      </c>
      <c r="P2" s="202" t="s">
        <v>272</v>
      </c>
      <c r="Q2" s="202" t="s">
        <v>273</v>
      </c>
      <c r="R2" s="202" t="s">
        <v>254</v>
      </c>
      <c r="S2" s="202" t="s">
        <v>255</v>
      </c>
      <c r="T2" s="202" t="s">
        <v>256</v>
      </c>
      <c r="U2" s="202" t="s">
        <v>257</v>
      </c>
      <c r="V2" s="202" t="s">
        <v>274</v>
      </c>
      <c r="W2" s="202" t="s">
        <v>275</v>
      </c>
      <c r="X2" s="202" t="s">
        <v>258</v>
      </c>
      <c r="Y2" s="202" t="s">
        <v>259</v>
      </c>
      <c r="Z2" s="202" t="s">
        <v>260</v>
      </c>
      <c r="AA2" s="202" t="s">
        <v>261</v>
      </c>
      <c r="AB2" s="202" t="s">
        <v>262</v>
      </c>
      <c r="AC2" s="202" t="s">
        <v>6</v>
      </c>
      <c r="AD2" s="202" t="s">
        <v>263</v>
      </c>
      <c r="AE2" s="202" t="s">
        <v>264</v>
      </c>
      <c r="AF2" s="202" t="s">
        <v>265</v>
      </c>
      <c r="AG2" s="202" t="s">
        <v>266</v>
      </c>
      <c r="AH2" s="202" t="s">
        <v>267</v>
      </c>
      <c r="AI2" s="202" t="s">
        <v>268</v>
      </c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  <c r="BE2" s="202"/>
      <c r="BF2" s="202"/>
      <c r="BG2" s="202"/>
      <c r="BH2" s="202"/>
      <c r="BI2" s="202"/>
      <c r="BJ2" s="202"/>
      <c r="BK2" s="202"/>
      <c r="BL2" s="202"/>
      <c r="BM2" s="202"/>
      <c r="BN2" s="202"/>
    </row>
    <row r="3" spans="1:66">
      <c r="A3" s="163">
        <v>10005</v>
      </c>
      <c r="B3" s="163" t="s">
        <v>7</v>
      </c>
      <c r="C3" s="267">
        <v>1</v>
      </c>
      <c r="D3" s="267">
        <v>0</v>
      </c>
      <c r="E3" s="270">
        <v>0.55600000000000005</v>
      </c>
      <c r="F3" s="272">
        <v>0.61199999999999999</v>
      </c>
      <c r="G3" s="272">
        <v>0.61599999999999999</v>
      </c>
      <c r="H3" s="272">
        <v>0</v>
      </c>
      <c r="I3" s="272">
        <v>0</v>
      </c>
      <c r="J3" s="272">
        <v>0</v>
      </c>
      <c r="K3" s="272">
        <v>0</v>
      </c>
      <c r="L3" s="272">
        <v>0</v>
      </c>
      <c r="M3" s="272">
        <v>0</v>
      </c>
      <c r="N3" s="272">
        <v>0.53100000000000003</v>
      </c>
      <c r="O3" s="272">
        <v>0.53500000000000003</v>
      </c>
      <c r="P3" s="272">
        <v>4652</v>
      </c>
      <c r="Q3" s="272">
        <v>4687</v>
      </c>
      <c r="R3" s="272">
        <v>0.53900000000000003</v>
      </c>
      <c r="S3" s="272">
        <v>4722</v>
      </c>
      <c r="T3" s="272">
        <v>0</v>
      </c>
      <c r="U3" s="272">
        <v>0</v>
      </c>
      <c r="V3" s="272">
        <v>0</v>
      </c>
      <c r="W3" s="272">
        <v>0</v>
      </c>
      <c r="X3" s="272">
        <v>7.6500000000000003E-5</v>
      </c>
      <c r="Y3" s="272">
        <v>7.7000000000000001E-5</v>
      </c>
      <c r="Z3" s="272">
        <v>0</v>
      </c>
      <c r="AA3" s="272">
        <v>7.6500000000000003E-5</v>
      </c>
      <c r="AB3" s="272">
        <v>7.7000000000000001E-5</v>
      </c>
      <c r="AC3" s="272">
        <v>7.6799999999999997E-5</v>
      </c>
      <c r="AD3" s="272">
        <v>1</v>
      </c>
      <c r="AE3" s="272">
        <v>0.99953860000000005</v>
      </c>
      <c r="AF3" s="272">
        <v>1</v>
      </c>
      <c r="AG3" s="272">
        <v>1</v>
      </c>
      <c r="AH3" s="272">
        <v>4.4999999999999998E-2</v>
      </c>
      <c r="AI3" s="272">
        <v>4.4999999999999998E-2</v>
      </c>
      <c r="AJ3" s="154"/>
      <c r="AK3" s="154"/>
      <c r="AL3" s="154"/>
      <c r="AM3" s="154"/>
      <c r="AN3" s="154"/>
      <c r="AO3" s="154"/>
      <c r="AP3" s="154"/>
      <c r="AQ3" s="163"/>
      <c r="AR3" s="163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63"/>
      <c r="BH3" s="163"/>
      <c r="BI3" s="163"/>
      <c r="BJ3" s="163"/>
      <c r="BK3" s="163"/>
      <c r="BL3" s="163"/>
      <c r="BM3" s="163"/>
      <c r="BN3" s="163"/>
    </row>
    <row r="4" spans="1:66">
      <c r="A4" s="163">
        <v>10015</v>
      </c>
      <c r="B4" s="163" t="s">
        <v>8</v>
      </c>
      <c r="C4" s="267">
        <v>1</v>
      </c>
      <c r="D4" s="267">
        <v>0</v>
      </c>
      <c r="E4" s="272">
        <v>0.58199999999999996</v>
      </c>
      <c r="F4" s="272">
        <v>0.622</v>
      </c>
      <c r="G4" s="272">
        <v>0.626</v>
      </c>
      <c r="H4" s="272">
        <v>0</v>
      </c>
      <c r="I4" s="272">
        <v>0</v>
      </c>
      <c r="J4" s="272">
        <v>0</v>
      </c>
      <c r="K4" s="272">
        <v>0</v>
      </c>
      <c r="L4" s="272">
        <v>0</v>
      </c>
      <c r="M4" s="272">
        <v>0</v>
      </c>
      <c r="N4" s="272">
        <v>0.61799999999999999</v>
      </c>
      <c r="O4" s="272">
        <v>0.621</v>
      </c>
      <c r="P4" s="272">
        <v>5414</v>
      </c>
      <c r="Q4" s="272">
        <v>5440</v>
      </c>
      <c r="R4" s="272">
        <v>0.56399999999999995</v>
      </c>
      <c r="S4" s="272">
        <v>4941</v>
      </c>
      <c r="T4" s="272">
        <v>5.3999999999999999E-2</v>
      </c>
      <c r="U4" s="272">
        <v>5.7000000000000002E-2</v>
      </c>
      <c r="V4" s="272">
        <v>0</v>
      </c>
      <c r="W4" s="272">
        <v>0</v>
      </c>
      <c r="X4" s="272">
        <v>8.1199999999999995E-5</v>
      </c>
      <c r="Y4" s="272">
        <v>8.1199999999999995E-5</v>
      </c>
      <c r="Z4" s="272">
        <v>0</v>
      </c>
      <c r="AA4" s="272">
        <v>8.1199999999999995E-5</v>
      </c>
      <c r="AB4" s="272">
        <v>8.1199999999999995E-5</v>
      </c>
      <c r="AC4" s="272">
        <v>8.1199999999999995E-5</v>
      </c>
      <c r="AD4" s="272">
        <v>0.91249429999999998</v>
      </c>
      <c r="AE4" s="272">
        <v>0.90808610000000001</v>
      </c>
      <c r="AF4" s="272">
        <v>1.0957447</v>
      </c>
      <c r="AG4" s="272">
        <v>1.1010637999999999</v>
      </c>
      <c r="AH4" s="272">
        <v>0</v>
      </c>
      <c r="AI4" s="272">
        <v>0</v>
      </c>
      <c r="AJ4" s="154"/>
      <c r="AK4" s="154"/>
      <c r="AL4" s="154"/>
      <c r="AM4" s="154"/>
      <c r="AN4" s="154"/>
      <c r="AO4" s="154"/>
      <c r="AP4" s="154"/>
      <c r="AQ4" s="163"/>
      <c r="AR4" s="163"/>
      <c r="AS4" s="196"/>
      <c r="AT4" s="196"/>
      <c r="AU4" s="196"/>
      <c r="AV4" s="196"/>
      <c r="AW4" s="196"/>
      <c r="AX4" s="196"/>
      <c r="AY4" s="196"/>
      <c r="AZ4" s="196"/>
      <c r="BA4" s="196"/>
      <c r="BB4" s="196"/>
      <c r="BC4" s="196"/>
      <c r="BD4" s="196"/>
      <c r="BE4" s="196"/>
      <c r="BF4" s="196"/>
      <c r="BG4" s="163"/>
      <c r="BH4" s="163"/>
      <c r="BI4" s="163"/>
      <c r="BJ4" s="163"/>
      <c r="BK4" s="163"/>
      <c r="BL4" s="163"/>
      <c r="BM4" s="163"/>
      <c r="BN4" s="163"/>
    </row>
    <row r="5" spans="1:66">
      <c r="A5" s="163">
        <v>10024</v>
      </c>
      <c r="B5" s="163" t="s">
        <v>9</v>
      </c>
      <c r="C5" s="267">
        <v>1</v>
      </c>
      <c r="D5" s="267">
        <v>0</v>
      </c>
      <c r="E5" s="272">
        <v>204.28200000000001</v>
      </c>
      <c r="F5" s="272">
        <v>206.203</v>
      </c>
      <c r="G5" s="272">
        <v>206.59</v>
      </c>
      <c r="H5" s="272">
        <v>0</v>
      </c>
      <c r="I5" s="272">
        <v>0</v>
      </c>
      <c r="J5" s="272">
        <v>0.92100000000000004</v>
      </c>
      <c r="K5" s="272">
        <v>0.91900000000000004</v>
      </c>
      <c r="L5" s="272">
        <v>8068</v>
      </c>
      <c r="M5" s="272">
        <v>8050</v>
      </c>
      <c r="N5" s="272">
        <v>205.28200000000001</v>
      </c>
      <c r="O5" s="272">
        <v>205.67099999999999</v>
      </c>
      <c r="P5" s="272">
        <v>1798270</v>
      </c>
      <c r="Q5" s="272">
        <v>1801678</v>
      </c>
      <c r="R5" s="272">
        <v>198.04900000000001</v>
      </c>
      <c r="S5" s="272">
        <v>1734909</v>
      </c>
      <c r="T5" s="272">
        <v>10.856999999999999</v>
      </c>
      <c r="U5" s="272">
        <v>11.59</v>
      </c>
      <c r="V5" s="272">
        <v>10.856999999999999</v>
      </c>
      <c r="W5" s="272">
        <v>11.59</v>
      </c>
      <c r="X5" s="272">
        <v>2.8517399999999998E-2</v>
      </c>
      <c r="Y5" s="272">
        <v>2.8517399999999998E-2</v>
      </c>
      <c r="Z5" s="272">
        <v>1.3686500000000001E-2</v>
      </c>
      <c r="AA5" s="272">
        <v>1.4830899999999999E-2</v>
      </c>
      <c r="AB5" s="272">
        <v>1.4830899999999999E-2</v>
      </c>
      <c r="AC5" s="272">
        <v>1.4830899999999999E-2</v>
      </c>
      <c r="AD5" s="272">
        <v>0.94833060000000002</v>
      </c>
      <c r="AE5" s="272">
        <v>0.94503400000000004</v>
      </c>
      <c r="AF5" s="272">
        <v>1.0365213</v>
      </c>
      <c r="AG5" s="272">
        <v>1.0384853999999999</v>
      </c>
      <c r="AH5" s="272">
        <v>0</v>
      </c>
      <c r="AI5" s="272">
        <v>0</v>
      </c>
      <c r="AJ5" s="154"/>
      <c r="AK5" s="154"/>
      <c r="AL5" s="154"/>
      <c r="AM5" s="154"/>
      <c r="AN5" s="154"/>
      <c r="AO5" s="154"/>
      <c r="AP5" s="154"/>
      <c r="AQ5" s="163"/>
      <c r="AR5" s="163"/>
      <c r="AS5" s="196"/>
      <c r="AT5" s="196"/>
      <c r="AU5" s="196"/>
      <c r="AV5" s="196"/>
      <c r="AW5" s="196"/>
      <c r="AX5" s="196"/>
      <c r="AY5" s="196"/>
      <c r="AZ5" s="196"/>
      <c r="BA5" s="196"/>
      <c r="BB5" s="196"/>
      <c r="BC5" s="196"/>
      <c r="BD5" s="196"/>
      <c r="BE5" s="196"/>
      <c r="BF5" s="196"/>
      <c r="BG5" s="163"/>
      <c r="BH5" s="163"/>
      <c r="BI5" s="163"/>
      <c r="BJ5" s="163"/>
      <c r="BK5" s="163"/>
      <c r="BL5" s="163"/>
      <c r="BM5" s="163"/>
      <c r="BN5" s="163"/>
    </row>
    <row r="6" spans="1:66">
      <c r="A6" s="163">
        <v>10025</v>
      </c>
      <c r="B6" s="163" t="s">
        <v>10</v>
      </c>
      <c r="C6" s="267">
        <v>1</v>
      </c>
      <c r="D6" s="267">
        <v>0</v>
      </c>
      <c r="E6" s="272">
        <v>60.548999999999999</v>
      </c>
      <c r="F6" s="272">
        <v>68.588999999999999</v>
      </c>
      <c r="G6" s="272">
        <v>69.936000000000007</v>
      </c>
      <c r="H6" s="272">
        <v>0</v>
      </c>
      <c r="I6" s="272">
        <v>0</v>
      </c>
      <c r="J6" s="272">
        <v>0</v>
      </c>
      <c r="K6" s="272">
        <v>0</v>
      </c>
      <c r="L6" s="272">
        <v>0</v>
      </c>
      <c r="M6" s="272">
        <v>0</v>
      </c>
      <c r="N6" s="272">
        <v>64.710999999999999</v>
      </c>
      <c r="O6" s="272">
        <v>65.775000000000006</v>
      </c>
      <c r="P6" s="272">
        <v>566868</v>
      </c>
      <c r="Q6" s="272">
        <v>576189</v>
      </c>
      <c r="R6" s="272">
        <v>58.701999999999998</v>
      </c>
      <c r="S6" s="272">
        <v>514230</v>
      </c>
      <c r="T6" s="272">
        <v>7.5789999999999997</v>
      </c>
      <c r="U6" s="272">
        <v>8.6430000000000007</v>
      </c>
      <c r="V6" s="272">
        <v>7.5789999999999997</v>
      </c>
      <c r="W6" s="272">
        <v>8.6430000000000007</v>
      </c>
      <c r="X6" s="272">
        <v>8.4525999999999994E-3</v>
      </c>
      <c r="Y6" s="272">
        <v>8.4525999999999994E-3</v>
      </c>
      <c r="Z6" s="272">
        <v>0</v>
      </c>
      <c r="AA6" s="272">
        <v>8.4525999999999994E-3</v>
      </c>
      <c r="AB6" s="272">
        <v>8.4525999999999994E-3</v>
      </c>
      <c r="AC6" s="272">
        <v>8.4525999999999994E-3</v>
      </c>
      <c r="AD6" s="272">
        <v>0.89652149999999997</v>
      </c>
      <c r="AE6" s="272">
        <v>0.88368389999999997</v>
      </c>
      <c r="AF6" s="272">
        <v>1.1023645</v>
      </c>
      <c r="AG6" s="272">
        <v>1.1204898999999999</v>
      </c>
      <c r="AH6" s="272">
        <v>6.6141900000000003E-2</v>
      </c>
      <c r="AI6" s="272">
        <v>6.7229399999999995E-2</v>
      </c>
      <c r="AJ6" s="154"/>
      <c r="AK6" s="154"/>
      <c r="AL6" s="154"/>
      <c r="AM6" s="154"/>
      <c r="AN6" s="154"/>
      <c r="AO6" s="154"/>
      <c r="AP6" s="154"/>
      <c r="AQ6" s="163"/>
      <c r="AR6" s="163"/>
      <c r="AS6" s="196"/>
      <c r="AT6" s="196"/>
      <c r="AU6" s="196"/>
      <c r="AV6" s="196"/>
      <c r="AW6" s="196"/>
      <c r="AX6" s="196"/>
      <c r="AY6" s="196"/>
      <c r="AZ6" s="196"/>
      <c r="BA6" s="196"/>
      <c r="BB6" s="196"/>
      <c r="BC6" s="196"/>
      <c r="BD6" s="196"/>
      <c r="BE6" s="196"/>
      <c r="BF6" s="196"/>
      <c r="BG6" s="163"/>
      <c r="BH6" s="163"/>
      <c r="BI6" s="163"/>
      <c r="BJ6" s="163"/>
      <c r="BK6" s="163"/>
      <c r="BL6" s="163"/>
      <c r="BM6" s="163"/>
      <c r="BN6" s="163"/>
    </row>
    <row r="7" spans="1:66">
      <c r="A7" s="165">
        <v>10027</v>
      </c>
      <c r="B7" s="165" t="s">
        <v>11</v>
      </c>
      <c r="C7" s="268">
        <v>1</v>
      </c>
      <c r="D7" s="268">
        <v>0</v>
      </c>
      <c r="E7" s="272">
        <v>62.106999999999999</v>
      </c>
      <c r="F7" s="272">
        <v>65.376999999999995</v>
      </c>
      <c r="G7" s="272">
        <v>65.771000000000001</v>
      </c>
      <c r="H7" s="272">
        <v>0</v>
      </c>
      <c r="I7" s="272">
        <v>0</v>
      </c>
      <c r="J7" s="272">
        <v>0</v>
      </c>
      <c r="K7" s="272">
        <v>0</v>
      </c>
      <c r="L7" s="272">
        <v>0</v>
      </c>
      <c r="M7" s="272">
        <v>0</v>
      </c>
      <c r="N7" s="272">
        <v>63.741</v>
      </c>
      <c r="O7" s="272">
        <v>64.450999999999993</v>
      </c>
      <c r="P7" s="272">
        <v>558371</v>
      </c>
      <c r="Q7" s="272">
        <v>564591</v>
      </c>
      <c r="R7" s="272">
        <v>60.212000000000003</v>
      </c>
      <c r="S7" s="272">
        <v>527457</v>
      </c>
      <c r="T7" s="272">
        <v>3.5289999999999999</v>
      </c>
      <c r="U7" s="272">
        <v>4.2389999999999999</v>
      </c>
      <c r="V7" s="272">
        <v>3.5289999999999999</v>
      </c>
      <c r="W7" s="272">
        <v>4.2389999999999999</v>
      </c>
      <c r="X7" s="272">
        <v>8.6700000000000006E-3</v>
      </c>
      <c r="Y7" s="272">
        <v>8.6700000000000006E-3</v>
      </c>
      <c r="Z7" s="272">
        <v>0</v>
      </c>
      <c r="AA7" s="272">
        <v>8.6700000000000006E-3</v>
      </c>
      <c r="AB7" s="272">
        <v>8.6700000000000006E-3</v>
      </c>
      <c r="AC7" s="272">
        <v>8.6700000000000006E-3</v>
      </c>
      <c r="AD7" s="272">
        <v>0.94463240000000004</v>
      </c>
      <c r="AE7" s="272">
        <v>0.93422620000000001</v>
      </c>
      <c r="AF7" s="272">
        <v>1.0586096</v>
      </c>
      <c r="AG7" s="272">
        <v>1.0704012000000001</v>
      </c>
      <c r="AH7" s="272">
        <v>7.4102699999999994E-2</v>
      </c>
      <c r="AI7" s="272">
        <v>7.4928099999999997E-2</v>
      </c>
      <c r="AJ7" s="161"/>
      <c r="AK7" s="161"/>
      <c r="AL7" s="161"/>
      <c r="AM7" s="161"/>
      <c r="AN7" s="161"/>
      <c r="AO7" s="161"/>
      <c r="AP7" s="161"/>
      <c r="AS7" s="160"/>
      <c r="AT7" s="160"/>
      <c r="AU7" s="196"/>
      <c r="AV7" s="196"/>
      <c r="AW7" s="196"/>
      <c r="AX7" s="196"/>
      <c r="AY7" s="196"/>
      <c r="AZ7" s="196"/>
      <c r="BA7" s="196"/>
      <c r="BB7" s="196"/>
      <c r="BC7" s="196"/>
      <c r="BD7" s="196"/>
      <c r="BE7" s="160"/>
      <c r="BF7" s="160"/>
      <c r="BG7" s="163"/>
      <c r="BM7" s="163"/>
      <c r="BN7" s="163"/>
    </row>
    <row r="8" spans="1:66">
      <c r="A8" s="163">
        <v>10029</v>
      </c>
      <c r="B8" s="163" t="s">
        <v>12</v>
      </c>
      <c r="C8" s="267">
        <v>0</v>
      </c>
      <c r="D8" s="267">
        <v>1</v>
      </c>
      <c r="E8" s="272">
        <v>17.879000000000001</v>
      </c>
      <c r="F8" s="272">
        <v>21.510999999999999</v>
      </c>
      <c r="G8" s="272">
        <v>21.47</v>
      </c>
      <c r="H8" s="272">
        <v>0</v>
      </c>
      <c r="I8" s="272">
        <v>0</v>
      </c>
      <c r="J8" s="272">
        <v>0</v>
      </c>
      <c r="K8" s="272">
        <v>0</v>
      </c>
      <c r="L8" s="272">
        <v>0</v>
      </c>
      <c r="M8" s="272">
        <v>0</v>
      </c>
      <c r="N8" s="272">
        <v>20.024000000000001</v>
      </c>
      <c r="O8" s="272">
        <v>20.024000000000001</v>
      </c>
      <c r="P8" s="272">
        <v>175410</v>
      </c>
      <c r="Q8" s="272">
        <v>175410</v>
      </c>
      <c r="R8" s="272">
        <v>17.332999999999998</v>
      </c>
      <c r="S8" s="272">
        <v>151837</v>
      </c>
      <c r="T8" s="272">
        <v>2.6909999999999998</v>
      </c>
      <c r="U8" s="272">
        <v>2.6909999999999998</v>
      </c>
      <c r="V8" s="272">
        <v>2.6909999999999998</v>
      </c>
      <c r="W8" s="272">
        <v>2.6909999999999998</v>
      </c>
      <c r="X8" s="272">
        <v>2.4957999999999998E-3</v>
      </c>
      <c r="Y8" s="272">
        <v>2.4957999999999998E-3</v>
      </c>
      <c r="Z8" s="272">
        <v>0</v>
      </c>
      <c r="AA8" s="272">
        <v>2.4957999999999998E-3</v>
      </c>
      <c r="AB8" s="272">
        <v>2.4957999999999998E-3</v>
      </c>
      <c r="AC8" s="272">
        <v>2.4957999999999998E-3</v>
      </c>
      <c r="AD8" s="272">
        <v>0.86560859999999995</v>
      </c>
      <c r="AE8" s="272">
        <v>0.86560859999999995</v>
      </c>
      <c r="AF8" s="272">
        <v>1.1552530000000001</v>
      </c>
      <c r="AG8" s="272">
        <v>1.1552530000000001</v>
      </c>
      <c r="AH8" s="272">
        <v>6.3538899999999995E-2</v>
      </c>
      <c r="AI8" s="272">
        <v>6.3538899999999995E-2</v>
      </c>
      <c r="AJ8" s="154"/>
      <c r="AK8" s="154"/>
      <c r="AL8" s="154"/>
      <c r="AM8" s="154"/>
      <c r="AN8" s="154"/>
      <c r="AO8" s="154"/>
      <c r="AP8" s="154"/>
      <c r="AQ8" s="163"/>
      <c r="AR8" s="163"/>
      <c r="AS8" s="196"/>
      <c r="AT8" s="196"/>
      <c r="AU8" s="196"/>
      <c r="AV8" s="196"/>
      <c r="AW8" s="196"/>
      <c r="AX8" s="196"/>
      <c r="AY8" s="196"/>
      <c r="AZ8" s="196"/>
      <c r="BA8" s="196"/>
      <c r="BB8" s="196"/>
      <c r="BC8" s="196"/>
      <c r="BD8" s="196"/>
      <c r="BE8" s="196"/>
      <c r="BF8" s="196"/>
      <c r="BG8" s="163"/>
      <c r="BH8" s="163"/>
      <c r="BI8" s="163"/>
      <c r="BJ8" s="163"/>
      <c r="BK8" s="163"/>
      <c r="BL8" s="163"/>
      <c r="BM8" s="163"/>
      <c r="BN8" s="163"/>
    </row>
    <row r="9" spans="1:66">
      <c r="A9" s="163">
        <v>10044</v>
      </c>
      <c r="B9" s="163" t="s">
        <v>13</v>
      </c>
      <c r="C9" s="267">
        <v>1</v>
      </c>
      <c r="D9" s="267">
        <v>0</v>
      </c>
      <c r="E9" s="272">
        <v>20.611999999999998</v>
      </c>
      <c r="F9" s="272">
        <v>20.771999999999998</v>
      </c>
      <c r="G9" s="272">
        <v>20.834</v>
      </c>
      <c r="H9" s="272">
        <v>0</v>
      </c>
      <c r="I9" s="272">
        <v>0</v>
      </c>
      <c r="J9" s="272">
        <v>0</v>
      </c>
      <c r="K9" s="272">
        <v>0</v>
      </c>
      <c r="L9" s="272">
        <v>0</v>
      </c>
      <c r="M9" s="272">
        <v>0</v>
      </c>
      <c r="N9" s="272">
        <v>20.635000000000002</v>
      </c>
      <c r="O9" s="272">
        <v>20.731000000000002</v>
      </c>
      <c r="P9" s="272">
        <v>180763</v>
      </c>
      <c r="Q9" s="272">
        <v>181604</v>
      </c>
      <c r="R9" s="272">
        <v>19.983000000000001</v>
      </c>
      <c r="S9" s="272">
        <v>175051</v>
      </c>
      <c r="T9" s="272">
        <v>0.65200000000000002</v>
      </c>
      <c r="U9" s="272">
        <v>0.748</v>
      </c>
      <c r="V9" s="272">
        <v>0</v>
      </c>
      <c r="W9" s="272">
        <v>0</v>
      </c>
      <c r="X9" s="272">
        <v>2.8774E-3</v>
      </c>
      <c r="Y9" s="272">
        <v>2.8774E-3</v>
      </c>
      <c r="Z9" s="272">
        <v>0</v>
      </c>
      <c r="AA9" s="272">
        <v>2.8774E-3</v>
      </c>
      <c r="AB9" s="272">
        <v>2.8774E-3</v>
      </c>
      <c r="AC9" s="272">
        <v>2.8774E-3</v>
      </c>
      <c r="AD9" s="272">
        <v>0.96840800000000005</v>
      </c>
      <c r="AE9" s="272">
        <v>0.96392359999999999</v>
      </c>
      <c r="AF9" s="272">
        <v>1.0326276999999999</v>
      </c>
      <c r="AG9" s="272">
        <v>1.0374318</v>
      </c>
      <c r="AH9" s="272">
        <v>0</v>
      </c>
      <c r="AI9" s="272">
        <v>0</v>
      </c>
      <c r="AJ9" s="154"/>
      <c r="AK9" s="154"/>
      <c r="AL9" s="154"/>
      <c r="AM9" s="154"/>
      <c r="AN9" s="154"/>
      <c r="AO9" s="154"/>
      <c r="AP9" s="154"/>
      <c r="AQ9" s="163"/>
      <c r="AR9" s="163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63"/>
      <c r="BH9" s="163"/>
      <c r="BI9" s="163"/>
      <c r="BJ9" s="163"/>
      <c r="BK9" s="163"/>
      <c r="BL9" s="163"/>
      <c r="BM9" s="163"/>
      <c r="BN9" s="163"/>
    </row>
    <row r="10" spans="1:66">
      <c r="A10" s="163">
        <v>10046</v>
      </c>
      <c r="B10" s="163" t="s">
        <v>14</v>
      </c>
      <c r="C10" s="267">
        <v>0</v>
      </c>
      <c r="D10" s="267">
        <v>1</v>
      </c>
      <c r="E10" s="272">
        <v>83.072000000000003</v>
      </c>
      <c r="F10" s="272">
        <v>92.784999999999997</v>
      </c>
      <c r="G10" s="272">
        <v>94.241</v>
      </c>
      <c r="H10" s="272">
        <v>0</v>
      </c>
      <c r="I10" s="272">
        <v>0</v>
      </c>
      <c r="J10" s="272">
        <v>0</v>
      </c>
      <c r="K10" s="272">
        <v>0</v>
      </c>
      <c r="L10" s="272">
        <v>0</v>
      </c>
      <c r="M10" s="272">
        <v>0</v>
      </c>
      <c r="N10" s="272">
        <v>82.606999999999999</v>
      </c>
      <c r="O10" s="272">
        <v>82.966999999999999</v>
      </c>
      <c r="P10" s="272">
        <v>723637</v>
      </c>
      <c r="Q10" s="272">
        <v>726791</v>
      </c>
      <c r="R10" s="272">
        <v>80.537000000000006</v>
      </c>
      <c r="S10" s="272">
        <v>705504</v>
      </c>
      <c r="T10" s="272">
        <v>2.0699999999999998</v>
      </c>
      <c r="U10" s="272">
        <v>2.4300000000000002</v>
      </c>
      <c r="V10" s="272">
        <v>2.0699999999999998</v>
      </c>
      <c r="W10" s="272">
        <v>2.4300000000000002</v>
      </c>
      <c r="X10" s="272">
        <v>1.15967E-2</v>
      </c>
      <c r="Y10" s="272">
        <v>1.15967E-2</v>
      </c>
      <c r="Z10" s="272">
        <v>0</v>
      </c>
      <c r="AA10" s="272">
        <v>1.15967E-2</v>
      </c>
      <c r="AB10" s="272">
        <v>1.15967E-2</v>
      </c>
      <c r="AC10" s="272">
        <v>1.15967E-2</v>
      </c>
      <c r="AD10" s="272">
        <v>0.97494519999999996</v>
      </c>
      <c r="AE10" s="272">
        <v>0.97071479999999999</v>
      </c>
      <c r="AF10" s="272">
        <v>1.0257025</v>
      </c>
      <c r="AG10" s="272">
        <v>1.0301724999999999</v>
      </c>
      <c r="AH10" s="272">
        <v>7.1799199999999994E-2</v>
      </c>
      <c r="AI10" s="272">
        <v>7.2112099999999998E-2</v>
      </c>
      <c r="AJ10" s="154"/>
      <c r="AK10" s="154"/>
      <c r="AL10" s="154"/>
      <c r="AM10" s="154"/>
      <c r="AN10" s="154"/>
      <c r="AO10" s="154"/>
      <c r="AP10" s="154"/>
      <c r="AQ10" s="163"/>
      <c r="AR10" s="163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63"/>
      <c r="BH10" s="163"/>
      <c r="BI10" s="163"/>
      <c r="BJ10" s="163"/>
      <c r="BK10" s="163"/>
      <c r="BL10" s="163"/>
      <c r="BM10" s="163"/>
      <c r="BN10" s="163"/>
    </row>
    <row r="11" spans="1:66">
      <c r="A11" s="163">
        <v>10047</v>
      </c>
      <c r="B11" s="163" t="s">
        <v>15</v>
      </c>
      <c r="C11" s="267">
        <v>1</v>
      </c>
      <c r="D11" s="267">
        <v>0</v>
      </c>
      <c r="E11" s="272">
        <v>159.01</v>
      </c>
      <c r="F11" s="272">
        <v>153.072</v>
      </c>
      <c r="G11" s="272">
        <v>153.00299999999999</v>
      </c>
      <c r="H11" s="272">
        <v>0</v>
      </c>
      <c r="I11" s="272">
        <v>0</v>
      </c>
      <c r="J11" s="272">
        <v>0</v>
      </c>
      <c r="K11" s="272">
        <v>0</v>
      </c>
      <c r="L11" s="272">
        <v>0</v>
      </c>
      <c r="M11" s="272">
        <v>0</v>
      </c>
      <c r="N11" s="272">
        <v>152.864</v>
      </c>
      <c r="O11" s="272">
        <v>153.239</v>
      </c>
      <c r="P11" s="272">
        <v>1339089</v>
      </c>
      <c r="Q11" s="272">
        <v>1342374</v>
      </c>
      <c r="R11" s="272">
        <v>154.15799999999999</v>
      </c>
      <c r="S11" s="272">
        <v>1350424</v>
      </c>
      <c r="T11" s="272">
        <v>0</v>
      </c>
      <c r="U11" s="272">
        <v>0</v>
      </c>
      <c r="V11" s="272">
        <v>0</v>
      </c>
      <c r="W11" s="272">
        <v>0</v>
      </c>
      <c r="X11" s="272">
        <v>2.2011099999999999E-2</v>
      </c>
      <c r="Y11" s="272">
        <v>2.2065100000000001E-2</v>
      </c>
      <c r="Z11" s="272">
        <v>0</v>
      </c>
      <c r="AA11" s="272">
        <v>2.2011099999999999E-2</v>
      </c>
      <c r="AB11" s="272">
        <v>2.2065100000000001E-2</v>
      </c>
      <c r="AC11" s="272">
        <v>2.2038100000000001E-2</v>
      </c>
      <c r="AD11" s="272">
        <v>0.99999800000000005</v>
      </c>
      <c r="AE11" s="272">
        <v>0.99999819999999995</v>
      </c>
      <c r="AF11" s="272">
        <v>1</v>
      </c>
      <c r="AG11" s="272">
        <v>1</v>
      </c>
      <c r="AH11" s="272">
        <v>0</v>
      </c>
      <c r="AI11" s="272">
        <v>0</v>
      </c>
      <c r="AJ11" s="154"/>
      <c r="AK11" s="154"/>
      <c r="AL11" s="154"/>
      <c r="AM11" s="154"/>
      <c r="AN11" s="154"/>
      <c r="AO11" s="154"/>
      <c r="AP11" s="154"/>
      <c r="AQ11" s="163"/>
      <c r="AR11" s="163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63"/>
      <c r="BH11" s="163"/>
      <c r="BI11" s="163"/>
      <c r="BJ11" s="163"/>
      <c r="BK11" s="163"/>
      <c r="BL11" s="163"/>
      <c r="BM11" s="163"/>
      <c r="BN11" s="163"/>
    </row>
    <row r="12" spans="1:66">
      <c r="A12" s="163">
        <v>10055</v>
      </c>
      <c r="B12" s="163" t="s">
        <v>16</v>
      </c>
      <c r="C12" s="267">
        <v>1</v>
      </c>
      <c r="D12" s="267">
        <v>0</v>
      </c>
      <c r="E12" s="272">
        <v>0.40400000000000003</v>
      </c>
      <c r="F12" s="272">
        <v>0.38700000000000001</v>
      </c>
      <c r="G12" s="272">
        <v>0.38600000000000001</v>
      </c>
      <c r="H12" s="272">
        <v>0</v>
      </c>
      <c r="I12" s="272">
        <v>0</v>
      </c>
      <c r="J12" s="272">
        <v>0</v>
      </c>
      <c r="K12" s="272">
        <v>0</v>
      </c>
      <c r="L12" s="272">
        <v>0</v>
      </c>
      <c r="M12" s="272">
        <v>0</v>
      </c>
      <c r="N12" s="272">
        <v>0.39100000000000001</v>
      </c>
      <c r="O12" s="272">
        <v>0.39200000000000002</v>
      </c>
      <c r="P12" s="272">
        <v>3425</v>
      </c>
      <c r="Q12" s="272">
        <v>3434</v>
      </c>
      <c r="R12" s="272">
        <v>0.39200000000000002</v>
      </c>
      <c r="S12" s="272">
        <v>3434</v>
      </c>
      <c r="T12" s="272">
        <v>0</v>
      </c>
      <c r="U12" s="272">
        <v>0</v>
      </c>
      <c r="V12" s="272">
        <v>0</v>
      </c>
      <c r="W12" s="272">
        <v>0</v>
      </c>
      <c r="X12" s="272">
        <v>5.63E-5</v>
      </c>
      <c r="Y12" s="272">
        <v>5.6400000000000002E-5</v>
      </c>
      <c r="Z12" s="272">
        <v>0</v>
      </c>
      <c r="AA12" s="272">
        <v>5.63E-5</v>
      </c>
      <c r="AB12" s="272">
        <v>5.6400000000000002E-5</v>
      </c>
      <c r="AC12" s="272">
        <v>5.6400000000000002E-5</v>
      </c>
      <c r="AD12" s="272">
        <v>0.99998679999999995</v>
      </c>
      <c r="AE12" s="272">
        <v>0.99920739999999997</v>
      </c>
      <c r="AF12" s="272">
        <v>1</v>
      </c>
      <c r="AG12" s="272">
        <v>1</v>
      </c>
      <c r="AH12" s="272">
        <v>0</v>
      </c>
      <c r="AI12" s="272">
        <v>0</v>
      </c>
      <c r="AJ12" s="154"/>
      <c r="AK12" s="154"/>
      <c r="AL12" s="154"/>
      <c r="AM12" s="154"/>
      <c r="AN12" s="154"/>
      <c r="AO12" s="154"/>
      <c r="AP12" s="154"/>
      <c r="AQ12" s="163"/>
      <c r="AR12" s="163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63"/>
      <c r="BH12" s="163"/>
      <c r="BI12" s="163"/>
      <c r="BJ12" s="163"/>
      <c r="BK12" s="163"/>
      <c r="BL12" s="163"/>
      <c r="BM12" s="163"/>
      <c r="BN12" s="163"/>
    </row>
    <row r="13" spans="1:66">
      <c r="A13" s="163">
        <v>10057</v>
      </c>
      <c r="B13" s="163" t="s">
        <v>17</v>
      </c>
      <c r="C13" s="267">
        <v>1</v>
      </c>
      <c r="D13" s="267">
        <v>0</v>
      </c>
      <c r="E13" s="272">
        <v>21.382999999999999</v>
      </c>
      <c r="F13" s="272">
        <v>20.190000000000001</v>
      </c>
      <c r="G13" s="272">
        <v>20.131</v>
      </c>
      <c r="H13" s="272">
        <v>0</v>
      </c>
      <c r="I13" s="272">
        <v>0</v>
      </c>
      <c r="J13" s="272">
        <v>0.159</v>
      </c>
      <c r="K13" s="272">
        <v>0.158</v>
      </c>
      <c r="L13" s="272">
        <v>1393</v>
      </c>
      <c r="M13" s="272">
        <v>1384</v>
      </c>
      <c r="N13" s="272">
        <v>20.832000000000001</v>
      </c>
      <c r="O13" s="272">
        <v>20.878</v>
      </c>
      <c r="P13" s="272">
        <v>182488</v>
      </c>
      <c r="Q13" s="272">
        <v>182891</v>
      </c>
      <c r="R13" s="272">
        <v>20.731000000000002</v>
      </c>
      <c r="S13" s="272">
        <v>181604</v>
      </c>
      <c r="T13" s="272">
        <v>0.10100000000000001</v>
      </c>
      <c r="U13" s="272">
        <v>0.14699999999999999</v>
      </c>
      <c r="V13" s="272">
        <v>0</v>
      </c>
      <c r="W13" s="272">
        <v>0</v>
      </c>
      <c r="X13" s="272">
        <v>2.9851000000000001E-3</v>
      </c>
      <c r="Y13" s="272">
        <v>2.9851000000000001E-3</v>
      </c>
      <c r="Z13" s="272">
        <v>0</v>
      </c>
      <c r="AA13" s="272">
        <v>2.9851000000000001E-3</v>
      </c>
      <c r="AB13" s="272">
        <v>2.9851000000000001E-3</v>
      </c>
      <c r="AC13" s="272">
        <v>2.9851000000000001E-3</v>
      </c>
      <c r="AD13" s="272">
        <v>0.99519100000000005</v>
      </c>
      <c r="AE13" s="272">
        <v>0.99301479999999998</v>
      </c>
      <c r="AF13" s="272">
        <v>1.0048718999999999</v>
      </c>
      <c r="AG13" s="272">
        <v>1.0070908000000001</v>
      </c>
      <c r="AH13" s="272">
        <v>0</v>
      </c>
      <c r="AI13" s="272">
        <v>0</v>
      </c>
      <c r="AJ13" s="154"/>
      <c r="AK13" s="154"/>
      <c r="AL13" s="154"/>
      <c r="AM13" s="154"/>
      <c r="AN13" s="154"/>
      <c r="AO13" s="154"/>
      <c r="AP13" s="154"/>
      <c r="AQ13" s="163"/>
      <c r="AR13" s="163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96"/>
      <c r="BG13" s="163"/>
      <c r="BH13" s="163"/>
      <c r="BI13" s="163"/>
      <c r="BJ13" s="163"/>
      <c r="BK13" s="163"/>
      <c r="BL13" s="163"/>
      <c r="BM13" s="163"/>
      <c r="BN13" s="163"/>
    </row>
    <row r="14" spans="1:66">
      <c r="A14" s="163">
        <v>10059</v>
      </c>
      <c r="B14" s="163" t="s">
        <v>18</v>
      </c>
      <c r="C14" s="267">
        <v>1</v>
      </c>
      <c r="D14" s="267">
        <v>0</v>
      </c>
      <c r="E14" s="272">
        <v>7.7530000000000001</v>
      </c>
      <c r="F14" s="272">
        <v>7.6210000000000004</v>
      </c>
      <c r="G14" s="272">
        <v>7.63</v>
      </c>
      <c r="H14" s="272">
        <v>0</v>
      </c>
      <c r="I14" s="272">
        <v>0</v>
      </c>
      <c r="J14" s="272">
        <v>0</v>
      </c>
      <c r="K14" s="272">
        <v>0</v>
      </c>
      <c r="L14" s="272">
        <v>0</v>
      </c>
      <c r="M14" s="272">
        <v>0</v>
      </c>
      <c r="N14" s="272">
        <v>7.4660000000000002</v>
      </c>
      <c r="O14" s="272">
        <v>7.484</v>
      </c>
      <c r="P14" s="272">
        <v>65402</v>
      </c>
      <c r="Q14" s="272">
        <v>65560</v>
      </c>
      <c r="R14" s="272">
        <v>7.516</v>
      </c>
      <c r="S14" s="272">
        <v>65840</v>
      </c>
      <c r="T14" s="272">
        <v>0</v>
      </c>
      <c r="U14" s="272">
        <v>0</v>
      </c>
      <c r="V14" s="272">
        <v>0</v>
      </c>
      <c r="W14" s="272">
        <v>0</v>
      </c>
      <c r="X14" s="272">
        <v>1.075E-3</v>
      </c>
      <c r="Y14" s="272">
        <v>1.0776E-3</v>
      </c>
      <c r="Z14" s="272">
        <v>0</v>
      </c>
      <c r="AA14" s="272">
        <v>1.075E-3</v>
      </c>
      <c r="AB14" s="272">
        <v>1.0776E-3</v>
      </c>
      <c r="AC14" s="272">
        <v>1.0763000000000001E-3</v>
      </c>
      <c r="AD14" s="272">
        <v>0.99996110000000005</v>
      </c>
      <c r="AE14" s="272">
        <v>0.99996870000000004</v>
      </c>
      <c r="AF14" s="272">
        <v>1</v>
      </c>
      <c r="AG14" s="272">
        <v>1</v>
      </c>
      <c r="AH14" s="272">
        <v>0</v>
      </c>
      <c r="AI14" s="272">
        <v>0</v>
      </c>
      <c r="AJ14" s="154"/>
      <c r="AK14" s="154"/>
      <c r="AL14" s="154"/>
      <c r="AM14" s="154"/>
      <c r="AN14" s="154"/>
      <c r="AO14" s="154"/>
      <c r="AP14" s="154"/>
      <c r="AQ14" s="163"/>
      <c r="AR14" s="163"/>
      <c r="AS14" s="196"/>
      <c r="AT14" s="196"/>
      <c r="AU14" s="196"/>
      <c r="AV14" s="196"/>
      <c r="AW14" s="196"/>
      <c r="AX14" s="196"/>
      <c r="AY14" s="196"/>
      <c r="AZ14" s="196"/>
      <c r="BA14" s="196"/>
      <c r="BB14" s="196"/>
      <c r="BC14" s="196"/>
      <c r="BD14" s="196"/>
      <c r="BE14" s="196"/>
      <c r="BF14" s="196"/>
      <c r="BG14" s="163"/>
      <c r="BH14" s="163"/>
      <c r="BI14" s="163"/>
      <c r="BJ14" s="163"/>
      <c r="BK14" s="163"/>
      <c r="BL14" s="163"/>
      <c r="BM14" s="163"/>
      <c r="BN14" s="163"/>
    </row>
    <row r="15" spans="1:66">
      <c r="A15" s="163">
        <v>10061</v>
      </c>
      <c r="B15" s="163" t="s">
        <v>19</v>
      </c>
      <c r="C15" s="267">
        <v>1</v>
      </c>
      <c r="D15" s="267">
        <v>0</v>
      </c>
      <c r="E15" s="272">
        <v>8.8770000000000007</v>
      </c>
      <c r="F15" s="272">
        <v>9.4789999999999992</v>
      </c>
      <c r="G15" s="272">
        <v>9.4550000000000001</v>
      </c>
      <c r="H15" s="272">
        <v>0</v>
      </c>
      <c r="I15" s="272">
        <v>0</v>
      </c>
      <c r="J15" s="272">
        <v>0</v>
      </c>
      <c r="K15" s="272">
        <v>0</v>
      </c>
      <c r="L15" s="272">
        <v>0</v>
      </c>
      <c r="M15" s="272">
        <v>0</v>
      </c>
      <c r="N15" s="272">
        <v>8.9339999999999993</v>
      </c>
      <c r="O15" s="272">
        <v>8.9390000000000001</v>
      </c>
      <c r="P15" s="272">
        <v>78262</v>
      </c>
      <c r="Q15" s="272">
        <v>78306</v>
      </c>
      <c r="R15" s="272">
        <v>8.6059999999999999</v>
      </c>
      <c r="S15" s="272">
        <v>75389</v>
      </c>
      <c r="T15" s="272">
        <v>0.32800000000000001</v>
      </c>
      <c r="U15" s="272">
        <v>0.33300000000000002</v>
      </c>
      <c r="V15" s="272">
        <v>0</v>
      </c>
      <c r="W15" s="272">
        <v>0</v>
      </c>
      <c r="X15" s="272">
        <v>1.2392E-3</v>
      </c>
      <c r="Y15" s="272">
        <v>1.2392E-3</v>
      </c>
      <c r="Z15" s="272">
        <v>0</v>
      </c>
      <c r="AA15" s="272">
        <v>1.2392E-3</v>
      </c>
      <c r="AB15" s="272">
        <v>1.2392E-3</v>
      </c>
      <c r="AC15" s="272">
        <v>1.2392E-3</v>
      </c>
      <c r="AD15" s="272">
        <v>0.96329229999999999</v>
      </c>
      <c r="AE15" s="272">
        <v>0.96275350000000004</v>
      </c>
      <c r="AF15" s="272">
        <v>1.0381129</v>
      </c>
      <c r="AG15" s="272">
        <v>1.0386938999999999</v>
      </c>
      <c r="AH15" s="272">
        <v>0</v>
      </c>
      <c r="AI15" s="272">
        <v>0</v>
      </c>
      <c r="AJ15" s="154"/>
      <c r="AK15" s="154"/>
      <c r="AL15" s="154"/>
      <c r="AM15" s="154"/>
      <c r="AN15" s="154"/>
      <c r="AO15" s="154"/>
      <c r="AP15" s="154"/>
      <c r="AQ15" s="163"/>
      <c r="AR15" s="163"/>
      <c r="AS15" s="196"/>
      <c r="AT15" s="196"/>
      <c r="AU15" s="196"/>
      <c r="AV15" s="196"/>
      <c r="AW15" s="196"/>
      <c r="AX15" s="196"/>
      <c r="AY15" s="196"/>
      <c r="AZ15" s="196"/>
      <c r="BA15" s="196"/>
      <c r="BB15" s="196"/>
      <c r="BC15" s="196"/>
      <c r="BD15" s="196"/>
      <c r="BE15" s="196"/>
      <c r="BF15" s="196"/>
      <c r="BG15" s="163"/>
      <c r="BH15" s="163"/>
      <c r="BI15" s="163"/>
      <c r="BJ15" s="163"/>
      <c r="BK15" s="163"/>
      <c r="BL15" s="163"/>
      <c r="BM15" s="163"/>
      <c r="BN15" s="163"/>
    </row>
    <row r="16" spans="1:66">
      <c r="A16" s="163">
        <v>10062</v>
      </c>
      <c r="B16" s="163" t="s">
        <v>20</v>
      </c>
      <c r="C16" s="267">
        <v>1</v>
      </c>
      <c r="D16" s="267">
        <v>0</v>
      </c>
      <c r="E16" s="272">
        <v>5.399</v>
      </c>
      <c r="F16" s="272">
        <v>8.9179999999999993</v>
      </c>
      <c r="G16" s="272">
        <v>8.9849999999999994</v>
      </c>
      <c r="H16" s="272">
        <v>0</v>
      </c>
      <c r="I16" s="272">
        <v>0</v>
      </c>
      <c r="J16" s="272">
        <v>1.883</v>
      </c>
      <c r="K16" s="272">
        <v>1.881</v>
      </c>
      <c r="L16" s="272">
        <v>16495</v>
      </c>
      <c r="M16" s="272">
        <v>16478</v>
      </c>
      <c r="N16" s="272">
        <v>6.3639999999999999</v>
      </c>
      <c r="O16" s="272">
        <v>6.3970000000000002</v>
      </c>
      <c r="P16" s="272">
        <v>55749</v>
      </c>
      <c r="Q16" s="272">
        <v>56038</v>
      </c>
      <c r="R16" s="272">
        <v>5.234</v>
      </c>
      <c r="S16" s="272">
        <v>45850</v>
      </c>
      <c r="T16" s="272">
        <v>1.1299999999999999</v>
      </c>
      <c r="U16" s="272">
        <v>1.163</v>
      </c>
      <c r="V16" s="272">
        <v>1.1299999999999999</v>
      </c>
      <c r="W16" s="272">
        <v>1.163</v>
      </c>
      <c r="X16" s="272">
        <v>7.5370000000000005E-4</v>
      </c>
      <c r="Y16" s="272">
        <v>7.5370000000000005E-4</v>
      </c>
      <c r="Z16" s="272">
        <v>0</v>
      </c>
      <c r="AA16" s="272">
        <v>7.5370000000000005E-4</v>
      </c>
      <c r="AB16" s="272">
        <v>7.5370000000000005E-4</v>
      </c>
      <c r="AC16" s="272">
        <v>7.5370000000000005E-4</v>
      </c>
      <c r="AD16" s="272">
        <v>0.86298730000000001</v>
      </c>
      <c r="AE16" s="272">
        <v>0.85954699999999995</v>
      </c>
      <c r="AF16" s="272">
        <v>1.2158960999999999</v>
      </c>
      <c r="AG16" s="272">
        <v>1.2222010000000001</v>
      </c>
      <c r="AH16" s="272">
        <v>0</v>
      </c>
      <c r="AI16" s="272">
        <v>0</v>
      </c>
      <c r="AJ16" s="154"/>
      <c r="AK16" s="154"/>
      <c r="AL16" s="154"/>
      <c r="AM16" s="154"/>
      <c r="AN16" s="154"/>
      <c r="AO16" s="154"/>
      <c r="AP16" s="154"/>
      <c r="AQ16" s="163"/>
      <c r="AR16" s="163"/>
      <c r="AS16" s="196"/>
      <c r="AT16" s="196"/>
      <c r="AU16" s="196"/>
      <c r="AV16" s="196"/>
      <c r="AW16" s="196"/>
      <c r="AX16" s="196"/>
      <c r="AY16" s="196"/>
      <c r="AZ16" s="196"/>
      <c r="BA16" s="196"/>
      <c r="BB16" s="196"/>
      <c r="BC16" s="196"/>
      <c r="BD16" s="196"/>
      <c r="BE16" s="196"/>
      <c r="BF16" s="196"/>
      <c r="BG16" s="163"/>
      <c r="BH16" s="163"/>
      <c r="BI16" s="163"/>
      <c r="BJ16" s="163"/>
      <c r="BK16" s="163"/>
      <c r="BL16" s="163"/>
      <c r="BM16" s="163"/>
      <c r="BN16" s="163"/>
    </row>
    <row r="17" spans="1:66">
      <c r="A17" s="163">
        <v>10064</v>
      </c>
      <c r="B17" s="163" t="s">
        <v>21</v>
      </c>
      <c r="C17" s="267">
        <v>1</v>
      </c>
      <c r="D17" s="267">
        <v>0</v>
      </c>
      <c r="E17" s="272">
        <v>14.273999999999999</v>
      </c>
      <c r="F17" s="272">
        <v>13.728</v>
      </c>
      <c r="G17" s="272">
        <v>13.712</v>
      </c>
      <c r="H17" s="272">
        <v>0</v>
      </c>
      <c r="I17" s="272">
        <v>0</v>
      </c>
      <c r="J17" s="272">
        <v>0</v>
      </c>
      <c r="K17" s="272">
        <v>0</v>
      </c>
      <c r="L17" s="272">
        <v>0</v>
      </c>
      <c r="M17" s="272">
        <v>0</v>
      </c>
      <c r="N17" s="272">
        <v>13.843999999999999</v>
      </c>
      <c r="O17" s="272">
        <v>13.872</v>
      </c>
      <c r="P17" s="272">
        <v>121273</v>
      </c>
      <c r="Q17" s="272">
        <v>121519</v>
      </c>
      <c r="R17" s="272">
        <v>13.837999999999999</v>
      </c>
      <c r="S17" s="272">
        <v>121221</v>
      </c>
      <c r="T17" s="272">
        <v>6.0000000000000001E-3</v>
      </c>
      <c r="U17" s="272">
        <v>3.4000000000000002E-2</v>
      </c>
      <c r="V17" s="272">
        <v>6.0000000000000001E-3</v>
      </c>
      <c r="W17" s="272">
        <v>3.4000000000000002E-2</v>
      </c>
      <c r="X17" s="272">
        <v>1.9926000000000002E-3</v>
      </c>
      <c r="Y17" s="272">
        <v>1.9926000000000002E-3</v>
      </c>
      <c r="Z17" s="272">
        <v>0</v>
      </c>
      <c r="AA17" s="272">
        <v>1.9926000000000002E-3</v>
      </c>
      <c r="AB17" s="272">
        <v>1.9926000000000002E-3</v>
      </c>
      <c r="AC17" s="272">
        <v>1.9926000000000002E-3</v>
      </c>
      <c r="AD17" s="272">
        <v>0.99958829999999999</v>
      </c>
      <c r="AE17" s="272">
        <v>0.99757070000000003</v>
      </c>
      <c r="AF17" s="272">
        <v>1.0004336</v>
      </c>
      <c r="AG17" s="272">
        <v>1.0024569999999999</v>
      </c>
      <c r="AH17" s="272">
        <v>0</v>
      </c>
      <c r="AI17" s="272">
        <v>0</v>
      </c>
      <c r="AJ17" s="154"/>
      <c r="AK17" s="154"/>
      <c r="AL17" s="154"/>
      <c r="AM17" s="154"/>
      <c r="AN17" s="154"/>
      <c r="AO17" s="154"/>
      <c r="AP17" s="154"/>
      <c r="AQ17" s="163"/>
      <c r="AR17" s="163"/>
      <c r="AS17" s="196"/>
      <c r="AT17" s="196"/>
      <c r="AU17" s="196"/>
      <c r="AV17" s="196"/>
      <c r="AW17" s="196"/>
      <c r="AX17" s="196"/>
      <c r="AY17" s="196"/>
      <c r="AZ17" s="196"/>
      <c r="BA17" s="196"/>
      <c r="BB17" s="196"/>
      <c r="BC17" s="196"/>
      <c r="BD17" s="196"/>
      <c r="BE17" s="196"/>
      <c r="BF17" s="196"/>
      <c r="BG17" s="163"/>
      <c r="BH17" s="163"/>
      <c r="BI17" s="163"/>
      <c r="BJ17" s="163"/>
      <c r="BK17" s="163"/>
      <c r="BL17" s="163"/>
      <c r="BM17" s="163"/>
      <c r="BN17" s="163"/>
    </row>
    <row r="18" spans="1:66">
      <c r="A18" s="163">
        <v>10065</v>
      </c>
      <c r="B18" s="163" t="s">
        <v>22</v>
      </c>
      <c r="C18" s="267">
        <v>1</v>
      </c>
      <c r="D18" s="267">
        <v>0</v>
      </c>
      <c r="E18" s="272">
        <v>2.4129999999999998</v>
      </c>
      <c r="F18" s="272">
        <v>3.0979999999999999</v>
      </c>
      <c r="G18" s="272">
        <v>3.1469999999999998</v>
      </c>
      <c r="H18" s="272">
        <v>0</v>
      </c>
      <c r="I18" s="272">
        <v>0</v>
      </c>
      <c r="J18" s="272">
        <v>0</v>
      </c>
      <c r="K18" s="272">
        <v>0</v>
      </c>
      <c r="L18" s="272">
        <v>0</v>
      </c>
      <c r="M18" s="272">
        <v>0</v>
      </c>
      <c r="N18" s="272">
        <v>2.5739999999999998</v>
      </c>
      <c r="O18" s="272">
        <v>2.5739999999999998</v>
      </c>
      <c r="P18" s="272">
        <v>22548</v>
      </c>
      <c r="Q18" s="272">
        <v>22548</v>
      </c>
      <c r="R18" s="272">
        <v>2.339</v>
      </c>
      <c r="S18" s="272">
        <v>20490</v>
      </c>
      <c r="T18" s="272">
        <v>0.23499999999999999</v>
      </c>
      <c r="U18" s="272">
        <v>0.23499999999999999</v>
      </c>
      <c r="V18" s="272">
        <v>0</v>
      </c>
      <c r="W18" s="272">
        <v>0</v>
      </c>
      <c r="X18" s="272">
        <v>3.368E-4</v>
      </c>
      <c r="Y18" s="272">
        <v>3.368E-4</v>
      </c>
      <c r="Z18" s="272">
        <v>0</v>
      </c>
      <c r="AA18" s="272">
        <v>3.368E-4</v>
      </c>
      <c r="AB18" s="272">
        <v>3.368E-4</v>
      </c>
      <c r="AC18" s="272">
        <v>3.368E-4</v>
      </c>
      <c r="AD18" s="272">
        <v>0.90871179999999996</v>
      </c>
      <c r="AE18" s="272">
        <v>0.90871179999999996</v>
      </c>
      <c r="AF18" s="272">
        <v>1.1004703</v>
      </c>
      <c r="AG18" s="272">
        <v>1.1004703</v>
      </c>
      <c r="AH18" s="272">
        <v>6.0525900000000001E-2</v>
      </c>
      <c r="AI18" s="272">
        <v>6.0525900000000001E-2</v>
      </c>
      <c r="AJ18" s="154"/>
      <c r="AK18" s="154"/>
      <c r="AL18" s="154"/>
      <c r="AM18" s="154"/>
      <c r="AN18" s="154"/>
      <c r="AO18" s="154"/>
      <c r="AP18" s="154"/>
      <c r="AQ18" s="163"/>
      <c r="AR18" s="163"/>
      <c r="AS18" s="196"/>
      <c r="AT18" s="196"/>
      <c r="AU18" s="196"/>
      <c r="AV18" s="196"/>
      <c r="AW18" s="196"/>
      <c r="AX18" s="196"/>
      <c r="AY18" s="196"/>
      <c r="AZ18" s="196"/>
      <c r="BA18" s="196"/>
      <c r="BB18" s="196"/>
      <c r="BC18" s="196"/>
      <c r="BD18" s="196"/>
      <c r="BE18" s="196"/>
      <c r="BF18" s="196"/>
      <c r="BG18" s="163"/>
      <c r="BH18" s="163"/>
      <c r="BI18" s="163"/>
      <c r="BJ18" s="163"/>
      <c r="BK18" s="163"/>
      <c r="BL18" s="163"/>
      <c r="BM18" s="163"/>
      <c r="BN18" s="163"/>
    </row>
    <row r="19" spans="1:66">
      <c r="A19" s="163">
        <v>10066</v>
      </c>
      <c r="B19" s="163" t="s">
        <v>23</v>
      </c>
      <c r="C19" s="267">
        <v>1</v>
      </c>
      <c r="D19" s="267">
        <v>0</v>
      </c>
      <c r="E19" s="272">
        <v>24.734999999999999</v>
      </c>
      <c r="F19" s="272">
        <v>35.146000000000001</v>
      </c>
      <c r="G19" s="272">
        <v>36.161999999999999</v>
      </c>
      <c r="H19" s="272">
        <v>0</v>
      </c>
      <c r="I19" s="272">
        <v>0</v>
      </c>
      <c r="J19" s="272">
        <v>7.1289999999999996</v>
      </c>
      <c r="K19" s="272">
        <v>7.1139999999999999</v>
      </c>
      <c r="L19" s="272">
        <v>62450</v>
      </c>
      <c r="M19" s="272">
        <v>62319</v>
      </c>
      <c r="N19" s="272">
        <v>25.42</v>
      </c>
      <c r="O19" s="272">
        <v>23.885999999999999</v>
      </c>
      <c r="P19" s="272">
        <v>222679</v>
      </c>
      <c r="Q19" s="272">
        <v>209241</v>
      </c>
      <c r="R19" s="272">
        <v>23.98</v>
      </c>
      <c r="S19" s="272">
        <v>210065</v>
      </c>
      <c r="T19" s="272">
        <v>1.44</v>
      </c>
      <c r="U19" s="272">
        <v>0</v>
      </c>
      <c r="V19" s="272">
        <v>1.44</v>
      </c>
      <c r="W19" s="272">
        <v>0</v>
      </c>
      <c r="X19" s="272">
        <v>3.4529000000000001E-3</v>
      </c>
      <c r="Y19" s="272">
        <v>3.4394E-3</v>
      </c>
      <c r="Z19" s="272">
        <v>0</v>
      </c>
      <c r="AA19" s="272">
        <v>3.4529000000000001E-3</v>
      </c>
      <c r="AB19" s="272">
        <v>3.4394E-3</v>
      </c>
      <c r="AC19" s="272">
        <v>3.4462E-3</v>
      </c>
      <c r="AD19" s="272">
        <v>0.95573430000000004</v>
      </c>
      <c r="AE19" s="272">
        <v>1</v>
      </c>
      <c r="AF19" s="272">
        <v>1.0600499999999999</v>
      </c>
      <c r="AG19" s="272">
        <v>1</v>
      </c>
      <c r="AH19" s="272">
        <v>0</v>
      </c>
      <c r="AI19" s="272">
        <v>0</v>
      </c>
      <c r="AJ19" s="154"/>
      <c r="AK19" s="154"/>
      <c r="AL19" s="154"/>
      <c r="AM19" s="154"/>
      <c r="AN19" s="154"/>
      <c r="AO19" s="154"/>
      <c r="AP19" s="154"/>
      <c r="AQ19" s="163"/>
      <c r="AR19" s="163"/>
      <c r="AS19" s="196"/>
      <c r="AT19" s="196"/>
      <c r="AU19" s="196"/>
      <c r="AV19" s="196"/>
      <c r="AW19" s="196"/>
      <c r="AX19" s="196"/>
      <c r="AY19" s="196"/>
      <c r="AZ19" s="196"/>
      <c r="BA19" s="196"/>
      <c r="BB19" s="196"/>
      <c r="BC19" s="196"/>
      <c r="BD19" s="196"/>
      <c r="BE19" s="196"/>
      <c r="BF19" s="196"/>
      <c r="BG19" s="163"/>
      <c r="BH19" s="163"/>
      <c r="BI19" s="163"/>
      <c r="BJ19" s="163"/>
      <c r="BK19" s="163"/>
      <c r="BL19" s="163"/>
      <c r="BM19" s="163"/>
      <c r="BN19" s="163"/>
    </row>
    <row r="20" spans="1:66">
      <c r="A20" s="163">
        <v>10067</v>
      </c>
      <c r="B20" s="163" t="s">
        <v>24</v>
      </c>
      <c r="C20" s="267">
        <v>1</v>
      </c>
      <c r="D20" s="267">
        <v>0</v>
      </c>
      <c r="E20" s="272">
        <v>16.053000000000001</v>
      </c>
      <c r="F20" s="272">
        <v>16.489000000000001</v>
      </c>
      <c r="G20" s="272">
        <v>16.632999999999999</v>
      </c>
      <c r="H20" s="272">
        <v>0</v>
      </c>
      <c r="I20" s="272">
        <v>0</v>
      </c>
      <c r="J20" s="272">
        <v>0</v>
      </c>
      <c r="K20" s="272">
        <v>0</v>
      </c>
      <c r="L20" s="272">
        <v>0</v>
      </c>
      <c r="M20" s="272">
        <v>0</v>
      </c>
      <c r="N20" s="272">
        <v>17.484000000000002</v>
      </c>
      <c r="O20" s="272">
        <v>17.702999999999999</v>
      </c>
      <c r="P20" s="272">
        <v>153160</v>
      </c>
      <c r="Q20" s="272">
        <v>155078</v>
      </c>
      <c r="R20" s="272">
        <v>15.563000000000001</v>
      </c>
      <c r="S20" s="272">
        <v>136332</v>
      </c>
      <c r="T20" s="272">
        <v>1.921</v>
      </c>
      <c r="U20" s="272">
        <v>2.14</v>
      </c>
      <c r="V20" s="272">
        <v>1.921</v>
      </c>
      <c r="W20" s="272">
        <v>2.14</v>
      </c>
      <c r="X20" s="272">
        <v>2.2409000000000001E-3</v>
      </c>
      <c r="Y20" s="272">
        <v>2.2409000000000001E-3</v>
      </c>
      <c r="Z20" s="272">
        <v>0</v>
      </c>
      <c r="AA20" s="272">
        <v>2.2409000000000001E-3</v>
      </c>
      <c r="AB20" s="272">
        <v>2.2409000000000001E-3</v>
      </c>
      <c r="AC20" s="272">
        <v>2.2409000000000001E-3</v>
      </c>
      <c r="AD20" s="272">
        <v>0.89011130000000005</v>
      </c>
      <c r="AE20" s="272">
        <v>0.87909990000000005</v>
      </c>
      <c r="AF20" s="272">
        <v>1.1234337999999999</v>
      </c>
      <c r="AG20" s="272">
        <v>1.1375055999999999</v>
      </c>
      <c r="AH20" s="272">
        <v>0</v>
      </c>
      <c r="AI20" s="272">
        <v>0</v>
      </c>
      <c r="AJ20" s="154"/>
      <c r="AK20" s="154"/>
      <c r="AL20" s="154"/>
      <c r="AM20" s="154"/>
      <c r="AN20" s="154"/>
      <c r="AO20" s="154"/>
      <c r="AP20" s="154"/>
      <c r="AQ20" s="163"/>
      <c r="AR20" s="163"/>
      <c r="AS20" s="196"/>
      <c r="AT20" s="196"/>
      <c r="AU20" s="196"/>
      <c r="AV20" s="196"/>
      <c r="AW20" s="196"/>
      <c r="AX20" s="196"/>
      <c r="AY20" s="196"/>
      <c r="AZ20" s="196"/>
      <c r="BA20" s="196"/>
      <c r="BB20" s="196"/>
      <c r="BC20" s="196"/>
      <c r="BD20" s="196"/>
      <c r="BE20" s="196"/>
      <c r="BF20" s="196"/>
      <c r="BG20" s="163"/>
      <c r="BH20" s="163"/>
      <c r="BI20" s="163"/>
      <c r="BJ20" s="163"/>
      <c r="BK20" s="163"/>
      <c r="BL20" s="163"/>
      <c r="BM20" s="163"/>
      <c r="BN20" s="163"/>
    </row>
    <row r="21" spans="1:66">
      <c r="A21" s="163">
        <v>10068</v>
      </c>
      <c r="B21" s="163" t="s">
        <v>25</v>
      </c>
      <c r="C21" s="267">
        <v>1</v>
      </c>
      <c r="D21" s="267">
        <v>0</v>
      </c>
      <c r="E21" s="272">
        <v>2.8109999999999999</v>
      </c>
      <c r="F21" s="272">
        <v>2.5880000000000001</v>
      </c>
      <c r="G21" s="272">
        <v>2.5840000000000001</v>
      </c>
      <c r="H21" s="272">
        <v>0</v>
      </c>
      <c r="I21" s="272">
        <v>0</v>
      </c>
      <c r="J21" s="272">
        <v>0</v>
      </c>
      <c r="K21" s="272">
        <v>0</v>
      </c>
      <c r="L21" s="272">
        <v>0</v>
      </c>
      <c r="M21" s="272">
        <v>0</v>
      </c>
      <c r="N21" s="272">
        <v>2.6349999999999998</v>
      </c>
      <c r="O21" s="272">
        <v>2.641</v>
      </c>
      <c r="P21" s="272">
        <v>23083</v>
      </c>
      <c r="Q21" s="272">
        <v>23135</v>
      </c>
      <c r="R21" s="272">
        <v>2.7250000000000001</v>
      </c>
      <c r="S21" s="272">
        <v>23871</v>
      </c>
      <c r="T21" s="272">
        <v>0</v>
      </c>
      <c r="U21" s="272">
        <v>0</v>
      </c>
      <c r="V21" s="272">
        <v>0</v>
      </c>
      <c r="W21" s="272">
        <v>0</v>
      </c>
      <c r="X21" s="272">
        <v>3.7940000000000001E-4</v>
      </c>
      <c r="Y21" s="272">
        <v>3.8029999999999997E-4</v>
      </c>
      <c r="Z21" s="272">
        <v>0</v>
      </c>
      <c r="AA21" s="272">
        <v>3.7940000000000001E-4</v>
      </c>
      <c r="AB21" s="272">
        <v>3.8029999999999997E-4</v>
      </c>
      <c r="AC21" s="272">
        <v>3.7990000000000002E-4</v>
      </c>
      <c r="AD21" s="272">
        <v>0.99995239999999996</v>
      </c>
      <c r="AE21" s="272">
        <v>1</v>
      </c>
      <c r="AF21" s="272">
        <v>1</v>
      </c>
      <c r="AG21" s="272">
        <v>1</v>
      </c>
      <c r="AH21" s="272">
        <v>0</v>
      </c>
      <c r="AI21" s="272">
        <v>0</v>
      </c>
      <c r="AJ21" s="154"/>
      <c r="AK21" s="154"/>
      <c r="AL21" s="154"/>
      <c r="AM21" s="154"/>
      <c r="AN21" s="154"/>
      <c r="AO21" s="154"/>
      <c r="AP21" s="154"/>
      <c r="AQ21" s="163"/>
      <c r="AR21" s="163"/>
      <c r="AS21" s="196"/>
      <c r="AT21" s="196"/>
      <c r="AU21" s="196"/>
      <c r="AV21" s="196"/>
      <c r="AW21" s="196"/>
      <c r="AX21" s="196"/>
      <c r="AY21" s="196"/>
      <c r="AZ21" s="196"/>
      <c r="BA21" s="196"/>
      <c r="BB21" s="196"/>
      <c r="BC21" s="196"/>
      <c r="BD21" s="196"/>
      <c r="BE21" s="196"/>
      <c r="BF21" s="196"/>
      <c r="BG21" s="163"/>
      <c r="BH21" s="163"/>
      <c r="BI21" s="163"/>
      <c r="BJ21" s="163"/>
      <c r="BK21" s="163"/>
      <c r="BL21" s="163"/>
      <c r="BM21" s="163"/>
      <c r="BN21" s="163"/>
    </row>
    <row r="22" spans="1:66">
      <c r="A22" s="163">
        <v>10070</v>
      </c>
      <c r="B22" s="163" t="s">
        <v>26</v>
      </c>
      <c r="C22" s="267">
        <v>1</v>
      </c>
      <c r="D22" s="267">
        <v>0</v>
      </c>
      <c r="E22" s="272">
        <v>0.36399999999999999</v>
      </c>
      <c r="F22" s="272">
        <v>0.377</v>
      </c>
      <c r="G22" s="272">
        <v>0.377</v>
      </c>
      <c r="H22" s="272">
        <v>0</v>
      </c>
      <c r="I22" s="272">
        <v>0</v>
      </c>
      <c r="J22" s="272">
        <v>0</v>
      </c>
      <c r="K22" s="272">
        <v>0</v>
      </c>
      <c r="L22" s="272">
        <v>0</v>
      </c>
      <c r="M22" s="272">
        <v>0</v>
      </c>
      <c r="N22" s="272">
        <v>0.38700000000000001</v>
      </c>
      <c r="O22" s="272">
        <v>0.38700000000000001</v>
      </c>
      <c r="P22" s="272">
        <v>3390</v>
      </c>
      <c r="Q22" s="272">
        <v>3390</v>
      </c>
      <c r="R22" s="272">
        <v>0.35299999999999998</v>
      </c>
      <c r="S22" s="272">
        <v>3092</v>
      </c>
      <c r="T22" s="272">
        <v>3.4000000000000002E-2</v>
      </c>
      <c r="U22" s="272">
        <v>3.4000000000000002E-2</v>
      </c>
      <c r="V22" s="272">
        <v>0</v>
      </c>
      <c r="W22" s="272">
        <v>0</v>
      </c>
      <c r="X22" s="272">
        <v>5.0800000000000002E-5</v>
      </c>
      <c r="Y22" s="272">
        <v>5.0800000000000002E-5</v>
      </c>
      <c r="Z22" s="272">
        <v>0</v>
      </c>
      <c r="AA22" s="272">
        <v>5.0800000000000002E-5</v>
      </c>
      <c r="AB22" s="272">
        <v>5.0800000000000002E-5</v>
      </c>
      <c r="AC22" s="272">
        <v>5.0800000000000002E-5</v>
      </c>
      <c r="AD22" s="272">
        <v>0.91162319999999997</v>
      </c>
      <c r="AE22" s="272">
        <v>0.91162319999999997</v>
      </c>
      <c r="AF22" s="272">
        <v>1.0963172999999999</v>
      </c>
      <c r="AG22" s="272">
        <v>1.0963172999999999</v>
      </c>
      <c r="AH22" s="272">
        <v>0</v>
      </c>
      <c r="AI22" s="272">
        <v>0</v>
      </c>
      <c r="AJ22" s="154"/>
      <c r="AK22" s="154"/>
      <c r="AL22" s="154"/>
      <c r="AM22" s="154"/>
      <c r="AN22" s="154"/>
      <c r="AO22" s="154"/>
      <c r="AP22" s="154"/>
      <c r="AQ22" s="163"/>
      <c r="AR22" s="163"/>
      <c r="AS22" s="196"/>
      <c r="AT22" s="196"/>
      <c r="AU22" s="196"/>
      <c r="AV22" s="196"/>
      <c r="AW22" s="196"/>
      <c r="AX22" s="196"/>
      <c r="AY22" s="196"/>
      <c r="AZ22" s="196"/>
      <c r="BA22" s="196"/>
      <c r="BB22" s="196"/>
      <c r="BC22" s="196"/>
      <c r="BD22" s="196"/>
      <c r="BE22" s="196"/>
      <c r="BF22" s="196"/>
      <c r="BG22" s="163"/>
      <c r="BH22" s="163"/>
      <c r="BI22" s="163"/>
      <c r="BJ22" s="163"/>
      <c r="BK22" s="163"/>
      <c r="BL22" s="163"/>
      <c r="BM22" s="163"/>
      <c r="BN22" s="163"/>
    </row>
    <row r="23" spans="1:66">
      <c r="A23" s="163">
        <v>10071</v>
      </c>
      <c r="B23" s="163" t="s">
        <v>27</v>
      </c>
      <c r="C23" s="267">
        <v>1</v>
      </c>
      <c r="D23" s="267">
        <v>0</v>
      </c>
      <c r="E23" s="272">
        <v>1.9430000000000001</v>
      </c>
      <c r="F23" s="272">
        <v>1.885</v>
      </c>
      <c r="G23" s="272">
        <v>1.8779999999999999</v>
      </c>
      <c r="H23" s="272">
        <v>0</v>
      </c>
      <c r="I23" s="272">
        <v>0</v>
      </c>
      <c r="J23" s="272">
        <v>0</v>
      </c>
      <c r="K23" s="272">
        <v>0</v>
      </c>
      <c r="L23" s="272">
        <v>0</v>
      </c>
      <c r="M23" s="272">
        <v>0</v>
      </c>
      <c r="N23" s="272">
        <v>1.867</v>
      </c>
      <c r="O23" s="272">
        <v>1.8720000000000001</v>
      </c>
      <c r="P23" s="272">
        <v>16355</v>
      </c>
      <c r="Q23" s="272">
        <v>16399</v>
      </c>
      <c r="R23" s="272">
        <v>1.8839999999999999</v>
      </c>
      <c r="S23" s="272">
        <v>16504</v>
      </c>
      <c r="T23" s="272">
        <v>0</v>
      </c>
      <c r="U23" s="272">
        <v>0</v>
      </c>
      <c r="V23" s="272">
        <v>0</v>
      </c>
      <c r="W23" s="272">
        <v>0</v>
      </c>
      <c r="X23" s="272">
        <v>2.6879999999999997E-4</v>
      </c>
      <c r="Y23" s="272">
        <v>2.6959999999999999E-4</v>
      </c>
      <c r="Z23" s="272">
        <v>0</v>
      </c>
      <c r="AA23" s="272">
        <v>2.6879999999999997E-4</v>
      </c>
      <c r="AB23" s="272">
        <v>2.6959999999999999E-4</v>
      </c>
      <c r="AC23" s="272">
        <v>2.6919999999999998E-4</v>
      </c>
      <c r="AD23" s="272">
        <v>0.99987930000000003</v>
      </c>
      <c r="AE23" s="272">
        <v>1</v>
      </c>
      <c r="AF23" s="272">
        <v>1</v>
      </c>
      <c r="AG23" s="272">
        <v>1</v>
      </c>
      <c r="AH23" s="272">
        <v>0</v>
      </c>
      <c r="AI23" s="272">
        <v>0</v>
      </c>
      <c r="AJ23" s="154"/>
      <c r="AK23" s="154"/>
      <c r="AL23" s="154"/>
      <c r="AM23" s="154"/>
      <c r="AN23" s="154"/>
      <c r="AO23" s="154"/>
      <c r="AP23" s="154"/>
      <c r="AQ23" s="163"/>
      <c r="AR23" s="163"/>
      <c r="AS23" s="196"/>
      <c r="AT23" s="196"/>
      <c r="AU23" s="196"/>
      <c r="AV23" s="196"/>
      <c r="AW23" s="196"/>
      <c r="AX23" s="196"/>
      <c r="AY23" s="196"/>
      <c r="AZ23" s="196"/>
      <c r="BA23" s="196"/>
      <c r="BB23" s="196"/>
      <c r="BC23" s="196"/>
      <c r="BD23" s="196"/>
      <c r="BE23" s="196"/>
      <c r="BF23" s="196"/>
      <c r="BG23" s="163"/>
      <c r="BH23" s="163"/>
      <c r="BI23" s="163"/>
      <c r="BJ23" s="163"/>
      <c r="BK23" s="163"/>
      <c r="BL23" s="163"/>
      <c r="BM23" s="163"/>
      <c r="BN23" s="163"/>
    </row>
    <row r="24" spans="1:66">
      <c r="A24" s="165">
        <v>10072</v>
      </c>
      <c r="B24" s="165" t="s">
        <v>28</v>
      </c>
      <c r="C24" s="268">
        <v>1</v>
      </c>
      <c r="D24" s="268">
        <v>0</v>
      </c>
      <c r="E24" s="272">
        <v>24.34</v>
      </c>
      <c r="F24" s="272">
        <v>24.783000000000001</v>
      </c>
      <c r="G24" s="272">
        <v>24.777999999999999</v>
      </c>
      <c r="H24" s="272">
        <v>0</v>
      </c>
      <c r="I24" s="272">
        <v>0</v>
      </c>
      <c r="J24" s="272">
        <v>0</v>
      </c>
      <c r="K24" s="272">
        <v>0</v>
      </c>
      <c r="L24" s="272">
        <v>0</v>
      </c>
      <c r="M24" s="272">
        <v>0</v>
      </c>
      <c r="N24" s="272">
        <v>24.015000000000001</v>
      </c>
      <c r="O24" s="272">
        <v>24.077000000000002</v>
      </c>
      <c r="P24" s="272">
        <v>210371</v>
      </c>
      <c r="Q24" s="272">
        <v>210915</v>
      </c>
      <c r="R24" s="272">
        <v>23.597000000000001</v>
      </c>
      <c r="S24" s="272">
        <v>206710</v>
      </c>
      <c r="T24" s="272">
        <v>0.41799999999999998</v>
      </c>
      <c r="U24" s="272">
        <v>0.48</v>
      </c>
      <c r="V24" s="272">
        <v>0.41799999999999998</v>
      </c>
      <c r="W24" s="272">
        <v>0.48</v>
      </c>
      <c r="X24" s="272">
        <v>3.3977999999999999E-3</v>
      </c>
      <c r="Y24" s="272">
        <v>3.3977999999999999E-3</v>
      </c>
      <c r="Z24" s="272">
        <v>0</v>
      </c>
      <c r="AA24" s="272">
        <v>3.3977999999999999E-3</v>
      </c>
      <c r="AB24" s="272">
        <v>3.3977999999999999E-3</v>
      </c>
      <c r="AC24" s="272">
        <v>3.3977999999999999E-3</v>
      </c>
      <c r="AD24" s="272">
        <v>0.98260239999999999</v>
      </c>
      <c r="AE24" s="272">
        <v>0.98007219999999995</v>
      </c>
      <c r="AF24" s="272">
        <v>1.0177141000000001</v>
      </c>
      <c r="AG24" s="272">
        <v>1.0203416000000001</v>
      </c>
      <c r="AH24" s="272">
        <v>0</v>
      </c>
      <c r="AI24" s="272">
        <v>0</v>
      </c>
      <c r="AJ24" s="161"/>
      <c r="AK24" s="161"/>
      <c r="AL24" s="161"/>
      <c r="AM24" s="161"/>
      <c r="AN24" s="161"/>
      <c r="AO24" s="161"/>
      <c r="AP24" s="161"/>
      <c r="AS24" s="160"/>
      <c r="AT24" s="160"/>
      <c r="AU24" s="196"/>
      <c r="AV24" s="196"/>
      <c r="AW24" s="196"/>
      <c r="AX24" s="196"/>
      <c r="AY24" s="196"/>
      <c r="AZ24" s="196"/>
      <c r="BA24" s="196"/>
      <c r="BB24" s="196"/>
      <c r="BC24" s="196"/>
      <c r="BD24" s="196"/>
      <c r="BE24" s="160"/>
      <c r="BF24" s="160"/>
      <c r="BG24" s="163"/>
      <c r="BM24" s="163"/>
      <c r="BN24" s="163"/>
    </row>
    <row r="25" spans="1:66">
      <c r="A25" s="163">
        <v>10074</v>
      </c>
      <c r="B25" s="163" t="s">
        <v>29</v>
      </c>
      <c r="C25" s="267">
        <v>1</v>
      </c>
      <c r="D25" s="267">
        <v>0</v>
      </c>
      <c r="E25" s="272">
        <v>27.08</v>
      </c>
      <c r="F25" s="272">
        <v>30.565000000000001</v>
      </c>
      <c r="G25" s="272">
        <v>30.530999999999999</v>
      </c>
      <c r="H25" s="272">
        <v>0</v>
      </c>
      <c r="I25" s="272">
        <v>0</v>
      </c>
      <c r="J25" s="272">
        <v>2.9489999999999998</v>
      </c>
      <c r="K25" s="272">
        <v>2.9409999999999998</v>
      </c>
      <c r="L25" s="272">
        <v>25833</v>
      </c>
      <c r="M25" s="272">
        <v>25763</v>
      </c>
      <c r="N25" s="272">
        <v>26.864999999999998</v>
      </c>
      <c r="O25" s="272">
        <v>27.117000000000001</v>
      </c>
      <c r="P25" s="272">
        <v>235337</v>
      </c>
      <c r="Q25" s="272">
        <v>237545</v>
      </c>
      <c r="R25" s="272">
        <v>26.254000000000001</v>
      </c>
      <c r="S25" s="272">
        <v>229985</v>
      </c>
      <c r="T25" s="272">
        <v>0.61099999999999999</v>
      </c>
      <c r="U25" s="272">
        <v>0.86299999999999999</v>
      </c>
      <c r="V25" s="272">
        <v>0</v>
      </c>
      <c r="W25" s="272">
        <v>0</v>
      </c>
      <c r="X25" s="272">
        <v>3.7804000000000002E-3</v>
      </c>
      <c r="Y25" s="272">
        <v>3.7804000000000002E-3</v>
      </c>
      <c r="Z25" s="272">
        <v>0</v>
      </c>
      <c r="AA25" s="272">
        <v>3.7804000000000002E-3</v>
      </c>
      <c r="AB25" s="272">
        <v>3.7804000000000002E-3</v>
      </c>
      <c r="AC25" s="272">
        <v>3.7804000000000002E-3</v>
      </c>
      <c r="AD25" s="272">
        <v>0.97950789999999999</v>
      </c>
      <c r="AE25" s="272">
        <v>0.97129489999999996</v>
      </c>
      <c r="AF25" s="272">
        <v>1.0232726000000001</v>
      </c>
      <c r="AG25" s="272">
        <v>1.0328712</v>
      </c>
      <c r="AH25" s="272">
        <v>0</v>
      </c>
      <c r="AI25" s="272">
        <v>0</v>
      </c>
      <c r="AJ25" s="154"/>
      <c r="AK25" s="154"/>
      <c r="AL25" s="154"/>
      <c r="AM25" s="154"/>
      <c r="AN25" s="154"/>
      <c r="AO25" s="154"/>
      <c r="AP25" s="154"/>
      <c r="AQ25" s="163"/>
      <c r="AR25" s="163"/>
      <c r="AS25" s="196"/>
      <c r="AT25" s="196"/>
      <c r="AU25" s="196"/>
      <c r="AV25" s="196"/>
      <c r="AW25" s="196"/>
      <c r="AX25" s="196"/>
      <c r="AY25" s="196"/>
      <c r="AZ25" s="196"/>
      <c r="BA25" s="196"/>
      <c r="BB25" s="196"/>
      <c r="BC25" s="196"/>
      <c r="BD25" s="196"/>
      <c r="BE25" s="196"/>
      <c r="BF25" s="196"/>
      <c r="BG25" s="163"/>
      <c r="BH25" s="163"/>
      <c r="BI25" s="163"/>
      <c r="BJ25" s="163"/>
      <c r="BK25" s="163"/>
      <c r="BL25" s="163"/>
      <c r="BM25" s="163"/>
      <c r="BN25" s="163"/>
    </row>
    <row r="26" spans="1:66">
      <c r="A26" s="163">
        <v>10076</v>
      </c>
      <c r="B26" s="163" t="s">
        <v>30</v>
      </c>
      <c r="C26" s="267">
        <v>1</v>
      </c>
      <c r="D26" s="267">
        <v>0</v>
      </c>
      <c r="E26" s="272">
        <v>4.8890000000000002</v>
      </c>
      <c r="F26" s="272">
        <v>7.7629999999999999</v>
      </c>
      <c r="G26" s="272">
        <v>7.7770000000000001</v>
      </c>
      <c r="H26" s="272">
        <v>0</v>
      </c>
      <c r="I26" s="272">
        <v>0</v>
      </c>
      <c r="J26" s="272">
        <v>0</v>
      </c>
      <c r="K26" s="272">
        <v>0</v>
      </c>
      <c r="L26" s="272">
        <v>0</v>
      </c>
      <c r="M26" s="272">
        <v>0</v>
      </c>
      <c r="N26" s="272">
        <v>6.4470000000000001</v>
      </c>
      <c r="O26" s="272">
        <v>6.5110000000000001</v>
      </c>
      <c r="P26" s="272">
        <v>56476</v>
      </c>
      <c r="Q26" s="272">
        <v>57036</v>
      </c>
      <c r="R26" s="272">
        <v>4.74</v>
      </c>
      <c r="S26" s="272">
        <v>41522</v>
      </c>
      <c r="T26" s="272">
        <v>1.7070000000000001</v>
      </c>
      <c r="U26" s="272">
        <v>1.7709999999999999</v>
      </c>
      <c r="V26" s="272">
        <v>1.7070000000000001</v>
      </c>
      <c r="W26" s="272">
        <v>1.7709999999999999</v>
      </c>
      <c r="X26" s="272">
        <v>6.8249999999999995E-4</v>
      </c>
      <c r="Y26" s="272">
        <v>6.8249999999999995E-4</v>
      </c>
      <c r="Z26" s="272">
        <v>0</v>
      </c>
      <c r="AA26" s="272">
        <v>6.8249999999999995E-4</v>
      </c>
      <c r="AB26" s="272">
        <v>6.8249999999999995E-4</v>
      </c>
      <c r="AC26" s="272">
        <v>6.8249999999999995E-4</v>
      </c>
      <c r="AD26" s="272">
        <v>0.73520359999999996</v>
      </c>
      <c r="AE26" s="272">
        <v>0.72797690000000004</v>
      </c>
      <c r="AF26" s="272">
        <v>1.3601266000000001</v>
      </c>
      <c r="AG26" s="272">
        <v>1.3736287</v>
      </c>
      <c r="AH26" s="272">
        <v>0</v>
      </c>
      <c r="AI26" s="272">
        <v>0</v>
      </c>
      <c r="AJ26" s="154"/>
      <c r="AK26" s="154"/>
      <c r="AL26" s="154"/>
      <c r="AM26" s="154"/>
      <c r="AN26" s="154"/>
      <c r="AO26" s="154"/>
      <c r="AP26" s="154"/>
      <c r="AQ26" s="163"/>
      <c r="AR26" s="163"/>
      <c r="AS26" s="196"/>
      <c r="AT26" s="196"/>
      <c r="AU26" s="196"/>
      <c r="AV26" s="196"/>
      <c r="AW26" s="196"/>
      <c r="AX26" s="196"/>
      <c r="AY26" s="196"/>
      <c r="AZ26" s="196"/>
      <c r="BA26" s="196"/>
      <c r="BB26" s="196"/>
      <c r="BC26" s="196"/>
      <c r="BD26" s="196"/>
      <c r="BE26" s="196"/>
      <c r="BF26" s="196"/>
      <c r="BG26" s="163"/>
      <c r="BH26" s="163"/>
      <c r="BI26" s="163"/>
      <c r="BJ26" s="163"/>
      <c r="BK26" s="163"/>
      <c r="BL26" s="163"/>
      <c r="BM26" s="163"/>
      <c r="BN26" s="163"/>
    </row>
    <row r="27" spans="1:66">
      <c r="A27" s="163">
        <v>10078</v>
      </c>
      <c r="B27" s="163" t="s">
        <v>31</v>
      </c>
      <c r="C27" s="267">
        <v>1</v>
      </c>
      <c r="D27" s="267">
        <v>0</v>
      </c>
      <c r="E27" s="272">
        <v>3.7729999999999997</v>
      </c>
      <c r="F27" s="272">
        <v>3.8220000000000001</v>
      </c>
      <c r="G27" s="272">
        <v>3.8450000000000002</v>
      </c>
      <c r="H27" s="272">
        <v>0</v>
      </c>
      <c r="I27" s="272">
        <v>0</v>
      </c>
      <c r="J27" s="272">
        <v>0</v>
      </c>
      <c r="K27" s="272">
        <v>0</v>
      </c>
      <c r="L27" s="272">
        <v>0</v>
      </c>
      <c r="M27" s="272">
        <v>0</v>
      </c>
      <c r="N27" s="272">
        <v>3.9830000000000001</v>
      </c>
      <c r="O27" s="272">
        <v>4.1829999999999998</v>
      </c>
      <c r="P27" s="272">
        <v>34891</v>
      </c>
      <c r="Q27" s="272">
        <v>36643</v>
      </c>
      <c r="R27" s="272">
        <v>3.6579999999999999</v>
      </c>
      <c r="S27" s="272">
        <v>32044</v>
      </c>
      <c r="T27" s="272">
        <v>0.32500000000000001</v>
      </c>
      <c r="U27" s="272">
        <v>0.52500000000000002</v>
      </c>
      <c r="V27" s="272">
        <v>0</v>
      </c>
      <c r="W27" s="272">
        <v>0</v>
      </c>
      <c r="X27" s="272">
        <v>5.2669999999999995E-4</v>
      </c>
      <c r="Y27" s="272">
        <v>5.2669999999999995E-4</v>
      </c>
      <c r="Z27" s="272">
        <v>0</v>
      </c>
      <c r="AA27" s="272">
        <v>5.2669999999999995E-4</v>
      </c>
      <c r="AB27" s="272">
        <v>5.2669999999999995E-4</v>
      </c>
      <c r="AC27" s="272">
        <v>5.2669999999999995E-4</v>
      </c>
      <c r="AD27" s="272">
        <v>0.91836569999999995</v>
      </c>
      <c r="AE27" s="272">
        <v>0.87445620000000002</v>
      </c>
      <c r="AF27" s="272">
        <v>1.0888464</v>
      </c>
      <c r="AG27" s="272">
        <v>1.143521</v>
      </c>
      <c r="AH27" s="272">
        <v>0</v>
      </c>
      <c r="AI27" s="272">
        <v>0</v>
      </c>
      <c r="AJ27" s="154"/>
      <c r="AK27" s="154"/>
      <c r="AL27" s="154"/>
      <c r="AM27" s="154"/>
      <c r="AN27" s="154"/>
      <c r="AO27" s="154"/>
      <c r="AP27" s="154"/>
      <c r="AQ27" s="163"/>
      <c r="AR27" s="163"/>
      <c r="AS27" s="196"/>
      <c r="AT27" s="196"/>
      <c r="AU27" s="196"/>
      <c r="AV27" s="196"/>
      <c r="AW27" s="196"/>
      <c r="AX27" s="196"/>
      <c r="AY27" s="196"/>
      <c r="AZ27" s="196"/>
      <c r="BA27" s="196"/>
      <c r="BB27" s="196"/>
      <c r="BC27" s="196"/>
      <c r="BD27" s="196"/>
      <c r="BE27" s="196"/>
      <c r="BF27" s="196"/>
      <c r="BG27" s="163"/>
      <c r="BH27" s="163"/>
      <c r="BI27" s="163"/>
      <c r="BJ27" s="163"/>
      <c r="BK27" s="163"/>
      <c r="BL27" s="163"/>
      <c r="BM27" s="163"/>
      <c r="BN27" s="163"/>
    </row>
    <row r="28" spans="1:66">
      <c r="A28" s="163">
        <v>10079</v>
      </c>
      <c r="B28" s="163" t="s">
        <v>32</v>
      </c>
      <c r="C28" s="267">
        <v>1</v>
      </c>
      <c r="D28" s="267">
        <v>0</v>
      </c>
      <c r="E28" s="272">
        <v>89.494</v>
      </c>
      <c r="F28" s="272">
        <v>89.334000000000003</v>
      </c>
      <c r="G28" s="272">
        <v>90.021000000000001</v>
      </c>
      <c r="H28" s="272">
        <v>0</v>
      </c>
      <c r="I28" s="272">
        <v>0</v>
      </c>
      <c r="J28" s="272">
        <v>2.9489999999999998</v>
      </c>
      <c r="K28" s="272">
        <v>2.9409999999999998</v>
      </c>
      <c r="L28" s="272">
        <v>25833</v>
      </c>
      <c r="M28" s="272">
        <v>25763</v>
      </c>
      <c r="N28" s="272">
        <v>87.391000000000005</v>
      </c>
      <c r="O28" s="272">
        <v>89.537000000000006</v>
      </c>
      <c r="P28" s="272">
        <v>765545</v>
      </c>
      <c r="Q28" s="272">
        <v>784344</v>
      </c>
      <c r="R28" s="272">
        <v>86.763000000000005</v>
      </c>
      <c r="S28" s="272">
        <v>760044</v>
      </c>
      <c r="T28" s="272">
        <v>0.628</v>
      </c>
      <c r="U28" s="272">
        <v>2.774</v>
      </c>
      <c r="V28" s="272">
        <v>0.628</v>
      </c>
      <c r="W28" s="272">
        <v>2.774</v>
      </c>
      <c r="X28" s="272">
        <v>1.2493199999999999E-2</v>
      </c>
      <c r="Y28" s="272">
        <v>1.2493199999999999E-2</v>
      </c>
      <c r="Z28" s="272">
        <v>0</v>
      </c>
      <c r="AA28" s="272">
        <v>1.2493199999999999E-2</v>
      </c>
      <c r="AB28" s="272">
        <v>1.2493199999999999E-2</v>
      </c>
      <c r="AC28" s="272">
        <v>1.2493199999999999E-2</v>
      </c>
      <c r="AD28" s="272">
        <v>0.99305140000000003</v>
      </c>
      <c r="AE28" s="272">
        <v>0.97000620000000004</v>
      </c>
      <c r="AF28" s="272">
        <v>1.0072380999999999</v>
      </c>
      <c r="AG28" s="272">
        <v>1.0319722</v>
      </c>
      <c r="AH28" s="272">
        <v>0</v>
      </c>
      <c r="AI28" s="272">
        <v>0</v>
      </c>
      <c r="AJ28" s="154"/>
      <c r="AK28" s="154"/>
      <c r="AL28" s="154"/>
      <c r="AM28" s="154"/>
      <c r="AN28" s="154"/>
      <c r="AO28" s="154"/>
      <c r="AP28" s="154"/>
      <c r="AQ28" s="163"/>
      <c r="AR28" s="163"/>
      <c r="AS28" s="196"/>
      <c r="AT28" s="196"/>
      <c r="AU28" s="196"/>
      <c r="AV28" s="196"/>
      <c r="AW28" s="196"/>
      <c r="AX28" s="196"/>
      <c r="AY28" s="196"/>
      <c r="AZ28" s="196"/>
      <c r="BA28" s="196"/>
      <c r="BB28" s="196"/>
      <c r="BC28" s="196"/>
      <c r="BD28" s="196"/>
      <c r="BE28" s="196"/>
      <c r="BF28" s="196"/>
      <c r="BG28" s="163"/>
      <c r="BH28" s="163"/>
      <c r="BI28" s="163"/>
      <c r="BJ28" s="163"/>
      <c r="BK28" s="163"/>
      <c r="BL28" s="163"/>
      <c r="BM28" s="163"/>
      <c r="BN28" s="163"/>
    </row>
    <row r="29" spans="1:66">
      <c r="A29" s="163">
        <v>10080</v>
      </c>
      <c r="B29" s="163" t="s">
        <v>33</v>
      </c>
      <c r="C29" s="267">
        <v>1</v>
      </c>
      <c r="D29" s="267">
        <v>0</v>
      </c>
      <c r="E29" s="272">
        <v>7.548</v>
      </c>
      <c r="F29" s="272">
        <v>6.8739999999999997</v>
      </c>
      <c r="G29" s="272">
        <v>6.8570000000000002</v>
      </c>
      <c r="H29" s="272">
        <v>0</v>
      </c>
      <c r="I29" s="272">
        <v>0</v>
      </c>
      <c r="J29" s="272">
        <v>0</v>
      </c>
      <c r="K29" s="272">
        <v>0</v>
      </c>
      <c r="L29" s="272">
        <v>0</v>
      </c>
      <c r="M29" s="272">
        <v>0</v>
      </c>
      <c r="N29" s="272">
        <v>7.8220000000000001</v>
      </c>
      <c r="O29" s="272">
        <v>7.8689999999999998</v>
      </c>
      <c r="P29" s="272">
        <v>68521</v>
      </c>
      <c r="Q29" s="272">
        <v>68932</v>
      </c>
      <c r="R29" s="272">
        <v>7.3179999999999996</v>
      </c>
      <c r="S29" s="272">
        <v>64106</v>
      </c>
      <c r="T29" s="272">
        <v>0.504</v>
      </c>
      <c r="U29" s="272">
        <v>0.55100000000000005</v>
      </c>
      <c r="V29" s="272">
        <v>0</v>
      </c>
      <c r="W29" s="272">
        <v>0</v>
      </c>
      <c r="X29" s="272">
        <v>1.0537000000000001E-3</v>
      </c>
      <c r="Y29" s="272">
        <v>1.0537000000000001E-3</v>
      </c>
      <c r="Z29" s="272">
        <v>0</v>
      </c>
      <c r="AA29" s="272">
        <v>1.0537000000000001E-3</v>
      </c>
      <c r="AB29" s="272">
        <v>1.0537000000000001E-3</v>
      </c>
      <c r="AC29" s="272">
        <v>1.0537000000000001E-3</v>
      </c>
      <c r="AD29" s="272">
        <v>0.9355388</v>
      </c>
      <c r="AE29" s="272">
        <v>0.92995099999999997</v>
      </c>
      <c r="AF29" s="272">
        <v>1.0688713000000001</v>
      </c>
      <c r="AG29" s="272">
        <v>1.0752938000000001</v>
      </c>
      <c r="AH29" s="272">
        <v>0</v>
      </c>
      <c r="AI29" s="272">
        <v>0</v>
      </c>
      <c r="AJ29" s="154"/>
      <c r="AK29" s="154"/>
      <c r="AL29" s="154"/>
      <c r="AM29" s="154"/>
      <c r="AN29" s="154"/>
      <c r="AO29" s="154"/>
      <c r="AP29" s="154"/>
      <c r="AQ29" s="163"/>
      <c r="AR29" s="163"/>
      <c r="AS29" s="196"/>
      <c r="AT29" s="196"/>
      <c r="AU29" s="196"/>
      <c r="AV29" s="196"/>
      <c r="AW29" s="196"/>
      <c r="AX29" s="196"/>
      <c r="AY29" s="196"/>
      <c r="AZ29" s="196"/>
      <c r="BA29" s="196"/>
      <c r="BB29" s="196"/>
      <c r="BC29" s="196"/>
      <c r="BD29" s="196"/>
      <c r="BE29" s="196"/>
      <c r="BF29" s="196"/>
      <c r="BG29" s="163"/>
      <c r="BH29" s="163"/>
      <c r="BI29" s="163"/>
      <c r="BJ29" s="163"/>
      <c r="BK29" s="163"/>
      <c r="BL29" s="163"/>
      <c r="BM29" s="163"/>
      <c r="BN29" s="163"/>
    </row>
    <row r="30" spans="1:66">
      <c r="A30" s="163">
        <v>10081</v>
      </c>
      <c r="B30" s="163" t="s">
        <v>34</v>
      </c>
      <c r="C30" s="267">
        <v>1</v>
      </c>
      <c r="D30" s="267">
        <v>0</v>
      </c>
      <c r="E30" s="272">
        <v>10.611000000000001</v>
      </c>
      <c r="F30" s="272">
        <v>12.445</v>
      </c>
      <c r="G30" s="272">
        <v>12.404</v>
      </c>
      <c r="H30" s="272">
        <v>0</v>
      </c>
      <c r="I30" s="272">
        <v>0</v>
      </c>
      <c r="J30" s="272">
        <v>2.9489999999999998</v>
      </c>
      <c r="K30" s="272">
        <v>2.9409999999999998</v>
      </c>
      <c r="L30" s="272">
        <v>25833</v>
      </c>
      <c r="M30" s="272">
        <v>25763</v>
      </c>
      <c r="N30" s="272">
        <v>9.6950000000000003</v>
      </c>
      <c r="O30" s="272">
        <v>9.6950000000000003</v>
      </c>
      <c r="P30" s="272">
        <v>84928</v>
      </c>
      <c r="Q30" s="272">
        <v>84928</v>
      </c>
      <c r="R30" s="272">
        <v>10.287000000000001</v>
      </c>
      <c r="S30" s="272">
        <v>90114</v>
      </c>
      <c r="T30" s="272">
        <v>0</v>
      </c>
      <c r="U30" s="272">
        <v>0</v>
      </c>
      <c r="V30" s="272">
        <v>0</v>
      </c>
      <c r="W30" s="272">
        <v>0</v>
      </c>
      <c r="X30" s="272">
        <v>1.3960000000000001E-3</v>
      </c>
      <c r="Y30" s="272">
        <v>1.3960000000000001E-3</v>
      </c>
      <c r="Z30" s="272">
        <v>0</v>
      </c>
      <c r="AA30" s="272">
        <v>1.3960000000000001E-3</v>
      </c>
      <c r="AB30" s="272">
        <v>1.3960000000000001E-3</v>
      </c>
      <c r="AC30" s="272">
        <v>1.3960000000000001E-3</v>
      </c>
      <c r="AD30" s="272">
        <v>1</v>
      </c>
      <c r="AE30" s="272">
        <v>1</v>
      </c>
      <c r="AF30" s="272">
        <v>1</v>
      </c>
      <c r="AG30" s="272">
        <v>1</v>
      </c>
      <c r="AH30" s="272">
        <v>0</v>
      </c>
      <c r="AI30" s="272">
        <v>0</v>
      </c>
      <c r="AJ30" s="154"/>
      <c r="AK30" s="154"/>
      <c r="AL30" s="154"/>
      <c r="AM30" s="154"/>
      <c r="AN30" s="154"/>
      <c r="AO30" s="154"/>
      <c r="AP30" s="154"/>
      <c r="AQ30" s="163"/>
      <c r="AR30" s="163"/>
      <c r="AS30" s="196"/>
      <c r="AT30" s="196"/>
      <c r="AU30" s="196"/>
      <c r="AV30" s="196"/>
      <c r="AW30" s="196"/>
      <c r="AX30" s="196"/>
      <c r="AY30" s="196"/>
      <c r="AZ30" s="196"/>
      <c r="BA30" s="196"/>
      <c r="BB30" s="196"/>
      <c r="BC30" s="196"/>
      <c r="BD30" s="196"/>
      <c r="BE30" s="196"/>
      <c r="BF30" s="196"/>
      <c r="BG30" s="163"/>
      <c r="BH30" s="163"/>
      <c r="BI30" s="163"/>
      <c r="BJ30" s="163"/>
      <c r="BK30" s="163"/>
      <c r="BL30" s="163"/>
      <c r="BM30" s="163"/>
      <c r="BN30" s="163"/>
    </row>
    <row r="31" spans="1:66">
      <c r="A31" s="163">
        <v>10082</v>
      </c>
      <c r="B31" s="163" t="s">
        <v>35</v>
      </c>
      <c r="C31" s="267">
        <v>1</v>
      </c>
      <c r="D31" s="267">
        <v>0</v>
      </c>
      <c r="E31" s="272">
        <v>0.12</v>
      </c>
      <c r="F31" s="272">
        <v>9.4E-2</v>
      </c>
      <c r="G31" s="272">
        <v>9.4E-2</v>
      </c>
      <c r="H31" s="272">
        <v>0</v>
      </c>
      <c r="I31" s="272">
        <v>0</v>
      </c>
      <c r="J31" s="272">
        <v>0</v>
      </c>
      <c r="K31" s="272">
        <v>0</v>
      </c>
      <c r="L31" s="272">
        <v>0</v>
      </c>
      <c r="M31" s="272">
        <v>0</v>
      </c>
      <c r="N31" s="272">
        <v>0.10100000000000001</v>
      </c>
      <c r="O31" s="272">
        <v>0.10100000000000001</v>
      </c>
      <c r="P31" s="272">
        <v>885</v>
      </c>
      <c r="Q31" s="272">
        <v>885</v>
      </c>
      <c r="R31" s="272">
        <v>0.11600000000000001</v>
      </c>
      <c r="S31" s="272">
        <v>1016</v>
      </c>
      <c r="T31" s="272">
        <v>0</v>
      </c>
      <c r="U31" s="272">
        <v>0</v>
      </c>
      <c r="V31" s="272">
        <v>0</v>
      </c>
      <c r="W31" s="272">
        <v>0</v>
      </c>
      <c r="X31" s="272">
        <v>1.45E-5</v>
      </c>
      <c r="Y31" s="272">
        <v>1.45E-5</v>
      </c>
      <c r="Z31" s="272">
        <v>0</v>
      </c>
      <c r="AA31" s="272">
        <v>1.45E-5</v>
      </c>
      <c r="AB31" s="272">
        <v>1.45E-5</v>
      </c>
      <c r="AC31" s="272">
        <v>1.45E-5</v>
      </c>
      <c r="AD31" s="272">
        <v>0.99703229999999998</v>
      </c>
      <c r="AE31" s="272">
        <v>0.99703229999999998</v>
      </c>
      <c r="AF31" s="272">
        <v>1</v>
      </c>
      <c r="AG31" s="272">
        <v>1</v>
      </c>
      <c r="AH31" s="272">
        <v>0</v>
      </c>
      <c r="AI31" s="272">
        <v>0</v>
      </c>
      <c r="AJ31" s="154"/>
      <c r="AK31" s="154"/>
      <c r="AL31" s="154"/>
      <c r="AM31" s="154"/>
      <c r="AN31" s="154"/>
      <c r="AO31" s="154"/>
      <c r="AP31" s="154"/>
      <c r="AQ31" s="163"/>
      <c r="AR31" s="163"/>
      <c r="AS31" s="196"/>
      <c r="AT31" s="196"/>
      <c r="AU31" s="196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63"/>
      <c r="BH31" s="163"/>
      <c r="BI31" s="163"/>
      <c r="BJ31" s="163"/>
      <c r="BK31" s="163"/>
      <c r="BL31" s="163"/>
      <c r="BM31" s="163"/>
      <c r="BN31" s="163"/>
    </row>
    <row r="32" spans="1:66">
      <c r="A32" s="163">
        <v>10083</v>
      </c>
      <c r="B32" s="163" t="s">
        <v>36</v>
      </c>
      <c r="C32" s="267">
        <v>1</v>
      </c>
      <c r="D32" s="267">
        <v>0</v>
      </c>
      <c r="E32" s="272">
        <v>8.4879999999999995</v>
      </c>
      <c r="F32" s="272">
        <v>8.7379999999999995</v>
      </c>
      <c r="G32" s="272">
        <v>8.7769999999999992</v>
      </c>
      <c r="H32" s="272">
        <v>0</v>
      </c>
      <c r="I32" s="272">
        <v>0</v>
      </c>
      <c r="J32" s="272">
        <v>0</v>
      </c>
      <c r="K32" s="272">
        <v>0</v>
      </c>
      <c r="L32" s="272">
        <v>0</v>
      </c>
      <c r="M32" s="272">
        <v>0</v>
      </c>
      <c r="N32" s="272">
        <v>8.44</v>
      </c>
      <c r="O32" s="272">
        <v>8.4819999999999993</v>
      </c>
      <c r="P32" s="272">
        <v>73934</v>
      </c>
      <c r="Q32" s="272">
        <v>74302</v>
      </c>
      <c r="R32" s="272">
        <v>8.2289999999999992</v>
      </c>
      <c r="S32" s="272">
        <v>72086</v>
      </c>
      <c r="T32" s="272">
        <v>0.21099999999999999</v>
      </c>
      <c r="U32" s="272">
        <v>0.253</v>
      </c>
      <c r="V32" s="272">
        <v>0</v>
      </c>
      <c r="W32" s="272">
        <v>0</v>
      </c>
      <c r="X32" s="272">
        <v>1.1849E-3</v>
      </c>
      <c r="Y32" s="272">
        <v>1.1849E-3</v>
      </c>
      <c r="Z32" s="272">
        <v>0</v>
      </c>
      <c r="AA32" s="272">
        <v>1.1849E-3</v>
      </c>
      <c r="AB32" s="272">
        <v>1.1849E-3</v>
      </c>
      <c r="AC32" s="272">
        <v>1.1849E-3</v>
      </c>
      <c r="AD32" s="272">
        <v>0.97499380000000002</v>
      </c>
      <c r="AE32" s="272">
        <v>0.97016599999999997</v>
      </c>
      <c r="AF32" s="272">
        <v>1.025641</v>
      </c>
      <c r="AG32" s="272">
        <v>1.0307449</v>
      </c>
      <c r="AH32" s="272">
        <v>0</v>
      </c>
      <c r="AI32" s="272">
        <v>0</v>
      </c>
      <c r="AJ32" s="154"/>
      <c r="AK32" s="154"/>
      <c r="AL32" s="154"/>
      <c r="AM32" s="154"/>
      <c r="AN32" s="154"/>
      <c r="AO32" s="154"/>
      <c r="AP32" s="154"/>
      <c r="AQ32" s="163"/>
      <c r="AR32" s="163"/>
      <c r="AS32" s="196"/>
      <c r="AT32" s="196"/>
      <c r="AU32" s="196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63"/>
      <c r="BH32" s="163"/>
      <c r="BI32" s="163"/>
      <c r="BJ32" s="163"/>
      <c r="BK32" s="163"/>
      <c r="BL32" s="163"/>
      <c r="BM32" s="163"/>
      <c r="BN32" s="163"/>
    </row>
    <row r="33" spans="1:66">
      <c r="A33" s="163">
        <v>10086</v>
      </c>
      <c r="B33" s="163" t="s">
        <v>37</v>
      </c>
      <c r="C33" s="267">
        <v>1</v>
      </c>
      <c r="D33" s="267">
        <v>0</v>
      </c>
      <c r="E33" s="272">
        <v>4.0039999999999996</v>
      </c>
      <c r="F33" s="272">
        <v>3.8769999999999998</v>
      </c>
      <c r="G33" s="272">
        <v>3.8719999999999999</v>
      </c>
      <c r="H33" s="272">
        <v>0</v>
      </c>
      <c r="I33" s="272">
        <v>0</v>
      </c>
      <c r="J33" s="272">
        <v>0</v>
      </c>
      <c r="K33" s="272">
        <v>0</v>
      </c>
      <c r="L33" s="272">
        <v>0</v>
      </c>
      <c r="M33" s="272">
        <v>0</v>
      </c>
      <c r="N33" s="272">
        <v>3.9369999999999998</v>
      </c>
      <c r="O33" s="272">
        <v>3.9460000000000002</v>
      </c>
      <c r="P33" s="272">
        <v>34488</v>
      </c>
      <c r="Q33" s="272">
        <v>34567</v>
      </c>
      <c r="R33" s="272">
        <v>3.8820000000000001</v>
      </c>
      <c r="S33" s="272">
        <v>34006</v>
      </c>
      <c r="T33" s="272">
        <v>5.5E-2</v>
      </c>
      <c r="U33" s="272">
        <v>6.4000000000000001E-2</v>
      </c>
      <c r="V33" s="272">
        <v>0</v>
      </c>
      <c r="W33" s="272">
        <v>0</v>
      </c>
      <c r="X33" s="272">
        <v>5.5900000000000004E-4</v>
      </c>
      <c r="Y33" s="272">
        <v>5.5900000000000004E-4</v>
      </c>
      <c r="Z33" s="272">
        <v>0</v>
      </c>
      <c r="AA33" s="272">
        <v>5.5900000000000004E-4</v>
      </c>
      <c r="AB33" s="272">
        <v>5.5900000000000004E-4</v>
      </c>
      <c r="AC33" s="272">
        <v>5.5900000000000004E-4</v>
      </c>
      <c r="AD33" s="272">
        <v>0.98607290000000003</v>
      </c>
      <c r="AE33" s="272">
        <v>0.98382389999999997</v>
      </c>
      <c r="AF33" s="272">
        <v>1.014168</v>
      </c>
      <c r="AG33" s="272">
        <v>1.0164863</v>
      </c>
      <c r="AH33" s="272">
        <v>0</v>
      </c>
      <c r="AI33" s="272">
        <v>0</v>
      </c>
      <c r="AJ33" s="154"/>
      <c r="AK33" s="154"/>
      <c r="AL33" s="154"/>
      <c r="AM33" s="154"/>
      <c r="AN33" s="154"/>
      <c r="AO33" s="154"/>
      <c r="AP33" s="154"/>
      <c r="AQ33" s="163"/>
      <c r="AR33" s="163"/>
      <c r="AS33" s="196"/>
      <c r="AT33" s="196"/>
      <c r="AU33" s="196"/>
      <c r="AV33" s="196"/>
      <c r="AW33" s="196"/>
      <c r="AX33" s="196"/>
      <c r="AY33" s="196"/>
      <c r="AZ33" s="196"/>
      <c r="BA33" s="196"/>
      <c r="BB33" s="196"/>
      <c r="BC33" s="196"/>
      <c r="BD33" s="196"/>
      <c r="BE33" s="196"/>
      <c r="BF33" s="196"/>
      <c r="BG33" s="163"/>
      <c r="BH33" s="163"/>
      <c r="BI33" s="163"/>
      <c r="BJ33" s="163"/>
      <c r="BK33" s="163"/>
      <c r="BL33" s="163"/>
      <c r="BM33" s="163"/>
      <c r="BN33" s="163"/>
    </row>
    <row r="34" spans="1:66">
      <c r="A34" s="163">
        <v>10087</v>
      </c>
      <c r="B34" s="163" t="s">
        <v>38</v>
      </c>
      <c r="C34" s="267">
        <v>1</v>
      </c>
      <c r="D34" s="267">
        <v>0</v>
      </c>
      <c r="E34" s="272">
        <v>86.754999999999995</v>
      </c>
      <c r="F34" s="272">
        <v>32.180999999999997</v>
      </c>
      <c r="G34" s="272">
        <v>32.064999999999998</v>
      </c>
      <c r="H34" s="272">
        <v>0</v>
      </c>
      <c r="I34" s="272">
        <v>0</v>
      </c>
      <c r="J34" s="272">
        <v>0</v>
      </c>
      <c r="K34" s="272">
        <v>0</v>
      </c>
      <c r="L34" s="272">
        <v>0</v>
      </c>
      <c r="M34" s="272">
        <v>0</v>
      </c>
      <c r="N34" s="272">
        <v>30.818999999999999</v>
      </c>
      <c r="O34" s="272">
        <v>30.896999999999998</v>
      </c>
      <c r="P34" s="272">
        <v>269974</v>
      </c>
      <c r="Q34" s="272">
        <v>270658</v>
      </c>
      <c r="R34" s="272">
        <v>84.108000000000004</v>
      </c>
      <c r="S34" s="272">
        <v>736786</v>
      </c>
      <c r="T34" s="272">
        <v>0</v>
      </c>
      <c r="U34" s="272">
        <v>0</v>
      </c>
      <c r="V34" s="272">
        <v>0</v>
      </c>
      <c r="W34" s="272">
        <v>0</v>
      </c>
      <c r="X34" s="272">
        <v>4.4377000000000002E-3</v>
      </c>
      <c r="Y34" s="272">
        <v>4.4489000000000004E-3</v>
      </c>
      <c r="Z34" s="272">
        <v>0</v>
      </c>
      <c r="AA34" s="272">
        <v>4.4377000000000002E-3</v>
      </c>
      <c r="AB34" s="272">
        <v>4.4489000000000004E-3</v>
      </c>
      <c r="AC34" s="272">
        <v>4.4432999999999999E-3</v>
      </c>
      <c r="AD34" s="272">
        <v>0.99999490000000002</v>
      </c>
      <c r="AE34" s="272">
        <v>0.99999950000000004</v>
      </c>
      <c r="AF34" s="272">
        <v>1</v>
      </c>
      <c r="AG34" s="272">
        <v>1</v>
      </c>
      <c r="AH34" s="272">
        <v>0</v>
      </c>
      <c r="AI34" s="272">
        <v>0</v>
      </c>
      <c r="AJ34" s="154"/>
      <c r="AK34" s="154"/>
      <c r="AL34" s="154"/>
      <c r="AM34" s="154"/>
      <c r="AN34" s="154"/>
      <c r="AO34" s="154"/>
      <c r="AP34" s="154"/>
      <c r="AQ34" s="163"/>
      <c r="AR34" s="163"/>
      <c r="AS34" s="196"/>
      <c r="AT34" s="196"/>
      <c r="AU34" s="196"/>
      <c r="AV34" s="196"/>
      <c r="AW34" s="196"/>
      <c r="AX34" s="196"/>
      <c r="AY34" s="196"/>
      <c r="AZ34" s="196"/>
      <c r="BA34" s="196"/>
      <c r="BB34" s="196"/>
      <c r="BC34" s="196"/>
      <c r="BD34" s="196"/>
      <c r="BE34" s="196"/>
      <c r="BF34" s="196"/>
      <c r="BG34" s="163"/>
      <c r="BH34" s="163"/>
      <c r="BI34" s="163"/>
      <c r="BJ34" s="163"/>
      <c r="BK34" s="163"/>
      <c r="BL34" s="163"/>
      <c r="BM34" s="163"/>
      <c r="BN34" s="163"/>
    </row>
    <row r="35" spans="1:66">
      <c r="A35" s="163">
        <v>10089</v>
      </c>
      <c r="B35" s="163" t="s">
        <v>39</v>
      </c>
      <c r="C35" s="267">
        <v>1</v>
      </c>
      <c r="D35" s="267">
        <v>0</v>
      </c>
      <c r="E35" s="272">
        <v>105.40600000000001</v>
      </c>
      <c r="F35" s="272">
        <v>112.642</v>
      </c>
      <c r="G35" s="272">
        <v>113.255</v>
      </c>
      <c r="H35" s="272">
        <v>0</v>
      </c>
      <c r="I35" s="272">
        <v>0</v>
      </c>
      <c r="J35" s="272">
        <v>0</v>
      </c>
      <c r="K35" s="272">
        <v>0</v>
      </c>
      <c r="L35" s="272">
        <v>0</v>
      </c>
      <c r="M35" s="272">
        <v>0</v>
      </c>
      <c r="N35" s="272">
        <v>115.798</v>
      </c>
      <c r="O35" s="272">
        <v>116.85599999999999</v>
      </c>
      <c r="P35" s="272">
        <v>1014390</v>
      </c>
      <c r="Q35" s="272">
        <v>1023659</v>
      </c>
      <c r="R35" s="272">
        <v>102.19</v>
      </c>
      <c r="S35" s="272">
        <v>895184</v>
      </c>
      <c r="T35" s="272">
        <v>13.907999999999999</v>
      </c>
      <c r="U35" s="272">
        <v>14.965999999999999</v>
      </c>
      <c r="V35" s="272">
        <v>13.907999999999999</v>
      </c>
      <c r="W35" s="272">
        <v>14.965999999999999</v>
      </c>
      <c r="X35" s="272">
        <v>1.47145E-2</v>
      </c>
      <c r="Y35" s="272">
        <v>1.47145E-2</v>
      </c>
      <c r="Z35" s="272">
        <v>0</v>
      </c>
      <c r="AA35" s="272">
        <v>1.47145E-2</v>
      </c>
      <c r="AB35" s="272">
        <v>1.47145E-2</v>
      </c>
      <c r="AC35" s="272">
        <v>1.47145E-2</v>
      </c>
      <c r="AD35" s="272">
        <v>0.87989360000000005</v>
      </c>
      <c r="AE35" s="272">
        <v>0.87192720000000001</v>
      </c>
      <c r="AF35" s="272">
        <v>1.1331637000000001</v>
      </c>
      <c r="AG35" s="272">
        <v>1.1435169999999999</v>
      </c>
      <c r="AH35" s="272">
        <v>0</v>
      </c>
      <c r="AI35" s="272">
        <v>0</v>
      </c>
      <c r="AJ35" s="154"/>
      <c r="AK35" s="154"/>
      <c r="AL35" s="154"/>
      <c r="AM35" s="154"/>
      <c r="AN35" s="154"/>
      <c r="AO35" s="154"/>
      <c r="AP35" s="154"/>
      <c r="AQ35" s="163"/>
      <c r="AR35" s="163"/>
      <c r="AS35" s="196"/>
      <c r="AT35" s="196"/>
      <c r="AU35" s="196"/>
      <c r="AV35" s="196"/>
      <c r="AW35" s="196"/>
      <c r="AX35" s="196"/>
      <c r="AY35" s="196"/>
      <c r="AZ35" s="196"/>
      <c r="BA35" s="196"/>
      <c r="BB35" s="196"/>
      <c r="BC35" s="196"/>
      <c r="BD35" s="196"/>
      <c r="BE35" s="196"/>
      <c r="BF35" s="196"/>
      <c r="BG35" s="163"/>
      <c r="BH35" s="163"/>
      <c r="BI35" s="163"/>
      <c r="BJ35" s="163"/>
      <c r="BK35" s="163"/>
      <c r="BL35" s="163"/>
      <c r="BM35" s="163"/>
      <c r="BN35" s="163"/>
    </row>
    <row r="36" spans="1:66">
      <c r="A36" s="163">
        <v>10091</v>
      </c>
      <c r="B36" s="163" t="s">
        <v>40</v>
      </c>
      <c r="C36" s="267">
        <v>1</v>
      </c>
      <c r="D36" s="267">
        <v>0</v>
      </c>
      <c r="E36" s="272">
        <v>9.5630000000000006</v>
      </c>
      <c r="F36" s="272">
        <v>9.6349999999999998</v>
      </c>
      <c r="G36" s="272">
        <v>9.6790000000000003</v>
      </c>
      <c r="H36" s="272">
        <v>0</v>
      </c>
      <c r="I36" s="272">
        <v>0</v>
      </c>
      <c r="J36" s="272">
        <v>0</v>
      </c>
      <c r="K36" s="272">
        <v>0</v>
      </c>
      <c r="L36" s="272">
        <v>0</v>
      </c>
      <c r="M36" s="272">
        <v>0</v>
      </c>
      <c r="N36" s="272">
        <v>9.3650000000000002</v>
      </c>
      <c r="O36" s="272">
        <v>9.6859999999999999</v>
      </c>
      <c r="P36" s="272">
        <v>82037</v>
      </c>
      <c r="Q36" s="272">
        <v>84849</v>
      </c>
      <c r="R36" s="272">
        <v>9.2710000000000008</v>
      </c>
      <c r="S36" s="272">
        <v>81214</v>
      </c>
      <c r="T36" s="272">
        <v>9.4E-2</v>
      </c>
      <c r="U36" s="272">
        <v>0.41499999999999998</v>
      </c>
      <c r="V36" s="272">
        <v>0</v>
      </c>
      <c r="W36" s="272">
        <v>0</v>
      </c>
      <c r="X36" s="272">
        <v>1.3349E-3</v>
      </c>
      <c r="Y36" s="272">
        <v>1.3349E-3</v>
      </c>
      <c r="Z36" s="272">
        <v>0</v>
      </c>
      <c r="AA36" s="272">
        <v>1.3349E-3</v>
      </c>
      <c r="AB36" s="272">
        <v>1.3349E-3</v>
      </c>
      <c r="AC36" s="272">
        <v>1.3349E-3</v>
      </c>
      <c r="AD36" s="272">
        <v>0.98992789999999997</v>
      </c>
      <c r="AE36" s="272">
        <v>0.95712109999999995</v>
      </c>
      <c r="AF36" s="272">
        <v>1.0101391</v>
      </c>
      <c r="AG36" s="272">
        <v>1.0447632</v>
      </c>
      <c r="AH36" s="272">
        <v>0</v>
      </c>
      <c r="AI36" s="272">
        <v>0</v>
      </c>
      <c r="AJ36" s="154"/>
      <c r="AK36" s="154"/>
      <c r="AL36" s="154"/>
      <c r="AM36" s="154"/>
      <c r="AN36" s="154"/>
      <c r="AO36" s="154"/>
      <c r="AP36" s="154"/>
      <c r="AQ36" s="163"/>
      <c r="AR36" s="163"/>
      <c r="AS36" s="196"/>
      <c r="AT36" s="196"/>
      <c r="AU36" s="196"/>
      <c r="AV36" s="196"/>
      <c r="AW36" s="196"/>
      <c r="AX36" s="196"/>
      <c r="AY36" s="196"/>
      <c r="AZ36" s="196"/>
      <c r="BA36" s="196"/>
      <c r="BB36" s="196"/>
      <c r="BC36" s="196"/>
      <c r="BD36" s="196"/>
      <c r="BE36" s="196"/>
      <c r="BF36" s="196"/>
      <c r="BG36" s="163"/>
      <c r="BH36" s="163"/>
      <c r="BI36" s="163"/>
      <c r="BJ36" s="163"/>
      <c r="BK36" s="163"/>
      <c r="BL36" s="163"/>
      <c r="BM36" s="163"/>
      <c r="BN36" s="163"/>
    </row>
    <row r="37" spans="1:66">
      <c r="A37" s="163">
        <v>10094</v>
      </c>
      <c r="B37" s="163" t="s">
        <v>41</v>
      </c>
      <c r="C37" s="267">
        <v>1</v>
      </c>
      <c r="D37" s="267">
        <v>0</v>
      </c>
      <c r="E37" s="272">
        <v>3.0820000000000003</v>
      </c>
      <c r="F37" s="272">
        <v>3.1539999999999999</v>
      </c>
      <c r="G37" s="272">
        <v>3.1440000000000001</v>
      </c>
      <c r="H37" s="272">
        <v>0</v>
      </c>
      <c r="I37" s="272">
        <v>0</v>
      </c>
      <c r="J37" s="272">
        <v>0.113</v>
      </c>
      <c r="K37" s="272">
        <v>0.113</v>
      </c>
      <c r="L37" s="272">
        <v>990</v>
      </c>
      <c r="M37" s="272">
        <v>990</v>
      </c>
      <c r="N37" s="272">
        <v>2.9889999999999999</v>
      </c>
      <c r="O37" s="272">
        <v>2.988</v>
      </c>
      <c r="P37" s="272">
        <v>26184</v>
      </c>
      <c r="Q37" s="272">
        <v>26175</v>
      </c>
      <c r="R37" s="272">
        <v>2.988</v>
      </c>
      <c r="S37" s="272">
        <v>26175</v>
      </c>
      <c r="T37" s="272">
        <v>1E-3</v>
      </c>
      <c r="U37" s="272">
        <v>0</v>
      </c>
      <c r="V37" s="272">
        <v>0</v>
      </c>
      <c r="W37" s="272">
        <v>0</v>
      </c>
      <c r="X37" s="272">
        <v>4.3019999999999999E-4</v>
      </c>
      <c r="Y37" s="272">
        <v>4.3019999999999999E-4</v>
      </c>
      <c r="Z37" s="272">
        <v>0</v>
      </c>
      <c r="AA37" s="272">
        <v>4.3019999999999999E-4</v>
      </c>
      <c r="AB37" s="272">
        <v>4.3019999999999999E-4</v>
      </c>
      <c r="AC37" s="272">
        <v>4.3019999999999999E-4</v>
      </c>
      <c r="AD37" s="272">
        <v>0.99957200000000002</v>
      </c>
      <c r="AE37" s="272">
        <v>0.99989439999999996</v>
      </c>
      <c r="AF37" s="272">
        <v>1.0003347</v>
      </c>
      <c r="AG37" s="272">
        <v>1</v>
      </c>
      <c r="AH37" s="272">
        <v>0</v>
      </c>
      <c r="AI37" s="272">
        <v>0</v>
      </c>
      <c r="AJ37" s="154"/>
      <c r="AK37" s="154"/>
      <c r="AL37" s="154"/>
      <c r="AM37" s="154"/>
      <c r="AN37" s="154"/>
      <c r="AO37" s="154"/>
      <c r="AP37" s="154"/>
      <c r="AQ37" s="163"/>
      <c r="AR37" s="163"/>
      <c r="AS37" s="196"/>
      <c r="AT37" s="196"/>
      <c r="AU37" s="196"/>
      <c r="AV37" s="196"/>
      <c r="AW37" s="196"/>
      <c r="AX37" s="196"/>
      <c r="AY37" s="196"/>
      <c r="AZ37" s="196"/>
      <c r="BA37" s="196"/>
      <c r="BB37" s="196"/>
      <c r="BC37" s="196"/>
      <c r="BD37" s="196"/>
      <c r="BE37" s="196"/>
      <c r="BF37" s="196"/>
      <c r="BG37" s="163"/>
      <c r="BH37" s="163"/>
      <c r="BI37" s="163"/>
      <c r="BJ37" s="163"/>
      <c r="BK37" s="163"/>
      <c r="BL37" s="163"/>
      <c r="BM37" s="163"/>
      <c r="BN37" s="163"/>
    </row>
    <row r="38" spans="1:66">
      <c r="A38" s="163">
        <v>10095</v>
      </c>
      <c r="B38" s="163" t="s">
        <v>42</v>
      </c>
      <c r="C38" s="267">
        <v>1</v>
      </c>
      <c r="D38" s="267">
        <v>0</v>
      </c>
      <c r="E38" s="272">
        <v>3.6970000000000001</v>
      </c>
      <c r="F38" s="272">
        <v>3.95</v>
      </c>
      <c r="G38" s="272">
        <v>3.9540000000000002</v>
      </c>
      <c r="H38" s="272">
        <v>0</v>
      </c>
      <c r="I38" s="272">
        <v>0</v>
      </c>
      <c r="J38" s="272">
        <v>0</v>
      </c>
      <c r="K38" s="272">
        <v>0</v>
      </c>
      <c r="L38" s="272">
        <v>0</v>
      </c>
      <c r="M38" s="272">
        <v>0</v>
      </c>
      <c r="N38" s="272">
        <v>3.7349999999999999</v>
      </c>
      <c r="O38" s="272">
        <v>3.75</v>
      </c>
      <c r="P38" s="272">
        <v>32719</v>
      </c>
      <c r="Q38" s="272">
        <v>32850</v>
      </c>
      <c r="R38" s="272">
        <v>3.5840000000000001</v>
      </c>
      <c r="S38" s="272">
        <v>31396</v>
      </c>
      <c r="T38" s="272">
        <v>0.151</v>
      </c>
      <c r="U38" s="272">
        <v>0.16600000000000001</v>
      </c>
      <c r="V38" s="272">
        <v>0</v>
      </c>
      <c r="W38" s="272">
        <v>0</v>
      </c>
      <c r="X38" s="272">
        <v>5.1610000000000002E-4</v>
      </c>
      <c r="Y38" s="272">
        <v>5.1610000000000002E-4</v>
      </c>
      <c r="Z38" s="272">
        <v>0</v>
      </c>
      <c r="AA38" s="272">
        <v>5.1610000000000002E-4</v>
      </c>
      <c r="AB38" s="272">
        <v>5.1610000000000002E-4</v>
      </c>
      <c r="AC38" s="272">
        <v>5.1610000000000002E-4</v>
      </c>
      <c r="AD38" s="272">
        <v>0.95963449999999995</v>
      </c>
      <c r="AE38" s="272">
        <v>0.95579599999999998</v>
      </c>
      <c r="AF38" s="272">
        <v>1.0421317000000001</v>
      </c>
      <c r="AG38" s="272">
        <v>1.0463169999999999</v>
      </c>
      <c r="AH38" s="272">
        <v>0</v>
      </c>
      <c r="AI38" s="272">
        <v>0</v>
      </c>
      <c r="AJ38" s="154"/>
      <c r="AK38" s="154"/>
      <c r="AL38" s="154"/>
      <c r="AM38" s="154"/>
      <c r="AN38" s="154"/>
      <c r="AO38" s="154"/>
      <c r="AP38" s="154"/>
      <c r="AQ38" s="163"/>
      <c r="AR38" s="163"/>
      <c r="AS38" s="196"/>
      <c r="AT38" s="196"/>
      <c r="AU38" s="196"/>
      <c r="AV38" s="196"/>
      <c r="AW38" s="196"/>
      <c r="AX38" s="196"/>
      <c r="AY38" s="196"/>
      <c r="AZ38" s="196"/>
      <c r="BA38" s="196"/>
      <c r="BB38" s="196"/>
      <c r="BC38" s="196"/>
      <c r="BD38" s="196"/>
      <c r="BE38" s="196"/>
      <c r="BF38" s="196"/>
      <c r="BG38" s="163"/>
      <c r="BH38" s="163"/>
      <c r="BI38" s="163"/>
      <c r="BJ38" s="163"/>
      <c r="BK38" s="163"/>
      <c r="BL38" s="163"/>
      <c r="BM38" s="163"/>
      <c r="BN38" s="163"/>
    </row>
    <row r="39" spans="1:66">
      <c r="A39" s="163">
        <v>10097</v>
      </c>
      <c r="B39" s="163" t="s">
        <v>43</v>
      </c>
      <c r="C39" s="267">
        <v>1</v>
      </c>
      <c r="D39" s="267">
        <v>0</v>
      </c>
      <c r="E39" s="272">
        <v>2.0680000000000001</v>
      </c>
      <c r="F39" s="272">
        <v>2.016</v>
      </c>
      <c r="G39" s="272">
        <v>2.0209999999999999</v>
      </c>
      <c r="H39" s="272">
        <v>0</v>
      </c>
      <c r="I39" s="272">
        <v>0</v>
      </c>
      <c r="J39" s="272">
        <v>0</v>
      </c>
      <c r="K39" s="272">
        <v>0</v>
      </c>
      <c r="L39" s="272">
        <v>0</v>
      </c>
      <c r="M39" s="272">
        <v>0</v>
      </c>
      <c r="N39" s="272">
        <v>2.0059999999999998</v>
      </c>
      <c r="O39" s="272">
        <v>2.0110000000000001</v>
      </c>
      <c r="P39" s="272">
        <v>17573</v>
      </c>
      <c r="Q39" s="272">
        <v>17616</v>
      </c>
      <c r="R39" s="272">
        <v>2.0049999999999999</v>
      </c>
      <c r="S39" s="272">
        <v>17564</v>
      </c>
      <c r="T39" s="272">
        <v>1E-3</v>
      </c>
      <c r="U39" s="272">
        <v>6.0000000000000001E-3</v>
      </c>
      <c r="V39" s="272">
        <v>0</v>
      </c>
      <c r="W39" s="272">
        <v>0</v>
      </c>
      <c r="X39" s="272">
        <v>2.8870000000000002E-4</v>
      </c>
      <c r="Y39" s="272">
        <v>2.8870000000000002E-4</v>
      </c>
      <c r="Z39" s="272">
        <v>0</v>
      </c>
      <c r="AA39" s="272">
        <v>2.8870000000000002E-4</v>
      </c>
      <c r="AB39" s="272">
        <v>2.8870000000000002E-4</v>
      </c>
      <c r="AC39" s="272">
        <v>2.8870000000000002E-4</v>
      </c>
      <c r="AD39" s="272">
        <v>0.99948999999999999</v>
      </c>
      <c r="AE39" s="272">
        <v>0.99700500000000003</v>
      </c>
      <c r="AF39" s="272">
        <v>1.0004987999999999</v>
      </c>
      <c r="AG39" s="272">
        <v>1.0029925</v>
      </c>
      <c r="AH39" s="272">
        <v>0</v>
      </c>
      <c r="AI39" s="272">
        <v>0</v>
      </c>
      <c r="AJ39" s="154"/>
      <c r="AK39" s="154"/>
      <c r="AL39" s="154"/>
      <c r="AM39" s="154"/>
      <c r="AN39" s="154"/>
      <c r="AO39" s="154"/>
      <c r="AP39" s="154"/>
      <c r="AQ39" s="163"/>
      <c r="AR39" s="163"/>
      <c r="AS39" s="196"/>
      <c r="AT39" s="196"/>
      <c r="AU39" s="196"/>
      <c r="AV39" s="196"/>
      <c r="AW39" s="196"/>
      <c r="AX39" s="196"/>
      <c r="AY39" s="196"/>
      <c r="AZ39" s="196"/>
      <c r="BA39" s="196"/>
      <c r="BB39" s="196"/>
      <c r="BC39" s="196"/>
      <c r="BD39" s="196"/>
      <c r="BE39" s="196"/>
      <c r="BF39" s="196"/>
      <c r="BG39" s="163"/>
      <c r="BH39" s="163"/>
      <c r="BI39" s="163"/>
      <c r="BJ39" s="163"/>
      <c r="BK39" s="163"/>
      <c r="BL39" s="163"/>
      <c r="BM39" s="163"/>
      <c r="BN39" s="163"/>
    </row>
    <row r="40" spans="1:66">
      <c r="A40" s="163">
        <v>10101</v>
      </c>
      <c r="B40" s="163" t="s">
        <v>44</v>
      </c>
      <c r="C40" s="267">
        <v>1</v>
      </c>
      <c r="D40" s="267">
        <v>0</v>
      </c>
      <c r="E40" s="272">
        <v>77.162000000000006</v>
      </c>
      <c r="F40" s="272">
        <v>77.581999999999994</v>
      </c>
      <c r="G40" s="272">
        <v>77.911000000000001</v>
      </c>
      <c r="H40" s="272">
        <v>0</v>
      </c>
      <c r="I40" s="272">
        <v>0</v>
      </c>
      <c r="J40" s="272">
        <v>0</v>
      </c>
      <c r="K40" s="272">
        <v>0</v>
      </c>
      <c r="L40" s="272">
        <v>0</v>
      </c>
      <c r="M40" s="272">
        <v>0</v>
      </c>
      <c r="N40" s="272">
        <v>76.655000000000001</v>
      </c>
      <c r="O40" s="272">
        <v>77.150999999999996</v>
      </c>
      <c r="P40" s="272">
        <v>671498</v>
      </c>
      <c r="Q40" s="272">
        <v>675843</v>
      </c>
      <c r="R40" s="272">
        <v>74.808000000000007</v>
      </c>
      <c r="S40" s="272">
        <v>655318</v>
      </c>
      <c r="T40" s="272">
        <v>1.847</v>
      </c>
      <c r="U40" s="272">
        <v>2.343</v>
      </c>
      <c r="V40" s="272">
        <v>1.847</v>
      </c>
      <c r="W40" s="272">
        <v>2.343</v>
      </c>
      <c r="X40" s="272">
        <v>1.07717E-2</v>
      </c>
      <c r="Y40" s="272">
        <v>1.07717E-2</v>
      </c>
      <c r="Z40" s="272">
        <v>0</v>
      </c>
      <c r="AA40" s="272">
        <v>1.07717E-2</v>
      </c>
      <c r="AB40" s="272">
        <v>1.07717E-2</v>
      </c>
      <c r="AC40" s="272">
        <v>1.07717E-2</v>
      </c>
      <c r="AD40" s="272">
        <v>0.97590239999999995</v>
      </c>
      <c r="AE40" s="272">
        <v>0.96962839999999995</v>
      </c>
      <c r="AF40" s="272">
        <v>1.0246899</v>
      </c>
      <c r="AG40" s="272">
        <v>1.0313201999999999</v>
      </c>
      <c r="AH40" s="272">
        <v>5.6357900000000002E-2</v>
      </c>
      <c r="AI40" s="272">
        <v>5.6722599999999998E-2</v>
      </c>
      <c r="AJ40" s="154"/>
      <c r="AK40" s="154"/>
      <c r="AL40" s="154"/>
      <c r="AM40" s="154"/>
      <c r="AN40" s="154"/>
      <c r="AO40" s="154"/>
      <c r="AP40" s="154"/>
      <c r="AQ40" s="163"/>
      <c r="AR40" s="163"/>
      <c r="AS40" s="196"/>
      <c r="AT40" s="196"/>
      <c r="AU40" s="196"/>
      <c r="AV40" s="196"/>
      <c r="AW40" s="196"/>
      <c r="AX40" s="196"/>
      <c r="AY40" s="196"/>
      <c r="AZ40" s="196"/>
      <c r="BA40" s="196"/>
      <c r="BB40" s="196"/>
      <c r="BC40" s="196"/>
      <c r="BD40" s="196"/>
      <c r="BE40" s="196"/>
      <c r="BF40" s="196"/>
      <c r="BG40" s="163"/>
      <c r="BH40" s="163"/>
      <c r="BI40" s="163"/>
      <c r="BJ40" s="163"/>
      <c r="BK40" s="163"/>
      <c r="BL40" s="163"/>
      <c r="BM40" s="163"/>
      <c r="BN40" s="163"/>
    </row>
    <row r="41" spans="1:66">
      <c r="A41" s="163">
        <v>10103</v>
      </c>
      <c r="B41" s="163" t="s">
        <v>45</v>
      </c>
      <c r="C41" s="267">
        <v>1</v>
      </c>
      <c r="D41" s="267">
        <v>0</v>
      </c>
      <c r="E41" s="272">
        <v>323.245</v>
      </c>
      <c r="F41" s="272">
        <v>531.29499999999996</v>
      </c>
      <c r="G41" s="272">
        <v>532.63599999999997</v>
      </c>
      <c r="H41" s="272">
        <v>0</v>
      </c>
      <c r="I41" s="272">
        <v>0</v>
      </c>
      <c r="J41" s="272">
        <v>226.608</v>
      </c>
      <c r="K41" s="272">
        <v>225.94900000000001</v>
      </c>
      <c r="L41" s="272">
        <v>1985086</v>
      </c>
      <c r="M41" s="272">
        <v>1979313</v>
      </c>
      <c r="N41" s="272">
        <v>304.68700000000001</v>
      </c>
      <c r="O41" s="272">
        <v>306.68700000000001</v>
      </c>
      <c r="P41" s="272">
        <v>2669058</v>
      </c>
      <c r="Q41" s="272">
        <v>2686578</v>
      </c>
      <c r="R41" s="272">
        <v>313.38200000000001</v>
      </c>
      <c r="S41" s="272">
        <v>2745226</v>
      </c>
      <c r="T41" s="272">
        <v>0</v>
      </c>
      <c r="U41" s="272">
        <v>0</v>
      </c>
      <c r="V41" s="272">
        <v>0</v>
      </c>
      <c r="W41" s="272">
        <v>0</v>
      </c>
      <c r="X41" s="272">
        <v>4.3872399999999999E-2</v>
      </c>
      <c r="Y41" s="272">
        <v>4.4160400000000002E-2</v>
      </c>
      <c r="Z41" s="272">
        <v>2.1833200000000001E-2</v>
      </c>
      <c r="AA41" s="272">
        <v>2.2039199999999998E-2</v>
      </c>
      <c r="AB41" s="272">
        <v>2.2327199999999998E-2</v>
      </c>
      <c r="AC41" s="272">
        <v>2.21832E-2</v>
      </c>
      <c r="AD41" s="272">
        <v>0.99999950000000004</v>
      </c>
      <c r="AE41" s="272">
        <v>1</v>
      </c>
      <c r="AF41" s="272">
        <v>1</v>
      </c>
      <c r="AG41" s="272">
        <v>1</v>
      </c>
      <c r="AH41" s="272">
        <v>0</v>
      </c>
      <c r="AI41" s="272">
        <v>0</v>
      </c>
      <c r="AJ41" s="154"/>
      <c r="AK41" s="154"/>
      <c r="AL41" s="154"/>
      <c r="AM41" s="154"/>
      <c r="AN41" s="154"/>
      <c r="AO41" s="154"/>
      <c r="AP41" s="154"/>
      <c r="AQ41" s="163"/>
      <c r="AR41" s="163"/>
      <c r="AS41" s="196"/>
      <c r="AT41" s="196"/>
      <c r="AU41" s="196"/>
      <c r="AV41" s="196"/>
      <c r="AW41" s="196"/>
      <c r="AX41" s="196"/>
      <c r="AY41" s="196"/>
      <c r="AZ41" s="196"/>
      <c r="BA41" s="196"/>
      <c r="BB41" s="196"/>
      <c r="BC41" s="196"/>
      <c r="BD41" s="196"/>
      <c r="BE41" s="196"/>
      <c r="BF41" s="196"/>
      <c r="BG41" s="163"/>
      <c r="BH41" s="163"/>
      <c r="BI41" s="163"/>
      <c r="BJ41" s="163"/>
      <c r="BK41" s="163"/>
      <c r="BL41" s="163"/>
      <c r="BM41" s="163"/>
      <c r="BN41" s="163"/>
    </row>
    <row r="42" spans="1:66">
      <c r="A42" s="163">
        <v>10105</v>
      </c>
      <c r="B42" s="163" t="s">
        <v>46</v>
      </c>
      <c r="C42" s="267">
        <v>1</v>
      </c>
      <c r="D42" s="267">
        <v>0</v>
      </c>
      <c r="E42" s="272">
        <v>94.222999999999999</v>
      </c>
      <c r="F42" s="272">
        <v>87.563999999999993</v>
      </c>
      <c r="G42" s="272">
        <v>93.83</v>
      </c>
      <c r="H42" s="272">
        <v>0</v>
      </c>
      <c r="I42" s="272">
        <v>0</v>
      </c>
      <c r="J42" s="272">
        <v>0</v>
      </c>
      <c r="K42" s="272">
        <v>0</v>
      </c>
      <c r="L42" s="272">
        <v>0</v>
      </c>
      <c r="M42" s="272">
        <v>0</v>
      </c>
      <c r="N42" s="272">
        <v>87.563999999999993</v>
      </c>
      <c r="O42" s="272">
        <v>93.83</v>
      </c>
      <c r="P42" s="272">
        <v>767061</v>
      </c>
      <c r="Q42" s="272">
        <v>821951</v>
      </c>
      <c r="R42" s="272">
        <v>91.347999999999999</v>
      </c>
      <c r="S42" s="272">
        <v>800208</v>
      </c>
      <c r="T42" s="272">
        <v>0</v>
      </c>
      <c r="U42" s="272">
        <v>0</v>
      </c>
      <c r="V42" s="272">
        <v>0</v>
      </c>
      <c r="W42" s="272">
        <v>0</v>
      </c>
      <c r="X42" s="272">
        <v>1.26085E-2</v>
      </c>
      <c r="Y42" s="272">
        <v>1.3153400000000001E-2</v>
      </c>
      <c r="Z42" s="272">
        <v>7.2573000000000004E-3</v>
      </c>
      <c r="AA42" s="272">
        <v>5.3512000000000004E-3</v>
      </c>
      <c r="AB42" s="272">
        <v>5.8960999999999996E-3</v>
      </c>
      <c r="AC42" s="272">
        <v>5.6236999999999997E-3</v>
      </c>
      <c r="AD42" s="272">
        <v>0.99999830000000001</v>
      </c>
      <c r="AE42" s="272">
        <v>0.99999839999999995</v>
      </c>
      <c r="AF42" s="272">
        <v>1</v>
      </c>
      <c r="AG42" s="272">
        <v>1.0271707999999999</v>
      </c>
      <c r="AH42" s="272">
        <v>0</v>
      </c>
      <c r="AI42" s="272">
        <v>0</v>
      </c>
      <c r="AJ42" s="154"/>
      <c r="AK42" s="154"/>
      <c r="AL42" s="154"/>
      <c r="AM42" s="154"/>
      <c r="AN42" s="154"/>
      <c r="AO42" s="154"/>
      <c r="AP42" s="154"/>
      <c r="AQ42" s="163"/>
      <c r="AR42" s="163"/>
      <c r="AS42" s="196"/>
      <c r="AT42" s="196"/>
      <c r="AU42" s="196"/>
      <c r="AV42" s="196"/>
      <c r="AW42" s="196"/>
      <c r="AX42" s="196"/>
      <c r="AY42" s="196"/>
      <c r="AZ42" s="196"/>
      <c r="BA42" s="196"/>
      <c r="BB42" s="196"/>
      <c r="BC42" s="196"/>
      <c r="BD42" s="196"/>
      <c r="BE42" s="196"/>
      <c r="BF42" s="196"/>
      <c r="BG42" s="163"/>
      <c r="BH42" s="163"/>
      <c r="BI42" s="163"/>
      <c r="BJ42" s="163"/>
      <c r="BK42" s="163"/>
      <c r="BL42" s="163"/>
      <c r="BM42" s="163"/>
      <c r="BN42" s="163"/>
    </row>
    <row r="43" spans="1:66">
      <c r="A43" s="163">
        <v>10106</v>
      </c>
      <c r="B43" s="163" t="s">
        <v>47</v>
      </c>
      <c r="C43" s="267">
        <v>0</v>
      </c>
      <c r="D43" s="267">
        <v>1</v>
      </c>
      <c r="E43" s="272">
        <v>24.234999999999999</v>
      </c>
      <c r="F43" s="272">
        <v>23.901</v>
      </c>
      <c r="G43" s="272">
        <v>23.943999999999999</v>
      </c>
      <c r="H43" s="272">
        <v>0</v>
      </c>
      <c r="I43" s="272">
        <v>0</v>
      </c>
      <c r="J43" s="272">
        <v>0</v>
      </c>
      <c r="K43" s="272">
        <v>0</v>
      </c>
      <c r="L43" s="272">
        <v>0</v>
      </c>
      <c r="M43" s="272">
        <v>0</v>
      </c>
      <c r="N43" s="272">
        <v>23.568999999999999</v>
      </c>
      <c r="O43" s="272">
        <v>23.649000000000001</v>
      </c>
      <c r="P43" s="272">
        <v>206464</v>
      </c>
      <c r="Q43" s="272">
        <v>207165</v>
      </c>
      <c r="R43" s="272">
        <v>23.495999999999999</v>
      </c>
      <c r="S43" s="272">
        <v>205825</v>
      </c>
      <c r="T43" s="272">
        <v>7.2999999999999995E-2</v>
      </c>
      <c r="U43" s="272">
        <v>0.153</v>
      </c>
      <c r="V43" s="272">
        <v>7.2999999999999995E-2</v>
      </c>
      <c r="W43" s="272">
        <v>0.153</v>
      </c>
      <c r="X43" s="272">
        <v>3.3831999999999998E-3</v>
      </c>
      <c r="Y43" s="272">
        <v>3.3831999999999998E-3</v>
      </c>
      <c r="Z43" s="272">
        <v>0</v>
      </c>
      <c r="AA43" s="272">
        <v>3.3831999999999998E-3</v>
      </c>
      <c r="AB43" s="272">
        <v>3.3831999999999998E-3</v>
      </c>
      <c r="AC43" s="272">
        <v>3.3831999999999998E-3</v>
      </c>
      <c r="AD43" s="272">
        <v>0.99689439999999996</v>
      </c>
      <c r="AE43" s="272">
        <v>0.99352209999999996</v>
      </c>
      <c r="AF43" s="272">
        <v>1.0031068999999999</v>
      </c>
      <c r="AG43" s="272">
        <v>1.0065116999999999</v>
      </c>
      <c r="AH43" s="272">
        <v>7.0217500000000002E-2</v>
      </c>
      <c r="AI43" s="272">
        <v>7.0455799999999999E-2</v>
      </c>
      <c r="AJ43" s="154"/>
      <c r="AK43" s="154"/>
      <c r="AL43" s="154"/>
      <c r="AM43" s="154"/>
      <c r="AN43" s="154"/>
      <c r="AO43" s="154"/>
      <c r="AP43" s="154"/>
      <c r="AQ43" s="163"/>
      <c r="AR43" s="163"/>
      <c r="AS43" s="196"/>
      <c r="AT43" s="196"/>
      <c r="AU43" s="196"/>
      <c r="AV43" s="196"/>
      <c r="AW43" s="196"/>
      <c r="AX43" s="196"/>
      <c r="AY43" s="196"/>
      <c r="AZ43" s="196"/>
      <c r="BA43" s="196"/>
      <c r="BB43" s="196"/>
      <c r="BC43" s="196"/>
      <c r="BD43" s="196"/>
      <c r="BE43" s="196"/>
      <c r="BF43" s="196"/>
      <c r="BG43" s="163"/>
      <c r="BH43" s="163"/>
      <c r="BI43" s="163"/>
      <c r="BJ43" s="163"/>
      <c r="BK43" s="163"/>
      <c r="BL43" s="163"/>
      <c r="BM43" s="163"/>
      <c r="BN43" s="163"/>
    </row>
    <row r="44" spans="1:66">
      <c r="A44" s="163">
        <v>10109</v>
      </c>
      <c r="B44" s="163" t="s">
        <v>48</v>
      </c>
      <c r="C44" s="267">
        <v>1</v>
      </c>
      <c r="D44" s="267">
        <v>0</v>
      </c>
      <c r="E44" s="272">
        <v>12.298999999999999</v>
      </c>
      <c r="F44" s="272">
        <v>13.432</v>
      </c>
      <c r="G44" s="272">
        <v>13.407999999999999</v>
      </c>
      <c r="H44" s="272">
        <v>0</v>
      </c>
      <c r="I44" s="272">
        <v>0</v>
      </c>
      <c r="J44" s="272">
        <v>0</v>
      </c>
      <c r="K44" s="272">
        <v>0</v>
      </c>
      <c r="L44" s="272">
        <v>0</v>
      </c>
      <c r="M44" s="272">
        <v>0</v>
      </c>
      <c r="N44" s="272">
        <v>14.16</v>
      </c>
      <c r="O44" s="272">
        <v>14.271000000000001</v>
      </c>
      <c r="P44" s="272">
        <v>124042</v>
      </c>
      <c r="Q44" s="272">
        <v>125014</v>
      </c>
      <c r="R44" s="272">
        <v>11.923999999999999</v>
      </c>
      <c r="S44" s="272">
        <v>104454</v>
      </c>
      <c r="T44" s="272">
        <v>2.2360000000000002</v>
      </c>
      <c r="U44" s="272">
        <v>2.347</v>
      </c>
      <c r="V44" s="272">
        <v>2.2360000000000002</v>
      </c>
      <c r="W44" s="272">
        <v>2.347</v>
      </c>
      <c r="X44" s="272">
        <v>1.717E-3</v>
      </c>
      <c r="Y44" s="272">
        <v>1.717E-3</v>
      </c>
      <c r="Z44" s="272">
        <v>0</v>
      </c>
      <c r="AA44" s="272">
        <v>1.717E-3</v>
      </c>
      <c r="AB44" s="272">
        <v>1.717E-3</v>
      </c>
      <c r="AC44" s="272">
        <v>1.717E-3</v>
      </c>
      <c r="AD44" s="272">
        <v>0.84211159999999996</v>
      </c>
      <c r="AE44" s="272">
        <v>0.83556169999999996</v>
      </c>
      <c r="AF44" s="272">
        <v>1.187521</v>
      </c>
      <c r="AG44" s="272">
        <v>1.1968299</v>
      </c>
      <c r="AH44" s="272">
        <v>8.3126500000000006E-2</v>
      </c>
      <c r="AI44" s="272">
        <v>8.3778099999999994E-2</v>
      </c>
      <c r="AJ44" s="154"/>
      <c r="AK44" s="154"/>
      <c r="AL44" s="154"/>
      <c r="AM44" s="154"/>
      <c r="AN44" s="154"/>
      <c r="AO44" s="154"/>
      <c r="AP44" s="154"/>
      <c r="AQ44" s="163"/>
      <c r="AR44" s="163"/>
      <c r="AS44" s="196"/>
      <c r="AT44" s="196"/>
      <c r="AU44" s="196"/>
      <c r="AV44" s="196"/>
      <c r="AW44" s="196"/>
      <c r="AX44" s="196"/>
      <c r="AY44" s="196"/>
      <c r="AZ44" s="196"/>
      <c r="BA44" s="196"/>
      <c r="BB44" s="196"/>
      <c r="BC44" s="196"/>
      <c r="BD44" s="196"/>
      <c r="BE44" s="196"/>
      <c r="BF44" s="196"/>
      <c r="BG44" s="163"/>
      <c r="BH44" s="163"/>
      <c r="BI44" s="163"/>
      <c r="BJ44" s="163"/>
      <c r="BK44" s="163"/>
      <c r="BL44" s="163"/>
      <c r="BM44" s="163"/>
      <c r="BN44" s="163"/>
    </row>
    <row r="45" spans="1:66">
      <c r="A45" s="163">
        <v>10111</v>
      </c>
      <c r="B45" s="163" t="s">
        <v>49</v>
      </c>
      <c r="C45" s="267">
        <v>1</v>
      </c>
      <c r="D45" s="267">
        <v>0</v>
      </c>
      <c r="E45" s="272">
        <v>3.2829999999999999</v>
      </c>
      <c r="F45" s="272">
        <v>3.0539999999999998</v>
      </c>
      <c r="G45" s="272">
        <v>3.0510000000000002</v>
      </c>
      <c r="H45" s="272">
        <v>0</v>
      </c>
      <c r="I45" s="272">
        <v>0</v>
      </c>
      <c r="J45" s="272">
        <v>0</v>
      </c>
      <c r="K45" s="272">
        <v>0</v>
      </c>
      <c r="L45" s="272">
        <v>0</v>
      </c>
      <c r="M45" s="272">
        <v>0</v>
      </c>
      <c r="N45" s="272">
        <v>2.95</v>
      </c>
      <c r="O45" s="272">
        <v>2.9369999999999998</v>
      </c>
      <c r="P45" s="272">
        <v>25842</v>
      </c>
      <c r="Q45" s="272">
        <v>25728</v>
      </c>
      <c r="R45" s="272">
        <v>3.1829999999999998</v>
      </c>
      <c r="S45" s="272">
        <v>27883</v>
      </c>
      <c r="T45" s="272">
        <v>0</v>
      </c>
      <c r="U45" s="272">
        <v>0</v>
      </c>
      <c r="V45" s="272">
        <v>0</v>
      </c>
      <c r="W45" s="272">
        <v>0</v>
      </c>
      <c r="X45" s="272">
        <v>4.2480000000000003E-4</v>
      </c>
      <c r="Y45" s="272">
        <v>4.2289999999999998E-4</v>
      </c>
      <c r="Z45" s="272">
        <v>0</v>
      </c>
      <c r="AA45" s="272">
        <v>4.2480000000000003E-4</v>
      </c>
      <c r="AB45" s="272">
        <v>4.2289999999999998E-4</v>
      </c>
      <c r="AC45" s="272">
        <v>4.239E-4</v>
      </c>
      <c r="AD45" s="272">
        <v>1</v>
      </c>
      <c r="AE45" s="272">
        <v>0.99999159999999998</v>
      </c>
      <c r="AF45" s="272">
        <v>1</v>
      </c>
      <c r="AG45" s="272">
        <v>1</v>
      </c>
      <c r="AH45" s="272">
        <v>7.0000000000000007E-2</v>
      </c>
      <c r="AI45" s="272">
        <v>7.0000000000000007E-2</v>
      </c>
      <c r="AJ45" s="154"/>
      <c r="AK45" s="154"/>
      <c r="AL45" s="154"/>
      <c r="AM45" s="154"/>
      <c r="AN45" s="154"/>
      <c r="AO45" s="154"/>
      <c r="AP45" s="154"/>
      <c r="AQ45" s="163"/>
      <c r="AR45" s="163"/>
      <c r="AS45" s="196"/>
      <c r="AT45" s="196"/>
      <c r="AU45" s="196"/>
      <c r="AV45" s="196"/>
      <c r="AW45" s="196"/>
      <c r="AX45" s="196"/>
      <c r="AY45" s="196"/>
      <c r="AZ45" s="196"/>
      <c r="BA45" s="196"/>
      <c r="BB45" s="196"/>
      <c r="BC45" s="196"/>
      <c r="BD45" s="196"/>
      <c r="BE45" s="196"/>
      <c r="BF45" s="196"/>
      <c r="BG45" s="163"/>
      <c r="BH45" s="163"/>
      <c r="BI45" s="163"/>
      <c r="BJ45" s="163"/>
      <c r="BK45" s="163"/>
      <c r="BL45" s="163"/>
      <c r="BM45" s="163"/>
      <c r="BN45" s="163"/>
    </row>
    <row r="46" spans="1:66">
      <c r="A46" s="163">
        <v>10112</v>
      </c>
      <c r="B46" s="163" t="s">
        <v>50</v>
      </c>
      <c r="C46" s="267">
        <v>1</v>
      </c>
      <c r="D46" s="267">
        <v>0</v>
      </c>
      <c r="E46" s="272">
        <v>59.119</v>
      </c>
      <c r="F46" s="272">
        <v>54.628</v>
      </c>
      <c r="G46" s="272">
        <v>54.555999999999997</v>
      </c>
      <c r="H46" s="272">
        <v>0</v>
      </c>
      <c r="I46" s="272">
        <v>0</v>
      </c>
      <c r="J46" s="272">
        <v>0</v>
      </c>
      <c r="K46" s="272">
        <v>0</v>
      </c>
      <c r="L46" s="272">
        <v>0</v>
      </c>
      <c r="M46" s="272">
        <v>0</v>
      </c>
      <c r="N46" s="272">
        <v>56.033000000000001</v>
      </c>
      <c r="O46" s="272">
        <v>56.142000000000003</v>
      </c>
      <c r="P46" s="272">
        <v>490849</v>
      </c>
      <c r="Q46" s="272">
        <v>491804</v>
      </c>
      <c r="R46" s="272">
        <v>57.314999999999998</v>
      </c>
      <c r="S46" s="272">
        <v>502079</v>
      </c>
      <c r="T46" s="272">
        <v>0</v>
      </c>
      <c r="U46" s="272">
        <v>0</v>
      </c>
      <c r="V46" s="272">
        <v>0</v>
      </c>
      <c r="W46" s="272">
        <v>0</v>
      </c>
      <c r="X46" s="272">
        <v>8.0683000000000005E-3</v>
      </c>
      <c r="Y46" s="272">
        <v>8.0839999999999992E-3</v>
      </c>
      <c r="Z46" s="272">
        <v>0</v>
      </c>
      <c r="AA46" s="272">
        <v>8.0683000000000005E-3</v>
      </c>
      <c r="AB46" s="272">
        <v>8.0839999999999992E-3</v>
      </c>
      <c r="AC46" s="272">
        <v>8.0762000000000004E-3</v>
      </c>
      <c r="AD46" s="272">
        <v>1</v>
      </c>
      <c r="AE46" s="272">
        <v>1</v>
      </c>
      <c r="AF46" s="272">
        <v>1</v>
      </c>
      <c r="AG46" s="272">
        <v>1</v>
      </c>
      <c r="AH46" s="272">
        <v>0</v>
      </c>
      <c r="AI46" s="272">
        <v>0</v>
      </c>
      <c r="AJ46" s="154"/>
      <c r="AK46" s="154"/>
      <c r="AL46" s="154"/>
      <c r="AM46" s="154"/>
      <c r="AN46" s="154"/>
      <c r="AO46" s="154"/>
      <c r="AP46" s="154"/>
      <c r="AQ46" s="163"/>
      <c r="AR46" s="163"/>
      <c r="AS46" s="196"/>
      <c r="AT46" s="196"/>
      <c r="AU46" s="196"/>
      <c r="AV46" s="196"/>
      <c r="AW46" s="196"/>
      <c r="AX46" s="196"/>
      <c r="AY46" s="196"/>
      <c r="AZ46" s="196"/>
      <c r="BA46" s="196"/>
      <c r="BB46" s="196"/>
      <c r="BC46" s="196"/>
      <c r="BD46" s="196"/>
      <c r="BE46" s="196"/>
      <c r="BF46" s="196"/>
      <c r="BG46" s="163"/>
      <c r="BH46" s="163"/>
      <c r="BI46" s="163"/>
      <c r="BJ46" s="163"/>
      <c r="BK46" s="163"/>
      <c r="BL46" s="163"/>
      <c r="BM46" s="163"/>
      <c r="BN46" s="163"/>
    </row>
    <row r="47" spans="1:66">
      <c r="A47" s="163">
        <v>10113</v>
      </c>
      <c r="B47" s="163" t="s">
        <v>51</v>
      </c>
      <c r="C47" s="267">
        <v>1</v>
      </c>
      <c r="D47" s="267">
        <v>0</v>
      </c>
      <c r="E47" s="272">
        <v>38.255000000000003</v>
      </c>
      <c r="F47" s="272">
        <v>41.701999999999998</v>
      </c>
      <c r="G47" s="272">
        <v>42.057000000000002</v>
      </c>
      <c r="H47" s="272">
        <v>0</v>
      </c>
      <c r="I47" s="272">
        <v>0</v>
      </c>
      <c r="J47" s="272">
        <v>0</v>
      </c>
      <c r="K47" s="272">
        <v>0</v>
      </c>
      <c r="L47" s="272">
        <v>0</v>
      </c>
      <c r="M47" s="272">
        <v>0</v>
      </c>
      <c r="N47" s="272">
        <v>42.383000000000003</v>
      </c>
      <c r="O47" s="272">
        <v>43.097999999999999</v>
      </c>
      <c r="P47" s="272">
        <v>371275</v>
      </c>
      <c r="Q47" s="272">
        <v>377538</v>
      </c>
      <c r="R47" s="272">
        <v>37.088000000000001</v>
      </c>
      <c r="S47" s="272">
        <v>324891</v>
      </c>
      <c r="T47" s="272">
        <v>5.2949999999999999</v>
      </c>
      <c r="U47" s="272">
        <v>6.01</v>
      </c>
      <c r="V47" s="272">
        <v>5.2949999999999999</v>
      </c>
      <c r="W47" s="272">
        <v>6.01</v>
      </c>
      <c r="X47" s="272">
        <v>5.3404000000000004E-3</v>
      </c>
      <c r="Y47" s="272">
        <v>5.3404000000000004E-3</v>
      </c>
      <c r="Z47" s="272">
        <v>0</v>
      </c>
      <c r="AA47" s="272">
        <v>5.3404000000000004E-3</v>
      </c>
      <c r="AB47" s="272">
        <v>5.3404000000000004E-3</v>
      </c>
      <c r="AC47" s="272">
        <v>5.3404000000000004E-3</v>
      </c>
      <c r="AD47" s="272">
        <v>0.87507389999999996</v>
      </c>
      <c r="AE47" s="272">
        <v>0.86055630000000005</v>
      </c>
      <c r="AF47" s="272">
        <v>1.1427685999999999</v>
      </c>
      <c r="AG47" s="272">
        <v>1.1620470000000001</v>
      </c>
      <c r="AH47" s="272">
        <v>7.9993800000000004E-2</v>
      </c>
      <c r="AI47" s="272">
        <v>8.1343299999999993E-2</v>
      </c>
      <c r="AJ47" s="154"/>
      <c r="AK47" s="154"/>
      <c r="AL47" s="154"/>
      <c r="AM47" s="154"/>
      <c r="AN47" s="154"/>
      <c r="AO47" s="154"/>
      <c r="AP47" s="154"/>
      <c r="AQ47" s="163"/>
      <c r="AR47" s="163"/>
      <c r="AS47" s="196"/>
      <c r="AT47" s="196"/>
      <c r="AU47" s="196"/>
      <c r="AV47" s="196"/>
      <c r="AW47" s="196"/>
      <c r="AX47" s="196"/>
      <c r="AY47" s="196"/>
      <c r="AZ47" s="196"/>
      <c r="BA47" s="196"/>
      <c r="BB47" s="196"/>
      <c r="BC47" s="196"/>
      <c r="BD47" s="196"/>
      <c r="BE47" s="196"/>
      <c r="BF47" s="196"/>
      <c r="BG47" s="163"/>
      <c r="BH47" s="163"/>
      <c r="BI47" s="163"/>
      <c r="BJ47" s="163"/>
      <c r="BK47" s="163"/>
      <c r="BL47" s="163"/>
      <c r="BM47" s="163"/>
      <c r="BN47" s="163"/>
    </row>
    <row r="48" spans="1:66">
      <c r="A48" s="163">
        <v>10116</v>
      </c>
      <c r="B48" s="163" t="s">
        <v>52</v>
      </c>
      <c r="C48" s="267">
        <v>1</v>
      </c>
      <c r="D48" s="267">
        <v>0</v>
      </c>
      <c r="E48" s="272">
        <v>0.23100000000000001</v>
      </c>
      <c r="F48" s="272">
        <v>0.22900000000000001</v>
      </c>
      <c r="G48" s="272">
        <v>0.23</v>
      </c>
      <c r="H48" s="272">
        <v>0</v>
      </c>
      <c r="I48" s="272">
        <v>0</v>
      </c>
      <c r="J48" s="272">
        <v>0</v>
      </c>
      <c r="K48" s="272">
        <v>0</v>
      </c>
      <c r="L48" s="272">
        <v>0</v>
      </c>
      <c r="M48" s="272">
        <v>0</v>
      </c>
      <c r="N48" s="272">
        <v>0.24199999999999999</v>
      </c>
      <c r="O48" s="272">
        <v>0.24299999999999999</v>
      </c>
      <c r="P48" s="272">
        <v>2120</v>
      </c>
      <c r="Q48" s="272">
        <v>2129</v>
      </c>
      <c r="R48" s="272">
        <v>0.224</v>
      </c>
      <c r="S48" s="272">
        <v>1962</v>
      </c>
      <c r="T48" s="272">
        <v>1.7999999999999999E-2</v>
      </c>
      <c r="U48" s="272">
        <v>1.9E-2</v>
      </c>
      <c r="V48" s="272">
        <v>0</v>
      </c>
      <c r="W48" s="272">
        <v>0</v>
      </c>
      <c r="X48" s="272">
        <v>3.2299999999999999E-5</v>
      </c>
      <c r="Y48" s="272">
        <v>3.2299999999999999E-5</v>
      </c>
      <c r="Z48" s="272">
        <v>0</v>
      </c>
      <c r="AA48" s="272">
        <v>3.2299999999999999E-5</v>
      </c>
      <c r="AB48" s="272">
        <v>3.2299999999999999E-5</v>
      </c>
      <c r="AC48" s="272">
        <v>3.2299999999999999E-5</v>
      </c>
      <c r="AD48" s="272">
        <v>0.92693610000000004</v>
      </c>
      <c r="AE48" s="272">
        <v>0.92312150000000004</v>
      </c>
      <c r="AF48" s="272">
        <v>1.0803571000000001</v>
      </c>
      <c r="AG48" s="272">
        <v>1.0848214</v>
      </c>
      <c r="AH48" s="272">
        <v>0</v>
      </c>
      <c r="AI48" s="272">
        <v>0</v>
      </c>
      <c r="AJ48" s="154"/>
      <c r="AK48" s="154"/>
      <c r="AL48" s="154"/>
      <c r="AM48" s="154"/>
      <c r="AN48" s="154"/>
      <c r="AO48" s="154"/>
      <c r="AP48" s="154"/>
      <c r="AQ48" s="163"/>
      <c r="AR48" s="163"/>
      <c r="AS48" s="196"/>
      <c r="AT48" s="196"/>
      <c r="AU48" s="196"/>
      <c r="AV48" s="196"/>
      <c r="AW48" s="196"/>
      <c r="AX48" s="196"/>
      <c r="AY48" s="196"/>
      <c r="AZ48" s="196"/>
      <c r="BA48" s="196"/>
      <c r="BB48" s="196"/>
      <c r="BC48" s="196"/>
      <c r="BD48" s="196"/>
      <c r="BE48" s="196"/>
      <c r="BF48" s="196"/>
      <c r="BG48" s="163"/>
      <c r="BH48" s="163"/>
      <c r="BI48" s="163"/>
      <c r="BJ48" s="163"/>
      <c r="BK48" s="163"/>
      <c r="BL48" s="163"/>
      <c r="BM48" s="163"/>
      <c r="BN48" s="163"/>
    </row>
    <row r="49" spans="1:66">
      <c r="A49" s="165">
        <v>10118</v>
      </c>
      <c r="B49" s="165" t="s">
        <v>53</v>
      </c>
      <c r="C49" s="268">
        <v>0</v>
      </c>
      <c r="D49" s="268">
        <v>1</v>
      </c>
      <c r="E49" s="272">
        <v>46.354999999999997</v>
      </c>
      <c r="F49" s="272">
        <v>52.378</v>
      </c>
      <c r="G49" s="272">
        <v>54.371000000000002</v>
      </c>
      <c r="H49" s="272">
        <v>0</v>
      </c>
      <c r="I49" s="272">
        <v>0</v>
      </c>
      <c r="J49" s="272">
        <v>2.37</v>
      </c>
      <c r="K49" s="272">
        <v>2.363</v>
      </c>
      <c r="L49" s="272">
        <v>20761</v>
      </c>
      <c r="M49" s="272">
        <v>20700</v>
      </c>
      <c r="N49" s="272">
        <v>46.279000000000003</v>
      </c>
      <c r="O49" s="272">
        <v>46.521999999999998</v>
      </c>
      <c r="P49" s="272">
        <v>405404</v>
      </c>
      <c r="Q49" s="272">
        <v>407533</v>
      </c>
      <c r="R49" s="272">
        <v>44.941000000000003</v>
      </c>
      <c r="S49" s="272">
        <v>393683</v>
      </c>
      <c r="T49" s="272">
        <v>1.3380000000000001</v>
      </c>
      <c r="U49" s="272">
        <v>1.581</v>
      </c>
      <c r="V49" s="272">
        <v>1.3380000000000001</v>
      </c>
      <c r="W49" s="272">
        <v>1.581</v>
      </c>
      <c r="X49" s="272">
        <v>6.4710999999999996E-3</v>
      </c>
      <c r="Y49" s="272">
        <v>6.4710999999999996E-3</v>
      </c>
      <c r="Z49" s="272">
        <v>0</v>
      </c>
      <c r="AA49" s="272">
        <v>6.4710999999999996E-3</v>
      </c>
      <c r="AB49" s="272">
        <v>6.4710999999999996E-3</v>
      </c>
      <c r="AC49" s="272">
        <v>6.4710999999999996E-3</v>
      </c>
      <c r="AD49" s="272">
        <v>0.97248869999999998</v>
      </c>
      <c r="AE49" s="272">
        <v>0.96765460000000003</v>
      </c>
      <c r="AF49" s="272">
        <v>1.0297723999999999</v>
      </c>
      <c r="AG49" s="272">
        <v>1.0351794999999999</v>
      </c>
      <c r="AH49" s="272">
        <v>6.69352E-2</v>
      </c>
      <c r="AI49" s="272">
        <v>6.7286700000000005E-2</v>
      </c>
      <c r="AJ49" s="161"/>
      <c r="AK49" s="161"/>
      <c r="AL49" s="161"/>
      <c r="AM49" s="161"/>
      <c r="AN49" s="161"/>
      <c r="AO49" s="161"/>
      <c r="AP49" s="161"/>
      <c r="AS49" s="160"/>
      <c r="AT49" s="160"/>
      <c r="AU49" s="196"/>
      <c r="AV49" s="196"/>
      <c r="AW49" s="196"/>
      <c r="AX49" s="196"/>
      <c r="AY49" s="196"/>
      <c r="AZ49" s="196"/>
      <c r="BA49" s="196"/>
      <c r="BB49" s="196"/>
      <c r="BC49" s="196"/>
      <c r="BD49" s="196"/>
      <c r="BE49" s="160"/>
      <c r="BF49" s="160"/>
      <c r="BG49" s="163"/>
      <c r="BM49" s="163"/>
      <c r="BN49" s="163"/>
    </row>
    <row r="50" spans="1:66">
      <c r="A50" s="163">
        <v>10121</v>
      </c>
      <c r="B50" s="163" t="s">
        <v>54</v>
      </c>
      <c r="C50" s="267">
        <v>0</v>
      </c>
      <c r="D50" s="267">
        <v>1</v>
      </c>
      <c r="E50" s="272">
        <v>41.484999999999999</v>
      </c>
      <c r="F50" s="272">
        <v>39.033000000000001</v>
      </c>
      <c r="G50" s="272">
        <v>38.908000000000001</v>
      </c>
      <c r="H50" s="272">
        <v>0</v>
      </c>
      <c r="I50" s="272">
        <v>0</v>
      </c>
      <c r="J50" s="272">
        <v>0</v>
      </c>
      <c r="K50" s="272">
        <v>0</v>
      </c>
      <c r="L50" s="272">
        <v>0</v>
      </c>
      <c r="M50" s="272">
        <v>0</v>
      </c>
      <c r="N50" s="272">
        <v>38.851999999999997</v>
      </c>
      <c r="O50" s="272">
        <v>38.851999999999997</v>
      </c>
      <c r="P50" s="272">
        <v>340344</v>
      </c>
      <c r="Q50" s="272">
        <v>340344</v>
      </c>
      <c r="R50" s="272">
        <v>40.219000000000001</v>
      </c>
      <c r="S50" s="272">
        <v>352318</v>
      </c>
      <c r="T50" s="272">
        <v>0</v>
      </c>
      <c r="U50" s="272">
        <v>0</v>
      </c>
      <c r="V50" s="272">
        <v>0</v>
      </c>
      <c r="W50" s="272">
        <v>0</v>
      </c>
      <c r="X50" s="272">
        <v>5.5944000000000002E-3</v>
      </c>
      <c r="Y50" s="272">
        <v>5.5944000000000002E-3</v>
      </c>
      <c r="Z50" s="272">
        <v>0</v>
      </c>
      <c r="AA50" s="272">
        <v>5.5944000000000002E-3</v>
      </c>
      <c r="AB50" s="272">
        <v>5.5944000000000002E-3</v>
      </c>
      <c r="AC50" s="272">
        <v>5.5944000000000002E-3</v>
      </c>
      <c r="AD50" s="272">
        <v>1</v>
      </c>
      <c r="AE50" s="272">
        <v>1</v>
      </c>
      <c r="AF50" s="272">
        <v>1</v>
      </c>
      <c r="AG50" s="272">
        <v>1</v>
      </c>
      <c r="AH50" s="272">
        <v>0.06</v>
      </c>
      <c r="AI50" s="272">
        <v>0.06</v>
      </c>
      <c r="AJ50" s="154"/>
      <c r="AK50" s="154"/>
      <c r="AL50" s="154"/>
      <c r="AM50" s="154"/>
      <c r="AN50" s="154"/>
      <c r="AO50" s="154"/>
      <c r="AP50" s="154"/>
      <c r="AQ50" s="163"/>
      <c r="AR50" s="163"/>
      <c r="AS50" s="196"/>
      <c r="AT50" s="196"/>
      <c r="AU50" s="196"/>
      <c r="AV50" s="196"/>
      <c r="AW50" s="196"/>
      <c r="AX50" s="196"/>
      <c r="AY50" s="196"/>
      <c r="AZ50" s="196"/>
      <c r="BA50" s="196"/>
      <c r="BB50" s="196"/>
      <c r="BC50" s="196"/>
      <c r="BD50" s="196"/>
      <c r="BE50" s="196"/>
      <c r="BF50" s="196"/>
      <c r="BG50" s="163"/>
      <c r="BH50" s="163"/>
      <c r="BI50" s="163"/>
      <c r="BJ50" s="163"/>
      <c r="BK50" s="163"/>
      <c r="BL50" s="163"/>
      <c r="BM50" s="163"/>
      <c r="BN50" s="163"/>
    </row>
    <row r="51" spans="1:66">
      <c r="A51" s="163">
        <v>10123</v>
      </c>
      <c r="B51" s="163" t="s">
        <v>55</v>
      </c>
      <c r="C51" s="267">
        <v>1</v>
      </c>
      <c r="D51" s="267">
        <v>0</v>
      </c>
      <c r="E51" s="272">
        <v>557.39200000000005</v>
      </c>
      <c r="F51" s="272">
        <v>460.53899999999999</v>
      </c>
      <c r="G51" s="272">
        <v>477.32100000000003</v>
      </c>
      <c r="H51" s="272">
        <v>25.07</v>
      </c>
      <c r="I51" s="272">
        <v>25.001999999999999</v>
      </c>
      <c r="J51" s="272">
        <v>15.786</v>
      </c>
      <c r="K51" s="272">
        <v>15.72</v>
      </c>
      <c r="L51" s="272">
        <v>138285</v>
      </c>
      <c r="M51" s="272">
        <v>137707</v>
      </c>
      <c r="N51" s="272">
        <v>419.68299999999999</v>
      </c>
      <c r="O51" s="272">
        <v>436.59899999999999</v>
      </c>
      <c r="P51" s="272">
        <v>3676423</v>
      </c>
      <c r="Q51" s="272">
        <v>3824607</v>
      </c>
      <c r="R51" s="272">
        <v>540.38499999999999</v>
      </c>
      <c r="S51" s="272">
        <v>4733773</v>
      </c>
      <c r="T51" s="272">
        <v>43.331000000000003</v>
      </c>
      <c r="U51" s="272">
        <v>57.744999999999997</v>
      </c>
      <c r="V51" s="272">
        <v>43.331000000000003</v>
      </c>
      <c r="W51" s="272">
        <v>57.744999999999997</v>
      </c>
      <c r="X51" s="272">
        <v>6.0430900000000003E-2</v>
      </c>
      <c r="Y51" s="272">
        <v>6.2866599999999995E-2</v>
      </c>
      <c r="Z51" s="272">
        <v>3.9905299999999998E-2</v>
      </c>
      <c r="AA51" s="272">
        <v>2.0525600000000001E-2</v>
      </c>
      <c r="AB51" s="272">
        <v>2.29613E-2</v>
      </c>
      <c r="AC51" s="272">
        <v>2.1743499999999999E-2</v>
      </c>
      <c r="AD51" s="272">
        <v>0.92771420000000004</v>
      </c>
      <c r="AE51" s="272">
        <v>0.90593020000000002</v>
      </c>
      <c r="AF51" s="272">
        <v>1</v>
      </c>
      <c r="AG51" s="272">
        <v>1</v>
      </c>
      <c r="AH51" s="272">
        <v>0</v>
      </c>
      <c r="AI51" s="272">
        <v>0</v>
      </c>
      <c r="AJ51" s="154"/>
      <c r="AK51" s="154"/>
      <c r="AL51" s="154"/>
      <c r="AM51" s="154"/>
      <c r="AN51" s="154"/>
      <c r="AO51" s="154"/>
      <c r="AP51" s="154"/>
      <c r="AQ51" s="163"/>
      <c r="AR51" s="163"/>
      <c r="AS51" s="196"/>
      <c r="AT51" s="196"/>
      <c r="AU51" s="196"/>
      <c r="AV51" s="196"/>
      <c r="AW51" s="196"/>
      <c r="AX51" s="196"/>
      <c r="AY51" s="196"/>
      <c r="AZ51" s="196"/>
      <c r="BA51" s="196"/>
      <c r="BB51" s="196"/>
      <c r="BC51" s="196"/>
      <c r="BD51" s="196"/>
      <c r="BE51" s="196"/>
      <c r="BF51" s="196"/>
      <c r="BG51" s="163"/>
      <c r="BH51" s="163"/>
      <c r="BI51" s="163"/>
      <c r="BJ51" s="163"/>
      <c r="BK51" s="163"/>
      <c r="BL51" s="163"/>
      <c r="BM51" s="163"/>
      <c r="BN51" s="163"/>
    </row>
    <row r="52" spans="1:66">
      <c r="A52" s="163">
        <v>10136</v>
      </c>
      <c r="B52" s="163" t="s">
        <v>56</v>
      </c>
      <c r="C52" s="267">
        <v>0</v>
      </c>
      <c r="D52" s="267">
        <v>1</v>
      </c>
      <c r="E52" s="272">
        <v>18.814</v>
      </c>
      <c r="F52" s="272">
        <v>18.940000000000001</v>
      </c>
      <c r="G52" s="272">
        <v>19.065999999999999</v>
      </c>
      <c r="H52" s="272">
        <v>0</v>
      </c>
      <c r="I52" s="272">
        <v>0</v>
      </c>
      <c r="J52" s="272">
        <v>0</v>
      </c>
      <c r="K52" s="272">
        <v>0</v>
      </c>
      <c r="L52" s="272">
        <v>0</v>
      </c>
      <c r="M52" s="272">
        <v>0</v>
      </c>
      <c r="N52" s="272">
        <v>18.114000000000001</v>
      </c>
      <c r="O52" s="272">
        <v>18.158999999999999</v>
      </c>
      <c r="P52" s="272">
        <v>158679</v>
      </c>
      <c r="Q52" s="272">
        <v>159073</v>
      </c>
      <c r="R52" s="272">
        <v>18.239999999999998</v>
      </c>
      <c r="S52" s="272">
        <v>159782</v>
      </c>
      <c r="T52" s="272">
        <v>0</v>
      </c>
      <c r="U52" s="272">
        <v>0</v>
      </c>
      <c r="V52" s="272">
        <v>0</v>
      </c>
      <c r="W52" s="272">
        <v>0</v>
      </c>
      <c r="X52" s="272">
        <v>2.6083E-3</v>
      </c>
      <c r="Y52" s="272">
        <v>2.6147000000000002E-3</v>
      </c>
      <c r="Z52" s="272">
        <v>0</v>
      </c>
      <c r="AA52" s="272">
        <v>2.6083E-3</v>
      </c>
      <c r="AB52" s="272">
        <v>2.6147000000000002E-3</v>
      </c>
      <c r="AC52" s="272">
        <v>2.6115000000000001E-3</v>
      </c>
      <c r="AD52" s="272">
        <v>1</v>
      </c>
      <c r="AE52" s="272">
        <v>0.99998290000000001</v>
      </c>
      <c r="AF52" s="272">
        <v>1</v>
      </c>
      <c r="AG52" s="272">
        <v>1</v>
      </c>
      <c r="AH52" s="272">
        <v>7.0000000000000007E-2</v>
      </c>
      <c r="AI52" s="272">
        <v>7.0000000000000007E-2</v>
      </c>
      <c r="AJ52" s="154"/>
      <c r="AK52" s="154"/>
      <c r="AL52" s="154"/>
      <c r="AM52" s="154"/>
      <c r="AN52" s="154"/>
      <c r="AO52" s="154"/>
      <c r="AP52" s="154"/>
      <c r="AQ52" s="163"/>
      <c r="AR52" s="163"/>
      <c r="AS52" s="196"/>
      <c r="AT52" s="196"/>
      <c r="AU52" s="196"/>
      <c r="AV52" s="196"/>
      <c r="AW52" s="196"/>
      <c r="AX52" s="196"/>
      <c r="AY52" s="196"/>
      <c r="AZ52" s="196"/>
      <c r="BA52" s="196"/>
      <c r="BB52" s="196"/>
      <c r="BC52" s="196"/>
      <c r="BD52" s="196"/>
      <c r="BE52" s="196"/>
      <c r="BF52" s="196"/>
      <c r="BG52" s="163"/>
      <c r="BH52" s="163"/>
      <c r="BI52" s="163"/>
      <c r="BJ52" s="163"/>
      <c r="BK52" s="163"/>
      <c r="BL52" s="163"/>
      <c r="BM52" s="163"/>
      <c r="BN52" s="163"/>
    </row>
    <row r="53" spans="1:66">
      <c r="A53" s="163">
        <v>10142</v>
      </c>
      <c r="B53" s="163" t="s">
        <v>57</v>
      </c>
      <c r="C53" s="267">
        <v>1</v>
      </c>
      <c r="D53" s="267">
        <v>0</v>
      </c>
      <c r="E53" s="272">
        <v>2.7269999999999999</v>
      </c>
      <c r="F53" s="272">
        <v>2.964</v>
      </c>
      <c r="G53" s="272">
        <v>2.9630000000000001</v>
      </c>
      <c r="H53" s="272">
        <v>0</v>
      </c>
      <c r="I53" s="272">
        <v>0</v>
      </c>
      <c r="J53" s="272">
        <v>0</v>
      </c>
      <c r="K53" s="272">
        <v>0</v>
      </c>
      <c r="L53" s="272">
        <v>0</v>
      </c>
      <c r="M53" s="272">
        <v>0</v>
      </c>
      <c r="N53" s="272">
        <v>2.8639999999999999</v>
      </c>
      <c r="O53" s="272">
        <v>2.8780000000000001</v>
      </c>
      <c r="P53" s="272">
        <v>25089</v>
      </c>
      <c r="Q53" s="272">
        <v>25211</v>
      </c>
      <c r="R53" s="272">
        <v>2.6440000000000001</v>
      </c>
      <c r="S53" s="272">
        <v>23161</v>
      </c>
      <c r="T53" s="272">
        <v>0.22</v>
      </c>
      <c r="U53" s="272">
        <v>0.23400000000000001</v>
      </c>
      <c r="V53" s="272">
        <v>0</v>
      </c>
      <c r="W53" s="272">
        <v>0</v>
      </c>
      <c r="X53" s="272">
        <v>3.8069999999999998E-4</v>
      </c>
      <c r="Y53" s="272">
        <v>3.8069999999999998E-4</v>
      </c>
      <c r="Z53" s="272">
        <v>0</v>
      </c>
      <c r="AA53" s="272">
        <v>3.8069999999999998E-4</v>
      </c>
      <c r="AB53" s="272">
        <v>3.8069999999999998E-4</v>
      </c>
      <c r="AC53" s="272">
        <v>3.8069999999999998E-4</v>
      </c>
      <c r="AD53" s="272">
        <v>0.92315040000000004</v>
      </c>
      <c r="AE53" s="272">
        <v>0.91865980000000003</v>
      </c>
      <c r="AF53" s="272">
        <v>1.0832073</v>
      </c>
      <c r="AG53" s="272">
        <v>1.0885023</v>
      </c>
      <c r="AH53" s="272">
        <v>3.2496200000000003E-2</v>
      </c>
      <c r="AI53" s="272">
        <v>3.2655099999999999E-2</v>
      </c>
      <c r="AJ53" s="154"/>
      <c r="AK53" s="154"/>
      <c r="AL53" s="154"/>
      <c r="AM53" s="154"/>
      <c r="AN53" s="154"/>
      <c r="AO53" s="154"/>
      <c r="AP53" s="154"/>
      <c r="AQ53" s="163"/>
      <c r="AR53" s="163"/>
      <c r="AS53" s="196"/>
      <c r="AT53" s="196"/>
      <c r="AU53" s="196"/>
      <c r="AV53" s="196"/>
      <c r="AW53" s="196"/>
      <c r="AX53" s="196"/>
      <c r="AY53" s="196"/>
      <c r="AZ53" s="196"/>
      <c r="BA53" s="196"/>
      <c r="BB53" s="196"/>
      <c r="BC53" s="196"/>
      <c r="BD53" s="196"/>
      <c r="BE53" s="196"/>
      <c r="BF53" s="196"/>
      <c r="BG53" s="163"/>
      <c r="BH53" s="163"/>
      <c r="BI53" s="163"/>
      <c r="BJ53" s="163"/>
      <c r="BK53" s="163"/>
      <c r="BL53" s="163"/>
      <c r="BM53" s="163"/>
      <c r="BN53" s="163"/>
    </row>
    <row r="54" spans="1:66">
      <c r="A54" s="163">
        <v>10144</v>
      </c>
      <c r="B54" s="163" t="s">
        <v>58</v>
      </c>
      <c r="C54" s="267">
        <v>1</v>
      </c>
      <c r="D54" s="267">
        <v>0</v>
      </c>
      <c r="E54" s="272">
        <v>3.4180000000000001</v>
      </c>
      <c r="F54" s="272">
        <v>3.298</v>
      </c>
      <c r="G54" s="272">
        <v>3.29</v>
      </c>
      <c r="H54" s="272">
        <v>0</v>
      </c>
      <c r="I54" s="272">
        <v>0</v>
      </c>
      <c r="J54" s="272">
        <v>0</v>
      </c>
      <c r="K54" s="272">
        <v>0</v>
      </c>
      <c r="L54" s="272">
        <v>0</v>
      </c>
      <c r="M54" s="272">
        <v>0</v>
      </c>
      <c r="N54" s="272">
        <v>3.2629999999999999</v>
      </c>
      <c r="O54" s="272">
        <v>3.2690000000000001</v>
      </c>
      <c r="P54" s="272">
        <v>28584</v>
      </c>
      <c r="Q54" s="272">
        <v>28636</v>
      </c>
      <c r="R54" s="272">
        <v>3.3140000000000001</v>
      </c>
      <c r="S54" s="272">
        <v>29031</v>
      </c>
      <c r="T54" s="272">
        <v>0</v>
      </c>
      <c r="U54" s="272">
        <v>0</v>
      </c>
      <c r="V54" s="272">
        <v>0</v>
      </c>
      <c r="W54" s="272">
        <v>0</v>
      </c>
      <c r="X54" s="272">
        <v>4.6979999999999998E-4</v>
      </c>
      <c r="Y54" s="272">
        <v>4.707E-4</v>
      </c>
      <c r="Z54" s="272">
        <v>0</v>
      </c>
      <c r="AA54" s="272">
        <v>4.6979999999999998E-4</v>
      </c>
      <c r="AB54" s="272">
        <v>4.707E-4</v>
      </c>
      <c r="AC54" s="272">
        <v>4.7029999999999999E-4</v>
      </c>
      <c r="AD54" s="272">
        <v>0.99990460000000003</v>
      </c>
      <c r="AE54" s="272">
        <v>0.99998129999999996</v>
      </c>
      <c r="AF54" s="272">
        <v>1</v>
      </c>
      <c r="AG54" s="272">
        <v>1</v>
      </c>
      <c r="AH54" s="272">
        <v>0</v>
      </c>
      <c r="AI54" s="272">
        <v>0</v>
      </c>
      <c r="AJ54" s="154"/>
      <c r="AK54" s="154"/>
      <c r="AL54" s="154"/>
      <c r="AM54" s="154"/>
      <c r="AN54" s="154"/>
      <c r="AO54" s="154"/>
      <c r="AP54" s="154"/>
      <c r="AQ54" s="163"/>
      <c r="AR54" s="163"/>
      <c r="AS54" s="196"/>
      <c r="AT54" s="196"/>
      <c r="AU54" s="196"/>
      <c r="AV54" s="196"/>
      <c r="AW54" s="196"/>
      <c r="AX54" s="196"/>
      <c r="AY54" s="196"/>
      <c r="AZ54" s="196"/>
      <c r="BA54" s="196"/>
      <c r="BB54" s="196"/>
      <c r="BC54" s="196"/>
      <c r="BD54" s="196"/>
      <c r="BE54" s="196"/>
      <c r="BF54" s="196"/>
      <c r="BG54" s="163"/>
      <c r="BH54" s="163"/>
      <c r="BI54" s="163"/>
      <c r="BJ54" s="163"/>
      <c r="BK54" s="163"/>
      <c r="BL54" s="163"/>
      <c r="BM54" s="163"/>
      <c r="BN54" s="163"/>
    </row>
    <row r="55" spans="1:66">
      <c r="A55" s="163">
        <v>10156</v>
      </c>
      <c r="B55" s="163" t="s">
        <v>59</v>
      </c>
      <c r="C55" s="267">
        <v>1</v>
      </c>
      <c r="D55" s="267">
        <v>0</v>
      </c>
      <c r="E55" s="272">
        <v>32.719000000000001</v>
      </c>
      <c r="F55" s="272">
        <v>33.258000000000003</v>
      </c>
      <c r="G55" s="272">
        <v>33.445</v>
      </c>
      <c r="H55" s="272">
        <v>0</v>
      </c>
      <c r="I55" s="272">
        <v>0</v>
      </c>
      <c r="J55" s="272">
        <v>0</v>
      </c>
      <c r="K55" s="272">
        <v>0</v>
      </c>
      <c r="L55" s="272">
        <v>0</v>
      </c>
      <c r="M55" s="272">
        <v>0</v>
      </c>
      <c r="N55" s="272">
        <v>31.623000000000001</v>
      </c>
      <c r="O55" s="272">
        <v>31.885999999999999</v>
      </c>
      <c r="P55" s="272">
        <v>277017</v>
      </c>
      <c r="Q55" s="272">
        <v>279321</v>
      </c>
      <c r="R55" s="272">
        <v>31.721</v>
      </c>
      <c r="S55" s="272">
        <v>277876</v>
      </c>
      <c r="T55" s="272">
        <v>0</v>
      </c>
      <c r="U55" s="272">
        <v>0.16500000000000001</v>
      </c>
      <c r="V55" s="272">
        <v>0</v>
      </c>
      <c r="W55" s="272">
        <v>0</v>
      </c>
      <c r="X55" s="272">
        <v>4.5534E-3</v>
      </c>
      <c r="Y55" s="272">
        <v>4.5675999999999998E-3</v>
      </c>
      <c r="Z55" s="272">
        <v>0</v>
      </c>
      <c r="AA55" s="272">
        <v>4.5534E-3</v>
      </c>
      <c r="AB55" s="272">
        <v>4.5675999999999998E-3</v>
      </c>
      <c r="AC55" s="272">
        <v>4.5605000000000003E-3</v>
      </c>
      <c r="AD55" s="272">
        <v>0.99998929999999997</v>
      </c>
      <c r="AE55" s="272">
        <v>0.99483410000000005</v>
      </c>
      <c r="AF55" s="272">
        <v>1</v>
      </c>
      <c r="AG55" s="272">
        <v>1.0052015999999999</v>
      </c>
      <c r="AH55" s="272">
        <v>0</v>
      </c>
      <c r="AI55" s="272">
        <v>0</v>
      </c>
      <c r="AJ55" s="154"/>
      <c r="AK55" s="154"/>
      <c r="AL55" s="154"/>
      <c r="AM55" s="154"/>
      <c r="AN55" s="154"/>
      <c r="AO55" s="154"/>
      <c r="AP55" s="154"/>
      <c r="AQ55" s="163"/>
      <c r="AR55" s="163"/>
      <c r="AS55" s="196"/>
      <c r="AT55" s="196"/>
      <c r="AU55" s="196"/>
      <c r="AV55" s="196"/>
      <c r="AW55" s="196"/>
      <c r="AX55" s="196"/>
      <c r="AY55" s="196"/>
      <c r="AZ55" s="196"/>
      <c r="BA55" s="196"/>
      <c r="BB55" s="196"/>
      <c r="BC55" s="196"/>
      <c r="BD55" s="196"/>
      <c r="BE55" s="196"/>
      <c r="BF55" s="196"/>
      <c r="BG55" s="163"/>
      <c r="BH55" s="163"/>
      <c r="BI55" s="163"/>
      <c r="BJ55" s="163"/>
      <c r="BK55" s="163"/>
      <c r="BL55" s="163"/>
      <c r="BM55" s="163"/>
      <c r="BN55" s="163"/>
    </row>
    <row r="56" spans="1:66">
      <c r="A56" s="163">
        <v>10157</v>
      </c>
      <c r="B56" s="163" t="s">
        <v>60</v>
      </c>
      <c r="C56" s="267">
        <v>1</v>
      </c>
      <c r="D56" s="267">
        <v>0</v>
      </c>
      <c r="E56" s="272">
        <v>50.703000000000003</v>
      </c>
      <c r="F56" s="272">
        <v>93.454999999999998</v>
      </c>
      <c r="G56" s="272">
        <v>93.620999999999995</v>
      </c>
      <c r="H56" s="272">
        <v>38.573999999999998</v>
      </c>
      <c r="I56" s="272">
        <v>38.466999999999999</v>
      </c>
      <c r="J56" s="272">
        <v>2.5569999999999999</v>
      </c>
      <c r="K56" s="272">
        <v>2.5489999999999999</v>
      </c>
      <c r="L56" s="272">
        <v>22399</v>
      </c>
      <c r="M56" s="272">
        <v>22329</v>
      </c>
      <c r="N56" s="272">
        <v>52.323999999999998</v>
      </c>
      <c r="O56" s="272">
        <v>52.604999999999997</v>
      </c>
      <c r="P56" s="272">
        <v>458358</v>
      </c>
      <c r="Q56" s="272">
        <v>460820</v>
      </c>
      <c r="R56" s="272">
        <v>49.155999999999999</v>
      </c>
      <c r="S56" s="272">
        <v>430607</v>
      </c>
      <c r="T56" s="272">
        <v>1.2050000000000001</v>
      </c>
      <c r="U56" s="272">
        <v>1.6479999999999999</v>
      </c>
      <c r="V56" s="272">
        <v>1.2050000000000001</v>
      </c>
      <c r="W56" s="272">
        <v>1.6479999999999999</v>
      </c>
      <c r="X56" s="272">
        <v>7.0781000000000004E-3</v>
      </c>
      <c r="Y56" s="272">
        <v>7.0781000000000004E-3</v>
      </c>
      <c r="Z56" s="272">
        <v>3.7000000000000002E-3</v>
      </c>
      <c r="AA56" s="272">
        <v>3.3781000000000002E-3</v>
      </c>
      <c r="AB56" s="272">
        <v>3.3781000000000002E-3</v>
      </c>
      <c r="AC56" s="272">
        <v>3.3781000000000002E-3</v>
      </c>
      <c r="AD56" s="272">
        <v>0.97723139999999997</v>
      </c>
      <c r="AE56" s="272">
        <v>0.96911729999999996</v>
      </c>
      <c r="AF56" s="272">
        <v>1.0644479</v>
      </c>
      <c r="AG56" s="272">
        <v>1.0701643999999999</v>
      </c>
      <c r="AH56" s="272">
        <v>5.3222400000000003E-2</v>
      </c>
      <c r="AI56" s="272">
        <v>5.3508199999999999E-2</v>
      </c>
      <c r="AJ56" s="154"/>
      <c r="AK56" s="154"/>
      <c r="AL56" s="154"/>
      <c r="AM56" s="154"/>
      <c r="AN56" s="154"/>
      <c r="AO56" s="154"/>
      <c r="AP56" s="154"/>
      <c r="AQ56" s="163"/>
      <c r="AR56" s="163"/>
      <c r="AS56" s="196"/>
      <c r="AT56" s="196"/>
      <c r="AU56" s="196"/>
      <c r="AV56" s="196"/>
      <c r="AW56" s="196"/>
      <c r="AX56" s="196"/>
      <c r="AY56" s="196"/>
      <c r="AZ56" s="196"/>
      <c r="BA56" s="196"/>
      <c r="BB56" s="196"/>
      <c r="BC56" s="196"/>
      <c r="BD56" s="196"/>
      <c r="BE56" s="196"/>
      <c r="BF56" s="196"/>
      <c r="BG56" s="163"/>
      <c r="BH56" s="163"/>
      <c r="BI56" s="163"/>
      <c r="BJ56" s="163"/>
      <c r="BK56" s="163"/>
      <c r="BL56" s="163"/>
      <c r="BM56" s="163"/>
      <c r="BN56" s="163"/>
    </row>
    <row r="57" spans="1:66">
      <c r="A57" s="163">
        <v>10158</v>
      </c>
      <c r="B57" s="163" t="s">
        <v>61</v>
      </c>
      <c r="C57" s="267">
        <v>1</v>
      </c>
      <c r="D57" s="267">
        <v>0</v>
      </c>
      <c r="E57" s="272">
        <v>2.8330000000000002</v>
      </c>
      <c r="F57" s="272">
        <v>2.3820000000000001</v>
      </c>
      <c r="G57" s="272">
        <v>2.3730000000000002</v>
      </c>
      <c r="H57" s="272">
        <v>0</v>
      </c>
      <c r="I57" s="272">
        <v>0</v>
      </c>
      <c r="J57" s="272">
        <v>0</v>
      </c>
      <c r="K57" s="272">
        <v>0</v>
      </c>
      <c r="L57" s="272">
        <v>0</v>
      </c>
      <c r="M57" s="272">
        <v>0</v>
      </c>
      <c r="N57" s="272">
        <v>2.637</v>
      </c>
      <c r="O57" s="272">
        <v>2.637</v>
      </c>
      <c r="P57" s="272">
        <v>23100</v>
      </c>
      <c r="Q57" s="272">
        <v>23100</v>
      </c>
      <c r="R57" s="272">
        <v>2.7469999999999999</v>
      </c>
      <c r="S57" s="272">
        <v>24064</v>
      </c>
      <c r="T57" s="272">
        <v>0</v>
      </c>
      <c r="U57" s="272">
        <v>0</v>
      </c>
      <c r="V57" s="272">
        <v>0</v>
      </c>
      <c r="W57" s="272">
        <v>0</v>
      </c>
      <c r="X57" s="272">
        <v>3.7970000000000001E-4</v>
      </c>
      <c r="Y57" s="272">
        <v>3.7970000000000001E-4</v>
      </c>
      <c r="Z57" s="272">
        <v>0</v>
      </c>
      <c r="AA57" s="272">
        <v>3.7970000000000001E-4</v>
      </c>
      <c r="AB57" s="272">
        <v>3.7970000000000001E-4</v>
      </c>
      <c r="AC57" s="272">
        <v>3.7970000000000001E-4</v>
      </c>
      <c r="AD57" s="272">
        <v>0.99998410000000004</v>
      </c>
      <c r="AE57" s="272">
        <v>0.99998410000000004</v>
      </c>
      <c r="AF57" s="272">
        <v>1</v>
      </c>
      <c r="AG57" s="272">
        <v>1</v>
      </c>
      <c r="AH57" s="272">
        <v>0</v>
      </c>
      <c r="AI57" s="272">
        <v>0</v>
      </c>
      <c r="AJ57" s="154"/>
      <c r="AK57" s="154"/>
      <c r="AL57" s="154"/>
      <c r="AM57" s="154"/>
      <c r="AN57" s="154"/>
      <c r="AO57" s="154"/>
      <c r="AP57" s="154"/>
      <c r="AQ57" s="163"/>
      <c r="AR57" s="163"/>
      <c r="AS57" s="196"/>
      <c r="AT57" s="196"/>
      <c r="AU57" s="196"/>
      <c r="AV57" s="196"/>
      <c r="AW57" s="196"/>
      <c r="AX57" s="196"/>
      <c r="AY57" s="196"/>
      <c r="AZ57" s="196"/>
      <c r="BA57" s="196"/>
      <c r="BB57" s="196"/>
      <c r="BC57" s="196"/>
      <c r="BD57" s="196"/>
      <c r="BE57" s="196"/>
      <c r="BF57" s="196"/>
      <c r="BG57" s="163"/>
      <c r="BH57" s="163"/>
      <c r="BI57" s="163"/>
      <c r="BJ57" s="163"/>
      <c r="BK57" s="163"/>
      <c r="BL57" s="163"/>
      <c r="BM57" s="163"/>
      <c r="BN57" s="163"/>
    </row>
    <row r="58" spans="1:66">
      <c r="A58" s="163">
        <v>10170</v>
      </c>
      <c r="B58" s="163" t="s">
        <v>62</v>
      </c>
      <c r="C58" s="267">
        <v>1</v>
      </c>
      <c r="D58" s="267">
        <v>0</v>
      </c>
      <c r="E58" s="272">
        <v>254.84299999999999</v>
      </c>
      <c r="F58" s="272">
        <v>282.25099999999998</v>
      </c>
      <c r="G58" s="272">
        <v>281.851</v>
      </c>
      <c r="H58" s="272">
        <v>1.0029999999999999</v>
      </c>
      <c r="I58" s="272">
        <v>1</v>
      </c>
      <c r="J58" s="272">
        <v>42.497</v>
      </c>
      <c r="K58" s="272">
        <v>42.39</v>
      </c>
      <c r="L58" s="272">
        <v>372274</v>
      </c>
      <c r="M58" s="272">
        <v>371336</v>
      </c>
      <c r="N58" s="272">
        <v>238.751</v>
      </c>
      <c r="O58" s="272">
        <v>238.46100000000001</v>
      </c>
      <c r="P58" s="272">
        <v>2091459</v>
      </c>
      <c r="Q58" s="272">
        <v>2088918</v>
      </c>
      <c r="R58" s="272">
        <v>247.06700000000001</v>
      </c>
      <c r="S58" s="272">
        <v>2164307</v>
      </c>
      <c r="T58" s="272">
        <v>0</v>
      </c>
      <c r="U58" s="272">
        <v>0</v>
      </c>
      <c r="V58" s="272">
        <v>0</v>
      </c>
      <c r="W58" s="272">
        <v>0</v>
      </c>
      <c r="X58" s="272">
        <v>3.4378199999999998E-2</v>
      </c>
      <c r="Y58" s="272">
        <v>3.4336400000000003E-2</v>
      </c>
      <c r="Z58" s="272">
        <v>1.7943199999999999E-2</v>
      </c>
      <c r="AA58" s="272">
        <v>1.6435000000000002E-2</v>
      </c>
      <c r="AB58" s="272">
        <v>1.63932E-2</v>
      </c>
      <c r="AC58" s="272">
        <v>1.6414100000000001E-2</v>
      </c>
      <c r="AD58" s="272">
        <v>0.99999950000000004</v>
      </c>
      <c r="AE58" s="272">
        <v>1</v>
      </c>
      <c r="AF58" s="272">
        <v>1</v>
      </c>
      <c r="AG58" s="272">
        <v>1</v>
      </c>
      <c r="AH58" s="272">
        <v>0</v>
      </c>
      <c r="AI58" s="272">
        <v>0</v>
      </c>
      <c r="AJ58" s="154"/>
      <c r="AK58" s="154"/>
      <c r="AL58" s="154"/>
      <c r="AM58" s="154"/>
      <c r="AN58" s="154"/>
      <c r="AO58" s="154"/>
      <c r="AP58" s="154"/>
      <c r="AQ58" s="163"/>
      <c r="AR58" s="163"/>
      <c r="AS58" s="196"/>
      <c r="AT58" s="196"/>
      <c r="AU58" s="196"/>
      <c r="AV58" s="196"/>
      <c r="AW58" s="196"/>
      <c r="AX58" s="196"/>
      <c r="AY58" s="196"/>
      <c r="AZ58" s="196"/>
      <c r="BA58" s="196"/>
      <c r="BB58" s="196"/>
      <c r="BC58" s="196"/>
      <c r="BD58" s="196"/>
      <c r="BE58" s="196"/>
      <c r="BF58" s="196"/>
      <c r="BG58" s="163"/>
      <c r="BH58" s="163"/>
      <c r="BI58" s="163"/>
      <c r="BJ58" s="163"/>
      <c r="BK58" s="163"/>
      <c r="BL58" s="163"/>
      <c r="BM58" s="163"/>
      <c r="BN58" s="163"/>
    </row>
    <row r="59" spans="1:66">
      <c r="A59" s="163">
        <v>10172</v>
      </c>
      <c r="B59" s="163" t="s">
        <v>63</v>
      </c>
      <c r="C59" s="267">
        <v>1</v>
      </c>
      <c r="D59" s="267">
        <v>0</v>
      </c>
      <c r="E59" s="272">
        <v>6.1929999999999996</v>
      </c>
      <c r="F59" s="272">
        <v>5.4420000000000002</v>
      </c>
      <c r="G59" s="272">
        <v>5.4560000000000004</v>
      </c>
      <c r="H59" s="272">
        <v>0</v>
      </c>
      <c r="I59" s="272">
        <v>0</v>
      </c>
      <c r="J59" s="272">
        <v>0</v>
      </c>
      <c r="K59" s="272">
        <v>0</v>
      </c>
      <c r="L59" s="272">
        <v>0</v>
      </c>
      <c r="M59" s="272">
        <v>0</v>
      </c>
      <c r="N59" s="272">
        <v>5.5229999999999997</v>
      </c>
      <c r="O59" s="272">
        <v>5.5510000000000002</v>
      </c>
      <c r="P59" s="272">
        <v>48381</v>
      </c>
      <c r="Q59" s="272">
        <v>48627</v>
      </c>
      <c r="R59" s="272">
        <v>6.0039999999999996</v>
      </c>
      <c r="S59" s="272">
        <v>52595</v>
      </c>
      <c r="T59" s="272">
        <v>0</v>
      </c>
      <c r="U59" s="272">
        <v>0</v>
      </c>
      <c r="V59" s="272">
        <v>0</v>
      </c>
      <c r="W59" s="272">
        <v>0</v>
      </c>
      <c r="X59" s="272">
        <v>7.9529999999999998E-4</v>
      </c>
      <c r="Y59" s="272">
        <v>7.9929999999999997E-4</v>
      </c>
      <c r="Z59" s="272">
        <v>0</v>
      </c>
      <c r="AA59" s="272">
        <v>7.9529999999999998E-4</v>
      </c>
      <c r="AB59" s="272">
        <v>7.9929999999999997E-4</v>
      </c>
      <c r="AC59" s="272">
        <v>7.9730000000000003E-4</v>
      </c>
      <c r="AD59" s="272">
        <v>1</v>
      </c>
      <c r="AE59" s="272">
        <v>1</v>
      </c>
      <c r="AF59" s="272">
        <v>1</v>
      </c>
      <c r="AG59" s="272">
        <v>1</v>
      </c>
      <c r="AH59" s="272">
        <v>0</v>
      </c>
      <c r="AI59" s="272">
        <v>0</v>
      </c>
      <c r="AJ59" s="154"/>
      <c r="AK59" s="154"/>
      <c r="AL59" s="154"/>
      <c r="AM59" s="154"/>
      <c r="AN59" s="154"/>
      <c r="AO59" s="154"/>
      <c r="AP59" s="154"/>
      <c r="AQ59" s="163"/>
      <c r="AR59" s="163"/>
      <c r="AS59" s="196"/>
      <c r="AT59" s="196"/>
      <c r="AU59" s="196"/>
      <c r="AV59" s="196"/>
      <c r="AW59" s="196"/>
      <c r="AX59" s="196"/>
      <c r="AY59" s="196"/>
      <c r="AZ59" s="196"/>
      <c r="BA59" s="196"/>
      <c r="BB59" s="196"/>
      <c r="BC59" s="196"/>
      <c r="BD59" s="196"/>
      <c r="BE59" s="196"/>
      <c r="BF59" s="196"/>
      <c r="BG59" s="163"/>
      <c r="BH59" s="163"/>
      <c r="BI59" s="163"/>
      <c r="BJ59" s="163"/>
      <c r="BK59" s="163"/>
      <c r="BL59" s="163"/>
      <c r="BM59" s="163"/>
      <c r="BN59" s="163"/>
    </row>
    <row r="60" spans="1:66">
      <c r="A60" s="163">
        <v>10173</v>
      </c>
      <c r="B60" s="163" t="s">
        <v>64</v>
      </c>
      <c r="C60" s="267">
        <v>0</v>
      </c>
      <c r="D60" s="267">
        <v>1</v>
      </c>
      <c r="E60" s="272">
        <v>33.624000000000002</v>
      </c>
      <c r="F60" s="272">
        <v>39.521000000000001</v>
      </c>
      <c r="G60" s="272">
        <v>39.996000000000002</v>
      </c>
      <c r="H60" s="272">
        <v>0</v>
      </c>
      <c r="I60" s="272">
        <v>0</v>
      </c>
      <c r="J60" s="272">
        <v>2.0960000000000001</v>
      </c>
      <c r="K60" s="272">
        <v>2.0939999999999999</v>
      </c>
      <c r="L60" s="272">
        <v>18361</v>
      </c>
      <c r="M60" s="272">
        <v>18343</v>
      </c>
      <c r="N60" s="272">
        <v>35.030999999999999</v>
      </c>
      <c r="O60" s="272">
        <v>35.405000000000001</v>
      </c>
      <c r="P60" s="272">
        <v>306872</v>
      </c>
      <c r="Q60" s="272">
        <v>310148</v>
      </c>
      <c r="R60" s="272">
        <v>32.597999999999999</v>
      </c>
      <c r="S60" s="272">
        <v>285558</v>
      </c>
      <c r="T60" s="272">
        <v>2.4329999999999998</v>
      </c>
      <c r="U60" s="272">
        <v>2.8069999999999999</v>
      </c>
      <c r="V60" s="272">
        <v>2.4329999999999998</v>
      </c>
      <c r="W60" s="272">
        <v>2.8069999999999999</v>
      </c>
      <c r="X60" s="272">
        <v>4.6937999999999997E-3</v>
      </c>
      <c r="Y60" s="272">
        <v>4.6937999999999997E-3</v>
      </c>
      <c r="Z60" s="272">
        <v>0</v>
      </c>
      <c r="AA60" s="272">
        <v>4.6937999999999997E-3</v>
      </c>
      <c r="AB60" s="272">
        <v>4.6937999999999997E-3</v>
      </c>
      <c r="AC60" s="272">
        <v>4.6937999999999997E-3</v>
      </c>
      <c r="AD60" s="272">
        <v>0.93445710000000004</v>
      </c>
      <c r="AE60" s="272">
        <v>0.92513719999999999</v>
      </c>
      <c r="AF60" s="272">
        <v>1.0746365</v>
      </c>
      <c r="AG60" s="272">
        <v>1.0861095999999999</v>
      </c>
      <c r="AH60" s="272">
        <v>7.5224600000000003E-2</v>
      </c>
      <c r="AI60" s="272">
        <v>7.6027700000000004E-2</v>
      </c>
      <c r="AJ60" s="154"/>
      <c r="AK60" s="154"/>
      <c r="AL60" s="154"/>
      <c r="AM60" s="154"/>
      <c r="AN60" s="154"/>
      <c r="AO60" s="154"/>
      <c r="AP60" s="154"/>
      <c r="AQ60" s="163"/>
      <c r="AR60" s="163"/>
      <c r="AS60" s="196"/>
      <c r="AT60" s="196"/>
      <c r="AU60" s="196"/>
      <c r="AV60" s="196"/>
      <c r="AW60" s="196"/>
      <c r="AX60" s="196"/>
      <c r="AY60" s="196"/>
      <c r="AZ60" s="196"/>
      <c r="BA60" s="196"/>
      <c r="BB60" s="196"/>
      <c r="BC60" s="196"/>
      <c r="BD60" s="196"/>
      <c r="BE60" s="196"/>
      <c r="BF60" s="196"/>
      <c r="BG60" s="163"/>
      <c r="BH60" s="163"/>
      <c r="BI60" s="163"/>
      <c r="BJ60" s="163"/>
      <c r="BK60" s="163"/>
      <c r="BL60" s="163"/>
      <c r="BM60" s="163"/>
      <c r="BN60" s="163"/>
    </row>
    <row r="61" spans="1:66">
      <c r="A61" s="163">
        <v>10174</v>
      </c>
      <c r="B61" s="163" t="s">
        <v>65</v>
      </c>
      <c r="C61" s="267">
        <v>1</v>
      </c>
      <c r="D61" s="267">
        <v>0</v>
      </c>
      <c r="E61" s="272">
        <v>0.51500000000000001</v>
      </c>
      <c r="F61" s="272">
        <v>0.498</v>
      </c>
      <c r="G61" s="272">
        <v>0.497</v>
      </c>
      <c r="H61" s="272">
        <v>0</v>
      </c>
      <c r="I61" s="272">
        <v>0</v>
      </c>
      <c r="J61" s="272">
        <v>0</v>
      </c>
      <c r="K61" s="272">
        <v>0</v>
      </c>
      <c r="L61" s="272">
        <v>0</v>
      </c>
      <c r="M61" s="272">
        <v>0</v>
      </c>
      <c r="N61" s="272">
        <v>0.499</v>
      </c>
      <c r="O61" s="272">
        <v>0.499</v>
      </c>
      <c r="P61" s="272">
        <v>4371</v>
      </c>
      <c r="Q61" s="272">
        <v>4371</v>
      </c>
      <c r="R61" s="272">
        <v>0.499</v>
      </c>
      <c r="S61" s="272">
        <v>4371</v>
      </c>
      <c r="T61" s="272">
        <v>0</v>
      </c>
      <c r="U61" s="272">
        <v>0</v>
      </c>
      <c r="V61" s="272">
        <v>0</v>
      </c>
      <c r="W61" s="272">
        <v>0</v>
      </c>
      <c r="X61" s="272">
        <v>7.1899999999999999E-5</v>
      </c>
      <c r="Y61" s="272">
        <v>7.1899999999999999E-5</v>
      </c>
      <c r="Z61" s="272">
        <v>0</v>
      </c>
      <c r="AA61" s="272">
        <v>7.1899999999999999E-5</v>
      </c>
      <c r="AB61" s="272">
        <v>7.1899999999999999E-5</v>
      </c>
      <c r="AC61" s="272">
        <v>7.1899999999999999E-5</v>
      </c>
      <c r="AD61" s="272">
        <v>1</v>
      </c>
      <c r="AE61" s="272">
        <v>1</v>
      </c>
      <c r="AF61" s="272">
        <v>1</v>
      </c>
      <c r="AG61" s="272">
        <v>1</v>
      </c>
      <c r="AH61" s="272">
        <v>0</v>
      </c>
      <c r="AI61" s="272">
        <v>0</v>
      </c>
      <c r="AJ61" s="154"/>
      <c r="AK61" s="154"/>
      <c r="AL61" s="154"/>
      <c r="AM61" s="154"/>
      <c r="AN61" s="154"/>
      <c r="AO61" s="154"/>
      <c r="AP61" s="154"/>
      <c r="AQ61" s="163"/>
      <c r="AR61" s="163"/>
      <c r="AS61" s="196"/>
      <c r="AT61" s="196"/>
      <c r="AU61" s="196"/>
      <c r="AV61" s="196"/>
      <c r="AW61" s="196"/>
      <c r="AX61" s="196"/>
      <c r="AY61" s="196"/>
      <c r="AZ61" s="196"/>
      <c r="BA61" s="196"/>
      <c r="BB61" s="196"/>
      <c r="BC61" s="196"/>
      <c r="BD61" s="196"/>
      <c r="BE61" s="196"/>
      <c r="BF61" s="196"/>
      <c r="BG61" s="163"/>
      <c r="BH61" s="163"/>
      <c r="BI61" s="163"/>
      <c r="BJ61" s="163"/>
      <c r="BK61" s="163"/>
      <c r="BL61" s="163"/>
      <c r="BM61" s="163"/>
      <c r="BN61" s="163"/>
    </row>
    <row r="62" spans="1:66">
      <c r="A62" s="163">
        <v>10177</v>
      </c>
      <c r="B62" s="163" t="s">
        <v>66</v>
      </c>
      <c r="C62" s="267">
        <v>1</v>
      </c>
      <c r="D62" s="267">
        <v>0</v>
      </c>
      <c r="E62" s="272">
        <v>11.839</v>
      </c>
      <c r="F62" s="272">
        <v>8.8640000000000008</v>
      </c>
      <c r="G62" s="272">
        <v>8.8849999999999998</v>
      </c>
      <c r="H62" s="272">
        <v>0</v>
      </c>
      <c r="I62" s="272">
        <v>0</v>
      </c>
      <c r="J62" s="272">
        <v>0</v>
      </c>
      <c r="K62" s="272">
        <v>0</v>
      </c>
      <c r="L62" s="272">
        <v>0</v>
      </c>
      <c r="M62" s="272">
        <v>0</v>
      </c>
      <c r="N62" s="272">
        <v>9.8800000000000008</v>
      </c>
      <c r="O62" s="272">
        <v>9.5129999999999999</v>
      </c>
      <c r="P62" s="272">
        <v>86549</v>
      </c>
      <c r="Q62" s="272">
        <v>83334</v>
      </c>
      <c r="R62" s="272">
        <v>11.478</v>
      </c>
      <c r="S62" s="272">
        <v>100547</v>
      </c>
      <c r="T62" s="272">
        <v>0</v>
      </c>
      <c r="U62" s="272">
        <v>0</v>
      </c>
      <c r="V62" s="272">
        <v>0</v>
      </c>
      <c r="W62" s="272">
        <v>0</v>
      </c>
      <c r="X62" s="272">
        <v>1.4226E-3</v>
      </c>
      <c r="Y62" s="272">
        <v>1.3698E-3</v>
      </c>
      <c r="Z62" s="272">
        <v>0</v>
      </c>
      <c r="AA62" s="272">
        <v>1.4226E-3</v>
      </c>
      <c r="AB62" s="272">
        <v>1.3698E-3</v>
      </c>
      <c r="AC62" s="272">
        <v>1.3962E-3</v>
      </c>
      <c r="AD62" s="272">
        <v>0.99997349999999996</v>
      </c>
      <c r="AE62" s="272">
        <v>1</v>
      </c>
      <c r="AF62" s="272">
        <v>1</v>
      </c>
      <c r="AG62" s="272">
        <v>1</v>
      </c>
      <c r="AH62" s="272">
        <v>7.0000000000000007E-2</v>
      </c>
      <c r="AI62" s="272">
        <v>7.0000000000000007E-2</v>
      </c>
      <c r="AJ62" s="154"/>
      <c r="AK62" s="154"/>
      <c r="AL62" s="154"/>
      <c r="AM62" s="154"/>
      <c r="AN62" s="154"/>
      <c r="AO62" s="154"/>
      <c r="AP62" s="154"/>
      <c r="AQ62" s="163"/>
      <c r="AR62" s="163"/>
      <c r="AS62" s="196"/>
      <c r="AT62" s="196"/>
      <c r="AU62" s="196"/>
      <c r="AV62" s="196"/>
      <c r="AW62" s="196"/>
      <c r="AX62" s="196"/>
      <c r="AY62" s="196"/>
      <c r="AZ62" s="196"/>
      <c r="BA62" s="196"/>
      <c r="BB62" s="196"/>
      <c r="BC62" s="196"/>
      <c r="BD62" s="196"/>
      <c r="BE62" s="196"/>
      <c r="BF62" s="196"/>
      <c r="BG62" s="163"/>
      <c r="BH62" s="163"/>
      <c r="BI62" s="163"/>
      <c r="BJ62" s="163"/>
      <c r="BK62" s="163"/>
      <c r="BL62" s="163"/>
      <c r="BM62" s="163"/>
      <c r="BN62" s="163"/>
    </row>
    <row r="63" spans="1:66">
      <c r="A63" s="163">
        <v>10179</v>
      </c>
      <c r="B63" s="163" t="s">
        <v>67</v>
      </c>
      <c r="C63" s="267">
        <v>1</v>
      </c>
      <c r="D63" s="267">
        <v>0</v>
      </c>
      <c r="E63" s="272">
        <v>169.31100000000001</v>
      </c>
      <c r="F63" s="272">
        <v>187.18299999999999</v>
      </c>
      <c r="G63" s="272">
        <v>189.798</v>
      </c>
      <c r="H63" s="272">
        <v>0</v>
      </c>
      <c r="I63" s="272">
        <v>0</v>
      </c>
      <c r="J63" s="272">
        <v>10</v>
      </c>
      <c r="K63" s="272">
        <v>10.026999999999999</v>
      </c>
      <c r="L63" s="272">
        <v>87600</v>
      </c>
      <c r="M63" s="272">
        <v>87837</v>
      </c>
      <c r="N63" s="272">
        <v>173.745</v>
      </c>
      <c r="O63" s="272">
        <v>177.46</v>
      </c>
      <c r="P63" s="272">
        <v>1522006</v>
      </c>
      <c r="Q63" s="272">
        <v>1554550</v>
      </c>
      <c r="R63" s="272">
        <v>164.14500000000001</v>
      </c>
      <c r="S63" s="272">
        <v>1437910</v>
      </c>
      <c r="T63" s="272">
        <v>9.6</v>
      </c>
      <c r="U63" s="272">
        <v>13.315</v>
      </c>
      <c r="V63" s="272">
        <v>9.6</v>
      </c>
      <c r="W63" s="272">
        <v>13.315</v>
      </c>
      <c r="X63" s="272">
        <v>2.36355E-2</v>
      </c>
      <c r="Y63" s="272">
        <v>2.36355E-2</v>
      </c>
      <c r="Z63" s="272">
        <v>0</v>
      </c>
      <c r="AA63" s="272">
        <v>2.36355E-2</v>
      </c>
      <c r="AB63" s="272">
        <v>2.36355E-2</v>
      </c>
      <c r="AC63" s="272">
        <v>2.36355E-2</v>
      </c>
      <c r="AD63" s="272">
        <v>0.94685189999999997</v>
      </c>
      <c r="AE63" s="272">
        <v>0.92717309999999997</v>
      </c>
      <c r="AF63" s="272">
        <v>1.0584849000000001</v>
      </c>
      <c r="AG63" s="272">
        <v>1.0811173000000001</v>
      </c>
      <c r="AH63" s="272">
        <v>0</v>
      </c>
      <c r="AI63" s="272">
        <v>0</v>
      </c>
      <c r="AJ63" s="154"/>
      <c r="AK63" s="154"/>
      <c r="AL63" s="154"/>
      <c r="AM63" s="154"/>
      <c r="AN63" s="154"/>
      <c r="AO63" s="154"/>
      <c r="AP63" s="154"/>
      <c r="AQ63" s="163"/>
      <c r="AR63" s="163"/>
      <c r="AS63" s="196"/>
      <c r="AT63" s="196"/>
      <c r="AU63" s="196"/>
      <c r="AV63" s="196"/>
      <c r="AW63" s="196"/>
      <c r="AX63" s="196"/>
      <c r="AY63" s="196"/>
      <c r="AZ63" s="196"/>
      <c r="BA63" s="196"/>
      <c r="BB63" s="196"/>
      <c r="BC63" s="196"/>
      <c r="BD63" s="196"/>
      <c r="BE63" s="196"/>
      <c r="BF63" s="196"/>
      <c r="BG63" s="163"/>
      <c r="BH63" s="163"/>
      <c r="BI63" s="163"/>
      <c r="BJ63" s="163"/>
      <c r="BK63" s="163"/>
      <c r="BL63" s="163"/>
      <c r="BM63" s="163"/>
      <c r="BN63" s="163"/>
    </row>
    <row r="64" spans="1:66">
      <c r="A64" s="163">
        <v>10183</v>
      </c>
      <c r="B64" s="163" t="s">
        <v>68</v>
      </c>
      <c r="C64" s="267">
        <v>1</v>
      </c>
      <c r="D64" s="267">
        <v>0</v>
      </c>
      <c r="E64" s="272">
        <v>119.102</v>
      </c>
      <c r="F64" s="272">
        <v>123.81100000000001</v>
      </c>
      <c r="G64" s="272">
        <v>124.239</v>
      </c>
      <c r="H64" s="272">
        <v>0</v>
      </c>
      <c r="I64" s="272">
        <v>0</v>
      </c>
      <c r="J64" s="272">
        <v>0.69099999999999995</v>
      </c>
      <c r="K64" s="272">
        <v>0.68899999999999995</v>
      </c>
      <c r="L64" s="272">
        <v>6053</v>
      </c>
      <c r="M64" s="272">
        <v>6036</v>
      </c>
      <c r="N64" s="272">
        <v>123.12</v>
      </c>
      <c r="O64" s="272">
        <v>123.55</v>
      </c>
      <c r="P64" s="272">
        <v>1078531</v>
      </c>
      <c r="Q64" s="272">
        <v>1082298</v>
      </c>
      <c r="R64" s="272">
        <v>115.468</v>
      </c>
      <c r="S64" s="272">
        <v>1011500</v>
      </c>
      <c r="T64" s="272">
        <v>10.723000000000001</v>
      </c>
      <c r="U64" s="272">
        <v>11.817</v>
      </c>
      <c r="V64" s="272">
        <v>10.723000000000001</v>
      </c>
      <c r="W64" s="272">
        <v>11.817</v>
      </c>
      <c r="X64" s="272">
        <v>1.66264E-2</v>
      </c>
      <c r="Y64" s="272">
        <v>1.66264E-2</v>
      </c>
      <c r="Z64" s="272">
        <v>7.7936999999999998E-3</v>
      </c>
      <c r="AA64" s="272">
        <v>8.8327000000000006E-3</v>
      </c>
      <c r="AB64" s="272">
        <v>8.8327000000000006E-3</v>
      </c>
      <c r="AC64" s="272">
        <v>8.8327000000000006E-3</v>
      </c>
      <c r="AD64" s="272">
        <v>0.9154854</v>
      </c>
      <c r="AE64" s="272">
        <v>0.90765929999999995</v>
      </c>
      <c r="AF64" s="272">
        <v>1.0662693999999999</v>
      </c>
      <c r="AG64" s="272">
        <v>1.0699934</v>
      </c>
      <c r="AH64" s="272">
        <v>0</v>
      </c>
      <c r="AI64" s="272">
        <v>0</v>
      </c>
      <c r="AJ64" s="154"/>
      <c r="AK64" s="154"/>
      <c r="AL64" s="154"/>
      <c r="AM64" s="154"/>
      <c r="AN64" s="154"/>
      <c r="AO64" s="154"/>
      <c r="AP64" s="154"/>
      <c r="AQ64" s="163"/>
      <c r="AR64" s="163"/>
      <c r="AS64" s="196"/>
      <c r="AT64" s="196"/>
      <c r="AU64" s="196"/>
      <c r="AV64" s="196"/>
      <c r="AW64" s="196"/>
      <c r="AX64" s="196"/>
      <c r="AY64" s="196"/>
      <c r="AZ64" s="196"/>
      <c r="BA64" s="196"/>
      <c r="BB64" s="196"/>
      <c r="BC64" s="196"/>
      <c r="BD64" s="196"/>
      <c r="BE64" s="196"/>
      <c r="BF64" s="196"/>
      <c r="BG64" s="163"/>
      <c r="BH64" s="163"/>
      <c r="BI64" s="163"/>
      <c r="BJ64" s="163"/>
      <c r="BK64" s="163"/>
      <c r="BL64" s="163"/>
      <c r="BM64" s="163"/>
      <c r="BN64" s="163"/>
    </row>
    <row r="65" spans="1:66">
      <c r="A65" s="163">
        <v>10186</v>
      </c>
      <c r="B65" s="163" t="s">
        <v>69</v>
      </c>
      <c r="C65" s="267">
        <v>1</v>
      </c>
      <c r="D65" s="267">
        <v>0</v>
      </c>
      <c r="E65" s="272">
        <v>21.635000000000002</v>
      </c>
      <c r="F65" s="272">
        <v>21.254999999999999</v>
      </c>
      <c r="G65" s="272">
        <v>21.361000000000001</v>
      </c>
      <c r="H65" s="272">
        <v>0</v>
      </c>
      <c r="I65" s="272">
        <v>0</v>
      </c>
      <c r="J65" s="272">
        <v>3.327</v>
      </c>
      <c r="K65" s="272">
        <v>0.82899999999999996</v>
      </c>
      <c r="L65" s="272">
        <v>29145</v>
      </c>
      <c r="M65" s="272">
        <v>7262</v>
      </c>
      <c r="N65" s="272">
        <v>18.327000000000002</v>
      </c>
      <c r="O65" s="272">
        <v>18.434999999999999</v>
      </c>
      <c r="P65" s="272">
        <v>160545</v>
      </c>
      <c r="Q65" s="272">
        <v>161491</v>
      </c>
      <c r="R65" s="272">
        <v>20.975000000000001</v>
      </c>
      <c r="S65" s="272">
        <v>183741</v>
      </c>
      <c r="T65" s="272">
        <v>0.66800000000000004</v>
      </c>
      <c r="U65" s="272">
        <v>0.77600000000000002</v>
      </c>
      <c r="V65" s="272">
        <v>0</v>
      </c>
      <c r="W65" s="272">
        <v>0</v>
      </c>
      <c r="X65" s="272">
        <v>2.6389E-3</v>
      </c>
      <c r="Y65" s="272">
        <v>2.6545000000000002E-3</v>
      </c>
      <c r="Z65" s="272">
        <v>0</v>
      </c>
      <c r="AA65" s="272">
        <v>2.6389E-3</v>
      </c>
      <c r="AB65" s="272">
        <v>2.6545000000000002E-3</v>
      </c>
      <c r="AC65" s="272">
        <v>2.6467000000000001E-3</v>
      </c>
      <c r="AD65" s="272">
        <v>0.96912739999999997</v>
      </c>
      <c r="AE65" s="272">
        <v>0.96431540000000004</v>
      </c>
      <c r="AF65" s="272">
        <v>1</v>
      </c>
      <c r="AG65" s="272">
        <v>1</v>
      </c>
      <c r="AH65" s="272">
        <v>7.0000000000000007E-2</v>
      </c>
      <c r="AI65" s="272">
        <v>7.0000000000000007E-2</v>
      </c>
      <c r="AJ65" s="154"/>
      <c r="AK65" s="154"/>
      <c r="AL65" s="154"/>
      <c r="AM65" s="154"/>
      <c r="AN65" s="154"/>
      <c r="AO65" s="154"/>
      <c r="AP65" s="154"/>
      <c r="AQ65" s="163"/>
      <c r="AR65" s="163"/>
      <c r="AS65" s="196"/>
      <c r="AT65" s="196"/>
      <c r="AU65" s="196"/>
      <c r="AV65" s="196"/>
      <c r="AW65" s="196"/>
      <c r="AX65" s="196"/>
      <c r="AY65" s="196"/>
      <c r="AZ65" s="196"/>
      <c r="BA65" s="196"/>
      <c r="BB65" s="196"/>
      <c r="BC65" s="196"/>
      <c r="BD65" s="196"/>
      <c r="BE65" s="196"/>
      <c r="BF65" s="196"/>
      <c r="BG65" s="163"/>
      <c r="BH65" s="163"/>
      <c r="BI65" s="163"/>
      <c r="BJ65" s="163"/>
      <c r="BK65" s="163"/>
      <c r="BL65" s="163"/>
      <c r="BM65" s="163"/>
      <c r="BN65" s="163"/>
    </row>
    <row r="66" spans="1:66">
      <c r="A66" s="163">
        <v>10190</v>
      </c>
      <c r="B66" s="163" t="s">
        <v>70</v>
      </c>
      <c r="C66" s="267">
        <v>1</v>
      </c>
      <c r="D66" s="267">
        <v>0</v>
      </c>
      <c r="E66" s="272">
        <v>5.2690000000000001</v>
      </c>
      <c r="F66" s="272">
        <v>5.3860000000000001</v>
      </c>
      <c r="G66" s="272">
        <v>5.3789999999999996</v>
      </c>
      <c r="H66" s="272">
        <v>0</v>
      </c>
      <c r="I66" s="272">
        <v>0</v>
      </c>
      <c r="J66" s="272">
        <v>0</v>
      </c>
      <c r="K66" s="272">
        <v>0</v>
      </c>
      <c r="L66" s="272">
        <v>0</v>
      </c>
      <c r="M66" s="272">
        <v>0</v>
      </c>
      <c r="N66" s="272">
        <v>5.367</v>
      </c>
      <c r="O66" s="272">
        <v>5.3840000000000003</v>
      </c>
      <c r="P66" s="272">
        <v>47015</v>
      </c>
      <c r="Q66" s="272">
        <v>47164</v>
      </c>
      <c r="R66" s="272">
        <v>5.1079999999999997</v>
      </c>
      <c r="S66" s="272">
        <v>44746</v>
      </c>
      <c r="T66" s="272">
        <v>0.25900000000000001</v>
      </c>
      <c r="U66" s="272">
        <v>0.27600000000000002</v>
      </c>
      <c r="V66" s="272">
        <v>0</v>
      </c>
      <c r="W66" s="272">
        <v>0</v>
      </c>
      <c r="X66" s="272">
        <v>7.3550000000000004E-4</v>
      </c>
      <c r="Y66" s="272">
        <v>7.3550000000000004E-4</v>
      </c>
      <c r="Z66" s="272">
        <v>0</v>
      </c>
      <c r="AA66" s="272">
        <v>7.3550000000000004E-4</v>
      </c>
      <c r="AB66" s="272">
        <v>7.3550000000000004E-4</v>
      </c>
      <c r="AC66" s="272">
        <v>7.3550000000000004E-4</v>
      </c>
      <c r="AD66" s="272">
        <v>0.95172990000000002</v>
      </c>
      <c r="AE66" s="272">
        <v>0.94872480000000003</v>
      </c>
      <c r="AF66" s="272">
        <v>1.0507048000000001</v>
      </c>
      <c r="AG66" s="272">
        <v>1.0540328999999999</v>
      </c>
      <c r="AH66" s="272">
        <v>0</v>
      </c>
      <c r="AI66" s="272">
        <v>0</v>
      </c>
      <c r="AJ66" s="154"/>
      <c r="AK66" s="154"/>
      <c r="AL66" s="154"/>
      <c r="AM66" s="154"/>
      <c r="AN66" s="154"/>
      <c r="AO66" s="154"/>
      <c r="AP66" s="154"/>
      <c r="AQ66" s="163"/>
      <c r="AR66" s="163"/>
      <c r="AS66" s="196"/>
      <c r="AT66" s="196"/>
      <c r="AU66" s="196"/>
      <c r="AV66" s="196"/>
      <c r="AW66" s="196"/>
      <c r="AX66" s="196"/>
      <c r="AY66" s="196"/>
      <c r="AZ66" s="196"/>
      <c r="BA66" s="196"/>
      <c r="BB66" s="196"/>
      <c r="BC66" s="196"/>
      <c r="BD66" s="196"/>
      <c r="BE66" s="196"/>
      <c r="BF66" s="196"/>
      <c r="BG66" s="163"/>
      <c r="BH66" s="163"/>
      <c r="BI66" s="163"/>
      <c r="BJ66" s="163"/>
      <c r="BK66" s="163"/>
      <c r="BL66" s="163"/>
      <c r="BM66" s="163"/>
      <c r="BN66" s="163"/>
    </row>
    <row r="67" spans="1:66">
      <c r="A67" s="163">
        <v>10191</v>
      </c>
      <c r="B67" s="163" t="s">
        <v>71</v>
      </c>
      <c r="C67" s="267">
        <v>1</v>
      </c>
      <c r="D67" s="267">
        <v>0</v>
      </c>
      <c r="E67" s="272">
        <v>133.17400000000001</v>
      </c>
      <c r="F67" s="272">
        <v>129.63800000000001</v>
      </c>
      <c r="G67" s="272">
        <v>129.173</v>
      </c>
      <c r="H67" s="272">
        <v>0</v>
      </c>
      <c r="I67" s="272">
        <v>0</v>
      </c>
      <c r="J67" s="272">
        <v>0</v>
      </c>
      <c r="K67" s="272">
        <v>0</v>
      </c>
      <c r="L67" s="272">
        <v>0</v>
      </c>
      <c r="M67" s="272">
        <v>0</v>
      </c>
      <c r="N67" s="272">
        <v>129.63800000000001</v>
      </c>
      <c r="O67" s="272">
        <v>129.173</v>
      </c>
      <c r="P67" s="272">
        <v>1135629</v>
      </c>
      <c r="Q67" s="272">
        <v>1131555</v>
      </c>
      <c r="R67" s="272">
        <v>129.11099999999999</v>
      </c>
      <c r="S67" s="272">
        <v>1131012</v>
      </c>
      <c r="T67" s="272">
        <v>3.8119999999999998</v>
      </c>
      <c r="U67" s="272">
        <v>5.202</v>
      </c>
      <c r="V67" s="272">
        <v>3.8119999999999998</v>
      </c>
      <c r="W67" s="272">
        <v>5.202</v>
      </c>
      <c r="X67" s="272">
        <v>1.85909E-2</v>
      </c>
      <c r="Y67" s="272">
        <v>1.85909E-2</v>
      </c>
      <c r="Z67" s="272">
        <v>9.6877999999999999E-3</v>
      </c>
      <c r="AA67" s="272">
        <v>8.9031000000000006E-3</v>
      </c>
      <c r="AB67" s="272">
        <v>8.9031000000000006E-3</v>
      </c>
      <c r="AC67" s="272">
        <v>8.9031000000000006E-3</v>
      </c>
      <c r="AD67" s="272">
        <v>0.97132130000000005</v>
      </c>
      <c r="AE67" s="272">
        <v>0.96126909999999999</v>
      </c>
      <c r="AF67" s="272">
        <v>1.0040818</v>
      </c>
      <c r="AG67" s="272">
        <v>1.0004801999999999</v>
      </c>
      <c r="AH67" s="272">
        <v>0</v>
      </c>
      <c r="AI67" s="272">
        <v>0</v>
      </c>
      <c r="AJ67" s="154"/>
      <c r="AK67" s="154"/>
      <c r="AL67" s="154"/>
      <c r="AM67" s="154"/>
      <c r="AN67" s="154"/>
      <c r="AO67" s="154"/>
      <c r="AP67" s="154"/>
      <c r="AQ67" s="163"/>
      <c r="AR67" s="163"/>
      <c r="AS67" s="196"/>
      <c r="AT67" s="196"/>
      <c r="AU67" s="196"/>
      <c r="AV67" s="196"/>
      <c r="AW67" s="196"/>
      <c r="AX67" s="196"/>
      <c r="AY67" s="196"/>
      <c r="AZ67" s="196"/>
      <c r="BA67" s="196"/>
      <c r="BB67" s="196"/>
      <c r="BC67" s="196"/>
      <c r="BD67" s="196"/>
      <c r="BE67" s="196"/>
      <c r="BF67" s="196"/>
      <c r="BG67" s="163"/>
      <c r="BH67" s="163"/>
      <c r="BI67" s="163"/>
      <c r="BJ67" s="163"/>
      <c r="BK67" s="163"/>
      <c r="BL67" s="163"/>
      <c r="BM67" s="163"/>
      <c r="BN67" s="163"/>
    </row>
    <row r="68" spans="1:66">
      <c r="A68" s="163">
        <v>10197</v>
      </c>
      <c r="B68" s="163" t="s">
        <v>72</v>
      </c>
      <c r="C68" s="267">
        <v>1</v>
      </c>
      <c r="D68" s="267">
        <v>0</v>
      </c>
      <c r="E68" s="272">
        <v>23.091999999999999</v>
      </c>
      <c r="F68" s="272">
        <v>26.434000000000001</v>
      </c>
      <c r="G68" s="272">
        <v>26.414999999999999</v>
      </c>
      <c r="H68" s="272">
        <v>0</v>
      </c>
      <c r="I68" s="272">
        <v>0</v>
      </c>
      <c r="J68" s="272">
        <v>0</v>
      </c>
      <c r="K68" s="272">
        <v>0</v>
      </c>
      <c r="L68" s="272">
        <v>0</v>
      </c>
      <c r="M68" s="272">
        <v>0</v>
      </c>
      <c r="N68" s="272">
        <v>22.989000000000001</v>
      </c>
      <c r="O68" s="272">
        <v>22.989000000000001</v>
      </c>
      <c r="P68" s="272">
        <v>201384</v>
      </c>
      <c r="Q68" s="272">
        <v>201384</v>
      </c>
      <c r="R68" s="272">
        <v>22.387</v>
      </c>
      <c r="S68" s="272">
        <v>196110</v>
      </c>
      <c r="T68" s="272">
        <v>0.60199999999999998</v>
      </c>
      <c r="U68" s="272">
        <v>0.60199999999999998</v>
      </c>
      <c r="V68" s="272">
        <v>0</v>
      </c>
      <c r="W68" s="272">
        <v>0</v>
      </c>
      <c r="X68" s="272">
        <v>3.2234999999999998E-3</v>
      </c>
      <c r="Y68" s="272">
        <v>3.2234999999999998E-3</v>
      </c>
      <c r="Z68" s="272">
        <v>0</v>
      </c>
      <c r="AA68" s="272">
        <v>3.2234999999999998E-3</v>
      </c>
      <c r="AB68" s="272">
        <v>3.2234999999999998E-3</v>
      </c>
      <c r="AC68" s="272">
        <v>3.2234999999999998E-3</v>
      </c>
      <c r="AD68" s="272">
        <v>0.97380100000000003</v>
      </c>
      <c r="AE68" s="272">
        <v>0.97380100000000003</v>
      </c>
      <c r="AF68" s="272">
        <v>1.0268906</v>
      </c>
      <c r="AG68" s="272">
        <v>1.0268906</v>
      </c>
      <c r="AH68" s="272">
        <v>7.1882299999999996E-2</v>
      </c>
      <c r="AI68" s="272">
        <v>7.1882299999999996E-2</v>
      </c>
      <c r="AJ68" s="154"/>
      <c r="AK68" s="154"/>
      <c r="AL68" s="154"/>
      <c r="AM68" s="154"/>
      <c r="AN68" s="154"/>
      <c r="AO68" s="154"/>
      <c r="AP68" s="154"/>
      <c r="AQ68" s="163"/>
      <c r="AR68" s="163"/>
      <c r="AS68" s="196"/>
      <c r="AT68" s="196"/>
      <c r="AU68" s="196"/>
      <c r="AV68" s="196"/>
      <c r="AW68" s="196"/>
      <c r="AX68" s="196"/>
      <c r="AY68" s="196"/>
      <c r="AZ68" s="196"/>
      <c r="BA68" s="196"/>
      <c r="BB68" s="196"/>
      <c r="BC68" s="196"/>
      <c r="BD68" s="196"/>
      <c r="BE68" s="196"/>
      <c r="BF68" s="196"/>
      <c r="BG68" s="163"/>
      <c r="BH68" s="163"/>
      <c r="BI68" s="163"/>
      <c r="BJ68" s="163"/>
      <c r="BK68" s="163"/>
      <c r="BL68" s="163"/>
      <c r="BM68" s="163"/>
      <c r="BN68" s="163"/>
    </row>
    <row r="69" spans="1:66">
      <c r="A69" s="163">
        <v>10202</v>
      </c>
      <c r="B69" s="163" t="s">
        <v>73</v>
      </c>
      <c r="C69" s="267">
        <v>1</v>
      </c>
      <c r="D69" s="267">
        <v>0</v>
      </c>
      <c r="E69" s="272">
        <v>13.294</v>
      </c>
      <c r="F69" s="272">
        <v>14.38</v>
      </c>
      <c r="G69" s="272">
        <v>14.51</v>
      </c>
      <c r="H69" s="272">
        <v>0</v>
      </c>
      <c r="I69" s="272">
        <v>0</v>
      </c>
      <c r="J69" s="272">
        <v>0</v>
      </c>
      <c r="K69" s="272">
        <v>0</v>
      </c>
      <c r="L69" s="272">
        <v>0</v>
      </c>
      <c r="M69" s="272">
        <v>0</v>
      </c>
      <c r="N69" s="272">
        <v>14.393000000000001</v>
      </c>
      <c r="O69" s="272">
        <v>14.584</v>
      </c>
      <c r="P69" s="272">
        <v>126083</v>
      </c>
      <c r="Q69" s="272">
        <v>127756</v>
      </c>
      <c r="R69" s="272">
        <v>12.888</v>
      </c>
      <c r="S69" s="272">
        <v>112899</v>
      </c>
      <c r="T69" s="272">
        <v>1.5049999999999999</v>
      </c>
      <c r="U69" s="272">
        <v>1.696</v>
      </c>
      <c r="V69" s="272">
        <v>1.5049999999999999</v>
      </c>
      <c r="W69" s="272">
        <v>1.696</v>
      </c>
      <c r="X69" s="272">
        <v>1.8557999999999999E-3</v>
      </c>
      <c r="Y69" s="272">
        <v>1.8557999999999999E-3</v>
      </c>
      <c r="Z69" s="272">
        <v>0</v>
      </c>
      <c r="AA69" s="272">
        <v>1.8557999999999999E-3</v>
      </c>
      <c r="AB69" s="272">
        <v>1.8557999999999999E-3</v>
      </c>
      <c r="AC69" s="272">
        <v>1.8557999999999999E-3</v>
      </c>
      <c r="AD69" s="272">
        <v>0.89545229999999998</v>
      </c>
      <c r="AE69" s="272">
        <v>0.88372499999999998</v>
      </c>
      <c r="AF69" s="272">
        <v>1.1167753</v>
      </c>
      <c r="AG69" s="272">
        <v>1.1315953000000001</v>
      </c>
      <c r="AH69" s="272">
        <v>0</v>
      </c>
      <c r="AI69" s="272">
        <v>0</v>
      </c>
      <c r="AJ69" s="154"/>
      <c r="AK69" s="154"/>
      <c r="AL69" s="154"/>
      <c r="AM69" s="154"/>
      <c r="AN69" s="154"/>
      <c r="AO69" s="154"/>
      <c r="AP69" s="154"/>
      <c r="AQ69" s="163"/>
      <c r="AR69" s="163"/>
      <c r="AS69" s="196"/>
      <c r="AT69" s="196"/>
      <c r="AU69" s="196"/>
      <c r="AV69" s="196"/>
      <c r="AW69" s="196"/>
      <c r="AX69" s="196"/>
      <c r="AY69" s="196"/>
      <c r="AZ69" s="196"/>
      <c r="BA69" s="196"/>
      <c r="BB69" s="196"/>
      <c r="BC69" s="196"/>
      <c r="BD69" s="196"/>
      <c r="BE69" s="196"/>
      <c r="BF69" s="196"/>
      <c r="BG69" s="163"/>
      <c r="BH69" s="163"/>
      <c r="BI69" s="163"/>
      <c r="BJ69" s="163"/>
      <c r="BK69" s="163"/>
      <c r="BL69" s="163"/>
      <c r="BM69" s="163"/>
      <c r="BN69" s="163"/>
    </row>
    <row r="70" spans="1:66">
      <c r="A70" s="163">
        <v>10203</v>
      </c>
      <c r="B70" s="163" t="s">
        <v>74</v>
      </c>
      <c r="C70" s="267">
        <v>1</v>
      </c>
      <c r="D70" s="267">
        <v>0</v>
      </c>
      <c r="E70" s="272">
        <v>6.306</v>
      </c>
      <c r="F70" s="272">
        <v>6.4189999999999996</v>
      </c>
      <c r="G70" s="272">
        <v>6.4459999999999997</v>
      </c>
      <c r="H70" s="272">
        <v>0</v>
      </c>
      <c r="I70" s="272">
        <v>0</v>
      </c>
      <c r="J70" s="272">
        <v>0</v>
      </c>
      <c r="K70" s="272">
        <v>0</v>
      </c>
      <c r="L70" s="272">
        <v>0</v>
      </c>
      <c r="M70" s="272">
        <v>0</v>
      </c>
      <c r="N70" s="272">
        <v>6.3780000000000001</v>
      </c>
      <c r="O70" s="272">
        <v>6.4050000000000002</v>
      </c>
      <c r="P70" s="272">
        <v>55871</v>
      </c>
      <c r="Q70" s="272">
        <v>56108</v>
      </c>
      <c r="R70" s="272">
        <v>6.1139999999999999</v>
      </c>
      <c r="S70" s="272">
        <v>53559</v>
      </c>
      <c r="T70" s="272">
        <v>0.26400000000000001</v>
      </c>
      <c r="U70" s="272">
        <v>0.29099999999999998</v>
      </c>
      <c r="V70" s="272">
        <v>0</v>
      </c>
      <c r="W70" s="272">
        <v>0</v>
      </c>
      <c r="X70" s="272">
        <v>8.8040000000000004E-4</v>
      </c>
      <c r="Y70" s="272">
        <v>8.8040000000000004E-4</v>
      </c>
      <c r="Z70" s="272">
        <v>0</v>
      </c>
      <c r="AA70" s="272">
        <v>8.8040000000000004E-4</v>
      </c>
      <c r="AB70" s="272">
        <v>8.8040000000000004E-4</v>
      </c>
      <c r="AC70" s="272">
        <v>8.8040000000000004E-4</v>
      </c>
      <c r="AD70" s="272">
        <v>0.95864570000000005</v>
      </c>
      <c r="AE70" s="272">
        <v>0.95460460000000003</v>
      </c>
      <c r="AF70" s="272">
        <v>1.0431796</v>
      </c>
      <c r="AG70" s="272">
        <v>1.0475957</v>
      </c>
      <c r="AH70" s="272">
        <v>7.3022599999999993E-2</v>
      </c>
      <c r="AI70" s="272">
        <v>7.33317E-2</v>
      </c>
      <c r="AJ70" s="154"/>
      <c r="AK70" s="154"/>
      <c r="AL70" s="154"/>
      <c r="AM70" s="154"/>
      <c r="AN70" s="154"/>
      <c r="AO70" s="154"/>
      <c r="AP70" s="154"/>
      <c r="AQ70" s="163"/>
      <c r="AR70" s="163"/>
      <c r="AS70" s="196"/>
      <c r="AT70" s="196"/>
      <c r="AU70" s="196"/>
      <c r="AV70" s="196"/>
      <c r="AW70" s="196"/>
      <c r="AX70" s="196"/>
      <c r="AY70" s="196"/>
      <c r="AZ70" s="196"/>
      <c r="BA70" s="196"/>
      <c r="BB70" s="196"/>
      <c r="BC70" s="196"/>
      <c r="BD70" s="196"/>
      <c r="BE70" s="196"/>
      <c r="BF70" s="196"/>
      <c r="BG70" s="163"/>
      <c r="BH70" s="163"/>
      <c r="BI70" s="163"/>
      <c r="BJ70" s="163"/>
      <c r="BK70" s="163"/>
      <c r="BL70" s="163"/>
      <c r="BM70" s="163"/>
      <c r="BN70" s="163"/>
    </row>
    <row r="71" spans="1:66">
      <c r="A71" s="163">
        <v>10204</v>
      </c>
      <c r="B71" s="163" t="s">
        <v>75</v>
      </c>
      <c r="C71" s="267">
        <v>1</v>
      </c>
      <c r="D71" s="267">
        <v>0</v>
      </c>
      <c r="E71" s="272">
        <v>80.742999999999995</v>
      </c>
      <c r="F71" s="272">
        <v>80.256</v>
      </c>
      <c r="G71" s="272">
        <v>79.927999999999997</v>
      </c>
      <c r="H71" s="272">
        <v>0</v>
      </c>
      <c r="I71" s="272">
        <v>0</v>
      </c>
      <c r="J71" s="272">
        <v>17.396999999999998</v>
      </c>
      <c r="K71" s="272">
        <v>17.321999999999999</v>
      </c>
      <c r="L71" s="272">
        <v>152398</v>
      </c>
      <c r="M71" s="272">
        <v>151741</v>
      </c>
      <c r="N71" s="272">
        <v>62.859000000000002</v>
      </c>
      <c r="O71" s="272">
        <v>62.606000000000002</v>
      </c>
      <c r="P71" s="272">
        <v>550645</v>
      </c>
      <c r="Q71" s="272">
        <v>548429</v>
      </c>
      <c r="R71" s="272">
        <v>78.278999999999996</v>
      </c>
      <c r="S71" s="272">
        <v>685724</v>
      </c>
      <c r="T71" s="272">
        <v>0</v>
      </c>
      <c r="U71" s="272">
        <v>0</v>
      </c>
      <c r="V71" s="272">
        <v>0</v>
      </c>
      <c r="W71" s="272">
        <v>0</v>
      </c>
      <c r="X71" s="272">
        <v>9.0512000000000006E-3</v>
      </c>
      <c r="Y71" s="272">
        <v>9.0147000000000005E-3</v>
      </c>
      <c r="Z71" s="272">
        <v>5.4922E-3</v>
      </c>
      <c r="AA71" s="272">
        <v>3.5590000000000001E-3</v>
      </c>
      <c r="AB71" s="272">
        <v>3.5225E-3</v>
      </c>
      <c r="AC71" s="272">
        <v>3.5408000000000002E-3</v>
      </c>
      <c r="AD71" s="272">
        <v>1</v>
      </c>
      <c r="AE71" s="272">
        <v>0.99999819999999995</v>
      </c>
      <c r="AF71" s="272">
        <v>1</v>
      </c>
      <c r="AG71" s="272">
        <v>1</v>
      </c>
      <c r="AH71" s="272">
        <v>0</v>
      </c>
      <c r="AI71" s="272">
        <v>0</v>
      </c>
      <c r="AJ71" s="154"/>
      <c r="AK71" s="154"/>
      <c r="AL71" s="154"/>
      <c r="AM71" s="154"/>
      <c r="AN71" s="154"/>
      <c r="AO71" s="154"/>
      <c r="AP71" s="154"/>
      <c r="AQ71" s="163"/>
      <c r="AR71" s="163"/>
      <c r="AS71" s="196"/>
      <c r="AT71" s="196"/>
      <c r="AU71" s="196"/>
      <c r="AV71" s="196"/>
      <c r="AW71" s="196"/>
      <c r="AX71" s="196"/>
      <c r="AY71" s="196"/>
      <c r="AZ71" s="196"/>
      <c r="BA71" s="196"/>
      <c r="BB71" s="196"/>
      <c r="BC71" s="196"/>
      <c r="BD71" s="196"/>
      <c r="BE71" s="196"/>
      <c r="BF71" s="196"/>
      <c r="BG71" s="163"/>
      <c r="BH71" s="163"/>
      <c r="BI71" s="163"/>
      <c r="BJ71" s="163"/>
      <c r="BK71" s="163"/>
      <c r="BL71" s="163"/>
      <c r="BM71" s="163"/>
      <c r="BN71" s="163"/>
    </row>
    <row r="72" spans="1:66">
      <c r="A72" s="163">
        <v>10209</v>
      </c>
      <c r="B72" s="163" t="s">
        <v>76</v>
      </c>
      <c r="C72" s="267">
        <v>1</v>
      </c>
      <c r="D72" s="267">
        <v>0</v>
      </c>
      <c r="E72" s="272">
        <v>106.455</v>
      </c>
      <c r="F72" s="272">
        <v>110.532</v>
      </c>
      <c r="G72" s="272">
        <v>112.47199999999999</v>
      </c>
      <c r="H72" s="272">
        <v>0</v>
      </c>
      <c r="I72" s="272">
        <v>0</v>
      </c>
      <c r="J72" s="272">
        <v>0</v>
      </c>
      <c r="K72" s="272">
        <v>0</v>
      </c>
      <c r="L72" s="272">
        <v>0</v>
      </c>
      <c r="M72" s="272">
        <v>0</v>
      </c>
      <c r="N72" s="272">
        <v>108.63200000000001</v>
      </c>
      <c r="O72" s="272">
        <v>109.416</v>
      </c>
      <c r="P72" s="272">
        <v>951616</v>
      </c>
      <c r="Q72" s="272">
        <v>958484</v>
      </c>
      <c r="R72" s="272">
        <v>103.20699999999999</v>
      </c>
      <c r="S72" s="272">
        <v>904093</v>
      </c>
      <c r="T72" s="272">
        <v>5.4249999999999998</v>
      </c>
      <c r="U72" s="272">
        <v>6.2089999999999996</v>
      </c>
      <c r="V72" s="272">
        <v>5.4249999999999998</v>
      </c>
      <c r="W72" s="272">
        <v>6.2089999999999996</v>
      </c>
      <c r="X72" s="272">
        <v>1.4860999999999999E-2</v>
      </c>
      <c r="Y72" s="272">
        <v>1.4860999999999999E-2</v>
      </c>
      <c r="Z72" s="272">
        <v>0</v>
      </c>
      <c r="AA72" s="272">
        <v>1.4860999999999999E-2</v>
      </c>
      <c r="AB72" s="272">
        <v>1.4860999999999999E-2</v>
      </c>
      <c r="AC72" s="272">
        <v>1.4860999999999999E-2</v>
      </c>
      <c r="AD72" s="272">
        <v>0.95006400000000002</v>
      </c>
      <c r="AE72" s="272">
        <v>0.94325650000000005</v>
      </c>
      <c r="AF72" s="272">
        <v>1.0525643</v>
      </c>
      <c r="AG72" s="272">
        <v>1.0601605999999999</v>
      </c>
      <c r="AH72" s="272">
        <v>7.3679499999999995E-2</v>
      </c>
      <c r="AI72" s="272">
        <v>7.4211200000000005E-2</v>
      </c>
      <c r="AJ72" s="154"/>
      <c r="AK72" s="154"/>
      <c r="AL72" s="154"/>
      <c r="AM72" s="154"/>
      <c r="AN72" s="154"/>
      <c r="AO72" s="154"/>
      <c r="AP72" s="154"/>
      <c r="AQ72" s="163"/>
      <c r="AR72" s="163"/>
      <c r="AS72" s="196"/>
      <c r="AT72" s="196"/>
      <c r="AU72" s="196"/>
      <c r="AV72" s="196"/>
      <c r="AW72" s="196"/>
      <c r="AX72" s="196"/>
      <c r="AY72" s="196"/>
      <c r="AZ72" s="196"/>
      <c r="BA72" s="196"/>
      <c r="BB72" s="196"/>
      <c r="BC72" s="196"/>
      <c r="BD72" s="196"/>
      <c r="BE72" s="196"/>
      <c r="BF72" s="196"/>
      <c r="BG72" s="163"/>
      <c r="BH72" s="163"/>
      <c r="BI72" s="163"/>
      <c r="BJ72" s="163"/>
      <c r="BK72" s="163"/>
      <c r="BL72" s="163"/>
      <c r="BM72" s="163"/>
      <c r="BN72" s="163"/>
    </row>
    <row r="73" spans="1:66">
      <c r="A73" s="163">
        <v>10230</v>
      </c>
      <c r="B73" s="163" t="s">
        <v>77</v>
      </c>
      <c r="C73" s="267">
        <v>1</v>
      </c>
      <c r="D73" s="267">
        <v>0</v>
      </c>
      <c r="E73" s="272">
        <v>9.8469999999999995</v>
      </c>
      <c r="F73" s="272">
        <v>12.739000000000001</v>
      </c>
      <c r="G73" s="272">
        <v>12.763</v>
      </c>
      <c r="H73" s="272">
        <v>0</v>
      </c>
      <c r="I73" s="272">
        <v>0</v>
      </c>
      <c r="J73" s="272">
        <v>0.98299999999999998</v>
      </c>
      <c r="K73" s="272">
        <v>0.98</v>
      </c>
      <c r="L73" s="272">
        <v>8611</v>
      </c>
      <c r="M73" s="272">
        <v>8585</v>
      </c>
      <c r="N73" s="272">
        <v>10.186</v>
      </c>
      <c r="O73" s="272">
        <v>10.242000000000001</v>
      </c>
      <c r="P73" s="272">
        <v>89229</v>
      </c>
      <c r="Q73" s="272">
        <v>89720</v>
      </c>
      <c r="R73" s="272">
        <v>9.5470000000000006</v>
      </c>
      <c r="S73" s="272">
        <v>83632</v>
      </c>
      <c r="T73" s="272">
        <v>0.63900000000000001</v>
      </c>
      <c r="U73" s="272">
        <v>0.69499999999999995</v>
      </c>
      <c r="V73" s="272">
        <v>0</v>
      </c>
      <c r="W73" s="272">
        <v>0</v>
      </c>
      <c r="X73" s="272">
        <v>1.3747E-3</v>
      </c>
      <c r="Y73" s="272">
        <v>1.3747E-3</v>
      </c>
      <c r="Z73" s="272">
        <v>0</v>
      </c>
      <c r="AA73" s="272">
        <v>1.3747E-3</v>
      </c>
      <c r="AB73" s="272">
        <v>1.3747E-3</v>
      </c>
      <c r="AC73" s="272">
        <v>1.3747E-3</v>
      </c>
      <c r="AD73" s="272">
        <v>0.94276959999999999</v>
      </c>
      <c r="AE73" s="272">
        <v>0.93806420000000001</v>
      </c>
      <c r="AF73" s="272">
        <v>1.066932</v>
      </c>
      <c r="AG73" s="272">
        <v>1.0727977</v>
      </c>
      <c r="AH73" s="272">
        <v>7.4685199999999993E-2</v>
      </c>
      <c r="AI73" s="272">
        <v>7.5095800000000004E-2</v>
      </c>
      <c r="AJ73" s="154"/>
      <c r="AK73" s="154"/>
      <c r="AL73" s="154"/>
      <c r="AM73" s="154"/>
      <c r="AN73" s="154"/>
      <c r="AO73" s="154"/>
      <c r="AP73" s="154"/>
      <c r="AQ73" s="163"/>
      <c r="AR73" s="163"/>
      <c r="AS73" s="196"/>
      <c r="AT73" s="196"/>
      <c r="AU73" s="196"/>
      <c r="AV73" s="196"/>
      <c r="AW73" s="196"/>
      <c r="AX73" s="196"/>
      <c r="AY73" s="196"/>
      <c r="AZ73" s="196"/>
      <c r="BA73" s="196"/>
      <c r="BB73" s="196"/>
      <c r="BC73" s="196"/>
      <c r="BD73" s="196"/>
      <c r="BE73" s="196"/>
      <c r="BF73" s="196"/>
      <c r="BG73" s="163"/>
      <c r="BH73" s="163"/>
      <c r="BI73" s="163"/>
      <c r="BJ73" s="163"/>
      <c r="BK73" s="163"/>
      <c r="BL73" s="163"/>
      <c r="BM73" s="163"/>
      <c r="BN73" s="163"/>
    </row>
    <row r="74" spans="1:66">
      <c r="A74" s="163">
        <v>10231</v>
      </c>
      <c r="B74" s="163" t="s">
        <v>78</v>
      </c>
      <c r="C74" s="267">
        <v>1</v>
      </c>
      <c r="D74" s="267">
        <v>0</v>
      </c>
      <c r="E74" s="272">
        <v>37.206000000000003</v>
      </c>
      <c r="F74" s="272">
        <v>48.790999999999997</v>
      </c>
      <c r="G74" s="272">
        <v>49.122</v>
      </c>
      <c r="H74" s="272">
        <v>0</v>
      </c>
      <c r="I74" s="272">
        <v>0</v>
      </c>
      <c r="J74" s="272">
        <v>4.431</v>
      </c>
      <c r="K74" s="272">
        <v>4.4189999999999996</v>
      </c>
      <c r="L74" s="272">
        <v>38816</v>
      </c>
      <c r="M74" s="272">
        <v>38710</v>
      </c>
      <c r="N74" s="272">
        <v>43.6</v>
      </c>
      <c r="O74" s="272">
        <v>43.98</v>
      </c>
      <c r="P74" s="272">
        <v>381936</v>
      </c>
      <c r="Q74" s="272">
        <v>385265</v>
      </c>
      <c r="R74" s="272">
        <v>36.070999999999998</v>
      </c>
      <c r="S74" s="272">
        <v>315982</v>
      </c>
      <c r="T74" s="272">
        <v>7.5289999999999999</v>
      </c>
      <c r="U74" s="272">
        <v>7.9089999999999998</v>
      </c>
      <c r="V74" s="272">
        <v>7.5289999999999999</v>
      </c>
      <c r="W74" s="272">
        <v>7.9089999999999998</v>
      </c>
      <c r="X74" s="272">
        <v>5.1939000000000004E-3</v>
      </c>
      <c r="Y74" s="272">
        <v>5.1939000000000004E-3</v>
      </c>
      <c r="Z74" s="272">
        <v>0</v>
      </c>
      <c r="AA74" s="272">
        <v>5.1939000000000004E-3</v>
      </c>
      <c r="AB74" s="272">
        <v>5.1939000000000004E-3</v>
      </c>
      <c r="AC74" s="272">
        <v>5.1939000000000004E-3</v>
      </c>
      <c r="AD74" s="272">
        <v>0.84320450000000002</v>
      </c>
      <c r="AE74" s="272">
        <v>0.83658410000000005</v>
      </c>
      <c r="AF74" s="272">
        <v>1.2087272</v>
      </c>
      <c r="AG74" s="272">
        <v>1.2192620000000001</v>
      </c>
      <c r="AH74" s="272">
        <v>8.4610900000000003E-2</v>
      </c>
      <c r="AI74" s="272">
        <v>8.5348300000000002E-2</v>
      </c>
      <c r="AJ74" s="154"/>
      <c r="AK74" s="154"/>
      <c r="AL74" s="154"/>
      <c r="AM74" s="154"/>
      <c r="AN74" s="154"/>
      <c r="AO74" s="154"/>
      <c r="AP74" s="154"/>
      <c r="AQ74" s="163"/>
      <c r="AR74" s="163"/>
      <c r="AS74" s="196"/>
      <c r="AT74" s="196"/>
      <c r="AU74" s="196"/>
      <c r="AV74" s="196"/>
      <c r="AW74" s="196"/>
      <c r="AX74" s="196"/>
      <c r="AY74" s="196"/>
      <c r="AZ74" s="196"/>
      <c r="BA74" s="196"/>
      <c r="BB74" s="196"/>
      <c r="BC74" s="196"/>
      <c r="BD74" s="196"/>
      <c r="BE74" s="196"/>
      <c r="BF74" s="196"/>
      <c r="BG74" s="163"/>
      <c r="BH74" s="163"/>
      <c r="BI74" s="163"/>
      <c r="BJ74" s="163"/>
      <c r="BK74" s="163"/>
      <c r="BL74" s="163"/>
      <c r="BM74" s="163"/>
      <c r="BN74" s="163"/>
    </row>
    <row r="75" spans="1:66">
      <c r="A75" s="163">
        <v>10234</v>
      </c>
      <c r="B75" s="163" t="s">
        <v>79</v>
      </c>
      <c r="C75" s="267">
        <v>1</v>
      </c>
      <c r="D75" s="267">
        <v>0</v>
      </c>
      <c r="E75" s="272">
        <v>51.76</v>
      </c>
      <c r="F75" s="272">
        <v>56.414000000000001</v>
      </c>
      <c r="G75" s="272">
        <v>56.802</v>
      </c>
      <c r="H75" s="272">
        <v>0</v>
      </c>
      <c r="I75" s="272">
        <v>0</v>
      </c>
      <c r="J75" s="272">
        <v>0</v>
      </c>
      <c r="K75" s="272">
        <v>0</v>
      </c>
      <c r="L75" s="272">
        <v>0</v>
      </c>
      <c r="M75" s="272">
        <v>0</v>
      </c>
      <c r="N75" s="272">
        <v>53.232999999999997</v>
      </c>
      <c r="O75" s="272">
        <v>53.643999999999998</v>
      </c>
      <c r="P75" s="272">
        <v>466321</v>
      </c>
      <c r="Q75" s="272">
        <v>469921</v>
      </c>
      <c r="R75" s="272">
        <v>50.180999999999997</v>
      </c>
      <c r="S75" s="272">
        <v>439586</v>
      </c>
      <c r="T75" s="272">
        <v>3.052</v>
      </c>
      <c r="U75" s="272">
        <v>3.4630000000000001</v>
      </c>
      <c r="V75" s="272">
        <v>3.052</v>
      </c>
      <c r="W75" s="272">
        <v>3.4630000000000001</v>
      </c>
      <c r="X75" s="272">
        <v>7.2256000000000004E-3</v>
      </c>
      <c r="Y75" s="272">
        <v>7.2256000000000004E-3</v>
      </c>
      <c r="Z75" s="272">
        <v>0</v>
      </c>
      <c r="AA75" s="272">
        <v>7.2256000000000004E-3</v>
      </c>
      <c r="AB75" s="272">
        <v>7.2256000000000004E-3</v>
      </c>
      <c r="AC75" s="272">
        <v>7.2256000000000004E-3</v>
      </c>
      <c r="AD75" s="272">
        <v>0.94266110000000003</v>
      </c>
      <c r="AE75" s="272">
        <v>0.93543880000000001</v>
      </c>
      <c r="AF75" s="272">
        <v>1.0608198</v>
      </c>
      <c r="AG75" s="272">
        <v>1.0690101999999999</v>
      </c>
      <c r="AH75" s="272">
        <v>5.3040999999999998E-2</v>
      </c>
      <c r="AI75" s="272">
        <v>5.3450499999999998E-2</v>
      </c>
      <c r="AJ75" s="154"/>
      <c r="AK75" s="154"/>
      <c r="AL75" s="154"/>
      <c r="AM75" s="154"/>
      <c r="AN75" s="154"/>
      <c r="AO75" s="154"/>
      <c r="AP75" s="154"/>
      <c r="AQ75" s="163"/>
      <c r="AR75" s="163"/>
      <c r="AS75" s="196"/>
      <c r="AT75" s="196"/>
      <c r="AU75" s="196"/>
      <c r="AV75" s="196"/>
      <c r="AW75" s="196"/>
      <c r="AX75" s="196"/>
      <c r="AY75" s="196"/>
      <c r="AZ75" s="196"/>
      <c r="BA75" s="196"/>
      <c r="BB75" s="196"/>
      <c r="BC75" s="196"/>
      <c r="BD75" s="196"/>
      <c r="BE75" s="196"/>
      <c r="BF75" s="196"/>
      <c r="BG75" s="163"/>
      <c r="BH75" s="163"/>
      <c r="BI75" s="163"/>
      <c r="BJ75" s="163"/>
      <c r="BK75" s="163"/>
      <c r="BL75" s="163"/>
      <c r="BM75" s="163"/>
      <c r="BN75" s="163"/>
    </row>
    <row r="76" spans="1:66">
      <c r="A76" s="163">
        <v>10235</v>
      </c>
      <c r="B76" s="163" t="s">
        <v>80</v>
      </c>
      <c r="C76" s="267">
        <v>1</v>
      </c>
      <c r="D76" s="267">
        <v>0</v>
      </c>
      <c r="E76" s="272">
        <v>33.606999999999999</v>
      </c>
      <c r="F76" s="272">
        <v>31.117000000000001</v>
      </c>
      <c r="G76" s="272">
        <v>31.166</v>
      </c>
      <c r="H76" s="272">
        <v>0</v>
      </c>
      <c r="I76" s="272">
        <v>0</v>
      </c>
      <c r="J76" s="272">
        <v>0</v>
      </c>
      <c r="K76" s="272">
        <v>0</v>
      </c>
      <c r="L76" s="272">
        <v>0</v>
      </c>
      <c r="M76" s="272">
        <v>0</v>
      </c>
      <c r="N76" s="272">
        <v>31.097000000000001</v>
      </c>
      <c r="O76" s="272">
        <v>31.251999999999999</v>
      </c>
      <c r="P76" s="272">
        <v>272410</v>
      </c>
      <c r="Q76" s="272">
        <v>273768</v>
      </c>
      <c r="R76" s="272">
        <v>32.582000000000001</v>
      </c>
      <c r="S76" s="272">
        <v>285418</v>
      </c>
      <c r="T76" s="272">
        <v>0</v>
      </c>
      <c r="U76" s="272">
        <v>0</v>
      </c>
      <c r="V76" s="272">
        <v>0</v>
      </c>
      <c r="W76" s="272">
        <v>0</v>
      </c>
      <c r="X76" s="272">
        <v>4.4777000000000003E-3</v>
      </c>
      <c r="Y76" s="272">
        <v>4.4999999999999997E-3</v>
      </c>
      <c r="Z76" s="272">
        <v>0</v>
      </c>
      <c r="AA76" s="272">
        <v>4.4777000000000003E-3</v>
      </c>
      <c r="AB76" s="272">
        <v>4.4999999999999997E-3</v>
      </c>
      <c r="AC76" s="272">
        <v>4.4888999999999997E-3</v>
      </c>
      <c r="AD76" s="272">
        <v>0.99999800000000005</v>
      </c>
      <c r="AE76" s="272">
        <v>0.99999380000000004</v>
      </c>
      <c r="AF76" s="272">
        <v>1</v>
      </c>
      <c r="AG76" s="272">
        <v>1</v>
      </c>
      <c r="AH76" s="272">
        <v>0</v>
      </c>
      <c r="AI76" s="272">
        <v>0</v>
      </c>
      <c r="AJ76" s="154"/>
      <c r="AK76" s="154"/>
      <c r="AL76" s="154"/>
      <c r="AM76" s="154"/>
      <c r="AN76" s="154"/>
      <c r="AO76" s="154"/>
      <c r="AP76" s="154"/>
      <c r="AQ76" s="163"/>
      <c r="AR76" s="163"/>
      <c r="AS76" s="196"/>
      <c r="AT76" s="196"/>
      <c r="AU76" s="196"/>
      <c r="AV76" s="196"/>
      <c r="AW76" s="196"/>
      <c r="AX76" s="196"/>
      <c r="AY76" s="196"/>
      <c r="AZ76" s="196"/>
      <c r="BA76" s="196"/>
      <c r="BB76" s="196"/>
      <c r="BC76" s="196"/>
      <c r="BD76" s="196"/>
      <c r="BE76" s="196"/>
      <c r="BF76" s="196"/>
      <c r="BG76" s="163"/>
      <c r="BH76" s="163"/>
      <c r="BI76" s="163"/>
      <c r="BJ76" s="163"/>
      <c r="BK76" s="163"/>
      <c r="BL76" s="163"/>
      <c r="BM76" s="163"/>
      <c r="BN76" s="163"/>
    </row>
    <row r="77" spans="1:66">
      <c r="A77" s="163">
        <v>10236</v>
      </c>
      <c r="B77" s="163" t="s">
        <v>81</v>
      </c>
      <c r="C77" s="267">
        <v>0</v>
      </c>
      <c r="D77" s="267">
        <v>1</v>
      </c>
      <c r="E77" s="272">
        <v>29.536999999999999</v>
      </c>
      <c r="F77" s="272">
        <v>27.611000000000001</v>
      </c>
      <c r="G77" s="272">
        <v>27.512</v>
      </c>
      <c r="H77" s="272">
        <v>0</v>
      </c>
      <c r="I77" s="272">
        <v>0</v>
      </c>
      <c r="J77" s="272">
        <v>0.13300000000000001</v>
      </c>
      <c r="K77" s="272">
        <v>0.13200000000000001</v>
      </c>
      <c r="L77" s="272">
        <v>1165</v>
      </c>
      <c r="M77" s="272">
        <v>1156</v>
      </c>
      <c r="N77" s="272">
        <v>27.416</v>
      </c>
      <c r="O77" s="272">
        <v>27.416</v>
      </c>
      <c r="P77" s="272">
        <v>240164</v>
      </c>
      <c r="Q77" s="272">
        <v>240164</v>
      </c>
      <c r="R77" s="272">
        <v>28.635999999999999</v>
      </c>
      <c r="S77" s="272">
        <v>250851</v>
      </c>
      <c r="T77" s="272">
        <v>0</v>
      </c>
      <c r="U77" s="272">
        <v>0</v>
      </c>
      <c r="V77" s="272">
        <v>0</v>
      </c>
      <c r="W77" s="272">
        <v>0</v>
      </c>
      <c r="X77" s="272">
        <v>3.9477000000000002E-3</v>
      </c>
      <c r="Y77" s="272">
        <v>3.9477000000000002E-3</v>
      </c>
      <c r="Z77" s="272">
        <v>0</v>
      </c>
      <c r="AA77" s="272">
        <v>3.9477000000000002E-3</v>
      </c>
      <c r="AB77" s="272">
        <v>3.9477000000000002E-3</v>
      </c>
      <c r="AC77" s="272">
        <v>3.9477000000000002E-3</v>
      </c>
      <c r="AD77" s="272">
        <v>1</v>
      </c>
      <c r="AE77" s="272">
        <v>1</v>
      </c>
      <c r="AF77" s="272">
        <v>1</v>
      </c>
      <c r="AG77" s="272">
        <v>1</v>
      </c>
      <c r="AH77" s="272">
        <v>6.5000000000000002E-2</v>
      </c>
      <c r="AI77" s="272">
        <v>6.5000000000000002E-2</v>
      </c>
      <c r="AJ77" s="154"/>
      <c r="AK77" s="154"/>
      <c r="AL77" s="154"/>
      <c r="AM77" s="154"/>
      <c r="AN77" s="154"/>
      <c r="AO77" s="154"/>
      <c r="AP77" s="154"/>
      <c r="AQ77" s="163"/>
      <c r="AR77" s="163"/>
      <c r="AS77" s="196"/>
      <c r="AT77" s="196"/>
      <c r="AU77" s="196"/>
      <c r="AV77" s="196"/>
      <c r="AW77" s="196"/>
      <c r="AX77" s="196"/>
      <c r="AY77" s="196"/>
      <c r="AZ77" s="196"/>
      <c r="BA77" s="196"/>
      <c r="BB77" s="196"/>
      <c r="BC77" s="196"/>
      <c r="BD77" s="196"/>
      <c r="BE77" s="196"/>
      <c r="BF77" s="196"/>
      <c r="BG77" s="163"/>
      <c r="BH77" s="163"/>
      <c r="BI77" s="163"/>
      <c r="BJ77" s="163"/>
      <c r="BK77" s="163"/>
      <c r="BL77" s="163"/>
      <c r="BM77" s="163"/>
      <c r="BN77" s="163"/>
    </row>
    <row r="78" spans="1:66">
      <c r="A78" s="163">
        <v>10237</v>
      </c>
      <c r="B78" s="163" t="s">
        <v>82</v>
      </c>
      <c r="C78" s="267">
        <v>1</v>
      </c>
      <c r="D78" s="267">
        <v>0</v>
      </c>
      <c r="E78" s="272">
        <v>115.429</v>
      </c>
      <c r="F78" s="272">
        <v>110.58199999999999</v>
      </c>
      <c r="G78" s="272">
        <v>110.477</v>
      </c>
      <c r="H78" s="272">
        <v>0</v>
      </c>
      <c r="I78" s="272">
        <v>0</v>
      </c>
      <c r="J78" s="272">
        <v>1.1919999999999999</v>
      </c>
      <c r="K78" s="272">
        <v>1.19</v>
      </c>
      <c r="L78" s="272">
        <v>10442</v>
      </c>
      <c r="M78" s="272">
        <v>10424</v>
      </c>
      <c r="N78" s="272">
        <v>109.39</v>
      </c>
      <c r="O78" s="272">
        <v>109.28700000000001</v>
      </c>
      <c r="P78" s="272">
        <v>958256</v>
      </c>
      <c r="Q78" s="272">
        <v>957354</v>
      </c>
      <c r="R78" s="272">
        <v>111.907</v>
      </c>
      <c r="S78" s="272">
        <v>980305</v>
      </c>
      <c r="T78" s="272">
        <v>0</v>
      </c>
      <c r="U78" s="272">
        <v>0</v>
      </c>
      <c r="V78" s="272">
        <v>0</v>
      </c>
      <c r="W78" s="272">
        <v>0</v>
      </c>
      <c r="X78" s="272">
        <v>1.5751299999999999E-2</v>
      </c>
      <c r="Y78" s="272">
        <v>1.5736400000000001E-2</v>
      </c>
      <c r="Z78" s="272">
        <v>9.6100000000000005E-3</v>
      </c>
      <c r="AA78" s="272">
        <v>6.1412999999999997E-3</v>
      </c>
      <c r="AB78" s="272">
        <v>6.1263999999999997E-3</v>
      </c>
      <c r="AC78" s="272">
        <v>6.1339000000000003E-3</v>
      </c>
      <c r="AD78" s="272">
        <v>0.99999890000000002</v>
      </c>
      <c r="AE78" s="272">
        <v>0.99999709999999997</v>
      </c>
      <c r="AF78" s="272">
        <v>1</v>
      </c>
      <c r="AG78" s="272">
        <v>1</v>
      </c>
      <c r="AH78" s="272">
        <v>5.5E-2</v>
      </c>
      <c r="AI78" s="272">
        <v>5.5E-2</v>
      </c>
      <c r="AJ78" s="154"/>
      <c r="AK78" s="154"/>
      <c r="AL78" s="154"/>
      <c r="AM78" s="154"/>
      <c r="AN78" s="154"/>
      <c r="AO78" s="154"/>
      <c r="AP78" s="154"/>
      <c r="AQ78" s="163"/>
      <c r="AR78" s="163"/>
      <c r="AS78" s="196"/>
      <c r="AT78" s="196"/>
      <c r="AU78" s="196"/>
      <c r="AV78" s="196"/>
      <c r="AW78" s="196"/>
      <c r="AX78" s="196"/>
      <c r="AY78" s="196"/>
      <c r="AZ78" s="196"/>
      <c r="BA78" s="196"/>
      <c r="BB78" s="196"/>
      <c r="BC78" s="196"/>
      <c r="BD78" s="196"/>
      <c r="BE78" s="196"/>
      <c r="BF78" s="196"/>
      <c r="BG78" s="163"/>
      <c r="BH78" s="163"/>
      <c r="BI78" s="163"/>
      <c r="BJ78" s="163"/>
      <c r="BK78" s="163"/>
      <c r="BL78" s="163"/>
      <c r="BM78" s="163"/>
      <c r="BN78" s="163"/>
    </row>
    <row r="79" spans="1:66">
      <c r="A79" s="163">
        <v>10239</v>
      </c>
      <c r="B79" s="163" t="s">
        <v>83</v>
      </c>
      <c r="C79" s="267">
        <v>0</v>
      </c>
      <c r="D79" s="267">
        <v>1</v>
      </c>
      <c r="E79" s="272">
        <v>14.209</v>
      </c>
      <c r="F79" s="272">
        <v>14.516</v>
      </c>
      <c r="G79" s="272">
        <v>14.461</v>
      </c>
      <c r="H79" s="272">
        <v>0</v>
      </c>
      <c r="I79" s="272">
        <v>0</v>
      </c>
      <c r="J79" s="272">
        <v>0</v>
      </c>
      <c r="K79" s="272">
        <v>0</v>
      </c>
      <c r="L79" s="272">
        <v>0</v>
      </c>
      <c r="M79" s="272">
        <v>0</v>
      </c>
      <c r="N79" s="272">
        <v>13.609</v>
      </c>
      <c r="O79" s="272">
        <v>13.609</v>
      </c>
      <c r="P79" s="272">
        <v>119215</v>
      </c>
      <c r="Q79" s="272">
        <v>119215</v>
      </c>
      <c r="R79" s="272">
        <v>13.775</v>
      </c>
      <c r="S79" s="272">
        <v>120669</v>
      </c>
      <c r="T79" s="272">
        <v>0</v>
      </c>
      <c r="U79" s="272">
        <v>0</v>
      </c>
      <c r="V79" s="272">
        <v>0</v>
      </c>
      <c r="W79" s="272">
        <v>0</v>
      </c>
      <c r="X79" s="272">
        <v>1.9596000000000001E-3</v>
      </c>
      <c r="Y79" s="272">
        <v>1.9596000000000001E-3</v>
      </c>
      <c r="Z79" s="272">
        <v>0</v>
      </c>
      <c r="AA79" s="272">
        <v>1.9596000000000001E-3</v>
      </c>
      <c r="AB79" s="272">
        <v>1.9596000000000001E-3</v>
      </c>
      <c r="AC79" s="272">
        <v>1.9596000000000001E-3</v>
      </c>
      <c r="AD79" s="272">
        <v>1</v>
      </c>
      <c r="AE79" s="272">
        <v>1</v>
      </c>
      <c r="AF79" s="272">
        <v>1</v>
      </c>
      <c r="AG79" s="272">
        <v>1</v>
      </c>
      <c r="AH79" s="272">
        <v>7.0000000000000007E-2</v>
      </c>
      <c r="AI79" s="272">
        <v>7.0000000000000007E-2</v>
      </c>
      <c r="AJ79" s="154"/>
      <c r="AK79" s="154"/>
      <c r="AL79" s="154"/>
      <c r="AM79" s="154"/>
      <c r="AN79" s="154"/>
      <c r="AO79" s="154"/>
      <c r="AP79" s="154"/>
      <c r="AQ79" s="163"/>
      <c r="AR79" s="163"/>
      <c r="AS79" s="196"/>
      <c r="AT79" s="196"/>
      <c r="AU79" s="196"/>
      <c r="AV79" s="196"/>
      <c r="AW79" s="196"/>
      <c r="AX79" s="196"/>
      <c r="AY79" s="196"/>
      <c r="AZ79" s="196"/>
      <c r="BA79" s="196"/>
      <c r="BB79" s="196"/>
      <c r="BC79" s="196"/>
      <c r="BD79" s="196"/>
      <c r="BE79" s="196"/>
      <c r="BF79" s="196"/>
      <c r="BG79" s="163"/>
      <c r="BH79" s="163"/>
      <c r="BI79" s="163"/>
      <c r="BJ79" s="163"/>
      <c r="BK79" s="163"/>
      <c r="BL79" s="163"/>
      <c r="BM79" s="163"/>
      <c r="BN79" s="163"/>
    </row>
    <row r="80" spans="1:66">
      <c r="A80" s="163">
        <v>10242</v>
      </c>
      <c r="B80" s="163" t="s">
        <v>84</v>
      </c>
      <c r="C80" s="267">
        <v>1</v>
      </c>
      <c r="D80" s="267">
        <v>0</v>
      </c>
      <c r="E80" s="272">
        <v>9.6679999999999993</v>
      </c>
      <c r="F80" s="272">
        <v>9.4730000000000008</v>
      </c>
      <c r="G80" s="272">
        <v>9.5169999999999995</v>
      </c>
      <c r="H80" s="272">
        <v>0</v>
      </c>
      <c r="I80" s="272">
        <v>0</v>
      </c>
      <c r="J80" s="272">
        <v>0</v>
      </c>
      <c r="K80" s="272">
        <v>0</v>
      </c>
      <c r="L80" s="272">
        <v>0</v>
      </c>
      <c r="M80" s="272">
        <v>0</v>
      </c>
      <c r="N80" s="272">
        <v>9.2360000000000007</v>
      </c>
      <c r="O80" s="272">
        <v>9.31</v>
      </c>
      <c r="P80" s="272">
        <v>80907</v>
      </c>
      <c r="Q80" s="272">
        <v>81556</v>
      </c>
      <c r="R80" s="272">
        <v>9.3729999999999993</v>
      </c>
      <c r="S80" s="272">
        <v>82107</v>
      </c>
      <c r="T80" s="272">
        <v>0</v>
      </c>
      <c r="U80" s="272">
        <v>0</v>
      </c>
      <c r="V80" s="272">
        <v>0</v>
      </c>
      <c r="W80" s="272">
        <v>0</v>
      </c>
      <c r="X80" s="272">
        <v>1.3299E-3</v>
      </c>
      <c r="Y80" s="272">
        <v>1.3406E-3</v>
      </c>
      <c r="Z80" s="272">
        <v>0</v>
      </c>
      <c r="AA80" s="272">
        <v>1.3299E-3</v>
      </c>
      <c r="AB80" s="272">
        <v>1.3406E-3</v>
      </c>
      <c r="AC80" s="272">
        <v>1.3353E-3</v>
      </c>
      <c r="AD80" s="272">
        <v>0.99999470000000001</v>
      </c>
      <c r="AE80" s="272">
        <v>1</v>
      </c>
      <c r="AF80" s="272">
        <v>1</v>
      </c>
      <c r="AG80" s="272">
        <v>1</v>
      </c>
      <c r="AH80" s="272">
        <v>7.0000000000000007E-2</v>
      </c>
      <c r="AI80" s="272">
        <v>7.0000000000000007E-2</v>
      </c>
      <c r="AJ80" s="154"/>
      <c r="AK80" s="154"/>
      <c r="AL80" s="154"/>
      <c r="AM80" s="154"/>
      <c r="AN80" s="154"/>
      <c r="AO80" s="154"/>
      <c r="AP80" s="154"/>
      <c r="AQ80" s="163"/>
      <c r="AR80" s="163"/>
      <c r="AS80" s="196"/>
      <c r="AT80" s="196"/>
      <c r="AU80" s="196"/>
      <c r="AV80" s="196"/>
      <c r="AW80" s="196"/>
      <c r="AX80" s="196"/>
      <c r="AY80" s="196"/>
      <c r="AZ80" s="196"/>
      <c r="BA80" s="196"/>
      <c r="BB80" s="196"/>
      <c r="BC80" s="196"/>
      <c r="BD80" s="196"/>
      <c r="BE80" s="196"/>
      <c r="BF80" s="196"/>
      <c r="BG80" s="163"/>
      <c r="BH80" s="163"/>
      <c r="BI80" s="163"/>
      <c r="BJ80" s="163"/>
      <c r="BK80" s="163"/>
      <c r="BL80" s="163"/>
      <c r="BM80" s="163"/>
      <c r="BN80" s="163"/>
    </row>
    <row r="81" spans="1:66">
      <c r="A81" s="163">
        <v>10244</v>
      </c>
      <c r="B81" s="163" t="s">
        <v>85</v>
      </c>
      <c r="C81" s="267">
        <v>1</v>
      </c>
      <c r="D81" s="267">
        <v>0</v>
      </c>
      <c r="E81" s="272">
        <v>87.320999999999998</v>
      </c>
      <c r="F81" s="272">
        <v>98.644000000000005</v>
      </c>
      <c r="G81" s="272">
        <v>100.194</v>
      </c>
      <c r="H81" s="272">
        <v>0</v>
      </c>
      <c r="I81" s="272">
        <v>0</v>
      </c>
      <c r="J81" s="272">
        <v>1.78</v>
      </c>
      <c r="K81" s="272">
        <v>1.778</v>
      </c>
      <c r="L81" s="272">
        <v>15593</v>
      </c>
      <c r="M81" s="272">
        <v>15575</v>
      </c>
      <c r="N81" s="272">
        <v>91.007999999999996</v>
      </c>
      <c r="O81" s="272">
        <v>91.85</v>
      </c>
      <c r="P81" s="272">
        <v>797230</v>
      </c>
      <c r="Q81" s="272">
        <v>804606</v>
      </c>
      <c r="R81" s="272">
        <v>84.656999999999996</v>
      </c>
      <c r="S81" s="272">
        <v>741595</v>
      </c>
      <c r="T81" s="272">
        <v>6.351</v>
      </c>
      <c r="U81" s="272">
        <v>7.1929999999999996</v>
      </c>
      <c r="V81" s="272">
        <v>6.351</v>
      </c>
      <c r="W81" s="272">
        <v>7.1929999999999996</v>
      </c>
      <c r="X81" s="272">
        <v>1.21899E-2</v>
      </c>
      <c r="Y81" s="272">
        <v>1.21899E-2</v>
      </c>
      <c r="Z81" s="272">
        <v>0</v>
      </c>
      <c r="AA81" s="272">
        <v>1.21899E-2</v>
      </c>
      <c r="AB81" s="272">
        <v>1.21899E-2</v>
      </c>
      <c r="AC81" s="272">
        <v>1.21899E-2</v>
      </c>
      <c r="AD81" s="272">
        <v>0.93124370000000001</v>
      </c>
      <c r="AE81" s="272">
        <v>0.92283159999999997</v>
      </c>
      <c r="AF81" s="272">
        <v>1.0750204000000001</v>
      </c>
      <c r="AG81" s="272">
        <v>1.0849664000000001</v>
      </c>
      <c r="AH81" s="272">
        <v>5.9126100000000001E-2</v>
      </c>
      <c r="AI81" s="272">
        <v>5.9673200000000003E-2</v>
      </c>
      <c r="AJ81" s="154"/>
      <c r="AK81" s="154"/>
      <c r="AL81" s="154"/>
      <c r="AM81" s="154"/>
      <c r="AN81" s="154"/>
      <c r="AO81" s="154"/>
      <c r="AP81" s="154"/>
      <c r="AQ81" s="163"/>
      <c r="AR81" s="163"/>
      <c r="AS81" s="196"/>
      <c r="AT81" s="196"/>
      <c r="AU81" s="196"/>
      <c r="AV81" s="196"/>
      <c r="AW81" s="196"/>
      <c r="AX81" s="196"/>
      <c r="AY81" s="196"/>
      <c r="AZ81" s="196"/>
      <c r="BA81" s="196"/>
      <c r="BB81" s="196"/>
      <c r="BC81" s="196"/>
      <c r="BD81" s="196"/>
      <c r="BE81" s="196"/>
      <c r="BF81" s="196"/>
      <c r="BG81" s="163"/>
      <c r="BH81" s="163"/>
      <c r="BI81" s="163"/>
      <c r="BJ81" s="163"/>
      <c r="BK81" s="163"/>
      <c r="BL81" s="163"/>
      <c r="BM81" s="163"/>
      <c r="BN81" s="163"/>
    </row>
    <row r="82" spans="1:66">
      <c r="A82" s="163">
        <v>10246</v>
      </c>
      <c r="B82" s="163" t="s">
        <v>86</v>
      </c>
      <c r="C82" s="267">
        <v>1</v>
      </c>
      <c r="D82" s="267">
        <v>0</v>
      </c>
      <c r="E82" s="272">
        <v>9.1210000000000004</v>
      </c>
      <c r="F82" s="272">
        <v>9.2509999999999994</v>
      </c>
      <c r="G82" s="272">
        <v>9.2569999999999997</v>
      </c>
      <c r="H82" s="272">
        <v>0</v>
      </c>
      <c r="I82" s="272">
        <v>0</v>
      </c>
      <c r="J82" s="272">
        <v>0.54200000000000004</v>
      </c>
      <c r="K82" s="272">
        <v>0.54200000000000004</v>
      </c>
      <c r="L82" s="272">
        <v>4748</v>
      </c>
      <c r="M82" s="272">
        <v>4748</v>
      </c>
      <c r="N82" s="272">
        <v>8.8569999999999993</v>
      </c>
      <c r="O82" s="272">
        <v>8.8740000000000006</v>
      </c>
      <c r="P82" s="272">
        <v>77587</v>
      </c>
      <c r="Q82" s="272">
        <v>77736</v>
      </c>
      <c r="R82" s="272">
        <v>8.843</v>
      </c>
      <c r="S82" s="272">
        <v>77465</v>
      </c>
      <c r="T82" s="272">
        <v>1.4E-2</v>
      </c>
      <c r="U82" s="272">
        <v>3.1E-2</v>
      </c>
      <c r="V82" s="272">
        <v>0</v>
      </c>
      <c r="W82" s="272">
        <v>0</v>
      </c>
      <c r="X82" s="272">
        <v>1.2733E-3</v>
      </c>
      <c r="Y82" s="272">
        <v>1.2733E-3</v>
      </c>
      <c r="Z82" s="272">
        <v>0</v>
      </c>
      <c r="AA82" s="272">
        <v>1.2733E-3</v>
      </c>
      <c r="AB82" s="272">
        <v>1.2733E-3</v>
      </c>
      <c r="AC82" s="272">
        <v>1.2733E-3</v>
      </c>
      <c r="AD82" s="272">
        <v>0.99849690000000002</v>
      </c>
      <c r="AE82" s="272">
        <v>0.99669419999999997</v>
      </c>
      <c r="AF82" s="272">
        <v>1.0015832</v>
      </c>
      <c r="AG82" s="272">
        <v>1.0035056</v>
      </c>
      <c r="AH82" s="272">
        <v>6.5102900000000005E-2</v>
      </c>
      <c r="AI82" s="272">
        <v>6.5227900000000005E-2</v>
      </c>
      <c r="AJ82" s="154"/>
      <c r="AK82" s="154"/>
      <c r="AL82" s="154"/>
      <c r="AM82" s="154"/>
      <c r="AN82" s="154"/>
      <c r="AO82" s="154"/>
      <c r="AP82" s="154"/>
      <c r="AQ82" s="163"/>
      <c r="AR82" s="163"/>
      <c r="AS82" s="196"/>
      <c r="AT82" s="196"/>
      <c r="AU82" s="196"/>
      <c r="AV82" s="196"/>
      <c r="AW82" s="196"/>
      <c r="AX82" s="196"/>
      <c r="AY82" s="196"/>
      <c r="AZ82" s="196"/>
      <c r="BA82" s="196"/>
      <c r="BB82" s="196"/>
      <c r="BC82" s="196"/>
      <c r="BD82" s="196"/>
      <c r="BE82" s="196"/>
      <c r="BF82" s="196"/>
      <c r="BG82" s="163"/>
      <c r="BH82" s="163"/>
      <c r="BI82" s="163"/>
      <c r="BJ82" s="163"/>
      <c r="BK82" s="163"/>
      <c r="BL82" s="163"/>
      <c r="BM82" s="163"/>
      <c r="BN82" s="163"/>
    </row>
    <row r="83" spans="1:66">
      <c r="A83" s="163">
        <v>10247</v>
      </c>
      <c r="B83" s="163" t="s">
        <v>87</v>
      </c>
      <c r="C83" s="267">
        <v>1</v>
      </c>
      <c r="D83" s="267">
        <v>0</v>
      </c>
      <c r="E83" s="272">
        <v>81.120999999999995</v>
      </c>
      <c r="F83" s="272">
        <v>76.790999999999997</v>
      </c>
      <c r="G83" s="272">
        <v>77.53</v>
      </c>
      <c r="H83" s="272">
        <v>0</v>
      </c>
      <c r="I83" s="272">
        <v>0</v>
      </c>
      <c r="J83" s="272">
        <v>0.65800000000000003</v>
      </c>
      <c r="K83" s="272">
        <v>0.65600000000000003</v>
      </c>
      <c r="L83" s="272">
        <v>5764</v>
      </c>
      <c r="M83" s="272">
        <v>5747</v>
      </c>
      <c r="N83" s="272">
        <v>80.620999999999995</v>
      </c>
      <c r="O83" s="272">
        <v>83.76</v>
      </c>
      <c r="P83" s="272">
        <v>706240</v>
      </c>
      <c r="Q83" s="272">
        <v>733738</v>
      </c>
      <c r="R83" s="272">
        <v>78.646000000000001</v>
      </c>
      <c r="S83" s="272">
        <v>688939</v>
      </c>
      <c r="T83" s="272">
        <v>1.9750000000000001</v>
      </c>
      <c r="U83" s="272">
        <v>5.1139999999999999</v>
      </c>
      <c r="V83" s="272">
        <v>1.9750000000000001</v>
      </c>
      <c r="W83" s="272">
        <v>5.1139999999999999</v>
      </c>
      <c r="X83" s="272">
        <v>1.13244E-2</v>
      </c>
      <c r="Y83" s="272">
        <v>1.13244E-2</v>
      </c>
      <c r="Z83" s="272">
        <v>0</v>
      </c>
      <c r="AA83" s="272">
        <v>1.13244E-2</v>
      </c>
      <c r="AB83" s="272">
        <v>1.13244E-2</v>
      </c>
      <c r="AC83" s="272">
        <v>1.13244E-2</v>
      </c>
      <c r="AD83" s="272">
        <v>0.97570299999999999</v>
      </c>
      <c r="AE83" s="272">
        <v>0.93942159999999997</v>
      </c>
      <c r="AF83" s="272">
        <v>1.0251125000000001</v>
      </c>
      <c r="AG83" s="272">
        <v>1.0650256</v>
      </c>
      <c r="AH83" s="272">
        <v>5.1255599999999998E-2</v>
      </c>
      <c r="AI83" s="272">
        <v>5.3251300000000001E-2</v>
      </c>
      <c r="AJ83" s="154"/>
      <c r="AK83" s="154"/>
      <c r="AL83" s="154"/>
      <c r="AM83" s="154"/>
      <c r="AN83" s="154"/>
      <c r="AO83" s="154"/>
      <c r="AP83" s="154"/>
      <c r="AQ83" s="163"/>
      <c r="AR83" s="163"/>
      <c r="AS83" s="196"/>
      <c r="AT83" s="196"/>
      <c r="AU83" s="196"/>
      <c r="AV83" s="196"/>
      <c r="AW83" s="196"/>
      <c r="AX83" s="196"/>
      <c r="AY83" s="196"/>
      <c r="AZ83" s="196"/>
      <c r="BA83" s="196"/>
      <c r="BB83" s="196"/>
      <c r="BC83" s="196"/>
      <c r="BD83" s="196"/>
      <c r="BE83" s="196"/>
      <c r="BF83" s="196"/>
      <c r="BG83" s="163"/>
      <c r="BH83" s="163"/>
      <c r="BI83" s="163"/>
      <c r="BJ83" s="163"/>
      <c r="BK83" s="163"/>
      <c r="BL83" s="163"/>
      <c r="BM83" s="163"/>
      <c r="BN83" s="163"/>
    </row>
    <row r="84" spans="1:66">
      <c r="A84" s="163">
        <v>10256</v>
      </c>
      <c r="B84" s="163" t="s">
        <v>88</v>
      </c>
      <c r="C84" s="267">
        <v>1</v>
      </c>
      <c r="D84" s="267">
        <v>0</v>
      </c>
      <c r="E84" s="272">
        <v>47.442999999999998</v>
      </c>
      <c r="F84" s="272">
        <v>49.930999999999997</v>
      </c>
      <c r="G84" s="272">
        <v>49.834000000000003</v>
      </c>
      <c r="H84" s="272">
        <v>0</v>
      </c>
      <c r="I84" s="272">
        <v>0</v>
      </c>
      <c r="J84" s="272">
        <v>0.52300000000000002</v>
      </c>
      <c r="K84" s="272">
        <v>0.52200000000000002</v>
      </c>
      <c r="L84" s="272">
        <v>4581</v>
      </c>
      <c r="M84" s="272">
        <v>4573</v>
      </c>
      <c r="N84" s="272">
        <v>44.71</v>
      </c>
      <c r="O84" s="272">
        <v>44.725999999999999</v>
      </c>
      <c r="P84" s="272">
        <v>391660</v>
      </c>
      <c r="Q84" s="272">
        <v>391800</v>
      </c>
      <c r="R84" s="272">
        <v>45.994999999999997</v>
      </c>
      <c r="S84" s="272">
        <v>402916</v>
      </c>
      <c r="T84" s="272">
        <v>0</v>
      </c>
      <c r="U84" s="272">
        <v>0</v>
      </c>
      <c r="V84" s="272">
        <v>0</v>
      </c>
      <c r="W84" s="272">
        <v>0</v>
      </c>
      <c r="X84" s="272">
        <v>6.4378999999999999E-3</v>
      </c>
      <c r="Y84" s="272">
        <v>6.4402000000000001E-3</v>
      </c>
      <c r="Z84" s="272">
        <v>0</v>
      </c>
      <c r="AA84" s="272">
        <v>6.4378999999999999E-3</v>
      </c>
      <c r="AB84" s="272">
        <v>6.4402000000000001E-3</v>
      </c>
      <c r="AC84" s="272">
        <v>6.4390999999999997E-3</v>
      </c>
      <c r="AD84" s="272">
        <v>1</v>
      </c>
      <c r="AE84" s="272">
        <v>1</v>
      </c>
      <c r="AF84" s="272">
        <v>1</v>
      </c>
      <c r="AG84" s="272">
        <v>1</v>
      </c>
      <c r="AH84" s="272">
        <v>6.5000000000000002E-2</v>
      </c>
      <c r="AI84" s="272">
        <v>6.5000000000000002E-2</v>
      </c>
      <c r="AJ84" s="154"/>
      <c r="AK84" s="154"/>
      <c r="AL84" s="154"/>
      <c r="AM84" s="154"/>
      <c r="AN84" s="154"/>
      <c r="AO84" s="154"/>
      <c r="AP84" s="154"/>
      <c r="AQ84" s="163"/>
      <c r="AR84" s="163"/>
      <c r="AS84" s="196"/>
      <c r="AT84" s="196"/>
      <c r="AU84" s="196"/>
      <c r="AV84" s="196"/>
      <c r="AW84" s="196"/>
      <c r="AX84" s="196"/>
      <c r="AY84" s="196"/>
      <c r="AZ84" s="196"/>
      <c r="BA84" s="196"/>
      <c r="BB84" s="196"/>
      <c r="BC84" s="196"/>
      <c r="BD84" s="196"/>
      <c r="BE84" s="196"/>
      <c r="BF84" s="196"/>
      <c r="BG84" s="163"/>
      <c r="BH84" s="163"/>
      <c r="BI84" s="163"/>
      <c r="BJ84" s="163"/>
      <c r="BK84" s="163"/>
      <c r="BL84" s="163"/>
      <c r="BM84" s="163"/>
      <c r="BN84" s="163"/>
    </row>
    <row r="85" spans="1:66">
      <c r="A85" s="163">
        <v>10258</v>
      </c>
      <c r="B85" s="163" t="s">
        <v>89</v>
      </c>
      <c r="C85" s="267">
        <v>1</v>
      </c>
      <c r="D85" s="267">
        <v>0</v>
      </c>
      <c r="E85" s="272">
        <v>38.518000000000001</v>
      </c>
      <c r="F85" s="272">
        <v>48.264000000000003</v>
      </c>
      <c r="G85" s="272">
        <v>48.414999999999999</v>
      </c>
      <c r="H85" s="272">
        <v>0</v>
      </c>
      <c r="I85" s="272">
        <v>0</v>
      </c>
      <c r="J85" s="272">
        <v>9.7720000000000002</v>
      </c>
      <c r="K85" s="272">
        <v>9.7509999999999994</v>
      </c>
      <c r="L85" s="272">
        <v>85603</v>
      </c>
      <c r="M85" s="272">
        <v>85419</v>
      </c>
      <c r="N85" s="272">
        <v>39.076000000000001</v>
      </c>
      <c r="O85" s="272">
        <v>39.68</v>
      </c>
      <c r="P85" s="272">
        <v>342306</v>
      </c>
      <c r="Q85" s="272">
        <v>347597</v>
      </c>
      <c r="R85" s="272">
        <v>37.343000000000004</v>
      </c>
      <c r="S85" s="272">
        <v>327125</v>
      </c>
      <c r="T85" s="272">
        <v>1.7330000000000001</v>
      </c>
      <c r="U85" s="272">
        <v>2.3370000000000002</v>
      </c>
      <c r="V85" s="272">
        <v>1.7330000000000001</v>
      </c>
      <c r="W85" s="272">
        <v>2.3370000000000002</v>
      </c>
      <c r="X85" s="272">
        <v>5.3771000000000001E-3</v>
      </c>
      <c r="Y85" s="272">
        <v>5.3771000000000001E-3</v>
      </c>
      <c r="Z85" s="272">
        <v>0</v>
      </c>
      <c r="AA85" s="272">
        <v>5.3771000000000001E-3</v>
      </c>
      <c r="AB85" s="272">
        <v>5.3771000000000001E-3</v>
      </c>
      <c r="AC85" s="272">
        <v>5.3771000000000001E-3</v>
      </c>
      <c r="AD85" s="272">
        <v>0.96450999999999998</v>
      </c>
      <c r="AE85" s="272">
        <v>0.95272460000000003</v>
      </c>
      <c r="AF85" s="272">
        <v>1.0464076</v>
      </c>
      <c r="AG85" s="272">
        <v>1.0625819999999999</v>
      </c>
      <c r="AH85" s="272">
        <v>6.8016499999999994E-2</v>
      </c>
      <c r="AI85" s="272">
        <v>6.9067799999999999E-2</v>
      </c>
      <c r="AJ85" s="154"/>
      <c r="AK85" s="154"/>
      <c r="AL85" s="154"/>
      <c r="AM85" s="154"/>
      <c r="AN85" s="154"/>
      <c r="AO85" s="154"/>
      <c r="AP85" s="154"/>
      <c r="AQ85" s="163"/>
      <c r="AR85" s="163"/>
      <c r="AS85" s="196"/>
      <c r="AT85" s="196"/>
      <c r="AU85" s="196"/>
      <c r="AV85" s="196"/>
      <c r="AW85" s="196"/>
      <c r="AX85" s="196"/>
      <c r="AY85" s="196"/>
      <c r="AZ85" s="196"/>
      <c r="BA85" s="196"/>
      <c r="BB85" s="196"/>
      <c r="BC85" s="196"/>
      <c r="BD85" s="196"/>
      <c r="BE85" s="196"/>
      <c r="BF85" s="196"/>
      <c r="BG85" s="163"/>
      <c r="BH85" s="163"/>
      <c r="BI85" s="163"/>
      <c r="BJ85" s="163"/>
      <c r="BK85" s="163"/>
      <c r="BL85" s="163"/>
      <c r="BM85" s="163"/>
      <c r="BN85" s="163"/>
    </row>
    <row r="86" spans="1:66">
      <c r="A86" s="163">
        <v>10259</v>
      </c>
      <c r="B86" s="163" t="s">
        <v>90</v>
      </c>
      <c r="C86" s="267">
        <v>1</v>
      </c>
      <c r="D86" s="267">
        <v>0</v>
      </c>
      <c r="E86" s="272">
        <v>27.388000000000002</v>
      </c>
      <c r="F86" s="272">
        <v>27.66</v>
      </c>
      <c r="G86" s="272">
        <v>27.795000000000002</v>
      </c>
      <c r="H86" s="272">
        <v>0</v>
      </c>
      <c r="I86" s="272">
        <v>0</v>
      </c>
      <c r="J86" s="272">
        <v>0</v>
      </c>
      <c r="K86" s="272">
        <v>0</v>
      </c>
      <c r="L86" s="272">
        <v>0</v>
      </c>
      <c r="M86" s="272">
        <v>0</v>
      </c>
      <c r="N86" s="272">
        <v>27.254000000000001</v>
      </c>
      <c r="O86" s="272">
        <v>27.483000000000001</v>
      </c>
      <c r="P86" s="272">
        <v>238745</v>
      </c>
      <c r="Q86" s="272">
        <v>240751</v>
      </c>
      <c r="R86" s="272">
        <v>26.552</v>
      </c>
      <c r="S86" s="272">
        <v>232596</v>
      </c>
      <c r="T86" s="272">
        <v>0.70199999999999996</v>
      </c>
      <c r="U86" s="272">
        <v>0.93100000000000005</v>
      </c>
      <c r="V86" s="272">
        <v>0</v>
      </c>
      <c r="W86" s="272">
        <v>0</v>
      </c>
      <c r="X86" s="272">
        <v>3.8233E-3</v>
      </c>
      <c r="Y86" s="272">
        <v>3.8233E-3</v>
      </c>
      <c r="Z86" s="272">
        <v>0</v>
      </c>
      <c r="AA86" s="272">
        <v>3.8233E-3</v>
      </c>
      <c r="AB86" s="272">
        <v>3.8233E-3</v>
      </c>
      <c r="AC86" s="272">
        <v>3.8233E-3</v>
      </c>
      <c r="AD86" s="272">
        <v>0.97425070000000003</v>
      </c>
      <c r="AE86" s="272">
        <v>0.96613289999999996</v>
      </c>
      <c r="AF86" s="272">
        <v>1.0264386999999999</v>
      </c>
      <c r="AG86" s="272">
        <v>1.0350633</v>
      </c>
      <c r="AH86" s="272">
        <v>6.67185E-2</v>
      </c>
      <c r="AI86" s="272">
        <v>6.7279099999999994E-2</v>
      </c>
      <c r="AJ86" s="154"/>
      <c r="AK86" s="154"/>
      <c r="AL86" s="154"/>
      <c r="AM86" s="154"/>
      <c r="AN86" s="154"/>
      <c r="AO86" s="154"/>
      <c r="AP86" s="154"/>
      <c r="AQ86" s="163"/>
      <c r="AR86" s="163"/>
      <c r="AS86" s="196"/>
      <c r="AT86" s="196"/>
      <c r="AU86" s="196"/>
      <c r="AV86" s="196"/>
      <c r="AW86" s="196"/>
      <c r="AX86" s="196"/>
      <c r="AY86" s="196"/>
      <c r="AZ86" s="196"/>
      <c r="BA86" s="196"/>
      <c r="BB86" s="196"/>
      <c r="BC86" s="196"/>
      <c r="BD86" s="196"/>
      <c r="BE86" s="196"/>
      <c r="BF86" s="196"/>
      <c r="BG86" s="163"/>
      <c r="BH86" s="163"/>
      <c r="BI86" s="163"/>
      <c r="BJ86" s="163"/>
      <c r="BK86" s="163"/>
      <c r="BL86" s="163"/>
      <c r="BM86" s="163"/>
      <c r="BN86" s="163"/>
    </row>
    <row r="87" spans="1:66">
      <c r="A87" s="163">
        <v>10260</v>
      </c>
      <c r="B87" s="163" t="s">
        <v>91</v>
      </c>
      <c r="C87" s="267">
        <v>1</v>
      </c>
      <c r="D87" s="267">
        <v>0</v>
      </c>
      <c r="E87" s="272">
        <v>26.677</v>
      </c>
      <c r="F87" s="272">
        <v>27.187999999999999</v>
      </c>
      <c r="G87" s="272">
        <v>27.300999999999998</v>
      </c>
      <c r="H87" s="272">
        <v>0</v>
      </c>
      <c r="I87" s="272">
        <v>0</v>
      </c>
      <c r="J87" s="272">
        <v>0</v>
      </c>
      <c r="K87" s="272">
        <v>0</v>
      </c>
      <c r="L87" s="272">
        <v>0</v>
      </c>
      <c r="M87" s="272">
        <v>0</v>
      </c>
      <c r="N87" s="272">
        <v>26.013999999999999</v>
      </c>
      <c r="O87" s="272">
        <v>26.079000000000001</v>
      </c>
      <c r="P87" s="272">
        <v>227883</v>
      </c>
      <c r="Q87" s="272">
        <v>228452</v>
      </c>
      <c r="R87" s="272">
        <v>25.863</v>
      </c>
      <c r="S87" s="272">
        <v>226560</v>
      </c>
      <c r="T87" s="272">
        <v>0.151</v>
      </c>
      <c r="U87" s="272">
        <v>0.216</v>
      </c>
      <c r="V87" s="272">
        <v>0</v>
      </c>
      <c r="W87" s="272">
        <v>0</v>
      </c>
      <c r="X87" s="272">
        <v>3.7241000000000002E-3</v>
      </c>
      <c r="Y87" s="272">
        <v>3.7241000000000002E-3</v>
      </c>
      <c r="Z87" s="272">
        <v>0</v>
      </c>
      <c r="AA87" s="272">
        <v>3.7241000000000002E-3</v>
      </c>
      <c r="AB87" s="272">
        <v>3.7241000000000002E-3</v>
      </c>
      <c r="AC87" s="272">
        <v>3.7241000000000002E-3</v>
      </c>
      <c r="AD87" s="272">
        <v>0.99420699999999995</v>
      </c>
      <c r="AE87" s="272">
        <v>0.99172899999999997</v>
      </c>
      <c r="AF87" s="272">
        <v>1.0058385000000001</v>
      </c>
      <c r="AG87" s="272">
        <v>1.0083517</v>
      </c>
      <c r="AH87" s="272">
        <v>0</v>
      </c>
      <c r="AI87" s="272">
        <v>0</v>
      </c>
      <c r="AJ87" s="154"/>
      <c r="AK87" s="154"/>
      <c r="AL87" s="154"/>
      <c r="AM87" s="154"/>
      <c r="AN87" s="154"/>
      <c r="AO87" s="154"/>
      <c r="AP87" s="154"/>
      <c r="AQ87" s="163"/>
      <c r="AR87" s="163"/>
      <c r="AS87" s="196"/>
      <c r="AT87" s="196"/>
      <c r="AU87" s="196"/>
      <c r="AV87" s="196"/>
      <c r="AW87" s="196"/>
      <c r="AX87" s="196"/>
      <c r="AY87" s="196"/>
      <c r="AZ87" s="196"/>
      <c r="BA87" s="196"/>
      <c r="BB87" s="196"/>
      <c r="BC87" s="196"/>
      <c r="BD87" s="196"/>
      <c r="BE87" s="196"/>
      <c r="BF87" s="196"/>
      <c r="BG87" s="163"/>
      <c r="BH87" s="163"/>
      <c r="BI87" s="163"/>
      <c r="BJ87" s="163"/>
      <c r="BK87" s="163"/>
      <c r="BL87" s="163"/>
      <c r="BM87" s="163"/>
      <c r="BN87" s="163"/>
    </row>
    <row r="88" spans="1:66">
      <c r="A88" s="163">
        <v>10273</v>
      </c>
      <c r="B88" s="163" t="s">
        <v>92</v>
      </c>
      <c r="C88" s="267">
        <v>1</v>
      </c>
      <c r="D88" s="267">
        <v>0</v>
      </c>
      <c r="E88" s="272">
        <v>5.9690000000000003</v>
      </c>
      <c r="F88" s="272">
        <v>7.9610000000000003</v>
      </c>
      <c r="G88" s="272">
        <v>8.2729999999999997</v>
      </c>
      <c r="H88" s="272">
        <v>0</v>
      </c>
      <c r="I88" s="272">
        <v>0</v>
      </c>
      <c r="J88" s="272">
        <v>0</v>
      </c>
      <c r="K88" s="272">
        <v>0</v>
      </c>
      <c r="L88" s="272">
        <v>0</v>
      </c>
      <c r="M88" s="272">
        <v>0</v>
      </c>
      <c r="N88" s="272">
        <v>7.9539999999999997</v>
      </c>
      <c r="O88" s="272">
        <v>8.6010000000000009</v>
      </c>
      <c r="P88" s="272">
        <v>69677</v>
      </c>
      <c r="Q88" s="272">
        <v>75345</v>
      </c>
      <c r="R88" s="272">
        <v>5.7869999999999999</v>
      </c>
      <c r="S88" s="272">
        <v>50694</v>
      </c>
      <c r="T88" s="272">
        <v>2.1669999999999998</v>
      </c>
      <c r="U88" s="272">
        <v>2.8140000000000001</v>
      </c>
      <c r="V88" s="272">
        <v>2.1669999999999998</v>
      </c>
      <c r="W88" s="272">
        <v>2.8140000000000001</v>
      </c>
      <c r="X88" s="272">
        <v>8.3330000000000003E-4</v>
      </c>
      <c r="Y88" s="272">
        <v>8.3330000000000003E-4</v>
      </c>
      <c r="Z88" s="272">
        <v>0</v>
      </c>
      <c r="AA88" s="272">
        <v>8.3330000000000003E-4</v>
      </c>
      <c r="AB88" s="272">
        <v>8.3330000000000003E-4</v>
      </c>
      <c r="AC88" s="272">
        <v>8.3330000000000003E-4</v>
      </c>
      <c r="AD88" s="272">
        <v>0.72757609999999995</v>
      </c>
      <c r="AE88" s="272">
        <v>0.67284500000000003</v>
      </c>
      <c r="AF88" s="272">
        <v>1.37446</v>
      </c>
      <c r="AG88" s="272">
        <v>1.4862622999999999</v>
      </c>
      <c r="AH88" s="272">
        <v>9.6212199999999998E-2</v>
      </c>
      <c r="AI88" s="272">
        <v>0.1040384</v>
      </c>
      <c r="AJ88" s="154"/>
      <c r="AK88" s="154"/>
      <c r="AL88" s="154"/>
      <c r="AM88" s="154"/>
      <c r="AN88" s="154"/>
      <c r="AO88" s="154"/>
      <c r="AP88" s="154"/>
      <c r="AQ88" s="163"/>
      <c r="AR88" s="163"/>
      <c r="AS88" s="196"/>
      <c r="AT88" s="196"/>
      <c r="AU88" s="196"/>
      <c r="AV88" s="196"/>
      <c r="AW88" s="196"/>
      <c r="AX88" s="196"/>
      <c r="AY88" s="196"/>
      <c r="AZ88" s="196"/>
      <c r="BA88" s="196"/>
      <c r="BB88" s="196"/>
      <c r="BC88" s="196"/>
      <c r="BD88" s="196"/>
      <c r="BE88" s="196"/>
      <c r="BF88" s="196"/>
      <c r="BG88" s="163"/>
      <c r="BH88" s="163"/>
      <c r="BI88" s="163"/>
      <c r="BJ88" s="163"/>
      <c r="BK88" s="163"/>
      <c r="BL88" s="163"/>
      <c r="BM88" s="163"/>
      <c r="BN88" s="163"/>
    </row>
    <row r="89" spans="1:66">
      <c r="A89" s="163">
        <v>10278</v>
      </c>
      <c r="B89" s="163" t="s">
        <v>93</v>
      </c>
      <c r="C89" s="267">
        <v>0</v>
      </c>
      <c r="D89" s="267">
        <v>1</v>
      </c>
      <c r="E89" s="272">
        <v>36.463999999999999</v>
      </c>
      <c r="F89" s="272">
        <v>39.268000000000001</v>
      </c>
      <c r="G89" s="272">
        <v>39.798999999999999</v>
      </c>
      <c r="H89" s="272">
        <v>0</v>
      </c>
      <c r="I89" s="272">
        <v>0</v>
      </c>
      <c r="J89" s="272">
        <v>1.532</v>
      </c>
      <c r="K89" s="272">
        <v>1.53</v>
      </c>
      <c r="L89" s="272">
        <v>13420</v>
      </c>
      <c r="M89" s="272">
        <v>13403</v>
      </c>
      <c r="N89" s="272">
        <v>33.238</v>
      </c>
      <c r="O89" s="272">
        <v>33.396000000000001</v>
      </c>
      <c r="P89" s="272">
        <v>291165</v>
      </c>
      <c r="Q89" s="272">
        <v>292549</v>
      </c>
      <c r="R89" s="272">
        <v>35.350999999999999</v>
      </c>
      <c r="S89" s="272">
        <v>309675</v>
      </c>
      <c r="T89" s="272">
        <v>0</v>
      </c>
      <c r="U89" s="272">
        <v>0</v>
      </c>
      <c r="V89" s="272">
        <v>0</v>
      </c>
      <c r="W89" s="272">
        <v>0</v>
      </c>
      <c r="X89" s="272">
        <v>4.7860000000000003E-3</v>
      </c>
      <c r="Y89" s="272">
        <v>4.8087E-3</v>
      </c>
      <c r="Z89" s="272">
        <v>0</v>
      </c>
      <c r="AA89" s="272">
        <v>4.7860000000000003E-3</v>
      </c>
      <c r="AB89" s="272">
        <v>4.8087E-3</v>
      </c>
      <c r="AC89" s="272">
        <v>4.7974000000000003E-3</v>
      </c>
      <c r="AD89" s="272">
        <v>1</v>
      </c>
      <c r="AE89" s="272">
        <v>0.99999090000000002</v>
      </c>
      <c r="AF89" s="272">
        <v>1</v>
      </c>
      <c r="AG89" s="272">
        <v>1</v>
      </c>
      <c r="AH89" s="272">
        <v>7.0000000000000007E-2</v>
      </c>
      <c r="AI89" s="272">
        <v>7.0000000000000007E-2</v>
      </c>
      <c r="AJ89" s="154"/>
      <c r="AK89" s="154"/>
      <c r="AL89" s="154"/>
      <c r="AM89" s="154"/>
      <c r="AN89" s="154"/>
      <c r="AO89" s="154"/>
      <c r="AP89" s="154"/>
      <c r="AQ89" s="163"/>
      <c r="AR89" s="163"/>
      <c r="AS89" s="196"/>
      <c r="AT89" s="196"/>
      <c r="AU89" s="196"/>
      <c r="AV89" s="196"/>
      <c r="AW89" s="196"/>
      <c r="AX89" s="196"/>
      <c r="AY89" s="196"/>
      <c r="AZ89" s="196"/>
      <c r="BA89" s="196"/>
      <c r="BB89" s="196"/>
      <c r="BC89" s="196"/>
      <c r="BD89" s="196"/>
      <c r="BE89" s="196"/>
      <c r="BF89" s="196"/>
      <c r="BG89" s="163"/>
      <c r="BH89" s="163"/>
      <c r="BI89" s="163"/>
      <c r="BJ89" s="163"/>
      <c r="BK89" s="163"/>
      <c r="BL89" s="163"/>
      <c r="BM89" s="163"/>
      <c r="BN89" s="163"/>
    </row>
    <row r="90" spans="1:66">
      <c r="A90" s="163">
        <v>10279</v>
      </c>
      <c r="B90" s="163" t="s">
        <v>94</v>
      </c>
      <c r="C90" s="267">
        <v>1</v>
      </c>
      <c r="D90" s="267">
        <v>0</v>
      </c>
      <c r="E90" s="272">
        <v>65.730999999999995</v>
      </c>
      <c r="F90" s="272">
        <v>127.23699999999999</v>
      </c>
      <c r="G90" s="272">
        <v>151.62899999999999</v>
      </c>
      <c r="H90" s="272">
        <v>32.506</v>
      </c>
      <c r="I90" s="272">
        <v>50.598999999999997</v>
      </c>
      <c r="J90" s="272">
        <v>4.4169999999999998</v>
      </c>
      <c r="K90" s="272">
        <v>4.4039999999999999</v>
      </c>
      <c r="L90" s="272">
        <v>38693</v>
      </c>
      <c r="M90" s="272">
        <v>38579</v>
      </c>
      <c r="N90" s="272">
        <v>71.456000000000003</v>
      </c>
      <c r="O90" s="272">
        <v>75.614000000000004</v>
      </c>
      <c r="P90" s="272">
        <v>625955</v>
      </c>
      <c r="Q90" s="272">
        <v>662379</v>
      </c>
      <c r="R90" s="272">
        <v>63.725000000000001</v>
      </c>
      <c r="S90" s="272">
        <v>558231</v>
      </c>
      <c r="T90" s="272">
        <v>7.7309999999999999</v>
      </c>
      <c r="U90" s="272">
        <v>11.888999999999999</v>
      </c>
      <c r="V90" s="272">
        <v>7.7309999999999999</v>
      </c>
      <c r="W90" s="272">
        <v>11.888999999999999</v>
      </c>
      <c r="X90" s="272">
        <v>9.1759000000000007E-3</v>
      </c>
      <c r="Y90" s="272">
        <v>9.1759000000000007E-3</v>
      </c>
      <c r="Z90" s="272">
        <v>0</v>
      </c>
      <c r="AA90" s="272">
        <v>9.1759000000000007E-3</v>
      </c>
      <c r="AB90" s="272">
        <v>9.1759000000000007E-3</v>
      </c>
      <c r="AC90" s="272">
        <v>9.1759000000000007E-3</v>
      </c>
      <c r="AD90" s="272">
        <v>0.89809139999999998</v>
      </c>
      <c r="AE90" s="272">
        <v>0.85142359999999995</v>
      </c>
      <c r="AF90" s="272">
        <v>1.1213181999999999</v>
      </c>
      <c r="AG90" s="272">
        <v>1.1865673000000001</v>
      </c>
      <c r="AH90" s="272">
        <v>0</v>
      </c>
      <c r="AI90" s="272">
        <v>0</v>
      </c>
      <c r="AJ90" s="154"/>
      <c r="AK90" s="154"/>
      <c r="AL90" s="154"/>
      <c r="AM90" s="154"/>
      <c r="AN90" s="154"/>
      <c r="AO90" s="154"/>
      <c r="AP90" s="154"/>
      <c r="AQ90" s="163"/>
      <c r="AR90" s="163"/>
      <c r="AS90" s="196"/>
      <c r="AT90" s="196"/>
      <c r="AU90" s="196"/>
      <c r="AV90" s="196"/>
      <c r="AW90" s="196"/>
      <c r="AX90" s="196"/>
      <c r="AY90" s="196"/>
      <c r="AZ90" s="196"/>
      <c r="BA90" s="196"/>
      <c r="BB90" s="196"/>
      <c r="BC90" s="196"/>
      <c r="BD90" s="196"/>
      <c r="BE90" s="196"/>
      <c r="BF90" s="196"/>
      <c r="BG90" s="163"/>
      <c r="BH90" s="163"/>
      <c r="BI90" s="163"/>
      <c r="BJ90" s="163"/>
      <c r="BK90" s="163"/>
      <c r="BL90" s="163"/>
      <c r="BM90" s="163"/>
      <c r="BN90" s="163"/>
    </row>
    <row r="91" spans="1:66">
      <c r="A91" s="163">
        <v>10284</v>
      </c>
      <c r="B91" s="163" t="s">
        <v>95</v>
      </c>
      <c r="C91" s="267">
        <v>1</v>
      </c>
      <c r="D91" s="267">
        <v>0</v>
      </c>
      <c r="E91" s="272">
        <v>10.31</v>
      </c>
      <c r="F91" s="272">
        <v>9.8140000000000001</v>
      </c>
      <c r="G91" s="272">
        <v>9.7780000000000005</v>
      </c>
      <c r="H91" s="272">
        <v>0</v>
      </c>
      <c r="I91" s="272">
        <v>0</v>
      </c>
      <c r="J91" s="272">
        <v>0</v>
      </c>
      <c r="K91" s="272">
        <v>0</v>
      </c>
      <c r="L91" s="272">
        <v>0</v>
      </c>
      <c r="M91" s="272">
        <v>0</v>
      </c>
      <c r="N91" s="272">
        <v>9.7780000000000005</v>
      </c>
      <c r="O91" s="272">
        <v>9.7970000000000006</v>
      </c>
      <c r="P91" s="272">
        <v>85655</v>
      </c>
      <c r="Q91" s="272">
        <v>85822</v>
      </c>
      <c r="R91" s="272">
        <v>9.9949999999999992</v>
      </c>
      <c r="S91" s="272">
        <v>87556</v>
      </c>
      <c r="T91" s="272">
        <v>0</v>
      </c>
      <c r="U91" s="272">
        <v>0</v>
      </c>
      <c r="V91" s="272">
        <v>0</v>
      </c>
      <c r="W91" s="272">
        <v>0</v>
      </c>
      <c r="X91" s="272">
        <v>1.408E-3</v>
      </c>
      <c r="Y91" s="272">
        <v>1.4107E-3</v>
      </c>
      <c r="Z91" s="272">
        <v>0</v>
      </c>
      <c r="AA91" s="272">
        <v>1.408E-3</v>
      </c>
      <c r="AB91" s="272">
        <v>1.4107E-3</v>
      </c>
      <c r="AC91" s="272">
        <v>1.4094000000000001E-3</v>
      </c>
      <c r="AD91" s="272">
        <v>1</v>
      </c>
      <c r="AE91" s="272">
        <v>1</v>
      </c>
      <c r="AF91" s="272">
        <v>1</v>
      </c>
      <c r="AG91" s="272">
        <v>1</v>
      </c>
      <c r="AH91" s="272">
        <v>5.5E-2</v>
      </c>
      <c r="AI91" s="272">
        <v>5.5E-2</v>
      </c>
      <c r="AJ91" s="154"/>
      <c r="AK91" s="154"/>
      <c r="AL91" s="154"/>
      <c r="AM91" s="154"/>
      <c r="AN91" s="154"/>
      <c r="AO91" s="154"/>
      <c r="AP91" s="154"/>
      <c r="AQ91" s="163"/>
      <c r="AR91" s="163"/>
      <c r="AS91" s="196"/>
      <c r="AT91" s="196"/>
      <c r="AU91" s="196"/>
      <c r="AV91" s="196"/>
      <c r="AW91" s="196"/>
      <c r="AX91" s="196"/>
      <c r="AY91" s="196"/>
      <c r="AZ91" s="196"/>
      <c r="BA91" s="196"/>
      <c r="BB91" s="196"/>
      <c r="BC91" s="196"/>
      <c r="BD91" s="196"/>
      <c r="BE91" s="196"/>
      <c r="BF91" s="196"/>
      <c r="BG91" s="163"/>
      <c r="BH91" s="163"/>
      <c r="BI91" s="163"/>
      <c r="BJ91" s="163"/>
      <c r="BK91" s="163"/>
      <c r="BL91" s="163"/>
      <c r="BM91" s="163"/>
      <c r="BN91" s="163"/>
    </row>
    <row r="92" spans="1:66">
      <c r="A92" s="163">
        <v>10285</v>
      </c>
      <c r="B92" s="163" t="s">
        <v>96</v>
      </c>
      <c r="C92" s="267">
        <v>0</v>
      </c>
      <c r="D92" s="267">
        <v>1</v>
      </c>
      <c r="E92" s="272">
        <v>6.6260000000000003</v>
      </c>
      <c r="F92" s="272">
        <v>7.226</v>
      </c>
      <c r="G92" s="272">
        <v>7.2439999999999998</v>
      </c>
      <c r="H92" s="272">
        <v>0</v>
      </c>
      <c r="I92" s="272">
        <v>0</v>
      </c>
      <c r="J92" s="272">
        <v>0</v>
      </c>
      <c r="K92" s="272">
        <v>0</v>
      </c>
      <c r="L92" s="272">
        <v>0</v>
      </c>
      <c r="M92" s="272">
        <v>0</v>
      </c>
      <c r="N92" s="272">
        <v>6.63</v>
      </c>
      <c r="O92" s="272">
        <v>6.6509999999999998</v>
      </c>
      <c r="P92" s="272">
        <v>58079</v>
      </c>
      <c r="Q92" s="272">
        <v>58263</v>
      </c>
      <c r="R92" s="272">
        <v>6.4240000000000004</v>
      </c>
      <c r="S92" s="272">
        <v>56274</v>
      </c>
      <c r="T92" s="272">
        <v>0.20599999999999999</v>
      </c>
      <c r="U92" s="272">
        <v>0.22700000000000001</v>
      </c>
      <c r="V92" s="272">
        <v>0.20599999999999999</v>
      </c>
      <c r="W92" s="272">
        <v>0.22700000000000001</v>
      </c>
      <c r="X92" s="272">
        <v>9.2500000000000004E-4</v>
      </c>
      <c r="Y92" s="272">
        <v>9.2500000000000004E-4</v>
      </c>
      <c r="Z92" s="272">
        <v>0</v>
      </c>
      <c r="AA92" s="272">
        <v>9.2500000000000004E-4</v>
      </c>
      <c r="AB92" s="272">
        <v>9.2500000000000004E-4</v>
      </c>
      <c r="AC92" s="272">
        <v>9.2500000000000004E-4</v>
      </c>
      <c r="AD92" s="272">
        <v>0.96892650000000002</v>
      </c>
      <c r="AE92" s="272">
        <v>0.96586720000000004</v>
      </c>
      <c r="AF92" s="272">
        <v>1.0320672</v>
      </c>
      <c r="AG92" s="272">
        <v>1.0353361999999999</v>
      </c>
      <c r="AH92" s="272">
        <v>7.2244699999999995E-2</v>
      </c>
      <c r="AI92" s="272">
        <v>7.2473499999999996E-2</v>
      </c>
      <c r="AJ92" s="154"/>
      <c r="AK92" s="154"/>
      <c r="AL92" s="154"/>
      <c r="AM92" s="154"/>
      <c r="AN92" s="154"/>
      <c r="AO92" s="154"/>
      <c r="AP92" s="154"/>
      <c r="AQ92" s="163"/>
      <c r="AR92" s="163"/>
      <c r="AS92" s="196"/>
      <c r="AT92" s="196"/>
      <c r="AU92" s="196"/>
      <c r="AV92" s="196"/>
      <c r="AW92" s="196"/>
      <c r="AX92" s="196"/>
      <c r="AY92" s="196"/>
      <c r="AZ92" s="196"/>
      <c r="BA92" s="196"/>
      <c r="BB92" s="196"/>
      <c r="BC92" s="196"/>
      <c r="BD92" s="196"/>
      <c r="BE92" s="196"/>
      <c r="BF92" s="196"/>
      <c r="BG92" s="163"/>
      <c r="BH92" s="163"/>
      <c r="BI92" s="163"/>
      <c r="BJ92" s="163"/>
      <c r="BK92" s="163"/>
      <c r="BL92" s="163"/>
      <c r="BM92" s="163"/>
      <c r="BN92" s="163"/>
    </row>
    <row r="93" spans="1:66">
      <c r="A93" s="163">
        <v>10286</v>
      </c>
      <c r="B93" s="163" t="s">
        <v>97</v>
      </c>
      <c r="C93" s="267">
        <v>1</v>
      </c>
      <c r="D93" s="267">
        <v>0</v>
      </c>
      <c r="E93" s="272">
        <v>46.595999999999997</v>
      </c>
      <c r="F93" s="272">
        <v>74.87</v>
      </c>
      <c r="G93" s="272">
        <v>75.882999999999996</v>
      </c>
      <c r="H93" s="272">
        <v>0</v>
      </c>
      <c r="I93" s="272">
        <v>0</v>
      </c>
      <c r="J93" s="272">
        <v>24.166</v>
      </c>
      <c r="K93" s="272">
        <v>24.131</v>
      </c>
      <c r="L93" s="272">
        <v>211694</v>
      </c>
      <c r="M93" s="272">
        <v>211388</v>
      </c>
      <c r="N93" s="272">
        <v>50.704000000000001</v>
      </c>
      <c r="O93" s="272">
        <v>51.752000000000002</v>
      </c>
      <c r="P93" s="272">
        <v>444167</v>
      </c>
      <c r="Q93" s="272">
        <v>453348</v>
      </c>
      <c r="R93" s="272">
        <v>45.173999999999999</v>
      </c>
      <c r="S93" s="272">
        <v>395724</v>
      </c>
      <c r="T93" s="272">
        <v>5.9950000000000001</v>
      </c>
      <c r="U93" s="272">
        <v>6.9169999999999998</v>
      </c>
      <c r="V93" s="272">
        <v>5.9950000000000001</v>
      </c>
      <c r="W93" s="272">
        <v>6.9169999999999998</v>
      </c>
      <c r="X93" s="272">
        <v>6.5047000000000004E-3</v>
      </c>
      <c r="Y93" s="272">
        <v>6.5047000000000004E-3</v>
      </c>
      <c r="Z93" s="272">
        <v>0</v>
      </c>
      <c r="AA93" s="272">
        <v>6.5047000000000004E-3</v>
      </c>
      <c r="AB93" s="272">
        <v>6.5047000000000004E-3</v>
      </c>
      <c r="AC93" s="272">
        <v>6.5047000000000004E-3</v>
      </c>
      <c r="AD93" s="272">
        <v>0.92052100000000003</v>
      </c>
      <c r="AE93" s="272">
        <v>0.90943549999999995</v>
      </c>
      <c r="AF93" s="272">
        <v>1.1224155</v>
      </c>
      <c r="AG93" s="272">
        <v>1.1456147000000001</v>
      </c>
      <c r="AH93" s="272">
        <v>0</v>
      </c>
      <c r="AI93" s="272">
        <v>0</v>
      </c>
      <c r="AJ93" s="154"/>
      <c r="AK93" s="154"/>
      <c r="AL93" s="154"/>
      <c r="AM93" s="154"/>
      <c r="AN93" s="154"/>
      <c r="AO93" s="154"/>
      <c r="AP93" s="154"/>
      <c r="AQ93" s="163"/>
      <c r="AR93" s="163"/>
      <c r="AS93" s="196"/>
      <c r="AT93" s="196"/>
      <c r="AU93" s="196"/>
      <c r="AV93" s="196"/>
      <c r="AW93" s="196"/>
      <c r="AX93" s="196"/>
      <c r="AY93" s="196"/>
      <c r="AZ93" s="196"/>
      <c r="BA93" s="196"/>
      <c r="BB93" s="196"/>
      <c r="BC93" s="196"/>
      <c r="BD93" s="196"/>
      <c r="BE93" s="196"/>
      <c r="BF93" s="196"/>
      <c r="BG93" s="163"/>
      <c r="BH93" s="163"/>
      <c r="BI93" s="163"/>
      <c r="BJ93" s="163"/>
      <c r="BK93" s="163"/>
      <c r="BL93" s="163"/>
      <c r="BM93" s="163"/>
      <c r="BN93" s="163"/>
    </row>
    <row r="94" spans="1:66">
      <c r="A94" s="163">
        <v>10288</v>
      </c>
      <c r="B94" s="163" t="s">
        <v>98</v>
      </c>
      <c r="C94" s="267">
        <v>0</v>
      </c>
      <c r="D94" s="267">
        <v>1</v>
      </c>
      <c r="E94" s="272">
        <v>25.103000000000002</v>
      </c>
      <c r="F94" s="272">
        <v>24.969000000000001</v>
      </c>
      <c r="G94" s="272">
        <v>24.977</v>
      </c>
      <c r="H94" s="272">
        <v>0</v>
      </c>
      <c r="I94" s="272">
        <v>0</v>
      </c>
      <c r="J94" s="272">
        <v>6.6000000000000003E-2</v>
      </c>
      <c r="K94" s="272">
        <v>6.6000000000000003E-2</v>
      </c>
      <c r="L94" s="272">
        <v>578</v>
      </c>
      <c r="M94" s="272">
        <v>578</v>
      </c>
      <c r="N94" s="272">
        <v>24.824000000000002</v>
      </c>
      <c r="O94" s="272">
        <v>24.885999999999999</v>
      </c>
      <c r="P94" s="272">
        <v>217458</v>
      </c>
      <c r="Q94" s="272">
        <v>218001</v>
      </c>
      <c r="R94" s="272">
        <v>24.337</v>
      </c>
      <c r="S94" s="272">
        <v>213192</v>
      </c>
      <c r="T94" s="272">
        <v>0.48699999999999999</v>
      </c>
      <c r="U94" s="272">
        <v>0.54900000000000004</v>
      </c>
      <c r="V94" s="272">
        <v>0.48699999999999999</v>
      </c>
      <c r="W94" s="272">
        <v>0.54900000000000004</v>
      </c>
      <c r="X94" s="272">
        <v>3.5043000000000001E-3</v>
      </c>
      <c r="Y94" s="272">
        <v>3.5043000000000001E-3</v>
      </c>
      <c r="Z94" s="272">
        <v>0</v>
      </c>
      <c r="AA94" s="272">
        <v>3.5043000000000001E-3</v>
      </c>
      <c r="AB94" s="272">
        <v>3.5043000000000001E-3</v>
      </c>
      <c r="AC94" s="272">
        <v>3.5043000000000001E-3</v>
      </c>
      <c r="AD94" s="272">
        <v>0.98037479999999999</v>
      </c>
      <c r="AE94" s="272">
        <v>0.97793229999999998</v>
      </c>
      <c r="AF94" s="272">
        <v>1.0200107</v>
      </c>
      <c r="AG94" s="272">
        <v>1.0225582</v>
      </c>
      <c r="AH94" s="272">
        <v>5.61006E-2</v>
      </c>
      <c r="AI94" s="272">
        <v>5.6240699999999998E-2</v>
      </c>
      <c r="AJ94" s="154"/>
      <c r="AK94" s="154"/>
      <c r="AL94" s="154"/>
      <c r="AM94" s="154"/>
      <c r="AN94" s="154"/>
      <c r="AO94" s="154"/>
      <c r="AP94" s="154"/>
      <c r="AQ94" s="163"/>
      <c r="AR94" s="163"/>
      <c r="AS94" s="196"/>
      <c r="AT94" s="196"/>
      <c r="AU94" s="196"/>
      <c r="AV94" s="196"/>
      <c r="AW94" s="196"/>
      <c r="AX94" s="196"/>
      <c r="AY94" s="196"/>
      <c r="AZ94" s="196"/>
      <c r="BA94" s="196"/>
      <c r="BB94" s="196"/>
      <c r="BC94" s="196"/>
      <c r="BD94" s="196"/>
      <c r="BE94" s="196"/>
      <c r="BF94" s="196"/>
      <c r="BG94" s="163"/>
      <c r="BH94" s="163"/>
      <c r="BI94" s="163"/>
      <c r="BJ94" s="163"/>
      <c r="BK94" s="163"/>
      <c r="BL94" s="163"/>
      <c r="BM94" s="163"/>
      <c r="BN94" s="163"/>
    </row>
    <row r="95" spans="1:66">
      <c r="A95" s="163">
        <v>10291</v>
      </c>
      <c r="B95" s="163" t="s">
        <v>99</v>
      </c>
      <c r="C95" s="267">
        <v>1</v>
      </c>
      <c r="D95" s="267">
        <v>0</v>
      </c>
      <c r="E95" s="272">
        <v>80.363</v>
      </c>
      <c r="F95" s="272">
        <v>80.02</v>
      </c>
      <c r="G95" s="272">
        <v>79.751999999999995</v>
      </c>
      <c r="H95" s="272">
        <v>0</v>
      </c>
      <c r="I95" s="272">
        <v>0</v>
      </c>
      <c r="J95" s="272">
        <v>0</v>
      </c>
      <c r="K95" s="272">
        <v>0</v>
      </c>
      <c r="L95" s="272">
        <v>0</v>
      </c>
      <c r="M95" s="272">
        <v>0</v>
      </c>
      <c r="N95" s="272">
        <v>77.408000000000001</v>
      </c>
      <c r="O95" s="272">
        <v>78.774000000000001</v>
      </c>
      <c r="P95" s="272">
        <v>678094</v>
      </c>
      <c r="Q95" s="272">
        <v>690060</v>
      </c>
      <c r="R95" s="272">
        <v>77.911000000000001</v>
      </c>
      <c r="S95" s="272">
        <v>682500</v>
      </c>
      <c r="T95" s="272">
        <v>0</v>
      </c>
      <c r="U95" s="272">
        <v>0.86299999999999999</v>
      </c>
      <c r="V95" s="272">
        <v>0</v>
      </c>
      <c r="W95" s="272">
        <v>0</v>
      </c>
      <c r="X95" s="272">
        <v>1.1146100000000001E-2</v>
      </c>
      <c r="Y95" s="272">
        <v>1.1218499999999999E-2</v>
      </c>
      <c r="Z95" s="272">
        <v>0</v>
      </c>
      <c r="AA95" s="272">
        <v>1.1146100000000001E-2</v>
      </c>
      <c r="AB95" s="272">
        <v>1.1218499999999999E-2</v>
      </c>
      <c r="AC95" s="272">
        <v>1.1182299999999999E-2</v>
      </c>
      <c r="AD95" s="272">
        <v>0.99999930000000004</v>
      </c>
      <c r="AE95" s="272">
        <v>0.98904150000000002</v>
      </c>
      <c r="AF95" s="272">
        <v>1</v>
      </c>
      <c r="AG95" s="272">
        <v>1.0110767000000001</v>
      </c>
      <c r="AH95" s="272">
        <v>0.05</v>
      </c>
      <c r="AI95" s="272">
        <v>5.0553800000000003E-2</v>
      </c>
      <c r="AJ95" s="154"/>
      <c r="AK95" s="154"/>
      <c r="AL95" s="154"/>
      <c r="AM95" s="154"/>
      <c r="AN95" s="154"/>
      <c r="AO95" s="154"/>
      <c r="AP95" s="154"/>
      <c r="AQ95" s="163"/>
      <c r="AR95" s="163"/>
      <c r="AS95" s="196"/>
      <c r="AT95" s="196"/>
      <c r="AU95" s="196"/>
      <c r="AV95" s="196"/>
      <c r="AW95" s="196"/>
      <c r="AX95" s="196"/>
      <c r="AY95" s="196"/>
      <c r="AZ95" s="196"/>
      <c r="BA95" s="196"/>
      <c r="BB95" s="196"/>
      <c r="BC95" s="196"/>
      <c r="BD95" s="196"/>
      <c r="BE95" s="196"/>
      <c r="BF95" s="196"/>
      <c r="BG95" s="163"/>
      <c r="BH95" s="163"/>
      <c r="BI95" s="163"/>
      <c r="BJ95" s="163"/>
      <c r="BK95" s="163"/>
      <c r="BL95" s="163"/>
      <c r="BM95" s="163"/>
      <c r="BN95" s="163"/>
    </row>
    <row r="96" spans="1:66">
      <c r="A96" s="163">
        <v>10294</v>
      </c>
      <c r="B96" s="163" t="s">
        <v>100</v>
      </c>
      <c r="C96" s="267">
        <v>1</v>
      </c>
      <c r="D96" s="267">
        <v>0</v>
      </c>
      <c r="E96" s="272">
        <v>36.869</v>
      </c>
      <c r="F96" s="272">
        <v>35.161999999999999</v>
      </c>
      <c r="G96" s="272">
        <v>35.012999999999998</v>
      </c>
      <c r="H96" s="272">
        <v>0</v>
      </c>
      <c r="I96" s="272">
        <v>0</v>
      </c>
      <c r="J96" s="272">
        <v>0</v>
      </c>
      <c r="K96" s="272">
        <v>0</v>
      </c>
      <c r="L96" s="272">
        <v>0</v>
      </c>
      <c r="M96" s="272">
        <v>0</v>
      </c>
      <c r="N96" s="272">
        <v>35.161999999999999</v>
      </c>
      <c r="O96" s="272">
        <v>35.012999999999998</v>
      </c>
      <c r="P96" s="272">
        <v>308019</v>
      </c>
      <c r="Q96" s="272">
        <v>306714</v>
      </c>
      <c r="R96" s="272">
        <v>35.744</v>
      </c>
      <c r="S96" s="272">
        <v>313117</v>
      </c>
      <c r="T96" s="272">
        <v>0</v>
      </c>
      <c r="U96" s="272">
        <v>0</v>
      </c>
      <c r="V96" s="272">
        <v>0</v>
      </c>
      <c r="W96" s="272">
        <v>0</v>
      </c>
      <c r="X96" s="272">
        <v>5.0629999999999998E-3</v>
      </c>
      <c r="Y96" s="272">
        <v>5.0416000000000002E-3</v>
      </c>
      <c r="Z96" s="272">
        <v>2.8173999999999999E-3</v>
      </c>
      <c r="AA96" s="272">
        <v>2.2455999999999999E-3</v>
      </c>
      <c r="AB96" s="272">
        <v>2.2242E-3</v>
      </c>
      <c r="AC96" s="272">
        <v>2.2349000000000002E-3</v>
      </c>
      <c r="AD96" s="272">
        <v>1</v>
      </c>
      <c r="AE96" s="272">
        <v>0.99999320000000003</v>
      </c>
      <c r="AF96" s="272">
        <v>1</v>
      </c>
      <c r="AG96" s="272">
        <v>1</v>
      </c>
      <c r="AH96" s="272">
        <v>0</v>
      </c>
      <c r="AI96" s="272">
        <v>0</v>
      </c>
      <c r="AJ96" s="154"/>
      <c r="AK96" s="154"/>
      <c r="AL96" s="154"/>
      <c r="AM96" s="154"/>
      <c r="AN96" s="154"/>
      <c r="AO96" s="154"/>
      <c r="AP96" s="154"/>
      <c r="AQ96" s="163"/>
      <c r="AR96" s="163"/>
      <c r="AS96" s="196"/>
      <c r="AT96" s="196"/>
      <c r="AU96" s="196"/>
      <c r="AV96" s="196"/>
      <c r="AW96" s="196"/>
      <c r="AX96" s="196"/>
      <c r="AY96" s="196"/>
      <c r="AZ96" s="196"/>
      <c r="BA96" s="196"/>
      <c r="BB96" s="196"/>
      <c r="BC96" s="196"/>
      <c r="BD96" s="196"/>
      <c r="BE96" s="196"/>
      <c r="BF96" s="196"/>
      <c r="BG96" s="163"/>
      <c r="BH96" s="163"/>
      <c r="BI96" s="163"/>
      <c r="BJ96" s="163"/>
      <c r="BK96" s="163"/>
      <c r="BL96" s="163"/>
      <c r="BM96" s="163"/>
      <c r="BN96" s="163"/>
    </row>
    <row r="97" spans="1:66">
      <c r="A97" s="163">
        <v>10304</v>
      </c>
      <c r="B97" s="163" t="s">
        <v>101</v>
      </c>
      <c r="C97" s="267">
        <v>1</v>
      </c>
      <c r="D97" s="267">
        <v>0</v>
      </c>
      <c r="E97" s="272">
        <v>14.278</v>
      </c>
      <c r="F97" s="272">
        <v>13.709</v>
      </c>
      <c r="G97" s="272">
        <v>13.708</v>
      </c>
      <c r="H97" s="272">
        <v>0</v>
      </c>
      <c r="I97" s="272">
        <v>0</v>
      </c>
      <c r="J97" s="272">
        <v>0</v>
      </c>
      <c r="K97" s="272">
        <v>0</v>
      </c>
      <c r="L97" s="272">
        <v>0</v>
      </c>
      <c r="M97" s="272">
        <v>0</v>
      </c>
      <c r="N97" s="272">
        <v>13.598000000000001</v>
      </c>
      <c r="O97" s="272">
        <v>13.635999999999999</v>
      </c>
      <c r="P97" s="272">
        <v>119118</v>
      </c>
      <c r="Q97" s="272">
        <v>119451</v>
      </c>
      <c r="R97" s="272">
        <v>13.842000000000001</v>
      </c>
      <c r="S97" s="272">
        <v>121256</v>
      </c>
      <c r="T97" s="272">
        <v>0</v>
      </c>
      <c r="U97" s="272">
        <v>0</v>
      </c>
      <c r="V97" s="272">
        <v>0</v>
      </c>
      <c r="W97" s="272">
        <v>0</v>
      </c>
      <c r="X97" s="272">
        <v>1.9580000000000001E-3</v>
      </c>
      <c r="Y97" s="272">
        <v>1.9635E-3</v>
      </c>
      <c r="Z97" s="272">
        <v>0</v>
      </c>
      <c r="AA97" s="272">
        <v>1.9580000000000001E-3</v>
      </c>
      <c r="AB97" s="272">
        <v>1.9635E-3</v>
      </c>
      <c r="AC97" s="272">
        <v>1.9608E-3</v>
      </c>
      <c r="AD97" s="272">
        <v>1</v>
      </c>
      <c r="AE97" s="272">
        <v>1</v>
      </c>
      <c r="AF97" s="272">
        <v>1</v>
      </c>
      <c r="AG97" s="272">
        <v>1</v>
      </c>
      <c r="AH97" s="272">
        <v>0</v>
      </c>
      <c r="AI97" s="272">
        <v>0</v>
      </c>
      <c r="AJ97" s="154"/>
      <c r="AK97" s="154"/>
      <c r="AL97" s="154"/>
      <c r="AM97" s="154"/>
      <c r="AN97" s="154"/>
      <c r="AO97" s="154"/>
      <c r="AP97" s="154"/>
      <c r="AQ97" s="163"/>
      <c r="AR97" s="163"/>
      <c r="AS97" s="196"/>
      <c r="AT97" s="196"/>
      <c r="AU97" s="196"/>
      <c r="AV97" s="196"/>
      <c r="AW97" s="196"/>
      <c r="AX97" s="196"/>
      <c r="AY97" s="196"/>
      <c r="AZ97" s="196"/>
      <c r="BA97" s="196"/>
      <c r="BB97" s="196"/>
      <c r="BC97" s="196"/>
      <c r="BD97" s="196"/>
      <c r="BE97" s="196"/>
      <c r="BF97" s="196"/>
      <c r="BG97" s="163"/>
      <c r="BH97" s="163"/>
      <c r="BI97" s="163"/>
      <c r="BJ97" s="163"/>
      <c r="BK97" s="163"/>
      <c r="BL97" s="163"/>
      <c r="BM97" s="163"/>
      <c r="BN97" s="163"/>
    </row>
    <row r="98" spans="1:66">
      <c r="A98" s="163">
        <v>10306</v>
      </c>
      <c r="B98" s="163" t="s">
        <v>102</v>
      </c>
      <c r="C98" s="267">
        <v>1</v>
      </c>
      <c r="D98" s="267">
        <v>0</v>
      </c>
      <c r="E98" s="272">
        <v>26.152999999999999</v>
      </c>
      <c r="F98" s="272">
        <v>109.824</v>
      </c>
      <c r="G98" s="272">
        <v>108.65900000000001</v>
      </c>
      <c r="H98" s="272">
        <v>58.026000000000003</v>
      </c>
      <c r="I98" s="272">
        <v>57.866</v>
      </c>
      <c r="J98" s="272">
        <v>29.62</v>
      </c>
      <c r="K98" s="272">
        <v>29.594999999999999</v>
      </c>
      <c r="L98" s="272">
        <v>259471</v>
      </c>
      <c r="M98" s="272">
        <v>259252</v>
      </c>
      <c r="N98" s="272">
        <v>22.178000000000001</v>
      </c>
      <c r="O98" s="272">
        <v>21.198</v>
      </c>
      <c r="P98" s="272">
        <v>194279</v>
      </c>
      <c r="Q98" s="272">
        <v>185694</v>
      </c>
      <c r="R98" s="272">
        <v>25.355</v>
      </c>
      <c r="S98" s="272">
        <v>222110</v>
      </c>
      <c r="T98" s="272">
        <v>0</v>
      </c>
      <c r="U98" s="272">
        <v>0</v>
      </c>
      <c r="V98" s="272">
        <v>0</v>
      </c>
      <c r="W98" s="272">
        <v>0</v>
      </c>
      <c r="X98" s="272">
        <v>3.1933999999999999E-3</v>
      </c>
      <c r="Y98" s="272">
        <v>3.0523E-3</v>
      </c>
      <c r="Z98" s="272">
        <v>0</v>
      </c>
      <c r="AA98" s="272">
        <v>3.1933999999999999E-3</v>
      </c>
      <c r="AB98" s="272">
        <v>3.0523E-3</v>
      </c>
      <c r="AC98" s="272">
        <v>3.1229000000000001E-3</v>
      </c>
      <c r="AD98" s="272">
        <v>1</v>
      </c>
      <c r="AE98" s="272">
        <v>1</v>
      </c>
      <c r="AF98" s="272">
        <v>1</v>
      </c>
      <c r="AG98" s="272">
        <v>1</v>
      </c>
      <c r="AH98" s="272">
        <v>0</v>
      </c>
      <c r="AI98" s="272">
        <v>0</v>
      </c>
      <c r="AJ98" s="154"/>
      <c r="AK98" s="154"/>
      <c r="AL98" s="154"/>
      <c r="AM98" s="154"/>
      <c r="AN98" s="154"/>
      <c r="AO98" s="154"/>
      <c r="AP98" s="154"/>
      <c r="AQ98" s="163"/>
      <c r="AR98" s="163"/>
      <c r="AS98" s="196"/>
      <c r="AT98" s="196"/>
      <c r="AU98" s="196"/>
      <c r="AV98" s="196"/>
      <c r="AW98" s="196"/>
      <c r="AX98" s="196"/>
      <c r="AY98" s="196"/>
      <c r="AZ98" s="196"/>
      <c r="BA98" s="196"/>
      <c r="BB98" s="196"/>
      <c r="BC98" s="196"/>
      <c r="BD98" s="196"/>
      <c r="BE98" s="196"/>
      <c r="BF98" s="196"/>
      <c r="BG98" s="163"/>
      <c r="BH98" s="163"/>
      <c r="BI98" s="163"/>
      <c r="BJ98" s="163"/>
      <c r="BK98" s="163"/>
      <c r="BL98" s="163"/>
      <c r="BM98" s="163"/>
      <c r="BN98" s="163"/>
    </row>
    <row r="99" spans="1:66">
      <c r="A99" s="163">
        <v>10307</v>
      </c>
      <c r="B99" s="163" t="s">
        <v>103</v>
      </c>
      <c r="C99" s="267">
        <v>1</v>
      </c>
      <c r="D99" s="267">
        <v>0</v>
      </c>
      <c r="E99" s="272">
        <v>73.058999999999997</v>
      </c>
      <c r="F99" s="272">
        <v>67.706999999999994</v>
      </c>
      <c r="G99" s="272">
        <v>67.570999999999998</v>
      </c>
      <c r="H99" s="272">
        <v>0</v>
      </c>
      <c r="I99" s="272">
        <v>0</v>
      </c>
      <c r="J99" s="272">
        <v>0</v>
      </c>
      <c r="K99" s="272">
        <v>0</v>
      </c>
      <c r="L99" s="272">
        <v>0</v>
      </c>
      <c r="M99" s="272">
        <v>0</v>
      </c>
      <c r="N99" s="272">
        <v>67.260999999999996</v>
      </c>
      <c r="O99" s="272">
        <v>67.343000000000004</v>
      </c>
      <c r="P99" s="272">
        <v>589206</v>
      </c>
      <c r="Q99" s="272">
        <v>589925</v>
      </c>
      <c r="R99" s="272">
        <v>70.83</v>
      </c>
      <c r="S99" s="272">
        <v>620471</v>
      </c>
      <c r="T99" s="272">
        <v>0</v>
      </c>
      <c r="U99" s="272">
        <v>0</v>
      </c>
      <c r="V99" s="272">
        <v>0</v>
      </c>
      <c r="W99" s="272">
        <v>0</v>
      </c>
      <c r="X99" s="272">
        <v>9.6849999999999992E-3</v>
      </c>
      <c r="Y99" s="272">
        <v>9.6968000000000002E-3</v>
      </c>
      <c r="Z99" s="272">
        <v>0</v>
      </c>
      <c r="AA99" s="272">
        <v>9.6849999999999992E-3</v>
      </c>
      <c r="AB99" s="272">
        <v>9.6968000000000002E-3</v>
      </c>
      <c r="AC99" s="272">
        <v>9.6909000000000006E-3</v>
      </c>
      <c r="AD99" s="272">
        <v>0.99999749999999998</v>
      </c>
      <c r="AE99" s="272">
        <v>0.99999680000000002</v>
      </c>
      <c r="AF99" s="272">
        <v>1</v>
      </c>
      <c r="AG99" s="272">
        <v>1</v>
      </c>
      <c r="AH99" s="272">
        <v>0</v>
      </c>
      <c r="AI99" s="272">
        <v>0</v>
      </c>
      <c r="AJ99" s="154"/>
      <c r="AK99" s="154"/>
      <c r="AL99" s="154"/>
      <c r="AM99" s="154"/>
      <c r="AN99" s="154"/>
      <c r="AO99" s="154"/>
      <c r="AP99" s="154"/>
      <c r="AQ99" s="163"/>
      <c r="AR99" s="163"/>
      <c r="AS99" s="196"/>
      <c r="AT99" s="196"/>
      <c r="AU99" s="196"/>
      <c r="AV99" s="196"/>
      <c r="AW99" s="196"/>
      <c r="AX99" s="196"/>
      <c r="AY99" s="196"/>
      <c r="AZ99" s="196"/>
      <c r="BA99" s="196"/>
      <c r="BB99" s="196"/>
      <c r="BC99" s="196"/>
      <c r="BD99" s="196"/>
      <c r="BE99" s="196"/>
      <c r="BF99" s="196"/>
      <c r="BG99" s="163"/>
      <c r="BH99" s="163"/>
      <c r="BI99" s="163"/>
      <c r="BJ99" s="163"/>
      <c r="BK99" s="163"/>
      <c r="BL99" s="163"/>
      <c r="BM99" s="163"/>
      <c r="BN99" s="163"/>
    </row>
    <row r="100" spans="1:66">
      <c r="A100" s="163">
        <v>10326</v>
      </c>
      <c r="B100" s="163" t="s">
        <v>104</v>
      </c>
      <c r="C100" s="267">
        <v>1</v>
      </c>
      <c r="D100" s="267">
        <v>0</v>
      </c>
      <c r="E100" s="272">
        <v>30.914000000000001</v>
      </c>
      <c r="F100" s="272">
        <v>31.437999999999999</v>
      </c>
      <c r="G100" s="272">
        <v>31.343</v>
      </c>
      <c r="H100" s="272">
        <v>0</v>
      </c>
      <c r="I100" s="272">
        <v>0</v>
      </c>
      <c r="J100" s="272">
        <v>0</v>
      </c>
      <c r="K100" s="272">
        <v>0</v>
      </c>
      <c r="L100" s="272">
        <v>0</v>
      </c>
      <c r="M100" s="272">
        <v>0</v>
      </c>
      <c r="N100" s="272">
        <v>28.655000000000001</v>
      </c>
      <c r="O100" s="272">
        <v>28.655000000000001</v>
      </c>
      <c r="P100" s="272">
        <v>251018</v>
      </c>
      <c r="Q100" s="272">
        <v>251018</v>
      </c>
      <c r="R100" s="272">
        <v>29.971</v>
      </c>
      <c r="S100" s="272">
        <v>262546</v>
      </c>
      <c r="T100" s="272">
        <v>0</v>
      </c>
      <c r="U100" s="272">
        <v>0</v>
      </c>
      <c r="V100" s="272">
        <v>0</v>
      </c>
      <c r="W100" s="272">
        <v>0</v>
      </c>
      <c r="X100" s="272">
        <v>4.1260999999999997E-3</v>
      </c>
      <c r="Y100" s="272">
        <v>4.1260999999999997E-3</v>
      </c>
      <c r="Z100" s="272">
        <v>0</v>
      </c>
      <c r="AA100" s="272">
        <v>4.1260999999999997E-3</v>
      </c>
      <c r="AB100" s="272">
        <v>4.1260999999999997E-3</v>
      </c>
      <c r="AC100" s="272">
        <v>4.1260999999999997E-3</v>
      </c>
      <c r="AD100" s="272">
        <v>1</v>
      </c>
      <c r="AE100" s="272">
        <v>1</v>
      </c>
      <c r="AF100" s="272">
        <v>1</v>
      </c>
      <c r="AG100" s="272">
        <v>1</v>
      </c>
      <c r="AH100" s="272">
        <v>0</v>
      </c>
      <c r="AI100" s="272">
        <v>0</v>
      </c>
      <c r="AJ100" s="154"/>
      <c r="AK100" s="154"/>
      <c r="AL100" s="154"/>
      <c r="AM100" s="154"/>
      <c r="AN100" s="154"/>
      <c r="AO100" s="154"/>
      <c r="AP100" s="154"/>
      <c r="AQ100" s="163"/>
      <c r="AR100" s="163"/>
      <c r="AS100" s="196"/>
      <c r="AT100" s="196"/>
      <c r="AU100" s="196"/>
      <c r="AV100" s="196"/>
      <c r="AW100" s="196"/>
      <c r="AX100" s="196"/>
      <c r="AY100" s="196"/>
      <c r="AZ100" s="196"/>
      <c r="BA100" s="196"/>
      <c r="BB100" s="196"/>
      <c r="BC100" s="196"/>
      <c r="BD100" s="196"/>
      <c r="BE100" s="196"/>
      <c r="BF100" s="196"/>
      <c r="BG100" s="163"/>
      <c r="BH100" s="163"/>
      <c r="BI100" s="163"/>
      <c r="BJ100" s="163"/>
      <c r="BK100" s="163"/>
      <c r="BL100" s="163"/>
      <c r="BM100" s="163"/>
      <c r="BN100" s="163"/>
    </row>
    <row r="101" spans="1:66">
      <c r="A101" s="163">
        <v>10331</v>
      </c>
      <c r="B101" s="163" t="s">
        <v>105</v>
      </c>
      <c r="C101" s="267">
        <v>0</v>
      </c>
      <c r="D101" s="267">
        <v>1</v>
      </c>
      <c r="E101" s="272">
        <v>37.148000000000003</v>
      </c>
      <c r="F101" s="272">
        <v>36.093000000000004</v>
      </c>
      <c r="G101" s="272">
        <v>36.042999999999999</v>
      </c>
      <c r="H101" s="272">
        <v>0</v>
      </c>
      <c r="I101" s="272">
        <v>0</v>
      </c>
      <c r="J101" s="272">
        <v>0</v>
      </c>
      <c r="K101" s="272">
        <v>0</v>
      </c>
      <c r="L101" s="272">
        <v>0</v>
      </c>
      <c r="M101" s="272">
        <v>0</v>
      </c>
      <c r="N101" s="272">
        <v>36.097999999999999</v>
      </c>
      <c r="O101" s="272">
        <v>36.097999999999999</v>
      </c>
      <c r="P101" s="272">
        <v>316218</v>
      </c>
      <c r="Q101" s="272">
        <v>316218</v>
      </c>
      <c r="R101" s="272">
        <v>36.015000000000001</v>
      </c>
      <c r="S101" s="272">
        <v>315491</v>
      </c>
      <c r="T101" s="272">
        <v>8.3000000000000004E-2</v>
      </c>
      <c r="U101" s="272">
        <v>8.3000000000000004E-2</v>
      </c>
      <c r="V101" s="272">
        <v>8.3000000000000004E-2</v>
      </c>
      <c r="W101" s="272">
        <v>8.3000000000000004E-2</v>
      </c>
      <c r="X101" s="272">
        <v>5.1859000000000002E-3</v>
      </c>
      <c r="Y101" s="272">
        <v>5.1859000000000002E-3</v>
      </c>
      <c r="Z101" s="272">
        <v>0</v>
      </c>
      <c r="AA101" s="272">
        <v>5.1859000000000002E-3</v>
      </c>
      <c r="AB101" s="272">
        <v>5.1859000000000002E-3</v>
      </c>
      <c r="AC101" s="272">
        <v>5.1859000000000002E-3</v>
      </c>
      <c r="AD101" s="272">
        <v>0.99770840000000005</v>
      </c>
      <c r="AE101" s="272">
        <v>0.99770840000000005</v>
      </c>
      <c r="AF101" s="272">
        <v>1.0023046</v>
      </c>
      <c r="AG101" s="272">
        <v>1.0023046</v>
      </c>
      <c r="AH101" s="272">
        <v>7.0161299999999996E-2</v>
      </c>
      <c r="AI101" s="272">
        <v>7.0161299999999996E-2</v>
      </c>
      <c r="AJ101" s="154"/>
      <c r="AK101" s="154"/>
      <c r="AL101" s="154"/>
      <c r="AM101" s="154"/>
      <c r="AN101" s="154"/>
      <c r="AO101" s="154"/>
      <c r="AP101" s="154"/>
      <c r="AQ101" s="163"/>
      <c r="AR101" s="163"/>
      <c r="AS101" s="196"/>
      <c r="AT101" s="196"/>
      <c r="AU101" s="196"/>
      <c r="AV101" s="196"/>
      <c r="AW101" s="196"/>
      <c r="AX101" s="196"/>
      <c r="AY101" s="196"/>
      <c r="AZ101" s="196"/>
      <c r="BA101" s="196"/>
      <c r="BB101" s="196"/>
      <c r="BC101" s="196"/>
      <c r="BD101" s="196"/>
      <c r="BE101" s="196"/>
      <c r="BF101" s="196"/>
      <c r="BG101" s="163"/>
      <c r="BH101" s="163"/>
      <c r="BI101" s="163"/>
      <c r="BJ101" s="163"/>
      <c r="BK101" s="163"/>
      <c r="BL101" s="163"/>
      <c r="BM101" s="163"/>
      <c r="BN101" s="163"/>
    </row>
    <row r="102" spans="1:66">
      <c r="A102" s="163">
        <v>10333</v>
      </c>
      <c r="B102" s="163" t="s">
        <v>106</v>
      </c>
      <c r="C102" s="267">
        <v>1</v>
      </c>
      <c r="D102" s="267">
        <v>0</v>
      </c>
      <c r="E102" s="272">
        <v>18.791</v>
      </c>
      <c r="F102" s="272">
        <v>18.597999999999999</v>
      </c>
      <c r="G102" s="272">
        <v>18.7</v>
      </c>
      <c r="H102" s="272">
        <v>0</v>
      </c>
      <c r="I102" s="272">
        <v>0</v>
      </c>
      <c r="J102" s="272">
        <v>0</v>
      </c>
      <c r="K102" s="272">
        <v>0</v>
      </c>
      <c r="L102" s="272">
        <v>0</v>
      </c>
      <c r="M102" s="272">
        <v>0</v>
      </c>
      <c r="N102" s="272">
        <v>18.744</v>
      </c>
      <c r="O102" s="272">
        <v>18.890999999999998</v>
      </c>
      <c r="P102" s="272">
        <v>164197</v>
      </c>
      <c r="Q102" s="272">
        <v>165485</v>
      </c>
      <c r="R102" s="272">
        <v>18.218</v>
      </c>
      <c r="S102" s="272">
        <v>159590</v>
      </c>
      <c r="T102" s="272">
        <v>0.52600000000000002</v>
      </c>
      <c r="U102" s="272">
        <v>0.67300000000000004</v>
      </c>
      <c r="V102" s="272">
        <v>0</v>
      </c>
      <c r="W102" s="272">
        <v>0</v>
      </c>
      <c r="X102" s="272">
        <v>2.6232E-3</v>
      </c>
      <c r="Y102" s="272">
        <v>2.6232E-3</v>
      </c>
      <c r="Z102" s="272">
        <v>0</v>
      </c>
      <c r="AA102" s="272">
        <v>2.6232E-3</v>
      </c>
      <c r="AB102" s="272">
        <v>2.6232E-3</v>
      </c>
      <c r="AC102" s="272">
        <v>2.6232E-3</v>
      </c>
      <c r="AD102" s="272">
        <v>0.97192279999999998</v>
      </c>
      <c r="AE102" s="272">
        <v>0.96435970000000004</v>
      </c>
      <c r="AF102" s="272">
        <v>1.0288725000000001</v>
      </c>
      <c r="AG102" s="272">
        <v>1.0369415</v>
      </c>
      <c r="AH102" s="272">
        <v>6.6876699999999997E-2</v>
      </c>
      <c r="AI102" s="272">
        <v>6.7401199999999994E-2</v>
      </c>
      <c r="AJ102" s="154"/>
      <c r="AK102" s="154"/>
      <c r="AL102" s="154"/>
      <c r="AM102" s="154"/>
      <c r="AN102" s="154"/>
      <c r="AO102" s="154"/>
      <c r="AP102" s="154"/>
      <c r="AQ102" s="163"/>
      <c r="AR102" s="163"/>
      <c r="AS102" s="196"/>
      <c r="AT102" s="196"/>
      <c r="AU102" s="196"/>
      <c r="AV102" s="196"/>
      <c r="AW102" s="196"/>
      <c r="AX102" s="196"/>
      <c r="AY102" s="196"/>
      <c r="AZ102" s="196"/>
      <c r="BA102" s="196"/>
      <c r="BB102" s="196"/>
      <c r="BC102" s="196"/>
      <c r="BD102" s="196"/>
      <c r="BE102" s="196"/>
      <c r="BF102" s="196"/>
      <c r="BG102" s="163"/>
      <c r="BH102" s="163"/>
      <c r="BI102" s="163"/>
      <c r="BJ102" s="163"/>
      <c r="BK102" s="163"/>
      <c r="BL102" s="163"/>
      <c r="BM102" s="163"/>
      <c r="BN102" s="163"/>
    </row>
    <row r="103" spans="1:66">
      <c r="A103" s="163">
        <v>10338</v>
      </c>
      <c r="B103" s="163" t="s">
        <v>107</v>
      </c>
      <c r="C103" s="267">
        <v>1</v>
      </c>
      <c r="D103" s="267">
        <v>0</v>
      </c>
      <c r="E103" s="272">
        <v>2.4079999999999999</v>
      </c>
      <c r="F103" s="272">
        <v>2.4969999999999999</v>
      </c>
      <c r="G103" s="272">
        <v>2.4969999999999999</v>
      </c>
      <c r="H103" s="272">
        <v>0</v>
      </c>
      <c r="I103" s="272">
        <v>0</v>
      </c>
      <c r="J103" s="272">
        <v>0</v>
      </c>
      <c r="K103" s="272">
        <v>0</v>
      </c>
      <c r="L103" s="272">
        <v>0</v>
      </c>
      <c r="M103" s="272">
        <v>0</v>
      </c>
      <c r="N103" s="272">
        <v>2.3969999999999998</v>
      </c>
      <c r="O103" s="272">
        <v>2.4129999999999998</v>
      </c>
      <c r="P103" s="272">
        <v>20998</v>
      </c>
      <c r="Q103" s="272">
        <v>21138</v>
      </c>
      <c r="R103" s="272">
        <v>2.335</v>
      </c>
      <c r="S103" s="272">
        <v>20455</v>
      </c>
      <c r="T103" s="272">
        <v>6.2E-2</v>
      </c>
      <c r="U103" s="272">
        <v>7.8E-2</v>
      </c>
      <c r="V103" s="272">
        <v>0</v>
      </c>
      <c r="W103" s="272">
        <v>0</v>
      </c>
      <c r="X103" s="272">
        <v>3.3619999999999999E-4</v>
      </c>
      <c r="Y103" s="272">
        <v>3.3619999999999999E-4</v>
      </c>
      <c r="Z103" s="272">
        <v>0</v>
      </c>
      <c r="AA103" s="272">
        <v>3.3619999999999999E-4</v>
      </c>
      <c r="AB103" s="272">
        <v>3.3619999999999999E-4</v>
      </c>
      <c r="AC103" s="272">
        <v>3.3619999999999999E-4</v>
      </c>
      <c r="AD103" s="272">
        <v>0.97407480000000002</v>
      </c>
      <c r="AE103" s="272">
        <v>0.96761589999999997</v>
      </c>
      <c r="AF103" s="272">
        <v>1.0265525</v>
      </c>
      <c r="AG103" s="272">
        <v>1.0334047</v>
      </c>
      <c r="AH103" s="272">
        <v>4.1062099999999997E-2</v>
      </c>
      <c r="AI103" s="272">
        <v>4.1336199999999997E-2</v>
      </c>
      <c r="AJ103" s="154"/>
      <c r="AK103" s="154"/>
      <c r="AL103" s="154"/>
      <c r="AM103" s="154"/>
      <c r="AN103" s="154"/>
      <c r="AO103" s="154"/>
      <c r="AP103" s="154"/>
      <c r="AQ103" s="163"/>
      <c r="AR103" s="163"/>
      <c r="AS103" s="196"/>
      <c r="AT103" s="196"/>
      <c r="AU103" s="196"/>
      <c r="AV103" s="196"/>
      <c r="AW103" s="196"/>
      <c r="AX103" s="196"/>
      <c r="AY103" s="196"/>
      <c r="AZ103" s="196"/>
      <c r="BA103" s="196"/>
      <c r="BB103" s="196"/>
      <c r="BC103" s="196"/>
      <c r="BD103" s="196"/>
      <c r="BE103" s="196"/>
      <c r="BF103" s="196"/>
      <c r="BG103" s="163"/>
      <c r="BH103" s="163"/>
      <c r="BI103" s="163"/>
      <c r="BJ103" s="163"/>
      <c r="BK103" s="163"/>
      <c r="BL103" s="163"/>
      <c r="BM103" s="163"/>
      <c r="BN103" s="163"/>
    </row>
    <row r="104" spans="1:66">
      <c r="A104" s="163">
        <v>10342</v>
      </c>
      <c r="B104" s="163" t="s">
        <v>108</v>
      </c>
      <c r="C104" s="267">
        <v>1</v>
      </c>
      <c r="D104" s="267">
        <v>0</v>
      </c>
      <c r="E104" s="272">
        <v>39.268000000000001</v>
      </c>
      <c r="F104" s="272">
        <v>37.959000000000003</v>
      </c>
      <c r="G104" s="272">
        <v>37.954000000000001</v>
      </c>
      <c r="H104" s="272">
        <v>0</v>
      </c>
      <c r="I104" s="272">
        <v>0</v>
      </c>
      <c r="J104" s="272">
        <v>0</v>
      </c>
      <c r="K104" s="272">
        <v>0</v>
      </c>
      <c r="L104" s="272">
        <v>0</v>
      </c>
      <c r="M104" s="272">
        <v>0</v>
      </c>
      <c r="N104" s="272">
        <v>37.39</v>
      </c>
      <c r="O104" s="272">
        <v>37.484000000000002</v>
      </c>
      <c r="P104" s="272">
        <v>327536</v>
      </c>
      <c r="Q104" s="272">
        <v>328360</v>
      </c>
      <c r="R104" s="272">
        <v>38.07</v>
      </c>
      <c r="S104" s="272">
        <v>333493</v>
      </c>
      <c r="T104" s="272">
        <v>0</v>
      </c>
      <c r="U104" s="272">
        <v>0</v>
      </c>
      <c r="V104" s="272">
        <v>0</v>
      </c>
      <c r="W104" s="272">
        <v>0</v>
      </c>
      <c r="X104" s="272">
        <v>5.3838000000000002E-3</v>
      </c>
      <c r="Y104" s="272">
        <v>5.3974000000000001E-3</v>
      </c>
      <c r="Z104" s="272">
        <v>0</v>
      </c>
      <c r="AA104" s="272">
        <v>5.3838000000000002E-3</v>
      </c>
      <c r="AB104" s="272">
        <v>5.3974000000000001E-3</v>
      </c>
      <c r="AC104" s="272">
        <v>5.3905999999999997E-3</v>
      </c>
      <c r="AD104" s="272">
        <v>0.99999099999999996</v>
      </c>
      <c r="AE104" s="272">
        <v>1</v>
      </c>
      <c r="AF104" s="272">
        <v>1</v>
      </c>
      <c r="AG104" s="272">
        <v>1</v>
      </c>
      <c r="AH104" s="272">
        <v>0</v>
      </c>
      <c r="AI104" s="272">
        <v>0</v>
      </c>
      <c r="AJ104" s="154"/>
      <c r="AK104" s="154"/>
      <c r="AL104" s="154"/>
      <c r="AM104" s="154"/>
      <c r="AN104" s="154"/>
      <c r="AO104" s="154"/>
      <c r="AP104" s="154"/>
      <c r="AQ104" s="163"/>
      <c r="AR104" s="163"/>
      <c r="AS104" s="196"/>
      <c r="AT104" s="196"/>
      <c r="AU104" s="196"/>
      <c r="AV104" s="196"/>
      <c r="AW104" s="196"/>
      <c r="AX104" s="196"/>
      <c r="AY104" s="196"/>
      <c r="AZ104" s="196"/>
      <c r="BA104" s="196"/>
      <c r="BB104" s="196"/>
      <c r="BC104" s="196"/>
      <c r="BD104" s="196"/>
      <c r="BE104" s="196"/>
      <c r="BF104" s="196"/>
      <c r="BG104" s="163"/>
      <c r="BH104" s="163"/>
      <c r="BI104" s="163"/>
      <c r="BJ104" s="163"/>
      <c r="BK104" s="163"/>
      <c r="BL104" s="163"/>
      <c r="BM104" s="163"/>
      <c r="BN104" s="163"/>
    </row>
    <row r="105" spans="1:66">
      <c r="A105" s="163">
        <v>10343</v>
      </c>
      <c r="B105" s="163" t="s">
        <v>109</v>
      </c>
      <c r="C105" s="267">
        <v>1</v>
      </c>
      <c r="D105" s="267">
        <v>0</v>
      </c>
      <c r="E105" s="272">
        <v>31.856999999999999</v>
      </c>
      <c r="F105" s="272">
        <v>12.109</v>
      </c>
      <c r="G105" s="272">
        <v>12.074</v>
      </c>
      <c r="H105" s="272">
        <v>0</v>
      </c>
      <c r="I105" s="272">
        <v>0</v>
      </c>
      <c r="J105" s="272">
        <v>0</v>
      </c>
      <c r="K105" s="272">
        <v>0</v>
      </c>
      <c r="L105" s="272">
        <v>0</v>
      </c>
      <c r="M105" s="272">
        <v>0</v>
      </c>
      <c r="N105" s="272">
        <v>11.365</v>
      </c>
      <c r="O105" s="272">
        <v>11.365</v>
      </c>
      <c r="P105" s="272">
        <v>99557</v>
      </c>
      <c r="Q105" s="272">
        <v>99557</v>
      </c>
      <c r="R105" s="272">
        <v>30.885000000000002</v>
      </c>
      <c r="S105" s="272">
        <v>270553</v>
      </c>
      <c r="T105" s="272">
        <v>0</v>
      </c>
      <c r="U105" s="272">
        <v>0</v>
      </c>
      <c r="V105" s="272">
        <v>0</v>
      </c>
      <c r="W105" s="272">
        <v>0</v>
      </c>
      <c r="X105" s="272">
        <v>1.6364999999999999E-3</v>
      </c>
      <c r="Y105" s="272">
        <v>1.6364999999999999E-3</v>
      </c>
      <c r="Z105" s="272">
        <v>0</v>
      </c>
      <c r="AA105" s="272">
        <v>1.6364999999999999E-3</v>
      </c>
      <c r="AB105" s="272">
        <v>1.6364999999999999E-3</v>
      </c>
      <c r="AC105" s="272">
        <v>1.6364999999999999E-3</v>
      </c>
      <c r="AD105" s="272">
        <v>1</v>
      </c>
      <c r="AE105" s="272">
        <v>1</v>
      </c>
      <c r="AF105" s="272">
        <v>1</v>
      </c>
      <c r="AG105" s="272">
        <v>1</v>
      </c>
      <c r="AH105" s="272">
        <v>0.06</v>
      </c>
      <c r="AI105" s="272">
        <v>0.06</v>
      </c>
      <c r="AJ105" s="154"/>
      <c r="AK105" s="154"/>
      <c r="AL105" s="154"/>
      <c r="AM105" s="154"/>
      <c r="AN105" s="154"/>
      <c r="AO105" s="154"/>
      <c r="AP105" s="154"/>
      <c r="AQ105" s="163"/>
      <c r="AR105" s="163"/>
      <c r="AS105" s="196"/>
      <c r="AT105" s="196"/>
      <c r="AU105" s="196"/>
      <c r="AV105" s="196"/>
      <c r="AW105" s="196"/>
      <c r="AX105" s="196"/>
      <c r="AY105" s="196"/>
      <c r="AZ105" s="196"/>
      <c r="BA105" s="196"/>
      <c r="BB105" s="196"/>
      <c r="BC105" s="196"/>
      <c r="BD105" s="196"/>
      <c r="BE105" s="196"/>
      <c r="BF105" s="196"/>
      <c r="BG105" s="163"/>
      <c r="BH105" s="163"/>
      <c r="BI105" s="163"/>
      <c r="BJ105" s="163"/>
      <c r="BK105" s="163"/>
      <c r="BL105" s="163"/>
      <c r="BM105" s="163"/>
      <c r="BN105" s="163"/>
    </row>
    <row r="106" spans="1:66">
      <c r="A106" s="163">
        <v>10349</v>
      </c>
      <c r="B106" s="163" t="s">
        <v>110</v>
      </c>
      <c r="C106" s="267">
        <v>1</v>
      </c>
      <c r="D106" s="267">
        <v>0</v>
      </c>
      <c r="E106" s="272">
        <v>531.72699999999998</v>
      </c>
      <c r="F106" s="272">
        <v>1124.2850000000001</v>
      </c>
      <c r="G106" s="272">
        <v>1120.76</v>
      </c>
      <c r="H106" s="272">
        <v>0</v>
      </c>
      <c r="I106" s="272">
        <v>0</v>
      </c>
      <c r="J106" s="272">
        <v>616.66999999999996</v>
      </c>
      <c r="K106" s="272">
        <v>615.74900000000002</v>
      </c>
      <c r="L106" s="272">
        <v>5402029</v>
      </c>
      <c r="M106" s="272">
        <v>5393961</v>
      </c>
      <c r="N106" s="272">
        <v>507.61500000000001</v>
      </c>
      <c r="O106" s="272">
        <v>505.01100000000002</v>
      </c>
      <c r="P106" s="272">
        <v>4446707</v>
      </c>
      <c r="Q106" s="272">
        <v>4423896</v>
      </c>
      <c r="R106" s="272">
        <v>515.50300000000004</v>
      </c>
      <c r="S106" s="272">
        <v>4515806</v>
      </c>
      <c r="T106" s="272">
        <v>9.4600000000000009</v>
      </c>
      <c r="U106" s="272">
        <v>14.305999999999999</v>
      </c>
      <c r="V106" s="272">
        <v>9.4600000000000009</v>
      </c>
      <c r="W106" s="272">
        <v>14.305999999999999</v>
      </c>
      <c r="X106" s="272">
        <v>7.3092299999999999E-2</v>
      </c>
      <c r="Y106" s="272">
        <v>7.2717400000000001E-2</v>
      </c>
      <c r="Z106" s="272">
        <v>0</v>
      </c>
      <c r="AA106" s="272">
        <v>7.3092299999999999E-2</v>
      </c>
      <c r="AB106" s="272">
        <v>7.2717400000000001E-2</v>
      </c>
      <c r="AC106" s="272">
        <v>7.2904899999999995E-2</v>
      </c>
      <c r="AD106" s="272">
        <v>0.99170729999999996</v>
      </c>
      <c r="AE106" s="272">
        <v>0.9875121</v>
      </c>
      <c r="AF106" s="272">
        <v>1</v>
      </c>
      <c r="AG106" s="272">
        <v>1</v>
      </c>
      <c r="AH106" s="272">
        <v>0</v>
      </c>
      <c r="AI106" s="272">
        <v>0</v>
      </c>
      <c r="AJ106" s="154"/>
      <c r="AK106" s="154"/>
      <c r="AL106" s="154"/>
      <c r="AM106" s="154"/>
      <c r="AN106" s="154"/>
      <c r="AO106" s="154"/>
      <c r="AP106" s="154"/>
      <c r="AQ106" s="163"/>
      <c r="AR106" s="163"/>
      <c r="AS106" s="196"/>
      <c r="AT106" s="196"/>
      <c r="AU106" s="196"/>
      <c r="AV106" s="196"/>
      <c r="AW106" s="196"/>
      <c r="AX106" s="196"/>
      <c r="AY106" s="196"/>
      <c r="AZ106" s="196"/>
      <c r="BA106" s="196"/>
      <c r="BB106" s="196"/>
      <c r="BC106" s="196"/>
      <c r="BD106" s="196"/>
      <c r="BE106" s="196"/>
      <c r="BF106" s="196"/>
      <c r="BG106" s="163"/>
      <c r="BH106" s="163"/>
      <c r="BI106" s="163"/>
      <c r="BJ106" s="163"/>
      <c r="BK106" s="163"/>
      <c r="BL106" s="163"/>
      <c r="BM106" s="163"/>
      <c r="BN106" s="163"/>
    </row>
    <row r="107" spans="1:66">
      <c r="A107" s="163">
        <v>10352</v>
      </c>
      <c r="B107" s="163" t="s">
        <v>111</v>
      </c>
      <c r="C107" s="267">
        <v>1</v>
      </c>
      <c r="D107" s="267">
        <v>0</v>
      </c>
      <c r="E107" s="272">
        <v>16.143999999999998</v>
      </c>
      <c r="F107" s="272">
        <v>15.355</v>
      </c>
      <c r="G107" s="272">
        <v>15.302</v>
      </c>
      <c r="H107" s="272">
        <v>0</v>
      </c>
      <c r="I107" s="272">
        <v>0</v>
      </c>
      <c r="J107" s="272">
        <v>0</v>
      </c>
      <c r="K107" s="272">
        <v>0</v>
      </c>
      <c r="L107" s="272">
        <v>0</v>
      </c>
      <c r="M107" s="272">
        <v>0</v>
      </c>
      <c r="N107" s="272">
        <v>15.247999999999999</v>
      </c>
      <c r="O107" s="272">
        <v>15.278</v>
      </c>
      <c r="P107" s="272">
        <v>133572</v>
      </c>
      <c r="Q107" s="272">
        <v>133835</v>
      </c>
      <c r="R107" s="272">
        <v>15.651</v>
      </c>
      <c r="S107" s="272">
        <v>137103</v>
      </c>
      <c r="T107" s="272">
        <v>0</v>
      </c>
      <c r="U107" s="272">
        <v>0</v>
      </c>
      <c r="V107" s="272">
        <v>0</v>
      </c>
      <c r="W107" s="272">
        <v>0</v>
      </c>
      <c r="X107" s="272">
        <v>2.1955999999999998E-3</v>
      </c>
      <c r="Y107" s="272">
        <v>2.1998999999999999E-3</v>
      </c>
      <c r="Z107" s="272">
        <v>0</v>
      </c>
      <c r="AA107" s="272">
        <v>2.1955999999999998E-3</v>
      </c>
      <c r="AB107" s="272">
        <v>2.1998999999999999E-3</v>
      </c>
      <c r="AC107" s="272">
        <v>2.1978000000000002E-3</v>
      </c>
      <c r="AD107" s="272">
        <v>1</v>
      </c>
      <c r="AE107" s="272">
        <v>0.99999780000000005</v>
      </c>
      <c r="AF107" s="272">
        <v>1</v>
      </c>
      <c r="AG107" s="272">
        <v>1</v>
      </c>
      <c r="AH107" s="272">
        <v>4.4999999999999998E-2</v>
      </c>
      <c r="AI107" s="272">
        <v>4.4999999999999998E-2</v>
      </c>
      <c r="AJ107" s="154"/>
      <c r="AK107" s="154"/>
      <c r="AL107" s="154"/>
      <c r="AM107" s="154"/>
      <c r="AN107" s="154"/>
      <c r="AO107" s="154"/>
      <c r="AP107" s="154"/>
      <c r="AQ107" s="163"/>
      <c r="AR107" s="163"/>
      <c r="AS107" s="196"/>
      <c r="AT107" s="196"/>
      <c r="AU107" s="196"/>
      <c r="AV107" s="196"/>
      <c r="AW107" s="196"/>
      <c r="AX107" s="196"/>
      <c r="AY107" s="196"/>
      <c r="AZ107" s="196"/>
      <c r="BA107" s="196"/>
      <c r="BB107" s="196"/>
      <c r="BC107" s="196"/>
      <c r="BD107" s="196"/>
      <c r="BE107" s="196"/>
      <c r="BF107" s="196"/>
      <c r="BG107" s="163"/>
      <c r="BH107" s="163"/>
      <c r="BI107" s="163"/>
      <c r="BJ107" s="163"/>
      <c r="BK107" s="163"/>
      <c r="BL107" s="163"/>
      <c r="BM107" s="163"/>
      <c r="BN107" s="163"/>
    </row>
    <row r="108" spans="1:66">
      <c r="A108" s="163">
        <v>10354</v>
      </c>
      <c r="B108" s="163" t="s">
        <v>112</v>
      </c>
      <c r="C108" s="267">
        <v>1</v>
      </c>
      <c r="D108" s="267">
        <v>0</v>
      </c>
      <c r="E108" s="272">
        <v>810.99</v>
      </c>
      <c r="F108" s="272">
        <v>758.173</v>
      </c>
      <c r="G108" s="272">
        <v>755.15200000000004</v>
      </c>
      <c r="H108" s="272">
        <v>0</v>
      </c>
      <c r="I108" s="272">
        <v>0</v>
      </c>
      <c r="J108" s="272">
        <v>30.925999999999998</v>
      </c>
      <c r="K108" s="272">
        <v>30.827999999999999</v>
      </c>
      <c r="L108" s="272">
        <v>270912</v>
      </c>
      <c r="M108" s="272">
        <v>270053</v>
      </c>
      <c r="N108" s="272">
        <v>727.24699999999996</v>
      </c>
      <c r="O108" s="272">
        <v>724.32399999999996</v>
      </c>
      <c r="P108" s="272">
        <v>6370684</v>
      </c>
      <c r="Q108" s="272">
        <v>6345078</v>
      </c>
      <c r="R108" s="272">
        <v>786.245</v>
      </c>
      <c r="S108" s="272">
        <v>6887506</v>
      </c>
      <c r="T108" s="272">
        <v>0</v>
      </c>
      <c r="U108" s="272">
        <v>0</v>
      </c>
      <c r="V108" s="272">
        <v>0</v>
      </c>
      <c r="W108" s="272">
        <v>0</v>
      </c>
      <c r="X108" s="272">
        <v>0.10471750000000001</v>
      </c>
      <c r="Y108" s="272">
        <v>0.1042966</v>
      </c>
      <c r="Z108" s="272">
        <v>5.4392799999999998E-2</v>
      </c>
      <c r="AA108" s="272">
        <v>5.03247E-2</v>
      </c>
      <c r="AB108" s="272">
        <v>4.9903799999999998E-2</v>
      </c>
      <c r="AC108" s="272">
        <v>5.0114300000000001E-2</v>
      </c>
      <c r="AD108" s="272">
        <v>0.99999990000000005</v>
      </c>
      <c r="AE108" s="272">
        <v>0.99999990000000005</v>
      </c>
      <c r="AF108" s="272">
        <v>1</v>
      </c>
      <c r="AG108" s="272">
        <v>1</v>
      </c>
      <c r="AH108" s="272">
        <v>0</v>
      </c>
      <c r="AI108" s="272">
        <v>0</v>
      </c>
      <c r="AJ108" s="154"/>
      <c r="AK108" s="154"/>
      <c r="AL108" s="154"/>
      <c r="AM108" s="154"/>
      <c r="AN108" s="154"/>
      <c r="AO108" s="154"/>
      <c r="AP108" s="154"/>
      <c r="AQ108" s="163"/>
      <c r="AR108" s="163"/>
      <c r="AS108" s="196"/>
      <c r="AT108" s="196"/>
      <c r="AU108" s="196"/>
      <c r="AV108" s="196"/>
      <c r="AW108" s="196"/>
      <c r="AX108" s="196"/>
      <c r="AY108" s="196"/>
      <c r="AZ108" s="196"/>
      <c r="BA108" s="196"/>
      <c r="BB108" s="196"/>
      <c r="BC108" s="196"/>
      <c r="BD108" s="196"/>
      <c r="BE108" s="196"/>
      <c r="BF108" s="196"/>
      <c r="BG108" s="163"/>
      <c r="BH108" s="163"/>
      <c r="BI108" s="163"/>
      <c r="BJ108" s="163"/>
      <c r="BK108" s="163"/>
      <c r="BL108" s="163"/>
      <c r="BM108" s="163"/>
      <c r="BN108" s="163"/>
    </row>
    <row r="109" spans="1:66">
      <c r="A109" s="163">
        <v>10360</v>
      </c>
      <c r="B109" s="163" t="s">
        <v>113</v>
      </c>
      <c r="C109" s="267">
        <v>1</v>
      </c>
      <c r="D109" s="267">
        <v>0</v>
      </c>
      <c r="E109" s="272">
        <v>6.8659999999999997</v>
      </c>
      <c r="F109" s="272">
        <v>7.1849999999999996</v>
      </c>
      <c r="G109" s="272">
        <v>7.194</v>
      </c>
      <c r="H109" s="272">
        <v>0</v>
      </c>
      <c r="I109" s="272">
        <v>0</v>
      </c>
      <c r="J109" s="272">
        <v>0</v>
      </c>
      <c r="K109" s="272">
        <v>0</v>
      </c>
      <c r="L109" s="272">
        <v>0</v>
      </c>
      <c r="M109" s="272">
        <v>0</v>
      </c>
      <c r="N109" s="272">
        <v>6.9649999999999999</v>
      </c>
      <c r="O109" s="272">
        <v>6.9850000000000003</v>
      </c>
      <c r="P109" s="272">
        <v>61013</v>
      </c>
      <c r="Q109" s="272">
        <v>61189</v>
      </c>
      <c r="R109" s="272">
        <v>6.657</v>
      </c>
      <c r="S109" s="272">
        <v>58315</v>
      </c>
      <c r="T109" s="272">
        <v>0.308</v>
      </c>
      <c r="U109" s="272">
        <v>0.32800000000000001</v>
      </c>
      <c r="V109" s="272">
        <v>0</v>
      </c>
      <c r="W109" s="272">
        <v>0</v>
      </c>
      <c r="X109" s="272">
        <v>9.5859999999999999E-4</v>
      </c>
      <c r="Y109" s="272">
        <v>9.5859999999999999E-4</v>
      </c>
      <c r="Z109" s="272">
        <v>0</v>
      </c>
      <c r="AA109" s="272">
        <v>9.5859999999999999E-4</v>
      </c>
      <c r="AB109" s="272">
        <v>9.5859999999999999E-4</v>
      </c>
      <c r="AC109" s="272">
        <v>9.5859999999999999E-4</v>
      </c>
      <c r="AD109" s="272">
        <v>0.95582619999999996</v>
      </c>
      <c r="AE109" s="272">
        <v>0.95308939999999998</v>
      </c>
      <c r="AF109" s="272">
        <v>1.0462670999999999</v>
      </c>
      <c r="AG109" s="272">
        <v>1.0492714000000001</v>
      </c>
      <c r="AH109" s="272">
        <v>4.7081999999999999E-2</v>
      </c>
      <c r="AI109" s="272">
        <v>4.7217200000000001E-2</v>
      </c>
      <c r="AJ109" s="154"/>
      <c r="AK109" s="154"/>
      <c r="AL109" s="154"/>
      <c r="AM109" s="154"/>
      <c r="AN109" s="154"/>
      <c r="AO109" s="154"/>
      <c r="AP109" s="154"/>
      <c r="AQ109" s="163"/>
      <c r="AR109" s="163"/>
      <c r="AS109" s="196"/>
      <c r="AT109" s="196"/>
      <c r="AU109" s="196"/>
      <c r="AV109" s="196"/>
      <c r="AW109" s="196"/>
      <c r="AX109" s="196"/>
      <c r="AY109" s="196"/>
      <c r="AZ109" s="196"/>
      <c r="BA109" s="196"/>
      <c r="BB109" s="196"/>
      <c r="BC109" s="196"/>
      <c r="BD109" s="196"/>
      <c r="BE109" s="196"/>
      <c r="BF109" s="196"/>
      <c r="BG109" s="163"/>
      <c r="BH109" s="163"/>
      <c r="BI109" s="163"/>
      <c r="BJ109" s="163"/>
      <c r="BK109" s="163"/>
      <c r="BL109" s="163"/>
      <c r="BM109" s="163"/>
      <c r="BN109" s="163"/>
    </row>
    <row r="110" spans="1:66">
      <c r="A110" s="163">
        <v>10363</v>
      </c>
      <c r="B110" s="163" t="s">
        <v>114</v>
      </c>
      <c r="C110" s="267">
        <v>1</v>
      </c>
      <c r="D110" s="267">
        <v>0</v>
      </c>
      <c r="E110" s="272">
        <v>102.208</v>
      </c>
      <c r="F110" s="272">
        <v>95.037999999999997</v>
      </c>
      <c r="G110" s="272">
        <v>94.968999999999994</v>
      </c>
      <c r="H110" s="272">
        <v>0</v>
      </c>
      <c r="I110" s="272">
        <v>0</v>
      </c>
      <c r="J110" s="272">
        <v>0</v>
      </c>
      <c r="K110" s="272">
        <v>0</v>
      </c>
      <c r="L110" s="272">
        <v>0</v>
      </c>
      <c r="M110" s="272">
        <v>0</v>
      </c>
      <c r="N110" s="272">
        <v>94.388000000000005</v>
      </c>
      <c r="O110" s="272">
        <v>94.623999999999995</v>
      </c>
      <c r="P110" s="272">
        <v>826839</v>
      </c>
      <c r="Q110" s="272">
        <v>828906</v>
      </c>
      <c r="R110" s="272">
        <v>99.088999999999999</v>
      </c>
      <c r="S110" s="272">
        <v>868020</v>
      </c>
      <c r="T110" s="272">
        <v>0</v>
      </c>
      <c r="U110" s="272">
        <v>0</v>
      </c>
      <c r="V110" s="272">
        <v>0</v>
      </c>
      <c r="W110" s="272">
        <v>0</v>
      </c>
      <c r="X110" s="272">
        <v>1.35911E-2</v>
      </c>
      <c r="Y110" s="272">
        <v>1.3625099999999999E-2</v>
      </c>
      <c r="Z110" s="272">
        <v>0</v>
      </c>
      <c r="AA110" s="272">
        <v>1.35911E-2</v>
      </c>
      <c r="AB110" s="272">
        <v>1.3625099999999999E-2</v>
      </c>
      <c r="AC110" s="272">
        <v>1.36081E-2</v>
      </c>
      <c r="AD110" s="272">
        <v>1</v>
      </c>
      <c r="AE110" s="272">
        <v>1</v>
      </c>
      <c r="AF110" s="272">
        <v>1</v>
      </c>
      <c r="AG110" s="272">
        <v>1</v>
      </c>
      <c r="AH110" s="272">
        <v>0</v>
      </c>
      <c r="AI110" s="272">
        <v>0</v>
      </c>
      <c r="AJ110" s="154"/>
      <c r="AK110" s="154"/>
      <c r="AL110" s="154"/>
      <c r="AM110" s="154"/>
      <c r="AN110" s="154"/>
      <c r="AO110" s="154"/>
      <c r="AP110" s="154"/>
      <c r="AQ110" s="163"/>
      <c r="AR110" s="163"/>
      <c r="AS110" s="196"/>
      <c r="AT110" s="196"/>
      <c r="AU110" s="196"/>
      <c r="AV110" s="196"/>
      <c r="AW110" s="196"/>
      <c r="AX110" s="196"/>
      <c r="AY110" s="196"/>
      <c r="AZ110" s="196"/>
      <c r="BA110" s="196"/>
      <c r="BB110" s="196"/>
      <c r="BC110" s="196"/>
      <c r="BD110" s="196"/>
      <c r="BE110" s="196"/>
      <c r="BF110" s="196"/>
      <c r="BG110" s="163"/>
      <c r="BH110" s="163"/>
      <c r="BI110" s="163"/>
      <c r="BJ110" s="163"/>
      <c r="BK110" s="163"/>
      <c r="BL110" s="163"/>
      <c r="BM110" s="163"/>
      <c r="BN110" s="163"/>
    </row>
    <row r="111" spans="1:66">
      <c r="A111" s="163">
        <v>10369</v>
      </c>
      <c r="B111" s="163" t="s">
        <v>115</v>
      </c>
      <c r="C111" s="267">
        <v>1</v>
      </c>
      <c r="D111" s="267">
        <v>0</v>
      </c>
      <c r="E111" s="272">
        <v>16.677</v>
      </c>
      <c r="F111" s="272">
        <v>17.164999999999999</v>
      </c>
      <c r="G111" s="272">
        <v>17.148</v>
      </c>
      <c r="H111" s="272">
        <v>0</v>
      </c>
      <c r="I111" s="272">
        <v>0</v>
      </c>
      <c r="J111" s="272">
        <v>0</v>
      </c>
      <c r="K111" s="272">
        <v>0</v>
      </c>
      <c r="L111" s="272">
        <v>0</v>
      </c>
      <c r="M111" s="272">
        <v>0</v>
      </c>
      <c r="N111" s="272">
        <v>16.875</v>
      </c>
      <c r="O111" s="272">
        <v>16.875</v>
      </c>
      <c r="P111" s="272">
        <v>147825</v>
      </c>
      <c r="Q111" s="272">
        <v>147825</v>
      </c>
      <c r="R111" s="272">
        <v>16.167999999999999</v>
      </c>
      <c r="S111" s="272">
        <v>141632</v>
      </c>
      <c r="T111" s="272">
        <v>0.70699999999999996</v>
      </c>
      <c r="U111" s="272">
        <v>0.70699999999999996</v>
      </c>
      <c r="V111" s="272">
        <v>0</v>
      </c>
      <c r="W111" s="272">
        <v>0</v>
      </c>
      <c r="X111" s="272">
        <v>2.3281E-3</v>
      </c>
      <c r="Y111" s="272">
        <v>2.3281E-3</v>
      </c>
      <c r="Z111" s="272">
        <v>0</v>
      </c>
      <c r="AA111" s="272">
        <v>2.3281E-3</v>
      </c>
      <c r="AB111" s="272">
        <v>2.3281E-3</v>
      </c>
      <c r="AC111" s="272">
        <v>2.3281E-3</v>
      </c>
      <c r="AD111" s="272">
        <v>0.95812120000000001</v>
      </c>
      <c r="AE111" s="272">
        <v>0.95812120000000001</v>
      </c>
      <c r="AF111" s="272">
        <v>1.0437284</v>
      </c>
      <c r="AG111" s="272">
        <v>1.0437284</v>
      </c>
      <c r="AH111" s="272">
        <v>7.3061000000000001E-2</v>
      </c>
      <c r="AI111" s="272">
        <v>7.3061000000000001E-2</v>
      </c>
      <c r="AJ111" s="154"/>
      <c r="AK111" s="154"/>
      <c r="AL111" s="154"/>
      <c r="AM111" s="154"/>
      <c r="AN111" s="154"/>
      <c r="AO111" s="154"/>
      <c r="AP111" s="154"/>
      <c r="AQ111" s="163"/>
      <c r="AR111" s="163"/>
      <c r="AS111" s="196"/>
      <c r="AT111" s="196"/>
      <c r="AU111" s="196"/>
      <c r="AV111" s="196"/>
      <c r="AW111" s="196"/>
      <c r="AX111" s="196"/>
      <c r="AY111" s="196"/>
      <c r="AZ111" s="196"/>
      <c r="BA111" s="196"/>
      <c r="BB111" s="196"/>
      <c r="BC111" s="196"/>
      <c r="BD111" s="196"/>
      <c r="BE111" s="196"/>
      <c r="BF111" s="196"/>
      <c r="BG111" s="163"/>
      <c r="BH111" s="163"/>
      <c r="BI111" s="163"/>
      <c r="BJ111" s="163"/>
      <c r="BK111" s="163"/>
      <c r="BL111" s="163"/>
      <c r="BM111" s="163"/>
      <c r="BN111" s="163"/>
    </row>
    <row r="112" spans="1:66">
      <c r="A112" s="163">
        <v>10370</v>
      </c>
      <c r="B112" s="163" t="s">
        <v>116</v>
      </c>
      <c r="C112" s="267">
        <v>1</v>
      </c>
      <c r="D112" s="267">
        <v>0</v>
      </c>
      <c r="E112" s="272">
        <v>408.39299999999997</v>
      </c>
      <c r="F112" s="272">
        <v>563.62599999999998</v>
      </c>
      <c r="G112" s="272">
        <v>561.13900000000001</v>
      </c>
      <c r="H112" s="272">
        <v>0</v>
      </c>
      <c r="I112" s="272">
        <v>0</v>
      </c>
      <c r="J112" s="272">
        <v>178.96600000000001</v>
      </c>
      <c r="K112" s="272">
        <v>178.42599999999999</v>
      </c>
      <c r="L112" s="272">
        <v>1567742</v>
      </c>
      <c r="M112" s="272">
        <v>1563012</v>
      </c>
      <c r="N112" s="272">
        <v>384.66</v>
      </c>
      <c r="O112" s="272">
        <v>382.71300000000002</v>
      </c>
      <c r="P112" s="272">
        <v>3369622</v>
      </c>
      <c r="Q112" s="272">
        <v>3352566</v>
      </c>
      <c r="R112" s="272">
        <v>395.93200000000002</v>
      </c>
      <c r="S112" s="272">
        <v>3468364</v>
      </c>
      <c r="T112" s="272">
        <v>0</v>
      </c>
      <c r="U112" s="272">
        <v>6.17</v>
      </c>
      <c r="V112" s="272">
        <v>0</v>
      </c>
      <c r="W112" s="272">
        <v>6.17</v>
      </c>
      <c r="X112" s="272">
        <v>5.5387800000000001E-2</v>
      </c>
      <c r="Y112" s="272">
        <v>5.5107499999999997E-2</v>
      </c>
      <c r="Z112" s="272">
        <v>2.9626900000000001E-2</v>
      </c>
      <c r="AA112" s="272">
        <v>2.57609E-2</v>
      </c>
      <c r="AB112" s="272">
        <v>2.5480599999999999E-2</v>
      </c>
      <c r="AC112" s="272">
        <v>2.5620799999999999E-2</v>
      </c>
      <c r="AD112" s="272">
        <v>1</v>
      </c>
      <c r="AE112" s="272">
        <v>0.98937149999999996</v>
      </c>
      <c r="AF112" s="272">
        <v>1</v>
      </c>
      <c r="AG112" s="272">
        <v>1</v>
      </c>
      <c r="AH112" s="272">
        <v>0</v>
      </c>
      <c r="AI112" s="272">
        <v>0</v>
      </c>
      <c r="AJ112" s="154"/>
      <c r="AK112" s="154"/>
      <c r="AL112" s="154"/>
      <c r="AM112" s="154"/>
      <c r="AN112" s="154"/>
      <c r="AO112" s="154"/>
      <c r="AP112" s="154"/>
      <c r="AQ112" s="163"/>
      <c r="AR112" s="163"/>
      <c r="AS112" s="196"/>
      <c r="AT112" s="196"/>
      <c r="AU112" s="196"/>
      <c r="AV112" s="196"/>
      <c r="AW112" s="196"/>
      <c r="AX112" s="196"/>
      <c r="AY112" s="196"/>
      <c r="AZ112" s="196"/>
      <c r="BA112" s="196"/>
      <c r="BB112" s="196"/>
      <c r="BC112" s="196"/>
      <c r="BD112" s="196"/>
      <c r="BE112" s="196"/>
      <c r="BF112" s="196"/>
      <c r="BG112" s="163"/>
      <c r="BH112" s="163"/>
      <c r="BI112" s="163"/>
      <c r="BJ112" s="163"/>
      <c r="BK112" s="163"/>
      <c r="BL112" s="163"/>
      <c r="BM112" s="163"/>
      <c r="BN112" s="163"/>
    </row>
    <row r="113" spans="1:66">
      <c r="A113" s="163">
        <v>10371</v>
      </c>
      <c r="B113" s="163" t="s">
        <v>117</v>
      </c>
      <c r="C113" s="267">
        <v>1</v>
      </c>
      <c r="D113" s="267">
        <v>0</v>
      </c>
      <c r="E113" s="272">
        <v>11.196999999999999</v>
      </c>
      <c r="F113" s="272">
        <v>11.316000000000001</v>
      </c>
      <c r="G113" s="272">
        <v>11.417</v>
      </c>
      <c r="H113" s="272">
        <v>0</v>
      </c>
      <c r="I113" s="272">
        <v>0</v>
      </c>
      <c r="J113" s="272">
        <v>0</v>
      </c>
      <c r="K113" s="272">
        <v>0</v>
      </c>
      <c r="L113" s="272">
        <v>0</v>
      </c>
      <c r="M113" s="272">
        <v>0</v>
      </c>
      <c r="N113" s="272">
        <v>11.750999999999999</v>
      </c>
      <c r="O113" s="272">
        <v>11.944000000000001</v>
      </c>
      <c r="P113" s="272">
        <v>102939</v>
      </c>
      <c r="Q113" s="272">
        <v>104629</v>
      </c>
      <c r="R113" s="272">
        <v>10.855</v>
      </c>
      <c r="S113" s="272">
        <v>95090</v>
      </c>
      <c r="T113" s="272">
        <v>0.89600000000000002</v>
      </c>
      <c r="U113" s="272">
        <v>1.089</v>
      </c>
      <c r="V113" s="272">
        <v>0.89600000000000002</v>
      </c>
      <c r="W113" s="272">
        <v>1.089</v>
      </c>
      <c r="X113" s="272">
        <v>1.5629999999999999E-3</v>
      </c>
      <c r="Y113" s="272">
        <v>1.5629999999999999E-3</v>
      </c>
      <c r="Z113" s="272">
        <v>0</v>
      </c>
      <c r="AA113" s="272">
        <v>1.5629999999999999E-3</v>
      </c>
      <c r="AB113" s="272">
        <v>1.5629999999999999E-3</v>
      </c>
      <c r="AC113" s="272">
        <v>1.5629999999999999E-3</v>
      </c>
      <c r="AD113" s="272">
        <v>0.92373369999999999</v>
      </c>
      <c r="AE113" s="272">
        <v>0.90880729999999998</v>
      </c>
      <c r="AF113" s="272">
        <v>1.0825426</v>
      </c>
      <c r="AG113" s="272">
        <v>1.1003224</v>
      </c>
      <c r="AH113" s="272">
        <v>0</v>
      </c>
      <c r="AI113" s="272">
        <v>0</v>
      </c>
      <c r="AJ113" s="154"/>
      <c r="AK113" s="154"/>
      <c r="AL113" s="154"/>
      <c r="AM113" s="154"/>
      <c r="AN113" s="154"/>
      <c r="AO113" s="154"/>
      <c r="AP113" s="154"/>
      <c r="AQ113" s="163"/>
      <c r="AR113" s="163"/>
      <c r="AS113" s="196"/>
      <c r="AT113" s="196"/>
      <c r="AU113" s="196"/>
      <c r="AV113" s="196"/>
      <c r="AW113" s="196"/>
      <c r="AX113" s="196"/>
      <c r="AY113" s="196"/>
      <c r="AZ113" s="196"/>
      <c r="BA113" s="196"/>
      <c r="BB113" s="196"/>
      <c r="BC113" s="196"/>
      <c r="BD113" s="196"/>
      <c r="BE113" s="196"/>
      <c r="BF113" s="196"/>
      <c r="BG113" s="163"/>
      <c r="BH113" s="163"/>
      <c r="BI113" s="163"/>
      <c r="BJ113" s="163"/>
      <c r="BK113" s="163"/>
      <c r="BL113" s="163"/>
      <c r="BM113" s="163"/>
      <c r="BN113" s="163"/>
    </row>
    <row r="114" spans="1:66">
      <c r="A114" s="163">
        <v>10376</v>
      </c>
      <c r="B114" s="163" t="s">
        <v>118</v>
      </c>
      <c r="C114" s="267">
        <v>1</v>
      </c>
      <c r="D114" s="267">
        <v>0</v>
      </c>
      <c r="E114" s="272">
        <v>56.865000000000002</v>
      </c>
      <c r="F114" s="272">
        <v>56.154000000000003</v>
      </c>
      <c r="G114" s="272">
        <v>56.122999999999998</v>
      </c>
      <c r="H114" s="272">
        <v>0</v>
      </c>
      <c r="I114" s="272">
        <v>0</v>
      </c>
      <c r="J114" s="272">
        <v>0.69899999999999995</v>
      </c>
      <c r="K114" s="272">
        <v>0.69699999999999995</v>
      </c>
      <c r="L114" s="272">
        <v>6123</v>
      </c>
      <c r="M114" s="272">
        <v>6106</v>
      </c>
      <c r="N114" s="272">
        <v>54.244999999999997</v>
      </c>
      <c r="O114" s="272">
        <v>54.38</v>
      </c>
      <c r="P114" s="272">
        <v>475186</v>
      </c>
      <c r="Q114" s="272">
        <v>476369</v>
      </c>
      <c r="R114" s="272">
        <v>55.13</v>
      </c>
      <c r="S114" s="272">
        <v>482939</v>
      </c>
      <c r="T114" s="272">
        <v>0</v>
      </c>
      <c r="U114" s="272">
        <v>0</v>
      </c>
      <c r="V114" s="272">
        <v>0</v>
      </c>
      <c r="W114" s="272">
        <v>0</v>
      </c>
      <c r="X114" s="272">
        <v>7.8107999999999997E-3</v>
      </c>
      <c r="Y114" s="272">
        <v>7.8303000000000001E-3</v>
      </c>
      <c r="Z114" s="272">
        <v>0</v>
      </c>
      <c r="AA114" s="272">
        <v>7.8107999999999997E-3</v>
      </c>
      <c r="AB114" s="272">
        <v>7.8303000000000001E-3</v>
      </c>
      <c r="AC114" s="272">
        <v>7.8206000000000005E-3</v>
      </c>
      <c r="AD114" s="272">
        <v>0.99999640000000001</v>
      </c>
      <c r="AE114" s="272">
        <v>1</v>
      </c>
      <c r="AF114" s="272">
        <v>1</v>
      </c>
      <c r="AG114" s="272">
        <v>1</v>
      </c>
      <c r="AH114" s="272">
        <v>0</v>
      </c>
      <c r="AI114" s="272">
        <v>0</v>
      </c>
      <c r="AJ114" s="154"/>
      <c r="AK114" s="154"/>
      <c r="AL114" s="154"/>
      <c r="AM114" s="154"/>
      <c r="AN114" s="154"/>
      <c r="AO114" s="154"/>
      <c r="AP114" s="154"/>
      <c r="AQ114" s="163"/>
      <c r="AR114" s="163"/>
      <c r="AS114" s="196"/>
      <c r="AT114" s="196"/>
      <c r="AU114" s="196"/>
      <c r="AV114" s="196"/>
      <c r="AW114" s="196"/>
      <c r="AX114" s="196"/>
      <c r="AY114" s="196"/>
      <c r="AZ114" s="196"/>
      <c r="BA114" s="196"/>
      <c r="BB114" s="196"/>
      <c r="BC114" s="196"/>
      <c r="BD114" s="196"/>
      <c r="BE114" s="196"/>
      <c r="BF114" s="196"/>
      <c r="BG114" s="163"/>
      <c r="BH114" s="163"/>
      <c r="BI114" s="163"/>
      <c r="BJ114" s="163"/>
      <c r="BK114" s="163"/>
      <c r="BL114" s="163"/>
      <c r="BM114" s="163"/>
      <c r="BN114" s="163"/>
    </row>
    <row r="115" spans="1:66">
      <c r="A115" s="163">
        <v>10378</v>
      </c>
      <c r="B115" s="163" t="s">
        <v>119</v>
      </c>
      <c r="C115" s="267">
        <v>1</v>
      </c>
      <c r="D115" s="267">
        <v>0</v>
      </c>
      <c r="E115" s="272">
        <v>2.0510000000000002</v>
      </c>
      <c r="F115" s="272">
        <v>1.9079999999999999</v>
      </c>
      <c r="G115" s="272">
        <v>1.9219999999999999</v>
      </c>
      <c r="H115" s="272">
        <v>0</v>
      </c>
      <c r="I115" s="272">
        <v>0</v>
      </c>
      <c r="J115" s="272">
        <v>0</v>
      </c>
      <c r="K115" s="272">
        <v>0</v>
      </c>
      <c r="L115" s="272">
        <v>0</v>
      </c>
      <c r="M115" s="272">
        <v>0</v>
      </c>
      <c r="N115" s="272">
        <v>1.883</v>
      </c>
      <c r="O115" s="272">
        <v>1.897</v>
      </c>
      <c r="P115" s="272">
        <v>16495</v>
      </c>
      <c r="Q115" s="272">
        <v>16618</v>
      </c>
      <c r="R115" s="272">
        <v>1.988</v>
      </c>
      <c r="S115" s="272">
        <v>17415</v>
      </c>
      <c r="T115" s="272">
        <v>0</v>
      </c>
      <c r="U115" s="272">
        <v>0</v>
      </c>
      <c r="V115" s="272">
        <v>0</v>
      </c>
      <c r="W115" s="272">
        <v>0</v>
      </c>
      <c r="X115" s="272">
        <v>2.7109999999999998E-4</v>
      </c>
      <c r="Y115" s="272">
        <v>2.7320000000000003E-4</v>
      </c>
      <c r="Z115" s="272">
        <v>0</v>
      </c>
      <c r="AA115" s="272">
        <v>2.7109999999999998E-4</v>
      </c>
      <c r="AB115" s="272">
        <v>2.7320000000000003E-4</v>
      </c>
      <c r="AC115" s="272">
        <v>2.722E-4</v>
      </c>
      <c r="AD115" s="272">
        <v>0.99986600000000003</v>
      </c>
      <c r="AE115" s="272">
        <v>1</v>
      </c>
      <c r="AF115" s="272">
        <v>1</v>
      </c>
      <c r="AG115" s="272">
        <v>1</v>
      </c>
      <c r="AH115" s="272">
        <v>0</v>
      </c>
      <c r="AI115" s="272">
        <v>0</v>
      </c>
      <c r="AJ115" s="154"/>
      <c r="AK115" s="154"/>
      <c r="AL115" s="154"/>
      <c r="AM115" s="154"/>
      <c r="AN115" s="154"/>
      <c r="AO115" s="154"/>
      <c r="AP115" s="154"/>
      <c r="AQ115" s="163"/>
      <c r="AR115" s="163"/>
      <c r="AS115" s="196"/>
      <c r="AT115" s="196"/>
      <c r="AU115" s="196"/>
      <c r="AV115" s="196"/>
      <c r="AW115" s="196"/>
      <c r="AX115" s="196"/>
      <c r="AY115" s="196"/>
      <c r="AZ115" s="196"/>
      <c r="BA115" s="196"/>
      <c r="BB115" s="196"/>
      <c r="BC115" s="196"/>
      <c r="BD115" s="196"/>
      <c r="BE115" s="196"/>
      <c r="BF115" s="196"/>
      <c r="BG115" s="163"/>
      <c r="BH115" s="163"/>
      <c r="BI115" s="163"/>
      <c r="BJ115" s="163"/>
      <c r="BK115" s="163"/>
      <c r="BL115" s="163"/>
      <c r="BM115" s="163"/>
      <c r="BN115" s="163"/>
    </row>
    <row r="116" spans="1:66">
      <c r="A116" s="163">
        <v>10379</v>
      </c>
      <c r="B116" s="163" t="s">
        <v>120</v>
      </c>
      <c r="C116" s="267">
        <v>1</v>
      </c>
      <c r="D116" s="267">
        <v>0</v>
      </c>
      <c r="E116" s="272">
        <v>4.88</v>
      </c>
      <c r="F116" s="272">
        <v>4.6390000000000002</v>
      </c>
      <c r="G116" s="272">
        <v>4.6470000000000002</v>
      </c>
      <c r="H116" s="272">
        <v>0</v>
      </c>
      <c r="I116" s="272">
        <v>0</v>
      </c>
      <c r="J116" s="272">
        <v>0</v>
      </c>
      <c r="K116" s="272">
        <v>0</v>
      </c>
      <c r="L116" s="272">
        <v>0</v>
      </c>
      <c r="M116" s="272">
        <v>0</v>
      </c>
      <c r="N116" s="272">
        <v>4.7009999999999996</v>
      </c>
      <c r="O116" s="272">
        <v>4.7249999999999996</v>
      </c>
      <c r="P116" s="272">
        <v>41181</v>
      </c>
      <c r="Q116" s="272">
        <v>41391</v>
      </c>
      <c r="R116" s="272">
        <v>4.7309999999999999</v>
      </c>
      <c r="S116" s="272">
        <v>41444</v>
      </c>
      <c r="T116" s="272">
        <v>0</v>
      </c>
      <c r="U116" s="272">
        <v>0</v>
      </c>
      <c r="V116" s="272">
        <v>0</v>
      </c>
      <c r="W116" s="272">
        <v>0</v>
      </c>
      <c r="X116" s="272">
        <v>6.7690000000000003E-4</v>
      </c>
      <c r="Y116" s="272">
        <v>6.8039999999999995E-4</v>
      </c>
      <c r="Z116" s="272">
        <v>0</v>
      </c>
      <c r="AA116" s="272">
        <v>6.7690000000000003E-4</v>
      </c>
      <c r="AB116" s="272">
        <v>6.8039999999999995E-4</v>
      </c>
      <c r="AC116" s="272">
        <v>6.7869999999999996E-4</v>
      </c>
      <c r="AD116" s="272">
        <v>0.99999280000000002</v>
      </c>
      <c r="AE116" s="272">
        <v>1</v>
      </c>
      <c r="AF116" s="272">
        <v>1</v>
      </c>
      <c r="AG116" s="272">
        <v>1</v>
      </c>
      <c r="AH116" s="272">
        <v>0</v>
      </c>
      <c r="AI116" s="272">
        <v>0</v>
      </c>
      <c r="AJ116" s="154"/>
      <c r="AK116" s="154"/>
      <c r="AL116" s="154"/>
      <c r="AM116" s="154"/>
      <c r="AN116" s="154"/>
      <c r="AO116" s="154"/>
      <c r="AP116" s="154"/>
      <c r="AQ116" s="163"/>
      <c r="AR116" s="163"/>
      <c r="AS116" s="196"/>
      <c r="AT116" s="196"/>
      <c r="AU116" s="196"/>
      <c r="AV116" s="196"/>
      <c r="AW116" s="196"/>
      <c r="AX116" s="196"/>
      <c r="AY116" s="196"/>
      <c r="AZ116" s="196"/>
      <c r="BA116" s="196"/>
      <c r="BB116" s="196"/>
      <c r="BC116" s="196"/>
      <c r="BD116" s="196"/>
      <c r="BE116" s="196"/>
      <c r="BF116" s="196"/>
      <c r="BG116" s="163"/>
      <c r="BH116" s="163"/>
      <c r="BI116" s="163"/>
      <c r="BJ116" s="163"/>
      <c r="BK116" s="163"/>
      <c r="BL116" s="163"/>
      <c r="BM116" s="163"/>
      <c r="BN116" s="163"/>
    </row>
    <row r="117" spans="1:66">
      <c r="A117" s="163">
        <v>10388</v>
      </c>
      <c r="B117" s="163" t="s">
        <v>121</v>
      </c>
      <c r="C117" s="267">
        <v>0</v>
      </c>
      <c r="D117" s="267">
        <v>1</v>
      </c>
      <c r="E117" s="272">
        <v>114.91200000000001</v>
      </c>
      <c r="F117" s="272">
        <v>455.98200000000003</v>
      </c>
      <c r="G117" s="272">
        <v>518.91800000000001</v>
      </c>
      <c r="H117" s="272">
        <v>238.45699999999999</v>
      </c>
      <c r="I117" s="272">
        <v>300.80900000000003</v>
      </c>
      <c r="J117" s="272">
        <v>0.23300000000000001</v>
      </c>
      <c r="K117" s="272">
        <v>0.23200000000000001</v>
      </c>
      <c r="L117" s="272">
        <v>2041</v>
      </c>
      <c r="M117" s="272">
        <v>2032</v>
      </c>
      <c r="N117" s="272">
        <v>181.024</v>
      </c>
      <c r="O117" s="272">
        <v>181.041</v>
      </c>
      <c r="P117" s="272">
        <v>1585770</v>
      </c>
      <c r="Q117" s="272">
        <v>1585919</v>
      </c>
      <c r="R117" s="272">
        <v>111.40600000000001</v>
      </c>
      <c r="S117" s="272">
        <v>975917</v>
      </c>
      <c r="T117" s="272">
        <v>69.617999999999995</v>
      </c>
      <c r="U117" s="272">
        <v>69.635000000000005</v>
      </c>
      <c r="V117" s="272">
        <v>69.617999999999995</v>
      </c>
      <c r="W117" s="272">
        <v>69.635000000000005</v>
      </c>
      <c r="X117" s="272">
        <v>1.60415E-2</v>
      </c>
      <c r="Y117" s="272">
        <v>1.60415E-2</v>
      </c>
      <c r="Z117" s="272">
        <v>0</v>
      </c>
      <c r="AA117" s="272">
        <v>1.60415E-2</v>
      </c>
      <c r="AB117" s="272">
        <v>1.60415E-2</v>
      </c>
      <c r="AC117" s="272">
        <v>1.60415E-2</v>
      </c>
      <c r="AD117" s="272">
        <v>0.61591200000000002</v>
      </c>
      <c r="AE117" s="272">
        <v>0.61585420000000002</v>
      </c>
      <c r="AF117" s="272">
        <v>1.6249035000000001</v>
      </c>
      <c r="AG117" s="272">
        <v>1.6250560999999999</v>
      </c>
      <c r="AH117" s="272">
        <v>8.9369699999999996E-2</v>
      </c>
      <c r="AI117" s="272">
        <v>8.9378100000000002E-2</v>
      </c>
      <c r="AJ117" s="154"/>
      <c r="AK117" s="154"/>
      <c r="AL117" s="154"/>
      <c r="AM117" s="154"/>
      <c r="AN117" s="154"/>
      <c r="AO117" s="154"/>
      <c r="AP117" s="154"/>
      <c r="AQ117" s="163"/>
      <c r="AR117" s="163"/>
      <c r="AS117" s="196"/>
      <c r="AT117" s="196"/>
      <c r="AU117" s="196"/>
      <c r="AV117" s="196"/>
      <c r="AW117" s="196"/>
      <c r="AX117" s="196"/>
      <c r="AY117" s="196"/>
      <c r="AZ117" s="196"/>
      <c r="BA117" s="196"/>
      <c r="BB117" s="196"/>
      <c r="BC117" s="196"/>
      <c r="BD117" s="196"/>
      <c r="BE117" s="196"/>
      <c r="BF117" s="196"/>
      <c r="BG117" s="163"/>
      <c r="BH117" s="163"/>
      <c r="BI117" s="163"/>
      <c r="BJ117" s="163"/>
      <c r="BK117" s="163"/>
      <c r="BL117" s="163"/>
      <c r="BM117" s="163"/>
      <c r="BN117" s="163"/>
    </row>
    <row r="118" spans="1:66">
      <c r="A118" s="163">
        <v>10391</v>
      </c>
      <c r="B118" s="163" t="s">
        <v>122</v>
      </c>
      <c r="C118" s="267">
        <v>1</v>
      </c>
      <c r="D118" s="267">
        <v>0</v>
      </c>
      <c r="E118" s="272">
        <v>30.423999999999999</v>
      </c>
      <c r="F118" s="272">
        <v>35.893999999999998</v>
      </c>
      <c r="G118" s="272">
        <v>36.351999999999997</v>
      </c>
      <c r="H118" s="272">
        <v>0</v>
      </c>
      <c r="I118" s="272">
        <v>0</v>
      </c>
      <c r="J118" s="272">
        <v>0</v>
      </c>
      <c r="K118" s="272">
        <v>0</v>
      </c>
      <c r="L118" s="272">
        <v>0</v>
      </c>
      <c r="M118" s="272">
        <v>0</v>
      </c>
      <c r="N118" s="272">
        <v>35.070999999999998</v>
      </c>
      <c r="O118" s="272">
        <v>35.542999999999999</v>
      </c>
      <c r="P118" s="272">
        <v>307222</v>
      </c>
      <c r="Q118" s="272">
        <v>311357</v>
      </c>
      <c r="R118" s="272">
        <v>29.495999999999999</v>
      </c>
      <c r="S118" s="272">
        <v>258385</v>
      </c>
      <c r="T118" s="272">
        <v>5.5750000000000002</v>
      </c>
      <c r="U118" s="272">
        <v>6.0469999999999997</v>
      </c>
      <c r="V118" s="272">
        <v>5.5750000000000002</v>
      </c>
      <c r="W118" s="272">
        <v>6.0469999999999997</v>
      </c>
      <c r="X118" s="272">
        <v>4.2471999999999996E-3</v>
      </c>
      <c r="Y118" s="272">
        <v>4.2471999999999996E-3</v>
      </c>
      <c r="Z118" s="272">
        <v>0</v>
      </c>
      <c r="AA118" s="272">
        <v>4.2471999999999996E-3</v>
      </c>
      <c r="AB118" s="272">
        <v>4.2471999999999996E-3</v>
      </c>
      <c r="AC118" s="272">
        <v>4.2471999999999996E-3</v>
      </c>
      <c r="AD118" s="272">
        <v>0.84104100000000004</v>
      </c>
      <c r="AE118" s="272">
        <v>0.82987230000000001</v>
      </c>
      <c r="AF118" s="272">
        <v>1.1890087</v>
      </c>
      <c r="AG118" s="272">
        <v>1.2050107999999999</v>
      </c>
      <c r="AH118" s="272">
        <v>4.1615300000000001E-2</v>
      </c>
      <c r="AI118" s="272">
        <v>4.2175400000000002E-2</v>
      </c>
      <c r="AJ118" s="154"/>
      <c r="AK118" s="154"/>
      <c r="AL118" s="154"/>
      <c r="AM118" s="154"/>
      <c r="AN118" s="154"/>
      <c r="AO118" s="154"/>
      <c r="AP118" s="154"/>
      <c r="AQ118" s="163"/>
      <c r="AR118" s="163"/>
      <c r="AS118" s="196"/>
      <c r="AT118" s="196"/>
      <c r="AU118" s="196"/>
      <c r="AV118" s="196"/>
      <c r="AW118" s="196"/>
      <c r="AX118" s="196"/>
      <c r="AY118" s="196"/>
      <c r="AZ118" s="196"/>
      <c r="BA118" s="196"/>
      <c r="BB118" s="196"/>
      <c r="BC118" s="196"/>
      <c r="BD118" s="196"/>
      <c r="BE118" s="196"/>
      <c r="BF118" s="196"/>
      <c r="BG118" s="163"/>
      <c r="BH118" s="163"/>
      <c r="BI118" s="163"/>
      <c r="BJ118" s="163"/>
      <c r="BK118" s="163"/>
      <c r="BL118" s="163"/>
      <c r="BM118" s="163"/>
      <c r="BN118" s="163"/>
    </row>
    <row r="119" spans="1:66">
      <c r="A119" s="163">
        <v>10406</v>
      </c>
      <c r="B119" s="163" t="s">
        <v>123</v>
      </c>
      <c r="C119" s="267">
        <v>1</v>
      </c>
      <c r="D119" s="267">
        <v>0</v>
      </c>
      <c r="E119" s="272">
        <v>0.46500000000000002</v>
      </c>
      <c r="F119" s="272">
        <v>0.64200000000000002</v>
      </c>
      <c r="G119" s="272">
        <v>0.64</v>
      </c>
      <c r="H119" s="272">
        <v>0</v>
      </c>
      <c r="I119" s="272">
        <v>0</v>
      </c>
      <c r="J119" s="272">
        <v>0</v>
      </c>
      <c r="K119" s="272">
        <v>0</v>
      </c>
      <c r="L119" s="272">
        <v>0</v>
      </c>
      <c r="M119" s="272">
        <v>0</v>
      </c>
      <c r="N119" s="272">
        <v>0.56399999999999995</v>
      </c>
      <c r="O119" s="272">
        <v>0.56399999999999995</v>
      </c>
      <c r="P119" s="272">
        <v>4941</v>
      </c>
      <c r="Q119" s="272">
        <v>4941</v>
      </c>
      <c r="R119" s="272">
        <v>0.45100000000000001</v>
      </c>
      <c r="S119" s="272">
        <v>3951</v>
      </c>
      <c r="T119" s="272">
        <v>0.113</v>
      </c>
      <c r="U119" s="272">
        <v>0.113</v>
      </c>
      <c r="V119" s="272">
        <v>0</v>
      </c>
      <c r="W119" s="272">
        <v>0</v>
      </c>
      <c r="X119" s="272">
        <v>6.4900000000000005E-5</v>
      </c>
      <c r="Y119" s="272">
        <v>6.4900000000000005E-5</v>
      </c>
      <c r="Z119" s="272">
        <v>0</v>
      </c>
      <c r="AA119" s="272">
        <v>6.4900000000000005E-5</v>
      </c>
      <c r="AB119" s="272">
        <v>6.4900000000000005E-5</v>
      </c>
      <c r="AC119" s="272">
        <v>6.4900000000000005E-5</v>
      </c>
      <c r="AD119" s="272">
        <v>0.79914980000000002</v>
      </c>
      <c r="AE119" s="272">
        <v>0.79914980000000002</v>
      </c>
      <c r="AF119" s="272">
        <v>1.2505542999999999</v>
      </c>
      <c r="AG119" s="272">
        <v>1.2505542999999999</v>
      </c>
      <c r="AH119" s="272">
        <v>0</v>
      </c>
      <c r="AI119" s="272">
        <v>0</v>
      </c>
      <c r="AJ119" s="154"/>
      <c r="AK119" s="154"/>
      <c r="AL119" s="154"/>
      <c r="AM119" s="154"/>
      <c r="AN119" s="154"/>
      <c r="AO119" s="154"/>
      <c r="AP119" s="154"/>
      <c r="AQ119" s="163"/>
      <c r="AR119" s="163"/>
      <c r="AS119" s="196"/>
      <c r="AT119" s="196"/>
      <c r="AU119" s="196"/>
      <c r="AV119" s="196"/>
      <c r="AW119" s="196"/>
      <c r="AX119" s="196"/>
      <c r="AY119" s="196"/>
      <c r="AZ119" s="196"/>
      <c r="BA119" s="196"/>
      <c r="BB119" s="196"/>
      <c r="BC119" s="196"/>
      <c r="BD119" s="196"/>
      <c r="BE119" s="196"/>
      <c r="BF119" s="196"/>
      <c r="BG119" s="163"/>
      <c r="BH119" s="163"/>
      <c r="BI119" s="163"/>
      <c r="BJ119" s="163"/>
      <c r="BK119" s="163"/>
      <c r="BL119" s="163"/>
      <c r="BM119" s="163"/>
      <c r="BN119" s="163"/>
    </row>
    <row r="120" spans="1:66">
      <c r="A120" s="163">
        <v>10408</v>
      </c>
      <c r="B120" s="163" t="s">
        <v>124</v>
      </c>
      <c r="C120" s="267">
        <v>1</v>
      </c>
      <c r="D120" s="267">
        <v>0</v>
      </c>
      <c r="E120" s="272">
        <v>1.55</v>
      </c>
      <c r="F120" s="272">
        <v>1.615</v>
      </c>
      <c r="G120" s="272">
        <v>1.61</v>
      </c>
      <c r="H120" s="272">
        <v>0</v>
      </c>
      <c r="I120" s="272">
        <v>0</v>
      </c>
      <c r="J120" s="272">
        <v>0</v>
      </c>
      <c r="K120" s="272">
        <v>0</v>
      </c>
      <c r="L120" s="272">
        <v>0</v>
      </c>
      <c r="M120" s="272">
        <v>0</v>
      </c>
      <c r="N120" s="272">
        <v>1.4430000000000001</v>
      </c>
      <c r="O120" s="272">
        <v>1.4430000000000001</v>
      </c>
      <c r="P120" s="272">
        <v>12641</v>
      </c>
      <c r="Q120" s="272">
        <v>12641</v>
      </c>
      <c r="R120" s="272">
        <v>1.5029999999999999</v>
      </c>
      <c r="S120" s="272">
        <v>13166</v>
      </c>
      <c r="T120" s="272">
        <v>0</v>
      </c>
      <c r="U120" s="272">
        <v>0</v>
      </c>
      <c r="V120" s="272">
        <v>0</v>
      </c>
      <c r="W120" s="272">
        <v>0</v>
      </c>
      <c r="X120" s="272">
        <v>2.0780000000000001E-4</v>
      </c>
      <c r="Y120" s="272">
        <v>2.0780000000000001E-4</v>
      </c>
      <c r="Z120" s="272">
        <v>0</v>
      </c>
      <c r="AA120" s="272">
        <v>2.0780000000000001E-4</v>
      </c>
      <c r="AB120" s="272">
        <v>2.0780000000000001E-4</v>
      </c>
      <c r="AC120" s="272">
        <v>2.0780000000000001E-4</v>
      </c>
      <c r="AD120" s="272">
        <v>1</v>
      </c>
      <c r="AE120" s="272">
        <v>1</v>
      </c>
      <c r="AF120" s="272">
        <v>1</v>
      </c>
      <c r="AG120" s="272">
        <v>1</v>
      </c>
      <c r="AH120" s="272">
        <v>0</v>
      </c>
      <c r="AI120" s="272">
        <v>0</v>
      </c>
      <c r="AJ120" s="154"/>
      <c r="AK120" s="154"/>
      <c r="AL120" s="154"/>
      <c r="AM120" s="154"/>
      <c r="AN120" s="154"/>
      <c r="AO120" s="154"/>
      <c r="AP120" s="154"/>
      <c r="AQ120" s="163"/>
      <c r="AR120" s="163"/>
      <c r="AS120" s="196"/>
      <c r="AT120" s="196"/>
      <c r="AU120" s="196"/>
      <c r="AV120" s="196"/>
      <c r="AW120" s="196"/>
      <c r="AX120" s="196"/>
      <c r="AY120" s="196"/>
      <c r="AZ120" s="196"/>
      <c r="BA120" s="196"/>
      <c r="BB120" s="196"/>
      <c r="BC120" s="196"/>
      <c r="BD120" s="196"/>
      <c r="BE120" s="196"/>
      <c r="BF120" s="196"/>
      <c r="BG120" s="163"/>
      <c r="BH120" s="163"/>
      <c r="BI120" s="163"/>
      <c r="BJ120" s="163"/>
      <c r="BK120" s="163"/>
      <c r="BL120" s="163"/>
      <c r="BM120" s="163"/>
      <c r="BN120" s="163"/>
    </row>
    <row r="121" spans="1:66">
      <c r="A121" s="163">
        <v>10409</v>
      </c>
      <c r="B121" s="163" t="s">
        <v>125</v>
      </c>
      <c r="C121" s="267">
        <v>1</v>
      </c>
      <c r="D121" s="267">
        <v>0</v>
      </c>
      <c r="E121" s="272">
        <v>20.725999999999999</v>
      </c>
      <c r="F121" s="272">
        <v>19.643999999999998</v>
      </c>
      <c r="G121" s="272">
        <v>22.632999999999999</v>
      </c>
      <c r="H121" s="272">
        <v>0</v>
      </c>
      <c r="I121" s="272">
        <v>0</v>
      </c>
      <c r="J121" s="272">
        <v>0</v>
      </c>
      <c r="K121" s="272">
        <v>0</v>
      </c>
      <c r="L121" s="272">
        <v>0</v>
      </c>
      <c r="M121" s="272">
        <v>0</v>
      </c>
      <c r="N121" s="272">
        <v>19.46</v>
      </c>
      <c r="O121" s="272">
        <v>19.486999999999998</v>
      </c>
      <c r="P121" s="272">
        <v>170470</v>
      </c>
      <c r="Q121" s="272">
        <v>170706</v>
      </c>
      <c r="R121" s="272">
        <v>20.094000000000001</v>
      </c>
      <c r="S121" s="272">
        <v>176023</v>
      </c>
      <c r="T121" s="272">
        <v>0</v>
      </c>
      <c r="U121" s="272">
        <v>0</v>
      </c>
      <c r="V121" s="272">
        <v>0</v>
      </c>
      <c r="W121" s="272">
        <v>0</v>
      </c>
      <c r="X121" s="272">
        <v>2.8021000000000001E-3</v>
      </c>
      <c r="Y121" s="272">
        <v>2.8059999999999999E-3</v>
      </c>
      <c r="Z121" s="272">
        <v>0</v>
      </c>
      <c r="AA121" s="272">
        <v>2.8021000000000001E-3</v>
      </c>
      <c r="AB121" s="272">
        <v>2.8059999999999999E-3</v>
      </c>
      <c r="AC121" s="272">
        <v>2.8040999999999999E-3</v>
      </c>
      <c r="AD121" s="272">
        <v>1</v>
      </c>
      <c r="AE121" s="272">
        <v>1</v>
      </c>
      <c r="AF121" s="272">
        <v>1</v>
      </c>
      <c r="AG121" s="272">
        <v>1</v>
      </c>
      <c r="AH121" s="272">
        <v>0</v>
      </c>
      <c r="AI121" s="272">
        <v>0</v>
      </c>
      <c r="AJ121" s="154"/>
      <c r="AK121" s="154"/>
      <c r="AL121" s="154"/>
      <c r="AM121" s="154"/>
      <c r="AN121" s="154"/>
      <c r="AO121" s="154"/>
      <c r="AP121" s="154"/>
      <c r="AQ121" s="163"/>
      <c r="AR121" s="163"/>
      <c r="AS121" s="196"/>
      <c r="AT121" s="196"/>
      <c r="AU121" s="196"/>
      <c r="AV121" s="196"/>
      <c r="AW121" s="196"/>
      <c r="AX121" s="196"/>
      <c r="AY121" s="196"/>
      <c r="AZ121" s="196"/>
      <c r="BA121" s="196"/>
      <c r="BB121" s="196"/>
      <c r="BC121" s="196"/>
      <c r="BD121" s="196"/>
      <c r="BE121" s="196"/>
      <c r="BF121" s="196"/>
      <c r="BG121" s="163"/>
      <c r="BH121" s="163"/>
      <c r="BI121" s="163"/>
      <c r="BJ121" s="163"/>
      <c r="BK121" s="163"/>
      <c r="BL121" s="163"/>
      <c r="BM121" s="163"/>
      <c r="BN121" s="163"/>
    </row>
    <row r="122" spans="1:66">
      <c r="A122" s="165">
        <v>10426</v>
      </c>
      <c r="B122" s="165" t="s">
        <v>126</v>
      </c>
      <c r="C122" s="267">
        <v>1</v>
      </c>
      <c r="D122" s="267">
        <v>0</v>
      </c>
      <c r="E122" s="272">
        <v>31.762999999999998</v>
      </c>
      <c r="F122" s="272">
        <v>30.52</v>
      </c>
      <c r="G122" s="272">
        <v>35.426000000000002</v>
      </c>
      <c r="H122" s="272">
        <v>0</v>
      </c>
      <c r="I122" s="272">
        <v>0</v>
      </c>
      <c r="J122" s="272">
        <v>0</v>
      </c>
      <c r="K122" s="272">
        <v>0</v>
      </c>
      <c r="L122" s="272">
        <v>0</v>
      </c>
      <c r="M122" s="272">
        <v>0</v>
      </c>
      <c r="N122" s="272">
        <v>18.111999999999998</v>
      </c>
      <c r="O122" s="272">
        <v>31.763000000000002</v>
      </c>
      <c r="P122" s="272">
        <v>158661</v>
      </c>
      <c r="Q122" s="272">
        <v>278244</v>
      </c>
      <c r="R122" s="272">
        <v>30.794</v>
      </c>
      <c r="S122" s="272">
        <v>269755</v>
      </c>
      <c r="T122" s="272">
        <v>0</v>
      </c>
      <c r="U122" s="272">
        <v>0.96899999999999997</v>
      </c>
      <c r="V122" s="272">
        <v>0</v>
      </c>
      <c r="W122" s="272">
        <v>0</v>
      </c>
      <c r="X122" s="272">
        <v>2.6080000000000001E-3</v>
      </c>
      <c r="Y122" s="272">
        <v>4.4340999999999998E-3</v>
      </c>
      <c r="Z122" s="272">
        <v>0</v>
      </c>
      <c r="AA122" s="272">
        <v>2.6080000000000001E-3</v>
      </c>
      <c r="AB122" s="272">
        <v>4.4340999999999998E-3</v>
      </c>
      <c r="AC122" s="272">
        <v>3.5211000000000001E-3</v>
      </c>
      <c r="AD122" s="272">
        <v>1</v>
      </c>
      <c r="AE122" s="272">
        <v>0.96949730000000001</v>
      </c>
      <c r="AF122" s="272">
        <v>1</v>
      </c>
      <c r="AG122" s="272">
        <v>1.0314672</v>
      </c>
      <c r="AH122" s="272">
        <v>0</v>
      </c>
      <c r="AI122" s="272">
        <v>0</v>
      </c>
      <c r="AJ122" s="154"/>
      <c r="AK122" s="154"/>
      <c r="AL122" s="154"/>
      <c r="AM122" s="154"/>
      <c r="AN122" s="154"/>
      <c r="AO122" s="154"/>
      <c r="AP122" s="154"/>
      <c r="AQ122" s="163"/>
      <c r="AR122" s="163"/>
      <c r="AS122" s="196"/>
      <c r="AT122" s="196"/>
      <c r="AU122" s="196"/>
      <c r="AV122" s="196"/>
      <c r="AW122" s="196"/>
      <c r="AX122" s="196"/>
      <c r="AY122" s="196"/>
      <c r="AZ122" s="196"/>
      <c r="BA122" s="196"/>
      <c r="BB122" s="196"/>
      <c r="BC122" s="196"/>
      <c r="BD122" s="196"/>
      <c r="BE122" s="196"/>
      <c r="BF122" s="196"/>
      <c r="BG122" s="163"/>
      <c r="BH122" s="163"/>
      <c r="BI122" s="163"/>
      <c r="BJ122" s="163"/>
      <c r="BK122" s="163"/>
      <c r="BL122" s="163"/>
      <c r="BM122" s="163"/>
      <c r="BN122" s="163"/>
    </row>
    <row r="123" spans="1:66">
      <c r="A123" s="165">
        <v>10434</v>
      </c>
      <c r="B123" s="165" t="s">
        <v>127</v>
      </c>
      <c r="C123" s="267">
        <v>1</v>
      </c>
      <c r="D123" s="267">
        <v>0</v>
      </c>
      <c r="E123" s="272">
        <v>27.562000000000001</v>
      </c>
      <c r="F123" s="272">
        <v>28.367999999999999</v>
      </c>
      <c r="G123" s="272">
        <v>28.51</v>
      </c>
      <c r="H123" s="272">
        <v>0</v>
      </c>
      <c r="I123" s="272">
        <v>0</v>
      </c>
      <c r="J123" s="272">
        <v>0</v>
      </c>
      <c r="K123" s="272">
        <v>0</v>
      </c>
      <c r="L123" s="272">
        <v>0</v>
      </c>
      <c r="M123" s="272">
        <v>0</v>
      </c>
      <c r="N123" s="272">
        <v>28.981999999999999</v>
      </c>
      <c r="O123" s="272">
        <v>29.244</v>
      </c>
      <c r="P123" s="272">
        <v>253882</v>
      </c>
      <c r="Q123" s="272">
        <v>256177</v>
      </c>
      <c r="R123" s="272">
        <v>26.721</v>
      </c>
      <c r="S123" s="272">
        <v>234076</v>
      </c>
      <c r="T123" s="272">
        <v>2.2610000000000001</v>
      </c>
      <c r="U123" s="272">
        <v>2.5230000000000001</v>
      </c>
      <c r="V123" s="272">
        <v>2.2610000000000001</v>
      </c>
      <c r="W123" s="272">
        <v>2.5230000000000001</v>
      </c>
      <c r="X123" s="272">
        <v>3.8476000000000001E-3</v>
      </c>
      <c r="Y123" s="272">
        <v>3.8476000000000001E-3</v>
      </c>
      <c r="Z123" s="272">
        <v>0</v>
      </c>
      <c r="AA123" s="272">
        <v>3.8476000000000001E-3</v>
      </c>
      <c r="AB123" s="272">
        <v>3.8476000000000001E-3</v>
      </c>
      <c r="AC123" s="272">
        <v>3.8476000000000001E-3</v>
      </c>
      <c r="AD123" s="272">
        <v>0.92198570000000002</v>
      </c>
      <c r="AE123" s="272">
        <v>0.91372549999999997</v>
      </c>
      <c r="AF123" s="272">
        <v>1.0846150999999999</v>
      </c>
      <c r="AG123" s="272">
        <v>1.0944201</v>
      </c>
      <c r="AH123" s="272">
        <v>0</v>
      </c>
      <c r="AI123" s="272">
        <v>0</v>
      </c>
      <c r="AJ123" s="154"/>
      <c r="AK123" s="154"/>
      <c r="AL123" s="154"/>
      <c r="AM123" s="154"/>
      <c r="AN123" s="154"/>
      <c r="AO123" s="154"/>
      <c r="AP123" s="154"/>
      <c r="AQ123" s="163"/>
      <c r="AR123" s="163"/>
      <c r="AS123" s="196"/>
      <c r="AT123" s="196"/>
      <c r="AU123" s="196"/>
      <c r="AV123" s="196"/>
      <c r="AW123" s="196"/>
      <c r="AX123" s="196"/>
      <c r="AY123" s="196"/>
      <c r="AZ123" s="196"/>
      <c r="BA123" s="196"/>
      <c r="BB123" s="196"/>
      <c r="BC123" s="196"/>
      <c r="BD123" s="196"/>
      <c r="BE123" s="196"/>
      <c r="BF123" s="196"/>
      <c r="BG123" s="163"/>
      <c r="BH123" s="163"/>
      <c r="BI123" s="163"/>
      <c r="BJ123" s="163"/>
      <c r="BK123" s="163"/>
      <c r="BL123" s="163"/>
      <c r="BM123" s="163"/>
      <c r="BN123" s="163"/>
    </row>
    <row r="124" spans="1:66">
      <c r="A124" s="165">
        <v>10436</v>
      </c>
      <c r="B124" s="165" t="s">
        <v>128</v>
      </c>
      <c r="C124" s="267">
        <v>1</v>
      </c>
      <c r="D124" s="267">
        <v>0</v>
      </c>
      <c r="E124" s="272">
        <v>19.437999999999999</v>
      </c>
      <c r="F124" s="272">
        <v>20.846</v>
      </c>
      <c r="G124" s="272">
        <v>21.038</v>
      </c>
      <c r="H124" s="272">
        <v>0</v>
      </c>
      <c r="I124" s="272">
        <v>0</v>
      </c>
      <c r="J124" s="272">
        <v>0</v>
      </c>
      <c r="K124" s="272">
        <v>0</v>
      </c>
      <c r="L124" s="272">
        <v>0</v>
      </c>
      <c r="M124" s="272">
        <v>0</v>
      </c>
      <c r="N124" s="272">
        <v>20.138000000000002</v>
      </c>
      <c r="O124" s="272">
        <v>20.344000000000001</v>
      </c>
      <c r="P124" s="272">
        <v>176409</v>
      </c>
      <c r="Q124" s="272">
        <v>178213</v>
      </c>
      <c r="R124" s="272">
        <v>18.844999999999999</v>
      </c>
      <c r="S124" s="272">
        <v>165082</v>
      </c>
      <c r="T124" s="272">
        <v>1.2929999999999999</v>
      </c>
      <c r="U124" s="272">
        <v>1.4990000000000001</v>
      </c>
      <c r="V124" s="272">
        <v>1.2929999999999999</v>
      </c>
      <c r="W124" s="272">
        <v>1.4990000000000001</v>
      </c>
      <c r="X124" s="272">
        <v>2.7135000000000002E-3</v>
      </c>
      <c r="Y124" s="272">
        <v>2.7135000000000002E-3</v>
      </c>
      <c r="Z124" s="272">
        <v>0</v>
      </c>
      <c r="AA124" s="272">
        <v>2.7135000000000002E-3</v>
      </c>
      <c r="AB124" s="272">
        <v>2.7135000000000002E-3</v>
      </c>
      <c r="AC124" s="272">
        <v>2.7135000000000002E-3</v>
      </c>
      <c r="AD124" s="272">
        <v>0.93578510000000004</v>
      </c>
      <c r="AE124" s="272">
        <v>0.92630950000000001</v>
      </c>
      <c r="AF124" s="272">
        <v>1.0686123999999999</v>
      </c>
      <c r="AG124" s="272">
        <v>1.0795436</v>
      </c>
      <c r="AH124" s="272">
        <v>7.4802900000000005E-2</v>
      </c>
      <c r="AI124" s="272">
        <v>7.5568099999999999E-2</v>
      </c>
      <c r="AJ124" s="154"/>
      <c r="AK124" s="154"/>
      <c r="AL124" s="154"/>
      <c r="AM124" s="154"/>
      <c r="AN124" s="154"/>
      <c r="AO124" s="154"/>
      <c r="AP124" s="154"/>
      <c r="AQ124" s="163"/>
      <c r="AR124" s="163"/>
      <c r="AS124" s="196"/>
      <c r="AT124" s="196"/>
      <c r="AU124" s="196"/>
      <c r="AV124" s="196"/>
      <c r="AW124" s="196"/>
      <c r="AX124" s="196"/>
      <c r="AY124" s="196"/>
      <c r="AZ124" s="196"/>
      <c r="BA124" s="196"/>
      <c r="BB124" s="196"/>
      <c r="BC124" s="196"/>
      <c r="BD124" s="196"/>
      <c r="BE124" s="196"/>
      <c r="BF124" s="196"/>
      <c r="BG124" s="163"/>
      <c r="BH124" s="163"/>
      <c r="BI124" s="163"/>
      <c r="BJ124" s="163"/>
      <c r="BK124" s="163"/>
      <c r="BL124" s="163"/>
      <c r="BM124" s="163"/>
      <c r="BN124" s="163"/>
    </row>
    <row r="125" spans="1:66">
      <c r="A125" s="165">
        <v>10440</v>
      </c>
      <c r="B125" s="165" t="s">
        <v>129</v>
      </c>
      <c r="C125" s="267">
        <v>1</v>
      </c>
      <c r="D125" s="267">
        <v>0</v>
      </c>
      <c r="E125" s="272">
        <v>5.08</v>
      </c>
      <c r="F125" s="272">
        <v>4.9379999999999997</v>
      </c>
      <c r="G125" s="272">
        <v>4.9210000000000003</v>
      </c>
      <c r="H125" s="272">
        <v>0</v>
      </c>
      <c r="I125" s="272">
        <v>0</v>
      </c>
      <c r="J125" s="272">
        <v>0</v>
      </c>
      <c r="K125" s="272">
        <v>0</v>
      </c>
      <c r="L125" s="272">
        <v>0</v>
      </c>
      <c r="M125" s="272">
        <v>0</v>
      </c>
      <c r="N125" s="272">
        <v>4.91</v>
      </c>
      <c r="O125" s="272">
        <v>4.91</v>
      </c>
      <c r="P125" s="272">
        <v>43012</v>
      </c>
      <c r="Q125" s="272">
        <v>43012</v>
      </c>
      <c r="R125" s="272">
        <v>4.9249999999999998</v>
      </c>
      <c r="S125" s="272">
        <v>43143</v>
      </c>
      <c r="T125" s="272">
        <v>0</v>
      </c>
      <c r="U125" s="272">
        <v>0</v>
      </c>
      <c r="V125" s="272">
        <v>0</v>
      </c>
      <c r="W125" s="272">
        <v>0</v>
      </c>
      <c r="X125" s="272">
        <v>7.0699999999999995E-4</v>
      </c>
      <c r="Y125" s="272">
        <v>7.0699999999999995E-4</v>
      </c>
      <c r="Z125" s="272">
        <v>0</v>
      </c>
      <c r="AA125" s="272">
        <v>7.0699999999999995E-4</v>
      </c>
      <c r="AB125" s="272">
        <v>7.0699999999999995E-4</v>
      </c>
      <c r="AC125" s="272">
        <v>7.0699999999999995E-4</v>
      </c>
      <c r="AD125" s="272">
        <v>1</v>
      </c>
      <c r="AE125" s="272">
        <v>1</v>
      </c>
      <c r="AF125" s="272">
        <v>1</v>
      </c>
      <c r="AG125" s="272">
        <v>1</v>
      </c>
      <c r="AH125" s="272">
        <v>5.5E-2</v>
      </c>
      <c r="AI125" s="272">
        <v>5.5E-2</v>
      </c>
      <c r="AJ125" s="154"/>
      <c r="AK125" s="154"/>
      <c r="AL125" s="154"/>
      <c r="AM125" s="154"/>
      <c r="AN125" s="154"/>
      <c r="AO125" s="154"/>
      <c r="AP125" s="154"/>
      <c r="AQ125" s="163"/>
      <c r="AR125" s="163"/>
      <c r="AS125" s="196"/>
      <c r="AT125" s="196"/>
      <c r="AU125" s="196"/>
      <c r="AV125" s="196"/>
      <c r="AW125" s="196"/>
      <c r="AX125" s="196"/>
      <c r="AY125" s="196"/>
      <c r="AZ125" s="196"/>
      <c r="BA125" s="196"/>
      <c r="BB125" s="196"/>
      <c r="BC125" s="196"/>
      <c r="BD125" s="196"/>
      <c r="BE125" s="196"/>
      <c r="BF125" s="196"/>
      <c r="BG125" s="163"/>
      <c r="BH125" s="163"/>
      <c r="BI125" s="163"/>
      <c r="BJ125" s="163"/>
      <c r="BK125" s="163"/>
      <c r="BL125" s="163"/>
      <c r="BM125" s="163"/>
      <c r="BN125" s="163"/>
    </row>
    <row r="126" spans="1:66">
      <c r="A126" s="165">
        <v>10442</v>
      </c>
      <c r="B126" s="165" t="s">
        <v>130</v>
      </c>
      <c r="C126" s="267">
        <v>1</v>
      </c>
      <c r="D126" s="267">
        <v>0</v>
      </c>
      <c r="E126" s="272">
        <v>13.596</v>
      </c>
      <c r="F126" s="272">
        <v>12.606999999999999</v>
      </c>
      <c r="G126" s="272">
        <v>12.63</v>
      </c>
      <c r="H126" s="272">
        <v>0</v>
      </c>
      <c r="I126" s="272">
        <v>0</v>
      </c>
      <c r="J126" s="272">
        <v>0</v>
      </c>
      <c r="K126" s="272">
        <v>0</v>
      </c>
      <c r="L126" s="272">
        <v>0</v>
      </c>
      <c r="M126" s="272">
        <v>0</v>
      </c>
      <c r="N126" s="272">
        <v>13.05</v>
      </c>
      <c r="O126" s="272">
        <v>13.093999999999999</v>
      </c>
      <c r="P126" s="272">
        <v>114318</v>
      </c>
      <c r="Q126" s="272">
        <v>114703</v>
      </c>
      <c r="R126" s="272">
        <v>13.180999999999999</v>
      </c>
      <c r="S126" s="272">
        <v>115466</v>
      </c>
      <c r="T126" s="272">
        <v>0</v>
      </c>
      <c r="U126" s="272">
        <v>0</v>
      </c>
      <c r="V126" s="272">
        <v>0</v>
      </c>
      <c r="W126" s="272">
        <v>0</v>
      </c>
      <c r="X126" s="272">
        <v>1.8791000000000001E-3</v>
      </c>
      <c r="Y126" s="272">
        <v>1.8854E-3</v>
      </c>
      <c r="Z126" s="272">
        <v>0</v>
      </c>
      <c r="AA126" s="272">
        <v>1.8791000000000001E-3</v>
      </c>
      <c r="AB126" s="272">
        <v>1.8854E-3</v>
      </c>
      <c r="AC126" s="272">
        <v>1.8822999999999999E-3</v>
      </c>
      <c r="AD126" s="272">
        <v>1</v>
      </c>
      <c r="AE126" s="272">
        <v>0.99998569999999998</v>
      </c>
      <c r="AF126" s="272">
        <v>1</v>
      </c>
      <c r="AG126" s="272">
        <v>1</v>
      </c>
      <c r="AH126" s="272">
        <v>7.0000000000000007E-2</v>
      </c>
      <c r="AI126" s="272">
        <v>7.0000000000000007E-2</v>
      </c>
      <c r="AJ126" s="154"/>
      <c r="AK126" s="154"/>
      <c r="AL126" s="154"/>
      <c r="AM126" s="154"/>
      <c r="AN126" s="154"/>
      <c r="AO126" s="154"/>
      <c r="AP126" s="154"/>
      <c r="AQ126" s="163"/>
      <c r="AR126" s="163"/>
      <c r="AS126" s="196"/>
      <c r="AT126" s="196"/>
      <c r="AU126" s="196"/>
      <c r="AV126" s="196"/>
      <c r="AW126" s="196"/>
      <c r="AX126" s="196"/>
      <c r="AY126" s="196"/>
      <c r="AZ126" s="196"/>
      <c r="BA126" s="196"/>
      <c r="BB126" s="196"/>
      <c r="BC126" s="196"/>
      <c r="BD126" s="196"/>
      <c r="BE126" s="196"/>
      <c r="BF126" s="196"/>
      <c r="BG126" s="163"/>
      <c r="BH126" s="163"/>
      <c r="BI126" s="163"/>
      <c r="BJ126" s="163"/>
      <c r="BK126" s="163"/>
      <c r="BL126" s="163"/>
      <c r="BM126" s="163"/>
      <c r="BN126" s="163"/>
    </row>
    <row r="127" spans="1:66">
      <c r="A127" s="165">
        <v>10446</v>
      </c>
      <c r="B127" s="165" t="s">
        <v>131</v>
      </c>
      <c r="C127" s="267">
        <v>1</v>
      </c>
      <c r="D127" s="267">
        <v>0</v>
      </c>
      <c r="E127" s="272">
        <v>97.2</v>
      </c>
      <c r="F127" s="272">
        <v>92.338999999999999</v>
      </c>
      <c r="G127" s="272">
        <v>92.453999999999994</v>
      </c>
      <c r="H127" s="272">
        <v>0</v>
      </c>
      <c r="I127" s="272">
        <v>0</v>
      </c>
      <c r="J127" s="272">
        <v>0</v>
      </c>
      <c r="K127" s="272">
        <v>0</v>
      </c>
      <c r="L127" s="272">
        <v>0</v>
      </c>
      <c r="M127" s="272">
        <v>0</v>
      </c>
      <c r="N127" s="272">
        <v>96.594999999999999</v>
      </c>
      <c r="O127" s="272">
        <v>97.244</v>
      </c>
      <c r="P127" s="272">
        <v>846172</v>
      </c>
      <c r="Q127" s="272">
        <v>851857</v>
      </c>
      <c r="R127" s="272">
        <v>94.233999999999995</v>
      </c>
      <c r="S127" s="272">
        <v>825490</v>
      </c>
      <c r="T127" s="272">
        <v>2.3610000000000002</v>
      </c>
      <c r="U127" s="272">
        <v>3.01</v>
      </c>
      <c r="V127" s="272">
        <v>2.3610000000000002</v>
      </c>
      <c r="W127" s="272">
        <v>3.01</v>
      </c>
      <c r="X127" s="272">
        <v>1.35689E-2</v>
      </c>
      <c r="Y127" s="272">
        <v>1.35689E-2</v>
      </c>
      <c r="Z127" s="272">
        <v>0</v>
      </c>
      <c r="AA127" s="272">
        <v>1.35689E-2</v>
      </c>
      <c r="AB127" s="272">
        <v>1.35689E-2</v>
      </c>
      <c r="AC127" s="272">
        <v>1.35689E-2</v>
      </c>
      <c r="AD127" s="272">
        <v>0.97555689999999995</v>
      </c>
      <c r="AE127" s="272">
        <v>0.96904610000000002</v>
      </c>
      <c r="AF127" s="272">
        <v>1.0250547000000001</v>
      </c>
      <c r="AG127" s="272">
        <v>1.0319418</v>
      </c>
      <c r="AH127" s="272">
        <v>6.1503299999999997E-2</v>
      </c>
      <c r="AI127" s="272">
        <v>6.1916499999999999E-2</v>
      </c>
      <c r="AJ127" s="154"/>
      <c r="AK127" s="154"/>
      <c r="AL127" s="154"/>
      <c r="AM127" s="154"/>
      <c r="AN127" s="154"/>
      <c r="AO127" s="154"/>
      <c r="AP127" s="154"/>
      <c r="AQ127" s="163"/>
      <c r="AR127" s="163"/>
      <c r="AS127" s="196"/>
      <c r="AT127" s="196"/>
      <c r="AU127" s="196"/>
      <c r="AV127" s="196"/>
      <c r="AW127" s="196"/>
      <c r="AX127" s="196"/>
      <c r="AY127" s="196"/>
      <c r="AZ127" s="196"/>
      <c r="BA127" s="196"/>
      <c r="BB127" s="196"/>
      <c r="BC127" s="196"/>
      <c r="BD127" s="196"/>
      <c r="BE127" s="196"/>
      <c r="BF127" s="196"/>
      <c r="BG127" s="163"/>
      <c r="BH127" s="163"/>
      <c r="BI127" s="163"/>
      <c r="BJ127" s="163"/>
      <c r="BK127" s="163"/>
      <c r="BL127" s="163"/>
      <c r="BM127" s="163"/>
      <c r="BN127" s="163"/>
    </row>
    <row r="128" spans="1:66">
      <c r="A128" s="165">
        <v>10448</v>
      </c>
      <c r="B128" s="165" t="s">
        <v>132</v>
      </c>
      <c r="C128" s="267">
        <v>0</v>
      </c>
      <c r="D128" s="267">
        <v>1</v>
      </c>
      <c r="E128" s="272">
        <v>8.6079999999999988</v>
      </c>
      <c r="F128" s="272">
        <v>8.2810000000000006</v>
      </c>
      <c r="G128" s="272">
        <v>8.2560000000000002</v>
      </c>
      <c r="H128" s="272">
        <v>0</v>
      </c>
      <c r="I128" s="272">
        <v>0</v>
      </c>
      <c r="J128" s="272">
        <v>0</v>
      </c>
      <c r="K128" s="272">
        <v>0</v>
      </c>
      <c r="L128" s="272">
        <v>0</v>
      </c>
      <c r="M128" s="272">
        <v>0</v>
      </c>
      <c r="N128" s="272">
        <v>8.1519999999999992</v>
      </c>
      <c r="O128" s="272">
        <v>8.1519999999999992</v>
      </c>
      <c r="P128" s="272">
        <v>71412</v>
      </c>
      <c r="Q128" s="272">
        <v>71412</v>
      </c>
      <c r="R128" s="272">
        <v>8.3450000000000006</v>
      </c>
      <c r="S128" s="272">
        <v>73102</v>
      </c>
      <c r="T128" s="272">
        <v>0</v>
      </c>
      <c r="U128" s="272">
        <v>0</v>
      </c>
      <c r="V128" s="272">
        <v>0</v>
      </c>
      <c r="W128" s="272">
        <v>0</v>
      </c>
      <c r="X128" s="272">
        <v>1.1738E-3</v>
      </c>
      <c r="Y128" s="272">
        <v>1.1738E-3</v>
      </c>
      <c r="Z128" s="272">
        <v>0</v>
      </c>
      <c r="AA128" s="272">
        <v>1.1738E-3</v>
      </c>
      <c r="AB128" s="272">
        <v>1.1738E-3</v>
      </c>
      <c r="AC128" s="272">
        <v>1.1738E-3</v>
      </c>
      <c r="AD128" s="272">
        <v>0.99998290000000001</v>
      </c>
      <c r="AE128" s="272">
        <v>0.99998290000000001</v>
      </c>
      <c r="AF128" s="272">
        <v>1</v>
      </c>
      <c r="AG128" s="272">
        <v>1</v>
      </c>
      <c r="AH128" s="272">
        <v>7.0000000000000007E-2</v>
      </c>
      <c r="AI128" s="272">
        <v>7.0000000000000007E-2</v>
      </c>
      <c r="AJ128" s="154"/>
      <c r="AK128" s="154"/>
      <c r="AL128" s="154"/>
      <c r="AM128" s="154"/>
      <c r="AN128" s="154"/>
      <c r="AO128" s="154"/>
      <c r="AP128" s="154"/>
      <c r="AQ128" s="163"/>
      <c r="AR128" s="163"/>
      <c r="AS128" s="196"/>
      <c r="AT128" s="196"/>
      <c r="AU128" s="196"/>
      <c r="AV128" s="196"/>
      <c r="AW128" s="196"/>
      <c r="AX128" s="196"/>
      <c r="AY128" s="196"/>
      <c r="AZ128" s="196"/>
      <c r="BA128" s="196"/>
      <c r="BB128" s="196"/>
      <c r="BC128" s="196"/>
      <c r="BD128" s="196"/>
      <c r="BE128" s="196"/>
      <c r="BF128" s="196"/>
      <c r="BG128" s="163"/>
      <c r="BH128" s="163"/>
      <c r="BI128" s="163"/>
      <c r="BJ128" s="163"/>
      <c r="BK128" s="163"/>
      <c r="BL128" s="163"/>
      <c r="BM128" s="163"/>
      <c r="BN128" s="163"/>
    </row>
    <row r="129" spans="1:66">
      <c r="A129" s="165">
        <v>10451</v>
      </c>
      <c r="B129" s="165" t="s">
        <v>133</v>
      </c>
      <c r="C129" s="267">
        <v>1</v>
      </c>
      <c r="D129" s="267">
        <v>0</v>
      </c>
      <c r="E129" s="272">
        <v>27.233000000000001</v>
      </c>
      <c r="F129" s="272">
        <v>26.417000000000002</v>
      </c>
      <c r="G129" s="272">
        <v>23.530999999999999</v>
      </c>
      <c r="H129" s="272">
        <v>0</v>
      </c>
      <c r="I129" s="272">
        <v>0</v>
      </c>
      <c r="J129" s="272">
        <v>0</v>
      </c>
      <c r="K129" s="272">
        <v>0</v>
      </c>
      <c r="L129" s="272">
        <v>0</v>
      </c>
      <c r="M129" s="272">
        <v>0</v>
      </c>
      <c r="N129" s="272">
        <v>26.184999999999999</v>
      </c>
      <c r="O129" s="272">
        <v>26.184999999999999</v>
      </c>
      <c r="P129" s="272">
        <v>229381</v>
      </c>
      <c r="Q129" s="272">
        <v>229381</v>
      </c>
      <c r="R129" s="272">
        <v>26.402000000000001</v>
      </c>
      <c r="S129" s="272">
        <v>231282</v>
      </c>
      <c r="T129" s="272">
        <v>0</v>
      </c>
      <c r="U129" s="272">
        <v>0</v>
      </c>
      <c r="V129" s="272">
        <v>0</v>
      </c>
      <c r="W129" s="272">
        <v>0</v>
      </c>
      <c r="X129" s="272">
        <v>3.7704000000000001E-3</v>
      </c>
      <c r="Y129" s="272">
        <v>3.7704000000000001E-3</v>
      </c>
      <c r="Z129" s="272">
        <v>0</v>
      </c>
      <c r="AA129" s="272">
        <v>3.7704000000000001E-3</v>
      </c>
      <c r="AB129" s="272">
        <v>3.7704000000000001E-3</v>
      </c>
      <c r="AC129" s="272">
        <v>3.7704000000000001E-3</v>
      </c>
      <c r="AD129" s="272">
        <v>0.99999420000000006</v>
      </c>
      <c r="AE129" s="272">
        <v>0.99999420000000006</v>
      </c>
      <c r="AF129" s="272">
        <v>1</v>
      </c>
      <c r="AG129" s="272">
        <v>1</v>
      </c>
      <c r="AH129" s="272">
        <v>0</v>
      </c>
      <c r="AI129" s="272">
        <v>0</v>
      </c>
      <c r="AJ129" s="154"/>
      <c r="AK129" s="154"/>
      <c r="AL129" s="154"/>
      <c r="AM129" s="154"/>
      <c r="AN129" s="154"/>
      <c r="AO129" s="154"/>
      <c r="AP129" s="154"/>
      <c r="AQ129" s="163"/>
      <c r="AR129" s="163"/>
      <c r="AS129" s="196"/>
      <c r="AT129" s="196"/>
      <c r="AU129" s="196"/>
      <c r="AV129" s="196"/>
      <c r="AW129" s="196"/>
      <c r="AX129" s="196"/>
      <c r="AY129" s="196"/>
      <c r="AZ129" s="196"/>
      <c r="BA129" s="196"/>
      <c r="BB129" s="196"/>
      <c r="BC129" s="196"/>
      <c r="BD129" s="196"/>
      <c r="BE129" s="196"/>
      <c r="BF129" s="196"/>
      <c r="BG129" s="163"/>
      <c r="BH129" s="163"/>
      <c r="BI129" s="163"/>
      <c r="BJ129" s="163"/>
      <c r="BK129" s="163"/>
      <c r="BL129" s="163"/>
      <c r="BM129" s="163"/>
      <c r="BN129" s="163"/>
    </row>
    <row r="130" spans="1:66">
      <c r="A130" s="165">
        <v>10482</v>
      </c>
      <c r="B130" s="165" t="s">
        <v>134</v>
      </c>
      <c r="C130" s="267">
        <v>1</v>
      </c>
      <c r="D130" s="267">
        <v>0</v>
      </c>
      <c r="E130" s="272">
        <v>4.1749999999999998</v>
      </c>
      <c r="F130" s="272">
        <v>2.76</v>
      </c>
      <c r="G130" s="272">
        <v>2.7559999999999998</v>
      </c>
      <c r="H130" s="272">
        <v>0</v>
      </c>
      <c r="I130" s="272">
        <v>0</v>
      </c>
      <c r="J130" s="272">
        <v>0</v>
      </c>
      <c r="K130" s="272">
        <v>0</v>
      </c>
      <c r="L130" s="272">
        <v>0</v>
      </c>
      <c r="M130" s="272">
        <v>0</v>
      </c>
      <c r="N130" s="272">
        <v>2.7109999999999999</v>
      </c>
      <c r="O130" s="272">
        <v>2.7109999999999999</v>
      </c>
      <c r="P130" s="272">
        <v>23748</v>
      </c>
      <c r="Q130" s="272">
        <v>23748</v>
      </c>
      <c r="R130" s="272">
        <v>4.048</v>
      </c>
      <c r="S130" s="272">
        <v>35460</v>
      </c>
      <c r="T130" s="272">
        <v>0</v>
      </c>
      <c r="U130" s="272">
        <v>0</v>
      </c>
      <c r="V130" s="272">
        <v>0</v>
      </c>
      <c r="W130" s="272">
        <v>0</v>
      </c>
      <c r="X130" s="272">
        <v>3.904E-4</v>
      </c>
      <c r="Y130" s="272">
        <v>3.904E-4</v>
      </c>
      <c r="Z130" s="272">
        <v>0</v>
      </c>
      <c r="AA130" s="272">
        <v>3.904E-4</v>
      </c>
      <c r="AB130" s="272">
        <v>3.904E-4</v>
      </c>
      <c r="AC130" s="272">
        <v>3.904E-4</v>
      </c>
      <c r="AD130" s="272">
        <v>1</v>
      </c>
      <c r="AE130" s="272">
        <v>1</v>
      </c>
      <c r="AF130" s="272">
        <v>1</v>
      </c>
      <c r="AG130" s="272">
        <v>1</v>
      </c>
      <c r="AH130" s="272">
        <v>0</v>
      </c>
      <c r="AI130" s="272">
        <v>0</v>
      </c>
      <c r="AJ130" s="154"/>
      <c r="AK130" s="154"/>
      <c r="AL130" s="154"/>
      <c r="AM130" s="154"/>
      <c r="AN130" s="154"/>
      <c r="AO130" s="154"/>
      <c r="AP130" s="154"/>
      <c r="AQ130" s="163"/>
      <c r="AR130" s="163"/>
      <c r="AS130" s="196"/>
      <c r="AT130" s="196"/>
      <c r="AU130" s="196"/>
      <c r="AV130" s="196"/>
      <c r="AW130" s="196"/>
      <c r="AX130" s="196"/>
      <c r="AY130" s="196"/>
      <c r="AZ130" s="196"/>
      <c r="BA130" s="196"/>
      <c r="BB130" s="196"/>
      <c r="BC130" s="196"/>
      <c r="BD130" s="196"/>
      <c r="BE130" s="196"/>
      <c r="BF130" s="196"/>
      <c r="BG130" s="163"/>
      <c r="BH130" s="163"/>
      <c r="BI130" s="163"/>
      <c r="BJ130" s="163"/>
      <c r="BK130" s="163"/>
      <c r="BL130" s="163"/>
      <c r="BM130" s="163"/>
      <c r="BN130" s="163"/>
    </row>
    <row r="131" spans="1:66">
      <c r="A131" s="165">
        <v>10502</v>
      </c>
      <c r="B131" s="165" t="s">
        <v>135</v>
      </c>
      <c r="C131" s="267">
        <v>1</v>
      </c>
      <c r="D131" s="267">
        <v>0</v>
      </c>
      <c r="E131" s="272">
        <v>18.986000000000001</v>
      </c>
      <c r="F131" s="272">
        <v>17.863</v>
      </c>
      <c r="G131" s="272">
        <v>18.709</v>
      </c>
      <c r="H131" s="272">
        <v>0</v>
      </c>
      <c r="I131" s="272">
        <v>0</v>
      </c>
      <c r="J131" s="272">
        <v>0</v>
      </c>
      <c r="K131" s="272">
        <v>0</v>
      </c>
      <c r="L131" s="272">
        <v>0</v>
      </c>
      <c r="M131" s="272">
        <v>0</v>
      </c>
      <c r="N131" s="272">
        <v>16.605</v>
      </c>
      <c r="O131" s="272">
        <v>17.364999999999998</v>
      </c>
      <c r="P131" s="272">
        <v>145460</v>
      </c>
      <c r="Q131" s="272">
        <v>152117</v>
      </c>
      <c r="R131" s="272">
        <v>18.407</v>
      </c>
      <c r="S131" s="272">
        <v>161245</v>
      </c>
      <c r="T131" s="272">
        <v>0</v>
      </c>
      <c r="U131" s="272">
        <v>0</v>
      </c>
      <c r="V131" s="272">
        <v>0</v>
      </c>
      <c r="W131" s="272">
        <v>0</v>
      </c>
      <c r="X131" s="272">
        <v>2.3909999999999999E-3</v>
      </c>
      <c r="Y131" s="272">
        <v>2.5003999999999998E-3</v>
      </c>
      <c r="Z131" s="272">
        <v>0</v>
      </c>
      <c r="AA131" s="272">
        <v>2.3909999999999999E-3</v>
      </c>
      <c r="AB131" s="272">
        <v>2.5003999999999998E-3</v>
      </c>
      <c r="AC131" s="272">
        <v>2.4456999999999999E-3</v>
      </c>
      <c r="AD131" s="272">
        <v>0.99997950000000002</v>
      </c>
      <c r="AE131" s="272">
        <v>0.99996680000000004</v>
      </c>
      <c r="AF131" s="272">
        <v>1</v>
      </c>
      <c r="AG131" s="272">
        <v>1</v>
      </c>
      <c r="AH131" s="272">
        <v>7.0000000000000007E-2</v>
      </c>
      <c r="AI131" s="272">
        <v>7.0000000000000007E-2</v>
      </c>
      <c r="AJ131" s="154"/>
      <c r="AK131" s="154"/>
      <c r="AL131" s="154"/>
      <c r="AM131" s="154"/>
      <c r="AN131" s="154"/>
      <c r="AO131" s="154"/>
      <c r="AP131" s="154"/>
      <c r="AQ131" s="163"/>
      <c r="AR131" s="163"/>
      <c r="AS131" s="196"/>
      <c r="AT131" s="196"/>
      <c r="AU131" s="196"/>
      <c r="AV131" s="196"/>
      <c r="AW131" s="196"/>
      <c r="AX131" s="196"/>
      <c r="AY131" s="196"/>
      <c r="AZ131" s="196"/>
      <c r="BA131" s="196"/>
      <c r="BB131" s="196"/>
      <c r="BC131" s="196"/>
      <c r="BD131" s="196"/>
      <c r="BE131" s="196"/>
      <c r="BF131" s="196"/>
      <c r="BG131" s="163"/>
      <c r="BH131" s="163"/>
      <c r="BI131" s="163"/>
      <c r="BJ131" s="163"/>
      <c r="BK131" s="163"/>
      <c r="BL131" s="163"/>
      <c r="BM131" s="163"/>
      <c r="BN131" s="163"/>
    </row>
    <row r="132" spans="1:66">
      <c r="A132" s="165">
        <v>13927</v>
      </c>
      <c r="B132" s="165" t="s">
        <v>269</v>
      </c>
      <c r="C132" s="238">
        <v>1</v>
      </c>
      <c r="D132" s="238">
        <v>0</v>
      </c>
      <c r="E132" s="272">
        <v>4.1340000000000003</v>
      </c>
      <c r="F132" s="272">
        <v>3.012</v>
      </c>
      <c r="G132" s="272">
        <v>3.3490000000000002</v>
      </c>
      <c r="H132" s="272">
        <v>0</v>
      </c>
      <c r="I132" s="272">
        <v>0</v>
      </c>
      <c r="J132" s="272">
        <v>0</v>
      </c>
      <c r="K132" s="272">
        <v>0</v>
      </c>
      <c r="L132" s="272">
        <v>0</v>
      </c>
      <c r="M132" s="272">
        <v>0</v>
      </c>
      <c r="N132" s="272">
        <v>4.1139999999999999</v>
      </c>
      <c r="O132" s="272">
        <v>4.1139999999999999</v>
      </c>
      <c r="P132" s="272">
        <v>36039</v>
      </c>
      <c r="Q132" s="272">
        <v>36039</v>
      </c>
      <c r="R132" s="272">
        <v>4.008</v>
      </c>
      <c r="S132" s="272">
        <v>35110</v>
      </c>
      <c r="T132" s="272">
        <v>0.106</v>
      </c>
      <c r="U132" s="272">
        <v>0.106</v>
      </c>
      <c r="V132" s="272">
        <v>0</v>
      </c>
      <c r="W132" s="272">
        <v>0</v>
      </c>
      <c r="X132" s="272">
        <v>5.7709999999999999E-4</v>
      </c>
      <c r="Y132" s="272">
        <v>5.7709999999999999E-4</v>
      </c>
      <c r="Z132" s="272">
        <v>0</v>
      </c>
      <c r="AA132" s="272">
        <v>5.7709999999999999E-4</v>
      </c>
      <c r="AB132" s="272">
        <v>5.7709999999999999E-4</v>
      </c>
      <c r="AC132" s="272">
        <v>5.7709999999999999E-4</v>
      </c>
      <c r="AD132" s="272">
        <v>0.97420289999999998</v>
      </c>
      <c r="AE132" s="272">
        <v>0.97420289999999998</v>
      </c>
      <c r="AF132" s="272">
        <v>1.0264470999999999</v>
      </c>
      <c r="AG132" s="272">
        <v>1.0264470999999999</v>
      </c>
      <c r="AH132" s="272">
        <v>0</v>
      </c>
      <c r="AI132" s="272">
        <v>0</v>
      </c>
      <c r="AJ132" s="154"/>
      <c r="AK132" s="154"/>
      <c r="AL132" s="154"/>
      <c r="AM132" s="154"/>
      <c r="AN132" s="154"/>
      <c r="AO132" s="154"/>
      <c r="AP132" s="154"/>
      <c r="AQ132" s="163"/>
      <c r="AR132" s="163"/>
      <c r="AS132" s="196"/>
      <c r="AT132" s="196"/>
      <c r="AU132" s="196"/>
      <c r="AV132" s="196"/>
      <c r="AW132" s="196"/>
      <c r="AX132" s="196"/>
      <c r="AY132" s="196"/>
      <c r="AZ132" s="196"/>
      <c r="BA132" s="196"/>
      <c r="BB132" s="196"/>
      <c r="BC132" s="196"/>
      <c r="BD132" s="196"/>
      <c r="BE132" s="196"/>
      <c r="BF132" s="196"/>
      <c r="BG132" s="163"/>
      <c r="BH132" s="163"/>
      <c r="BI132" s="163"/>
      <c r="BJ132" s="163"/>
      <c r="BK132" s="163"/>
      <c r="BL132" s="163"/>
      <c r="BM132" s="163"/>
      <c r="BN132" s="163"/>
    </row>
    <row r="133" spans="1:66">
      <c r="A133" s="165">
        <v>10597</v>
      </c>
      <c r="B133" s="165" t="s">
        <v>136</v>
      </c>
      <c r="C133" s="269">
        <v>1</v>
      </c>
      <c r="D133" s="269">
        <v>0</v>
      </c>
      <c r="E133" s="272">
        <v>13.13</v>
      </c>
      <c r="F133" s="272">
        <v>12.332000000000001</v>
      </c>
      <c r="G133" s="272">
        <v>12.304</v>
      </c>
      <c r="H133" s="272">
        <v>0</v>
      </c>
      <c r="I133" s="272">
        <v>0</v>
      </c>
      <c r="J133" s="272">
        <v>0</v>
      </c>
      <c r="K133" s="272">
        <v>0</v>
      </c>
      <c r="L133" s="272">
        <v>0</v>
      </c>
      <c r="M133" s="272">
        <v>0</v>
      </c>
      <c r="N133" s="272">
        <v>12.439</v>
      </c>
      <c r="O133" s="272">
        <v>12.439</v>
      </c>
      <c r="P133" s="272">
        <v>108966</v>
      </c>
      <c r="Q133" s="272">
        <v>108966</v>
      </c>
      <c r="R133" s="272">
        <v>12.728999999999999</v>
      </c>
      <c r="S133" s="272">
        <v>111506</v>
      </c>
      <c r="T133" s="272">
        <v>0</v>
      </c>
      <c r="U133" s="272">
        <v>0</v>
      </c>
      <c r="V133" s="272">
        <v>0</v>
      </c>
      <c r="W133" s="272">
        <v>0</v>
      </c>
      <c r="X133" s="272">
        <v>1.7910999999999999E-3</v>
      </c>
      <c r="Y133" s="272">
        <v>1.7910999999999999E-3</v>
      </c>
      <c r="Z133" s="272">
        <v>0</v>
      </c>
      <c r="AA133" s="272">
        <v>1.7910999999999999E-3</v>
      </c>
      <c r="AB133" s="272">
        <v>1.7910999999999999E-3</v>
      </c>
      <c r="AC133" s="272">
        <v>1.7910999999999999E-3</v>
      </c>
      <c r="AD133" s="272">
        <v>0.99999309999999997</v>
      </c>
      <c r="AE133" s="272">
        <v>0.99999309999999997</v>
      </c>
      <c r="AF133" s="272">
        <v>1</v>
      </c>
      <c r="AG133" s="272">
        <v>1</v>
      </c>
      <c r="AH133" s="272">
        <v>0</v>
      </c>
      <c r="AI133" s="272">
        <v>0</v>
      </c>
      <c r="AJ133" s="154"/>
      <c r="AK133" s="154"/>
      <c r="AL133" s="154"/>
      <c r="AM133" s="154"/>
      <c r="AN133" s="154"/>
      <c r="AO133" s="154"/>
      <c r="AP133" s="154"/>
      <c r="AQ133" s="163"/>
      <c r="AR133" s="163"/>
      <c r="AS133" s="196"/>
      <c r="AT133" s="196"/>
      <c r="AU133" s="196"/>
      <c r="AV133" s="196"/>
      <c r="AW133" s="196"/>
      <c r="AX133" s="196"/>
      <c r="AY133" s="196"/>
      <c r="AZ133" s="196"/>
      <c r="BA133" s="196"/>
      <c r="BB133" s="196"/>
      <c r="BC133" s="196"/>
      <c r="BD133" s="196"/>
      <c r="BE133" s="196"/>
      <c r="BF133" s="196"/>
      <c r="BG133" s="163"/>
      <c r="BH133" s="163"/>
      <c r="BI133" s="163"/>
      <c r="BJ133" s="163"/>
      <c r="BK133" s="163"/>
      <c r="BL133" s="163"/>
      <c r="BM133" s="163"/>
      <c r="BN133" s="163"/>
    </row>
    <row r="134" spans="1:66">
      <c r="A134" s="165">
        <v>10706</v>
      </c>
      <c r="B134" s="165" t="s">
        <v>137</v>
      </c>
      <c r="C134" s="269">
        <v>1</v>
      </c>
      <c r="D134" s="269">
        <v>0</v>
      </c>
      <c r="E134" s="272">
        <v>17.536000000000001</v>
      </c>
      <c r="F134" s="272">
        <v>18.757000000000001</v>
      </c>
      <c r="G134" s="272">
        <v>21.878</v>
      </c>
      <c r="H134" s="272">
        <v>0</v>
      </c>
      <c r="I134" s="272">
        <v>0</v>
      </c>
      <c r="J134" s="272">
        <v>0</v>
      </c>
      <c r="K134" s="272">
        <v>0</v>
      </c>
      <c r="L134" s="272">
        <v>0</v>
      </c>
      <c r="M134" s="272">
        <v>0</v>
      </c>
      <c r="N134" s="272">
        <v>18.553999999999998</v>
      </c>
      <c r="O134" s="272">
        <v>19.523</v>
      </c>
      <c r="P134" s="272">
        <v>162533</v>
      </c>
      <c r="Q134" s="272">
        <v>171021</v>
      </c>
      <c r="R134" s="272">
        <v>17.001000000000001</v>
      </c>
      <c r="S134" s="272">
        <v>148929</v>
      </c>
      <c r="T134" s="272">
        <v>1.5529999999999999</v>
      </c>
      <c r="U134" s="272">
        <v>2.5219999999999998</v>
      </c>
      <c r="V134" s="272">
        <v>1.5529999999999999</v>
      </c>
      <c r="W134" s="272">
        <v>2.5219999999999998</v>
      </c>
      <c r="X134" s="272">
        <v>2.4480000000000001E-3</v>
      </c>
      <c r="Y134" s="272">
        <v>2.4480000000000001E-3</v>
      </c>
      <c r="Z134" s="272">
        <v>0</v>
      </c>
      <c r="AA134" s="272">
        <v>2.4480000000000001E-3</v>
      </c>
      <c r="AB134" s="272">
        <v>2.4480000000000001E-3</v>
      </c>
      <c r="AC134" s="272">
        <v>2.4480000000000001E-3</v>
      </c>
      <c r="AD134" s="272">
        <v>0.91629749999999999</v>
      </c>
      <c r="AE134" s="272">
        <v>0.87081819999999999</v>
      </c>
      <c r="AF134" s="272">
        <v>1.0913476</v>
      </c>
      <c r="AG134" s="272">
        <v>1.1483441999999999</v>
      </c>
      <c r="AH134" s="272">
        <v>0</v>
      </c>
      <c r="AI134" s="272">
        <v>0</v>
      </c>
      <c r="AJ134" s="154"/>
      <c r="AK134" s="154"/>
      <c r="AL134" s="154"/>
      <c r="AM134" s="154"/>
      <c r="AN134" s="154"/>
      <c r="AO134" s="154"/>
      <c r="AP134" s="154"/>
      <c r="AQ134" s="163"/>
      <c r="AR134" s="163"/>
      <c r="AS134" s="196"/>
      <c r="AT134" s="196"/>
      <c r="AU134" s="196"/>
      <c r="AV134" s="196"/>
      <c r="AW134" s="196"/>
      <c r="AX134" s="196"/>
      <c r="AY134" s="196"/>
      <c r="AZ134" s="196"/>
      <c r="BA134" s="196"/>
      <c r="BB134" s="196"/>
      <c r="BC134" s="196"/>
      <c r="BD134" s="196"/>
      <c r="BE134" s="196"/>
      <c r="BF134" s="196"/>
      <c r="BG134" s="163"/>
      <c r="BH134" s="163"/>
      <c r="BI134" s="163"/>
      <c r="BJ134" s="163"/>
      <c r="BK134" s="163"/>
      <c r="BL134" s="163"/>
      <c r="BM134" s="163"/>
      <c r="BN134" s="163"/>
    </row>
    <row r="135" spans="1:66">
      <c r="A135" s="165">
        <v>11680</v>
      </c>
      <c r="B135" s="165" t="s">
        <v>138</v>
      </c>
      <c r="C135" s="269">
        <v>1</v>
      </c>
      <c r="D135" s="269">
        <v>0</v>
      </c>
      <c r="E135" s="272">
        <v>6.423</v>
      </c>
      <c r="F135" s="272">
        <v>6.3280000000000003</v>
      </c>
      <c r="G135" s="272">
        <v>6.3280000000000003</v>
      </c>
      <c r="H135" s="272">
        <v>0</v>
      </c>
      <c r="I135" s="272">
        <v>0</v>
      </c>
      <c r="J135" s="272">
        <v>0</v>
      </c>
      <c r="K135" s="272">
        <v>0</v>
      </c>
      <c r="L135" s="272">
        <v>0</v>
      </c>
      <c r="M135" s="272">
        <v>0</v>
      </c>
      <c r="N135" s="272">
        <v>6.4420000000000002</v>
      </c>
      <c r="O135" s="272">
        <v>6.4740000000000002</v>
      </c>
      <c r="P135" s="272">
        <v>56432</v>
      </c>
      <c r="Q135" s="272">
        <v>56712</v>
      </c>
      <c r="R135" s="272">
        <v>6.2270000000000003</v>
      </c>
      <c r="S135" s="272">
        <v>54549</v>
      </c>
      <c r="T135" s="272">
        <v>0.215</v>
      </c>
      <c r="U135" s="272">
        <v>0.247</v>
      </c>
      <c r="V135" s="272">
        <v>0</v>
      </c>
      <c r="W135" s="272">
        <v>0</v>
      </c>
      <c r="X135" s="272">
        <v>8.966E-4</v>
      </c>
      <c r="Y135" s="272">
        <v>8.966E-4</v>
      </c>
      <c r="Z135" s="272">
        <v>0</v>
      </c>
      <c r="AA135" s="272">
        <v>8.966E-4</v>
      </c>
      <c r="AB135" s="272">
        <v>8.966E-4</v>
      </c>
      <c r="AC135" s="272">
        <v>8.966E-4</v>
      </c>
      <c r="AD135" s="272">
        <v>0.96658630000000001</v>
      </c>
      <c r="AE135" s="272">
        <v>0.96180860000000001</v>
      </c>
      <c r="AF135" s="272">
        <v>1.0345271</v>
      </c>
      <c r="AG135" s="272">
        <v>1.039666</v>
      </c>
      <c r="AH135" s="272">
        <v>0</v>
      </c>
      <c r="AI135" s="272">
        <v>0</v>
      </c>
      <c r="AJ135" s="154"/>
      <c r="AK135" s="154"/>
      <c r="AL135" s="154"/>
      <c r="AM135" s="154"/>
      <c r="AN135" s="154"/>
      <c r="AO135" s="154"/>
      <c r="AP135" s="154"/>
      <c r="AQ135" s="163"/>
      <c r="AR135" s="163"/>
      <c r="AS135" s="196"/>
      <c r="AT135" s="196"/>
      <c r="AU135" s="196"/>
      <c r="AV135" s="196"/>
      <c r="AW135" s="196"/>
      <c r="AX135" s="196"/>
      <c r="AY135" s="196"/>
      <c r="AZ135" s="196"/>
      <c r="BA135" s="196"/>
      <c r="BB135" s="196"/>
      <c r="BC135" s="196"/>
      <c r="BD135" s="196"/>
      <c r="BE135" s="196"/>
      <c r="BF135" s="196"/>
      <c r="BG135" s="163"/>
      <c r="BH135" s="163"/>
      <c r="BI135" s="163"/>
      <c r="BJ135" s="163"/>
      <c r="BK135" s="163"/>
      <c r="BL135" s="163"/>
      <c r="BM135" s="163"/>
      <c r="BN135" s="163"/>
    </row>
    <row r="136" spans="1:66">
      <c r="A136" s="165">
        <v>12026</v>
      </c>
      <c r="B136" s="165" t="s">
        <v>139</v>
      </c>
      <c r="C136" s="269">
        <v>1</v>
      </c>
      <c r="D136" s="269">
        <v>0</v>
      </c>
      <c r="E136" s="272">
        <v>45.847000000000001</v>
      </c>
      <c r="F136" s="272">
        <v>45.149000000000001</v>
      </c>
      <c r="G136" s="272">
        <v>45.152999999999999</v>
      </c>
      <c r="H136" s="272">
        <v>0</v>
      </c>
      <c r="I136" s="272">
        <v>0</v>
      </c>
      <c r="J136" s="272">
        <v>0</v>
      </c>
      <c r="K136" s="272">
        <v>0</v>
      </c>
      <c r="L136" s="272">
        <v>0</v>
      </c>
      <c r="M136" s="272">
        <v>0</v>
      </c>
      <c r="N136" s="272">
        <v>43.82</v>
      </c>
      <c r="O136" s="272">
        <v>43.948</v>
      </c>
      <c r="P136" s="272">
        <v>383863</v>
      </c>
      <c r="Q136" s="272">
        <v>384984</v>
      </c>
      <c r="R136" s="272">
        <v>44.448</v>
      </c>
      <c r="S136" s="272">
        <v>389364</v>
      </c>
      <c r="T136" s="272">
        <v>0</v>
      </c>
      <c r="U136" s="272">
        <v>0</v>
      </c>
      <c r="V136" s="272">
        <v>0</v>
      </c>
      <c r="W136" s="272">
        <v>0</v>
      </c>
      <c r="X136" s="272">
        <v>6.3096999999999997E-3</v>
      </c>
      <c r="Y136" s="272">
        <v>6.3280999999999997E-3</v>
      </c>
      <c r="Z136" s="272">
        <v>0</v>
      </c>
      <c r="AA136" s="272">
        <v>6.3096999999999997E-3</v>
      </c>
      <c r="AB136" s="272">
        <v>6.3280999999999997E-3</v>
      </c>
      <c r="AC136" s="272">
        <v>6.3188999999999997E-3</v>
      </c>
      <c r="AD136" s="272">
        <v>0.99999760000000004</v>
      </c>
      <c r="AE136" s="272">
        <v>0.99999269999999996</v>
      </c>
      <c r="AF136" s="272">
        <v>1</v>
      </c>
      <c r="AG136" s="272">
        <v>1</v>
      </c>
      <c r="AH136" s="272">
        <v>0</v>
      </c>
      <c r="AI136" s="272">
        <v>0</v>
      </c>
      <c r="AJ136" s="154"/>
      <c r="AK136" s="154"/>
      <c r="AL136" s="154"/>
      <c r="AM136" s="154"/>
      <c r="AN136" s="154"/>
      <c r="AO136" s="154"/>
      <c r="AP136" s="154"/>
      <c r="AQ136" s="163"/>
      <c r="AR136" s="163"/>
      <c r="AS136" s="196"/>
      <c r="AT136" s="196"/>
      <c r="AU136" s="196"/>
      <c r="AV136" s="196"/>
      <c r="AW136" s="196"/>
      <c r="AX136" s="196"/>
      <c r="AY136" s="196"/>
      <c r="AZ136" s="196"/>
      <c r="BA136" s="196"/>
      <c r="BB136" s="196"/>
      <c r="BC136" s="196"/>
      <c r="BD136" s="196"/>
      <c r="BE136" s="196"/>
      <c r="BF136" s="196"/>
      <c r="BG136" s="163"/>
      <c r="BH136" s="163"/>
      <c r="BI136" s="163"/>
      <c r="BJ136" s="163"/>
      <c r="BK136" s="163"/>
      <c r="BL136" s="163"/>
      <c r="BM136" s="163"/>
      <c r="BN136" s="163"/>
    </row>
    <row r="137" spans="1:66" s="181" customFormat="1">
      <c r="A137" s="163">
        <v>10298</v>
      </c>
      <c r="B137" s="163" t="s">
        <v>140</v>
      </c>
      <c r="C137" s="269">
        <v>1</v>
      </c>
      <c r="D137" s="269">
        <v>0</v>
      </c>
      <c r="E137" s="272">
        <v>538.07099999999991</v>
      </c>
      <c r="F137" s="272">
        <v>902.01700000000005</v>
      </c>
      <c r="G137" s="272">
        <v>969.20799999999997</v>
      </c>
      <c r="H137" s="272">
        <v>238.45699999999999</v>
      </c>
      <c r="I137" s="272">
        <v>300.80900000000003</v>
      </c>
      <c r="J137" s="272">
        <v>6.4290000000000003</v>
      </c>
      <c r="K137" s="272">
        <v>6.4169999999999998</v>
      </c>
      <c r="L137" s="272">
        <v>56318</v>
      </c>
      <c r="M137" s="272">
        <v>56213</v>
      </c>
      <c r="N137" s="272">
        <v>595.46699999999998</v>
      </c>
      <c r="O137" s="272">
        <v>596.827</v>
      </c>
      <c r="P137" s="272">
        <v>5216291</v>
      </c>
      <c r="Q137" s="272">
        <v>5228205</v>
      </c>
      <c r="R137" s="272">
        <v>521.65300000000002</v>
      </c>
      <c r="S137" s="272">
        <v>4569680</v>
      </c>
      <c r="T137" s="272">
        <v>78.998999999999995</v>
      </c>
      <c r="U137" s="272">
        <v>80.156000000000006</v>
      </c>
      <c r="V137" s="272">
        <v>78.998999999999995</v>
      </c>
      <c r="W137" s="272">
        <v>80.156000000000006</v>
      </c>
      <c r="X137" s="272">
        <v>7.4367100000000005E-2</v>
      </c>
      <c r="Y137" s="272">
        <v>7.4396199999999996E-2</v>
      </c>
      <c r="Z137" s="272">
        <v>0</v>
      </c>
      <c r="AA137" s="272">
        <v>7.4367100000000005E-2</v>
      </c>
      <c r="AB137" s="272">
        <v>7.4396199999999996E-2</v>
      </c>
      <c r="AC137" s="272">
        <v>7.4381699999999995E-2</v>
      </c>
      <c r="AD137" s="272">
        <v>0.90610990000000002</v>
      </c>
      <c r="AE137" s="272">
        <v>0.90442400000000001</v>
      </c>
      <c r="AF137" s="272">
        <v>1.1415002000000001</v>
      </c>
      <c r="AG137" s="272">
        <v>1.1441072999999999</v>
      </c>
      <c r="AH137" s="272">
        <v>0</v>
      </c>
      <c r="AI137" s="272">
        <v>0</v>
      </c>
      <c r="AJ137" s="154"/>
      <c r="AK137" s="154"/>
      <c r="AL137" s="154"/>
      <c r="AM137" s="154"/>
      <c r="AN137" s="154"/>
      <c r="AO137" s="154"/>
      <c r="AP137" s="154"/>
      <c r="AQ137" s="163"/>
      <c r="AR137" s="163"/>
      <c r="AS137" s="196"/>
      <c r="AT137" s="196"/>
      <c r="AU137" s="196"/>
      <c r="AV137" s="196"/>
      <c r="AW137" s="196"/>
      <c r="AX137" s="196"/>
      <c r="AY137" s="196"/>
      <c r="AZ137" s="196"/>
      <c r="BA137" s="196"/>
      <c r="BB137" s="196"/>
      <c r="BC137" s="196"/>
      <c r="BD137" s="196"/>
      <c r="BE137" s="196"/>
      <c r="BF137" s="196"/>
      <c r="BG137" s="163"/>
      <c r="BH137" s="163"/>
      <c r="BI137" s="163"/>
      <c r="BJ137" s="163"/>
      <c r="BK137" s="163"/>
      <c r="BL137" s="163"/>
      <c r="BM137" s="163"/>
      <c r="BN137" s="163"/>
    </row>
    <row r="138" spans="1:66" s="181" customFormat="1">
      <c r="A138" s="163"/>
      <c r="B138" s="163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96"/>
      <c r="X138" s="163"/>
      <c r="Y138" s="163"/>
      <c r="Z138" s="163"/>
      <c r="AA138" s="163"/>
      <c r="AB138" s="163"/>
      <c r="AC138" s="163"/>
      <c r="AD138" s="163"/>
      <c r="AE138" s="163"/>
      <c r="AF138" s="163"/>
      <c r="AG138" s="163"/>
      <c r="AH138" s="163"/>
      <c r="AI138" s="163"/>
      <c r="AJ138" s="163"/>
      <c r="AK138" s="163"/>
      <c r="AL138" s="163"/>
      <c r="AM138" s="163"/>
      <c r="AN138" s="163"/>
      <c r="AO138" s="163"/>
      <c r="AP138" s="163"/>
      <c r="AQ138" s="163"/>
      <c r="AR138" s="163"/>
      <c r="AS138" s="163"/>
      <c r="AT138" s="163"/>
      <c r="AU138" s="163"/>
      <c r="AV138" s="163"/>
      <c r="AW138" s="163"/>
      <c r="AX138" s="163"/>
      <c r="AY138" s="163"/>
      <c r="AZ138" s="163"/>
      <c r="BA138" s="163"/>
      <c r="BB138" s="163"/>
      <c r="BC138" s="163"/>
      <c r="BD138" s="163"/>
      <c r="BE138" s="163"/>
      <c r="BF138" s="163"/>
      <c r="BG138" s="163"/>
      <c r="BH138" s="163"/>
      <c r="BI138" s="163"/>
      <c r="BJ138" s="163"/>
      <c r="BK138" s="163"/>
      <c r="BL138" s="163"/>
      <c r="BM138" s="163"/>
      <c r="BN138" s="163"/>
    </row>
    <row r="139" spans="1:66" s="181" customFormat="1" ht="42.75" customHeight="1">
      <c r="A139" s="163"/>
      <c r="B139" s="163"/>
      <c r="C139" s="163"/>
      <c r="D139" s="163"/>
      <c r="E139" s="163"/>
      <c r="F139" s="163"/>
      <c r="G139" s="163"/>
      <c r="H139" s="163"/>
      <c r="I139" s="163"/>
      <c r="J139" s="197"/>
      <c r="K139" s="163"/>
      <c r="L139" s="163"/>
      <c r="M139" s="163"/>
      <c r="N139" s="163"/>
      <c r="O139" s="197"/>
      <c r="P139" s="163"/>
      <c r="Q139" s="197"/>
      <c r="R139" s="163"/>
      <c r="S139" s="163"/>
      <c r="T139" s="163"/>
      <c r="U139" s="163"/>
      <c r="V139" s="159"/>
      <c r="W139" s="197"/>
      <c r="X139" s="197"/>
      <c r="Y139" s="163"/>
      <c r="Z139" s="163"/>
      <c r="AA139" s="163"/>
      <c r="AB139" s="163"/>
      <c r="AC139" s="163"/>
      <c r="AD139" s="163"/>
      <c r="AE139" s="163"/>
      <c r="AF139" s="163"/>
      <c r="AG139" s="163"/>
      <c r="AH139" s="163"/>
      <c r="AI139" s="163"/>
      <c r="AJ139" s="163"/>
      <c r="AK139" s="163"/>
      <c r="AL139" s="163"/>
      <c r="AM139" s="163"/>
      <c r="AN139" s="163"/>
      <c r="AO139" s="163"/>
      <c r="AP139" s="163"/>
      <c r="AQ139" s="163"/>
      <c r="AR139" s="163"/>
      <c r="AS139" s="163"/>
      <c r="AT139" s="163"/>
      <c r="AU139" s="163"/>
      <c r="AV139" s="163"/>
      <c r="AW139" s="163"/>
      <c r="AX139" s="163"/>
      <c r="AY139" s="163"/>
      <c r="AZ139" s="163"/>
      <c r="BA139" s="163"/>
      <c r="BB139" s="163"/>
      <c r="BC139" s="163"/>
      <c r="BD139" s="163"/>
      <c r="BE139" s="163"/>
      <c r="BF139" s="163"/>
      <c r="BG139" s="163"/>
      <c r="BH139" s="163"/>
      <c r="BI139" s="163"/>
      <c r="BJ139" s="163"/>
      <c r="BK139" s="163"/>
      <c r="BL139" s="163"/>
      <c r="BM139" s="163"/>
      <c r="BN139" s="163"/>
    </row>
    <row r="140" spans="1:66">
      <c r="A140" s="163" t="s">
        <v>141</v>
      </c>
      <c r="B140" s="163" t="s">
        <v>141</v>
      </c>
      <c r="C140" s="163" t="s">
        <v>141</v>
      </c>
      <c r="D140" s="163" t="s">
        <v>141</v>
      </c>
      <c r="E140" s="163"/>
      <c r="F140" s="163"/>
      <c r="G140" s="163"/>
      <c r="H140" s="163"/>
      <c r="I140" s="163"/>
      <c r="J140" s="197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  <c r="Y140" s="163"/>
      <c r="Z140" s="163"/>
      <c r="AA140" s="163"/>
      <c r="AB140" s="163"/>
      <c r="AC140" s="163"/>
      <c r="AD140" s="163"/>
      <c r="AE140" s="163"/>
      <c r="AF140" s="163"/>
      <c r="AG140" s="163"/>
      <c r="AH140" s="163"/>
      <c r="AI140" s="163"/>
      <c r="AJ140" s="163"/>
      <c r="AK140" s="163"/>
      <c r="AL140" s="163"/>
      <c r="AM140" s="163"/>
      <c r="AN140" s="163"/>
      <c r="AO140" s="163"/>
      <c r="AP140" s="163"/>
      <c r="AQ140" s="163"/>
      <c r="AR140" s="163"/>
      <c r="AS140" s="163"/>
      <c r="AT140" s="163"/>
      <c r="AU140" s="163"/>
      <c r="AV140" s="163"/>
      <c r="AW140" s="163"/>
      <c r="AX140" s="163"/>
      <c r="AY140" s="163"/>
      <c r="AZ140" s="163"/>
      <c r="BA140" s="163"/>
      <c r="BB140" s="163"/>
      <c r="BC140" s="163"/>
      <c r="BD140" s="163"/>
      <c r="BE140" s="163"/>
      <c r="BF140" s="163"/>
      <c r="BG140" s="163"/>
      <c r="BH140" s="163"/>
      <c r="BI140" s="163"/>
      <c r="BJ140" s="163"/>
      <c r="BK140" s="163"/>
      <c r="BL140" s="163"/>
      <c r="BM140" s="163"/>
      <c r="BN140" s="163"/>
    </row>
    <row r="141" spans="1:66">
      <c r="A141" s="166" t="s">
        <v>141</v>
      </c>
      <c r="B141" s="167" t="s">
        <v>141</v>
      </c>
      <c r="C141" s="168" t="s">
        <v>141</v>
      </c>
      <c r="D141" s="168" t="s">
        <v>141</v>
      </c>
      <c r="E141" s="170"/>
      <c r="F141" s="170"/>
      <c r="G141" s="170"/>
      <c r="H141" s="170"/>
      <c r="I141" s="170"/>
      <c r="J141" s="170"/>
      <c r="K141" s="171"/>
      <c r="L141" s="171"/>
      <c r="M141" s="170"/>
      <c r="N141" s="170"/>
      <c r="O141" s="171"/>
      <c r="P141" s="171"/>
      <c r="Q141" s="169"/>
      <c r="R141" s="170"/>
      <c r="S141" s="170"/>
      <c r="T141" s="172"/>
      <c r="U141" s="172"/>
      <c r="V141" s="199"/>
      <c r="W141" s="199"/>
      <c r="X141" s="200"/>
      <c r="Y141" s="200"/>
      <c r="Z141" s="170"/>
      <c r="AA141" s="170"/>
      <c r="AB141" s="182"/>
      <c r="AC141" s="182"/>
      <c r="AD141" s="179"/>
      <c r="AE141" s="179"/>
      <c r="AF141" s="173"/>
      <c r="AG141" s="180"/>
      <c r="AH141" s="180"/>
      <c r="AI141" s="180"/>
      <c r="AJ141" s="174"/>
      <c r="AK141" s="174"/>
      <c r="AL141" s="174"/>
      <c r="AM141" s="174"/>
      <c r="AN141" s="175"/>
      <c r="AO141" s="175"/>
      <c r="AP141" s="175"/>
      <c r="AQ141" s="175"/>
      <c r="AR141" s="175"/>
      <c r="AS141" s="175"/>
      <c r="AT141" s="175"/>
      <c r="AU141" s="175"/>
    </row>
    <row r="142" spans="1:66">
      <c r="A142" s="163" t="s">
        <v>141</v>
      </c>
      <c r="B142" s="163" t="s">
        <v>141</v>
      </c>
      <c r="C142" s="163" t="s">
        <v>141</v>
      </c>
      <c r="D142" s="163" t="s">
        <v>141</v>
      </c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  <c r="Y142" s="163"/>
      <c r="Z142" s="163"/>
      <c r="AA142" s="155"/>
      <c r="AB142" s="163"/>
      <c r="AC142" s="163"/>
      <c r="AD142" s="163"/>
      <c r="AE142" s="163"/>
      <c r="AF142" s="163"/>
      <c r="AG142" s="163"/>
      <c r="AH142" s="163"/>
      <c r="AI142" s="163"/>
      <c r="AJ142" s="163"/>
      <c r="AK142" s="163"/>
      <c r="AL142" s="163"/>
      <c r="AM142" s="163"/>
      <c r="AN142" s="163"/>
      <c r="AO142" s="163"/>
      <c r="AP142" s="163"/>
      <c r="AQ142" s="163"/>
      <c r="AR142" s="163"/>
      <c r="AS142" s="163"/>
      <c r="AT142" s="163"/>
      <c r="AU142" s="163"/>
      <c r="AV142" s="163"/>
      <c r="AW142" s="163"/>
      <c r="AX142" s="163"/>
      <c r="AY142" s="163"/>
      <c r="AZ142" s="163"/>
      <c r="BA142" s="163"/>
      <c r="BB142" s="163"/>
      <c r="BC142" s="163"/>
      <c r="BD142" s="163"/>
      <c r="BE142" s="163"/>
      <c r="BF142" s="163"/>
      <c r="BG142" s="163"/>
      <c r="BH142" s="163"/>
      <c r="BI142" s="163"/>
      <c r="BJ142" s="163"/>
      <c r="BK142" s="163"/>
      <c r="BL142" s="163"/>
      <c r="BM142" s="163"/>
      <c r="BN142" s="163"/>
    </row>
    <row r="143" spans="1:66">
      <c r="A143" s="163" t="s">
        <v>141</v>
      </c>
      <c r="B143" s="163" t="s">
        <v>141</v>
      </c>
      <c r="C143" s="163" t="s">
        <v>141</v>
      </c>
      <c r="D143" s="163" t="s">
        <v>141</v>
      </c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3"/>
      <c r="Y143" s="163"/>
      <c r="Z143" s="163"/>
      <c r="AA143" s="197"/>
      <c r="AB143" s="163"/>
      <c r="AC143" s="163"/>
      <c r="AD143" s="163"/>
      <c r="AE143" s="163"/>
      <c r="AF143" s="163"/>
      <c r="AG143" s="163"/>
      <c r="AH143" s="163"/>
      <c r="AI143" s="163"/>
      <c r="AJ143" s="163"/>
      <c r="AK143" s="163"/>
      <c r="AL143" s="163"/>
      <c r="AM143" s="163"/>
      <c r="AN143" s="163"/>
      <c r="AO143" s="163"/>
      <c r="AP143" s="163"/>
      <c r="AQ143" s="163"/>
      <c r="AR143" s="163"/>
      <c r="AS143" s="163"/>
      <c r="AT143" s="163"/>
      <c r="AU143" s="163"/>
      <c r="AV143" s="163"/>
      <c r="AW143" s="163"/>
      <c r="AX143" s="163"/>
      <c r="AY143" s="163"/>
      <c r="AZ143" s="163"/>
      <c r="BA143" s="163"/>
      <c r="BB143" s="163"/>
      <c r="BC143" s="163"/>
      <c r="BD143" s="163"/>
      <c r="BE143" s="163"/>
      <c r="BF143" s="163"/>
      <c r="BG143" s="163"/>
      <c r="BH143" s="163"/>
      <c r="BI143" s="163"/>
      <c r="BJ143" s="163"/>
      <c r="BK143" s="163"/>
      <c r="BL143" s="163"/>
      <c r="BM143" s="163"/>
      <c r="BN143" s="163"/>
    </row>
    <row r="144" spans="1:66">
      <c r="A144" s="166" t="s">
        <v>141</v>
      </c>
      <c r="B144" s="167" t="s">
        <v>141</v>
      </c>
      <c r="C144" s="168" t="s">
        <v>141</v>
      </c>
      <c r="D144" s="168" t="s">
        <v>141</v>
      </c>
      <c r="E144" s="170"/>
      <c r="F144" s="170"/>
      <c r="G144" s="170"/>
      <c r="H144" s="170"/>
      <c r="I144" s="170"/>
      <c r="J144" s="170"/>
      <c r="K144" s="171"/>
      <c r="L144" s="171"/>
      <c r="M144" s="170"/>
      <c r="N144" s="170"/>
      <c r="O144" s="171"/>
      <c r="P144" s="171"/>
      <c r="Q144" s="169"/>
      <c r="R144" s="170"/>
      <c r="S144" s="170"/>
      <c r="T144" s="172"/>
      <c r="U144" s="172"/>
      <c r="V144" s="199"/>
      <c r="W144" s="199"/>
      <c r="X144" s="200"/>
      <c r="Y144" s="200"/>
      <c r="Z144" s="170"/>
      <c r="AA144" s="170"/>
      <c r="AB144" s="182"/>
      <c r="AC144" s="182"/>
      <c r="AD144" s="179"/>
      <c r="AE144" s="179"/>
      <c r="AF144" s="173"/>
      <c r="AG144" s="180"/>
      <c r="AH144" s="180"/>
      <c r="AI144" s="180"/>
      <c r="AJ144" s="174"/>
      <c r="AK144" s="174"/>
      <c r="AL144" s="174"/>
      <c r="AM144" s="174"/>
      <c r="AN144" s="175"/>
      <c r="AO144" s="175"/>
      <c r="AP144" s="175"/>
      <c r="AQ144" s="175"/>
      <c r="AR144" s="175"/>
      <c r="AS144" s="175"/>
      <c r="AT144" s="175"/>
      <c r="AU144" s="175"/>
    </row>
    <row r="145" spans="1:56">
      <c r="A145" s="166" t="s">
        <v>141</v>
      </c>
      <c r="B145" s="167" t="s">
        <v>141</v>
      </c>
      <c r="C145" s="168" t="s">
        <v>141</v>
      </c>
      <c r="D145" s="168" t="s">
        <v>141</v>
      </c>
      <c r="E145" s="170"/>
      <c r="F145" s="170"/>
      <c r="G145" s="197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  <c r="Y145" s="163"/>
      <c r="Z145" s="163"/>
      <c r="AA145" s="163"/>
      <c r="AB145" s="163"/>
      <c r="AC145" s="163"/>
      <c r="AD145" s="163"/>
      <c r="AE145" s="163"/>
      <c r="AF145" s="163"/>
      <c r="AG145" s="163"/>
      <c r="AH145" s="163"/>
      <c r="AI145" s="163"/>
      <c r="AJ145" s="163"/>
      <c r="AK145" s="163"/>
      <c r="AL145" s="163"/>
      <c r="AM145" s="163"/>
      <c r="AN145" s="163"/>
      <c r="AO145" s="163"/>
      <c r="AP145" s="163"/>
      <c r="AQ145" s="163"/>
      <c r="AR145" s="163"/>
      <c r="AS145" s="163"/>
      <c r="AT145" s="163"/>
      <c r="AU145" s="163"/>
      <c r="AV145" s="163"/>
      <c r="AW145" s="163"/>
      <c r="AX145" s="163"/>
      <c r="AY145" s="163"/>
      <c r="AZ145" s="163"/>
      <c r="BA145" s="163"/>
      <c r="BB145" s="163"/>
      <c r="BC145" s="163"/>
      <c r="BD145" s="163"/>
    </row>
    <row r="146" spans="1:56">
      <c r="A146" s="166" t="s">
        <v>141</v>
      </c>
      <c r="B146" s="167" t="s">
        <v>141</v>
      </c>
      <c r="C146" s="168" t="s">
        <v>141</v>
      </c>
      <c r="D146" s="168" t="s">
        <v>141</v>
      </c>
      <c r="E146" s="170"/>
      <c r="F146" s="170"/>
      <c r="G146" s="170"/>
      <c r="H146" s="170"/>
      <c r="I146" s="170"/>
      <c r="J146" s="170"/>
      <c r="K146" s="171"/>
      <c r="L146" s="171"/>
      <c r="M146" s="170"/>
      <c r="N146" s="170"/>
      <c r="O146" s="171"/>
      <c r="P146" s="171"/>
      <c r="Q146" s="169"/>
      <c r="R146" s="170"/>
      <c r="S146" s="170"/>
      <c r="T146" s="172"/>
      <c r="U146" s="172"/>
      <c r="V146" s="199"/>
      <c r="W146" s="199"/>
      <c r="X146" s="200"/>
      <c r="Y146" s="200"/>
      <c r="Z146" s="170"/>
      <c r="AA146" s="170"/>
      <c r="AB146" s="182"/>
      <c r="AC146" s="182"/>
      <c r="AD146" s="179"/>
      <c r="AE146" s="179"/>
      <c r="AF146" s="173"/>
      <c r="AG146" s="180"/>
      <c r="AH146" s="180"/>
      <c r="AI146" s="180"/>
      <c r="AJ146" s="174"/>
      <c r="AK146" s="174"/>
      <c r="AL146" s="174"/>
      <c r="AM146" s="174"/>
      <c r="AN146" s="175"/>
      <c r="AO146" s="175"/>
      <c r="AP146" s="175"/>
      <c r="AQ146" s="175"/>
      <c r="AR146" s="175"/>
      <c r="AS146" s="175"/>
      <c r="AT146" s="175"/>
      <c r="AU146" s="175"/>
    </row>
    <row r="147" spans="1:56">
      <c r="A147" s="166" t="s">
        <v>141</v>
      </c>
      <c r="B147" s="167" t="s">
        <v>141</v>
      </c>
      <c r="C147" s="168" t="s">
        <v>141</v>
      </c>
      <c r="D147" s="168" t="s">
        <v>141</v>
      </c>
      <c r="E147" s="170"/>
      <c r="F147" s="170"/>
      <c r="G147" s="170"/>
      <c r="H147" s="170"/>
      <c r="I147" s="170"/>
      <c r="J147" s="170"/>
      <c r="K147" s="171"/>
      <c r="L147" s="171"/>
      <c r="M147" s="170"/>
      <c r="N147" s="170"/>
      <c r="O147" s="171"/>
      <c r="P147" s="171"/>
      <c r="Q147" s="169"/>
      <c r="R147" s="170"/>
      <c r="S147" s="170"/>
      <c r="T147" s="172"/>
      <c r="U147" s="172"/>
      <c r="V147" s="199"/>
      <c r="W147" s="199"/>
      <c r="X147" s="200"/>
      <c r="Y147" s="200"/>
      <c r="Z147" s="170"/>
      <c r="AA147" s="170"/>
      <c r="AB147" s="182"/>
      <c r="AC147" s="182"/>
      <c r="AD147" s="179"/>
      <c r="AE147" s="179"/>
      <c r="AF147" s="173"/>
      <c r="AG147" s="180"/>
      <c r="AH147" s="180"/>
      <c r="AI147" s="180"/>
      <c r="AJ147" s="174"/>
      <c r="AK147" s="174"/>
      <c r="AL147" s="174"/>
      <c r="AM147" s="174"/>
      <c r="AN147" s="175"/>
      <c r="AO147" s="175"/>
      <c r="AP147" s="175"/>
      <c r="AQ147" s="175"/>
      <c r="AR147" s="175"/>
      <c r="AS147" s="175"/>
      <c r="AT147" s="175"/>
      <c r="AU147" s="175"/>
    </row>
    <row r="148" spans="1:56">
      <c r="A148" s="166" t="s">
        <v>141</v>
      </c>
      <c r="B148" s="167" t="s">
        <v>141</v>
      </c>
      <c r="C148" s="168" t="s">
        <v>141</v>
      </c>
      <c r="D148" s="168" t="s">
        <v>141</v>
      </c>
      <c r="E148" s="170"/>
      <c r="F148" s="170"/>
      <c r="G148" s="170"/>
      <c r="H148" s="170"/>
      <c r="I148" s="170"/>
      <c r="J148" s="170"/>
      <c r="K148" s="171"/>
      <c r="L148" s="171"/>
      <c r="M148" s="170"/>
      <c r="N148" s="170"/>
      <c r="O148" s="171"/>
      <c r="P148" s="171"/>
      <c r="Q148" s="169"/>
      <c r="R148" s="170"/>
      <c r="S148" s="170"/>
      <c r="T148" s="172"/>
      <c r="U148" s="172"/>
      <c r="V148" s="199"/>
      <c r="W148" s="199"/>
      <c r="X148" s="200"/>
      <c r="Y148" s="200"/>
      <c r="Z148" s="170"/>
      <c r="AA148" s="170"/>
      <c r="AB148" s="182"/>
      <c r="AC148" s="182"/>
      <c r="AD148" s="179"/>
      <c r="AE148" s="179"/>
      <c r="AF148" s="173"/>
      <c r="AG148" s="180"/>
      <c r="AH148" s="180"/>
      <c r="AI148" s="180"/>
      <c r="AJ148" s="174"/>
      <c r="AK148" s="174"/>
      <c r="AL148" s="174"/>
      <c r="AM148" s="174"/>
      <c r="AN148" s="175"/>
      <c r="AO148" s="175"/>
      <c r="AP148" s="175"/>
      <c r="AQ148" s="175"/>
      <c r="AR148" s="175"/>
      <c r="AS148" s="175"/>
      <c r="AT148" s="175"/>
      <c r="AU148" s="175"/>
    </row>
    <row r="149" spans="1:56">
      <c r="A149" s="166">
        <v>1</v>
      </c>
      <c r="B149" s="167">
        <v>2</v>
      </c>
      <c r="C149" s="168">
        <v>3</v>
      </c>
      <c r="D149" s="168">
        <v>4</v>
      </c>
      <c r="E149" s="213">
        <v>6</v>
      </c>
      <c r="F149" s="213">
        <v>7</v>
      </c>
      <c r="G149" s="213">
        <v>8</v>
      </c>
      <c r="H149" s="213">
        <v>9</v>
      </c>
      <c r="I149" s="213">
        <v>10</v>
      </c>
      <c r="J149" s="213">
        <v>11</v>
      </c>
      <c r="K149" s="213">
        <v>12</v>
      </c>
      <c r="L149" s="213">
        <v>13</v>
      </c>
      <c r="M149" s="213">
        <v>14</v>
      </c>
      <c r="N149" s="213">
        <v>15</v>
      </c>
      <c r="O149" s="213">
        <v>16</v>
      </c>
      <c r="P149" s="213">
        <v>17</v>
      </c>
      <c r="Q149" s="213">
        <v>18</v>
      </c>
      <c r="R149" s="213">
        <v>19</v>
      </c>
      <c r="S149" s="213">
        <v>20</v>
      </c>
      <c r="T149" s="214">
        <v>22</v>
      </c>
      <c r="U149" s="214">
        <v>23</v>
      </c>
      <c r="V149" s="215">
        <v>24</v>
      </c>
      <c r="W149" s="215">
        <v>25</v>
      </c>
      <c r="X149" s="216">
        <v>32</v>
      </c>
      <c r="Y149" s="216">
        <v>33</v>
      </c>
      <c r="Z149" s="213">
        <v>34</v>
      </c>
      <c r="AA149" s="213">
        <v>35</v>
      </c>
      <c r="AB149" s="217">
        <v>36</v>
      </c>
      <c r="AC149" s="217">
        <v>37</v>
      </c>
      <c r="AD149" s="218">
        <v>38</v>
      </c>
      <c r="AE149" s="218">
        <v>39</v>
      </c>
      <c r="AF149" s="168">
        <v>40</v>
      </c>
      <c r="AG149" s="218">
        <v>41</v>
      </c>
      <c r="AH149" s="218">
        <v>42</v>
      </c>
      <c r="AI149" s="218">
        <v>43</v>
      </c>
      <c r="AJ149" s="174"/>
      <c r="AK149" s="174"/>
      <c r="AL149" s="174"/>
      <c r="AM149" s="174"/>
      <c r="AN149" s="175"/>
      <c r="AO149" s="175"/>
      <c r="AP149" s="175"/>
      <c r="AQ149" s="175"/>
      <c r="AR149" s="175"/>
      <c r="AS149" s="175"/>
      <c r="AT149" s="175"/>
      <c r="AU149" s="175"/>
    </row>
    <row r="150" spans="1:56">
      <c r="A150" s="166" t="s">
        <v>141</v>
      </c>
      <c r="B150" s="167" t="s">
        <v>141</v>
      </c>
      <c r="C150" s="168" t="s">
        <v>141</v>
      </c>
      <c r="D150" s="168" t="s">
        <v>141</v>
      </c>
      <c r="E150" s="170"/>
      <c r="F150" s="170"/>
      <c r="G150" s="170"/>
      <c r="H150" s="170"/>
      <c r="I150" s="170"/>
      <c r="J150" s="170"/>
      <c r="K150" s="171"/>
      <c r="L150" s="171"/>
      <c r="M150" s="170"/>
      <c r="N150" s="170"/>
      <c r="O150" s="171"/>
      <c r="P150" s="171"/>
      <c r="Q150" s="169"/>
      <c r="R150" s="170"/>
      <c r="S150" s="170"/>
      <c r="T150" s="172"/>
      <c r="U150" s="172"/>
      <c r="V150" s="199"/>
      <c r="W150" s="199"/>
      <c r="X150" s="200"/>
      <c r="Y150" s="200"/>
      <c r="Z150" s="170"/>
      <c r="AA150" s="170"/>
      <c r="AB150" s="182"/>
      <c r="AC150" s="182"/>
      <c r="AD150" s="179"/>
      <c r="AE150" s="179"/>
      <c r="AF150" s="173"/>
      <c r="AG150" s="180"/>
      <c r="AH150" s="180"/>
      <c r="AI150" s="180"/>
      <c r="AJ150" s="174"/>
      <c r="AK150" s="174"/>
      <c r="AL150" s="174"/>
      <c r="AM150" s="174"/>
      <c r="AN150" s="175"/>
      <c r="AO150" s="175"/>
      <c r="AP150" s="175"/>
      <c r="AQ150" s="175"/>
      <c r="AR150" s="175"/>
      <c r="AS150" s="175"/>
      <c r="AT150" s="175"/>
      <c r="AU150" s="175"/>
    </row>
    <row r="151" spans="1:56">
      <c r="A151" s="166" t="s">
        <v>141</v>
      </c>
      <c r="B151" s="167" t="s">
        <v>141</v>
      </c>
      <c r="C151" s="168" t="s">
        <v>141</v>
      </c>
      <c r="D151" s="168" t="s">
        <v>141</v>
      </c>
      <c r="E151" s="170"/>
      <c r="F151" s="170"/>
      <c r="G151" s="170"/>
      <c r="H151" s="170"/>
      <c r="I151" s="170"/>
      <c r="J151" s="170"/>
      <c r="K151" s="171"/>
      <c r="L151" s="171"/>
      <c r="M151" s="170"/>
      <c r="N151" s="170"/>
      <c r="O151" s="171"/>
      <c r="P151" s="171"/>
      <c r="Q151" s="169"/>
      <c r="R151" s="170"/>
      <c r="S151" s="170"/>
      <c r="T151" s="172"/>
      <c r="U151" s="172"/>
      <c r="V151" s="199"/>
      <c r="W151" s="199"/>
      <c r="X151" s="200"/>
      <c r="Y151" s="200"/>
      <c r="Z151" s="170"/>
      <c r="AA151" s="170"/>
      <c r="AB151" s="182"/>
      <c r="AC151" s="182"/>
      <c r="AD151" s="179"/>
      <c r="AE151" s="179"/>
      <c r="AF151" s="173"/>
      <c r="AG151" s="180"/>
      <c r="AH151" s="180"/>
      <c r="AI151" s="180"/>
      <c r="AJ151" s="174"/>
      <c r="AK151" s="174"/>
      <c r="AL151" s="174"/>
      <c r="AM151" s="174"/>
      <c r="AN151" s="175"/>
      <c r="AO151" s="175"/>
      <c r="AP151" s="175"/>
      <c r="AQ151" s="175"/>
      <c r="AR151" s="175"/>
      <c r="AS151" s="175"/>
      <c r="AT151" s="175"/>
      <c r="AU151" s="175"/>
    </row>
    <row r="152" spans="1:56">
      <c r="A152" s="166" t="s">
        <v>141</v>
      </c>
      <c r="B152" s="167" t="s">
        <v>141</v>
      </c>
      <c r="C152" s="168" t="s">
        <v>141</v>
      </c>
      <c r="D152" s="168" t="s">
        <v>141</v>
      </c>
      <c r="E152" s="170"/>
      <c r="F152" s="170"/>
      <c r="G152" s="170"/>
      <c r="H152" s="170"/>
      <c r="I152" s="170"/>
      <c r="J152" s="170"/>
      <c r="K152" s="171"/>
      <c r="L152" s="171"/>
      <c r="M152" s="170"/>
      <c r="N152" s="170"/>
      <c r="O152" s="171"/>
      <c r="P152" s="171"/>
      <c r="Q152" s="169"/>
      <c r="R152" s="170"/>
      <c r="S152" s="170"/>
      <c r="T152" s="172"/>
      <c r="U152" s="172"/>
      <c r="V152" s="199"/>
      <c r="W152" s="199"/>
      <c r="X152" s="200"/>
      <c r="Y152" s="200"/>
      <c r="Z152" s="170"/>
      <c r="AA152" s="170"/>
      <c r="AB152" s="182"/>
      <c r="AC152" s="182"/>
      <c r="AD152" s="179"/>
      <c r="AE152" s="179"/>
      <c r="AF152" s="173"/>
      <c r="AG152" s="180"/>
      <c r="AH152" s="180"/>
      <c r="AI152" s="180"/>
      <c r="AJ152" s="174"/>
      <c r="AK152" s="174"/>
      <c r="AL152" s="174"/>
      <c r="AM152" s="174"/>
      <c r="AN152" s="175"/>
      <c r="AO152" s="175"/>
      <c r="AP152" s="175"/>
      <c r="AQ152" s="175"/>
      <c r="AR152" s="175"/>
      <c r="AS152" s="175"/>
      <c r="AT152" s="175"/>
      <c r="AU152" s="175"/>
    </row>
    <row r="153" spans="1:56">
      <c r="A153" s="166" t="s">
        <v>141</v>
      </c>
      <c r="B153" s="167" t="s">
        <v>141</v>
      </c>
      <c r="C153" s="168" t="s">
        <v>141</v>
      </c>
      <c r="D153" s="168" t="s">
        <v>141</v>
      </c>
      <c r="E153" s="170"/>
      <c r="F153" s="170"/>
      <c r="G153" s="170"/>
      <c r="H153" s="170"/>
      <c r="I153" s="170"/>
      <c r="J153" s="170"/>
      <c r="K153" s="171"/>
      <c r="L153" s="171"/>
      <c r="M153" s="170"/>
      <c r="N153" s="170"/>
      <c r="O153" s="171"/>
      <c r="P153" s="171"/>
      <c r="Q153" s="169"/>
      <c r="R153" s="170"/>
      <c r="S153" s="170"/>
      <c r="T153" s="172"/>
      <c r="U153" s="172"/>
      <c r="V153" s="199"/>
      <c r="W153" s="199"/>
      <c r="X153" s="200"/>
      <c r="Y153" s="200"/>
      <c r="Z153" s="170"/>
      <c r="AA153" s="170"/>
      <c r="AB153" s="182"/>
      <c r="AC153" s="182"/>
      <c r="AD153" s="179"/>
      <c r="AE153" s="179"/>
      <c r="AF153" s="173"/>
      <c r="AG153" s="180"/>
      <c r="AH153" s="180"/>
      <c r="AI153" s="180"/>
      <c r="AJ153" s="174"/>
      <c r="AK153" s="174"/>
      <c r="AL153" s="174"/>
      <c r="AM153" s="174"/>
      <c r="AN153" s="175"/>
      <c r="AO153" s="175"/>
      <c r="AP153" s="175"/>
      <c r="AQ153" s="175"/>
      <c r="AR153" s="175"/>
      <c r="AS153" s="175"/>
      <c r="AT153" s="175"/>
      <c r="AU153" s="175"/>
    </row>
    <row r="154" spans="1:56">
      <c r="A154" s="166" t="s">
        <v>141</v>
      </c>
      <c r="B154" s="167" t="s">
        <v>141</v>
      </c>
      <c r="C154" s="168" t="s">
        <v>141</v>
      </c>
      <c r="D154" s="168" t="s">
        <v>141</v>
      </c>
      <c r="E154" s="170"/>
      <c r="F154" s="170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  <c r="Y154" s="163"/>
      <c r="Z154" s="163"/>
      <c r="AA154" s="163"/>
      <c r="AB154" s="163"/>
      <c r="AC154" s="163"/>
      <c r="AD154" s="154"/>
      <c r="AE154" s="163"/>
      <c r="AF154" s="163"/>
      <c r="AG154" s="163"/>
      <c r="AH154" s="163"/>
      <c r="AI154" s="163"/>
      <c r="AJ154" s="163"/>
      <c r="AK154" s="163"/>
      <c r="AL154" s="163"/>
      <c r="AM154" s="163"/>
      <c r="AN154" s="163"/>
      <c r="AO154" s="163"/>
      <c r="AP154" s="163"/>
      <c r="AQ154" s="163"/>
      <c r="AR154" s="163"/>
      <c r="AS154" s="163"/>
      <c r="AT154" s="163"/>
      <c r="AU154" s="163"/>
      <c r="AV154" s="163"/>
      <c r="AW154" s="163"/>
      <c r="AX154" s="163"/>
      <c r="AY154" s="163"/>
      <c r="AZ154" s="163"/>
      <c r="BA154" s="163"/>
      <c r="BB154" s="163"/>
      <c r="BC154" s="163"/>
      <c r="BD154" s="163"/>
    </row>
    <row r="155" spans="1:56">
      <c r="A155" s="166" t="s">
        <v>141</v>
      </c>
      <c r="B155" s="167" t="s">
        <v>141</v>
      </c>
      <c r="C155" s="168" t="s">
        <v>141</v>
      </c>
      <c r="D155" s="168" t="s">
        <v>141</v>
      </c>
      <c r="E155" s="170"/>
      <c r="F155" s="170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  <c r="Y155" s="163"/>
      <c r="Z155" s="163"/>
      <c r="AA155" s="163"/>
      <c r="AB155" s="163"/>
      <c r="AC155" s="163"/>
      <c r="AD155" s="154"/>
      <c r="AE155" s="163"/>
      <c r="AF155" s="163"/>
      <c r="AG155" s="163"/>
      <c r="AH155" s="163"/>
      <c r="AI155" s="163"/>
      <c r="AJ155" s="163"/>
      <c r="AK155" s="163"/>
      <c r="AL155" s="163"/>
      <c r="AM155" s="163"/>
      <c r="AN155" s="163"/>
      <c r="AO155" s="163"/>
      <c r="AP155" s="163"/>
      <c r="AQ155" s="163"/>
      <c r="AR155" s="163"/>
      <c r="AS155" s="163"/>
      <c r="AT155" s="163"/>
      <c r="AU155" s="163"/>
      <c r="AV155" s="163"/>
      <c r="AW155" s="163"/>
      <c r="AX155" s="163"/>
      <c r="AY155" s="163"/>
      <c r="AZ155" s="163"/>
      <c r="BA155" s="163"/>
      <c r="BB155" s="163"/>
      <c r="BC155" s="163"/>
      <c r="BD155" s="163"/>
    </row>
    <row r="156" spans="1:56">
      <c r="A156" s="166" t="s">
        <v>141</v>
      </c>
      <c r="B156" s="167" t="s">
        <v>141</v>
      </c>
      <c r="C156" s="168" t="s">
        <v>141</v>
      </c>
      <c r="D156" s="168" t="s">
        <v>141</v>
      </c>
      <c r="E156" s="170"/>
      <c r="F156" s="170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  <c r="Y156" s="163"/>
      <c r="Z156" s="163"/>
      <c r="AA156" s="163"/>
      <c r="AB156" s="163"/>
      <c r="AC156" s="163"/>
      <c r="AD156" s="154"/>
      <c r="AE156" s="163"/>
      <c r="AF156" s="163"/>
      <c r="AG156" s="163"/>
      <c r="AH156" s="163"/>
      <c r="AI156" s="163"/>
      <c r="AJ156" s="163"/>
      <c r="AK156" s="163"/>
      <c r="AL156" s="163"/>
      <c r="AM156" s="163"/>
      <c r="AN156" s="163"/>
      <c r="AO156" s="163"/>
      <c r="AP156" s="163"/>
      <c r="AQ156" s="163"/>
      <c r="AR156" s="163"/>
      <c r="AS156" s="163"/>
      <c r="AT156" s="163"/>
      <c r="AU156" s="163"/>
      <c r="AV156" s="163"/>
      <c r="AW156" s="163"/>
      <c r="AX156" s="163"/>
      <c r="AY156" s="163"/>
      <c r="AZ156" s="163"/>
      <c r="BA156" s="163"/>
      <c r="BB156" s="163"/>
      <c r="BC156" s="163"/>
      <c r="BD156" s="163"/>
    </row>
    <row r="157" spans="1:56">
      <c r="A157" s="166" t="s">
        <v>141</v>
      </c>
      <c r="B157" s="167" t="s">
        <v>141</v>
      </c>
      <c r="C157" s="168" t="s">
        <v>141</v>
      </c>
      <c r="D157" s="168" t="s">
        <v>141</v>
      </c>
      <c r="E157" s="170"/>
      <c r="F157" s="170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63"/>
      <c r="Y157" s="163"/>
      <c r="Z157" s="163"/>
      <c r="AA157" s="163"/>
      <c r="AB157" s="163"/>
      <c r="AC157" s="163"/>
      <c r="AD157" s="154"/>
      <c r="AE157" s="163"/>
      <c r="AF157" s="163"/>
      <c r="AG157" s="163"/>
      <c r="AH157" s="163"/>
      <c r="AI157" s="163"/>
      <c r="AJ157" s="163"/>
      <c r="AK157" s="163"/>
      <c r="AL157" s="163"/>
      <c r="AM157" s="163"/>
      <c r="AN157" s="163"/>
      <c r="AO157" s="163"/>
      <c r="AP157" s="163"/>
      <c r="AQ157" s="163"/>
      <c r="AR157" s="163"/>
      <c r="AS157" s="163"/>
      <c r="AT157" s="163"/>
      <c r="AU157" s="163"/>
      <c r="AV157" s="163"/>
      <c r="AW157" s="163"/>
      <c r="AX157" s="163"/>
      <c r="AY157" s="163"/>
      <c r="AZ157" s="163"/>
      <c r="BA157" s="163"/>
      <c r="BB157" s="163"/>
      <c r="BC157" s="163"/>
      <c r="BD157" s="163"/>
    </row>
    <row r="158" spans="1:56">
      <c r="A158" s="166" t="s">
        <v>141</v>
      </c>
      <c r="B158" s="167" t="s">
        <v>141</v>
      </c>
      <c r="C158" s="168" t="s">
        <v>141</v>
      </c>
      <c r="D158" s="168" t="s">
        <v>141</v>
      </c>
      <c r="E158" s="170"/>
      <c r="F158" s="170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  <c r="Y158" s="163"/>
      <c r="Z158" s="163"/>
      <c r="AA158" s="163"/>
      <c r="AB158" s="163"/>
      <c r="AC158" s="163"/>
      <c r="AD158" s="154"/>
      <c r="AE158" s="163"/>
      <c r="AF158" s="163"/>
      <c r="AG158" s="163"/>
      <c r="AH158" s="163"/>
      <c r="AI158" s="163"/>
      <c r="AJ158" s="163"/>
      <c r="AK158" s="163"/>
      <c r="AL158" s="163"/>
      <c r="AM158" s="163"/>
      <c r="AN158" s="163"/>
      <c r="AO158" s="163"/>
      <c r="AP158" s="163"/>
      <c r="AQ158" s="163"/>
      <c r="AR158" s="163"/>
      <c r="AS158" s="163"/>
      <c r="AT158" s="163"/>
      <c r="AU158" s="163"/>
      <c r="AV158" s="163"/>
      <c r="AW158" s="163"/>
      <c r="AX158" s="163"/>
      <c r="AY158" s="163"/>
      <c r="AZ158" s="163"/>
      <c r="BA158" s="163"/>
      <c r="BB158" s="163"/>
      <c r="BC158" s="163"/>
      <c r="BD158" s="163"/>
    </row>
    <row r="159" spans="1:56">
      <c r="A159" s="166" t="s">
        <v>141</v>
      </c>
      <c r="B159" s="167" t="s">
        <v>141</v>
      </c>
      <c r="C159" s="168" t="s">
        <v>141</v>
      </c>
      <c r="D159" s="168" t="s">
        <v>141</v>
      </c>
      <c r="E159" s="170"/>
      <c r="F159" s="170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  <c r="Y159" s="163"/>
      <c r="Z159" s="163"/>
      <c r="AA159" s="163"/>
      <c r="AB159" s="163"/>
      <c r="AC159" s="163"/>
      <c r="AD159" s="154"/>
      <c r="AE159" s="163"/>
      <c r="AF159" s="163"/>
      <c r="AG159" s="163"/>
      <c r="AH159" s="163"/>
      <c r="AI159" s="163"/>
      <c r="AJ159" s="163"/>
      <c r="AK159" s="163"/>
      <c r="AL159" s="163"/>
      <c r="AM159" s="163"/>
      <c r="AN159" s="163"/>
      <c r="AO159" s="163"/>
      <c r="AP159" s="163"/>
      <c r="AQ159" s="163"/>
      <c r="AR159" s="163"/>
      <c r="AS159" s="163"/>
      <c r="AT159" s="163"/>
      <c r="AU159" s="163"/>
      <c r="AV159" s="163"/>
      <c r="AW159" s="163"/>
      <c r="AX159" s="163"/>
      <c r="AY159" s="163"/>
      <c r="AZ159" s="163"/>
      <c r="BA159" s="163"/>
      <c r="BB159" s="163"/>
      <c r="BC159" s="163"/>
      <c r="BD159" s="163"/>
    </row>
    <row r="160" spans="1:56">
      <c r="A160" s="166" t="s">
        <v>141</v>
      </c>
      <c r="B160" s="167" t="s">
        <v>141</v>
      </c>
      <c r="C160" s="168" t="s">
        <v>141</v>
      </c>
      <c r="D160" s="168" t="s">
        <v>141</v>
      </c>
      <c r="E160" s="170"/>
      <c r="F160" s="170"/>
      <c r="G160" s="170"/>
      <c r="H160" s="170"/>
      <c r="I160" s="170"/>
      <c r="J160" s="170"/>
      <c r="K160" s="171"/>
      <c r="L160" s="171"/>
      <c r="M160" s="170"/>
      <c r="N160" s="170"/>
      <c r="O160" s="171"/>
      <c r="P160" s="171"/>
      <c r="Q160" s="169"/>
      <c r="R160" s="170"/>
      <c r="S160" s="170"/>
      <c r="T160" s="172"/>
      <c r="U160" s="172"/>
      <c r="V160" s="199"/>
      <c r="W160" s="199"/>
      <c r="X160" s="200"/>
      <c r="Y160" s="200"/>
      <c r="Z160" s="170"/>
      <c r="AA160" s="170"/>
      <c r="AB160" s="182"/>
      <c r="AC160" s="163"/>
      <c r="AD160" s="154"/>
      <c r="AE160" s="179"/>
      <c r="AF160" s="173"/>
      <c r="AG160" s="180"/>
      <c r="AH160" s="180"/>
      <c r="AI160" s="180"/>
      <c r="AJ160" s="174"/>
      <c r="AK160" s="174"/>
      <c r="AL160" s="174"/>
      <c r="AM160" s="174"/>
      <c r="AN160" s="175"/>
      <c r="AO160" s="175"/>
      <c r="AP160" s="175"/>
      <c r="AQ160" s="175"/>
      <c r="AR160" s="175"/>
      <c r="AS160" s="175"/>
      <c r="AT160" s="175"/>
      <c r="AU160" s="175"/>
    </row>
    <row r="161" spans="1:47">
      <c r="A161" s="166" t="s">
        <v>141</v>
      </c>
      <c r="B161" s="167" t="s">
        <v>141</v>
      </c>
      <c r="C161" s="168" t="s">
        <v>141</v>
      </c>
      <c r="D161" s="168" t="s">
        <v>141</v>
      </c>
      <c r="E161" s="170"/>
      <c r="F161" s="170"/>
      <c r="G161" s="170"/>
      <c r="H161" s="170"/>
      <c r="I161" s="170"/>
      <c r="J161" s="170"/>
      <c r="K161" s="171"/>
      <c r="L161" s="171"/>
      <c r="M161" s="170"/>
      <c r="N161" s="170"/>
      <c r="O161" s="171"/>
      <c r="P161" s="171"/>
      <c r="Q161" s="169"/>
      <c r="R161" s="170"/>
      <c r="S161" s="170"/>
      <c r="T161" s="172"/>
      <c r="U161" s="172"/>
      <c r="V161" s="199"/>
      <c r="W161" s="199"/>
      <c r="X161" s="200"/>
      <c r="Y161" s="200"/>
      <c r="Z161" s="170"/>
      <c r="AA161" s="170"/>
      <c r="AB161" s="182"/>
      <c r="AC161" s="163"/>
      <c r="AD161" s="154"/>
      <c r="AE161" s="179"/>
      <c r="AF161" s="173"/>
      <c r="AG161" s="180"/>
      <c r="AH161" s="180"/>
      <c r="AI161" s="180"/>
      <c r="AJ161" s="174"/>
      <c r="AK161" s="174"/>
      <c r="AL161" s="174"/>
      <c r="AM161" s="174"/>
      <c r="AN161" s="175"/>
      <c r="AO161" s="175"/>
      <c r="AP161" s="175"/>
      <c r="AQ161" s="175"/>
      <c r="AR161" s="175"/>
      <c r="AS161" s="175"/>
      <c r="AT161" s="175"/>
      <c r="AU161" s="175"/>
    </row>
    <row r="162" spans="1:47">
      <c r="A162" s="166" t="s">
        <v>141</v>
      </c>
      <c r="B162" s="167" t="s">
        <v>141</v>
      </c>
      <c r="C162" s="168" t="s">
        <v>141</v>
      </c>
      <c r="D162" s="168" t="s">
        <v>141</v>
      </c>
      <c r="E162" s="170"/>
      <c r="F162" s="170"/>
      <c r="G162" s="170"/>
      <c r="H162" s="170"/>
      <c r="I162" s="170"/>
      <c r="J162" s="170"/>
      <c r="K162" s="171"/>
      <c r="L162" s="171"/>
      <c r="M162" s="170"/>
      <c r="N162" s="170"/>
      <c r="O162" s="171"/>
      <c r="P162" s="171"/>
      <c r="Q162" s="169"/>
      <c r="R162" s="170"/>
      <c r="S162" s="170"/>
      <c r="T162" s="172"/>
      <c r="U162" s="172"/>
      <c r="V162" s="199"/>
      <c r="W162" s="199"/>
      <c r="X162" s="200"/>
      <c r="Y162" s="200"/>
      <c r="Z162" s="170"/>
      <c r="AA162" s="170"/>
      <c r="AB162" s="182"/>
      <c r="AC162" s="163"/>
      <c r="AD162" s="154"/>
      <c r="AE162" s="179"/>
      <c r="AF162" s="173"/>
      <c r="AG162" s="180"/>
      <c r="AH162" s="180"/>
      <c r="AI162" s="180"/>
      <c r="AJ162" s="174"/>
      <c r="AK162" s="174"/>
      <c r="AL162" s="174"/>
      <c r="AM162" s="174"/>
      <c r="AN162" s="175"/>
      <c r="AO162" s="175"/>
      <c r="AP162" s="175"/>
      <c r="AQ162" s="175"/>
      <c r="AR162" s="175"/>
      <c r="AS162" s="175"/>
      <c r="AT162" s="175"/>
      <c r="AU162" s="175"/>
    </row>
    <row r="163" spans="1:47">
      <c r="A163" s="166" t="s">
        <v>141</v>
      </c>
      <c r="B163" s="167" t="s">
        <v>141</v>
      </c>
      <c r="C163" s="168" t="s">
        <v>141</v>
      </c>
      <c r="D163" s="168" t="s">
        <v>141</v>
      </c>
      <c r="E163" s="170"/>
      <c r="F163" s="170"/>
      <c r="G163" s="170"/>
      <c r="H163" s="170"/>
      <c r="I163" s="170"/>
      <c r="J163" s="170"/>
      <c r="K163" s="171"/>
      <c r="L163" s="171"/>
      <c r="M163" s="170"/>
      <c r="N163" s="170"/>
      <c r="O163" s="171"/>
      <c r="P163" s="171"/>
      <c r="Q163" s="169"/>
      <c r="R163" s="170"/>
      <c r="S163" s="170"/>
      <c r="T163" s="172"/>
      <c r="U163" s="172"/>
      <c r="V163" s="199"/>
      <c r="W163" s="199"/>
      <c r="X163" s="200"/>
      <c r="Y163" s="200"/>
      <c r="Z163" s="170"/>
      <c r="AA163" s="170"/>
      <c r="AB163" s="182"/>
      <c r="AC163" s="163"/>
      <c r="AD163" s="154"/>
      <c r="AE163" s="179"/>
      <c r="AF163" s="173"/>
      <c r="AG163" s="180"/>
      <c r="AH163" s="180"/>
      <c r="AI163" s="180"/>
      <c r="AJ163" s="174"/>
      <c r="AK163" s="174"/>
      <c r="AL163" s="174"/>
      <c r="AM163" s="174"/>
      <c r="AN163" s="175"/>
      <c r="AO163" s="175"/>
      <c r="AP163" s="175"/>
      <c r="AQ163" s="175"/>
      <c r="AR163" s="175"/>
      <c r="AS163" s="175"/>
      <c r="AT163" s="175"/>
      <c r="AU163" s="175"/>
    </row>
    <row r="164" spans="1:47">
      <c r="A164" s="166" t="s">
        <v>141</v>
      </c>
      <c r="B164" s="167" t="s">
        <v>141</v>
      </c>
      <c r="C164" s="168" t="s">
        <v>141</v>
      </c>
      <c r="D164" s="168" t="s">
        <v>141</v>
      </c>
      <c r="E164" s="170"/>
      <c r="F164" s="170"/>
      <c r="G164" s="170"/>
      <c r="H164" s="170"/>
      <c r="I164" s="170"/>
      <c r="J164" s="170"/>
      <c r="K164" s="171"/>
      <c r="L164" s="171"/>
      <c r="M164" s="170"/>
      <c r="N164" s="170"/>
      <c r="O164" s="171"/>
      <c r="P164" s="171"/>
      <c r="Q164" s="169"/>
      <c r="R164" s="170"/>
      <c r="S164" s="170"/>
      <c r="T164" s="172"/>
      <c r="U164" s="172"/>
      <c r="V164" s="199"/>
      <c r="W164" s="199"/>
      <c r="X164" s="200"/>
      <c r="Y164" s="200"/>
      <c r="Z164" s="170"/>
      <c r="AA164" s="170"/>
      <c r="AB164" s="182"/>
      <c r="AC164" s="163"/>
      <c r="AD164" s="154"/>
      <c r="AE164" s="179"/>
      <c r="AF164" s="173"/>
      <c r="AG164" s="180"/>
      <c r="AH164" s="180"/>
      <c r="AI164" s="180"/>
      <c r="AJ164" s="174"/>
      <c r="AK164" s="174"/>
      <c r="AL164" s="174"/>
      <c r="AM164" s="174"/>
      <c r="AN164" s="175"/>
      <c r="AO164" s="175"/>
      <c r="AP164" s="175"/>
      <c r="AQ164" s="175"/>
      <c r="AR164" s="175"/>
      <c r="AS164" s="175"/>
      <c r="AT164" s="175"/>
      <c r="AU164" s="175"/>
    </row>
    <row r="165" spans="1:47">
      <c r="A165" s="183" t="s">
        <v>141</v>
      </c>
      <c r="B165" s="183" t="s">
        <v>141</v>
      </c>
      <c r="C165" s="168" t="s">
        <v>141</v>
      </c>
      <c r="D165" s="168" t="s">
        <v>141</v>
      </c>
      <c r="E165" s="170"/>
      <c r="F165" s="170"/>
      <c r="G165" s="170"/>
      <c r="H165" s="170"/>
      <c r="I165" s="170"/>
      <c r="J165" s="170"/>
      <c r="K165" s="171"/>
      <c r="L165" s="171"/>
      <c r="M165" s="170"/>
      <c r="N165" s="170"/>
      <c r="O165" s="171"/>
      <c r="P165" s="171"/>
      <c r="Q165" s="169"/>
      <c r="R165" s="170"/>
      <c r="S165" s="170"/>
      <c r="T165" s="172"/>
      <c r="U165" s="172"/>
      <c r="V165" s="199"/>
      <c r="W165" s="199"/>
      <c r="X165" s="200"/>
      <c r="Y165" s="200"/>
      <c r="Z165" s="170"/>
      <c r="AA165" s="170"/>
      <c r="AB165" s="182"/>
      <c r="AC165" s="163"/>
      <c r="AD165" s="154"/>
      <c r="AE165" s="179"/>
      <c r="AF165" s="173"/>
      <c r="AG165" s="180"/>
      <c r="AH165" s="180"/>
      <c r="AI165" s="180"/>
      <c r="AJ165" s="174"/>
      <c r="AK165" s="174"/>
      <c r="AL165" s="174"/>
      <c r="AM165" s="174"/>
      <c r="AN165" s="175"/>
      <c r="AO165" s="175"/>
      <c r="AP165" s="175"/>
      <c r="AQ165" s="175"/>
      <c r="AR165" s="175"/>
      <c r="AS165" s="175"/>
      <c r="AT165" s="175"/>
      <c r="AU165" s="175"/>
    </row>
    <row r="166" spans="1:47">
      <c r="A166" s="183" t="s">
        <v>141</v>
      </c>
      <c r="B166" s="183" t="s">
        <v>141</v>
      </c>
      <c r="C166" s="168" t="s">
        <v>141</v>
      </c>
      <c r="D166" s="168" t="s">
        <v>141</v>
      </c>
      <c r="E166" s="170"/>
      <c r="F166" s="170"/>
      <c r="G166" s="170"/>
      <c r="H166" s="170"/>
      <c r="I166" s="170"/>
      <c r="J166" s="170"/>
      <c r="K166" s="171"/>
      <c r="L166" s="171"/>
      <c r="M166" s="170"/>
      <c r="N166" s="170"/>
      <c r="O166" s="171"/>
      <c r="P166" s="171"/>
      <c r="Q166" s="169"/>
      <c r="R166" s="170"/>
      <c r="S166" s="170"/>
      <c r="T166" s="172"/>
      <c r="U166" s="172"/>
      <c r="V166" s="199"/>
      <c r="W166" s="199"/>
      <c r="X166" s="200"/>
      <c r="Y166" s="200"/>
      <c r="Z166" s="170"/>
      <c r="AA166" s="170"/>
      <c r="AB166" s="182"/>
      <c r="AC166" s="163"/>
      <c r="AD166" s="154"/>
      <c r="AE166" s="179"/>
      <c r="AF166" s="173"/>
      <c r="AG166" s="180"/>
      <c r="AH166" s="180"/>
      <c r="AI166" s="180"/>
      <c r="AJ166" s="174"/>
      <c r="AK166" s="174"/>
      <c r="AL166" s="174"/>
      <c r="AM166" s="174"/>
      <c r="AN166" s="175"/>
      <c r="AO166" s="175"/>
      <c r="AP166" s="175"/>
      <c r="AQ166" s="175"/>
      <c r="AR166" s="175"/>
      <c r="AS166" s="175"/>
      <c r="AT166" s="175"/>
      <c r="AU166" s="175"/>
    </row>
    <row r="167" spans="1:47">
      <c r="A167" s="183" t="s">
        <v>141</v>
      </c>
      <c r="B167" s="183" t="s">
        <v>141</v>
      </c>
      <c r="C167" s="168" t="s">
        <v>141</v>
      </c>
      <c r="D167" s="168" t="s">
        <v>141</v>
      </c>
      <c r="E167" s="170"/>
      <c r="F167" s="170"/>
      <c r="G167" s="170"/>
      <c r="H167" s="170"/>
      <c r="I167" s="170"/>
      <c r="J167" s="170"/>
      <c r="K167" s="171"/>
      <c r="L167" s="171"/>
      <c r="M167" s="170"/>
      <c r="N167" s="170"/>
      <c r="O167" s="171"/>
      <c r="P167" s="171"/>
      <c r="Q167" s="169"/>
      <c r="R167" s="170"/>
      <c r="S167" s="170"/>
      <c r="T167" s="172"/>
      <c r="U167" s="172"/>
      <c r="V167" s="199"/>
      <c r="W167" s="199"/>
      <c r="X167" s="200"/>
      <c r="Y167" s="200"/>
      <c r="Z167" s="170"/>
      <c r="AA167" s="170"/>
      <c r="AB167" s="182"/>
      <c r="AC167" s="163"/>
      <c r="AD167" s="154"/>
      <c r="AE167" s="179"/>
      <c r="AF167" s="173"/>
      <c r="AG167" s="180"/>
      <c r="AH167" s="180"/>
      <c r="AI167" s="180"/>
      <c r="AJ167" s="174"/>
      <c r="AK167" s="174"/>
      <c r="AL167" s="174"/>
      <c r="AM167" s="174"/>
      <c r="AN167" s="175"/>
      <c r="AO167" s="175"/>
      <c r="AP167" s="175"/>
      <c r="AQ167" s="175"/>
      <c r="AR167" s="175"/>
      <c r="AS167" s="175"/>
      <c r="AT167" s="175"/>
      <c r="AU167" s="175"/>
    </row>
    <row r="168" spans="1:47">
      <c r="A168" s="184" t="s">
        <v>141</v>
      </c>
      <c r="B168" s="184" t="s">
        <v>141</v>
      </c>
      <c r="C168" s="168" t="s">
        <v>141</v>
      </c>
      <c r="D168" s="168" t="s">
        <v>141</v>
      </c>
      <c r="E168" s="170"/>
      <c r="F168" s="170"/>
      <c r="G168" s="170"/>
      <c r="H168" s="170"/>
      <c r="I168" s="170"/>
      <c r="J168" s="170"/>
      <c r="K168" s="171"/>
      <c r="L168" s="171"/>
      <c r="M168" s="170"/>
      <c r="N168" s="170"/>
      <c r="O168" s="171"/>
      <c r="P168" s="171"/>
      <c r="Q168" s="169"/>
      <c r="R168" s="170"/>
      <c r="S168" s="170"/>
      <c r="T168" s="172"/>
      <c r="U168" s="172"/>
      <c r="V168" s="199"/>
      <c r="W168" s="199"/>
      <c r="X168" s="200"/>
      <c r="Y168" s="200"/>
      <c r="Z168" s="170"/>
      <c r="AA168" s="170"/>
      <c r="AB168" s="182"/>
      <c r="AC168" s="182"/>
      <c r="AD168" s="179"/>
      <c r="AE168" s="179"/>
      <c r="AF168" s="173"/>
      <c r="AG168" s="180"/>
      <c r="AH168" s="180"/>
      <c r="AI168" s="180"/>
      <c r="AJ168" s="174"/>
      <c r="AK168" s="174"/>
      <c r="AL168" s="174"/>
      <c r="AM168" s="174"/>
      <c r="AN168" s="175"/>
      <c r="AO168" s="175"/>
      <c r="AP168" s="175"/>
      <c r="AQ168" s="175"/>
      <c r="AR168" s="175"/>
      <c r="AS168" s="175"/>
      <c r="AT168" s="175"/>
      <c r="AU168" s="175"/>
    </row>
    <row r="169" spans="1:47">
      <c r="A169" s="184" t="s">
        <v>141</v>
      </c>
      <c r="B169" s="184" t="s">
        <v>141</v>
      </c>
      <c r="C169" s="179" t="s">
        <v>141</v>
      </c>
      <c r="D169" s="179" t="s">
        <v>141</v>
      </c>
      <c r="E169" s="170"/>
      <c r="F169" s="170"/>
      <c r="G169" s="170"/>
      <c r="H169" s="170"/>
      <c r="I169" s="170"/>
      <c r="J169" s="170"/>
      <c r="K169" s="171"/>
      <c r="L169" s="171"/>
      <c r="M169" s="170"/>
      <c r="N169" s="170"/>
      <c r="O169" s="171"/>
      <c r="P169" s="171"/>
      <c r="Q169" s="169"/>
      <c r="R169" s="170"/>
      <c r="S169" s="170"/>
      <c r="T169" s="172"/>
      <c r="U169" s="172"/>
      <c r="V169" s="199"/>
      <c r="W169" s="199"/>
      <c r="X169" s="200"/>
      <c r="Y169" s="200"/>
      <c r="Z169" s="170"/>
      <c r="AA169" s="170"/>
      <c r="AB169" s="182"/>
      <c r="AC169" s="182"/>
      <c r="AD169" s="179"/>
      <c r="AE169" s="179"/>
      <c r="AF169" s="173"/>
      <c r="AG169" s="180"/>
      <c r="AH169" s="180"/>
      <c r="AI169" s="180"/>
      <c r="AJ169" s="174"/>
      <c r="AK169" s="174"/>
      <c r="AL169" s="174"/>
      <c r="AM169" s="174"/>
      <c r="AN169" s="175"/>
      <c r="AO169" s="175"/>
      <c r="AP169" s="175"/>
      <c r="AQ169" s="175"/>
      <c r="AR169" s="175"/>
      <c r="AS169" s="175"/>
      <c r="AT169" s="175"/>
      <c r="AU169" s="175"/>
    </row>
    <row r="170" spans="1:47">
      <c r="A170" s="184" t="s">
        <v>141</v>
      </c>
      <c r="B170" s="184" t="s">
        <v>141</v>
      </c>
      <c r="C170" s="179" t="s">
        <v>141</v>
      </c>
      <c r="D170" s="179" t="s">
        <v>141</v>
      </c>
      <c r="E170" s="170"/>
      <c r="F170" s="170"/>
      <c r="G170" s="170"/>
      <c r="H170" s="170"/>
      <c r="I170" s="170"/>
      <c r="J170" s="170"/>
      <c r="K170" s="171"/>
      <c r="L170" s="171"/>
      <c r="M170" s="170"/>
      <c r="N170" s="170"/>
      <c r="O170" s="171"/>
      <c r="P170" s="171"/>
      <c r="Q170" s="169"/>
      <c r="R170" s="170"/>
      <c r="S170" s="170"/>
      <c r="T170" s="172"/>
      <c r="U170" s="172"/>
      <c r="V170" s="199"/>
      <c r="W170" s="199"/>
      <c r="X170" s="200"/>
      <c r="Y170" s="200"/>
      <c r="Z170" s="170"/>
      <c r="AA170" s="170"/>
      <c r="AB170" s="182"/>
      <c r="AC170" s="182"/>
      <c r="AD170" s="179"/>
      <c r="AE170" s="179"/>
      <c r="AF170" s="173"/>
      <c r="AG170" s="180"/>
      <c r="AH170" s="180"/>
      <c r="AI170" s="180"/>
      <c r="AJ170" s="174"/>
      <c r="AK170" s="174"/>
      <c r="AL170" s="174"/>
      <c r="AM170" s="174"/>
      <c r="AN170" s="175"/>
      <c r="AO170" s="175"/>
      <c r="AP170" s="175"/>
      <c r="AQ170" s="175"/>
      <c r="AR170" s="175"/>
      <c r="AS170" s="175"/>
      <c r="AT170" s="175"/>
      <c r="AU170" s="175"/>
    </row>
    <row r="171" spans="1:47">
      <c r="C171" s="179" t="s">
        <v>141</v>
      </c>
      <c r="D171" s="179" t="s">
        <v>141</v>
      </c>
      <c r="E171" s="170"/>
      <c r="F171" s="170"/>
      <c r="G171" s="170"/>
      <c r="H171" s="170"/>
      <c r="I171" s="170"/>
      <c r="J171" s="170"/>
      <c r="K171" s="171"/>
      <c r="L171" s="171"/>
      <c r="M171" s="170"/>
      <c r="N171" s="170"/>
      <c r="O171" s="171"/>
      <c r="P171" s="171"/>
      <c r="Q171" s="169"/>
      <c r="R171" s="170"/>
      <c r="S171" s="170"/>
      <c r="T171" s="172"/>
      <c r="U171" s="172"/>
      <c r="V171" s="199"/>
      <c r="W171" s="199"/>
      <c r="X171" s="200"/>
      <c r="Y171" s="200"/>
      <c r="Z171" s="170"/>
      <c r="AA171" s="170"/>
      <c r="AB171" s="182"/>
      <c r="AC171" s="182"/>
      <c r="AD171" s="179"/>
      <c r="AE171" s="179"/>
      <c r="AF171" s="173"/>
      <c r="AG171" s="180"/>
      <c r="AH171" s="180"/>
      <c r="AI171" s="180"/>
      <c r="AJ171" s="174"/>
      <c r="AK171" s="174"/>
      <c r="AL171" s="174"/>
      <c r="AM171" s="174"/>
      <c r="AN171" s="175"/>
      <c r="AO171" s="175"/>
      <c r="AP171" s="175"/>
      <c r="AQ171" s="175"/>
      <c r="AR171" s="175"/>
      <c r="AS171" s="175"/>
      <c r="AT171" s="175"/>
      <c r="AU171" s="175"/>
    </row>
    <row r="172" spans="1:47">
      <c r="C172" s="179" t="s">
        <v>141</v>
      </c>
      <c r="D172" s="179" t="s">
        <v>141</v>
      </c>
      <c r="E172" s="170"/>
      <c r="F172" s="170"/>
      <c r="G172" s="170"/>
      <c r="H172" s="170"/>
      <c r="I172" s="170"/>
      <c r="J172" s="170"/>
      <c r="K172" s="171"/>
      <c r="L172" s="171"/>
      <c r="M172" s="170"/>
      <c r="N172" s="170"/>
      <c r="O172" s="171"/>
      <c r="P172" s="171"/>
      <c r="Q172" s="169"/>
      <c r="R172" s="170"/>
      <c r="S172" s="170"/>
      <c r="T172" s="172"/>
      <c r="U172" s="172"/>
      <c r="V172" s="199"/>
      <c r="W172" s="199"/>
      <c r="X172" s="200"/>
      <c r="Y172" s="200"/>
      <c r="Z172" s="170"/>
      <c r="AA172" s="170"/>
      <c r="AB172" s="182"/>
      <c r="AC172" s="182"/>
      <c r="AD172" s="179"/>
      <c r="AE172" s="179"/>
      <c r="AF172" s="173"/>
      <c r="AG172" s="180"/>
      <c r="AH172" s="180"/>
      <c r="AI172" s="180"/>
      <c r="AJ172" s="174"/>
      <c r="AK172" s="174"/>
      <c r="AL172" s="174"/>
      <c r="AM172" s="174"/>
      <c r="AN172" s="175"/>
      <c r="AO172" s="175"/>
      <c r="AP172" s="175"/>
      <c r="AQ172" s="175"/>
      <c r="AR172" s="175"/>
      <c r="AS172" s="175"/>
      <c r="AT172" s="175"/>
      <c r="AU172" s="175"/>
    </row>
    <row r="173" spans="1:47">
      <c r="C173" s="179" t="s">
        <v>141</v>
      </c>
      <c r="D173" s="179" t="s">
        <v>141</v>
      </c>
      <c r="E173" s="170"/>
      <c r="F173" s="170"/>
      <c r="G173" s="170"/>
      <c r="H173" s="170"/>
      <c r="I173" s="170"/>
      <c r="J173" s="170"/>
      <c r="K173" s="171"/>
      <c r="L173" s="171"/>
      <c r="M173" s="170"/>
      <c r="N173" s="170"/>
      <c r="O173" s="171"/>
      <c r="P173" s="171"/>
      <c r="Q173" s="169"/>
      <c r="R173" s="170"/>
      <c r="S173" s="170"/>
      <c r="T173" s="172"/>
      <c r="U173" s="172"/>
      <c r="V173" s="199"/>
      <c r="W173" s="199"/>
      <c r="X173" s="200"/>
      <c r="Y173" s="200"/>
      <c r="Z173" s="170"/>
      <c r="AA173" s="170"/>
      <c r="AB173" s="182"/>
      <c r="AC173" s="182"/>
      <c r="AD173" s="179"/>
      <c r="AE173" s="179"/>
      <c r="AF173" s="173"/>
      <c r="AG173" s="180"/>
      <c r="AH173" s="180"/>
      <c r="AI173" s="180"/>
      <c r="AJ173" s="174"/>
      <c r="AK173" s="174"/>
      <c r="AL173" s="174"/>
      <c r="AM173" s="174"/>
      <c r="AN173" s="175"/>
      <c r="AO173" s="175"/>
      <c r="AP173" s="175"/>
      <c r="AQ173" s="175"/>
      <c r="AR173" s="175"/>
      <c r="AS173" s="175"/>
      <c r="AT173" s="175"/>
      <c r="AU173" s="175"/>
    </row>
    <row r="174" spans="1:47">
      <c r="C174" s="179" t="s">
        <v>141</v>
      </c>
      <c r="D174" s="179" t="s">
        <v>141</v>
      </c>
      <c r="E174" s="170"/>
      <c r="F174" s="170"/>
      <c r="G174" s="170"/>
      <c r="H174" s="170"/>
      <c r="I174" s="170"/>
      <c r="J174" s="170"/>
      <c r="K174" s="171"/>
      <c r="L174" s="171"/>
      <c r="M174" s="170"/>
      <c r="N174" s="170"/>
      <c r="O174" s="171"/>
      <c r="P174" s="171"/>
      <c r="Q174" s="169"/>
      <c r="R174" s="170"/>
      <c r="S174" s="170"/>
      <c r="T174" s="172"/>
      <c r="U174" s="172"/>
      <c r="V174" s="199"/>
      <c r="W174" s="199"/>
      <c r="X174" s="200"/>
      <c r="Y174" s="200"/>
      <c r="Z174" s="170"/>
      <c r="AA174" s="170"/>
      <c r="AB174" s="182"/>
      <c r="AC174" s="182"/>
      <c r="AD174" s="179"/>
      <c r="AE174" s="179"/>
      <c r="AF174" s="173"/>
      <c r="AG174" s="180"/>
      <c r="AH174" s="180"/>
      <c r="AI174" s="180"/>
      <c r="AJ174" s="174"/>
      <c r="AK174" s="174"/>
      <c r="AL174" s="174"/>
      <c r="AM174" s="174"/>
      <c r="AN174" s="175"/>
      <c r="AO174" s="175"/>
      <c r="AP174" s="175"/>
      <c r="AQ174" s="175"/>
      <c r="AR174" s="175"/>
      <c r="AS174" s="175"/>
      <c r="AT174" s="175"/>
      <c r="AU174" s="175"/>
    </row>
    <row r="175" spans="1:47">
      <c r="C175" s="179" t="s">
        <v>141</v>
      </c>
      <c r="D175" s="179" t="s">
        <v>141</v>
      </c>
      <c r="E175" s="170"/>
      <c r="F175" s="170"/>
      <c r="G175" s="170"/>
      <c r="H175" s="170"/>
      <c r="I175" s="170"/>
      <c r="J175" s="170"/>
      <c r="K175" s="171"/>
      <c r="L175" s="171"/>
      <c r="M175" s="170"/>
      <c r="N175" s="170"/>
      <c r="O175" s="171"/>
      <c r="P175" s="171"/>
      <c r="Q175" s="169"/>
      <c r="R175" s="170"/>
      <c r="S175" s="170"/>
      <c r="T175" s="172"/>
      <c r="U175" s="172"/>
      <c r="V175" s="199"/>
      <c r="W175" s="199"/>
      <c r="X175" s="200"/>
      <c r="Y175" s="200"/>
      <c r="Z175" s="170"/>
      <c r="AA175" s="170"/>
      <c r="AB175" s="182"/>
      <c r="AC175" s="182"/>
      <c r="AD175" s="179"/>
      <c r="AE175" s="179"/>
      <c r="AF175" s="173"/>
      <c r="AG175" s="180"/>
      <c r="AH175" s="180"/>
      <c r="AI175" s="180"/>
      <c r="AJ175" s="174"/>
      <c r="AK175" s="174"/>
      <c r="AL175" s="174"/>
      <c r="AM175" s="174"/>
      <c r="AN175" s="175"/>
      <c r="AO175" s="175"/>
      <c r="AP175" s="175"/>
      <c r="AQ175" s="175"/>
      <c r="AR175" s="175"/>
      <c r="AS175" s="175"/>
      <c r="AT175" s="175"/>
      <c r="AU175" s="175"/>
    </row>
    <row r="176" spans="1:47">
      <c r="C176" s="179" t="s">
        <v>141</v>
      </c>
      <c r="D176" s="179" t="s">
        <v>141</v>
      </c>
      <c r="E176" s="170"/>
      <c r="F176" s="170"/>
      <c r="G176" s="170"/>
      <c r="H176" s="170"/>
      <c r="I176" s="170"/>
      <c r="J176" s="170"/>
      <c r="K176" s="171"/>
      <c r="L176" s="171"/>
      <c r="M176" s="170"/>
      <c r="N176" s="170"/>
      <c r="O176" s="171"/>
      <c r="P176" s="171"/>
      <c r="Q176" s="169"/>
      <c r="R176" s="170"/>
      <c r="S176" s="170"/>
      <c r="T176" s="172"/>
      <c r="U176" s="172"/>
      <c r="V176" s="199"/>
      <c r="W176" s="199"/>
      <c r="X176" s="200"/>
      <c r="Y176" s="200"/>
      <c r="Z176" s="170"/>
      <c r="AA176" s="170"/>
      <c r="AB176" s="182"/>
      <c r="AC176" s="182"/>
      <c r="AD176" s="179"/>
      <c r="AE176" s="179"/>
      <c r="AF176" s="173"/>
      <c r="AG176" s="180"/>
      <c r="AH176" s="180"/>
      <c r="AI176" s="180"/>
      <c r="AJ176" s="174"/>
      <c r="AK176" s="174"/>
      <c r="AL176" s="174"/>
      <c r="AM176" s="174"/>
      <c r="AN176" s="175"/>
      <c r="AO176" s="175"/>
      <c r="AP176" s="175"/>
      <c r="AQ176" s="175"/>
      <c r="AR176" s="175"/>
      <c r="AS176" s="175"/>
      <c r="AT176" s="175"/>
      <c r="AU176" s="175"/>
    </row>
    <row r="177" spans="3:47">
      <c r="C177" s="179" t="s">
        <v>141</v>
      </c>
      <c r="D177" s="179" t="s">
        <v>141</v>
      </c>
      <c r="E177" s="170"/>
      <c r="F177" s="170"/>
      <c r="G177" s="170"/>
      <c r="H177" s="170"/>
      <c r="I177" s="170"/>
      <c r="J177" s="170"/>
      <c r="K177" s="171"/>
      <c r="L177" s="171"/>
      <c r="M177" s="170"/>
      <c r="N177" s="170"/>
      <c r="O177" s="171"/>
      <c r="P177" s="171"/>
      <c r="Q177" s="169"/>
      <c r="R177" s="170"/>
      <c r="S177" s="170"/>
      <c r="T177" s="172"/>
      <c r="U177" s="172"/>
      <c r="V177" s="199"/>
      <c r="W177" s="199"/>
      <c r="X177" s="200"/>
      <c r="Y177" s="200"/>
      <c r="Z177" s="170"/>
      <c r="AA177" s="170"/>
      <c r="AB177" s="182"/>
      <c r="AC177" s="182"/>
      <c r="AD177" s="179"/>
      <c r="AE177" s="179"/>
      <c r="AF177" s="173"/>
      <c r="AG177" s="180"/>
      <c r="AH177" s="180"/>
      <c r="AI177" s="180"/>
      <c r="AJ177" s="174"/>
      <c r="AK177" s="174"/>
      <c r="AL177" s="174"/>
      <c r="AM177" s="174"/>
      <c r="AN177" s="175"/>
      <c r="AO177" s="175"/>
      <c r="AP177" s="175"/>
      <c r="AQ177" s="175"/>
      <c r="AR177" s="175"/>
      <c r="AS177" s="175"/>
      <c r="AT177" s="175"/>
      <c r="AU177" s="175"/>
    </row>
    <row r="178" spans="3:47">
      <c r="C178" s="179" t="s">
        <v>141</v>
      </c>
      <c r="D178" s="179" t="s">
        <v>141</v>
      </c>
      <c r="E178" s="170"/>
      <c r="F178" s="170"/>
      <c r="G178" s="170"/>
      <c r="H178" s="170"/>
      <c r="I178" s="170"/>
      <c r="J178" s="170"/>
      <c r="K178" s="171"/>
      <c r="L178" s="171"/>
      <c r="M178" s="170"/>
      <c r="N178" s="170"/>
      <c r="O178" s="171"/>
      <c r="P178" s="171"/>
      <c r="Q178" s="169"/>
      <c r="R178" s="170"/>
      <c r="S178" s="170"/>
      <c r="T178" s="172"/>
      <c r="U178" s="172"/>
      <c r="V178" s="199"/>
      <c r="W178" s="199"/>
      <c r="X178" s="200"/>
      <c r="Y178" s="200"/>
      <c r="Z178" s="170"/>
      <c r="AA178" s="170"/>
      <c r="AB178" s="182"/>
      <c r="AC178" s="182"/>
      <c r="AD178" s="179"/>
      <c r="AE178" s="179"/>
      <c r="AF178" s="173"/>
      <c r="AG178" s="180"/>
      <c r="AH178" s="180"/>
      <c r="AI178" s="180"/>
      <c r="AJ178" s="174"/>
      <c r="AK178" s="174"/>
      <c r="AL178" s="174"/>
      <c r="AM178" s="174"/>
      <c r="AN178" s="175"/>
      <c r="AO178" s="175"/>
      <c r="AP178" s="175"/>
      <c r="AQ178" s="175"/>
      <c r="AR178" s="175"/>
      <c r="AS178" s="175"/>
      <c r="AT178" s="175"/>
      <c r="AU178" s="175"/>
    </row>
    <row r="179" spans="3:47">
      <c r="C179" s="179" t="s">
        <v>141</v>
      </c>
      <c r="D179" s="179" t="s">
        <v>141</v>
      </c>
      <c r="E179" s="170"/>
      <c r="F179" s="170"/>
      <c r="G179" s="170"/>
      <c r="H179" s="170"/>
      <c r="I179" s="170"/>
      <c r="J179" s="170"/>
      <c r="K179" s="171"/>
      <c r="L179" s="171"/>
      <c r="M179" s="170"/>
      <c r="N179" s="170"/>
      <c r="O179" s="171"/>
      <c r="P179" s="171"/>
      <c r="Q179" s="169"/>
      <c r="R179" s="170"/>
      <c r="S179" s="170"/>
      <c r="T179" s="172"/>
      <c r="U179" s="172"/>
      <c r="V179" s="199"/>
      <c r="W179" s="199"/>
      <c r="X179" s="200"/>
      <c r="Y179" s="200"/>
      <c r="Z179" s="170"/>
      <c r="AA179" s="170"/>
      <c r="AB179" s="182"/>
      <c r="AC179" s="182"/>
      <c r="AD179" s="179"/>
      <c r="AE179" s="179"/>
      <c r="AF179" s="173"/>
      <c r="AG179" s="180"/>
      <c r="AH179" s="180"/>
      <c r="AI179" s="180"/>
      <c r="AJ179" s="174"/>
      <c r="AK179" s="174"/>
      <c r="AL179" s="174"/>
      <c r="AM179" s="174"/>
      <c r="AN179" s="175"/>
      <c r="AO179" s="175"/>
      <c r="AP179" s="175"/>
      <c r="AQ179" s="175"/>
      <c r="AR179" s="175"/>
      <c r="AS179" s="175"/>
      <c r="AT179" s="175"/>
      <c r="AU179" s="175"/>
    </row>
    <row r="180" spans="3:47">
      <c r="C180" s="179" t="s">
        <v>141</v>
      </c>
      <c r="D180" s="179" t="s">
        <v>141</v>
      </c>
      <c r="E180" s="170"/>
      <c r="F180" s="170"/>
      <c r="G180" s="170"/>
      <c r="H180" s="170"/>
      <c r="I180" s="170"/>
      <c r="J180" s="170"/>
      <c r="K180" s="171"/>
      <c r="L180" s="171"/>
      <c r="M180" s="170"/>
      <c r="N180" s="170"/>
      <c r="O180" s="171"/>
      <c r="P180" s="171"/>
      <c r="Q180" s="169"/>
      <c r="R180" s="170"/>
      <c r="S180" s="170"/>
      <c r="T180" s="172"/>
      <c r="U180" s="172"/>
      <c r="V180" s="199"/>
      <c r="W180" s="199"/>
      <c r="Z180" s="170"/>
      <c r="AA180" s="170"/>
      <c r="AB180" s="182"/>
      <c r="AC180" s="182"/>
      <c r="AD180" s="179"/>
      <c r="AE180" s="179"/>
      <c r="AF180" s="173"/>
      <c r="AG180" s="180"/>
      <c r="AH180" s="180"/>
      <c r="AI180" s="180"/>
      <c r="AJ180" s="174"/>
      <c r="AK180" s="174"/>
      <c r="AL180" s="174"/>
      <c r="AM180" s="174"/>
      <c r="AN180" s="175"/>
      <c r="AO180" s="175"/>
      <c r="AP180" s="175"/>
      <c r="AQ180" s="175"/>
      <c r="AR180" s="175"/>
      <c r="AS180" s="175"/>
      <c r="AT180" s="175"/>
      <c r="AU180" s="175"/>
    </row>
    <row r="181" spans="3:47">
      <c r="C181" s="179" t="s">
        <v>141</v>
      </c>
      <c r="D181" s="179" t="s">
        <v>141</v>
      </c>
      <c r="E181" s="170"/>
      <c r="F181" s="170"/>
      <c r="G181" s="170"/>
      <c r="H181" s="170"/>
      <c r="I181" s="170"/>
      <c r="J181" s="170"/>
      <c r="K181" s="171"/>
      <c r="L181" s="171"/>
      <c r="M181" s="170"/>
      <c r="N181" s="170"/>
      <c r="O181" s="171"/>
      <c r="P181" s="171"/>
      <c r="Q181" s="169"/>
      <c r="R181" s="170"/>
      <c r="S181" s="170"/>
      <c r="T181" s="172"/>
      <c r="U181" s="172"/>
      <c r="V181" s="199"/>
      <c r="W181" s="199"/>
      <c r="Z181" s="170"/>
      <c r="AA181" s="170"/>
      <c r="AB181" s="182"/>
      <c r="AC181" s="182"/>
      <c r="AD181" s="179"/>
      <c r="AE181" s="179"/>
      <c r="AF181" s="173"/>
      <c r="AG181" s="180"/>
      <c r="AH181" s="180"/>
      <c r="AI181" s="180"/>
      <c r="AJ181" s="174"/>
      <c r="AK181" s="174"/>
      <c r="AL181" s="174"/>
      <c r="AM181" s="174"/>
      <c r="AN181" s="175"/>
      <c r="AO181" s="175"/>
      <c r="AP181" s="175"/>
      <c r="AQ181" s="175"/>
      <c r="AR181" s="175"/>
      <c r="AS181" s="175"/>
      <c r="AT181" s="175"/>
      <c r="AU181" s="175"/>
    </row>
    <row r="182" spans="3:47">
      <c r="C182" s="179" t="s">
        <v>141</v>
      </c>
      <c r="D182" s="179" t="s">
        <v>141</v>
      </c>
      <c r="E182" s="170"/>
      <c r="F182" s="170"/>
      <c r="G182" s="170"/>
      <c r="H182" s="170"/>
      <c r="I182" s="170"/>
      <c r="J182" s="170"/>
      <c r="K182" s="171"/>
      <c r="L182" s="171"/>
      <c r="M182" s="170"/>
      <c r="N182" s="170"/>
      <c r="O182" s="171"/>
      <c r="P182" s="171"/>
      <c r="Q182" s="169"/>
      <c r="R182" s="170"/>
      <c r="S182" s="170"/>
      <c r="T182" s="172"/>
      <c r="U182" s="172"/>
      <c r="V182" s="199"/>
      <c r="W182" s="199"/>
      <c r="Z182" s="170"/>
      <c r="AA182" s="170"/>
      <c r="AB182" s="182"/>
      <c r="AC182" s="182"/>
      <c r="AD182" s="179"/>
      <c r="AE182" s="179"/>
      <c r="AF182" s="173"/>
      <c r="AG182" s="180"/>
      <c r="AH182" s="180"/>
      <c r="AI182" s="180"/>
      <c r="AJ182" s="174"/>
      <c r="AK182" s="174"/>
      <c r="AL182" s="174"/>
      <c r="AM182" s="174"/>
      <c r="AN182" s="175"/>
      <c r="AO182" s="175"/>
      <c r="AP182" s="175"/>
      <c r="AQ182" s="175"/>
      <c r="AR182" s="175"/>
      <c r="AS182" s="175"/>
      <c r="AT182" s="175"/>
      <c r="AU182" s="175"/>
    </row>
    <row r="183" spans="3:47">
      <c r="C183" s="184" t="s">
        <v>141</v>
      </c>
      <c r="D183" s="184" t="s">
        <v>141</v>
      </c>
    </row>
    <row r="184" spans="3:47">
      <c r="C184" s="184" t="s">
        <v>141</v>
      </c>
      <c r="D184" s="184" t="s">
        <v>141</v>
      </c>
    </row>
    <row r="274" spans="1:35">
      <c r="A274" s="165"/>
      <c r="B274" s="165"/>
      <c r="C274" s="165"/>
      <c r="D274" s="165"/>
      <c r="K274" s="165"/>
      <c r="L274" s="165"/>
      <c r="Q274" s="165"/>
      <c r="T274" s="165"/>
      <c r="U274" s="165"/>
      <c r="V274" s="165"/>
      <c r="W274" s="165"/>
      <c r="X274" s="165"/>
      <c r="Y274" s="165"/>
      <c r="AD274" s="165"/>
      <c r="AE274" s="165"/>
      <c r="AF274" s="165"/>
      <c r="AG274" s="165"/>
      <c r="AH274" s="165"/>
      <c r="AI274" s="165"/>
    </row>
    <row r="275" spans="1:35">
      <c r="A275" s="165"/>
      <c r="B275" s="165"/>
      <c r="C275" s="165"/>
      <c r="D275" s="165"/>
      <c r="K275" s="165"/>
      <c r="L275" s="165"/>
      <c r="Q275" s="165"/>
      <c r="T275" s="165"/>
      <c r="U275" s="165"/>
      <c r="V275" s="165"/>
      <c r="W275" s="165"/>
      <c r="X275" s="165"/>
      <c r="Y275" s="165"/>
      <c r="AD275" s="165"/>
      <c r="AE275" s="165"/>
      <c r="AF275" s="165"/>
      <c r="AG275" s="165"/>
      <c r="AH275" s="165"/>
      <c r="AI275" s="165"/>
    </row>
    <row r="276" spans="1:35">
      <c r="A276" s="165"/>
      <c r="B276" s="165"/>
      <c r="C276" s="165"/>
      <c r="D276" s="165"/>
      <c r="K276" s="165"/>
      <c r="L276" s="165"/>
      <c r="Q276" s="165"/>
      <c r="T276" s="165"/>
      <c r="U276" s="165"/>
      <c r="V276" s="165"/>
      <c r="W276" s="165"/>
      <c r="X276" s="165"/>
      <c r="Y276" s="165"/>
      <c r="AD276" s="165"/>
      <c r="AE276" s="165"/>
      <c r="AF276" s="165"/>
      <c r="AG276" s="165"/>
      <c r="AH276" s="165"/>
      <c r="AI276" s="165"/>
    </row>
    <row r="277" spans="1:35">
      <c r="A277" s="165"/>
      <c r="B277" s="165"/>
      <c r="C277" s="165"/>
      <c r="D277" s="165"/>
      <c r="K277" s="165"/>
      <c r="L277" s="165"/>
      <c r="Q277" s="165"/>
      <c r="T277" s="165"/>
      <c r="U277" s="165"/>
      <c r="V277" s="165"/>
      <c r="W277" s="165"/>
      <c r="X277" s="165"/>
      <c r="Y277" s="165"/>
      <c r="AD277" s="165"/>
      <c r="AE277" s="165"/>
      <c r="AF277" s="165"/>
      <c r="AG277" s="165"/>
      <c r="AH277" s="165"/>
      <c r="AI277" s="165"/>
    </row>
    <row r="278" spans="1:35">
      <c r="A278" s="165"/>
      <c r="B278" s="165"/>
      <c r="C278" s="165"/>
      <c r="D278" s="165"/>
      <c r="K278" s="165"/>
      <c r="L278" s="165"/>
      <c r="Q278" s="165"/>
      <c r="T278" s="165"/>
      <c r="U278" s="165"/>
      <c r="V278" s="165"/>
      <c r="W278" s="165"/>
      <c r="X278" s="165"/>
      <c r="Y278" s="165"/>
      <c r="AD278" s="165"/>
      <c r="AE278" s="165"/>
      <c r="AF278" s="165"/>
      <c r="AG278" s="165"/>
      <c r="AH278" s="165"/>
      <c r="AI278" s="165"/>
    </row>
    <row r="279" spans="1:35">
      <c r="A279" s="165"/>
      <c r="B279" s="165"/>
      <c r="C279" s="165"/>
      <c r="D279" s="165"/>
      <c r="K279" s="165"/>
      <c r="L279" s="165"/>
      <c r="Q279" s="165"/>
      <c r="T279" s="165"/>
      <c r="U279" s="165"/>
      <c r="V279" s="165"/>
      <c r="W279" s="165"/>
      <c r="X279" s="165"/>
      <c r="Y279" s="165"/>
      <c r="AD279" s="165"/>
      <c r="AE279" s="165"/>
      <c r="AF279" s="165"/>
      <c r="AG279" s="165"/>
      <c r="AH279" s="165"/>
      <c r="AI279" s="165"/>
    </row>
    <row r="280" spans="1:35">
      <c r="A280" s="165"/>
      <c r="B280" s="165"/>
      <c r="C280" s="165"/>
      <c r="D280" s="165"/>
      <c r="K280" s="165"/>
      <c r="L280" s="165"/>
      <c r="Q280" s="165"/>
      <c r="T280" s="165"/>
      <c r="U280" s="165"/>
      <c r="V280" s="165"/>
      <c r="W280" s="165"/>
      <c r="X280" s="165"/>
      <c r="Y280" s="165"/>
      <c r="AD280" s="165"/>
      <c r="AE280" s="165"/>
      <c r="AF280" s="165"/>
      <c r="AG280" s="165"/>
      <c r="AH280" s="165"/>
      <c r="AI280" s="165"/>
    </row>
    <row r="281" spans="1:35">
      <c r="A281" s="165"/>
      <c r="B281" s="165"/>
      <c r="C281" s="165"/>
      <c r="D281" s="165"/>
      <c r="K281" s="165"/>
      <c r="L281" s="165"/>
      <c r="Q281" s="165"/>
      <c r="T281" s="165"/>
      <c r="U281" s="165"/>
      <c r="V281" s="165"/>
      <c r="W281" s="165"/>
      <c r="X281" s="165"/>
      <c r="Y281" s="165"/>
      <c r="AD281" s="165"/>
      <c r="AE281" s="165"/>
      <c r="AF281" s="165"/>
      <c r="AG281" s="165"/>
      <c r="AH281" s="165"/>
      <c r="AI281" s="165"/>
    </row>
    <row r="282" spans="1:35">
      <c r="A282" s="165"/>
      <c r="B282" s="165"/>
      <c r="C282" s="165"/>
      <c r="D282" s="165"/>
      <c r="K282" s="165"/>
      <c r="L282" s="165"/>
      <c r="Q282" s="165"/>
      <c r="T282" s="165"/>
      <c r="U282" s="165"/>
      <c r="V282" s="165"/>
      <c r="W282" s="165"/>
      <c r="X282" s="165"/>
      <c r="Y282" s="165"/>
      <c r="AD282" s="165"/>
      <c r="AE282" s="165"/>
      <c r="AF282" s="165"/>
      <c r="AG282" s="165"/>
      <c r="AH282" s="165"/>
      <c r="AI282" s="165"/>
    </row>
    <row r="283" spans="1:35">
      <c r="A283" s="165"/>
      <c r="B283" s="165"/>
      <c r="C283" s="165"/>
      <c r="D283" s="165"/>
      <c r="K283" s="165"/>
      <c r="L283" s="165"/>
      <c r="Q283" s="165"/>
      <c r="T283" s="165"/>
      <c r="U283" s="165"/>
      <c r="V283" s="165"/>
      <c r="W283" s="165"/>
      <c r="X283" s="165"/>
      <c r="Y283" s="165"/>
      <c r="AD283" s="165"/>
      <c r="AE283" s="165"/>
      <c r="AF283" s="165"/>
      <c r="AG283" s="165"/>
      <c r="AH283" s="165"/>
      <c r="AI283" s="165"/>
    </row>
    <row r="284" spans="1:35">
      <c r="A284" s="165"/>
      <c r="B284" s="165"/>
      <c r="C284" s="165"/>
      <c r="D284" s="165"/>
      <c r="K284" s="165"/>
      <c r="L284" s="165"/>
      <c r="Q284" s="165"/>
      <c r="T284" s="165"/>
      <c r="U284" s="165"/>
      <c r="V284" s="165"/>
      <c r="W284" s="165"/>
      <c r="X284" s="165"/>
      <c r="Y284" s="165"/>
      <c r="AD284" s="165"/>
      <c r="AE284" s="165"/>
      <c r="AF284" s="165"/>
      <c r="AG284" s="165"/>
      <c r="AH284" s="165"/>
      <c r="AI284" s="165"/>
    </row>
    <row r="285" spans="1:35">
      <c r="A285" s="165"/>
      <c r="B285" s="165"/>
      <c r="C285" s="165"/>
      <c r="D285" s="165"/>
      <c r="K285" s="165"/>
      <c r="L285" s="165"/>
      <c r="Q285" s="165"/>
      <c r="T285" s="165"/>
      <c r="U285" s="165"/>
      <c r="V285" s="165"/>
      <c r="W285" s="165"/>
      <c r="X285" s="165"/>
      <c r="Y285" s="165"/>
      <c r="AD285" s="165"/>
      <c r="AE285" s="165"/>
      <c r="AF285" s="165"/>
      <c r="AG285" s="165"/>
      <c r="AH285" s="165"/>
      <c r="AI285" s="165"/>
    </row>
    <row r="286" spans="1:35">
      <c r="A286" s="165"/>
      <c r="B286" s="165"/>
      <c r="C286" s="165"/>
      <c r="D286" s="165"/>
      <c r="K286" s="165"/>
      <c r="L286" s="165"/>
      <c r="Q286" s="165"/>
      <c r="T286" s="165"/>
      <c r="U286" s="165"/>
      <c r="V286" s="165"/>
      <c r="W286" s="165"/>
      <c r="X286" s="165"/>
      <c r="Y286" s="165"/>
      <c r="AD286" s="165"/>
      <c r="AE286" s="165"/>
      <c r="AF286" s="165"/>
      <c r="AG286" s="165"/>
      <c r="AH286" s="165"/>
      <c r="AI286" s="165"/>
    </row>
    <row r="287" spans="1:35">
      <c r="A287" s="165"/>
      <c r="B287" s="165"/>
      <c r="C287" s="165"/>
      <c r="D287" s="165"/>
      <c r="K287" s="165"/>
      <c r="L287" s="165"/>
      <c r="Q287" s="165"/>
      <c r="T287" s="165"/>
      <c r="U287" s="165"/>
      <c r="V287" s="165"/>
      <c r="W287" s="165"/>
      <c r="X287" s="165"/>
      <c r="Y287" s="165"/>
      <c r="AD287" s="165"/>
      <c r="AE287" s="165"/>
      <c r="AF287" s="165"/>
      <c r="AG287" s="165"/>
      <c r="AH287" s="165"/>
      <c r="AI287" s="165"/>
    </row>
    <row r="288" spans="1:35">
      <c r="A288" s="165"/>
      <c r="B288" s="165"/>
      <c r="C288" s="165"/>
      <c r="D288" s="165"/>
      <c r="K288" s="165"/>
      <c r="L288" s="165"/>
      <c r="Q288" s="165"/>
      <c r="T288" s="165"/>
      <c r="U288" s="165"/>
      <c r="V288" s="165"/>
      <c r="W288" s="165"/>
      <c r="X288" s="165"/>
      <c r="Y288" s="165"/>
      <c r="AD288" s="165"/>
      <c r="AE288" s="165"/>
      <c r="AF288" s="165"/>
      <c r="AG288" s="165"/>
      <c r="AH288" s="165"/>
      <c r="AI288" s="165"/>
    </row>
    <row r="289" spans="1:35">
      <c r="A289" s="165"/>
      <c r="B289" s="165"/>
      <c r="C289" s="165"/>
      <c r="D289" s="165"/>
      <c r="K289" s="165"/>
      <c r="L289" s="165"/>
      <c r="Q289" s="165"/>
      <c r="T289" s="165"/>
      <c r="U289" s="165"/>
      <c r="V289" s="165"/>
      <c r="W289" s="165"/>
      <c r="X289" s="165"/>
      <c r="Y289" s="165"/>
      <c r="AD289" s="165"/>
      <c r="AE289" s="165"/>
      <c r="AF289" s="165"/>
      <c r="AG289" s="165"/>
      <c r="AH289" s="165"/>
      <c r="AI289" s="165"/>
    </row>
    <row r="290" spans="1:35">
      <c r="A290" s="165"/>
      <c r="B290" s="165"/>
      <c r="C290" s="165"/>
      <c r="D290" s="165"/>
      <c r="K290" s="165"/>
      <c r="L290" s="165"/>
      <c r="Q290" s="165"/>
      <c r="T290" s="165"/>
      <c r="U290" s="165"/>
      <c r="V290" s="165"/>
      <c r="W290" s="165"/>
      <c r="X290" s="165"/>
      <c r="Y290" s="165"/>
      <c r="AD290" s="165"/>
      <c r="AE290" s="165"/>
      <c r="AF290" s="165"/>
      <c r="AG290" s="165"/>
      <c r="AH290" s="165"/>
      <c r="AI290" s="165"/>
    </row>
    <row r="291" spans="1:35">
      <c r="A291" s="165"/>
      <c r="B291" s="165"/>
      <c r="C291" s="165"/>
      <c r="D291" s="165"/>
      <c r="K291" s="165"/>
      <c r="L291" s="165"/>
      <c r="Q291" s="165"/>
      <c r="T291" s="165"/>
      <c r="U291" s="165"/>
      <c r="V291" s="165"/>
      <c r="W291" s="165"/>
      <c r="X291" s="165"/>
      <c r="Y291" s="165"/>
      <c r="AD291" s="165"/>
      <c r="AE291" s="165"/>
      <c r="AF291" s="165"/>
      <c r="AG291" s="165"/>
      <c r="AH291" s="165"/>
      <c r="AI291" s="165"/>
    </row>
    <row r="292" spans="1:35">
      <c r="A292" s="165"/>
      <c r="B292" s="165"/>
      <c r="C292" s="165"/>
      <c r="D292" s="165"/>
      <c r="K292" s="165"/>
      <c r="L292" s="165"/>
      <c r="Q292" s="165"/>
      <c r="T292" s="165"/>
      <c r="U292" s="165"/>
      <c r="V292" s="165"/>
      <c r="W292" s="165"/>
      <c r="X292" s="165"/>
      <c r="Y292" s="165"/>
      <c r="AD292" s="165"/>
      <c r="AE292" s="165"/>
      <c r="AF292" s="165"/>
      <c r="AG292" s="165"/>
      <c r="AH292" s="165"/>
      <c r="AI292" s="165"/>
    </row>
    <row r="293" spans="1:35">
      <c r="A293" s="165"/>
      <c r="B293" s="165"/>
      <c r="C293" s="165"/>
      <c r="D293" s="165"/>
      <c r="K293" s="165"/>
      <c r="L293" s="165"/>
      <c r="Q293" s="165"/>
      <c r="T293" s="165"/>
      <c r="U293" s="165"/>
      <c r="V293" s="165"/>
      <c r="W293" s="165"/>
      <c r="X293" s="165"/>
      <c r="Y293" s="165"/>
      <c r="AD293" s="165"/>
      <c r="AE293" s="165"/>
      <c r="AF293" s="165"/>
      <c r="AG293" s="165"/>
      <c r="AH293" s="165"/>
      <c r="AI293" s="165"/>
    </row>
    <row r="294" spans="1:35">
      <c r="A294" s="165"/>
      <c r="B294" s="165"/>
      <c r="C294" s="165"/>
      <c r="D294" s="165"/>
      <c r="K294" s="165"/>
      <c r="L294" s="165"/>
      <c r="Q294" s="165"/>
      <c r="T294" s="165"/>
      <c r="U294" s="165"/>
      <c r="V294" s="165"/>
      <c r="W294" s="165"/>
      <c r="X294" s="165"/>
      <c r="Y294" s="165"/>
      <c r="AD294" s="165"/>
      <c r="AE294" s="165"/>
      <c r="AF294" s="165"/>
      <c r="AG294" s="165"/>
      <c r="AH294" s="165"/>
      <c r="AI294" s="165"/>
    </row>
    <row r="295" spans="1:35">
      <c r="A295" s="165"/>
      <c r="B295" s="165"/>
      <c r="C295" s="165"/>
      <c r="D295" s="165"/>
      <c r="K295" s="165"/>
      <c r="L295" s="165"/>
      <c r="Q295" s="165"/>
      <c r="T295" s="165"/>
      <c r="U295" s="165"/>
      <c r="V295" s="165"/>
      <c r="W295" s="165"/>
      <c r="X295" s="165"/>
      <c r="Y295" s="165"/>
      <c r="AD295" s="165"/>
      <c r="AE295" s="165"/>
      <c r="AF295" s="165"/>
      <c r="AG295" s="165"/>
      <c r="AH295" s="165"/>
      <c r="AI295" s="165"/>
    </row>
    <row r="296" spans="1:35">
      <c r="A296" s="165"/>
      <c r="B296" s="165"/>
      <c r="C296" s="165"/>
      <c r="D296" s="165"/>
      <c r="K296" s="165"/>
      <c r="L296" s="165"/>
      <c r="Q296" s="165"/>
      <c r="T296" s="165"/>
      <c r="U296" s="165"/>
      <c r="V296" s="165"/>
      <c r="W296" s="165"/>
      <c r="X296" s="165"/>
      <c r="Y296" s="165"/>
      <c r="AD296" s="165"/>
      <c r="AE296" s="165"/>
      <c r="AF296" s="165"/>
      <c r="AG296" s="165"/>
      <c r="AH296" s="165"/>
      <c r="AI296" s="165"/>
    </row>
    <row r="297" spans="1:35">
      <c r="A297" s="165"/>
      <c r="B297" s="165"/>
      <c r="C297" s="165"/>
      <c r="D297" s="165"/>
      <c r="K297" s="165"/>
      <c r="L297" s="165"/>
      <c r="Q297" s="165"/>
      <c r="T297" s="165"/>
      <c r="U297" s="165"/>
      <c r="V297" s="165"/>
      <c r="W297" s="165"/>
      <c r="X297" s="165"/>
      <c r="Y297" s="165"/>
      <c r="AD297" s="165"/>
      <c r="AE297" s="165"/>
      <c r="AF297" s="165"/>
      <c r="AG297" s="165"/>
      <c r="AH297" s="165"/>
      <c r="AI297" s="165"/>
    </row>
    <row r="298" spans="1:35">
      <c r="A298" s="165"/>
      <c r="B298" s="165"/>
      <c r="C298" s="165"/>
      <c r="D298" s="165"/>
      <c r="K298" s="165"/>
      <c r="L298" s="165"/>
      <c r="Q298" s="165"/>
      <c r="T298" s="165"/>
      <c r="U298" s="165"/>
      <c r="V298" s="165"/>
      <c r="W298" s="165"/>
      <c r="X298" s="165"/>
      <c r="Y298" s="165"/>
      <c r="AD298" s="165"/>
      <c r="AE298" s="165"/>
      <c r="AF298" s="165"/>
      <c r="AG298" s="165"/>
      <c r="AH298" s="165"/>
      <c r="AI298" s="165"/>
    </row>
    <row r="299" spans="1:35">
      <c r="A299" s="165"/>
      <c r="B299" s="165"/>
      <c r="C299" s="165"/>
      <c r="D299" s="165"/>
      <c r="K299" s="165"/>
      <c r="L299" s="165"/>
      <c r="Q299" s="165"/>
      <c r="T299" s="165"/>
      <c r="U299" s="165"/>
      <c r="V299" s="165"/>
      <c r="W299" s="165"/>
      <c r="X299" s="165"/>
      <c r="Y299" s="165"/>
      <c r="AD299" s="165"/>
      <c r="AE299" s="165"/>
      <c r="AF299" s="165"/>
      <c r="AG299" s="165"/>
      <c r="AH299" s="165"/>
      <c r="AI299" s="165"/>
    </row>
    <row r="300" spans="1:35">
      <c r="A300" s="165"/>
      <c r="B300" s="165"/>
      <c r="C300" s="165"/>
      <c r="D300" s="165"/>
      <c r="K300" s="165"/>
      <c r="L300" s="165"/>
      <c r="Q300" s="165"/>
      <c r="T300" s="165"/>
      <c r="U300" s="165"/>
      <c r="V300" s="165"/>
      <c r="W300" s="165"/>
      <c r="X300" s="165"/>
      <c r="Y300" s="165"/>
      <c r="AD300" s="165"/>
      <c r="AE300" s="165"/>
      <c r="AF300" s="165"/>
      <c r="AG300" s="165"/>
      <c r="AH300" s="165"/>
      <c r="AI300" s="165"/>
    </row>
    <row r="301" spans="1:35">
      <c r="A301" s="165"/>
      <c r="B301" s="165"/>
      <c r="C301" s="165"/>
      <c r="D301" s="165"/>
      <c r="K301" s="165"/>
      <c r="L301" s="165"/>
      <c r="Q301" s="165"/>
      <c r="T301" s="165"/>
      <c r="U301" s="165"/>
      <c r="V301" s="165"/>
      <c r="W301" s="165"/>
      <c r="X301" s="165"/>
      <c r="Y301" s="165"/>
      <c r="AD301" s="165"/>
      <c r="AE301" s="165"/>
      <c r="AF301" s="165"/>
      <c r="AG301" s="165"/>
      <c r="AH301" s="165"/>
      <c r="AI301" s="165"/>
    </row>
    <row r="302" spans="1:35">
      <c r="A302" s="165"/>
      <c r="B302" s="165"/>
      <c r="C302" s="165"/>
      <c r="D302" s="165"/>
      <c r="K302" s="165"/>
      <c r="L302" s="165"/>
      <c r="Q302" s="165"/>
      <c r="T302" s="165"/>
      <c r="U302" s="165"/>
      <c r="V302" s="165"/>
      <c r="W302" s="165"/>
      <c r="X302" s="165"/>
      <c r="Y302" s="165"/>
      <c r="AD302" s="165"/>
      <c r="AE302" s="165"/>
      <c r="AF302" s="165"/>
      <c r="AG302" s="165"/>
      <c r="AH302" s="165"/>
      <c r="AI302" s="165"/>
    </row>
    <row r="303" spans="1:35">
      <c r="A303" s="165"/>
      <c r="B303" s="165"/>
      <c r="C303" s="165"/>
      <c r="D303" s="165"/>
      <c r="K303" s="165"/>
      <c r="L303" s="165"/>
      <c r="Q303" s="165"/>
      <c r="T303" s="165"/>
      <c r="U303" s="165"/>
      <c r="V303" s="165"/>
      <c r="W303" s="165"/>
      <c r="X303" s="165"/>
      <c r="Y303" s="165"/>
      <c r="AD303" s="165"/>
      <c r="AE303" s="165"/>
      <c r="AF303" s="165"/>
      <c r="AG303" s="165"/>
      <c r="AH303" s="165"/>
      <c r="AI303" s="165"/>
    </row>
    <row r="304" spans="1:35">
      <c r="A304" s="165"/>
      <c r="B304" s="165"/>
      <c r="C304" s="165"/>
      <c r="D304" s="165"/>
      <c r="K304" s="165"/>
      <c r="L304" s="165"/>
      <c r="Q304" s="165"/>
      <c r="T304" s="165"/>
      <c r="U304" s="165"/>
      <c r="V304" s="165"/>
      <c r="W304" s="165"/>
      <c r="X304" s="165"/>
      <c r="Y304" s="165"/>
      <c r="AD304" s="165"/>
      <c r="AE304" s="165"/>
      <c r="AF304" s="165"/>
      <c r="AG304" s="165"/>
      <c r="AH304" s="165"/>
      <c r="AI304" s="165"/>
    </row>
    <row r="305" spans="1:35">
      <c r="A305" s="165"/>
      <c r="B305" s="165"/>
      <c r="C305" s="165"/>
      <c r="D305" s="165"/>
      <c r="K305" s="165"/>
      <c r="L305" s="165"/>
      <c r="Q305" s="165"/>
      <c r="T305" s="165"/>
      <c r="U305" s="165"/>
      <c r="V305" s="165"/>
      <c r="W305" s="165"/>
      <c r="X305" s="165"/>
      <c r="Y305" s="165"/>
      <c r="AD305" s="165"/>
      <c r="AE305" s="165"/>
      <c r="AF305" s="165"/>
      <c r="AG305" s="165"/>
      <c r="AH305" s="165"/>
      <c r="AI305" s="165"/>
    </row>
    <row r="306" spans="1:35">
      <c r="A306" s="165"/>
      <c r="B306" s="165"/>
      <c r="C306" s="165"/>
      <c r="D306" s="165"/>
      <c r="K306" s="165"/>
      <c r="L306" s="165"/>
      <c r="Q306" s="165"/>
      <c r="T306" s="165"/>
      <c r="U306" s="165"/>
      <c r="V306" s="165"/>
      <c r="W306" s="165"/>
      <c r="X306" s="165"/>
      <c r="Y306" s="165"/>
      <c r="AD306" s="165"/>
      <c r="AE306" s="165"/>
      <c r="AF306" s="165"/>
      <c r="AG306" s="165"/>
      <c r="AH306" s="165"/>
      <c r="AI306" s="165"/>
    </row>
    <row r="307" spans="1:35">
      <c r="A307" s="165"/>
      <c r="B307" s="165"/>
      <c r="C307" s="165"/>
      <c r="D307" s="165"/>
      <c r="K307" s="165"/>
      <c r="L307" s="165"/>
      <c r="Q307" s="165"/>
      <c r="T307" s="165"/>
      <c r="U307" s="165"/>
      <c r="V307" s="165"/>
      <c r="W307" s="165"/>
      <c r="X307" s="165"/>
      <c r="Y307" s="165"/>
      <c r="AD307" s="165"/>
      <c r="AE307" s="165"/>
      <c r="AF307" s="165"/>
      <c r="AG307" s="165"/>
      <c r="AH307" s="165"/>
      <c r="AI307" s="165"/>
    </row>
    <row r="308" spans="1:35">
      <c r="A308" s="165"/>
      <c r="B308" s="165"/>
      <c r="C308" s="165"/>
      <c r="D308" s="165"/>
      <c r="K308" s="165"/>
      <c r="L308" s="165"/>
      <c r="Q308" s="165"/>
      <c r="T308" s="165"/>
      <c r="U308" s="165"/>
      <c r="V308" s="165"/>
      <c r="W308" s="165"/>
      <c r="X308" s="165"/>
      <c r="Y308" s="165"/>
      <c r="AD308" s="165"/>
      <c r="AE308" s="165"/>
      <c r="AF308" s="165"/>
      <c r="AG308" s="165"/>
      <c r="AH308" s="165"/>
      <c r="AI308" s="165"/>
    </row>
    <row r="309" spans="1:35">
      <c r="A309" s="165"/>
      <c r="B309" s="165"/>
      <c r="C309" s="165"/>
      <c r="D309" s="165"/>
      <c r="K309" s="165"/>
      <c r="L309" s="165"/>
      <c r="Q309" s="165"/>
      <c r="T309" s="165"/>
      <c r="U309" s="165"/>
      <c r="V309" s="165"/>
      <c r="W309" s="165"/>
      <c r="X309" s="165"/>
      <c r="Y309" s="165"/>
      <c r="AD309" s="165"/>
      <c r="AE309" s="165"/>
      <c r="AF309" s="165"/>
      <c r="AG309" s="165"/>
      <c r="AH309" s="165"/>
      <c r="AI309" s="165"/>
    </row>
    <row r="310" spans="1:35">
      <c r="A310" s="165"/>
      <c r="B310" s="165"/>
      <c r="C310" s="165"/>
      <c r="D310" s="165"/>
      <c r="K310" s="165"/>
      <c r="L310" s="165"/>
      <c r="Q310" s="165"/>
      <c r="T310" s="165"/>
      <c r="U310" s="165"/>
      <c r="V310" s="165"/>
      <c r="W310" s="165"/>
      <c r="X310" s="165"/>
      <c r="Y310" s="165"/>
      <c r="AD310" s="165"/>
      <c r="AE310" s="165"/>
      <c r="AF310" s="165"/>
      <c r="AG310" s="165"/>
      <c r="AH310" s="165"/>
      <c r="AI310" s="165"/>
    </row>
    <row r="311" spans="1:35">
      <c r="A311" s="165"/>
      <c r="B311" s="165"/>
      <c r="C311" s="165"/>
      <c r="D311" s="165"/>
      <c r="K311" s="165"/>
      <c r="L311" s="165"/>
      <c r="Q311" s="165"/>
      <c r="T311" s="165"/>
      <c r="U311" s="165"/>
      <c r="V311" s="165"/>
      <c r="W311" s="165"/>
      <c r="X311" s="165"/>
      <c r="Y311" s="165"/>
      <c r="AD311" s="165"/>
      <c r="AE311" s="165"/>
      <c r="AF311" s="165"/>
      <c r="AG311" s="165"/>
      <c r="AH311" s="165"/>
      <c r="AI311" s="165"/>
    </row>
    <row r="312" spans="1:35">
      <c r="A312" s="165"/>
      <c r="B312" s="165"/>
      <c r="C312" s="165"/>
      <c r="D312" s="165"/>
      <c r="K312" s="165"/>
      <c r="L312" s="165"/>
      <c r="Q312" s="165"/>
      <c r="T312" s="165"/>
      <c r="U312" s="165"/>
      <c r="V312" s="165"/>
      <c r="W312" s="165"/>
      <c r="X312" s="165"/>
      <c r="Y312" s="165"/>
      <c r="AD312" s="165"/>
      <c r="AE312" s="165"/>
      <c r="AF312" s="165"/>
      <c r="AG312" s="165"/>
      <c r="AH312" s="165"/>
      <c r="AI312" s="165"/>
    </row>
    <row r="313" spans="1:35">
      <c r="A313" s="165"/>
      <c r="B313" s="165"/>
      <c r="C313" s="165"/>
      <c r="D313" s="165"/>
      <c r="K313" s="165"/>
      <c r="L313" s="165"/>
      <c r="Q313" s="165"/>
      <c r="T313" s="165"/>
      <c r="U313" s="165"/>
      <c r="V313" s="165"/>
      <c r="W313" s="165"/>
      <c r="X313" s="165"/>
      <c r="Y313" s="165"/>
      <c r="AD313" s="165"/>
      <c r="AE313" s="165"/>
      <c r="AF313" s="165"/>
      <c r="AG313" s="165"/>
      <c r="AH313" s="165"/>
      <c r="AI313" s="165"/>
    </row>
    <row r="314" spans="1:35">
      <c r="A314" s="165"/>
      <c r="B314" s="165"/>
      <c r="C314" s="165"/>
      <c r="D314" s="165"/>
      <c r="K314" s="165"/>
      <c r="L314" s="165"/>
      <c r="Q314" s="165"/>
      <c r="T314" s="165"/>
      <c r="U314" s="165"/>
      <c r="V314" s="165"/>
      <c r="W314" s="165"/>
      <c r="X314" s="165"/>
      <c r="Y314" s="165"/>
      <c r="AD314" s="165"/>
      <c r="AE314" s="165"/>
      <c r="AF314" s="165"/>
      <c r="AG314" s="165"/>
      <c r="AH314" s="165"/>
      <c r="AI314" s="165"/>
    </row>
    <row r="315" spans="1:35">
      <c r="A315" s="165"/>
      <c r="B315" s="165"/>
      <c r="C315" s="165"/>
      <c r="D315" s="165"/>
      <c r="K315" s="165"/>
      <c r="L315" s="165"/>
      <c r="Q315" s="165"/>
      <c r="T315" s="165"/>
      <c r="U315" s="165"/>
      <c r="V315" s="165"/>
      <c r="W315" s="165"/>
      <c r="X315" s="165"/>
      <c r="Y315" s="165"/>
      <c r="AD315" s="165"/>
      <c r="AE315" s="165"/>
      <c r="AF315" s="165"/>
      <c r="AG315" s="165"/>
      <c r="AH315" s="165"/>
      <c r="AI315" s="165"/>
    </row>
    <row r="316" spans="1:35">
      <c r="A316" s="165"/>
      <c r="B316" s="165"/>
      <c r="C316" s="165"/>
      <c r="D316" s="165"/>
      <c r="K316" s="165"/>
      <c r="L316" s="165"/>
      <c r="Q316" s="165"/>
      <c r="T316" s="165"/>
      <c r="U316" s="165"/>
      <c r="V316" s="165"/>
      <c r="W316" s="165"/>
      <c r="X316" s="165"/>
      <c r="Y316" s="165"/>
      <c r="AD316" s="165"/>
      <c r="AE316" s="165"/>
      <c r="AF316" s="165"/>
      <c r="AG316" s="165"/>
      <c r="AH316" s="165"/>
      <c r="AI316" s="165"/>
    </row>
    <row r="317" spans="1:35">
      <c r="A317" s="165"/>
      <c r="B317" s="165"/>
      <c r="C317" s="165"/>
      <c r="D317" s="165"/>
      <c r="K317" s="165"/>
      <c r="L317" s="165"/>
      <c r="Q317" s="165"/>
      <c r="T317" s="165"/>
      <c r="U317" s="165"/>
      <c r="V317" s="165"/>
      <c r="W317" s="165"/>
      <c r="X317" s="165"/>
      <c r="Y317" s="165"/>
      <c r="AD317" s="165"/>
      <c r="AE317" s="165"/>
      <c r="AF317" s="165"/>
      <c r="AG317" s="165"/>
      <c r="AH317" s="165"/>
      <c r="AI317" s="165"/>
    </row>
    <row r="318" spans="1:35">
      <c r="A318" s="165"/>
      <c r="B318" s="165"/>
      <c r="C318" s="165"/>
      <c r="D318" s="165"/>
      <c r="K318" s="165"/>
      <c r="L318" s="165"/>
      <c r="Q318" s="165"/>
      <c r="T318" s="165"/>
      <c r="U318" s="165"/>
      <c r="V318" s="165"/>
      <c r="W318" s="165"/>
      <c r="X318" s="165"/>
      <c r="Y318" s="165"/>
      <c r="AD318" s="165"/>
      <c r="AE318" s="165"/>
      <c r="AF318" s="165"/>
      <c r="AG318" s="165"/>
      <c r="AH318" s="165"/>
      <c r="AI318" s="165"/>
    </row>
    <row r="319" spans="1:35">
      <c r="A319" s="165"/>
      <c r="B319" s="165"/>
      <c r="C319" s="165"/>
      <c r="D319" s="165"/>
      <c r="K319" s="165"/>
      <c r="L319" s="165"/>
      <c r="Q319" s="165"/>
      <c r="T319" s="165"/>
      <c r="U319" s="165"/>
      <c r="V319" s="165"/>
      <c r="W319" s="165"/>
      <c r="X319" s="165"/>
      <c r="Y319" s="165"/>
      <c r="AD319" s="165"/>
      <c r="AE319" s="165"/>
      <c r="AF319" s="165"/>
      <c r="AG319" s="165"/>
      <c r="AH319" s="165"/>
      <c r="AI319" s="165"/>
    </row>
    <row r="320" spans="1:35">
      <c r="A320" s="165"/>
      <c r="B320" s="165"/>
      <c r="C320" s="165"/>
      <c r="D320" s="165"/>
      <c r="K320" s="165"/>
      <c r="L320" s="165"/>
      <c r="Q320" s="165"/>
      <c r="T320" s="165"/>
      <c r="U320" s="165"/>
      <c r="V320" s="165"/>
      <c r="W320" s="165"/>
      <c r="X320" s="165"/>
      <c r="Y320" s="165"/>
      <c r="AD320" s="165"/>
      <c r="AE320" s="165"/>
      <c r="AF320" s="165"/>
      <c r="AG320" s="165"/>
      <c r="AH320" s="165"/>
      <c r="AI320" s="165"/>
    </row>
    <row r="321" spans="1:35">
      <c r="A321" s="165"/>
      <c r="B321" s="165"/>
      <c r="C321" s="165"/>
      <c r="D321" s="165"/>
      <c r="K321" s="165"/>
      <c r="L321" s="165"/>
      <c r="Q321" s="165"/>
      <c r="T321" s="165"/>
      <c r="U321" s="165"/>
      <c r="V321" s="165"/>
      <c r="W321" s="165"/>
      <c r="X321" s="165"/>
      <c r="Y321" s="165"/>
      <c r="AD321" s="165"/>
      <c r="AE321" s="165"/>
      <c r="AF321" s="165"/>
      <c r="AG321" s="165"/>
      <c r="AH321" s="165"/>
      <c r="AI321" s="165"/>
    </row>
    <row r="322" spans="1:35">
      <c r="A322" s="165"/>
      <c r="B322" s="165"/>
      <c r="C322" s="165"/>
      <c r="D322" s="165"/>
      <c r="K322" s="165"/>
      <c r="L322" s="165"/>
      <c r="Q322" s="165"/>
      <c r="T322" s="165"/>
      <c r="U322" s="165"/>
      <c r="V322" s="165"/>
      <c r="W322" s="165"/>
      <c r="X322" s="165"/>
      <c r="Y322" s="165"/>
      <c r="AD322" s="165"/>
      <c r="AE322" s="165"/>
      <c r="AF322" s="165"/>
      <c r="AG322" s="165"/>
      <c r="AH322" s="165"/>
      <c r="AI322" s="165"/>
    </row>
    <row r="323" spans="1:35">
      <c r="A323" s="165"/>
      <c r="B323" s="165"/>
      <c r="C323" s="165"/>
      <c r="D323" s="165"/>
      <c r="K323" s="165"/>
      <c r="L323" s="165"/>
      <c r="Q323" s="165"/>
      <c r="T323" s="165"/>
      <c r="U323" s="165"/>
      <c r="V323" s="165"/>
      <c r="W323" s="165"/>
      <c r="X323" s="165"/>
      <c r="Y323" s="165"/>
      <c r="AD323" s="165"/>
      <c r="AE323" s="165"/>
      <c r="AF323" s="165"/>
      <c r="AG323" s="165"/>
      <c r="AH323" s="165"/>
      <c r="AI323" s="165"/>
    </row>
    <row r="324" spans="1:35">
      <c r="A324" s="165"/>
      <c r="B324" s="165"/>
      <c r="C324" s="165"/>
      <c r="D324" s="165"/>
      <c r="K324" s="165"/>
      <c r="L324" s="165"/>
      <c r="Q324" s="165"/>
      <c r="T324" s="165"/>
      <c r="U324" s="165"/>
      <c r="V324" s="165"/>
      <c r="W324" s="165"/>
      <c r="X324" s="165"/>
      <c r="Y324" s="165"/>
      <c r="AD324" s="165"/>
      <c r="AE324" s="165"/>
      <c r="AF324" s="165"/>
      <c r="AG324" s="165"/>
      <c r="AH324" s="165"/>
      <c r="AI324" s="165"/>
    </row>
    <row r="325" spans="1:35">
      <c r="A325" s="165"/>
      <c r="B325" s="165"/>
      <c r="C325" s="165"/>
      <c r="D325" s="165"/>
      <c r="K325" s="165"/>
      <c r="L325" s="165"/>
      <c r="Q325" s="165"/>
      <c r="T325" s="165"/>
      <c r="U325" s="165"/>
      <c r="V325" s="165"/>
      <c r="W325" s="165"/>
      <c r="X325" s="165"/>
      <c r="Y325" s="165"/>
      <c r="AD325" s="165"/>
      <c r="AE325" s="165"/>
      <c r="AF325" s="165"/>
      <c r="AG325" s="165"/>
      <c r="AH325" s="165"/>
      <c r="AI325" s="165"/>
    </row>
    <row r="326" spans="1:35">
      <c r="A326" s="165"/>
      <c r="B326" s="165"/>
      <c r="C326" s="165"/>
      <c r="D326" s="165"/>
      <c r="K326" s="165"/>
      <c r="L326" s="165"/>
      <c r="Q326" s="165"/>
      <c r="T326" s="165"/>
      <c r="U326" s="165"/>
      <c r="V326" s="165"/>
      <c r="W326" s="165"/>
      <c r="X326" s="165"/>
      <c r="Y326" s="165"/>
      <c r="AD326" s="165"/>
      <c r="AE326" s="165"/>
      <c r="AF326" s="165"/>
      <c r="AG326" s="165"/>
      <c r="AH326" s="165"/>
      <c r="AI326" s="165"/>
    </row>
    <row r="327" spans="1:35">
      <c r="A327" s="165"/>
      <c r="B327" s="165"/>
      <c r="C327" s="165"/>
      <c r="D327" s="165"/>
      <c r="K327" s="165"/>
      <c r="L327" s="165"/>
      <c r="Q327" s="165"/>
      <c r="T327" s="165"/>
      <c r="U327" s="165"/>
      <c r="V327" s="165"/>
      <c r="W327" s="165"/>
      <c r="X327" s="165"/>
      <c r="Y327" s="165"/>
      <c r="AD327" s="165"/>
      <c r="AE327" s="165"/>
      <c r="AF327" s="165"/>
      <c r="AG327" s="165"/>
      <c r="AH327" s="165"/>
      <c r="AI327" s="165"/>
    </row>
    <row r="328" spans="1:35">
      <c r="A328" s="165"/>
      <c r="B328" s="165"/>
      <c r="C328" s="165"/>
      <c r="D328" s="165"/>
      <c r="K328" s="165"/>
      <c r="L328" s="165"/>
      <c r="Q328" s="165"/>
      <c r="T328" s="165"/>
      <c r="U328" s="165"/>
      <c r="V328" s="165"/>
      <c r="W328" s="165"/>
      <c r="X328" s="165"/>
      <c r="Y328" s="165"/>
      <c r="AD328" s="165"/>
      <c r="AE328" s="165"/>
      <c r="AF328" s="165"/>
      <c r="AG328" s="165"/>
      <c r="AH328" s="165"/>
      <c r="AI328" s="165"/>
    </row>
    <row r="329" spans="1:35">
      <c r="A329" s="165"/>
      <c r="B329" s="165"/>
      <c r="C329" s="165"/>
      <c r="D329" s="165"/>
      <c r="K329" s="165"/>
      <c r="L329" s="165"/>
      <c r="Q329" s="165"/>
      <c r="T329" s="165"/>
      <c r="U329" s="165"/>
      <c r="V329" s="165"/>
      <c r="W329" s="165"/>
      <c r="X329" s="165"/>
      <c r="Y329" s="165"/>
      <c r="AD329" s="165"/>
      <c r="AE329" s="165"/>
      <c r="AF329" s="165"/>
      <c r="AG329" s="165"/>
      <c r="AH329" s="165"/>
      <c r="AI329" s="165"/>
    </row>
    <row r="330" spans="1:35">
      <c r="A330" s="165"/>
      <c r="B330" s="165"/>
      <c r="C330" s="165"/>
      <c r="D330" s="165"/>
      <c r="K330" s="165"/>
      <c r="L330" s="165"/>
      <c r="Q330" s="165"/>
      <c r="T330" s="165"/>
      <c r="U330" s="165"/>
      <c r="V330" s="165"/>
      <c r="W330" s="165"/>
      <c r="X330" s="165"/>
      <c r="Y330" s="165"/>
      <c r="AD330" s="165"/>
      <c r="AE330" s="165"/>
      <c r="AF330" s="165"/>
      <c r="AG330" s="165"/>
      <c r="AH330" s="165"/>
      <c r="AI330" s="165"/>
    </row>
    <row r="331" spans="1:35">
      <c r="A331" s="165"/>
      <c r="B331" s="165"/>
      <c r="C331" s="165"/>
      <c r="D331" s="165"/>
      <c r="K331" s="165"/>
      <c r="L331" s="165"/>
      <c r="Q331" s="165"/>
      <c r="T331" s="165"/>
      <c r="U331" s="165"/>
      <c r="V331" s="165"/>
      <c r="W331" s="165"/>
      <c r="X331" s="165"/>
      <c r="Y331" s="165"/>
      <c r="AD331" s="165"/>
      <c r="AE331" s="165"/>
      <c r="AF331" s="165"/>
      <c r="AG331" s="165"/>
      <c r="AH331" s="165"/>
      <c r="AI331" s="165"/>
    </row>
    <row r="332" spans="1:35">
      <c r="A332" s="165"/>
      <c r="B332" s="165"/>
      <c r="C332" s="165"/>
      <c r="D332" s="165"/>
      <c r="K332" s="165"/>
      <c r="L332" s="165"/>
      <c r="Q332" s="165"/>
      <c r="T332" s="165"/>
      <c r="U332" s="165"/>
      <c r="V332" s="165"/>
      <c r="W332" s="165"/>
      <c r="X332" s="165"/>
      <c r="Y332" s="165"/>
      <c r="AD332" s="165"/>
      <c r="AE332" s="165"/>
      <c r="AF332" s="165"/>
      <c r="AG332" s="165"/>
      <c r="AH332" s="165"/>
      <c r="AI332" s="165"/>
    </row>
    <row r="333" spans="1:35">
      <c r="A333" s="165"/>
      <c r="B333" s="165"/>
      <c r="C333" s="165"/>
      <c r="D333" s="165"/>
      <c r="K333" s="165"/>
      <c r="L333" s="165"/>
      <c r="Q333" s="165"/>
      <c r="T333" s="165"/>
      <c r="U333" s="165"/>
      <c r="V333" s="165"/>
      <c r="W333" s="165"/>
      <c r="X333" s="165"/>
      <c r="Y333" s="165"/>
      <c r="AD333" s="165"/>
      <c r="AE333" s="165"/>
      <c r="AF333" s="165"/>
      <c r="AG333" s="165"/>
      <c r="AH333" s="165"/>
      <c r="AI333" s="165"/>
    </row>
    <row r="334" spans="1:35">
      <c r="A334" s="165"/>
      <c r="B334" s="165"/>
      <c r="C334" s="165"/>
      <c r="D334" s="165"/>
      <c r="K334" s="165"/>
      <c r="L334" s="165"/>
      <c r="Q334" s="165"/>
      <c r="T334" s="165"/>
      <c r="U334" s="165"/>
      <c r="V334" s="165"/>
      <c r="W334" s="165"/>
      <c r="X334" s="165"/>
      <c r="Y334" s="165"/>
      <c r="AD334" s="165"/>
      <c r="AE334" s="165"/>
      <c r="AF334" s="165"/>
      <c r="AG334" s="165"/>
      <c r="AH334" s="165"/>
      <c r="AI334" s="165"/>
    </row>
    <row r="335" spans="1:35">
      <c r="A335" s="165"/>
      <c r="B335" s="165"/>
      <c r="C335" s="165"/>
      <c r="D335" s="165"/>
      <c r="K335" s="165"/>
      <c r="L335" s="165"/>
      <c r="Q335" s="165"/>
      <c r="T335" s="165"/>
      <c r="U335" s="165"/>
      <c r="V335" s="165"/>
      <c r="W335" s="165"/>
      <c r="X335" s="165"/>
      <c r="Y335" s="165"/>
      <c r="AD335" s="165"/>
      <c r="AE335" s="165"/>
      <c r="AF335" s="165"/>
      <c r="AG335" s="165"/>
      <c r="AH335" s="165"/>
      <c r="AI335" s="165"/>
    </row>
    <row r="336" spans="1:35">
      <c r="A336" s="165"/>
      <c r="B336" s="165"/>
      <c r="C336" s="165"/>
      <c r="D336" s="165"/>
      <c r="K336" s="165"/>
      <c r="L336" s="165"/>
      <c r="Q336" s="165"/>
      <c r="T336" s="165"/>
      <c r="U336" s="165"/>
      <c r="V336" s="165"/>
      <c r="W336" s="165"/>
      <c r="X336" s="165"/>
      <c r="Y336" s="165"/>
      <c r="AD336" s="165"/>
      <c r="AE336" s="165"/>
      <c r="AF336" s="165"/>
      <c r="AG336" s="165"/>
      <c r="AH336" s="165"/>
      <c r="AI336" s="165"/>
    </row>
    <row r="337" spans="1:35">
      <c r="A337" s="165"/>
      <c r="B337" s="165"/>
      <c r="C337" s="165"/>
      <c r="D337" s="165"/>
      <c r="K337" s="165"/>
      <c r="L337" s="165"/>
      <c r="Q337" s="165"/>
      <c r="T337" s="165"/>
      <c r="U337" s="165"/>
      <c r="V337" s="165"/>
      <c r="W337" s="165"/>
      <c r="X337" s="165"/>
      <c r="Y337" s="165"/>
      <c r="AD337" s="165"/>
      <c r="AE337" s="165"/>
      <c r="AF337" s="165"/>
      <c r="AG337" s="165"/>
      <c r="AH337" s="165"/>
      <c r="AI337" s="165"/>
    </row>
    <row r="338" spans="1:35">
      <c r="A338" s="165"/>
      <c r="B338" s="165"/>
      <c r="C338" s="165"/>
      <c r="D338" s="165"/>
      <c r="K338" s="165"/>
      <c r="L338" s="165"/>
      <c r="Q338" s="165"/>
      <c r="T338" s="165"/>
      <c r="U338" s="165"/>
      <c r="V338" s="165"/>
      <c r="W338" s="165"/>
      <c r="X338" s="165"/>
      <c r="Y338" s="165"/>
      <c r="AD338" s="165"/>
      <c r="AE338" s="165"/>
      <c r="AF338" s="165"/>
      <c r="AG338" s="165"/>
      <c r="AH338" s="165"/>
      <c r="AI338" s="165"/>
    </row>
    <row r="339" spans="1:35">
      <c r="A339" s="165"/>
      <c r="B339" s="165"/>
      <c r="C339" s="165"/>
      <c r="D339" s="165"/>
      <c r="K339" s="165"/>
      <c r="L339" s="165"/>
      <c r="Q339" s="165"/>
      <c r="T339" s="165"/>
      <c r="U339" s="165"/>
      <c r="V339" s="165"/>
      <c r="W339" s="165"/>
      <c r="X339" s="165"/>
      <c r="Y339" s="165"/>
      <c r="AD339" s="165"/>
      <c r="AE339" s="165"/>
      <c r="AF339" s="165"/>
      <c r="AG339" s="165"/>
      <c r="AH339" s="165"/>
      <c r="AI339" s="165"/>
    </row>
    <row r="340" spans="1:35">
      <c r="A340" s="165"/>
      <c r="B340" s="165"/>
      <c r="C340" s="165"/>
      <c r="D340" s="165"/>
      <c r="K340" s="165"/>
      <c r="L340" s="165"/>
      <c r="Q340" s="165"/>
      <c r="T340" s="165"/>
      <c r="U340" s="165"/>
      <c r="V340" s="165"/>
      <c r="W340" s="165"/>
      <c r="X340" s="165"/>
      <c r="Y340" s="165"/>
      <c r="AD340" s="165"/>
      <c r="AE340" s="165"/>
      <c r="AF340" s="165"/>
      <c r="AG340" s="165"/>
      <c r="AH340" s="165"/>
      <c r="AI340" s="165"/>
    </row>
    <row r="341" spans="1:35">
      <c r="A341" s="165"/>
      <c r="B341" s="165"/>
      <c r="C341" s="165"/>
      <c r="D341" s="165"/>
      <c r="K341" s="165"/>
      <c r="L341" s="165"/>
      <c r="Q341" s="165"/>
      <c r="T341" s="165"/>
      <c r="U341" s="165"/>
      <c r="V341" s="165"/>
      <c r="W341" s="165"/>
      <c r="X341" s="165"/>
      <c r="Y341" s="165"/>
      <c r="AD341" s="165"/>
      <c r="AE341" s="165"/>
      <c r="AF341" s="165"/>
      <c r="AG341" s="165"/>
      <c r="AH341" s="165"/>
      <c r="AI341" s="165"/>
    </row>
    <row r="342" spans="1:35">
      <c r="A342" s="165"/>
      <c r="B342" s="165"/>
      <c r="C342" s="165"/>
      <c r="D342" s="165"/>
      <c r="K342" s="165"/>
      <c r="L342" s="165"/>
      <c r="Q342" s="165"/>
      <c r="T342" s="165"/>
      <c r="U342" s="165"/>
      <c r="V342" s="165"/>
      <c r="W342" s="165"/>
      <c r="X342" s="165"/>
      <c r="Y342" s="165"/>
      <c r="AD342" s="165"/>
      <c r="AE342" s="165"/>
      <c r="AF342" s="165"/>
      <c r="AG342" s="165"/>
      <c r="AH342" s="165"/>
      <c r="AI342" s="165"/>
    </row>
    <row r="343" spans="1:35">
      <c r="A343" s="165"/>
      <c r="B343" s="165"/>
      <c r="C343" s="165"/>
      <c r="D343" s="165"/>
      <c r="K343" s="165"/>
      <c r="L343" s="165"/>
      <c r="Q343" s="165"/>
      <c r="T343" s="165"/>
      <c r="U343" s="165"/>
      <c r="V343" s="165"/>
      <c r="W343" s="165"/>
      <c r="X343" s="165"/>
      <c r="Y343" s="165"/>
      <c r="AD343" s="165"/>
      <c r="AE343" s="165"/>
      <c r="AF343" s="165"/>
      <c r="AG343" s="165"/>
      <c r="AH343" s="165"/>
      <c r="AI343" s="165"/>
    </row>
    <row r="344" spans="1:35">
      <c r="A344" s="165"/>
      <c r="B344" s="165"/>
      <c r="C344" s="165"/>
      <c r="D344" s="165"/>
      <c r="K344" s="165"/>
      <c r="L344" s="165"/>
      <c r="Q344" s="165"/>
      <c r="T344" s="165"/>
      <c r="U344" s="165"/>
      <c r="V344" s="165"/>
      <c r="W344" s="165"/>
      <c r="X344" s="165"/>
      <c r="Y344" s="165"/>
      <c r="AD344" s="165"/>
      <c r="AE344" s="165"/>
      <c r="AF344" s="165"/>
      <c r="AG344" s="165"/>
      <c r="AH344" s="165"/>
      <c r="AI344" s="165"/>
    </row>
    <row r="345" spans="1:35">
      <c r="A345" s="165"/>
      <c r="B345" s="165"/>
      <c r="C345" s="165"/>
      <c r="D345" s="165"/>
      <c r="K345" s="165"/>
      <c r="L345" s="165"/>
      <c r="Q345" s="165"/>
      <c r="T345" s="165"/>
      <c r="U345" s="165"/>
      <c r="V345" s="165"/>
      <c r="W345" s="165"/>
      <c r="X345" s="165"/>
      <c r="Y345" s="165"/>
      <c r="AD345" s="165"/>
      <c r="AE345" s="165"/>
      <c r="AF345" s="165"/>
      <c r="AG345" s="165"/>
      <c r="AH345" s="165"/>
      <c r="AI345" s="165"/>
    </row>
    <row r="346" spans="1:35">
      <c r="A346" s="165"/>
      <c r="B346" s="165"/>
      <c r="C346" s="165"/>
      <c r="D346" s="165"/>
      <c r="K346" s="165"/>
      <c r="L346" s="165"/>
      <c r="Q346" s="165"/>
      <c r="T346" s="165"/>
      <c r="U346" s="165"/>
      <c r="V346" s="165"/>
      <c r="W346" s="165"/>
      <c r="X346" s="165"/>
      <c r="Y346" s="165"/>
      <c r="AD346" s="165"/>
      <c r="AE346" s="165"/>
      <c r="AF346" s="165"/>
      <c r="AG346" s="165"/>
      <c r="AH346" s="165"/>
      <c r="AI346" s="165"/>
    </row>
    <row r="347" spans="1:35">
      <c r="A347" s="165"/>
      <c r="B347" s="165"/>
      <c r="C347" s="165"/>
      <c r="D347" s="165"/>
      <c r="K347" s="165"/>
      <c r="L347" s="165"/>
      <c r="Q347" s="165"/>
      <c r="T347" s="165"/>
      <c r="U347" s="165"/>
      <c r="V347" s="165"/>
      <c r="W347" s="165"/>
      <c r="X347" s="165"/>
      <c r="Y347" s="165"/>
      <c r="AD347" s="165"/>
      <c r="AE347" s="165"/>
      <c r="AF347" s="165"/>
      <c r="AG347" s="165"/>
      <c r="AH347" s="165"/>
      <c r="AI347" s="165"/>
    </row>
    <row r="348" spans="1:35">
      <c r="A348" s="165"/>
      <c r="B348" s="165"/>
      <c r="C348" s="165"/>
      <c r="D348" s="165"/>
      <c r="K348" s="165"/>
      <c r="L348" s="165"/>
      <c r="Q348" s="165"/>
      <c r="T348" s="165"/>
      <c r="U348" s="165"/>
      <c r="V348" s="165"/>
      <c r="W348" s="165"/>
      <c r="X348" s="165"/>
      <c r="Y348" s="165"/>
      <c r="AD348" s="165"/>
      <c r="AE348" s="165"/>
      <c r="AF348" s="165"/>
      <c r="AG348" s="165"/>
      <c r="AH348" s="165"/>
      <c r="AI348" s="165"/>
    </row>
    <row r="349" spans="1:35">
      <c r="A349" s="165"/>
      <c r="B349" s="165"/>
      <c r="C349" s="165"/>
      <c r="D349" s="165"/>
      <c r="K349" s="165"/>
      <c r="L349" s="165"/>
      <c r="Q349" s="165"/>
      <c r="T349" s="165"/>
      <c r="U349" s="165"/>
      <c r="V349" s="165"/>
      <c r="W349" s="165"/>
      <c r="X349" s="165"/>
      <c r="Y349" s="165"/>
      <c r="AD349" s="165"/>
      <c r="AE349" s="165"/>
      <c r="AF349" s="165"/>
      <c r="AG349" s="165"/>
      <c r="AH349" s="165"/>
      <c r="AI349" s="165"/>
    </row>
    <row r="350" spans="1:35">
      <c r="A350" s="165"/>
      <c r="B350" s="165"/>
      <c r="C350" s="165"/>
      <c r="D350" s="165"/>
      <c r="K350" s="165"/>
      <c r="L350" s="165"/>
      <c r="Q350" s="165"/>
      <c r="T350" s="165"/>
      <c r="U350" s="165"/>
      <c r="V350" s="165"/>
      <c r="W350" s="165"/>
      <c r="X350" s="165"/>
      <c r="Y350" s="165"/>
      <c r="AD350" s="165"/>
      <c r="AE350" s="165"/>
      <c r="AF350" s="165"/>
      <c r="AG350" s="165"/>
      <c r="AH350" s="165"/>
      <c r="AI350" s="165"/>
    </row>
    <row r="351" spans="1:35">
      <c r="A351" s="165"/>
      <c r="B351" s="165"/>
      <c r="C351" s="165"/>
      <c r="D351" s="165"/>
      <c r="K351" s="165"/>
      <c r="L351" s="165"/>
      <c r="Q351" s="165"/>
      <c r="T351" s="165"/>
      <c r="U351" s="165"/>
      <c r="V351" s="165"/>
      <c r="W351" s="165"/>
      <c r="X351" s="165"/>
      <c r="Y351" s="165"/>
      <c r="AD351" s="165"/>
      <c r="AE351" s="165"/>
      <c r="AF351" s="165"/>
      <c r="AG351" s="165"/>
      <c r="AH351" s="165"/>
      <c r="AI351" s="165"/>
    </row>
    <row r="352" spans="1:35">
      <c r="A352" s="165"/>
      <c r="B352" s="165"/>
      <c r="C352" s="165"/>
      <c r="D352" s="165"/>
      <c r="K352" s="165"/>
      <c r="L352" s="165"/>
      <c r="Q352" s="165"/>
      <c r="T352" s="165"/>
      <c r="U352" s="165"/>
      <c r="V352" s="165"/>
      <c r="W352" s="165"/>
      <c r="X352" s="165"/>
      <c r="Y352" s="165"/>
      <c r="AD352" s="165"/>
      <c r="AE352" s="165"/>
      <c r="AF352" s="165"/>
      <c r="AG352" s="165"/>
      <c r="AH352" s="165"/>
      <c r="AI352" s="165"/>
    </row>
    <row r="353" spans="1:35">
      <c r="A353" s="165"/>
      <c r="B353" s="165"/>
      <c r="C353" s="165"/>
      <c r="D353" s="165"/>
      <c r="K353" s="165"/>
      <c r="L353" s="165"/>
      <c r="Q353" s="165"/>
      <c r="T353" s="165"/>
      <c r="U353" s="165"/>
      <c r="V353" s="165"/>
      <c r="W353" s="165"/>
      <c r="X353" s="165"/>
      <c r="Y353" s="165"/>
      <c r="AD353" s="165"/>
      <c r="AE353" s="165"/>
      <c r="AF353" s="165"/>
      <c r="AG353" s="165"/>
      <c r="AH353" s="165"/>
      <c r="AI353" s="165"/>
    </row>
    <row r="354" spans="1:35">
      <c r="A354" s="165"/>
      <c r="B354" s="165"/>
      <c r="C354" s="165"/>
      <c r="D354" s="165"/>
      <c r="K354" s="165"/>
      <c r="L354" s="165"/>
      <c r="Q354" s="165"/>
      <c r="T354" s="165"/>
      <c r="U354" s="165"/>
      <c r="V354" s="165"/>
      <c r="W354" s="165"/>
      <c r="X354" s="165"/>
      <c r="Y354" s="165"/>
      <c r="AD354" s="165"/>
      <c r="AE354" s="165"/>
      <c r="AF354" s="165"/>
      <c r="AG354" s="165"/>
      <c r="AH354" s="165"/>
      <c r="AI354" s="165"/>
    </row>
    <row r="355" spans="1:35">
      <c r="A355" s="165"/>
      <c r="B355" s="165"/>
      <c r="C355" s="165"/>
      <c r="D355" s="165"/>
      <c r="K355" s="165"/>
      <c r="L355" s="165"/>
      <c r="Q355" s="165"/>
      <c r="T355" s="165"/>
      <c r="U355" s="165"/>
      <c r="V355" s="165"/>
      <c r="W355" s="165"/>
      <c r="X355" s="165"/>
      <c r="Y355" s="165"/>
      <c r="AD355" s="165"/>
      <c r="AE355" s="165"/>
      <c r="AF355" s="165"/>
      <c r="AG355" s="165"/>
      <c r="AH355" s="165"/>
      <c r="AI355" s="165"/>
    </row>
    <row r="356" spans="1:35">
      <c r="A356" s="165"/>
      <c r="B356" s="165"/>
      <c r="C356" s="165"/>
      <c r="D356" s="165"/>
      <c r="K356" s="165"/>
      <c r="L356" s="165"/>
      <c r="Q356" s="165"/>
      <c r="T356" s="165"/>
      <c r="U356" s="165"/>
      <c r="V356" s="165"/>
      <c r="W356" s="165"/>
      <c r="X356" s="165"/>
      <c r="Y356" s="165"/>
      <c r="AD356" s="165"/>
      <c r="AE356" s="165"/>
      <c r="AF356" s="165"/>
      <c r="AG356" s="165"/>
      <c r="AH356" s="165"/>
      <c r="AI356" s="165"/>
    </row>
    <row r="357" spans="1:35">
      <c r="A357" s="165"/>
      <c r="B357" s="165"/>
      <c r="C357" s="165"/>
      <c r="D357" s="165"/>
      <c r="K357" s="165"/>
      <c r="L357" s="165"/>
      <c r="Q357" s="165"/>
      <c r="T357" s="165"/>
      <c r="U357" s="165"/>
      <c r="V357" s="165"/>
      <c r="W357" s="165"/>
      <c r="X357" s="165"/>
      <c r="Y357" s="165"/>
      <c r="AD357" s="165"/>
      <c r="AE357" s="165"/>
      <c r="AF357" s="165"/>
      <c r="AG357" s="165"/>
      <c r="AH357" s="165"/>
      <c r="AI357" s="165"/>
    </row>
    <row r="358" spans="1:35">
      <c r="A358" s="165"/>
      <c r="B358" s="165"/>
      <c r="C358" s="165"/>
      <c r="D358" s="165"/>
      <c r="K358" s="165"/>
      <c r="L358" s="165"/>
      <c r="Q358" s="165"/>
      <c r="T358" s="165"/>
      <c r="U358" s="165"/>
      <c r="V358" s="165"/>
      <c r="W358" s="165"/>
      <c r="X358" s="165"/>
      <c r="Y358" s="165"/>
      <c r="AD358" s="165"/>
      <c r="AE358" s="165"/>
      <c r="AF358" s="165"/>
      <c r="AG358" s="165"/>
      <c r="AH358" s="165"/>
      <c r="AI358" s="165"/>
    </row>
    <row r="359" spans="1:35">
      <c r="A359" s="165"/>
      <c r="B359" s="165"/>
      <c r="C359" s="165"/>
      <c r="D359" s="165"/>
      <c r="K359" s="165"/>
      <c r="L359" s="165"/>
      <c r="Q359" s="165"/>
      <c r="T359" s="165"/>
      <c r="U359" s="165"/>
      <c r="V359" s="165"/>
      <c r="W359" s="165"/>
      <c r="X359" s="165"/>
      <c r="Y359" s="165"/>
      <c r="AD359" s="165"/>
      <c r="AE359" s="165"/>
      <c r="AF359" s="165"/>
      <c r="AG359" s="165"/>
      <c r="AH359" s="165"/>
      <c r="AI359" s="165"/>
    </row>
    <row r="360" spans="1:35">
      <c r="A360" s="165"/>
      <c r="B360" s="165"/>
      <c r="C360" s="165"/>
      <c r="D360" s="165"/>
      <c r="K360" s="165"/>
      <c r="L360" s="165"/>
      <c r="Q360" s="165"/>
      <c r="T360" s="165"/>
      <c r="U360" s="165"/>
      <c r="V360" s="165"/>
      <c r="W360" s="165"/>
      <c r="X360" s="165"/>
      <c r="Y360" s="165"/>
      <c r="AD360" s="165"/>
      <c r="AE360" s="165"/>
      <c r="AF360" s="165"/>
      <c r="AG360" s="165"/>
      <c r="AH360" s="165"/>
      <c r="AI360" s="165"/>
    </row>
    <row r="361" spans="1:35">
      <c r="A361" s="165"/>
      <c r="B361" s="165"/>
      <c r="C361" s="165"/>
      <c r="D361" s="165"/>
      <c r="K361" s="165"/>
      <c r="L361" s="165"/>
      <c r="Q361" s="165"/>
      <c r="T361" s="165"/>
      <c r="U361" s="165"/>
      <c r="V361" s="165"/>
      <c r="W361" s="165"/>
      <c r="X361" s="165"/>
      <c r="Y361" s="165"/>
      <c r="AD361" s="165"/>
      <c r="AE361" s="165"/>
      <c r="AF361" s="165"/>
      <c r="AG361" s="165"/>
      <c r="AH361" s="165"/>
      <c r="AI361" s="165"/>
    </row>
    <row r="362" spans="1:35">
      <c r="A362" s="165"/>
      <c r="B362" s="165"/>
      <c r="C362" s="165"/>
      <c r="D362" s="165"/>
      <c r="K362" s="165"/>
      <c r="L362" s="165"/>
      <c r="Q362" s="165"/>
      <c r="T362" s="165"/>
      <c r="U362" s="165"/>
      <c r="V362" s="165"/>
      <c r="W362" s="165"/>
      <c r="X362" s="165"/>
      <c r="Y362" s="165"/>
      <c r="AD362" s="165"/>
      <c r="AE362" s="165"/>
      <c r="AF362" s="165"/>
      <c r="AG362" s="165"/>
      <c r="AH362" s="165"/>
      <c r="AI362" s="165"/>
    </row>
    <row r="363" spans="1:35">
      <c r="A363" s="165"/>
      <c r="B363" s="165"/>
      <c r="C363" s="165"/>
      <c r="D363" s="165"/>
      <c r="K363" s="165"/>
      <c r="L363" s="165"/>
      <c r="Q363" s="165"/>
      <c r="T363" s="165"/>
      <c r="U363" s="165"/>
      <c r="V363" s="165"/>
      <c r="W363" s="165"/>
      <c r="X363" s="165"/>
      <c r="Y363" s="165"/>
      <c r="AD363" s="165"/>
      <c r="AE363" s="165"/>
      <c r="AF363" s="165"/>
      <c r="AG363" s="165"/>
      <c r="AH363" s="165"/>
      <c r="AI363" s="165"/>
    </row>
    <row r="364" spans="1:35">
      <c r="A364" s="165"/>
      <c r="B364" s="165"/>
      <c r="C364" s="165"/>
      <c r="D364" s="165"/>
      <c r="K364" s="165"/>
      <c r="L364" s="165"/>
      <c r="Q364" s="165"/>
      <c r="T364" s="165"/>
      <c r="U364" s="165"/>
      <c r="V364" s="165"/>
      <c r="W364" s="165"/>
      <c r="X364" s="165"/>
      <c r="Y364" s="165"/>
      <c r="AD364" s="165"/>
      <c r="AE364" s="165"/>
      <c r="AF364" s="165"/>
      <c r="AG364" s="165"/>
      <c r="AH364" s="165"/>
      <c r="AI364" s="165"/>
    </row>
    <row r="365" spans="1:35">
      <c r="A365" s="165"/>
      <c r="B365" s="165"/>
      <c r="C365" s="165"/>
      <c r="D365" s="165"/>
      <c r="K365" s="165"/>
      <c r="L365" s="165"/>
      <c r="Q365" s="165"/>
      <c r="T365" s="165"/>
      <c r="U365" s="165"/>
      <c r="V365" s="165"/>
      <c r="W365" s="165"/>
      <c r="X365" s="165"/>
      <c r="Y365" s="165"/>
      <c r="AD365" s="165"/>
      <c r="AE365" s="165"/>
      <c r="AF365" s="165"/>
      <c r="AG365" s="165"/>
      <c r="AH365" s="165"/>
      <c r="AI365" s="165"/>
    </row>
    <row r="366" spans="1:35">
      <c r="A366" s="165"/>
      <c r="B366" s="165"/>
      <c r="C366" s="165"/>
      <c r="D366" s="165"/>
      <c r="K366" s="165"/>
      <c r="L366" s="165"/>
      <c r="Q366" s="165"/>
      <c r="T366" s="165"/>
      <c r="U366" s="165"/>
      <c r="V366" s="165"/>
      <c r="W366" s="165"/>
      <c r="X366" s="165"/>
      <c r="Y366" s="165"/>
      <c r="AD366" s="165"/>
      <c r="AE366" s="165"/>
      <c r="AF366" s="165"/>
      <c r="AG366" s="165"/>
      <c r="AH366" s="165"/>
      <c r="AI366" s="165"/>
    </row>
    <row r="367" spans="1:35">
      <c r="A367" s="165"/>
      <c r="B367" s="165"/>
      <c r="C367" s="165"/>
      <c r="D367" s="165"/>
      <c r="K367" s="165"/>
      <c r="L367" s="165"/>
      <c r="Q367" s="165"/>
      <c r="T367" s="165"/>
      <c r="U367" s="165"/>
      <c r="V367" s="165"/>
      <c r="W367" s="165"/>
      <c r="X367" s="165"/>
      <c r="Y367" s="165"/>
      <c r="AD367" s="165"/>
      <c r="AE367" s="165"/>
      <c r="AF367" s="165"/>
      <c r="AG367" s="165"/>
      <c r="AH367" s="165"/>
      <c r="AI367" s="165"/>
    </row>
    <row r="368" spans="1:35">
      <c r="A368" s="165"/>
      <c r="B368" s="165"/>
      <c r="C368" s="165"/>
      <c r="D368" s="165"/>
      <c r="K368" s="165"/>
      <c r="L368" s="165"/>
      <c r="Q368" s="165"/>
      <c r="T368" s="165"/>
      <c r="U368" s="165"/>
      <c r="V368" s="165"/>
      <c r="W368" s="165"/>
      <c r="X368" s="165"/>
      <c r="Y368" s="165"/>
      <c r="AD368" s="165"/>
      <c r="AE368" s="165"/>
      <c r="AF368" s="165"/>
      <c r="AG368" s="165"/>
      <c r="AH368" s="165"/>
      <c r="AI368" s="165"/>
    </row>
    <row r="369" spans="1:35">
      <c r="A369" s="165"/>
      <c r="B369" s="165"/>
      <c r="C369" s="165"/>
      <c r="D369" s="165"/>
      <c r="K369" s="165"/>
      <c r="L369" s="165"/>
      <c r="Q369" s="165"/>
      <c r="T369" s="165"/>
      <c r="U369" s="165"/>
      <c r="V369" s="165"/>
      <c r="W369" s="165"/>
      <c r="X369" s="165"/>
      <c r="Y369" s="165"/>
      <c r="AD369" s="165"/>
      <c r="AE369" s="165"/>
      <c r="AF369" s="165"/>
      <c r="AG369" s="165"/>
      <c r="AH369" s="165"/>
      <c r="AI369" s="165"/>
    </row>
    <row r="370" spans="1:35">
      <c r="A370" s="165"/>
      <c r="B370" s="165"/>
      <c r="C370" s="165"/>
      <c r="D370" s="165"/>
      <c r="K370" s="165"/>
      <c r="L370" s="165"/>
      <c r="Q370" s="165"/>
      <c r="T370" s="165"/>
      <c r="U370" s="165"/>
      <c r="V370" s="165"/>
      <c r="W370" s="165"/>
      <c r="X370" s="165"/>
      <c r="Y370" s="165"/>
      <c r="AD370" s="165"/>
      <c r="AE370" s="165"/>
      <c r="AF370" s="165"/>
      <c r="AG370" s="165"/>
      <c r="AH370" s="165"/>
      <c r="AI370" s="165"/>
    </row>
    <row r="371" spans="1:35">
      <c r="A371" s="165"/>
      <c r="B371" s="165"/>
      <c r="C371" s="165"/>
      <c r="D371" s="165"/>
      <c r="K371" s="165"/>
      <c r="L371" s="165"/>
      <c r="Q371" s="165"/>
      <c r="T371" s="165"/>
      <c r="U371" s="165"/>
      <c r="V371" s="165"/>
      <c r="W371" s="165"/>
      <c r="X371" s="165"/>
      <c r="Y371" s="165"/>
      <c r="AD371" s="165"/>
      <c r="AE371" s="165"/>
      <c r="AF371" s="165"/>
      <c r="AG371" s="165"/>
      <c r="AH371" s="165"/>
      <c r="AI371" s="165"/>
    </row>
    <row r="372" spans="1:35">
      <c r="A372" s="165"/>
      <c r="B372" s="165"/>
      <c r="C372" s="165"/>
      <c r="D372" s="165"/>
      <c r="K372" s="165"/>
      <c r="L372" s="165"/>
      <c r="Q372" s="165"/>
      <c r="T372" s="165"/>
      <c r="U372" s="165"/>
      <c r="V372" s="165"/>
      <c r="W372" s="165"/>
      <c r="X372" s="165"/>
      <c r="Y372" s="165"/>
      <c r="AD372" s="165"/>
      <c r="AE372" s="165"/>
      <c r="AF372" s="165"/>
      <c r="AG372" s="165"/>
      <c r="AH372" s="165"/>
      <c r="AI372" s="165"/>
    </row>
    <row r="373" spans="1:35">
      <c r="A373" s="165"/>
      <c r="B373" s="165"/>
      <c r="C373" s="165"/>
      <c r="D373" s="165"/>
      <c r="K373" s="165"/>
      <c r="L373" s="165"/>
      <c r="Q373" s="165"/>
      <c r="T373" s="165"/>
      <c r="U373" s="165"/>
      <c r="V373" s="165"/>
      <c r="W373" s="165"/>
      <c r="X373" s="165"/>
      <c r="Y373" s="165"/>
      <c r="AD373" s="165"/>
      <c r="AE373" s="165"/>
      <c r="AF373" s="165"/>
      <c r="AG373" s="165"/>
      <c r="AH373" s="165"/>
      <c r="AI373" s="165"/>
    </row>
    <row r="374" spans="1:35">
      <c r="A374" s="165"/>
      <c r="B374" s="165"/>
      <c r="C374" s="165"/>
      <c r="D374" s="165"/>
      <c r="K374" s="165"/>
      <c r="L374" s="165"/>
      <c r="Q374" s="165"/>
      <c r="T374" s="165"/>
      <c r="U374" s="165"/>
      <c r="V374" s="165"/>
      <c r="W374" s="165"/>
      <c r="X374" s="165"/>
      <c r="Y374" s="165"/>
      <c r="AD374" s="165"/>
      <c r="AE374" s="165"/>
      <c r="AF374" s="165"/>
      <c r="AG374" s="165"/>
      <c r="AH374" s="165"/>
      <c r="AI374" s="165"/>
    </row>
    <row r="375" spans="1:35">
      <c r="A375" s="165"/>
      <c r="B375" s="165"/>
      <c r="C375" s="165"/>
      <c r="D375" s="165"/>
      <c r="K375" s="165"/>
      <c r="L375" s="165"/>
      <c r="Q375" s="165"/>
      <c r="T375" s="165"/>
      <c r="U375" s="165"/>
      <c r="V375" s="165"/>
      <c r="W375" s="165"/>
      <c r="X375" s="165"/>
      <c r="Y375" s="165"/>
      <c r="AD375" s="165"/>
      <c r="AE375" s="165"/>
      <c r="AF375" s="165"/>
      <c r="AG375" s="165"/>
      <c r="AH375" s="165"/>
      <c r="AI375" s="165"/>
    </row>
    <row r="376" spans="1:35">
      <c r="A376" s="165"/>
      <c r="B376" s="165"/>
      <c r="C376" s="165"/>
      <c r="D376" s="165"/>
      <c r="K376" s="165"/>
      <c r="L376" s="165"/>
      <c r="Q376" s="165"/>
      <c r="T376" s="165"/>
      <c r="U376" s="165"/>
      <c r="V376" s="165"/>
      <c r="W376" s="165"/>
      <c r="X376" s="165"/>
      <c r="Y376" s="165"/>
      <c r="AD376" s="165"/>
      <c r="AE376" s="165"/>
      <c r="AF376" s="165"/>
      <c r="AG376" s="165"/>
      <c r="AH376" s="165"/>
      <c r="AI376" s="165"/>
    </row>
    <row r="377" spans="1:35">
      <c r="A377" s="165"/>
      <c r="B377" s="165"/>
      <c r="C377" s="165"/>
      <c r="D377" s="165"/>
      <c r="K377" s="165"/>
      <c r="L377" s="165"/>
      <c r="Q377" s="165"/>
      <c r="T377" s="165"/>
      <c r="U377" s="165"/>
      <c r="V377" s="165"/>
      <c r="W377" s="165"/>
      <c r="X377" s="165"/>
      <c r="Y377" s="165"/>
      <c r="AD377" s="165"/>
      <c r="AE377" s="165"/>
      <c r="AF377" s="165"/>
      <c r="AG377" s="165"/>
      <c r="AH377" s="165"/>
      <c r="AI377" s="165"/>
    </row>
    <row r="378" spans="1:35">
      <c r="A378" s="165"/>
      <c r="B378" s="165"/>
      <c r="C378" s="165"/>
      <c r="D378" s="165"/>
      <c r="K378" s="165"/>
      <c r="L378" s="165"/>
      <c r="Q378" s="165"/>
      <c r="T378" s="165"/>
      <c r="U378" s="165"/>
      <c r="V378" s="165"/>
      <c r="W378" s="165"/>
      <c r="X378" s="165"/>
      <c r="Y378" s="165"/>
      <c r="AD378" s="165"/>
      <c r="AE378" s="165"/>
      <c r="AF378" s="165"/>
      <c r="AG378" s="165"/>
      <c r="AH378" s="165"/>
      <c r="AI378" s="165"/>
    </row>
    <row r="379" spans="1:35">
      <c r="A379" s="165"/>
      <c r="B379" s="165"/>
      <c r="C379" s="165"/>
      <c r="D379" s="165"/>
      <c r="K379" s="165"/>
      <c r="L379" s="165"/>
      <c r="Q379" s="165"/>
      <c r="T379" s="165"/>
      <c r="U379" s="165"/>
      <c r="V379" s="165"/>
      <c r="W379" s="165"/>
      <c r="X379" s="165"/>
      <c r="Y379" s="165"/>
      <c r="AD379" s="165"/>
      <c r="AE379" s="165"/>
      <c r="AF379" s="165"/>
      <c r="AG379" s="165"/>
      <c r="AH379" s="165"/>
      <c r="AI379" s="165"/>
    </row>
    <row r="380" spans="1:35">
      <c r="A380" s="165"/>
      <c r="B380" s="165"/>
      <c r="C380" s="165"/>
      <c r="D380" s="165"/>
      <c r="K380" s="165"/>
      <c r="L380" s="165"/>
      <c r="Q380" s="165"/>
      <c r="T380" s="165"/>
      <c r="U380" s="165"/>
      <c r="V380" s="165"/>
      <c r="W380" s="165"/>
      <c r="X380" s="165"/>
      <c r="Y380" s="165"/>
      <c r="AD380" s="165"/>
      <c r="AE380" s="165"/>
      <c r="AF380" s="165"/>
      <c r="AG380" s="165"/>
      <c r="AH380" s="165"/>
      <c r="AI380" s="165"/>
    </row>
    <row r="381" spans="1:35">
      <c r="A381" s="165"/>
      <c r="B381" s="165"/>
      <c r="C381" s="165"/>
      <c r="D381" s="165"/>
      <c r="K381" s="165"/>
      <c r="L381" s="165"/>
      <c r="Q381" s="165"/>
      <c r="T381" s="165"/>
      <c r="U381" s="165"/>
      <c r="V381" s="165"/>
      <c r="W381" s="165"/>
      <c r="X381" s="165"/>
      <c r="Y381" s="165"/>
      <c r="AD381" s="165"/>
      <c r="AE381" s="165"/>
      <c r="AF381" s="165"/>
      <c r="AG381" s="165"/>
      <c r="AH381" s="165"/>
      <c r="AI381" s="165"/>
    </row>
    <row r="382" spans="1:35">
      <c r="A382" s="165"/>
      <c r="B382" s="165"/>
      <c r="C382" s="165"/>
      <c r="D382" s="165"/>
      <c r="K382" s="165"/>
      <c r="L382" s="165"/>
      <c r="Q382" s="165"/>
      <c r="T382" s="165"/>
      <c r="U382" s="165"/>
      <c r="V382" s="165"/>
      <c r="W382" s="165"/>
      <c r="X382" s="165"/>
      <c r="Y382" s="165"/>
      <c r="AD382" s="165"/>
      <c r="AE382" s="165"/>
      <c r="AF382" s="165"/>
      <c r="AG382" s="165"/>
      <c r="AH382" s="165"/>
      <c r="AI382" s="165"/>
    </row>
    <row r="383" spans="1:35">
      <c r="A383" s="165"/>
      <c r="B383" s="165"/>
      <c r="C383" s="165"/>
      <c r="D383" s="165"/>
      <c r="K383" s="165"/>
      <c r="L383" s="165"/>
      <c r="Q383" s="165"/>
      <c r="T383" s="165"/>
      <c r="U383" s="165"/>
      <c r="V383" s="165"/>
      <c r="W383" s="165"/>
      <c r="X383" s="165"/>
      <c r="Y383" s="165"/>
      <c r="AD383" s="165"/>
      <c r="AE383" s="165"/>
      <c r="AF383" s="165"/>
      <c r="AG383" s="165"/>
      <c r="AH383" s="165"/>
      <c r="AI383" s="165"/>
    </row>
    <row r="384" spans="1:35">
      <c r="A384" s="165"/>
      <c r="B384" s="165"/>
      <c r="C384" s="165"/>
      <c r="D384" s="165"/>
      <c r="K384" s="165"/>
      <c r="L384" s="165"/>
      <c r="Q384" s="165"/>
      <c r="T384" s="165"/>
      <c r="U384" s="165"/>
      <c r="V384" s="165"/>
      <c r="W384" s="165"/>
      <c r="X384" s="165"/>
      <c r="Y384" s="165"/>
      <c r="AD384" s="165"/>
      <c r="AE384" s="165"/>
      <c r="AF384" s="165"/>
      <c r="AG384" s="165"/>
      <c r="AH384" s="165"/>
      <c r="AI384" s="165"/>
    </row>
    <row r="385" spans="1:35">
      <c r="A385" s="165"/>
      <c r="B385" s="165"/>
      <c r="C385" s="165"/>
      <c r="D385" s="165"/>
      <c r="K385" s="165"/>
      <c r="L385" s="165"/>
      <c r="Q385" s="165"/>
      <c r="T385" s="165"/>
      <c r="U385" s="165"/>
      <c r="V385" s="165"/>
      <c r="W385" s="165"/>
      <c r="X385" s="165"/>
      <c r="Y385" s="165"/>
      <c r="AD385" s="165"/>
      <c r="AE385" s="165"/>
      <c r="AF385" s="165"/>
      <c r="AG385" s="165"/>
      <c r="AH385" s="165"/>
      <c r="AI385" s="165"/>
    </row>
    <row r="386" spans="1:35">
      <c r="A386" s="165"/>
      <c r="B386" s="165"/>
      <c r="C386" s="165"/>
      <c r="D386" s="165"/>
      <c r="K386" s="165"/>
      <c r="L386" s="165"/>
      <c r="Q386" s="165"/>
      <c r="T386" s="165"/>
      <c r="U386" s="165"/>
      <c r="V386" s="165"/>
      <c r="W386" s="165"/>
      <c r="X386" s="165"/>
      <c r="Y386" s="165"/>
      <c r="AD386" s="165"/>
      <c r="AE386" s="165"/>
      <c r="AF386" s="165"/>
      <c r="AG386" s="165"/>
      <c r="AH386" s="165"/>
      <c r="AI386" s="165"/>
    </row>
    <row r="387" spans="1:35">
      <c r="A387" s="165"/>
      <c r="B387" s="165"/>
      <c r="C387" s="165"/>
      <c r="D387" s="165"/>
      <c r="K387" s="165"/>
      <c r="L387" s="165"/>
      <c r="Q387" s="165"/>
      <c r="T387" s="165"/>
      <c r="U387" s="165"/>
      <c r="V387" s="165"/>
      <c r="W387" s="165"/>
      <c r="X387" s="165"/>
      <c r="Y387" s="165"/>
      <c r="AD387" s="165"/>
      <c r="AE387" s="165"/>
      <c r="AF387" s="165"/>
      <c r="AG387" s="165"/>
      <c r="AH387" s="165"/>
      <c r="AI387" s="165"/>
    </row>
    <row r="388" spans="1:35">
      <c r="A388" s="165"/>
      <c r="B388" s="165"/>
      <c r="C388" s="165"/>
      <c r="D388" s="165"/>
      <c r="K388" s="165"/>
      <c r="L388" s="165"/>
      <c r="Q388" s="165"/>
      <c r="T388" s="165"/>
      <c r="U388" s="165"/>
      <c r="V388" s="165"/>
      <c r="W388" s="165"/>
      <c r="X388" s="165"/>
      <c r="Y388" s="165"/>
      <c r="AD388" s="165"/>
      <c r="AE388" s="165"/>
      <c r="AF388" s="165"/>
      <c r="AG388" s="165"/>
      <c r="AH388" s="165"/>
      <c r="AI388" s="165"/>
    </row>
    <row r="389" spans="1:35">
      <c r="A389" s="165"/>
      <c r="B389" s="165"/>
      <c r="C389" s="165"/>
      <c r="D389" s="165"/>
      <c r="K389" s="165"/>
      <c r="L389" s="165"/>
      <c r="Q389" s="165"/>
      <c r="T389" s="165"/>
      <c r="U389" s="165"/>
      <c r="V389" s="165"/>
      <c r="W389" s="165"/>
      <c r="X389" s="165"/>
      <c r="Y389" s="165"/>
      <c r="AD389" s="165"/>
      <c r="AE389" s="165"/>
      <c r="AF389" s="165"/>
      <c r="AG389" s="165"/>
      <c r="AH389" s="165"/>
      <c r="AI389" s="165"/>
    </row>
    <row r="390" spans="1:35">
      <c r="A390" s="165"/>
      <c r="B390" s="165"/>
      <c r="C390" s="165"/>
      <c r="D390" s="165"/>
      <c r="K390" s="165"/>
      <c r="L390" s="165"/>
      <c r="Q390" s="165"/>
      <c r="T390" s="165"/>
      <c r="U390" s="165"/>
      <c r="V390" s="165"/>
      <c r="W390" s="165"/>
      <c r="X390" s="165"/>
      <c r="Y390" s="165"/>
      <c r="AD390" s="165"/>
      <c r="AE390" s="165"/>
      <c r="AF390" s="165"/>
      <c r="AG390" s="165"/>
      <c r="AH390" s="165"/>
      <c r="AI390" s="165"/>
    </row>
    <row r="391" spans="1:35">
      <c r="A391" s="165"/>
      <c r="B391" s="165"/>
      <c r="C391" s="165"/>
      <c r="D391" s="165"/>
      <c r="K391" s="165"/>
      <c r="L391" s="165"/>
      <c r="Q391" s="165"/>
      <c r="T391" s="165"/>
      <c r="U391" s="165"/>
      <c r="V391" s="165"/>
      <c r="W391" s="165"/>
      <c r="X391" s="165"/>
      <c r="Y391" s="165"/>
      <c r="AD391" s="165"/>
      <c r="AE391" s="165"/>
      <c r="AF391" s="165"/>
      <c r="AG391" s="165"/>
      <c r="AH391" s="165"/>
      <c r="AI391" s="165"/>
    </row>
    <row r="392" spans="1:35">
      <c r="A392" s="165"/>
      <c r="B392" s="165"/>
      <c r="C392" s="165"/>
      <c r="D392" s="165"/>
      <c r="K392" s="165"/>
      <c r="L392" s="165"/>
      <c r="Q392" s="165"/>
      <c r="T392" s="165"/>
      <c r="U392" s="165"/>
      <c r="V392" s="165"/>
      <c r="W392" s="165"/>
      <c r="X392" s="165"/>
      <c r="Y392" s="165"/>
      <c r="AD392" s="165"/>
      <c r="AE392" s="165"/>
      <c r="AF392" s="165"/>
      <c r="AG392" s="165"/>
      <c r="AH392" s="165"/>
      <c r="AI392" s="165"/>
    </row>
    <row r="393" spans="1:35">
      <c r="A393" s="165"/>
      <c r="B393" s="165"/>
      <c r="C393" s="165"/>
      <c r="D393" s="165"/>
      <c r="K393" s="165"/>
      <c r="L393" s="165"/>
      <c r="Q393" s="165"/>
      <c r="T393" s="165"/>
      <c r="U393" s="165"/>
      <c r="V393" s="165"/>
      <c r="W393" s="165"/>
      <c r="X393" s="165"/>
      <c r="Y393" s="165"/>
      <c r="AD393" s="165"/>
      <c r="AE393" s="165"/>
      <c r="AF393" s="165"/>
      <c r="AG393" s="165"/>
      <c r="AH393" s="165"/>
      <c r="AI393" s="165"/>
    </row>
    <row r="394" spans="1:35">
      <c r="A394" s="165"/>
      <c r="B394" s="165"/>
      <c r="C394" s="165"/>
      <c r="D394" s="165"/>
      <c r="K394" s="165"/>
      <c r="L394" s="165"/>
      <c r="Q394" s="165"/>
      <c r="T394" s="165"/>
      <c r="U394" s="165"/>
      <c r="V394" s="165"/>
      <c r="W394" s="165"/>
      <c r="X394" s="165"/>
      <c r="Y394" s="165"/>
      <c r="AD394" s="165"/>
      <c r="AE394" s="165"/>
      <c r="AF394" s="165"/>
      <c r="AG394" s="165"/>
      <c r="AH394" s="165"/>
      <c r="AI394" s="165"/>
    </row>
    <row r="395" spans="1:35">
      <c r="A395" s="165"/>
      <c r="B395" s="165"/>
      <c r="C395" s="165"/>
      <c r="D395" s="165"/>
      <c r="K395" s="165"/>
      <c r="L395" s="165"/>
      <c r="Q395" s="165"/>
      <c r="T395" s="165"/>
      <c r="U395" s="165"/>
      <c r="V395" s="165"/>
      <c r="W395" s="165"/>
      <c r="X395" s="165"/>
      <c r="Y395" s="165"/>
      <c r="AD395" s="165"/>
      <c r="AE395" s="165"/>
      <c r="AF395" s="165"/>
      <c r="AG395" s="165"/>
      <c r="AH395" s="165"/>
      <c r="AI395" s="165"/>
    </row>
    <row r="396" spans="1:35">
      <c r="A396" s="165"/>
      <c r="B396" s="165"/>
      <c r="C396" s="165"/>
      <c r="D396" s="165"/>
      <c r="K396" s="165"/>
      <c r="L396" s="165"/>
      <c r="Q396" s="165"/>
      <c r="T396" s="165"/>
      <c r="U396" s="165"/>
      <c r="V396" s="165"/>
      <c r="W396" s="165"/>
      <c r="X396" s="165"/>
      <c r="Y396" s="165"/>
      <c r="AD396" s="165"/>
      <c r="AE396" s="165"/>
      <c r="AF396" s="165"/>
      <c r="AG396" s="165"/>
      <c r="AH396" s="165"/>
      <c r="AI396" s="165"/>
    </row>
    <row r="397" spans="1:35">
      <c r="A397" s="165"/>
      <c r="B397" s="165"/>
      <c r="C397" s="165"/>
      <c r="D397" s="165"/>
      <c r="K397" s="165"/>
      <c r="L397" s="165"/>
      <c r="Q397" s="165"/>
      <c r="T397" s="165"/>
      <c r="U397" s="165"/>
      <c r="V397" s="165"/>
      <c r="W397" s="165"/>
      <c r="X397" s="165"/>
      <c r="Y397" s="165"/>
      <c r="AD397" s="165"/>
      <c r="AE397" s="165"/>
      <c r="AF397" s="165"/>
      <c r="AG397" s="165"/>
      <c r="AH397" s="165"/>
      <c r="AI397" s="165"/>
    </row>
    <row r="398" spans="1:35">
      <c r="A398" s="165"/>
      <c r="B398" s="165"/>
      <c r="C398" s="165"/>
      <c r="D398" s="165"/>
      <c r="K398" s="165"/>
      <c r="L398" s="165"/>
      <c r="Q398" s="165"/>
      <c r="T398" s="165"/>
      <c r="U398" s="165"/>
      <c r="V398" s="165"/>
      <c r="W398" s="165"/>
      <c r="X398" s="165"/>
      <c r="Y398" s="165"/>
      <c r="AD398" s="165"/>
      <c r="AE398" s="165"/>
      <c r="AF398" s="165"/>
      <c r="AG398" s="165"/>
      <c r="AH398" s="165"/>
      <c r="AI398" s="165"/>
    </row>
    <row r="399" spans="1:35">
      <c r="A399" s="165"/>
      <c r="B399" s="165"/>
      <c r="C399" s="165"/>
      <c r="D399" s="165"/>
      <c r="K399" s="165"/>
      <c r="L399" s="165"/>
      <c r="Q399" s="165"/>
      <c r="T399" s="165"/>
      <c r="U399" s="165"/>
      <c r="V399" s="165"/>
      <c r="W399" s="165"/>
      <c r="X399" s="165"/>
      <c r="Y399" s="165"/>
      <c r="AD399" s="165"/>
      <c r="AE399" s="165"/>
      <c r="AF399" s="165"/>
      <c r="AG399" s="165"/>
      <c r="AH399" s="165"/>
      <c r="AI399" s="165"/>
    </row>
    <row r="400" spans="1:35">
      <c r="A400" s="165"/>
      <c r="B400" s="165"/>
      <c r="C400" s="165"/>
      <c r="D400" s="165"/>
      <c r="K400" s="165"/>
      <c r="L400" s="165"/>
      <c r="Q400" s="165"/>
      <c r="T400" s="165"/>
      <c r="U400" s="165"/>
      <c r="V400" s="165"/>
      <c r="W400" s="165"/>
      <c r="X400" s="165"/>
      <c r="Y400" s="165"/>
      <c r="AD400" s="165"/>
      <c r="AE400" s="165"/>
      <c r="AF400" s="165"/>
      <c r="AG400" s="165"/>
      <c r="AH400" s="165"/>
      <c r="AI400" s="165"/>
    </row>
    <row r="401" spans="1:35">
      <c r="A401" s="165"/>
      <c r="B401" s="165"/>
      <c r="C401" s="165"/>
      <c r="D401" s="165"/>
      <c r="K401" s="165"/>
      <c r="L401" s="165"/>
      <c r="Q401" s="165"/>
      <c r="T401" s="165"/>
      <c r="U401" s="165"/>
      <c r="V401" s="165"/>
      <c r="W401" s="165"/>
      <c r="X401" s="165"/>
      <c r="Y401" s="165"/>
      <c r="AD401" s="165"/>
      <c r="AE401" s="165"/>
      <c r="AF401" s="165"/>
      <c r="AG401" s="165"/>
      <c r="AH401" s="165"/>
      <c r="AI401" s="165"/>
    </row>
    <row r="402" spans="1:35">
      <c r="A402" s="165"/>
      <c r="B402" s="165"/>
      <c r="C402" s="165"/>
      <c r="D402" s="165"/>
      <c r="K402" s="165"/>
      <c r="L402" s="165"/>
      <c r="Q402" s="165"/>
      <c r="T402" s="165"/>
      <c r="U402" s="165"/>
      <c r="V402" s="165"/>
      <c r="W402" s="165"/>
      <c r="X402" s="165"/>
      <c r="Y402" s="165"/>
      <c r="AD402" s="165"/>
      <c r="AE402" s="165"/>
      <c r="AF402" s="165"/>
      <c r="AG402" s="165"/>
      <c r="AH402" s="165"/>
      <c r="AI402" s="165"/>
    </row>
    <row r="403" spans="1:35">
      <c r="A403" s="165"/>
      <c r="B403" s="165"/>
      <c r="C403" s="165"/>
      <c r="D403" s="165"/>
      <c r="K403" s="165"/>
      <c r="L403" s="165"/>
      <c r="Q403" s="165"/>
      <c r="T403" s="165"/>
      <c r="U403" s="165"/>
      <c r="V403" s="165"/>
      <c r="W403" s="165"/>
      <c r="X403" s="165"/>
      <c r="Y403" s="165"/>
      <c r="AD403" s="165"/>
      <c r="AE403" s="165"/>
      <c r="AF403" s="165"/>
      <c r="AG403" s="165"/>
      <c r="AH403" s="165"/>
      <c r="AI403" s="165"/>
    </row>
    <row r="404" spans="1:35">
      <c r="A404" s="165"/>
      <c r="B404" s="165"/>
      <c r="C404" s="165"/>
      <c r="D404" s="165"/>
      <c r="K404" s="165"/>
      <c r="L404" s="165"/>
      <c r="Q404" s="165"/>
      <c r="T404" s="165"/>
      <c r="U404" s="165"/>
      <c r="V404" s="165"/>
      <c r="W404" s="165"/>
      <c r="X404" s="165"/>
      <c r="Y404" s="165"/>
      <c r="AD404" s="165"/>
      <c r="AE404" s="165"/>
      <c r="AF404" s="165"/>
      <c r="AG404" s="165"/>
      <c r="AH404" s="165"/>
      <c r="AI404" s="165"/>
    </row>
    <row r="405" spans="1:35">
      <c r="A405" s="165"/>
      <c r="B405" s="165"/>
      <c r="C405" s="165"/>
      <c r="D405" s="165"/>
      <c r="K405" s="165"/>
      <c r="L405" s="165"/>
      <c r="Q405" s="165"/>
      <c r="T405" s="165"/>
      <c r="U405" s="165"/>
      <c r="V405" s="165"/>
      <c r="W405" s="165"/>
      <c r="X405" s="165"/>
      <c r="Y405" s="165"/>
      <c r="AD405" s="165"/>
      <c r="AE405" s="165"/>
      <c r="AF405" s="165"/>
      <c r="AG405" s="165"/>
      <c r="AH405" s="165"/>
      <c r="AI405" s="165"/>
    </row>
    <row r="406" spans="1:35">
      <c r="A406" s="165"/>
      <c r="B406" s="165"/>
      <c r="C406" s="165"/>
      <c r="D406" s="165"/>
      <c r="K406" s="165"/>
      <c r="L406" s="165"/>
      <c r="Q406" s="165"/>
      <c r="T406" s="165"/>
      <c r="U406" s="165"/>
      <c r="V406" s="165"/>
      <c r="W406" s="165"/>
      <c r="X406" s="165"/>
      <c r="Y406" s="165"/>
      <c r="AD406" s="165"/>
      <c r="AE406" s="165"/>
      <c r="AF406" s="165"/>
      <c r="AG406" s="165"/>
      <c r="AH406" s="165"/>
      <c r="AI406" s="165"/>
    </row>
    <row r="407" spans="1:35">
      <c r="A407" s="165"/>
      <c r="B407" s="165"/>
      <c r="C407" s="165"/>
      <c r="D407" s="165"/>
      <c r="K407" s="165"/>
      <c r="L407" s="165"/>
      <c r="Q407" s="165"/>
      <c r="T407" s="165"/>
      <c r="U407" s="165"/>
      <c r="V407" s="165"/>
      <c r="W407" s="165"/>
      <c r="X407" s="165"/>
      <c r="Y407" s="165"/>
      <c r="AD407" s="165"/>
      <c r="AE407" s="165"/>
      <c r="AF407" s="165"/>
      <c r="AG407" s="165"/>
      <c r="AH407" s="165"/>
      <c r="AI407" s="16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BN407"/>
  <sheetViews>
    <sheetView zoomScaleNormal="100" workbookViewId="0">
      <pane xSplit="2" ySplit="2" topLeftCell="N129" activePane="bottomRight" state="frozen"/>
      <selection pane="topRight" activeCell="C1" sqref="C1"/>
      <selection pane="bottomLeft" activeCell="A3" sqref="A3"/>
      <selection pane="bottomRight" activeCell="V27" sqref="V27"/>
    </sheetView>
  </sheetViews>
  <sheetFormatPr defaultRowHeight="15"/>
  <cols>
    <col min="1" max="1" width="8.7109375" style="22" customWidth="1"/>
    <col min="2" max="2" width="35.28515625" style="22" bestFit="1" customWidth="1"/>
    <col min="3" max="3" width="8" style="22" bestFit="1" customWidth="1"/>
    <col min="4" max="4" width="4.140625" style="22" bestFit="1" customWidth="1"/>
    <col min="5" max="5" width="9" style="2" bestFit="1" customWidth="1"/>
    <col min="6" max="7" width="10.5703125" style="2" bestFit="1" customWidth="1"/>
    <col min="8" max="9" width="9.5703125" style="2" bestFit="1" customWidth="1"/>
    <col min="10" max="10" width="18.7109375" style="2" customWidth="1"/>
    <col min="11" max="12" width="18.7109375" style="14" customWidth="1"/>
    <col min="13" max="13" width="18.7109375" style="2" customWidth="1"/>
    <col min="14" max="16" width="10.85546875" style="2" bestFit="1" customWidth="1"/>
    <col min="17" max="17" width="10.85546875" style="13" bestFit="1" customWidth="1"/>
    <col min="18" max="18" width="11.42578125" style="2" bestFit="1" customWidth="1"/>
    <col min="19" max="19" width="12.140625" style="2" bestFit="1" customWidth="1"/>
    <col min="20" max="20" width="10.5703125" style="15" bestFit="1" customWidth="1" collapsed="1"/>
    <col min="21" max="21" width="8" style="15" bestFit="1" customWidth="1"/>
    <col min="22" max="22" width="8" style="117" bestFit="1" customWidth="1"/>
    <col min="23" max="25" width="13.28515625" style="117" customWidth="1"/>
    <col min="26" max="26" width="13.28515625" style="2" customWidth="1"/>
    <col min="27" max="27" width="7.85546875" style="2" bestFit="1" customWidth="1" collapsed="1"/>
    <col min="28" max="28" width="7.85546875" style="2" bestFit="1" customWidth="1"/>
    <col min="29" max="29" width="10.42578125" style="2" bestFit="1" customWidth="1"/>
    <col min="30" max="30" width="10.42578125" style="22" bestFit="1" customWidth="1"/>
    <col min="31" max="35" width="11" style="22" customWidth="1"/>
    <col min="36" max="40" width="11" style="2" customWidth="1"/>
    <col min="41" max="41" width="14.28515625" style="2" bestFit="1" customWidth="1"/>
    <col min="42" max="42" width="14.28515625" style="2" bestFit="1" customWidth="1" collapsed="1"/>
    <col min="43" max="46" width="8.140625" style="2" bestFit="1" customWidth="1"/>
    <col min="47" max="48" width="9" style="2" bestFit="1" customWidth="1"/>
    <col min="49" max="49" width="10" style="2" bestFit="1" customWidth="1"/>
    <col min="50" max="50" width="9.140625" style="2"/>
    <col min="51" max="59" width="13.7109375" style="2" customWidth="1"/>
    <col min="60" max="255" width="9.140625" style="2"/>
    <col min="256" max="256" width="0" style="2" hidden="1" customWidth="1"/>
    <col min="257" max="257" width="9.140625" style="2"/>
    <col min="258" max="258" width="28.140625" style="2" customWidth="1"/>
    <col min="259" max="260" width="0" style="2" hidden="1" customWidth="1"/>
    <col min="261" max="267" width="11" style="2" customWidth="1"/>
    <col min="268" max="269" width="0" style="2" hidden="1" customWidth="1"/>
    <col min="270" max="271" width="11" style="2" customWidth="1"/>
    <col min="272" max="273" width="0" style="2" hidden="1" customWidth="1"/>
    <col min="274" max="274" width="11" style="2" customWidth="1"/>
    <col min="275" max="275" width="16.5703125" style="2" customWidth="1"/>
    <col min="276" max="279" width="11" style="2" customWidth="1"/>
    <col min="280" max="281" width="11.140625" style="2" customWidth="1"/>
    <col min="282" max="305" width="11" style="2" customWidth="1"/>
    <col min="306" max="511" width="9.140625" style="2"/>
    <col min="512" max="512" width="0" style="2" hidden="1" customWidth="1"/>
    <col min="513" max="513" width="9.140625" style="2"/>
    <col min="514" max="514" width="28.140625" style="2" customWidth="1"/>
    <col min="515" max="516" width="0" style="2" hidden="1" customWidth="1"/>
    <col min="517" max="523" width="11" style="2" customWidth="1"/>
    <col min="524" max="525" width="0" style="2" hidden="1" customWidth="1"/>
    <col min="526" max="527" width="11" style="2" customWidth="1"/>
    <col min="528" max="529" width="0" style="2" hidden="1" customWidth="1"/>
    <col min="530" max="530" width="11" style="2" customWidth="1"/>
    <col min="531" max="531" width="16.5703125" style="2" customWidth="1"/>
    <col min="532" max="535" width="11" style="2" customWidth="1"/>
    <col min="536" max="537" width="11.140625" style="2" customWidth="1"/>
    <col min="538" max="561" width="11" style="2" customWidth="1"/>
    <col min="562" max="767" width="9.140625" style="2"/>
    <col min="768" max="768" width="0" style="2" hidden="1" customWidth="1"/>
    <col min="769" max="769" width="9.140625" style="2"/>
    <col min="770" max="770" width="28.140625" style="2" customWidth="1"/>
    <col min="771" max="772" width="0" style="2" hidden="1" customWidth="1"/>
    <col min="773" max="779" width="11" style="2" customWidth="1"/>
    <col min="780" max="781" width="0" style="2" hidden="1" customWidth="1"/>
    <col min="782" max="783" width="11" style="2" customWidth="1"/>
    <col min="784" max="785" width="0" style="2" hidden="1" customWidth="1"/>
    <col min="786" max="786" width="11" style="2" customWidth="1"/>
    <col min="787" max="787" width="16.5703125" style="2" customWidth="1"/>
    <col min="788" max="791" width="11" style="2" customWidth="1"/>
    <col min="792" max="793" width="11.140625" style="2" customWidth="1"/>
    <col min="794" max="817" width="11" style="2" customWidth="1"/>
    <col min="818" max="1023" width="9.140625" style="2"/>
    <col min="1024" max="1024" width="0" style="2" hidden="1" customWidth="1"/>
    <col min="1025" max="1025" width="9.140625" style="2"/>
    <col min="1026" max="1026" width="28.140625" style="2" customWidth="1"/>
    <col min="1027" max="1028" width="0" style="2" hidden="1" customWidth="1"/>
    <col min="1029" max="1035" width="11" style="2" customWidth="1"/>
    <col min="1036" max="1037" width="0" style="2" hidden="1" customWidth="1"/>
    <col min="1038" max="1039" width="11" style="2" customWidth="1"/>
    <col min="1040" max="1041" width="0" style="2" hidden="1" customWidth="1"/>
    <col min="1042" max="1042" width="11" style="2" customWidth="1"/>
    <col min="1043" max="1043" width="16.5703125" style="2" customWidth="1"/>
    <col min="1044" max="1047" width="11" style="2" customWidth="1"/>
    <col min="1048" max="1049" width="11.140625" style="2" customWidth="1"/>
    <col min="1050" max="1073" width="11" style="2" customWidth="1"/>
    <col min="1074" max="1279" width="9.140625" style="2"/>
    <col min="1280" max="1280" width="0" style="2" hidden="1" customWidth="1"/>
    <col min="1281" max="1281" width="9.140625" style="2"/>
    <col min="1282" max="1282" width="28.140625" style="2" customWidth="1"/>
    <col min="1283" max="1284" width="0" style="2" hidden="1" customWidth="1"/>
    <col min="1285" max="1291" width="11" style="2" customWidth="1"/>
    <col min="1292" max="1293" width="0" style="2" hidden="1" customWidth="1"/>
    <col min="1294" max="1295" width="11" style="2" customWidth="1"/>
    <col min="1296" max="1297" width="0" style="2" hidden="1" customWidth="1"/>
    <col min="1298" max="1298" width="11" style="2" customWidth="1"/>
    <col min="1299" max="1299" width="16.5703125" style="2" customWidth="1"/>
    <col min="1300" max="1303" width="11" style="2" customWidth="1"/>
    <col min="1304" max="1305" width="11.140625" style="2" customWidth="1"/>
    <col min="1306" max="1329" width="11" style="2" customWidth="1"/>
    <col min="1330" max="1535" width="9.140625" style="2"/>
    <col min="1536" max="1536" width="0" style="2" hidden="1" customWidth="1"/>
    <col min="1537" max="1537" width="9.140625" style="2"/>
    <col min="1538" max="1538" width="28.140625" style="2" customWidth="1"/>
    <col min="1539" max="1540" width="0" style="2" hidden="1" customWidth="1"/>
    <col min="1541" max="1547" width="11" style="2" customWidth="1"/>
    <col min="1548" max="1549" width="0" style="2" hidden="1" customWidth="1"/>
    <col min="1550" max="1551" width="11" style="2" customWidth="1"/>
    <col min="1552" max="1553" width="0" style="2" hidden="1" customWidth="1"/>
    <col min="1554" max="1554" width="11" style="2" customWidth="1"/>
    <col min="1555" max="1555" width="16.5703125" style="2" customWidth="1"/>
    <col min="1556" max="1559" width="11" style="2" customWidth="1"/>
    <col min="1560" max="1561" width="11.140625" style="2" customWidth="1"/>
    <col min="1562" max="1585" width="11" style="2" customWidth="1"/>
    <col min="1586" max="1791" width="9.140625" style="2"/>
    <col min="1792" max="1792" width="0" style="2" hidden="1" customWidth="1"/>
    <col min="1793" max="1793" width="9.140625" style="2"/>
    <col min="1794" max="1794" width="28.140625" style="2" customWidth="1"/>
    <col min="1795" max="1796" width="0" style="2" hidden="1" customWidth="1"/>
    <col min="1797" max="1803" width="11" style="2" customWidth="1"/>
    <col min="1804" max="1805" width="0" style="2" hidden="1" customWidth="1"/>
    <col min="1806" max="1807" width="11" style="2" customWidth="1"/>
    <col min="1808" max="1809" width="0" style="2" hidden="1" customWidth="1"/>
    <col min="1810" max="1810" width="11" style="2" customWidth="1"/>
    <col min="1811" max="1811" width="16.5703125" style="2" customWidth="1"/>
    <col min="1812" max="1815" width="11" style="2" customWidth="1"/>
    <col min="1816" max="1817" width="11.140625" style="2" customWidth="1"/>
    <col min="1818" max="1841" width="11" style="2" customWidth="1"/>
    <col min="1842" max="2047" width="9.140625" style="2"/>
    <col min="2048" max="2048" width="0" style="2" hidden="1" customWidth="1"/>
    <col min="2049" max="2049" width="9.140625" style="2"/>
    <col min="2050" max="2050" width="28.140625" style="2" customWidth="1"/>
    <col min="2051" max="2052" width="0" style="2" hidden="1" customWidth="1"/>
    <col min="2053" max="2059" width="11" style="2" customWidth="1"/>
    <col min="2060" max="2061" width="0" style="2" hidden="1" customWidth="1"/>
    <col min="2062" max="2063" width="11" style="2" customWidth="1"/>
    <col min="2064" max="2065" width="0" style="2" hidden="1" customWidth="1"/>
    <col min="2066" max="2066" width="11" style="2" customWidth="1"/>
    <col min="2067" max="2067" width="16.5703125" style="2" customWidth="1"/>
    <col min="2068" max="2071" width="11" style="2" customWidth="1"/>
    <col min="2072" max="2073" width="11.140625" style="2" customWidth="1"/>
    <col min="2074" max="2097" width="11" style="2" customWidth="1"/>
    <col min="2098" max="2303" width="9.140625" style="2"/>
    <col min="2304" max="2304" width="0" style="2" hidden="1" customWidth="1"/>
    <col min="2305" max="2305" width="9.140625" style="2"/>
    <col min="2306" max="2306" width="28.140625" style="2" customWidth="1"/>
    <col min="2307" max="2308" width="0" style="2" hidden="1" customWidth="1"/>
    <col min="2309" max="2315" width="11" style="2" customWidth="1"/>
    <col min="2316" max="2317" width="0" style="2" hidden="1" customWidth="1"/>
    <col min="2318" max="2319" width="11" style="2" customWidth="1"/>
    <col min="2320" max="2321" width="0" style="2" hidden="1" customWidth="1"/>
    <col min="2322" max="2322" width="11" style="2" customWidth="1"/>
    <col min="2323" max="2323" width="16.5703125" style="2" customWidth="1"/>
    <col min="2324" max="2327" width="11" style="2" customWidth="1"/>
    <col min="2328" max="2329" width="11.140625" style="2" customWidth="1"/>
    <col min="2330" max="2353" width="11" style="2" customWidth="1"/>
    <col min="2354" max="2559" width="9.140625" style="2"/>
    <col min="2560" max="2560" width="0" style="2" hidden="1" customWidth="1"/>
    <col min="2561" max="2561" width="9.140625" style="2"/>
    <col min="2562" max="2562" width="28.140625" style="2" customWidth="1"/>
    <col min="2563" max="2564" width="0" style="2" hidden="1" customWidth="1"/>
    <col min="2565" max="2571" width="11" style="2" customWidth="1"/>
    <col min="2572" max="2573" width="0" style="2" hidden="1" customWidth="1"/>
    <col min="2574" max="2575" width="11" style="2" customWidth="1"/>
    <col min="2576" max="2577" width="0" style="2" hidden="1" customWidth="1"/>
    <col min="2578" max="2578" width="11" style="2" customWidth="1"/>
    <col min="2579" max="2579" width="16.5703125" style="2" customWidth="1"/>
    <col min="2580" max="2583" width="11" style="2" customWidth="1"/>
    <col min="2584" max="2585" width="11.140625" style="2" customWidth="1"/>
    <col min="2586" max="2609" width="11" style="2" customWidth="1"/>
    <col min="2610" max="2815" width="9.140625" style="2"/>
    <col min="2816" max="2816" width="0" style="2" hidden="1" customWidth="1"/>
    <col min="2817" max="2817" width="9.140625" style="2"/>
    <col min="2818" max="2818" width="28.140625" style="2" customWidth="1"/>
    <col min="2819" max="2820" width="0" style="2" hidden="1" customWidth="1"/>
    <col min="2821" max="2827" width="11" style="2" customWidth="1"/>
    <col min="2828" max="2829" width="0" style="2" hidden="1" customWidth="1"/>
    <col min="2830" max="2831" width="11" style="2" customWidth="1"/>
    <col min="2832" max="2833" width="0" style="2" hidden="1" customWidth="1"/>
    <col min="2834" max="2834" width="11" style="2" customWidth="1"/>
    <col min="2835" max="2835" width="16.5703125" style="2" customWidth="1"/>
    <col min="2836" max="2839" width="11" style="2" customWidth="1"/>
    <col min="2840" max="2841" width="11.140625" style="2" customWidth="1"/>
    <col min="2842" max="2865" width="11" style="2" customWidth="1"/>
    <col min="2866" max="3071" width="9.140625" style="2"/>
    <col min="3072" max="3072" width="0" style="2" hidden="1" customWidth="1"/>
    <col min="3073" max="3073" width="9.140625" style="2"/>
    <col min="3074" max="3074" width="28.140625" style="2" customWidth="1"/>
    <col min="3075" max="3076" width="0" style="2" hidden="1" customWidth="1"/>
    <col min="3077" max="3083" width="11" style="2" customWidth="1"/>
    <col min="3084" max="3085" width="0" style="2" hidden="1" customWidth="1"/>
    <col min="3086" max="3087" width="11" style="2" customWidth="1"/>
    <col min="3088" max="3089" width="0" style="2" hidden="1" customWidth="1"/>
    <col min="3090" max="3090" width="11" style="2" customWidth="1"/>
    <col min="3091" max="3091" width="16.5703125" style="2" customWidth="1"/>
    <col min="3092" max="3095" width="11" style="2" customWidth="1"/>
    <col min="3096" max="3097" width="11.140625" style="2" customWidth="1"/>
    <col min="3098" max="3121" width="11" style="2" customWidth="1"/>
    <col min="3122" max="3327" width="9.140625" style="2"/>
    <col min="3328" max="3328" width="0" style="2" hidden="1" customWidth="1"/>
    <col min="3329" max="3329" width="9.140625" style="2"/>
    <col min="3330" max="3330" width="28.140625" style="2" customWidth="1"/>
    <col min="3331" max="3332" width="0" style="2" hidden="1" customWidth="1"/>
    <col min="3333" max="3339" width="11" style="2" customWidth="1"/>
    <col min="3340" max="3341" width="0" style="2" hidden="1" customWidth="1"/>
    <col min="3342" max="3343" width="11" style="2" customWidth="1"/>
    <col min="3344" max="3345" width="0" style="2" hidden="1" customWidth="1"/>
    <col min="3346" max="3346" width="11" style="2" customWidth="1"/>
    <col min="3347" max="3347" width="16.5703125" style="2" customWidth="1"/>
    <col min="3348" max="3351" width="11" style="2" customWidth="1"/>
    <col min="3352" max="3353" width="11.140625" style="2" customWidth="1"/>
    <col min="3354" max="3377" width="11" style="2" customWidth="1"/>
    <col min="3378" max="3583" width="9.140625" style="2"/>
    <col min="3584" max="3584" width="0" style="2" hidden="1" customWidth="1"/>
    <col min="3585" max="3585" width="9.140625" style="2"/>
    <col min="3586" max="3586" width="28.140625" style="2" customWidth="1"/>
    <col min="3587" max="3588" width="0" style="2" hidden="1" customWidth="1"/>
    <col min="3589" max="3595" width="11" style="2" customWidth="1"/>
    <col min="3596" max="3597" width="0" style="2" hidden="1" customWidth="1"/>
    <col min="3598" max="3599" width="11" style="2" customWidth="1"/>
    <col min="3600" max="3601" width="0" style="2" hidden="1" customWidth="1"/>
    <col min="3602" max="3602" width="11" style="2" customWidth="1"/>
    <col min="3603" max="3603" width="16.5703125" style="2" customWidth="1"/>
    <col min="3604" max="3607" width="11" style="2" customWidth="1"/>
    <col min="3608" max="3609" width="11.140625" style="2" customWidth="1"/>
    <col min="3610" max="3633" width="11" style="2" customWidth="1"/>
    <col min="3634" max="3839" width="9.140625" style="2"/>
    <col min="3840" max="3840" width="0" style="2" hidden="1" customWidth="1"/>
    <col min="3841" max="3841" width="9.140625" style="2"/>
    <col min="3842" max="3842" width="28.140625" style="2" customWidth="1"/>
    <col min="3843" max="3844" width="0" style="2" hidden="1" customWidth="1"/>
    <col min="3845" max="3851" width="11" style="2" customWidth="1"/>
    <col min="3852" max="3853" width="0" style="2" hidden="1" customWidth="1"/>
    <col min="3854" max="3855" width="11" style="2" customWidth="1"/>
    <col min="3856" max="3857" width="0" style="2" hidden="1" customWidth="1"/>
    <col min="3858" max="3858" width="11" style="2" customWidth="1"/>
    <col min="3859" max="3859" width="16.5703125" style="2" customWidth="1"/>
    <col min="3860" max="3863" width="11" style="2" customWidth="1"/>
    <col min="3864" max="3865" width="11.140625" style="2" customWidth="1"/>
    <col min="3866" max="3889" width="11" style="2" customWidth="1"/>
    <col min="3890" max="4095" width="9.140625" style="2"/>
    <col min="4096" max="4096" width="0" style="2" hidden="1" customWidth="1"/>
    <col min="4097" max="4097" width="9.140625" style="2"/>
    <col min="4098" max="4098" width="28.140625" style="2" customWidth="1"/>
    <col min="4099" max="4100" width="0" style="2" hidden="1" customWidth="1"/>
    <col min="4101" max="4107" width="11" style="2" customWidth="1"/>
    <col min="4108" max="4109" width="0" style="2" hidden="1" customWidth="1"/>
    <col min="4110" max="4111" width="11" style="2" customWidth="1"/>
    <col min="4112" max="4113" width="0" style="2" hidden="1" customWidth="1"/>
    <col min="4114" max="4114" width="11" style="2" customWidth="1"/>
    <col min="4115" max="4115" width="16.5703125" style="2" customWidth="1"/>
    <col min="4116" max="4119" width="11" style="2" customWidth="1"/>
    <col min="4120" max="4121" width="11.140625" style="2" customWidth="1"/>
    <col min="4122" max="4145" width="11" style="2" customWidth="1"/>
    <col min="4146" max="4351" width="9.140625" style="2"/>
    <col min="4352" max="4352" width="0" style="2" hidden="1" customWidth="1"/>
    <col min="4353" max="4353" width="9.140625" style="2"/>
    <col min="4354" max="4354" width="28.140625" style="2" customWidth="1"/>
    <col min="4355" max="4356" width="0" style="2" hidden="1" customWidth="1"/>
    <col min="4357" max="4363" width="11" style="2" customWidth="1"/>
    <col min="4364" max="4365" width="0" style="2" hidden="1" customWidth="1"/>
    <col min="4366" max="4367" width="11" style="2" customWidth="1"/>
    <col min="4368" max="4369" width="0" style="2" hidden="1" customWidth="1"/>
    <col min="4370" max="4370" width="11" style="2" customWidth="1"/>
    <col min="4371" max="4371" width="16.5703125" style="2" customWidth="1"/>
    <col min="4372" max="4375" width="11" style="2" customWidth="1"/>
    <col min="4376" max="4377" width="11.140625" style="2" customWidth="1"/>
    <col min="4378" max="4401" width="11" style="2" customWidth="1"/>
    <col min="4402" max="4607" width="9.140625" style="2"/>
    <col min="4608" max="4608" width="0" style="2" hidden="1" customWidth="1"/>
    <col min="4609" max="4609" width="9.140625" style="2"/>
    <col min="4610" max="4610" width="28.140625" style="2" customWidth="1"/>
    <col min="4611" max="4612" width="0" style="2" hidden="1" customWidth="1"/>
    <col min="4613" max="4619" width="11" style="2" customWidth="1"/>
    <col min="4620" max="4621" width="0" style="2" hidden="1" customWidth="1"/>
    <col min="4622" max="4623" width="11" style="2" customWidth="1"/>
    <col min="4624" max="4625" width="0" style="2" hidden="1" customWidth="1"/>
    <col min="4626" max="4626" width="11" style="2" customWidth="1"/>
    <col min="4627" max="4627" width="16.5703125" style="2" customWidth="1"/>
    <col min="4628" max="4631" width="11" style="2" customWidth="1"/>
    <col min="4632" max="4633" width="11.140625" style="2" customWidth="1"/>
    <col min="4634" max="4657" width="11" style="2" customWidth="1"/>
    <col min="4658" max="4863" width="9.140625" style="2"/>
    <col min="4864" max="4864" width="0" style="2" hidden="1" customWidth="1"/>
    <col min="4865" max="4865" width="9.140625" style="2"/>
    <col min="4866" max="4866" width="28.140625" style="2" customWidth="1"/>
    <col min="4867" max="4868" width="0" style="2" hidden="1" customWidth="1"/>
    <col min="4869" max="4875" width="11" style="2" customWidth="1"/>
    <col min="4876" max="4877" width="0" style="2" hidden="1" customWidth="1"/>
    <col min="4878" max="4879" width="11" style="2" customWidth="1"/>
    <col min="4880" max="4881" width="0" style="2" hidden="1" customWidth="1"/>
    <col min="4882" max="4882" width="11" style="2" customWidth="1"/>
    <col min="4883" max="4883" width="16.5703125" style="2" customWidth="1"/>
    <col min="4884" max="4887" width="11" style="2" customWidth="1"/>
    <col min="4888" max="4889" width="11.140625" style="2" customWidth="1"/>
    <col min="4890" max="4913" width="11" style="2" customWidth="1"/>
    <col min="4914" max="5119" width="9.140625" style="2"/>
    <col min="5120" max="5120" width="0" style="2" hidden="1" customWidth="1"/>
    <col min="5121" max="5121" width="9.140625" style="2"/>
    <col min="5122" max="5122" width="28.140625" style="2" customWidth="1"/>
    <col min="5123" max="5124" width="0" style="2" hidden="1" customWidth="1"/>
    <col min="5125" max="5131" width="11" style="2" customWidth="1"/>
    <col min="5132" max="5133" width="0" style="2" hidden="1" customWidth="1"/>
    <col min="5134" max="5135" width="11" style="2" customWidth="1"/>
    <col min="5136" max="5137" width="0" style="2" hidden="1" customWidth="1"/>
    <col min="5138" max="5138" width="11" style="2" customWidth="1"/>
    <col min="5139" max="5139" width="16.5703125" style="2" customWidth="1"/>
    <col min="5140" max="5143" width="11" style="2" customWidth="1"/>
    <col min="5144" max="5145" width="11.140625" style="2" customWidth="1"/>
    <col min="5146" max="5169" width="11" style="2" customWidth="1"/>
    <col min="5170" max="5375" width="9.140625" style="2"/>
    <col min="5376" max="5376" width="0" style="2" hidden="1" customWidth="1"/>
    <col min="5377" max="5377" width="9.140625" style="2"/>
    <col min="5378" max="5378" width="28.140625" style="2" customWidth="1"/>
    <col min="5379" max="5380" width="0" style="2" hidden="1" customWidth="1"/>
    <col min="5381" max="5387" width="11" style="2" customWidth="1"/>
    <col min="5388" max="5389" width="0" style="2" hidden="1" customWidth="1"/>
    <col min="5390" max="5391" width="11" style="2" customWidth="1"/>
    <col min="5392" max="5393" width="0" style="2" hidden="1" customWidth="1"/>
    <col min="5394" max="5394" width="11" style="2" customWidth="1"/>
    <col min="5395" max="5395" width="16.5703125" style="2" customWidth="1"/>
    <col min="5396" max="5399" width="11" style="2" customWidth="1"/>
    <col min="5400" max="5401" width="11.140625" style="2" customWidth="1"/>
    <col min="5402" max="5425" width="11" style="2" customWidth="1"/>
    <col min="5426" max="5631" width="9.140625" style="2"/>
    <col min="5632" max="5632" width="0" style="2" hidden="1" customWidth="1"/>
    <col min="5633" max="5633" width="9.140625" style="2"/>
    <col min="5634" max="5634" width="28.140625" style="2" customWidth="1"/>
    <col min="5635" max="5636" width="0" style="2" hidden="1" customWidth="1"/>
    <col min="5637" max="5643" width="11" style="2" customWidth="1"/>
    <col min="5644" max="5645" width="0" style="2" hidden="1" customWidth="1"/>
    <col min="5646" max="5647" width="11" style="2" customWidth="1"/>
    <col min="5648" max="5649" width="0" style="2" hidden="1" customWidth="1"/>
    <col min="5650" max="5650" width="11" style="2" customWidth="1"/>
    <col min="5651" max="5651" width="16.5703125" style="2" customWidth="1"/>
    <col min="5652" max="5655" width="11" style="2" customWidth="1"/>
    <col min="5656" max="5657" width="11.140625" style="2" customWidth="1"/>
    <col min="5658" max="5681" width="11" style="2" customWidth="1"/>
    <col min="5682" max="5887" width="9.140625" style="2"/>
    <col min="5888" max="5888" width="0" style="2" hidden="1" customWidth="1"/>
    <col min="5889" max="5889" width="9.140625" style="2"/>
    <col min="5890" max="5890" width="28.140625" style="2" customWidth="1"/>
    <col min="5891" max="5892" width="0" style="2" hidden="1" customWidth="1"/>
    <col min="5893" max="5899" width="11" style="2" customWidth="1"/>
    <col min="5900" max="5901" width="0" style="2" hidden="1" customWidth="1"/>
    <col min="5902" max="5903" width="11" style="2" customWidth="1"/>
    <col min="5904" max="5905" width="0" style="2" hidden="1" customWidth="1"/>
    <col min="5906" max="5906" width="11" style="2" customWidth="1"/>
    <col min="5907" max="5907" width="16.5703125" style="2" customWidth="1"/>
    <col min="5908" max="5911" width="11" style="2" customWidth="1"/>
    <col min="5912" max="5913" width="11.140625" style="2" customWidth="1"/>
    <col min="5914" max="5937" width="11" style="2" customWidth="1"/>
    <col min="5938" max="6143" width="9.140625" style="2"/>
    <col min="6144" max="6144" width="0" style="2" hidden="1" customWidth="1"/>
    <col min="6145" max="6145" width="9.140625" style="2"/>
    <col min="6146" max="6146" width="28.140625" style="2" customWidth="1"/>
    <col min="6147" max="6148" width="0" style="2" hidden="1" customWidth="1"/>
    <col min="6149" max="6155" width="11" style="2" customWidth="1"/>
    <col min="6156" max="6157" width="0" style="2" hidden="1" customWidth="1"/>
    <col min="6158" max="6159" width="11" style="2" customWidth="1"/>
    <col min="6160" max="6161" width="0" style="2" hidden="1" customWidth="1"/>
    <col min="6162" max="6162" width="11" style="2" customWidth="1"/>
    <col min="6163" max="6163" width="16.5703125" style="2" customWidth="1"/>
    <col min="6164" max="6167" width="11" style="2" customWidth="1"/>
    <col min="6168" max="6169" width="11.140625" style="2" customWidth="1"/>
    <col min="6170" max="6193" width="11" style="2" customWidth="1"/>
    <col min="6194" max="6399" width="9.140625" style="2"/>
    <col min="6400" max="6400" width="0" style="2" hidden="1" customWidth="1"/>
    <col min="6401" max="6401" width="9.140625" style="2"/>
    <col min="6402" max="6402" width="28.140625" style="2" customWidth="1"/>
    <col min="6403" max="6404" width="0" style="2" hidden="1" customWidth="1"/>
    <col min="6405" max="6411" width="11" style="2" customWidth="1"/>
    <col min="6412" max="6413" width="0" style="2" hidden="1" customWidth="1"/>
    <col min="6414" max="6415" width="11" style="2" customWidth="1"/>
    <col min="6416" max="6417" width="0" style="2" hidden="1" customWidth="1"/>
    <col min="6418" max="6418" width="11" style="2" customWidth="1"/>
    <col min="6419" max="6419" width="16.5703125" style="2" customWidth="1"/>
    <col min="6420" max="6423" width="11" style="2" customWidth="1"/>
    <col min="6424" max="6425" width="11.140625" style="2" customWidth="1"/>
    <col min="6426" max="6449" width="11" style="2" customWidth="1"/>
    <col min="6450" max="6655" width="9.140625" style="2"/>
    <col min="6656" max="6656" width="0" style="2" hidden="1" customWidth="1"/>
    <col min="6657" max="6657" width="9.140625" style="2"/>
    <col min="6658" max="6658" width="28.140625" style="2" customWidth="1"/>
    <col min="6659" max="6660" width="0" style="2" hidden="1" customWidth="1"/>
    <col min="6661" max="6667" width="11" style="2" customWidth="1"/>
    <col min="6668" max="6669" width="0" style="2" hidden="1" customWidth="1"/>
    <col min="6670" max="6671" width="11" style="2" customWidth="1"/>
    <col min="6672" max="6673" width="0" style="2" hidden="1" customWidth="1"/>
    <col min="6674" max="6674" width="11" style="2" customWidth="1"/>
    <col min="6675" max="6675" width="16.5703125" style="2" customWidth="1"/>
    <col min="6676" max="6679" width="11" style="2" customWidth="1"/>
    <col min="6680" max="6681" width="11.140625" style="2" customWidth="1"/>
    <col min="6682" max="6705" width="11" style="2" customWidth="1"/>
    <col min="6706" max="6911" width="9.140625" style="2"/>
    <col min="6912" max="6912" width="0" style="2" hidden="1" customWidth="1"/>
    <col min="6913" max="6913" width="9.140625" style="2"/>
    <col min="6914" max="6914" width="28.140625" style="2" customWidth="1"/>
    <col min="6915" max="6916" width="0" style="2" hidden="1" customWidth="1"/>
    <col min="6917" max="6923" width="11" style="2" customWidth="1"/>
    <col min="6924" max="6925" width="0" style="2" hidden="1" customWidth="1"/>
    <col min="6926" max="6927" width="11" style="2" customWidth="1"/>
    <col min="6928" max="6929" width="0" style="2" hidden="1" customWidth="1"/>
    <col min="6930" max="6930" width="11" style="2" customWidth="1"/>
    <col min="6931" max="6931" width="16.5703125" style="2" customWidth="1"/>
    <col min="6932" max="6935" width="11" style="2" customWidth="1"/>
    <col min="6936" max="6937" width="11.140625" style="2" customWidth="1"/>
    <col min="6938" max="6961" width="11" style="2" customWidth="1"/>
    <col min="6962" max="7167" width="9.140625" style="2"/>
    <col min="7168" max="7168" width="0" style="2" hidden="1" customWidth="1"/>
    <col min="7169" max="7169" width="9.140625" style="2"/>
    <col min="7170" max="7170" width="28.140625" style="2" customWidth="1"/>
    <col min="7171" max="7172" width="0" style="2" hidden="1" customWidth="1"/>
    <col min="7173" max="7179" width="11" style="2" customWidth="1"/>
    <col min="7180" max="7181" width="0" style="2" hidden="1" customWidth="1"/>
    <col min="7182" max="7183" width="11" style="2" customWidth="1"/>
    <col min="7184" max="7185" width="0" style="2" hidden="1" customWidth="1"/>
    <col min="7186" max="7186" width="11" style="2" customWidth="1"/>
    <col min="7187" max="7187" width="16.5703125" style="2" customWidth="1"/>
    <col min="7188" max="7191" width="11" style="2" customWidth="1"/>
    <col min="7192" max="7193" width="11.140625" style="2" customWidth="1"/>
    <col min="7194" max="7217" width="11" style="2" customWidth="1"/>
    <col min="7218" max="7423" width="9.140625" style="2"/>
    <col min="7424" max="7424" width="0" style="2" hidden="1" customWidth="1"/>
    <col min="7425" max="7425" width="9.140625" style="2"/>
    <col min="7426" max="7426" width="28.140625" style="2" customWidth="1"/>
    <col min="7427" max="7428" width="0" style="2" hidden="1" customWidth="1"/>
    <col min="7429" max="7435" width="11" style="2" customWidth="1"/>
    <col min="7436" max="7437" width="0" style="2" hidden="1" customWidth="1"/>
    <col min="7438" max="7439" width="11" style="2" customWidth="1"/>
    <col min="7440" max="7441" width="0" style="2" hidden="1" customWidth="1"/>
    <col min="7442" max="7442" width="11" style="2" customWidth="1"/>
    <col min="7443" max="7443" width="16.5703125" style="2" customWidth="1"/>
    <col min="7444" max="7447" width="11" style="2" customWidth="1"/>
    <col min="7448" max="7449" width="11.140625" style="2" customWidth="1"/>
    <col min="7450" max="7473" width="11" style="2" customWidth="1"/>
    <col min="7474" max="7679" width="9.140625" style="2"/>
    <col min="7680" max="7680" width="0" style="2" hidden="1" customWidth="1"/>
    <col min="7681" max="7681" width="9.140625" style="2"/>
    <col min="7682" max="7682" width="28.140625" style="2" customWidth="1"/>
    <col min="7683" max="7684" width="0" style="2" hidden="1" customWidth="1"/>
    <col min="7685" max="7691" width="11" style="2" customWidth="1"/>
    <col min="7692" max="7693" width="0" style="2" hidden="1" customWidth="1"/>
    <col min="7694" max="7695" width="11" style="2" customWidth="1"/>
    <col min="7696" max="7697" width="0" style="2" hidden="1" customWidth="1"/>
    <col min="7698" max="7698" width="11" style="2" customWidth="1"/>
    <col min="7699" max="7699" width="16.5703125" style="2" customWidth="1"/>
    <col min="7700" max="7703" width="11" style="2" customWidth="1"/>
    <col min="7704" max="7705" width="11.140625" style="2" customWidth="1"/>
    <col min="7706" max="7729" width="11" style="2" customWidth="1"/>
    <col min="7730" max="7935" width="9.140625" style="2"/>
    <col min="7936" max="7936" width="0" style="2" hidden="1" customWidth="1"/>
    <col min="7937" max="7937" width="9.140625" style="2"/>
    <col min="7938" max="7938" width="28.140625" style="2" customWidth="1"/>
    <col min="7939" max="7940" width="0" style="2" hidden="1" customWidth="1"/>
    <col min="7941" max="7947" width="11" style="2" customWidth="1"/>
    <col min="7948" max="7949" width="0" style="2" hidden="1" customWidth="1"/>
    <col min="7950" max="7951" width="11" style="2" customWidth="1"/>
    <col min="7952" max="7953" width="0" style="2" hidden="1" customWidth="1"/>
    <col min="7954" max="7954" width="11" style="2" customWidth="1"/>
    <col min="7955" max="7955" width="16.5703125" style="2" customWidth="1"/>
    <col min="7956" max="7959" width="11" style="2" customWidth="1"/>
    <col min="7960" max="7961" width="11.140625" style="2" customWidth="1"/>
    <col min="7962" max="7985" width="11" style="2" customWidth="1"/>
    <col min="7986" max="8191" width="9.140625" style="2"/>
    <col min="8192" max="8192" width="0" style="2" hidden="1" customWidth="1"/>
    <col min="8193" max="8193" width="9.140625" style="2"/>
    <col min="8194" max="8194" width="28.140625" style="2" customWidth="1"/>
    <col min="8195" max="8196" width="0" style="2" hidden="1" customWidth="1"/>
    <col min="8197" max="8203" width="11" style="2" customWidth="1"/>
    <col min="8204" max="8205" width="0" style="2" hidden="1" customWidth="1"/>
    <col min="8206" max="8207" width="11" style="2" customWidth="1"/>
    <col min="8208" max="8209" width="0" style="2" hidden="1" customWidth="1"/>
    <col min="8210" max="8210" width="11" style="2" customWidth="1"/>
    <col min="8211" max="8211" width="16.5703125" style="2" customWidth="1"/>
    <col min="8212" max="8215" width="11" style="2" customWidth="1"/>
    <col min="8216" max="8217" width="11.140625" style="2" customWidth="1"/>
    <col min="8218" max="8241" width="11" style="2" customWidth="1"/>
    <col min="8242" max="8447" width="9.140625" style="2"/>
    <col min="8448" max="8448" width="0" style="2" hidden="1" customWidth="1"/>
    <col min="8449" max="8449" width="9.140625" style="2"/>
    <col min="8450" max="8450" width="28.140625" style="2" customWidth="1"/>
    <col min="8451" max="8452" width="0" style="2" hidden="1" customWidth="1"/>
    <col min="8453" max="8459" width="11" style="2" customWidth="1"/>
    <col min="8460" max="8461" width="0" style="2" hidden="1" customWidth="1"/>
    <col min="8462" max="8463" width="11" style="2" customWidth="1"/>
    <col min="8464" max="8465" width="0" style="2" hidden="1" customWidth="1"/>
    <col min="8466" max="8466" width="11" style="2" customWidth="1"/>
    <col min="8467" max="8467" width="16.5703125" style="2" customWidth="1"/>
    <col min="8468" max="8471" width="11" style="2" customWidth="1"/>
    <col min="8472" max="8473" width="11.140625" style="2" customWidth="1"/>
    <col min="8474" max="8497" width="11" style="2" customWidth="1"/>
    <col min="8498" max="8703" width="9.140625" style="2"/>
    <col min="8704" max="8704" width="0" style="2" hidden="1" customWidth="1"/>
    <col min="8705" max="8705" width="9.140625" style="2"/>
    <col min="8706" max="8706" width="28.140625" style="2" customWidth="1"/>
    <col min="8707" max="8708" width="0" style="2" hidden="1" customWidth="1"/>
    <col min="8709" max="8715" width="11" style="2" customWidth="1"/>
    <col min="8716" max="8717" width="0" style="2" hidden="1" customWidth="1"/>
    <col min="8718" max="8719" width="11" style="2" customWidth="1"/>
    <col min="8720" max="8721" width="0" style="2" hidden="1" customWidth="1"/>
    <col min="8722" max="8722" width="11" style="2" customWidth="1"/>
    <col min="8723" max="8723" width="16.5703125" style="2" customWidth="1"/>
    <col min="8724" max="8727" width="11" style="2" customWidth="1"/>
    <col min="8728" max="8729" width="11.140625" style="2" customWidth="1"/>
    <col min="8730" max="8753" width="11" style="2" customWidth="1"/>
    <col min="8754" max="8959" width="9.140625" style="2"/>
    <col min="8960" max="8960" width="0" style="2" hidden="1" customWidth="1"/>
    <col min="8961" max="8961" width="9.140625" style="2"/>
    <col min="8962" max="8962" width="28.140625" style="2" customWidth="1"/>
    <col min="8963" max="8964" width="0" style="2" hidden="1" customWidth="1"/>
    <col min="8965" max="8971" width="11" style="2" customWidth="1"/>
    <col min="8972" max="8973" width="0" style="2" hidden="1" customWidth="1"/>
    <col min="8974" max="8975" width="11" style="2" customWidth="1"/>
    <col min="8976" max="8977" width="0" style="2" hidden="1" customWidth="1"/>
    <col min="8978" max="8978" width="11" style="2" customWidth="1"/>
    <col min="8979" max="8979" width="16.5703125" style="2" customWidth="1"/>
    <col min="8980" max="8983" width="11" style="2" customWidth="1"/>
    <col min="8984" max="8985" width="11.140625" style="2" customWidth="1"/>
    <col min="8986" max="9009" width="11" style="2" customWidth="1"/>
    <col min="9010" max="9215" width="9.140625" style="2"/>
    <col min="9216" max="9216" width="0" style="2" hidden="1" customWidth="1"/>
    <col min="9217" max="9217" width="9.140625" style="2"/>
    <col min="9218" max="9218" width="28.140625" style="2" customWidth="1"/>
    <col min="9219" max="9220" width="0" style="2" hidden="1" customWidth="1"/>
    <col min="9221" max="9227" width="11" style="2" customWidth="1"/>
    <col min="9228" max="9229" width="0" style="2" hidden="1" customWidth="1"/>
    <col min="9230" max="9231" width="11" style="2" customWidth="1"/>
    <col min="9232" max="9233" width="0" style="2" hidden="1" customWidth="1"/>
    <col min="9234" max="9234" width="11" style="2" customWidth="1"/>
    <col min="9235" max="9235" width="16.5703125" style="2" customWidth="1"/>
    <col min="9236" max="9239" width="11" style="2" customWidth="1"/>
    <col min="9240" max="9241" width="11.140625" style="2" customWidth="1"/>
    <col min="9242" max="9265" width="11" style="2" customWidth="1"/>
    <col min="9266" max="9471" width="9.140625" style="2"/>
    <col min="9472" max="9472" width="0" style="2" hidden="1" customWidth="1"/>
    <col min="9473" max="9473" width="9.140625" style="2"/>
    <col min="9474" max="9474" width="28.140625" style="2" customWidth="1"/>
    <col min="9475" max="9476" width="0" style="2" hidden="1" customWidth="1"/>
    <col min="9477" max="9483" width="11" style="2" customWidth="1"/>
    <col min="9484" max="9485" width="0" style="2" hidden="1" customWidth="1"/>
    <col min="9486" max="9487" width="11" style="2" customWidth="1"/>
    <col min="9488" max="9489" width="0" style="2" hidden="1" customWidth="1"/>
    <col min="9490" max="9490" width="11" style="2" customWidth="1"/>
    <col min="9491" max="9491" width="16.5703125" style="2" customWidth="1"/>
    <col min="9492" max="9495" width="11" style="2" customWidth="1"/>
    <col min="9496" max="9497" width="11.140625" style="2" customWidth="1"/>
    <col min="9498" max="9521" width="11" style="2" customWidth="1"/>
    <col min="9522" max="9727" width="9.140625" style="2"/>
    <col min="9728" max="9728" width="0" style="2" hidden="1" customWidth="1"/>
    <col min="9729" max="9729" width="9.140625" style="2"/>
    <col min="9730" max="9730" width="28.140625" style="2" customWidth="1"/>
    <col min="9731" max="9732" width="0" style="2" hidden="1" customWidth="1"/>
    <col min="9733" max="9739" width="11" style="2" customWidth="1"/>
    <col min="9740" max="9741" width="0" style="2" hidden="1" customWidth="1"/>
    <col min="9742" max="9743" width="11" style="2" customWidth="1"/>
    <col min="9744" max="9745" width="0" style="2" hidden="1" customWidth="1"/>
    <col min="9746" max="9746" width="11" style="2" customWidth="1"/>
    <col min="9747" max="9747" width="16.5703125" style="2" customWidth="1"/>
    <col min="9748" max="9751" width="11" style="2" customWidth="1"/>
    <col min="9752" max="9753" width="11.140625" style="2" customWidth="1"/>
    <col min="9754" max="9777" width="11" style="2" customWidth="1"/>
    <col min="9778" max="9983" width="9.140625" style="2"/>
    <col min="9984" max="9984" width="0" style="2" hidden="1" customWidth="1"/>
    <col min="9985" max="9985" width="9.140625" style="2"/>
    <col min="9986" max="9986" width="28.140625" style="2" customWidth="1"/>
    <col min="9987" max="9988" width="0" style="2" hidden="1" customWidth="1"/>
    <col min="9989" max="9995" width="11" style="2" customWidth="1"/>
    <col min="9996" max="9997" width="0" style="2" hidden="1" customWidth="1"/>
    <col min="9998" max="9999" width="11" style="2" customWidth="1"/>
    <col min="10000" max="10001" width="0" style="2" hidden="1" customWidth="1"/>
    <col min="10002" max="10002" width="11" style="2" customWidth="1"/>
    <col min="10003" max="10003" width="16.5703125" style="2" customWidth="1"/>
    <col min="10004" max="10007" width="11" style="2" customWidth="1"/>
    <col min="10008" max="10009" width="11.140625" style="2" customWidth="1"/>
    <col min="10010" max="10033" width="11" style="2" customWidth="1"/>
    <col min="10034" max="10239" width="9.140625" style="2"/>
    <col min="10240" max="10240" width="0" style="2" hidden="1" customWidth="1"/>
    <col min="10241" max="10241" width="9.140625" style="2"/>
    <col min="10242" max="10242" width="28.140625" style="2" customWidth="1"/>
    <col min="10243" max="10244" width="0" style="2" hidden="1" customWidth="1"/>
    <col min="10245" max="10251" width="11" style="2" customWidth="1"/>
    <col min="10252" max="10253" width="0" style="2" hidden="1" customWidth="1"/>
    <col min="10254" max="10255" width="11" style="2" customWidth="1"/>
    <col min="10256" max="10257" width="0" style="2" hidden="1" customWidth="1"/>
    <col min="10258" max="10258" width="11" style="2" customWidth="1"/>
    <col min="10259" max="10259" width="16.5703125" style="2" customWidth="1"/>
    <col min="10260" max="10263" width="11" style="2" customWidth="1"/>
    <col min="10264" max="10265" width="11.140625" style="2" customWidth="1"/>
    <col min="10266" max="10289" width="11" style="2" customWidth="1"/>
    <col min="10290" max="10495" width="9.140625" style="2"/>
    <col min="10496" max="10496" width="0" style="2" hidden="1" customWidth="1"/>
    <col min="10497" max="10497" width="9.140625" style="2"/>
    <col min="10498" max="10498" width="28.140625" style="2" customWidth="1"/>
    <col min="10499" max="10500" width="0" style="2" hidden="1" customWidth="1"/>
    <col min="10501" max="10507" width="11" style="2" customWidth="1"/>
    <col min="10508" max="10509" width="0" style="2" hidden="1" customWidth="1"/>
    <col min="10510" max="10511" width="11" style="2" customWidth="1"/>
    <col min="10512" max="10513" width="0" style="2" hidden="1" customWidth="1"/>
    <col min="10514" max="10514" width="11" style="2" customWidth="1"/>
    <col min="10515" max="10515" width="16.5703125" style="2" customWidth="1"/>
    <col min="10516" max="10519" width="11" style="2" customWidth="1"/>
    <col min="10520" max="10521" width="11.140625" style="2" customWidth="1"/>
    <col min="10522" max="10545" width="11" style="2" customWidth="1"/>
    <col min="10546" max="10751" width="9.140625" style="2"/>
    <col min="10752" max="10752" width="0" style="2" hidden="1" customWidth="1"/>
    <col min="10753" max="10753" width="9.140625" style="2"/>
    <col min="10754" max="10754" width="28.140625" style="2" customWidth="1"/>
    <col min="10755" max="10756" width="0" style="2" hidden="1" customWidth="1"/>
    <col min="10757" max="10763" width="11" style="2" customWidth="1"/>
    <col min="10764" max="10765" width="0" style="2" hidden="1" customWidth="1"/>
    <col min="10766" max="10767" width="11" style="2" customWidth="1"/>
    <col min="10768" max="10769" width="0" style="2" hidden="1" customWidth="1"/>
    <col min="10770" max="10770" width="11" style="2" customWidth="1"/>
    <col min="10771" max="10771" width="16.5703125" style="2" customWidth="1"/>
    <col min="10772" max="10775" width="11" style="2" customWidth="1"/>
    <col min="10776" max="10777" width="11.140625" style="2" customWidth="1"/>
    <col min="10778" max="10801" width="11" style="2" customWidth="1"/>
    <col min="10802" max="11007" width="9.140625" style="2"/>
    <col min="11008" max="11008" width="0" style="2" hidden="1" customWidth="1"/>
    <col min="11009" max="11009" width="9.140625" style="2"/>
    <col min="11010" max="11010" width="28.140625" style="2" customWidth="1"/>
    <col min="11011" max="11012" width="0" style="2" hidden="1" customWidth="1"/>
    <col min="11013" max="11019" width="11" style="2" customWidth="1"/>
    <col min="11020" max="11021" width="0" style="2" hidden="1" customWidth="1"/>
    <col min="11022" max="11023" width="11" style="2" customWidth="1"/>
    <col min="11024" max="11025" width="0" style="2" hidden="1" customWidth="1"/>
    <col min="11026" max="11026" width="11" style="2" customWidth="1"/>
    <col min="11027" max="11027" width="16.5703125" style="2" customWidth="1"/>
    <col min="11028" max="11031" width="11" style="2" customWidth="1"/>
    <col min="11032" max="11033" width="11.140625" style="2" customWidth="1"/>
    <col min="11034" max="11057" width="11" style="2" customWidth="1"/>
    <col min="11058" max="11263" width="9.140625" style="2"/>
    <col min="11264" max="11264" width="0" style="2" hidden="1" customWidth="1"/>
    <col min="11265" max="11265" width="9.140625" style="2"/>
    <col min="11266" max="11266" width="28.140625" style="2" customWidth="1"/>
    <col min="11267" max="11268" width="0" style="2" hidden="1" customWidth="1"/>
    <col min="11269" max="11275" width="11" style="2" customWidth="1"/>
    <col min="11276" max="11277" width="0" style="2" hidden="1" customWidth="1"/>
    <col min="11278" max="11279" width="11" style="2" customWidth="1"/>
    <col min="11280" max="11281" width="0" style="2" hidden="1" customWidth="1"/>
    <col min="11282" max="11282" width="11" style="2" customWidth="1"/>
    <col min="11283" max="11283" width="16.5703125" style="2" customWidth="1"/>
    <col min="11284" max="11287" width="11" style="2" customWidth="1"/>
    <col min="11288" max="11289" width="11.140625" style="2" customWidth="1"/>
    <col min="11290" max="11313" width="11" style="2" customWidth="1"/>
    <col min="11314" max="11519" width="9.140625" style="2"/>
    <col min="11520" max="11520" width="0" style="2" hidden="1" customWidth="1"/>
    <col min="11521" max="11521" width="9.140625" style="2"/>
    <col min="11522" max="11522" width="28.140625" style="2" customWidth="1"/>
    <col min="11523" max="11524" width="0" style="2" hidden="1" customWidth="1"/>
    <col min="11525" max="11531" width="11" style="2" customWidth="1"/>
    <col min="11532" max="11533" width="0" style="2" hidden="1" customWidth="1"/>
    <col min="11534" max="11535" width="11" style="2" customWidth="1"/>
    <col min="11536" max="11537" width="0" style="2" hidden="1" customWidth="1"/>
    <col min="11538" max="11538" width="11" style="2" customWidth="1"/>
    <col min="11539" max="11539" width="16.5703125" style="2" customWidth="1"/>
    <col min="11540" max="11543" width="11" style="2" customWidth="1"/>
    <col min="11544" max="11545" width="11.140625" style="2" customWidth="1"/>
    <col min="11546" max="11569" width="11" style="2" customWidth="1"/>
    <col min="11570" max="11775" width="9.140625" style="2"/>
    <col min="11776" max="11776" width="0" style="2" hidden="1" customWidth="1"/>
    <col min="11777" max="11777" width="9.140625" style="2"/>
    <col min="11778" max="11778" width="28.140625" style="2" customWidth="1"/>
    <col min="11779" max="11780" width="0" style="2" hidden="1" customWidth="1"/>
    <col min="11781" max="11787" width="11" style="2" customWidth="1"/>
    <col min="11788" max="11789" width="0" style="2" hidden="1" customWidth="1"/>
    <col min="11790" max="11791" width="11" style="2" customWidth="1"/>
    <col min="11792" max="11793" width="0" style="2" hidden="1" customWidth="1"/>
    <col min="11794" max="11794" width="11" style="2" customWidth="1"/>
    <col min="11795" max="11795" width="16.5703125" style="2" customWidth="1"/>
    <col min="11796" max="11799" width="11" style="2" customWidth="1"/>
    <col min="11800" max="11801" width="11.140625" style="2" customWidth="1"/>
    <col min="11802" max="11825" width="11" style="2" customWidth="1"/>
    <col min="11826" max="12031" width="9.140625" style="2"/>
    <col min="12032" max="12032" width="0" style="2" hidden="1" customWidth="1"/>
    <col min="12033" max="12033" width="9.140625" style="2"/>
    <col min="12034" max="12034" width="28.140625" style="2" customWidth="1"/>
    <col min="12035" max="12036" width="0" style="2" hidden="1" customWidth="1"/>
    <col min="12037" max="12043" width="11" style="2" customWidth="1"/>
    <col min="12044" max="12045" width="0" style="2" hidden="1" customWidth="1"/>
    <col min="12046" max="12047" width="11" style="2" customWidth="1"/>
    <col min="12048" max="12049" width="0" style="2" hidden="1" customWidth="1"/>
    <col min="12050" max="12050" width="11" style="2" customWidth="1"/>
    <col min="12051" max="12051" width="16.5703125" style="2" customWidth="1"/>
    <col min="12052" max="12055" width="11" style="2" customWidth="1"/>
    <col min="12056" max="12057" width="11.140625" style="2" customWidth="1"/>
    <col min="12058" max="12081" width="11" style="2" customWidth="1"/>
    <col min="12082" max="12287" width="9.140625" style="2"/>
    <col min="12288" max="12288" width="0" style="2" hidden="1" customWidth="1"/>
    <col min="12289" max="12289" width="9.140625" style="2"/>
    <col min="12290" max="12290" width="28.140625" style="2" customWidth="1"/>
    <col min="12291" max="12292" width="0" style="2" hidden="1" customWidth="1"/>
    <col min="12293" max="12299" width="11" style="2" customWidth="1"/>
    <col min="12300" max="12301" width="0" style="2" hidden="1" customWidth="1"/>
    <col min="12302" max="12303" width="11" style="2" customWidth="1"/>
    <col min="12304" max="12305" width="0" style="2" hidden="1" customWidth="1"/>
    <col min="12306" max="12306" width="11" style="2" customWidth="1"/>
    <col min="12307" max="12307" width="16.5703125" style="2" customWidth="1"/>
    <col min="12308" max="12311" width="11" style="2" customWidth="1"/>
    <col min="12312" max="12313" width="11.140625" style="2" customWidth="1"/>
    <col min="12314" max="12337" width="11" style="2" customWidth="1"/>
    <col min="12338" max="12543" width="9.140625" style="2"/>
    <col min="12544" max="12544" width="0" style="2" hidden="1" customWidth="1"/>
    <col min="12545" max="12545" width="9.140625" style="2"/>
    <col min="12546" max="12546" width="28.140625" style="2" customWidth="1"/>
    <col min="12547" max="12548" width="0" style="2" hidden="1" customWidth="1"/>
    <col min="12549" max="12555" width="11" style="2" customWidth="1"/>
    <col min="12556" max="12557" width="0" style="2" hidden="1" customWidth="1"/>
    <col min="12558" max="12559" width="11" style="2" customWidth="1"/>
    <col min="12560" max="12561" width="0" style="2" hidden="1" customWidth="1"/>
    <col min="12562" max="12562" width="11" style="2" customWidth="1"/>
    <col min="12563" max="12563" width="16.5703125" style="2" customWidth="1"/>
    <col min="12564" max="12567" width="11" style="2" customWidth="1"/>
    <col min="12568" max="12569" width="11.140625" style="2" customWidth="1"/>
    <col min="12570" max="12593" width="11" style="2" customWidth="1"/>
    <col min="12594" max="12799" width="9.140625" style="2"/>
    <col min="12800" max="12800" width="0" style="2" hidden="1" customWidth="1"/>
    <col min="12801" max="12801" width="9.140625" style="2"/>
    <col min="12802" max="12802" width="28.140625" style="2" customWidth="1"/>
    <col min="12803" max="12804" width="0" style="2" hidden="1" customWidth="1"/>
    <col min="12805" max="12811" width="11" style="2" customWidth="1"/>
    <col min="12812" max="12813" width="0" style="2" hidden="1" customWidth="1"/>
    <col min="12814" max="12815" width="11" style="2" customWidth="1"/>
    <col min="12816" max="12817" width="0" style="2" hidden="1" customWidth="1"/>
    <col min="12818" max="12818" width="11" style="2" customWidth="1"/>
    <col min="12819" max="12819" width="16.5703125" style="2" customWidth="1"/>
    <col min="12820" max="12823" width="11" style="2" customWidth="1"/>
    <col min="12824" max="12825" width="11.140625" style="2" customWidth="1"/>
    <col min="12826" max="12849" width="11" style="2" customWidth="1"/>
    <col min="12850" max="13055" width="9.140625" style="2"/>
    <col min="13056" max="13056" width="0" style="2" hidden="1" customWidth="1"/>
    <col min="13057" max="13057" width="9.140625" style="2"/>
    <col min="13058" max="13058" width="28.140625" style="2" customWidth="1"/>
    <col min="13059" max="13060" width="0" style="2" hidden="1" customWidth="1"/>
    <col min="13061" max="13067" width="11" style="2" customWidth="1"/>
    <col min="13068" max="13069" width="0" style="2" hidden="1" customWidth="1"/>
    <col min="13070" max="13071" width="11" style="2" customWidth="1"/>
    <col min="13072" max="13073" width="0" style="2" hidden="1" customWidth="1"/>
    <col min="13074" max="13074" width="11" style="2" customWidth="1"/>
    <col min="13075" max="13075" width="16.5703125" style="2" customWidth="1"/>
    <col min="13076" max="13079" width="11" style="2" customWidth="1"/>
    <col min="13080" max="13081" width="11.140625" style="2" customWidth="1"/>
    <col min="13082" max="13105" width="11" style="2" customWidth="1"/>
    <col min="13106" max="13311" width="9.140625" style="2"/>
    <col min="13312" max="13312" width="0" style="2" hidden="1" customWidth="1"/>
    <col min="13313" max="13313" width="9.140625" style="2"/>
    <col min="13314" max="13314" width="28.140625" style="2" customWidth="1"/>
    <col min="13315" max="13316" width="0" style="2" hidden="1" customWidth="1"/>
    <col min="13317" max="13323" width="11" style="2" customWidth="1"/>
    <col min="13324" max="13325" width="0" style="2" hidden="1" customWidth="1"/>
    <col min="13326" max="13327" width="11" style="2" customWidth="1"/>
    <col min="13328" max="13329" width="0" style="2" hidden="1" customWidth="1"/>
    <col min="13330" max="13330" width="11" style="2" customWidth="1"/>
    <col min="13331" max="13331" width="16.5703125" style="2" customWidth="1"/>
    <col min="13332" max="13335" width="11" style="2" customWidth="1"/>
    <col min="13336" max="13337" width="11.140625" style="2" customWidth="1"/>
    <col min="13338" max="13361" width="11" style="2" customWidth="1"/>
    <col min="13362" max="13567" width="9.140625" style="2"/>
    <col min="13568" max="13568" width="0" style="2" hidden="1" customWidth="1"/>
    <col min="13569" max="13569" width="9.140625" style="2"/>
    <col min="13570" max="13570" width="28.140625" style="2" customWidth="1"/>
    <col min="13571" max="13572" width="0" style="2" hidden="1" customWidth="1"/>
    <col min="13573" max="13579" width="11" style="2" customWidth="1"/>
    <col min="13580" max="13581" width="0" style="2" hidden="1" customWidth="1"/>
    <col min="13582" max="13583" width="11" style="2" customWidth="1"/>
    <col min="13584" max="13585" width="0" style="2" hidden="1" customWidth="1"/>
    <col min="13586" max="13586" width="11" style="2" customWidth="1"/>
    <col min="13587" max="13587" width="16.5703125" style="2" customWidth="1"/>
    <col min="13588" max="13591" width="11" style="2" customWidth="1"/>
    <col min="13592" max="13593" width="11.140625" style="2" customWidth="1"/>
    <col min="13594" max="13617" width="11" style="2" customWidth="1"/>
    <col min="13618" max="13823" width="9.140625" style="2"/>
    <col min="13824" max="13824" width="0" style="2" hidden="1" customWidth="1"/>
    <col min="13825" max="13825" width="9.140625" style="2"/>
    <col min="13826" max="13826" width="28.140625" style="2" customWidth="1"/>
    <col min="13827" max="13828" width="0" style="2" hidden="1" customWidth="1"/>
    <col min="13829" max="13835" width="11" style="2" customWidth="1"/>
    <col min="13836" max="13837" width="0" style="2" hidden="1" customWidth="1"/>
    <col min="13838" max="13839" width="11" style="2" customWidth="1"/>
    <col min="13840" max="13841" width="0" style="2" hidden="1" customWidth="1"/>
    <col min="13842" max="13842" width="11" style="2" customWidth="1"/>
    <col min="13843" max="13843" width="16.5703125" style="2" customWidth="1"/>
    <col min="13844" max="13847" width="11" style="2" customWidth="1"/>
    <col min="13848" max="13849" width="11.140625" style="2" customWidth="1"/>
    <col min="13850" max="13873" width="11" style="2" customWidth="1"/>
    <col min="13874" max="14079" width="9.140625" style="2"/>
    <col min="14080" max="14080" width="0" style="2" hidden="1" customWidth="1"/>
    <col min="14081" max="14081" width="9.140625" style="2"/>
    <col min="14082" max="14082" width="28.140625" style="2" customWidth="1"/>
    <col min="14083" max="14084" width="0" style="2" hidden="1" customWidth="1"/>
    <col min="14085" max="14091" width="11" style="2" customWidth="1"/>
    <col min="14092" max="14093" width="0" style="2" hidden="1" customWidth="1"/>
    <col min="14094" max="14095" width="11" style="2" customWidth="1"/>
    <col min="14096" max="14097" width="0" style="2" hidden="1" customWidth="1"/>
    <col min="14098" max="14098" width="11" style="2" customWidth="1"/>
    <col min="14099" max="14099" width="16.5703125" style="2" customWidth="1"/>
    <col min="14100" max="14103" width="11" style="2" customWidth="1"/>
    <col min="14104" max="14105" width="11.140625" style="2" customWidth="1"/>
    <col min="14106" max="14129" width="11" style="2" customWidth="1"/>
    <col min="14130" max="14335" width="9.140625" style="2"/>
    <col min="14336" max="14336" width="0" style="2" hidden="1" customWidth="1"/>
    <col min="14337" max="14337" width="9.140625" style="2"/>
    <col min="14338" max="14338" width="28.140625" style="2" customWidth="1"/>
    <col min="14339" max="14340" width="0" style="2" hidden="1" customWidth="1"/>
    <col min="14341" max="14347" width="11" style="2" customWidth="1"/>
    <col min="14348" max="14349" width="0" style="2" hidden="1" customWidth="1"/>
    <col min="14350" max="14351" width="11" style="2" customWidth="1"/>
    <col min="14352" max="14353" width="0" style="2" hidden="1" customWidth="1"/>
    <col min="14354" max="14354" width="11" style="2" customWidth="1"/>
    <col min="14355" max="14355" width="16.5703125" style="2" customWidth="1"/>
    <col min="14356" max="14359" width="11" style="2" customWidth="1"/>
    <col min="14360" max="14361" width="11.140625" style="2" customWidth="1"/>
    <col min="14362" max="14385" width="11" style="2" customWidth="1"/>
    <col min="14386" max="14591" width="9.140625" style="2"/>
    <col min="14592" max="14592" width="0" style="2" hidden="1" customWidth="1"/>
    <col min="14593" max="14593" width="9.140625" style="2"/>
    <col min="14594" max="14594" width="28.140625" style="2" customWidth="1"/>
    <col min="14595" max="14596" width="0" style="2" hidden="1" customWidth="1"/>
    <col min="14597" max="14603" width="11" style="2" customWidth="1"/>
    <col min="14604" max="14605" width="0" style="2" hidden="1" customWidth="1"/>
    <col min="14606" max="14607" width="11" style="2" customWidth="1"/>
    <col min="14608" max="14609" width="0" style="2" hidden="1" customWidth="1"/>
    <col min="14610" max="14610" width="11" style="2" customWidth="1"/>
    <col min="14611" max="14611" width="16.5703125" style="2" customWidth="1"/>
    <col min="14612" max="14615" width="11" style="2" customWidth="1"/>
    <col min="14616" max="14617" width="11.140625" style="2" customWidth="1"/>
    <col min="14618" max="14641" width="11" style="2" customWidth="1"/>
    <col min="14642" max="14847" width="9.140625" style="2"/>
    <col min="14848" max="14848" width="0" style="2" hidden="1" customWidth="1"/>
    <col min="14849" max="14849" width="9.140625" style="2"/>
    <col min="14850" max="14850" width="28.140625" style="2" customWidth="1"/>
    <col min="14851" max="14852" width="0" style="2" hidden="1" customWidth="1"/>
    <col min="14853" max="14859" width="11" style="2" customWidth="1"/>
    <col min="14860" max="14861" width="0" style="2" hidden="1" customWidth="1"/>
    <col min="14862" max="14863" width="11" style="2" customWidth="1"/>
    <col min="14864" max="14865" width="0" style="2" hidden="1" customWidth="1"/>
    <col min="14866" max="14866" width="11" style="2" customWidth="1"/>
    <col min="14867" max="14867" width="16.5703125" style="2" customWidth="1"/>
    <col min="14868" max="14871" width="11" style="2" customWidth="1"/>
    <col min="14872" max="14873" width="11.140625" style="2" customWidth="1"/>
    <col min="14874" max="14897" width="11" style="2" customWidth="1"/>
    <col min="14898" max="15103" width="9.140625" style="2"/>
    <col min="15104" max="15104" width="0" style="2" hidden="1" customWidth="1"/>
    <col min="15105" max="15105" width="9.140625" style="2"/>
    <col min="15106" max="15106" width="28.140625" style="2" customWidth="1"/>
    <col min="15107" max="15108" width="0" style="2" hidden="1" customWidth="1"/>
    <col min="15109" max="15115" width="11" style="2" customWidth="1"/>
    <col min="15116" max="15117" width="0" style="2" hidden="1" customWidth="1"/>
    <col min="15118" max="15119" width="11" style="2" customWidth="1"/>
    <col min="15120" max="15121" width="0" style="2" hidden="1" customWidth="1"/>
    <col min="15122" max="15122" width="11" style="2" customWidth="1"/>
    <col min="15123" max="15123" width="16.5703125" style="2" customWidth="1"/>
    <col min="15124" max="15127" width="11" style="2" customWidth="1"/>
    <col min="15128" max="15129" width="11.140625" style="2" customWidth="1"/>
    <col min="15130" max="15153" width="11" style="2" customWidth="1"/>
    <col min="15154" max="15359" width="9.140625" style="2"/>
    <col min="15360" max="15360" width="0" style="2" hidden="1" customWidth="1"/>
    <col min="15361" max="15361" width="9.140625" style="2"/>
    <col min="15362" max="15362" width="28.140625" style="2" customWidth="1"/>
    <col min="15363" max="15364" width="0" style="2" hidden="1" customWidth="1"/>
    <col min="15365" max="15371" width="11" style="2" customWidth="1"/>
    <col min="15372" max="15373" width="0" style="2" hidden="1" customWidth="1"/>
    <col min="15374" max="15375" width="11" style="2" customWidth="1"/>
    <col min="15376" max="15377" width="0" style="2" hidden="1" customWidth="1"/>
    <col min="15378" max="15378" width="11" style="2" customWidth="1"/>
    <col min="15379" max="15379" width="16.5703125" style="2" customWidth="1"/>
    <col min="15380" max="15383" width="11" style="2" customWidth="1"/>
    <col min="15384" max="15385" width="11.140625" style="2" customWidth="1"/>
    <col min="15386" max="15409" width="11" style="2" customWidth="1"/>
    <col min="15410" max="15615" width="9.140625" style="2"/>
    <col min="15616" max="15616" width="0" style="2" hidden="1" customWidth="1"/>
    <col min="15617" max="15617" width="9.140625" style="2"/>
    <col min="15618" max="15618" width="28.140625" style="2" customWidth="1"/>
    <col min="15619" max="15620" width="0" style="2" hidden="1" customWidth="1"/>
    <col min="15621" max="15627" width="11" style="2" customWidth="1"/>
    <col min="15628" max="15629" width="0" style="2" hidden="1" customWidth="1"/>
    <col min="15630" max="15631" width="11" style="2" customWidth="1"/>
    <col min="15632" max="15633" width="0" style="2" hidden="1" customWidth="1"/>
    <col min="15634" max="15634" width="11" style="2" customWidth="1"/>
    <col min="15635" max="15635" width="16.5703125" style="2" customWidth="1"/>
    <col min="15636" max="15639" width="11" style="2" customWidth="1"/>
    <col min="15640" max="15641" width="11.140625" style="2" customWidth="1"/>
    <col min="15642" max="15665" width="11" style="2" customWidth="1"/>
    <col min="15666" max="15871" width="9.140625" style="2"/>
    <col min="15872" max="15872" width="0" style="2" hidden="1" customWidth="1"/>
    <col min="15873" max="15873" width="9.140625" style="2"/>
    <col min="15874" max="15874" width="28.140625" style="2" customWidth="1"/>
    <col min="15875" max="15876" width="0" style="2" hidden="1" customWidth="1"/>
    <col min="15877" max="15883" width="11" style="2" customWidth="1"/>
    <col min="15884" max="15885" width="0" style="2" hidden="1" customWidth="1"/>
    <col min="15886" max="15887" width="11" style="2" customWidth="1"/>
    <col min="15888" max="15889" width="0" style="2" hidden="1" customWidth="1"/>
    <col min="15890" max="15890" width="11" style="2" customWidth="1"/>
    <col min="15891" max="15891" width="16.5703125" style="2" customWidth="1"/>
    <col min="15892" max="15895" width="11" style="2" customWidth="1"/>
    <col min="15896" max="15897" width="11.140625" style="2" customWidth="1"/>
    <col min="15898" max="15921" width="11" style="2" customWidth="1"/>
    <col min="15922" max="16127" width="9.140625" style="2"/>
    <col min="16128" max="16128" width="0" style="2" hidden="1" customWidth="1"/>
    <col min="16129" max="16129" width="9.140625" style="2"/>
    <col min="16130" max="16130" width="28.140625" style="2" customWidth="1"/>
    <col min="16131" max="16132" width="0" style="2" hidden="1" customWidth="1"/>
    <col min="16133" max="16139" width="11" style="2" customWidth="1"/>
    <col min="16140" max="16141" width="0" style="2" hidden="1" customWidth="1"/>
    <col min="16142" max="16143" width="11" style="2" customWidth="1"/>
    <col min="16144" max="16145" width="0" style="2" hidden="1" customWidth="1"/>
    <col min="16146" max="16146" width="11" style="2" customWidth="1"/>
    <col min="16147" max="16147" width="16.5703125" style="2" customWidth="1"/>
    <col min="16148" max="16151" width="11" style="2" customWidth="1"/>
    <col min="16152" max="16153" width="11.140625" style="2" customWidth="1"/>
    <col min="16154" max="16177" width="11" style="2" customWidth="1"/>
    <col min="16178" max="16384" width="9.140625" style="2"/>
  </cols>
  <sheetData>
    <row r="1" spans="1:66" s="1" customFormat="1" ht="15.75">
      <c r="A1" s="139" t="s">
        <v>142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</row>
    <row r="2" spans="1:66" ht="60">
      <c r="A2" s="132" t="s">
        <v>2</v>
      </c>
      <c r="B2" s="132" t="s">
        <v>3</v>
      </c>
      <c r="C2" s="132" t="s">
        <v>4</v>
      </c>
      <c r="D2" s="132" t="s">
        <v>5</v>
      </c>
      <c r="E2" s="132" t="s">
        <v>311</v>
      </c>
      <c r="F2" s="132" t="s">
        <v>312</v>
      </c>
      <c r="G2" s="132" t="s">
        <v>313</v>
      </c>
      <c r="H2" s="132" t="s">
        <v>314</v>
      </c>
      <c r="I2" s="132" t="s">
        <v>315</v>
      </c>
      <c r="J2" s="132" t="s">
        <v>316</v>
      </c>
      <c r="K2" s="132" t="s">
        <v>317</v>
      </c>
      <c r="L2" s="132" t="s">
        <v>318</v>
      </c>
      <c r="M2" s="132" t="s">
        <v>319</v>
      </c>
      <c r="N2" s="132" t="s">
        <v>320</v>
      </c>
      <c r="O2" s="132" t="s">
        <v>321</v>
      </c>
      <c r="P2" s="132" t="s">
        <v>322</v>
      </c>
      <c r="Q2" s="132" t="s">
        <v>323</v>
      </c>
      <c r="R2" s="132" t="s">
        <v>324</v>
      </c>
      <c r="S2" s="132" t="s">
        <v>325</v>
      </c>
      <c r="T2" s="132" t="s">
        <v>330</v>
      </c>
      <c r="U2" s="132" t="s">
        <v>326</v>
      </c>
      <c r="V2" s="132" t="s">
        <v>327</v>
      </c>
      <c r="W2" s="132" t="s">
        <v>328</v>
      </c>
      <c r="X2" s="132" t="s">
        <v>329</v>
      </c>
      <c r="Y2" s="132" t="s">
        <v>331</v>
      </c>
      <c r="Z2" s="132" t="s">
        <v>332</v>
      </c>
      <c r="AA2" s="132" t="s">
        <v>333</v>
      </c>
      <c r="AB2" s="132" t="s">
        <v>334</v>
      </c>
      <c r="AC2" s="132" t="s">
        <v>335</v>
      </c>
      <c r="AD2" s="132" t="s">
        <v>336</v>
      </c>
      <c r="AE2" s="132" t="s">
        <v>337</v>
      </c>
      <c r="AF2" s="132" t="s">
        <v>338</v>
      </c>
      <c r="AG2" s="132" t="s">
        <v>339</v>
      </c>
      <c r="AH2" s="132" t="s">
        <v>340</v>
      </c>
      <c r="AI2" s="132" t="s">
        <v>341</v>
      </c>
      <c r="AJ2" s="132" t="s">
        <v>6</v>
      </c>
      <c r="AK2" s="132" t="s">
        <v>342</v>
      </c>
      <c r="AL2" s="132" t="s">
        <v>343</v>
      </c>
      <c r="AM2" s="132" t="s">
        <v>344</v>
      </c>
      <c r="AN2" s="132" t="s">
        <v>345</v>
      </c>
      <c r="AO2" s="132" t="s">
        <v>346</v>
      </c>
      <c r="AP2" s="132" t="s">
        <v>347</v>
      </c>
      <c r="AQ2" s="132" t="s">
        <v>348</v>
      </c>
      <c r="AR2" s="132" t="s">
        <v>349</v>
      </c>
      <c r="AS2" s="132" t="s">
        <v>350</v>
      </c>
      <c r="AT2" s="132" t="s">
        <v>351</v>
      </c>
      <c r="AU2" s="132" t="s">
        <v>352</v>
      </c>
      <c r="AV2" s="132" t="s">
        <v>353</v>
      </c>
      <c r="AW2" s="132" t="s">
        <v>354</v>
      </c>
      <c r="AX2" s="132" t="s">
        <v>355</v>
      </c>
      <c r="AY2" s="132" t="s">
        <v>356</v>
      </c>
      <c r="AZ2" s="132" t="s">
        <v>357</v>
      </c>
      <c r="BA2" s="132" t="s">
        <v>358</v>
      </c>
      <c r="BB2" s="132" t="s">
        <v>359</v>
      </c>
      <c r="BC2" s="132" t="s">
        <v>360</v>
      </c>
      <c r="BD2" s="132" t="s">
        <v>361</v>
      </c>
      <c r="BE2" s="132" t="s">
        <v>362</v>
      </c>
      <c r="BF2" s="132" t="s">
        <v>363</v>
      </c>
      <c r="BG2" s="132" t="s">
        <v>281</v>
      </c>
      <c r="BH2" s="132"/>
      <c r="BI2" s="132"/>
      <c r="BJ2" s="132"/>
      <c r="BK2" s="132"/>
      <c r="BL2" s="132"/>
      <c r="BM2" s="132"/>
      <c r="BN2" s="132"/>
    </row>
    <row r="3" spans="1:66">
      <c r="A3" s="131">
        <v>10005</v>
      </c>
      <c r="B3" s="131" t="s">
        <v>7</v>
      </c>
      <c r="C3" s="131">
        <v>1</v>
      </c>
      <c r="D3" s="131">
        <v>0</v>
      </c>
      <c r="E3" s="134">
        <v>0.55600000000000005</v>
      </c>
      <c r="F3" s="134">
        <v>0.61099999999999999</v>
      </c>
      <c r="G3" s="134">
        <v>0.61599999999999999</v>
      </c>
      <c r="H3" s="134">
        <v>0</v>
      </c>
      <c r="I3" s="134">
        <v>0</v>
      </c>
      <c r="J3" s="134">
        <v>0</v>
      </c>
      <c r="K3" s="134">
        <v>0</v>
      </c>
      <c r="L3" s="133">
        <v>0</v>
      </c>
      <c r="M3" s="133">
        <v>0</v>
      </c>
      <c r="N3" s="134">
        <v>0.54400000000000004</v>
      </c>
      <c r="O3" s="134">
        <v>0.54500000000000004</v>
      </c>
      <c r="P3" s="133">
        <v>4778</v>
      </c>
      <c r="Q3" s="133">
        <v>4774</v>
      </c>
      <c r="R3" s="131">
        <v>0.54500000000000004</v>
      </c>
      <c r="S3" s="133">
        <v>4787</v>
      </c>
      <c r="T3" s="133">
        <v>4774</v>
      </c>
      <c r="U3" s="134">
        <v>0</v>
      </c>
      <c r="V3" s="134">
        <v>0</v>
      </c>
      <c r="W3" s="134">
        <v>0</v>
      </c>
      <c r="X3" s="134">
        <v>0</v>
      </c>
      <c r="Y3" s="134">
        <v>0</v>
      </c>
      <c r="Z3" s="134">
        <v>0</v>
      </c>
      <c r="AA3" s="131">
        <v>0</v>
      </c>
      <c r="AB3" s="131">
        <v>0</v>
      </c>
      <c r="AC3" s="134">
        <v>0</v>
      </c>
      <c r="AD3" s="134">
        <v>0</v>
      </c>
      <c r="AE3" s="135">
        <v>7.7399999999999998E-5</v>
      </c>
      <c r="AF3" s="135">
        <v>7.7600000000000002E-5</v>
      </c>
      <c r="AG3" s="135">
        <v>0</v>
      </c>
      <c r="AH3" s="135">
        <v>7.7399999999999998E-5</v>
      </c>
      <c r="AI3" s="135">
        <v>7.7600000000000002E-5</v>
      </c>
      <c r="AJ3" s="135">
        <v>7.75E-5</v>
      </c>
      <c r="AK3" s="135">
        <v>0.99944339999999998</v>
      </c>
      <c r="AL3" s="135">
        <v>1</v>
      </c>
      <c r="AM3" s="135">
        <v>1</v>
      </c>
      <c r="AN3" s="135">
        <v>1</v>
      </c>
      <c r="AO3" s="135">
        <v>3.5000000000000003E-2</v>
      </c>
      <c r="AP3" s="135">
        <v>3.5000000000000003E-2</v>
      </c>
      <c r="AQ3" s="131">
        <v>1</v>
      </c>
      <c r="AR3" s="131">
        <v>1</v>
      </c>
      <c r="AS3" s="134">
        <v>0</v>
      </c>
      <c r="AT3" s="134">
        <v>0</v>
      </c>
      <c r="AU3" s="134">
        <v>0</v>
      </c>
      <c r="AV3" s="134">
        <v>0</v>
      </c>
      <c r="AW3" s="134">
        <v>0</v>
      </c>
      <c r="AX3" s="134">
        <v>0</v>
      </c>
      <c r="AY3" s="134">
        <v>0</v>
      </c>
      <c r="AZ3" s="134">
        <v>0</v>
      </c>
      <c r="BA3" s="134">
        <v>0</v>
      </c>
      <c r="BB3" s="134">
        <v>0</v>
      </c>
      <c r="BC3" s="134">
        <v>0</v>
      </c>
      <c r="BD3" s="134">
        <v>0</v>
      </c>
      <c r="BE3" s="134">
        <v>0.54400000000000004</v>
      </c>
      <c r="BF3" s="134">
        <v>0.54500000000000004</v>
      </c>
      <c r="BG3" s="131">
        <v>0</v>
      </c>
      <c r="BH3" s="131"/>
      <c r="BI3" s="131"/>
      <c r="BJ3" s="131"/>
      <c r="BK3" s="131"/>
      <c r="BL3" s="131"/>
      <c r="BM3" s="131"/>
      <c r="BN3" s="131"/>
    </row>
    <row r="4" spans="1:66">
      <c r="A4" s="131">
        <v>10015</v>
      </c>
      <c r="B4" s="131" t="s">
        <v>8</v>
      </c>
      <c r="C4" s="131">
        <v>1</v>
      </c>
      <c r="D4" s="131">
        <v>0</v>
      </c>
      <c r="E4" s="134">
        <v>0.58199999999999996</v>
      </c>
      <c r="F4" s="134">
        <v>0.62</v>
      </c>
      <c r="G4" s="134">
        <v>0.626</v>
      </c>
      <c r="H4" s="134">
        <v>0</v>
      </c>
      <c r="I4" s="134">
        <v>0</v>
      </c>
      <c r="J4" s="134">
        <v>0</v>
      </c>
      <c r="K4" s="134">
        <v>0</v>
      </c>
      <c r="L4" s="133">
        <v>0</v>
      </c>
      <c r="M4" s="133">
        <v>0</v>
      </c>
      <c r="N4" s="134">
        <v>0.66700000000000004</v>
      </c>
      <c r="O4" s="134">
        <v>0.67</v>
      </c>
      <c r="P4" s="133">
        <v>5859</v>
      </c>
      <c r="Q4" s="133">
        <v>5869</v>
      </c>
      <c r="R4" s="131">
        <v>0.56999999999999995</v>
      </c>
      <c r="S4" s="133">
        <v>5007</v>
      </c>
      <c r="T4" s="133">
        <v>4993</v>
      </c>
      <c r="U4" s="134">
        <v>9.7000000000000003E-2</v>
      </c>
      <c r="V4" s="134">
        <v>0.1</v>
      </c>
      <c r="W4" s="134">
        <v>0</v>
      </c>
      <c r="X4" s="134">
        <v>0</v>
      </c>
      <c r="Y4" s="134">
        <v>9.7000000000000003E-2</v>
      </c>
      <c r="Z4" s="134">
        <v>0.1</v>
      </c>
      <c r="AA4" s="131">
        <v>0</v>
      </c>
      <c r="AB4" s="131">
        <v>0</v>
      </c>
      <c r="AC4" s="134">
        <v>0</v>
      </c>
      <c r="AD4" s="134">
        <v>0</v>
      </c>
      <c r="AE4" s="135">
        <v>8.1100000000000006E-5</v>
      </c>
      <c r="AF4" s="135">
        <v>8.1100000000000006E-5</v>
      </c>
      <c r="AG4" s="135">
        <v>0</v>
      </c>
      <c r="AH4" s="135">
        <v>8.1100000000000006E-5</v>
      </c>
      <c r="AI4" s="135">
        <v>8.1100000000000006E-5</v>
      </c>
      <c r="AJ4" s="135">
        <v>8.1100000000000006E-5</v>
      </c>
      <c r="AK4" s="135">
        <v>0.8541048</v>
      </c>
      <c r="AL4" s="135">
        <v>0.85028049999999999</v>
      </c>
      <c r="AM4" s="135">
        <v>1.1701754</v>
      </c>
      <c r="AN4" s="135">
        <v>1.1754385999999999</v>
      </c>
      <c r="AO4" s="135">
        <v>0</v>
      </c>
      <c r="AP4" s="135">
        <v>0</v>
      </c>
      <c r="AQ4" s="131">
        <v>1</v>
      </c>
      <c r="AR4" s="131">
        <v>1</v>
      </c>
      <c r="AS4" s="134">
        <v>0</v>
      </c>
      <c r="AT4" s="134">
        <v>0</v>
      </c>
      <c r="AU4" s="134">
        <v>0</v>
      </c>
      <c r="AV4" s="134">
        <v>0</v>
      </c>
      <c r="AW4" s="134">
        <v>0</v>
      </c>
      <c r="AX4" s="134">
        <v>0</v>
      </c>
      <c r="AY4" s="134">
        <v>0</v>
      </c>
      <c r="AZ4" s="134">
        <v>0</v>
      </c>
      <c r="BA4" s="134">
        <v>0</v>
      </c>
      <c r="BB4" s="134">
        <v>0</v>
      </c>
      <c r="BC4" s="134">
        <v>0</v>
      </c>
      <c r="BD4" s="134">
        <v>0</v>
      </c>
      <c r="BE4" s="134">
        <v>0.66700000000000004</v>
      </c>
      <c r="BF4" s="134">
        <v>0.67</v>
      </c>
      <c r="BG4" s="131">
        <v>0</v>
      </c>
      <c r="BH4" s="131"/>
      <c r="BI4" s="131"/>
      <c r="BJ4" s="131"/>
      <c r="BK4" s="131"/>
      <c r="BL4" s="131"/>
      <c r="BM4" s="131"/>
      <c r="BN4" s="131"/>
    </row>
    <row r="5" spans="1:66">
      <c r="A5" s="131">
        <v>10024</v>
      </c>
      <c r="B5" s="131" t="s">
        <v>9</v>
      </c>
      <c r="C5" s="131">
        <v>1</v>
      </c>
      <c r="D5" s="131">
        <v>0</v>
      </c>
      <c r="E5" s="134">
        <v>204.28200000000001</v>
      </c>
      <c r="F5" s="134">
        <v>205.64</v>
      </c>
      <c r="G5" s="134">
        <v>206.59</v>
      </c>
      <c r="H5" s="134">
        <v>0</v>
      </c>
      <c r="I5" s="134">
        <v>0</v>
      </c>
      <c r="J5" s="134">
        <v>0.91800000000000004</v>
      </c>
      <c r="K5" s="134">
        <v>0.91900000000000004</v>
      </c>
      <c r="L5" s="133">
        <v>8064</v>
      </c>
      <c r="M5" s="133">
        <v>8050</v>
      </c>
      <c r="N5" s="134">
        <v>204.72200000000001</v>
      </c>
      <c r="O5" s="134">
        <v>205.67099999999999</v>
      </c>
      <c r="P5" s="133">
        <v>1798278</v>
      </c>
      <c r="Q5" s="133">
        <v>1801678</v>
      </c>
      <c r="R5" s="131">
        <v>200.214</v>
      </c>
      <c r="S5" s="133">
        <v>1758680</v>
      </c>
      <c r="T5" s="133">
        <v>1753875</v>
      </c>
      <c r="U5" s="134">
        <v>5.4550000000000001</v>
      </c>
      <c r="V5" s="134">
        <v>6.306</v>
      </c>
      <c r="W5" s="134">
        <v>5.4550000000000001</v>
      </c>
      <c r="X5" s="134">
        <v>6.306</v>
      </c>
      <c r="Y5" s="134">
        <v>0</v>
      </c>
      <c r="Z5" s="134">
        <v>0</v>
      </c>
      <c r="AA5" s="131">
        <v>0</v>
      </c>
      <c r="AB5" s="131">
        <v>0</v>
      </c>
      <c r="AC5" s="134">
        <v>5.4550000000000001</v>
      </c>
      <c r="AD5" s="134">
        <v>6.306</v>
      </c>
      <c r="AE5" s="135">
        <v>2.8502199999999998E-2</v>
      </c>
      <c r="AF5" s="135">
        <v>2.8502199999999998E-2</v>
      </c>
      <c r="AG5" s="135">
        <v>1.3679200000000001E-2</v>
      </c>
      <c r="AH5" s="135">
        <v>1.4822999999999999E-2</v>
      </c>
      <c r="AI5" s="135">
        <v>1.4822999999999999E-2</v>
      </c>
      <c r="AJ5" s="135">
        <v>1.4822999999999999E-2</v>
      </c>
      <c r="AK5" s="135">
        <v>0.97359490000000004</v>
      </c>
      <c r="AL5" s="135">
        <v>0.96960089999999999</v>
      </c>
      <c r="AM5" s="135">
        <v>1.0225158999999999</v>
      </c>
      <c r="AN5" s="135">
        <v>1.0272558000000001</v>
      </c>
      <c r="AO5" s="135">
        <v>0</v>
      </c>
      <c r="AP5" s="135">
        <v>0</v>
      </c>
      <c r="AQ5" s="131">
        <v>4</v>
      </c>
      <c r="AR5" s="131">
        <v>4</v>
      </c>
      <c r="AS5" s="134">
        <v>0</v>
      </c>
      <c r="AT5" s="134">
        <v>0</v>
      </c>
      <c r="AU5" s="134">
        <v>0</v>
      </c>
      <c r="AV5" s="134">
        <v>0</v>
      </c>
      <c r="AW5" s="134">
        <v>0</v>
      </c>
      <c r="AX5" s="134">
        <v>0</v>
      </c>
      <c r="AY5" s="134">
        <v>0</v>
      </c>
      <c r="AZ5" s="134">
        <v>0</v>
      </c>
      <c r="BA5" s="134">
        <v>0</v>
      </c>
      <c r="BB5" s="134">
        <v>0</v>
      </c>
      <c r="BC5" s="134">
        <v>0</v>
      </c>
      <c r="BD5" s="134">
        <v>0</v>
      </c>
      <c r="BE5" s="134">
        <v>200.214</v>
      </c>
      <c r="BF5" s="134">
        <v>200.214</v>
      </c>
      <c r="BG5" s="131">
        <v>0</v>
      </c>
      <c r="BH5" s="131"/>
      <c r="BI5" s="131"/>
      <c r="BJ5" s="131"/>
      <c r="BK5" s="131"/>
      <c r="BL5" s="131"/>
      <c r="BM5" s="131"/>
      <c r="BN5" s="131"/>
    </row>
    <row r="6" spans="1:66">
      <c r="A6" s="131">
        <v>10025</v>
      </c>
      <c r="B6" s="131" t="s">
        <v>10</v>
      </c>
      <c r="C6" s="131">
        <v>1</v>
      </c>
      <c r="D6" s="131">
        <v>0</v>
      </c>
      <c r="E6" s="134">
        <v>60.548999999999999</v>
      </c>
      <c r="F6" s="134">
        <v>68.400999999999996</v>
      </c>
      <c r="G6" s="134">
        <v>69.936000000000007</v>
      </c>
      <c r="H6" s="134">
        <v>0</v>
      </c>
      <c r="I6" s="134">
        <v>0</v>
      </c>
      <c r="J6" s="134">
        <v>0</v>
      </c>
      <c r="K6" s="134">
        <v>0</v>
      </c>
      <c r="L6" s="133">
        <v>0</v>
      </c>
      <c r="M6" s="133">
        <v>0</v>
      </c>
      <c r="N6" s="134">
        <v>66.507999999999996</v>
      </c>
      <c r="O6" s="134">
        <v>67.372</v>
      </c>
      <c r="P6" s="133">
        <v>584206</v>
      </c>
      <c r="Q6" s="133">
        <v>590179</v>
      </c>
      <c r="R6" s="131">
        <v>59.343000000000004</v>
      </c>
      <c r="S6" s="133">
        <v>521269</v>
      </c>
      <c r="T6" s="133">
        <v>519845</v>
      </c>
      <c r="U6" s="134">
        <v>7.165</v>
      </c>
      <c r="V6" s="134">
        <v>8.0289999999999999</v>
      </c>
      <c r="W6" s="134">
        <v>7.165</v>
      </c>
      <c r="X6" s="134">
        <v>8.0289999999999999</v>
      </c>
      <c r="Y6" s="134">
        <v>0</v>
      </c>
      <c r="Z6" s="134">
        <v>0</v>
      </c>
      <c r="AA6" s="131">
        <v>0</v>
      </c>
      <c r="AB6" s="131">
        <v>0</v>
      </c>
      <c r="AC6" s="134">
        <v>7.165</v>
      </c>
      <c r="AD6" s="134">
        <v>8.0289999999999999</v>
      </c>
      <c r="AE6" s="135">
        <v>8.4480000000000006E-3</v>
      </c>
      <c r="AF6" s="135">
        <v>8.4480000000000006E-3</v>
      </c>
      <c r="AG6" s="135">
        <v>0</v>
      </c>
      <c r="AH6" s="135">
        <v>8.4480000000000006E-3</v>
      </c>
      <c r="AI6" s="135">
        <v>8.4480000000000006E-3</v>
      </c>
      <c r="AJ6" s="135">
        <v>8.4480000000000006E-3</v>
      </c>
      <c r="AK6" s="135">
        <v>0.8922698</v>
      </c>
      <c r="AL6" s="135">
        <v>0.88082700000000003</v>
      </c>
      <c r="AM6" s="135">
        <v>1.1207388</v>
      </c>
      <c r="AN6" s="135">
        <v>1.1352982</v>
      </c>
      <c r="AO6" s="135">
        <v>6.7244300000000007E-2</v>
      </c>
      <c r="AP6" s="135">
        <v>6.8117899999999995E-2</v>
      </c>
      <c r="AQ6" s="131">
        <v>1</v>
      </c>
      <c r="AR6" s="131">
        <v>1</v>
      </c>
      <c r="AS6" s="134">
        <v>0</v>
      </c>
      <c r="AT6" s="134">
        <v>0</v>
      </c>
      <c r="AU6" s="134">
        <v>7.165</v>
      </c>
      <c r="AV6" s="134">
        <v>8.0289999999999999</v>
      </c>
      <c r="AW6" s="134">
        <v>0</v>
      </c>
      <c r="AX6" s="134">
        <v>0</v>
      </c>
      <c r="AY6" s="134">
        <v>0</v>
      </c>
      <c r="AZ6" s="134">
        <v>0</v>
      </c>
      <c r="BA6" s="134">
        <v>0</v>
      </c>
      <c r="BB6" s="134">
        <v>0</v>
      </c>
      <c r="BC6" s="134">
        <v>0</v>
      </c>
      <c r="BD6" s="134">
        <v>0</v>
      </c>
      <c r="BE6" s="134">
        <v>66.507999999999996</v>
      </c>
      <c r="BF6" s="134">
        <v>67.372</v>
      </c>
      <c r="BG6" s="131">
        <v>0</v>
      </c>
      <c r="BH6" s="131"/>
      <c r="BI6" s="131"/>
      <c r="BJ6" s="131"/>
      <c r="BK6" s="131"/>
      <c r="BL6" s="131"/>
      <c r="BM6" s="131"/>
      <c r="BN6" s="131"/>
    </row>
    <row r="7" spans="1:66">
      <c r="A7" s="138">
        <v>10027</v>
      </c>
      <c r="B7" s="138" t="s">
        <v>11</v>
      </c>
      <c r="C7" s="138">
        <v>1</v>
      </c>
      <c r="D7" s="138">
        <v>0</v>
      </c>
      <c r="E7" s="134">
        <v>62.106999999999999</v>
      </c>
      <c r="F7" s="142">
        <v>65.198999999999998</v>
      </c>
      <c r="G7" s="142">
        <v>65.771000000000001</v>
      </c>
      <c r="H7" s="142">
        <v>0</v>
      </c>
      <c r="I7" s="142">
        <v>0</v>
      </c>
      <c r="J7" s="142">
        <v>0</v>
      </c>
      <c r="K7" s="142">
        <v>0</v>
      </c>
      <c r="L7" s="140">
        <v>0</v>
      </c>
      <c r="M7" s="140">
        <v>0</v>
      </c>
      <c r="N7" s="142">
        <v>65.198999999999998</v>
      </c>
      <c r="O7" s="142">
        <v>65.771000000000001</v>
      </c>
      <c r="P7" s="140">
        <v>572708</v>
      </c>
      <c r="Q7" s="140">
        <v>576154</v>
      </c>
      <c r="R7" s="138">
        <v>60.87</v>
      </c>
      <c r="S7" s="140">
        <v>534682</v>
      </c>
      <c r="T7" s="140">
        <v>533221</v>
      </c>
      <c r="U7" s="142">
        <v>4.3289999999999997</v>
      </c>
      <c r="V7" s="142">
        <v>4.9009999999999998</v>
      </c>
      <c r="W7" s="134">
        <v>4.3289999999999997</v>
      </c>
      <c r="X7" s="134">
        <v>4.9009999999999998</v>
      </c>
      <c r="Y7" s="142">
        <v>0</v>
      </c>
      <c r="Z7" s="142">
        <v>0</v>
      </c>
      <c r="AA7" s="138">
        <v>0</v>
      </c>
      <c r="AB7" s="138">
        <v>0</v>
      </c>
      <c r="AC7" s="142">
        <v>4.3289999999999997</v>
      </c>
      <c r="AD7" s="142">
        <v>4.9009999999999998</v>
      </c>
      <c r="AE7" s="143">
        <v>8.6654000000000002E-3</v>
      </c>
      <c r="AF7" s="143">
        <v>8.6654000000000002E-3</v>
      </c>
      <c r="AG7" s="135">
        <v>0</v>
      </c>
      <c r="AH7" s="143">
        <v>8.6654000000000002E-3</v>
      </c>
      <c r="AI7" s="143">
        <v>8.6654000000000002E-3</v>
      </c>
      <c r="AJ7" s="143">
        <v>8.6654000000000002E-3</v>
      </c>
      <c r="AK7" s="143">
        <v>0.93360639999999995</v>
      </c>
      <c r="AL7" s="143">
        <v>0.92548699999999995</v>
      </c>
      <c r="AM7" s="143">
        <v>1.0711188</v>
      </c>
      <c r="AN7" s="143">
        <v>1.0805159</v>
      </c>
      <c r="AO7" s="143">
        <v>7.4978299999999998E-2</v>
      </c>
      <c r="AP7" s="143">
        <v>7.5636099999999998E-2</v>
      </c>
      <c r="AQ7" s="138">
        <v>3</v>
      </c>
      <c r="AR7" s="138">
        <v>3</v>
      </c>
      <c r="AS7" s="142">
        <v>24</v>
      </c>
      <c r="AT7" s="142">
        <v>25</v>
      </c>
      <c r="AU7" s="134">
        <v>0.32900000000000001</v>
      </c>
      <c r="AV7" s="134">
        <v>0.90100000000000002</v>
      </c>
      <c r="AW7" s="134">
        <v>0</v>
      </c>
      <c r="AX7" s="134">
        <v>0</v>
      </c>
      <c r="AY7" s="134">
        <v>0</v>
      </c>
      <c r="AZ7" s="134">
        <v>0</v>
      </c>
      <c r="BA7" s="134">
        <v>0</v>
      </c>
      <c r="BB7" s="134">
        <v>0</v>
      </c>
      <c r="BC7" s="134">
        <v>0</v>
      </c>
      <c r="BD7" s="134">
        <v>0</v>
      </c>
      <c r="BE7" s="142">
        <v>61.198999999999998</v>
      </c>
      <c r="BF7" s="142">
        <v>61.771000000000001</v>
      </c>
      <c r="BG7" s="131">
        <v>1</v>
      </c>
      <c r="BH7" s="138"/>
      <c r="BI7" s="138"/>
      <c r="BJ7" s="138"/>
      <c r="BK7" s="138"/>
      <c r="BL7" s="138"/>
      <c r="BM7" s="131"/>
      <c r="BN7" s="131"/>
    </row>
    <row r="8" spans="1:66">
      <c r="A8" s="131">
        <v>10029</v>
      </c>
      <c r="B8" s="131" t="s">
        <v>12</v>
      </c>
      <c r="C8" s="131">
        <v>0</v>
      </c>
      <c r="D8" s="131">
        <v>1</v>
      </c>
      <c r="E8" s="134">
        <v>17.879000000000001</v>
      </c>
      <c r="F8" s="134">
        <v>21.452000000000002</v>
      </c>
      <c r="G8" s="134">
        <v>21.47</v>
      </c>
      <c r="H8" s="134">
        <v>0</v>
      </c>
      <c r="I8" s="134">
        <v>0</v>
      </c>
      <c r="J8" s="134">
        <v>0</v>
      </c>
      <c r="K8" s="134">
        <v>0</v>
      </c>
      <c r="L8" s="133">
        <v>0</v>
      </c>
      <c r="M8" s="133">
        <v>0</v>
      </c>
      <c r="N8" s="134">
        <v>21.166</v>
      </c>
      <c r="O8" s="134">
        <v>21.178000000000001</v>
      </c>
      <c r="P8" s="133">
        <v>185922</v>
      </c>
      <c r="Q8" s="133">
        <v>185519</v>
      </c>
      <c r="R8" s="131">
        <v>17.523</v>
      </c>
      <c r="S8" s="133">
        <v>153922</v>
      </c>
      <c r="T8" s="133">
        <v>153501</v>
      </c>
      <c r="U8" s="134">
        <v>3.6429999999999998</v>
      </c>
      <c r="V8" s="134">
        <v>3.6549999999999998</v>
      </c>
      <c r="W8" s="134">
        <v>3.6429999999999998</v>
      </c>
      <c r="X8" s="134">
        <v>3.6549999999999998</v>
      </c>
      <c r="Y8" s="134">
        <v>0</v>
      </c>
      <c r="Z8" s="134">
        <v>0</v>
      </c>
      <c r="AA8" s="131">
        <v>0</v>
      </c>
      <c r="AB8" s="131">
        <v>0</v>
      </c>
      <c r="AC8" s="134">
        <v>3.6429999999999998</v>
      </c>
      <c r="AD8" s="134">
        <v>3.6549999999999998</v>
      </c>
      <c r="AE8" s="135">
        <v>2.4945000000000002E-3</v>
      </c>
      <c r="AF8" s="135">
        <v>2.4945000000000002E-3</v>
      </c>
      <c r="AG8" s="135">
        <v>0</v>
      </c>
      <c r="AH8" s="135">
        <v>2.4945000000000002E-3</v>
      </c>
      <c r="AI8" s="135">
        <v>2.4945000000000002E-3</v>
      </c>
      <c r="AJ8" s="135">
        <v>2.4945000000000002E-3</v>
      </c>
      <c r="AK8" s="135">
        <v>0.82786760000000004</v>
      </c>
      <c r="AL8" s="135">
        <v>0.82739850000000004</v>
      </c>
      <c r="AM8" s="135">
        <v>1.2078982</v>
      </c>
      <c r="AN8" s="135">
        <v>1.208583</v>
      </c>
      <c r="AO8" s="135">
        <v>7.2473899999999994E-2</v>
      </c>
      <c r="AP8" s="135">
        <v>7.2514999999999996E-2</v>
      </c>
      <c r="AQ8" s="131">
        <v>6</v>
      </c>
      <c r="AR8" s="131">
        <v>6</v>
      </c>
      <c r="AS8" s="134">
        <v>0</v>
      </c>
      <c r="AT8" s="134">
        <v>0</v>
      </c>
      <c r="AU8" s="134">
        <v>0</v>
      </c>
      <c r="AV8" s="134">
        <v>0</v>
      </c>
      <c r="AW8" s="134">
        <v>0</v>
      </c>
      <c r="AX8" s="134">
        <v>0</v>
      </c>
      <c r="AY8" s="134">
        <v>0</v>
      </c>
      <c r="AZ8" s="134">
        <v>0</v>
      </c>
      <c r="BA8" s="134">
        <v>0</v>
      </c>
      <c r="BB8" s="134">
        <v>0</v>
      </c>
      <c r="BC8" s="134">
        <v>0</v>
      </c>
      <c r="BD8" s="134">
        <v>0</v>
      </c>
      <c r="BE8" s="134">
        <v>17.523</v>
      </c>
      <c r="BF8" s="134">
        <v>17.523</v>
      </c>
      <c r="BG8" s="131">
        <v>0</v>
      </c>
      <c r="BH8" s="131"/>
      <c r="BI8" s="131"/>
      <c r="BJ8" s="131"/>
      <c r="BK8" s="131"/>
      <c r="BL8" s="131"/>
      <c r="BM8" s="131"/>
      <c r="BN8" s="131"/>
    </row>
    <row r="9" spans="1:66">
      <c r="A9" s="131">
        <v>10044</v>
      </c>
      <c r="B9" s="131" t="s">
        <v>13</v>
      </c>
      <c r="C9" s="131">
        <v>1</v>
      </c>
      <c r="D9" s="131">
        <v>0</v>
      </c>
      <c r="E9" s="134">
        <v>20.611999999999998</v>
      </c>
      <c r="F9" s="134">
        <v>20.716000000000001</v>
      </c>
      <c r="G9" s="134">
        <v>20.834</v>
      </c>
      <c r="H9" s="134">
        <v>0</v>
      </c>
      <c r="I9" s="134">
        <v>0</v>
      </c>
      <c r="J9" s="134">
        <v>0</v>
      </c>
      <c r="K9" s="134">
        <v>0</v>
      </c>
      <c r="L9" s="133">
        <v>0</v>
      </c>
      <c r="M9" s="133">
        <v>0</v>
      </c>
      <c r="N9" s="134">
        <v>20.77</v>
      </c>
      <c r="O9" s="134">
        <v>20.893000000000001</v>
      </c>
      <c r="P9" s="133">
        <v>182444</v>
      </c>
      <c r="Q9" s="133">
        <v>183023</v>
      </c>
      <c r="R9" s="131">
        <v>20.202000000000002</v>
      </c>
      <c r="S9" s="133">
        <v>177454</v>
      </c>
      <c r="T9" s="133">
        <v>176970</v>
      </c>
      <c r="U9" s="134">
        <v>0.56799999999999995</v>
      </c>
      <c r="V9" s="134">
        <v>0.69099999999999995</v>
      </c>
      <c r="W9" s="134">
        <v>0</v>
      </c>
      <c r="X9" s="134">
        <v>0</v>
      </c>
      <c r="Y9" s="134">
        <v>0.56799999999999995</v>
      </c>
      <c r="Z9" s="134">
        <v>0.69099999999999995</v>
      </c>
      <c r="AA9" s="131">
        <v>0</v>
      </c>
      <c r="AB9" s="131">
        <v>0</v>
      </c>
      <c r="AC9" s="134">
        <v>0</v>
      </c>
      <c r="AD9" s="134">
        <v>0</v>
      </c>
      <c r="AE9" s="135">
        <v>2.8758999999999998E-3</v>
      </c>
      <c r="AF9" s="135">
        <v>2.8758999999999998E-3</v>
      </c>
      <c r="AG9" s="135">
        <v>0</v>
      </c>
      <c r="AH9" s="135">
        <v>2.8758999999999998E-3</v>
      </c>
      <c r="AI9" s="135">
        <v>2.8758999999999998E-3</v>
      </c>
      <c r="AJ9" s="135">
        <v>2.8758999999999998E-3</v>
      </c>
      <c r="AK9" s="135">
        <v>0.97264289999999998</v>
      </c>
      <c r="AL9" s="135">
        <v>0.96691689999999997</v>
      </c>
      <c r="AM9" s="135">
        <v>1.028116</v>
      </c>
      <c r="AN9" s="135">
        <v>1.0342045</v>
      </c>
      <c r="AO9" s="135">
        <v>0</v>
      </c>
      <c r="AP9" s="135">
        <v>0</v>
      </c>
      <c r="AQ9" s="131">
        <v>1</v>
      </c>
      <c r="AR9" s="131">
        <v>1</v>
      </c>
      <c r="AS9" s="134">
        <v>0</v>
      </c>
      <c r="AT9" s="134">
        <v>0</v>
      </c>
      <c r="AU9" s="134">
        <v>0</v>
      </c>
      <c r="AV9" s="134">
        <v>0</v>
      </c>
      <c r="AW9" s="134">
        <v>0</v>
      </c>
      <c r="AX9" s="134">
        <v>0</v>
      </c>
      <c r="AY9" s="134">
        <v>0</v>
      </c>
      <c r="AZ9" s="134">
        <v>0</v>
      </c>
      <c r="BA9" s="134">
        <v>0</v>
      </c>
      <c r="BB9" s="134">
        <v>0</v>
      </c>
      <c r="BC9" s="134">
        <v>0</v>
      </c>
      <c r="BD9" s="134">
        <v>0</v>
      </c>
      <c r="BE9" s="134">
        <v>20.77</v>
      </c>
      <c r="BF9" s="134">
        <v>20.893000000000001</v>
      </c>
      <c r="BG9" s="131">
        <v>0</v>
      </c>
      <c r="BH9" s="131"/>
      <c r="BI9" s="131"/>
      <c r="BJ9" s="131"/>
      <c r="BK9" s="131"/>
      <c r="BL9" s="131"/>
      <c r="BM9" s="131"/>
      <c r="BN9" s="131"/>
    </row>
    <row r="10" spans="1:66">
      <c r="A10" s="131">
        <v>10046</v>
      </c>
      <c r="B10" s="131" t="s">
        <v>14</v>
      </c>
      <c r="C10" s="131">
        <v>0</v>
      </c>
      <c r="D10" s="131">
        <v>1</v>
      </c>
      <c r="E10" s="134">
        <v>83.072000000000003</v>
      </c>
      <c r="F10" s="134">
        <v>92.531000000000006</v>
      </c>
      <c r="G10" s="134">
        <v>94.241</v>
      </c>
      <c r="H10" s="134">
        <v>0</v>
      </c>
      <c r="I10" s="134">
        <v>0</v>
      </c>
      <c r="J10" s="134">
        <v>0</v>
      </c>
      <c r="K10" s="134">
        <v>0</v>
      </c>
      <c r="L10" s="133">
        <v>0</v>
      </c>
      <c r="M10" s="133">
        <v>0</v>
      </c>
      <c r="N10" s="134">
        <v>90.593999999999994</v>
      </c>
      <c r="O10" s="134">
        <v>92.031000000000006</v>
      </c>
      <c r="P10" s="133">
        <v>795778</v>
      </c>
      <c r="Q10" s="133">
        <v>806192</v>
      </c>
      <c r="R10" s="131">
        <v>81.418000000000006</v>
      </c>
      <c r="S10" s="133">
        <v>715176</v>
      </c>
      <c r="T10" s="133">
        <v>713222</v>
      </c>
      <c r="U10" s="134">
        <v>9.1760000000000002</v>
      </c>
      <c r="V10" s="134">
        <v>10.613</v>
      </c>
      <c r="W10" s="134">
        <v>9.1760000000000002</v>
      </c>
      <c r="X10" s="134">
        <v>10.613</v>
      </c>
      <c r="Y10" s="134">
        <v>0</v>
      </c>
      <c r="Z10" s="134">
        <v>0</v>
      </c>
      <c r="AA10" s="131">
        <v>0</v>
      </c>
      <c r="AB10" s="131">
        <v>0</v>
      </c>
      <c r="AC10" s="134">
        <v>9.1760000000000002</v>
      </c>
      <c r="AD10" s="134">
        <v>10.613</v>
      </c>
      <c r="AE10" s="135">
        <v>1.15906E-2</v>
      </c>
      <c r="AF10" s="135">
        <v>1.15906E-2</v>
      </c>
      <c r="AG10" s="135">
        <v>0</v>
      </c>
      <c r="AH10" s="135">
        <v>1.15906E-2</v>
      </c>
      <c r="AI10" s="135">
        <v>1.15906E-2</v>
      </c>
      <c r="AJ10" s="135">
        <v>1.15906E-2</v>
      </c>
      <c r="AK10" s="135">
        <v>0.89871630000000002</v>
      </c>
      <c r="AL10" s="135">
        <v>0.88468349999999996</v>
      </c>
      <c r="AM10" s="135">
        <v>1.1127024000000001</v>
      </c>
      <c r="AN10" s="135">
        <v>1.130352</v>
      </c>
      <c r="AO10" s="135">
        <v>7.2325700000000007E-2</v>
      </c>
      <c r="AP10" s="135">
        <v>7.3472899999999994E-2</v>
      </c>
      <c r="AQ10" s="131">
        <v>6</v>
      </c>
      <c r="AR10" s="131">
        <v>6</v>
      </c>
      <c r="AS10" s="134">
        <v>0</v>
      </c>
      <c r="AT10" s="134">
        <v>0</v>
      </c>
      <c r="AU10" s="134">
        <v>0</v>
      </c>
      <c r="AV10" s="134">
        <v>0</v>
      </c>
      <c r="AW10" s="134">
        <v>0</v>
      </c>
      <c r="AX10" s="134">
        <v>0</v>
      </c>
      <c r="AY10" s="134">
        <v>0</v>
      </c>
      <c r="AZ10" s="134">
        <v>0</v>
      </c>
      <c r="BA10" s="134">
        <v>0</v>
      </c>
      <c r="BB10" s="134">
        <v>0</v>
      </c>
      <c r="BC10" s="134">
        <v>0</v>
      </c>
      <c r="BD10" s="134">
        <v>0</v>
      </c>
      <c r="BE10" s="134">
        <v>81.418000000000006</v>
      </c>
      <c r="BF10" s="134">
        <v>81.418000000000006</v>
      </c>
      <c r="BG10" s="131">
        <v>0</v>
      </c>
      <c r="BH10" s="131"/>
      <c r="BI10" s="131"/>
      <c r="BJ10" s="131"/>
      <c r="BK10" s="131"/>
      <c r="BL10" s="131"/>
      <c r="BM10" s="131"/>
      <c r="BN10" s="131"/>
    </row>
    <row r="11" spans="1:66">
      <c r="A11" s="131">
        <v>10047</v>
      </c>
      <c r="B11" s="131" t="s">
        <v>15</v>
      </c>
      <c r="C11" s="131">
        <v>1</v>
      </c>
      <c r="D11" s="131">
        <v>0</v>
      </c>
      <c r="E11" s="134">
        <v>159.01</v>
      </c>
      <c r="F11" s="134">
        <v>152.65299999999999</v>
      </c>
      <c r="G11" s="134">
        <v>153.00299999999999</v>
      </c>
      <c r="H11" s="134">
        <v>0</v>
      </c>
      <c r="I11" s="134">
        <v>0</v>
      </c>
      <c r="J11" s="134">
        <v>0</v>
      </c>
      <c r="K11" s="134">
        <v>0</v>
      </c>
      <c r="L11" s="133">
        <v>0</v>
      </c>
      <c r="M11" s="133">
        <v>0</v>
      </c>
      <c r="N11" s="134">
        <v>154.20099999999999</v>
      </c>
      <c r="O11" s="134">
        <v>154.536</v>
      </c>
      <c r="P11" s="133">
        <v>1354502</v>
      </c>
      <c r="Q11" s="133">
        <v>1353735</v>
      </c>
      <c r="R11" s="131">
        <v>155.84299999999999</v>
      </c>
      <c r="S11" s="133">
        <v>1368925</v>
      </c>
      <c r="T11" s="133">
        <v>1365185</v>
      </c>
      <c r="U11" s="134">
        <v>0</v>
      </c>
      <c r="V11" s="134">
        <v>0</v>
      </c>
      <c r="W11" s="134">
        <v>0</v>
      </c>
      <c r="X11" s="134">
        <v>0</v>
      </c>
      <c r="Y11" s="134">
        <v>0</v>
      </c>
      <c r="Z11" s="134">
        <v>0</v>
      </c>
      <c r="AA11" s="131">
        <v>0</v>
      </c>
      <c r="AB11" s="131">
        <v>0</v>
      </c>
      <c r="AC11" s="134">
        <v>0</v>
      </c>
      <c r="AD11" s="134">
        <v>0</v>
      </c>
      <c r="AE11" s="135">
        <v>2.19518E-2</v>
      </c>
      <c r="AF11" s="135">
        <v>2.1999500000000002E-2</v>
      </c>
      <c r="AG11" s="135">
        <v>0</v>
      </c>
      <c r="AH11" s="135">
        <v>2.19518E-2</v>
      </c>
      <c r="AI11" s="135">
        <v>2.1999500000000002E-2</v>
      </c>
      <c r="AJ11" s="135">
        <v>2.1975700000000001E-2</v>
      </c>
      <c r="AK11" s="135">
        <v>0.9999979</v>
      </c>
      <c r="AL11" s="135">
        <v>0.99999839999999995</v>
      </c>
      <c r="AM11" s="135">
        <v>1</v>
      </c>
      <c r="AN11" s="135">
        <v>1</v>
      </c>
      <c r="AO11" s="135">
        <v>0</v>
      </c>
      <c r="AP11" s="135">
        <v>0</v>
      </c>
      <c r="AQ11" s="131">
        <v>3</v>
      </c>
      <c r="AR11" s="131">
        <v>3</v>
      </c>
      <c r="AS11" s="134">
        <v>9</v>
      </c>
      <c r="AT11" s="134">
        <v>9</v>
      </c>
      <c r="AU11" s="134">
        <v>0</v>
      </c>
      <c r="AV11" s="134">
        <v>0</v>
      </c>
      <c r="AW11" s="134">
        <v>0</v>
      </c>
      <c r="AX11" s="134">
        <v>0</v>
      </c>
      <c r="AY11" s="134">
        <v>0</v>
      </c>
      <c r="AZ11" s="134">
        <v>0</v>
      </c>
      <c r="BA11" s="134">
        <v>0</v>
      </c>
      <c r="BB11" s="134">
        <v>0</v>
      </c>
      <c r="BC11" s="134">
        <v>0</v>
      </c>
      <c r="BD11" s="134">
        <v>0</v>
      </c>
      <c r="BE11" s="134">
        <v>154.20099999999999</v>
      </c>
      <c r="BF11" s="134">
        <v>154.536</v>
      </c>
      <c r="BG11" s="131">
        <v>1</v>
      </c>
      <c r="BH11" s="131"/>
      <c r="BI11" s="131"/>
      <c r="BJ11" s="131"/>
      <c r="BK11" s="131"/>
      <c r="BL11" s="131"/>
      <c r="BM11" s="131"/>
      <c r="BN11" s="131"/>
    </row>
    <row r="12" spans="1:66">
      <c r="A12" s="131">
        <v>10055</v>
      </c>
      <c r="B12" s="131" t="s">
        <v>16</v>
      </c>
      <c r="C12" s="131">
        <v>1</v>
      </c>
      <c r="D12" s="131">
        <v>0</v>
      </c>
      <c r="E12" s="134">
        <v>0.40400000000000003</v>
      </c>
      <c r="F12" s="134">
        <v>0.38600000000000001</v>
      </c>
      <c r="G12" s="134">
        <v>0.38600000000000001</v>
      </c>
      <c r="H12" s="134">
        <v>0</v>
      </c>
      <c r="I12" s="134">
        <v>0</v>
      </c>
      <c r="J12" s="134">
        <v>0</v>
      </c>
      <c r="K12" s="134">
        <v>0</v>
      </c>
      <c r="L12" s="133">
        <v>0</v>
      </c>
      <c r="M12" s="133">
        <v>0</v>
      </c>
      <c r="N12" s="134">
        <v>0.38500000000000001</v>
      </c>
      <c r="O12" s="134">
        <v>0.38500000000000001</v>
      </c>
      <c r="P12" s="133">
        <v>3382</v>
      </c>
      <c r="Q12" s="133">
        <v>3373</v>
      </c>
      <c r="R12" s="131">
        <v>0.39600000000000002</v>
      </c>
      <c r="S12" s="133">
        <v>3478</v>
      </c>
      <c r="T12" s="133">
        <v>3469</v>
      </c>
      <c r="U12" s="134">
        <v>0</v>
      </c>
      <c r="V12" s="134">
        <v>0</v>
      </c>
      <c r="W12" s="134">
        <v>0</v>
      </c>
      <c r="X12" s="134">
        <v>0</v>
      </c>
      <c r="Y12" s="134">
        <v>0</v>
      </c>
      <c r="Z12" s="134">
        <v>0</v>
      </c>
      <c r="AA12" s="131">
        <v>0</v>
      </c>
      <c r="AB12" s="131">
        <v>0</v>
      </c>
      <c r="AC12" s="134">
        <v>0</v>
      </c>
      <c r="AD12" s="134">
        <v>0</v>
      </c>
      <c r="AE12" s="135">
        <v>5.4799999999999997E-5</v>
      </c>
      <c r="AF12" s="135">
        <v>5.4799999999999997E-5</v>
      </c>
      <c r="AG12" s="135">
        <v>0</v>
      </c>
      <c r="AH12" s="135">
        <v>5.4799999999999997E-5</v>
      </c>
      <c r="AI12" s="135">
        <v>5.4799999999999997E-5</v>
      </c>
      <c r="AJ12" s="135">
        <v>5.4799999999999997E-5</v>
      </c>
      <c r="AK12" s="135">
        <v>0.99985259999999998</v>
      </c>
      <c r="AL12" s="135">
        <v>0.99985259999999998</v>
      </c>
      <c r="AM12" s="135">
        <v>1</v>
      </c>
      <c r="AN12" s="135">
        <v>1</v>
      </c>
      <c r="AO12" s="135">
        <v>0</v>
      </c>
      <c r="AP12" s="135">
        <v>0</v>
      </c>
      <c r="AQ12" s="131">
        <v>1</v>
      </c>
      <c r="AR12" s="131">
        <v>1</v>
      </c>
      <c r="AS12" s="134">
        <v>0</v>
      </c>
      <c r="AT12" s="134">
        <v>0</v>
      </c>
      <c r="AU12" s="134">
        <v>0</v>
      </c>
      <c r="AV12" s="134">
        <v>0</v>
      </c>
      <c r="AW12" s="134">
        <v>0</v>
      </c>
      <c r="AX12" s="134">
        <v>0</v>
      </c>
      <c r="AY12" s="134">
        <v>0</v>
      </c>
      <c r="AZ12" s="134">
        <v>0</v>
      </c>
      <c r="BA12" s="134">
        <v>0</v>
      </c>
      <c r="BB12" s="134">
        <v>0</v>
      </c>
      <c r="BC12" s="134">
        <v>0</v>
      </c>
      <c r="BD12" s="134">
        <v>0</v>
      </c>
      <c r="BE12" s="134">
        <v>0.38500000000000001</v>
      </c>
      <c r="BF12" s="134">
        <v>0.38500000000000001</v>
      </c>
      <c r="BG12" s="131">
        <v>0</v>
      </c>
      <c r="BH12" s="131"/>
      <c r="BI12" s="131"/>
      <c r="BJ12" s="131"/>
      <c r="BK12" s="131"/>
      <c r="BL12" s="131"/>
      <c r="BM12" s="131"/>
      <c r="BN12" s="131"/>
    </row>
    <row r="13" spans="1:66">
      <c r="A13" s="131">
        <v>10057</v>
      </c>
      <c r="B13" s="131" t="s">
        <v>17</v>
      </c>
      <c r="C13" s="131">
        <v>1</v>
      </c>
      <c r="D13" s="131">
        <v>0</v>
      </c>
      <c r="E13" s="134">
        <v>21.382999999999999</v>
      </c>
      <c r="F13" s="134">
        <v>20.135000000000002</v>
      </c>
      <c r="G13" s="134">
        <v>20.131</v>
      </c>
      <c r="H13" s="134">
        <v>0</v>
      </c>
      <c r="I13" s="134">
        <v>0</v>
      </c>
      <c r="J13" s="134">
        <v>0.158</v>
      </c>
      <c r="K13" s="134">
        <v>0.158</v>
      </c>
      <c r="L13" s="133">
        <v>1388</v>
      </c>
      <c r="M13" s="133">
        <v>1384</v>
      </c>
      <c r="N13" s="134">
        <v>19.991</v>
      </c>
      <c r="O13" s="134">
        <v>19.984000000000002</v>
      </c>
      <c r="P13" s="133">
        <v>175601</v>
      </c>
      <c r="Q13" s="133">
        <v>175060</v>
      </c>
      <c r="R13" s="131">
        <v>20.957000000000001</v>
      </c>
      <c r="S13" s="133">
        <v>184086</v>
      </c>
      <c r="T13" s="133">
        <v>183583</v>
      </c>
      <c r="U13" s="134">
        <v>0</v>
      </c>
      <c r="V13" s="134">
        <v>0</v>
      </c>
      <c r="W13" s="134">
        <v>0</v>
      </c>
      <c r="X13" s="134">
        <v>0</v>
      </c>
      <c r="Y13" s="134">
        <v>0</v>
      </c>
      <c r="Z13" s="134">
        <v>0</v>
      </c>
      <c r="AA13" s="131">
        <v>0</v>
      </c>
      <c r="AB13" s="131">
        <v>0</v>
      </c>
      <c r="AC13" s="134">
        <v>0</v>
      </c>
      <c r="AD13" s="134">
        <v>0</v>
      </c>
      <c r="AE13" s="135">
        <v>2.8459000000000002E-3</v>
      </c>
      <c r="AF13" s="135">
        <v>2.8449E-3</v>
      </c>
      <c r="AG13" s="135">
        <v>0</v>
      </c>
      <c r="AH13" s="135">
        <v>2.8459000000000002E-3</v>
      </c>
      <c r="AI13" s="135">
        <v>2.8449E-3</v>
      </c>
      <c r="AJ13" s="135">
        <v>2.8454000000000001E-3</v>
      </c>
      <c r="AK13" s="135">
        <v>1</v>
      </c>
      <c r="AL13" s="135">
        <v>1</v>
      </c>
      <c r="AM13" s="135">
        <v>1</v>
      </c>
      <c r="AN13" s="135">
        <v>1</v>
      </c>
      <c r="AO13" s="135">
        <v>0</v>
      </c>
      <c r="AP13" s="135">
        <v>0</v>
      </c>
      <c r="AQ13" s="131">
        <v>1</v>
      </c>
      <c r="AR13" s="131">
        <v>1</v>
      </c>
      <c r="AS13" s="134">
        <v>0</v>
      </c>
      <c r="AT13" s="134">
        <v>0</v>
      </c>
      <c r="AU13" s="134">
        <v>0</v>
      </c>
      <c r="AV13" s="134">
        <v>0</v>
      </c>
      <c r="AW13" s="134">
        <v>0</v>
      </c>
      <c r="AX13" s="134">
        <v>0</v>
      </c>
      <c r="AY13" s="134">
        <v>0</v>
      </c>
      <c r="AZ13" s="134">
        <v>0</v>
      </c>
      <c r="BA13" s="134">
        <v>0</v>
      </c>
      <c r="BB13" s="134">
        <v>0</v>
      </c>
      <c r="BC13" s="134">
        <v>0</v>
      </c>
      <c r="BD13" s="134">
        <v>0</v>
      </c>
      <c r="BE13" s="134">
        <v>19.991</v>
      </c>
      <c r="BF13" s="134">
        <v>19.984000000000002</v>
      </c>
      <c r="BG13" s="131">
        <v>0</v>
      </c>
      <c r="BH13" s="131"/>
      <c r="BI13" s="131"/>
      <c r="BJ13" s="131"/>
      <c r="BK13" s="131"/>
      <c r="BL13" s="131"/>
      <c r="BM13" s="131"/>
      <c r="BN13" s="131"/>
    </row>
    <row r="14" spans="1:66">
      <c r="A14" s="131">
        <v>10059</v>
      </c>
      <c r="B14" s="131" t="s">
        <v>18</v>
      </c>
      <c r="C14" s="131">
        <v>1</v>
      </c>
      <c r="D14" s="131">
        <v>0</v>
      </c>
      <c r="E14" s="134">
        <v>7.7530000000000001</v>
      </c>
      <c r="F14" s="134">
        <v>7.6</v>
      </c>
      <c r="G14" s="134">
        <v>7.63</v>
      </c>
      <c r="H14" s="134">
        <v>0</v>
      </c>
      <c r="I14" s="134">
        <v>0</v>
      </c>
      <c r="J14" s="134">
        <v>0</v>
      </c>
      <c r="K14" s="134">
        <v>0</v>
      </c>
      <c r="L14" s="133">
        <v>0</v>
      </c>
      <c r="M14" s="133">
        <v>0</v>
      </c>
      <c r="N14" s="134">
        <v>7.4640000000000004</v>
      </c>
      <c r="O14" s="134">
        <v>7.4790000000000001</v>
      </c>
      <c r="P14" s="133">
        <v>65564</v>
      </c>
      <c r="Q14" s="133">
        <v>65516</v>
      </c>
      <c r="R14" s="131">
        <v>7.5990000000000002</v>
      </c>
      <c r="S14" s="133">
        <v>66750</v>
      </c>
      <c r="T14" s="133">
        <v>66567</v>
      </c>
      <c r="U14" s="134">
        <v>0</v>
      </c>
      <c r="V14" s="134">
        <v>0</v>
      </c>
      <c r="W14" s="134">
        <v>0</v>
      </c>
      <c r="X14" s="134">
        <v>0</v>
      </c>
      <c r="Y14" s="134">
        <v>0</v>
      </c>
      <c r="Z14" s="134">
        <v>0</v>
      </c>
      <c r="AA14" s="131">
        <v>0</v>
      </c>
      <c r="AB14" s="131">
        <v>0</v>
      </c>
      <c r="AC14" s="134">
        <v>0</v>
      </c>
      <c r="AD14" s="134">
        <v>0</v>
      </c>
      <c r="AE14" s="135">
        <v>1.0625999999999999E-3</v>
      </c>
      <c r="AF14" s="135">
        <v>1.0647E-3</v>
      </c>
      <c r="AG14" s="135">
        <v>0</v>
      </c>
      <c r="AH14" s="135">
        <v>1.0625999999999999E-3</v>
      </c>
      <c r="AI14" s="135">
        <v>1.0647E-3</v>
      </c>
      <c r="AJ14" s="135">
        <v>1.0637000000000001E-3</v>
      </c>
      <c r="AK14" s="135">
        <v>1</v>
      </c>
      <c r="AL14" s="135">
        <v>0.99999970000000005</v>
      </c>
      <c r="AM14" s="135">
        <v>1</v>
      </c>
      <c r="AN14" s="135">
        <v>1</v>
      </c>
      <c r="AO14" s="135">
        <v>0</v>
      </c>
      <c r="AP14" s="135">
        <v>0</v>
      </c>
      <c r="AQ14" s="131">
        <v>1</v>
      </c>
      <c r="AR14" s="131">
        <v>1</v>
      </c>
      <c r="AS14" s="134">
        <v>0</v>
      </c>
      <c r="AT14" s="134">
        <v>0</v>
      </c>
      <c r="AU14" s="134">
        <v>0</v>
      </c>
      <c r="AV14" s="134">
        <v>0</v>
      </c>
      <c r="AW14" s="134">
        <v>0</v>
      </c>
      <c r="AX14" s="134">
        <v>0</v>
      </c>
      <c r="AY14" s="134">
        <v>0</v>
      </c>
      <c r="AZ14" s="134">
        <v>0</v>
      </c>
      <c r="BA14" s="134">
        <v>0</v>
      </c>
      <c r="BB14" s="134">
        <v>0</v>
      </c>
      <c r="BC14" s="134">
        <v>0</v>
      </c>
      <c r="BD14" s="134">
        <v>0</v>
      </c>
      <c r="BE14" s="134">
        <v>7.4640000000000004</v>
      </c>
      <c r="BF14" s="134">
        <v>7.4790000000000001</v>
      </c>
      <c r="BG14" s="131">
        <v>0</v>
      </c>
      <c r="BH14" s="131"/>
      <c r="BI14" s="131"/>
      <c r="BJ14" s="131"/>
      <c r="BK14" s="131"/>
      <c r="BL14" s="131"/>
      <c r="BM14" s="131"/>
      <c r="BN14" s="131"/>
    </row>
    <row r="15" spans="1:66">
      <c r="A15" s="131">
        <v>10061</v>
      </c>
      <c r="B15" s="131" t="s">
        <v>19</v>
      </c>
      <c r="C15" s="131">
        <v>1</v>
      </c>
      <c r="D15" s="131">
        <v>0</v>
      </c>
      <c r="E15" s="134">
        <v>8.8770000000000007</v>
      </c>
      <c r="F15" s="134">
        <v>9.4529999999999994</v>
      </c>
      <c r="G15" s="134">
        <v>9.4550000000000001</v>
      </c>
      <c r="H15" s="134">
        <v>0</v>
      </c>
      <c r="I15" s="134">
        <v>0</v>
      </c>
      <c r="J15" s="134">
        <v>0</v>
      </c>
      <c r="K15" s="134">
        <v>0</v>
      </c>
      <c r="L15" s="133">
        <v>0</v>
      </c>
      <c r="M15" s="133">
        <v>0</v>
      </c>
      <c r="N15" s="134">
        <v>9.3539999999999992</v>
      </c>
      <c r="O15" s="134">
        <v>9.3559999999999999</v>
      </c>
      <c r="P15" s="133">
        <v>82166</v>
      </c>
      <c r="Q15" s="133">
        <v>81959</v>
      </c>
      <c r="R15" s="131">
        <v>8.6999999999999993</v>
      </c>
      <c r="S15" s="133">
        <v>76421</v>
      </c>
      <c r="T15" s="133">
        <v>76212</v>
      </c>
      <c r="U15" s="134">
        <v>0.65400000000000003</v>
      </c>
      <c r="V15" s="134">
        <v>0.65600000000000003</v>
      </c>
      <c r="W15" s="134">
        <v>0</v>
      </c>
      <c r="X15" s="134">
        <v>0</v>
      </c>
      <c r="Y15" s="134">
        <v>0.65400000000000003</v>
      </c>
      <c r="Z15" s="134">
        <v>0.65600000000000003</v>
      </c>
      <c r="AA15" s="131">
        <v>0</v>
      </c>
      <c r="AB15" s="131">
        <v>0</v>
      </c>
      <c r="AC15" s="134">
        <v>0</v>
      </c>
      <c r="AD15" s="134">
        <v>0</v>
      </c>
      <c r="AE15" s="135">
        <v>1.2385E-3</v>
      </c>
      <c r="AF15" s="135">
        <v>1.2385E-3</v>
      </c>
      <c r="AG15" s="135">
        <v>0</v>
      </c>
      <c r="AH15" s="135">
        <v>1.2385E-3</v>
      </c>
      <c r="AI15" s="135">
        <v>1.2385E-3</v>
      </c>
      <c r="AJ15" s="135">
        <v>1.2385E-3</v>
      </c>
      <c r="AK15" s="135">
        <v>0.93006820000000001</v>
      </c>
      <c r="AL15" s="135">
        <v>0.92986939999999996</v>
      </c>
      <c r="AM15" s="135">
        <v>1.0751724</v>
      </c>
      <c r="AN15" s="135">
        <v>1.0754022999999999</v>
      </c>
      <c r="AO15" s="135">
        <v>0</v>
      </c>
      <c r="AP15" s="135">
        <v>0</v>
      </c>
      <c r="AQ15" s="131">
        <v>1</v>
      </c>
      <c r="AR15" s="131">
        <v>1</v>
      </c>
      <c r="AS15" s="134">
        <v>0</v>
      </c>
      <c r="AT15" s="134">
        <v>0</v>
      </c>
      <c r="AU15" s="134">
        <v>0</v>
      </c>
      <c r="AV15" s="134">
        <v>0</v>
      </c>
      <c r="AW15" s="134">
        <v>0</v>
      </c>
      <c r="AX15" s="134">
        <v>0</v>
      </c>
      <c r="AY15" s="134">
        <v>0</v>
      </c>
      <c r="AZ15" s="134">
        <v>0</v>
      </c>
      <c r="BA15" s="134">
        <v>0</v>
      </c>
      <c r="BB15" s="134">
        <v>0</v>
      </c>
      <c r="BC15" s="134">
        <v>0</v>
      </c>
      <c r="BD15" s="134">
        <v>0</v>
      </c>
      <c r="BE15" s="134">
        <v>9.3539999999999992</v>
      </c>
      <c r="BF15" s="134">
        <v>9.3559999999999999</v>
      </c>
      <c r="BG15" s="131">
        <v>0</v>
      </c>
      <c r="BH15" s="131"/>
      <c r="BI15" s="131"/>
      <c r="BJ15" s="131"/>
      <c r="BK15" s="131"/>
      <c r="BL15" s="131"/>
      <c r="BM15" s="131"/>
      <c r="BN15" s="131"/>
    </row>
    <row r="16" spans="1:66">
      <c r="A16" s="131">
        <v>10062</v>
      </c>
      <c r="B16" s="131" t="s">
        <v>20</v>
      </c>
      <c r="C16" s="131">
        <v>1</v>
      </c>
      <c r="D16" s="131">
        <v>0</v>
      </c>
      <c r="E16" s="134">
        <v>5.399</v>
      </c>
      <c r="F16" s="134">
        <v>8.8930000000000007</v>
      </c>
      <c r="G16" s="134">
        <v>8.9849999999999994</v>
      </c>
      <c r="H16" s="134">
        <v>0</v>
      </c>
      <c r="I16" s="134">
        <v>0</v>
      </c>
      <c r="J16" s="134">
        <v>1.8779999999999999</v>
      </c>
      <c r="K16" s="134">
        <v>1.881</v>
      </c>
      <c r="L16" s="133">
        <v>16496</v>
      </c>
      <c r="M16" s="133">
        <v>16478</v>
      </c>
      <c r="N16" s="134">
        <v>6.883</v>
      </c>
      <c r="O16" s="134">
        <v>6.93</v>
      </c>
      <c r="P16" s="133">
        <v>60460</v>
      </c>
      <c r="Q16" s="133">
        <v>60707</v>
      </c>
      <c r="R16" s="131">
        <v>5.2910000000000004</v>
      </c>
      <c r="S16" s="133">
        <v>46476</v>
      </c>
      <c r="T16" s="133">
        <v>46349</v>
      </c>
      <c r="U16" s="134">
        <v>1.5920000000000001</v>
      </c>
      <c r="V16" s="134">
        <v>1.639</v>
      </c>
      <c r="W16" s="134">
        <v>1.5920000000000001</v>
      </c>
      <c r="X16" s="134">
        <v>1.639</v>
      </c>
      <c r="Y16" s="134">
        <v>0</v>
      </c>
      <c r="Z16" s="134">
        <v>0</v>
      </c>
      <c r="AA16" s="131">
        <v>0</v>
      </c>
      <c r="AB16" s="131">
        <v>0</v>
      </c>
      <c r="AC16" s="134">
        <v>1.5920000000000001</v>
      </c>
      <c r="AD16" s="134">
        <v>1.639</v>
      </c>
      <c r="AE16" s="135">
        <v>7.5319999999999998E-4</v>
      </c>
      <c r="AF16" s="135">
        <v>7.5319999999999998E-4</v>
      </c>
      <c r="AG16" s="135">
        <v>0</v>
      </c>
      <c r="AH16" s="135">
        <v>7.5319999999999998E-4</v>
      </c>
      <c r="AI16" s="135">
        <v>7.5319999999999998E-4</v>
      </c>
      <c r="AJ16" s="135">
        <v>7.5319999999999998E-4</v>
      </c>
      <c r="AK16" s="135">
        <v>0.81826989999999999</v>
      </c>
      <c r="AL16" s="135">
        <v>0.81396690000000005</v>
      </c>
      <c r="AM16" s="135">
        <v>1.3008883</v>
      </c>
      <c r="AN16" s="135">
        <v>1.3097713</v>
      </c>
      <c r="AO16" s="135">
        <v>0</v>
      </c>
      <c r="AP16" s="135">
        <v>0</v>
      </c>
      <c r="AQ16" s="131">
        <v>1</v>
      </c>
      <c r="AR16" s="131">
        <v>1</v>
      </c>
      <c r="AS16" s="134">
        <v>0</v>
      </c>
      <c r="AT16" s="134">
        <v>0</v>
      </c>
      <c r="AU16" s="134">
        <v>1.5920000000000001</v>
      </c>
      <c r="AV16" s="134">
        <v>1.639</v>
      </c>
      <c r="AW16" s="134">
        <v>0</v>
      </c>
      <c r="AX16" s="134">
        <v>0</v>
      </c>
      <c r="AY16" s="134">
        <v>0</v>
      </c>
      <c r="AZ16" s="134">
        <v>0</v>
      </c>
      <c r="BA16" s="134">
        <v>0</v>
      </c>
      <c r="BB16" s="134">
        <v>0</v>
      </c>
      <c r="BC16" s="134">
        <v>0</v>
      </c>
      <c r="BD16" s="134">
        <v>0</v>
      </c>
      <c r="BE16" s="134">
        <v>6.883</v>
      </c>
      <c r="BF16" s="134">
        <v>6.93</v>
      </c>
      <c r="BG16" s="131">
        <v>1</v>
      </c>
      <c r="BH16" s="131"/>
      <c r="BI16" s="131"/>
      <c r="BJ16" s="131"/>
      <c r="BK16" s="131"/>
      <c r="BL16" s="131"/>
      <c r="BM16" s="131"/>
      <c r="BN16" s="131"/>
    </row>
    <row r="17" spans="1:66">
      <c r="A17" s="131">
        <v>10064</v>
      </c>
      <c r="B17" s="131" t="s">
        <v>21</v>
      </c>
      <c r="C17" s="131">
        <v>1</v>
      </c>
      <c r="D17" s="131">
        <v>0</v>
      </c>
      <c r="E17" s="134">
        <v>14.273999999999999</v>
      </c>
      <c r="F17" s="134">
        <v>13.69</v>
      </c>
      <c r="G17" s="134">
        <v>13.712</v>
      </c>
      <c r="H17" s="134">
        <v>0</v>
      </c>
      <c r="I17" s="134">
        <v>0</v>
      </c>
      <c r="J17" s="134">
        <v>0</v>
      </c>
      <c r="K17" s="134">
        <v>0</v>
      </c>
      <c r="L17" s="133">
        <v>0</v>
      </c>
      <c r="M17" s="133">
        <v>0</v>
      </c>
      <c r="N17" s="134">
        <v>13.903</v>
      </c>
      <c r="O17" s="134">
        <v>13.927</v>
      </c>
      <c r="P17" s="133">
        <v>122124</v>
      </c>
      <c r="Q17" s="133">
        <v>122001</v>
      </c>
      <c r="R17" s="131">
        <v>13.99</v>
      </c>
      <c r="S17" s="133">
        <v>122888</v>
      </c>
      <c r="T17" s="133">
        <v>122552</v>
      </c>
      <c r="U17" s="134">
        <v>0</v>
      </c>
      <c r="V17" s="134">
        <v>0</v>
      </c>
      <c r="W17" s="134">
        <v>0</v>
      </c>
      <c r="X17" s="134">
        <v>0</v>
      </c>
      <c r="Y17" s="134">
        <v>0</v>
      </c>
      <c r="Z17" s="134">
        <v>0</v>
      </c>
      <c r="AA17" s="131">
        <v>0</v>
      </c>
      <c r="AB17" s="131">
        <v>0</v>
      </c>
      <c r="AC17" s="134">
        <v>0</v>
      </c>
      <c r="AD17" s="134">
        <v>0</v>
      </c>
      <c r="AE17" s="135">
        <v>1.9792E-3</v>
      </c>
      <c r="AF17" s="135">
        <v>1.9826000000000002E-3</v>
      </c>
      <c r="AG17" s="135">
        <v>0</v>
      </c>
      <c r="AH17" s="135">
        <v>1.9792E-3</v>
      </c>
      <c r="AI17" s="135">
        <v>1.9826000000000002E-3</v>
      </c>
      <c r="AJ17" s="135">
        <v>1.9808999999999998E-3</v>
      </c>
      <c r="AK17" s="135">
        <v>0.99999380000000004</v>
      </c>
      <c r="AL17" s="135">
        <v>0.99998549999999997</v>
      </c>
      <c r="AM17" s="135">
        <v>1</v>
      </c>
      <c r="AN17" s="135">
        <v>1</v>
      </c>
      <c r="AO17" s="135">
        <v>0</v>
      </c>
      <c r="AP17" s="135">
        <v>0</v>
      </c>
      <c r="AQ17" s="131">
        <v>1</v>
      </c>
      <c r="AR17" s="131">
        <v>1</v>
      </c>
      <c r="AS17" s="134">
        <v>0</v>
      </c>
      <c r="AT17" s="134">
        <v>0</v>
      </c>
      <c r="AU17" s="134">
        <v>0</v>
      </c>
      <c r="AV17" s="134">
        <v>0</v>
      </c>
      <c r="AW17" s="134">
        <v>0</v>
      </c>
      <c r="AX17" s="134">
        <v>0</v>
      </c>
      <c r="AY17" s="134">
        <v>0</v>
      </c>
      <c r="AZ17" s="134">
        <v>0</v>
      </c>
      <c r="BA17" s="134">
        <v>0</v>
      </c>
      <c r="BB17" s="134">
        <v>0</v>
      </c>
      <c r="BC17" s="134">
        <v>0</v>
      </c>
      <c r="BD17" s="134">
        <v>0</v>
      </c>
      <c r="BE17" s="134">
        <v>13.903</v>
      </c>
      <c r="BF17" s="134">
        <v>13.927</v>
      </c>
      <c r="BG17" s="131">
        <v>0</v>
      </c>
      <c r="BH17" s="131"/>
      <c r="BI17" s="131"/>
      <c r="BJ17" s="131"/>
      <c r="BK17" s="131"/>
      <c r="BL17" s="131"/>
      <c r="BM17" s="131"/>
      <c r="BN17" s="131"/>
    </row>
    <row r="18" spans="1:66">
      <c r="A18" s="131">
        <v>10065</v>
      </c>
      <c r="B18" s="131" t="s">
        <v>22</v>
      </c>
      <c r="C18" s="131">
        <v>1</v>
      </c>
      <c r="D18" s="131">
        <v>0</v>
      </c>
      <c r="E18" s="134">
        <v>2.4129999999999998</v>
      </c>
      <c r="F18" s="134">
        <v>3.09</v>
      </c>
      <c r="G18" s="134">
        <v>3.1469999999999998</v>
      </c>
      <c r="H18" s="134">
        <v>0</v>
      </c>
      <c r="I18" s="134">
        <v>0</v>
      </c>
      <c r="J18" s="134">
        <v>0</v>
      </c>
      <c r="K18" s="134">
        <v>0</v>
      </c>
      <c r="L18" s="133">
        <v>0</v>
      </c>
      <c r="M18" s="133">
        <v>0</v>
      </c>
      <c r="N18" s="134">
        <v>2.4660000000000002</v>
      </c>
      <c r="O18" s="134">
        <v>2.4750000000000001</v>
      </c>
      <c r="P18" s="133">
        <v>21661</v>
      </c>
      <c r="Q18" s="133">
        <v>21681</v>
      </c>
      <c r="R18" s="131">
        <v>2.3650000000000002</v>
      </c>
      <c r="S18" s="133">
        <v>20774</v>
      </c>
      <c r="T18" s="133">
        <v>20717</v>
      </c>
      <c r="U18" s="134">
        <v>0.10100000000000001</v>
      </c>
      <c r="V18" s="134">
        <v>0.11</v>
      </c>
      <c r="W18" s="134">
        <v>0</v>
      </c>
      <c r="X18" s="134">
        <v>0</v>
      </c>
      <c r="Y18" s="134">
        <v>0.10100000000000001</v>
      </c>
      <c r="Z18" s="134">
        <v>0.11</v>
      </c>
      <c r="AA18" s="131">
        <v>0</v>
      </c>
      <c r="AB18" s="131">
        <v>0</v>
      </c>
      <c r="AC18" s="134">
        <v>0</v>
      </c>
      <c r="AD18" s="134">
        <v>0</v>
      </c>
      <c r="AE18" s="135">
        <v>3.367E-4</v>
      </c>
      <c r="AF18" s="135">
        <v>3.367E-4</v>
      </c>
      <c r="AG18" s="135">
        <v>0</v>
      </c>
      <c r="AH18" s="135">
        <v>3.367E-4</v>
      </c>
      <c r="AI18" s="135">
        <v>3.367E-4</v>
      </c>
      <c r="AJ18" s="135">
        <v>3.367E-4</v>
      </c>
      <c r="AK18" s="135">
        <v>0.95910510000000004</v>
      </c>
      <c r="AL18" s="135">
        <v>0.95561750000000001</v>
      </c>
      <c r="AM18" s="135">
        <v>1.0427061</v>
      </c>
      <c r="AN18" s="135">
        <v>1.0465116000000001</v>
      </c>
      <c r="AO18" s="135">
        <v>5.7348799999999998E-2</v>
      </c>
      <c r="AP18" s="135">
        <v>5.7558100000000001E-2</v>
      </c>
      <c r="AQ18" s="131">
        <v>1</v>
      </c>
      <c r="AR18" s="131">
        <v>1</v>
      </c>
      <c r="AS18" s="134">
        <v>0</v>
      </c>
      <c r="AT18" s="134">
        <v>0</v>
      </c>
      <c r="AU18" s="134">
        <v>0</v>
      </c>
      <c r="AV18" s="134">
        <v>0</v>
      </c>
      <c r="AW18" s="134">
        <v>0</v>
      </c>
      <c r="AX18" s="134">
        <v>0</v>
      </c>
      <c r="AY18" s="134">
        <v>0</v>
      </c>
      <c r="AZ18" s="134">
        <v>0</v>
      </c>
      <c r="BA18" s="134">
        <v>0</v>
      </c>
      <c r="BB18" s="134">
        <v>0</v>
      </c>
      <c r="BC18" s="134">
        <v>0</v>
      </c>
      <c r="BD18" s="134">
        <v>0</v>
      </c>
      <c r="BE18" s="134">
        <v>2.4660000000000002</v>
      </c>
      <c r="BF18" s="134">
        <v>2.4750000000000001</v>
      </c>
      <c r="BG18" s="131">
        <v>0</v>
      </c>
      <c r="BH18" s="131"/>
      <c r="BI18" s="131"/>
      <c r="BJ18" s="131"/>
      <c r="BK18" s="131"/>
      <c r="BL18" s="131"/>
      <c r="BM18" s="131"/>
      <c r="BN18" s="131"/>
    </row>
    <row r="19" spans="1:66">
      <c r="A19" s="131">
        <v>10066</v>
      </c>
      <c r="B19" s="131" t="s">
        <v>23</v>
      </c>
      <c r="C19" s="131">
        <v>1</v>
      </c>
      <c r="D19" s="131">
        <v>0</v>
      </c>
      <c r="E19" s="134">
        <v>24.734999999999999</v>
      </c>
      <c r="F19" s="134">
        <v>35.049999999999997</v>
      </c>
      <c r="G19" s="134">
        <v>36.161999999999999</v>
      </c>
      <c r="H19" s="134">
        <v>0</v>
      </c>
      <c r="I19" s="134">
        <v>0</v>
      </c>
      <c r="J19" s="134">
        <v>7.109</v>
      </c>
      <c r="K19" s="134">
        <v>7.1139999999999999</v>
      </c>
      <c r="L19" s="133">
        <v>62445</v>
      </c>
      <c r="M19" s="133">
        <v>62319</v>
      </c>
      <c r="N19" s="134">
        <v>28.957000000000001</v>
      </c>
      <c r="O19" s="134">
        <v>29.581</v>
      </c>
      <c r="P19" s="133">
        <v>254358</v>
      </c>
      <c r="Q19" s="133">
        <v>259130</v>
      </c>
      <c r="R19" s="131">
        <v>24.242000000000001</v>
      </c>
      <c r="S19" s="133">
        <v>212942</v>
      </c>
      <c r="T19" s="133">
        <v>212360</v>
      </c>
      <c r="U19" s="134">
        <v>4.7149999999999999</v>
      </c>
      <c r="V19" s="134">
        <v>5.3390000000000004</v>
      </c>
      <c r="W19" s="134">
        <v>4.7149999999999999</v>
      </c>
      <c r="X19" s="134">
        <v>5.3390000000000004</v>
      </c>
      <c r="Y19" s="134">
        <v>0</v>
      </c>
      <c r="Z19" s="134">
        <v>0</v>
      </c>
      <c r="AA19" s="131">
        <v>0</v>
      </c>
      <c r="AB19" s="131">
        <v>0</v>
      </c>
      <c r="AC19" s="134">
        <v>4.7149999999999999</v>
      </c>
      <c r="AD19" s="134">
        <v>5.3390000000000004</v>
      </c>
      <c r="AE19" s="135">
        <v>3.4510999999999999E-3</v>
      </c>
      <c r="AF19" s="135">
        <v>3.4510999999999999E-3</v>
      </c>
      <c r="AG19" s="135">
        <v>0</v>
      </c>
      <c r="AH19" s="135">
        <v>3.4510999999999999E-3</v>
      </c>
      <c r="AI19" s="135">
        <v>3.4510999999999999E-3</v>
      </c>
      <c r="AJ19" s="135">
        <v>3.4510999999999999E-3</v>
      </c>
      <c r="AK19" s="135">
        <v>0.86927560000000004</v>
      </c>
      <c r="AL19" s="135">
        <v>0.85451129999999997</v>
      </c>
      <c r="AM19" s="135">
        <v>1.1944972</v>
      </c>
      <c r="AN19" s="135">
        <v>1.2202375999999999</v>
      </c>
      <c r="AO19" s="135">
        <v>0</v>
      </c>
      <c r="AP19" s="135">
        <v>0</v>
      </c>
      <c r="AQ19" s="131">
        <v>3</v>
      </c>
      <c r="AR19" s="131">
        <v>3</v>
      </c>
      <c r="AS19" s="134">
        <v>10</v>
      </c>
      <c r="AT19" s="134">
        <v>10</v>
      </c>
      <c r="AU19" s="134">
        <v>0.71499999999999997</v>
      </c>
      <c r="AV19" s="134">
        <v>0.33900000000000002</v>
      </c>
      <c r="AW19" s="134">
        <v>0</v>
      </c>
      <c r="AX19" s="134">
        <v>0</v>
      </c>
      <c r="AY19" s="134">
        <v>0</v>
      </c>
      <c r="AZ19" s="134">
        <v>0</v>
      </c>
      <c r="BA19" s="134">
        <v>0</v>
      </c>
      <c r="BB19" s="134">
        <v>0</v>
      </c>
      <c r="BC19" s="134">
        <v>0</v>
      </c>
      <c r="BD19" s="134">
        <v>0</v>
      </c>
      <c r="BE19" s="134">
        <v>24.957000000000001</v>
      </c>
      <c r="BF19" s="134">
        <v>24.581</v>
      </c>
      <c r="BG19" s="131">
        <v>1</v>
      </c>
      <c r="BH19" s="131"/>
      <c r="BI19" s="131"/>
      <c r="BJ19" s="131"/>
      <c r="BK19" s="131"/>
      <c r="BL19" s="131"/>
      <c r="BM19" s="131"/>
      <c r="BN19" s="131"/>
    </row>
    <row r="20" spans="1:66">
      <c r="A20" s="131">
        <v>10067</v>
      </c>
      <c r="B20" s="131" t="s">
        <v>24</v>
      </c>
      <c r="C20" s="131">
        <v>1</v>
      </c>
      <c r="D20" s="131">
        <v>0</v>
      </c>
      <c r="E20" s="134">
        <v>16.053000000000001</v>
      </c>
      <c r="F20" s="134">
        <v>16.443999999999999</v>
      </c>
      <c r="G20" s="134">
        <v>16.632999999999999</v>
      </c>
      <c r="H20" s="134">
        <v>0</v>
      </c>
      <c r="I20" s="134">
        <v>0</v>
      </c>
      <c r="J20" s="134">
        <v>0</v>
      </c>
      <c r="K20" s="134">
        <v>0</v>
      </c>
      <c r="L20" s="133">
        <v>0</v>
      </c>
      <c r="M20" s="133">
        <v>0</v>
      </c>
      <c r="N20" s="134">
        <v>17.082000000000001</v>
      </c>
      <c r="O20" s="134">
        <v>17.347000000000001</v>
      </c>
      <c r="P20" s="133">
        <v>150048</v>
      </c>
      <c r="Q20" s="133">
        <v>151960</v>
      </c>
      <c r="R20" s="131">
        <v>15.733000000000001</v>
      </c>
      <c r="S20" s="133">
        <v>138199</v>
      </c>
      <c r="T20" s="133">
        <v>137821</v>
      </c>
      <c r="U20" s="134">
        <v>1.349</v>
      </c>
      <c r="V20" s="134">
        <v>1.6140000000000001</v>
      </c>
      <c r="W20" s="134">
        <v>1.349</v>
      </c>
      <c r="X20" s="134">
        <v>1.6140000000000001</v>
      </c>
      <c r="Y20" s="134">
        <v>0</v>
      </c>
      <c r="Z20" s="134">
        <v>0</v>
      </c>
      <c r="AA20" s="131">
        <v>0</v>
      </c>
      <c r="AB20" s="131">
        <v>0</v>
      </c>
      <c r="AC20" s="134">
        <v>1.349</v>
      </c>
      <c r="AD20" s="134">
        <v>1.6140000000000001</v>
      </c>
      <c r="AE20" s="135">
        <v>2.2396999999999999E-3</v>
      </c>
      <c r="AF20" s="135">
        <v>2.2396999999999999E-3</v>
      </c>
      <c r="AG20" s="135">
        <v>0</v>
      </c>
      <c r="AH20" s="135">
        <v>2.2396999999999999E-3</v>
      </c>
      <c r="AI20" s="135">
        <v>2.2396999999999999E-3</v>
      </c>
      <c r="AJ20" s="135">
        <v>2.2396999999999999E-3</v>
      </c>
      <c r="AK20" s="135">
        <v>0.92101619999999995</v>
      </c>
      <c r="AL20" s="135">
        <v>0.90694640000000004</v>
      </c>
      <c r="AM20" s="135">
        <v>1.0857433000000001</v>
      </c>
      <c r="AN20" s="135">
        <v>1.1025868999999999</v>
      </c>
      <c r="AO20" s="135">
        <v>0</v>
      </c>
      <c r="AP20" s="135">
        <v>0</v>
      </c>
      <c r="AQ20" s="131">
        <v>3</v>
      </c>
      <c r="AR20" s="131">
        <v>3</v>
      </c>
      <c r="AS20" s="134">
        <v>2</v>
      </c>
      <c r="AT20" s="134">
        <v>2</v>
      </c>
      <c r="AU20" s="134">
        <v>0.34899999999999998</v>
      </c>
      <c r="AV20" s="134">
        <v>0.61399999999999999</v>
      </c>
      <c r="AW20" s="134">
        <v>0</v>
      </c>
      <c r="AX20" s="134">
        <v>0</v>
      </c>
      <c r="AY20" s="134">
        <v>0</v>
      </c>
      <c r="AZ20" s="134">
        <v>0</v>
      </c>
      <c r="BA20" s="134">
        <v>0</v>
      </c>
      <c r="BB20" s="134">
        <v>0</v>
      </c>
      <c r="BC20" s="134">
        <v>0</v>
      </c>
      <c r="BD20" s="134">
        <v>0</v>
      </c>
      <c r="BE20" s="134">
        <v>16.082000000000001</v>
      </c>
      <c r="BF20" s="134">
        <v>16.347000000000001</v>
      </c>
      <c r="BG20" s="131">
        <v>1</v>
      </c>
      <c r="BH20" s="131"/>
      <c r="BI20" s="131"/>
      <c r="BJ20" s="131"/>
      <c r="BK20" s="131"/>
      <c r="BL20" s="131"/>
      <c r="BM20" s="131"/>
      <c r="BN20" s="131"/>
    </row>
    <row r="21" spans="1:66">
      <c r="A21" s="131">
        <v>10068</v>
      </c>
      <c r="B21" s="131" t="s">
        <v>25</v>
      </c>
      <c r="C21" s="131">
        <v>1</v>
      </c>
      <c r="D21" s="131">
        <v>0</v>
      </c>
      <c r="E21" s="134">
        <v>2.8109999999999999</v>
      </c>
      <c r="F21" s="134">
        <v>2.581</v>
      </c>
      <c r="G21" s="134">
        <v>2.5840000000000001</v>
      </c>
      <c r="H21" s="134">
        <v>0</v>
      </c>
      <c r="I21" s="134">
        <v>0</v>
      </c>
      <c r="J21" s="134">
        <v>0</v>
      </c>
      <c r="K21" s="134">
        <v>0</v>
      </c>
      <c r="L21" s="133">
        <v>0</v>
      </c>
      <c r="M21" s="133">
        <v>0</v>
      </c>
      <c r="N21" s="134">
        <v>2.5550000000000002</v>
      </c>
      <c r="O21" s="134">
        <v>2.5579999999999998</v>
      </c>
      <c r="P21" s="133">
        <v>22443</v>
      </c>
      <c r="Q21" s="133">
        <v>22408</v>
      </c>
      <c r="R21" s="131">
        <v>2.7549999999999999</v>
      </c>
      <c r="S21" s="133">
        <v>24200</v>
      </c>
      <c r="T21" s="133">
        <v>24134</v>
      </c>
      <c r="U21" s="134">
        <v>0</v>
      </c>
      <c r="V21" s="134">
        <v>0</v>
      </c>
      <c r="W21" s="134">
        <v>0</v>
      </c>
      <c r="X21" s="134">
        <v>0</v>
      </c>
      <c r="Y21" s="134">
        <v>0</v>
      </c>
      <c r="Z21" s="134">
        <v>0</v>
      </c>
      <c r="AA21" s="131">
        <v>0</v>
      </c>
      <c r="AB21" s="131">
        <v>0</v>
      </c>
      <c r="AC21" s="134">
        <v>0</v>
      </c>
      <c r="AD21" s="134">
        <v>0</v>
      </c>
      <c r="AE21" s="135">
        <v>3.637E-4</v>
      </c>
      <c r="AF21" s="135">
        <v>3.6420000000000002E-4</v>
      </c>
      <c r="AG21" s="135">
        <v>0</v>
      </c>
      <c r="AH21" s="135">
        <v>3.637E-4</v>
      </c>
      <c r="AI21" s="135">
        <v>3.6420000000000002E-4</v>
      </c>
      <c r="AJ21" s="135">
        <v>3.6400000000000001E-4</v>
      </c>
      <c r="AK21" s="135">
        <v>0.99992760000000003</v>
      </c>
      <c r="AL21" s="135">
        <v>1</v>
      </c>
      <c r="AM21" s="135">
        <v>1</v>
      </c>
      <c r="AN21" s="135">
        <v>1</v>
      </c>
      <c r="AO21" s="135">
        <v>0</v>
      </c>
      <c r="AP21" s="135">
        <v>0</v>
      </c>
      <c r="AQ21" s="131">
        <v>1</v>
      </c>
      <c r="AR21" s="131">
        <v>1</v>
      </c>
      <c r="AS21" s="134">
        <v>0</v>
      </c>
      <c r="AT21" s="134">
        <v>0</v>
      </c>
      <c r="AU21" s="134">
        <v>0</v>
      </c>
      <c r="AV21" s="134">
        <v>0</v>
      </c>
      <c r="AW21" s="134">
        <v>0</v>
      </c>
      <c r="AX21" s="134">
        <v>0</v>
      </c>
      <c r="AY21" s="134">
        <v>0</v>
      </c>
      <c r="AZ21" s="134">
        <v>0</v>
      </c>
      <c r="BA21" s="134">
        <v>0</v>
      </c>
      <c r="BB21" s="134">
        <v>0</v>
      </c>
      <c r="BC21" s="134">
        <v>0</v>
      </c>
      <c r="BD21" s="134">
        <v>0</v>
      </c>
      <c r="BE21" s="134">
        <v>2.5550000000000002</v>
      </c>
      <c r="BF21" s="134">
        <v>2.5579999999999998</v>
      </c>
      <c r="BG21" s="131">
        <v>0</v>
      </c>
      <c r="BH21" s="131"/>
      <c r="BI21" s="131"/>
      <c r="BJ21" s="131"/>
      <c r="BK21" s="131"/>
      <c r="BL21" s="131"/>
      <c r="BM21" s="131"/>
      <c r="BN21" s="131"/>
    </row>
    <row r="22" spans="1:66">
      <c r="A22" s="131">
        <v>10070</v>
      </c>
      <c r="B22" s="131" t="s">
        <v>26</v>
      </c>
      <c r="C22" s="131">
        <v>1</v>
      </c>
      <c r="D22" s="131">
        <v>0</v>
      </c>
      <c r="E22" s="134">
        <v>0.36399999999999999</v>
      </c>
      <c r="F22" s="134">
        <v>0.376</v>
      </c>
      <c r="G22" s="134">
        <v>0.377</v>
      </c>
      <c r="H22" s="134">
        <v>0</v>
      </c>
      <c r="I22" s="134">
        <v>0</v>
      </c>
      <c r="J22" s="134">
        <v>0</v>
      </c>
      <c r="K22" s="134">
        <v>0</v>
      </c>
      <c r="L22" s="133">
        <v>0</v>
      </c>
      <c r="M22" s="133">
        <v>0</v>
      </c>
      <c r="N22" s="134">
        <v>0.375</v>
      </c>
      <c r="O22" s="134">
        <v>0.376</v>
      </c>
      <c r="P22" s="133">
        <v>3294</v>
      </c>
      <c r="Q22" s="133">
        <v>3294</v>
      </c>
      <c r="R22" s="131">
        <v>0.35699999999999998</v>
      </c>
      <c r="S22" s="133">
        <v>3136</v>
      </c>
      <c r="T22" s="133">
        <v>3127</v>
      </c>
      <c r="U22" s="134">
        <v>1.7999999999999999E-2</v>
      </c>
      <c r="V22" s="134">
        <v>1.9E-2</v>
      </c>
      <c r="W22" s="134">
        <v>0</v>
      </c>
      <c r="X22" s="134">
        <v>0</v>
      </c>
      <c r="Y22" s="134">
        <v>1.7999999999999999E-2</v>
      </c>
      <c r="Z22" s="134">
        <v>1.9E-2</v>
      </c>
      <c r="AA22" s="131">
        <v>0</v>
      </c>
      <c r="AB22" s="131">
        <v>0</v>
      </c>
      <c r="AC22" s="134">
        <v>0</v>
      </c>
      <c r="AD22" s="134">
        <v>0</v>
      </c>
      <c r="AE22" s="135">
        <v>5.0800000000000002E-5</v>
      </c>
      <c r="AF22" s="135">
        <v>5.0800000000000002E-5</v>
      </c>
      <c r="AG22" s="135">
        <v>0</v>
      </c>
      <c r="AH22" s="135">
        <v>5.0800000000000002E-5</v>
      </c>
      <c r="AI22" s="135">
        <v>5.0800000000000002E-5</v>
      </c>
      <c r="AJ22" s="135">
        <v>5.0800000000000002E-5</v>
      </c>
      <c r="AK22" s="135">
        <v>0.95158719999999997</v>
      </c>
      <c r="AL22" s="135">
        <v>0.94905640000000002</v>
      </c>
      <c r="AM22" s="135">
        <v>1.0504202</v>
      </c>
      <c r="AN22" s="135">
        <v>1.0532212999999999</v>
      </c>
      <c r="AO22" s="135">
        <v>0</v>
      </c>
      <c r="AP22" s="135">
        <v>0</v>
      </c>
      <c r="AQ22" s="131">
        <v>1</v>
      </c>
      <c r="AR22" s="131">
        <v>1</v>
      </c>
      <c r="AS22" s="134">
        <v>0</v>
      </c>
      <c r="AT22" s="134">
        <v>0</v>
      </c>
      <c r="AU22" s="134">
        <v>0</v>
      </c>
      <c r="AV22" s="134">
        <v>0</v>
      </c>
      <c r="AW22" s="134">
        <v>0</v>
      </c>
      <c r="AX22" s="134">
        <v>0</v>
      </c>
      <c r="AY22" s="134">
        <v>0</v>
      </c>
      <c r="AZ22" s="134">
        <v>0</v>
      </c>
      <c r="BA22" s="134">
        <v>0</v>
      </c>
      <c r="BB22" s="134">
        <v>0</v>
      </c>
      <c r="BC22" s="134">
        <v>0</v>
      </c>
      <c r="BD22" s="134">
        <v>0</v>
      </c>
      <c r="BE22" s="134">
        <v>0.375</v>
      </c>
      <c r="BF22" s="134">
        <v>0.376</v>
      </c>
      <c r="BG22" s="131">
        <v>0</v>
      </c>
      <c r="BH22" s="131"/>
      <c r="BI22" s="131"/>
      <c r="BJ22" s="131"/>
      <c r="BK22" s="131"/>
      <c r="BL22" s="131"/>
      <c r="BM22" s="131"/>
      <c r="BN22" s="131"/>
    </row>
    <row r="23" spans="1:66">
      <c r="A23" s="131">
        <v>10071</v>
      </c>
      <c r="B23" s="131" t="s">
        <v>27</v>
      </c>
      <c r="C23" s="131">
        <v>1</v>
      </c>
      <c r="D23" s="131">
        <v>0</v>
      </c>
      <c r="E23" s="134">
        <v>1.9430000000000001</v>
      </c>
      <c r="F23" s="134">
        <v>1.88</v>
      </c>
      <c r="G23" s="134">
        <v>1.8779999999999999</v>
      </c>
      <c r="H23" s="134">
        <v>0</v>
      </c>
      <c r="I23" s="134">
        <v>0</v>
      </c>
      <c r="J23" s="134">
        <v>0</v>
      </c>
      <c r="K23" s="134">
        <v>0</v>
      </c>
      <c r="L23" s="133">
        <v>0</v>
      </c>
      <c r="M23" s="133">
        <v>0</v>
      </c>
      <c r="N23" s="134">
        <v>1.8620000000000001</v>
      </c>
      <c r="O23" s="134">
        <v>1.8640000000000001</v>
      </c>
      <c r="P23" s="133">
        <v>16356</v>
      </c>
      <c r="Q23" s="133">
        <v>16329</v>
      </c>
      <c r="R23" s="131">
        <v>1.9039999999999999</v>
      </c>
      <c r="S23" s="133">
        <v>16725</v>
      </c>
      <c r="T23" s="133">
        <v>16679</v>
      </c>
      <c r="U23" s="134">
        <v>0</v>
      </c>
      <c r="V23" s="134">
        <v>0</v>
      </c>
      <c r="W23" s="134">
        <v>0</v>
      </c>
      <c r="X23" s="134">
        <v>0</v>
      </c>
      <c r="Y23" s="134">
        <v>0</v>
      </c>
      <c r="Z23" s="134">
        <v>0</v>
      </c>
      <c r="AA23" s="131">
        <v>0</v>
      </c>
      <c r="AB23" s="131">
        <v>0</v>
      </c>
      <c r="AC23" s="134">
        <v>0</v>
      </c>
      <c r="AD23" s="134">
        <v>0</v>
      </c>
      <c r="AE23" s="135">
        <v>2.6509999999999999E-4</v>
      </c>
      <c r="AF23" s="135">
        <v>2.654E-4</v>
      </c>
      <c r="AG23" s="135">
        <v>0</v>
      </c>
      <c r="AH23" s="135">
        <v>2.6509999999999999E-4</v>
      </c>
      <c r="AI23" s="135">
        <v>2.654E-4</v>
      </c>
      <c r="AJ23" s="135">
        <v>2.653E-4</v>
      </c>
      <c r="AK23" s="135">
        <v>1</v>
      </c>
      <c r="AL23" s="135">
        <v>1</v>
      </c>
      <c r="AM23" s="135">
        <v>1</v>
      </c>
      <c r="AN23" s="135">
        <v>1</v>
      </c>
      <c r="AO23" s="135">
        <v>0</v>
      </c>
      <c r="AP23" s="135">
        <v>0</v>
      </c>
      <c r="AQ23" s="131">
        <v>1</v>
      </c>
      <c r="AR23" s="131">
        <v>1</v>
      </c>
      <c r="AS23" s="134">
        <v>0</v>
      </c>
      <c r="AT23" s="134">
        <v>0</v>
      </c>
      <c r="AU23" s="134">
        <v>0</v>
      </c>
      <c r="AV23" s="134">
        <v>0</v>
      </c>
      <c r="AW23" s="134">
        <v>0</v>
      </c>
      <c r="AX23" s="134">
        <v>0</v>
      </c>
      <c r="AY23" s="134">
        <v>0</v>
      </c>
      <c r="AZ23" s="134">
        <v>0</v>
      </c>
      <c r="BA23" s="134">
        <v>0</v>
      </c>
      <c r="BB23" s="134">
        <v>0</v>
      </c>
      <c r="BC23" s="134">
        <v>0</v>
      </c>
      <c r="BD23" s="134">
        <v>0</v>
      </c>
      <c r="BE23" s="134">
        <v>1.8620000000000001</v>
      </c>
      <c r="BF23" s="134">
        <v>1.8640000000000001</v>
      </c>
      <c r="BG23" s="131">
        <v>0</v>
      </c>
      <c r="BH23" s="131"/>
      <c r="BI23" s="131"/>
      <c r="BJ23" s="131"/>
      <c r="BK23" s="131"/>
      <c r="BL23" s="131"/>
      <c r="BM23" s="131"/>
      <c r="BN23" s="131"/>
    </row>
    <row r="24" spans="1:66">
      <c r="A24" s="138">
        <v>10072</v>
      </c>
      <c r="B24" s="138" t="s">
        <v>28</v>
      </c>
      <c r="C24" s="138">
        <v>1</v>
      </c>
      <c r="D24" s="138">
        <v>0</v>
      </c>
      <c r="E24" s="134">
        <v>24.34</v>
      </c>
      <c r="F24" s="142">
        <v>24.716000000000001</v>
      </c>
      <c r="G24" s="142">
        <v>24.777999999999999</v>
      </c>
      <c r="H24" s="142">
        <v>0</v>
      </c>
      <c r="I24" s="142">
        <v>0</v>
      </c>
      <c r="J24" s="142">
        <v>0</v>
      </c>
      <c r="K24" s="142">
        <v>0</v>
      </c>
      <c r="L24" s="140">
        <v>0</v>
      </c>
      <c r="M24" s="140">
        <v>0</v>
      </c>
      <c r="N24" s="142">
        <v>24.413</v>
      </c>
      <c r="O24" s="142">
        <v>24.523</v>
      </c>
      <c r="P24" s="140">
        <v>214444</v>
      </c>
      <c r="Q24" s="140">
        <v>214821</v>
      </c>
      <c r="R24" s="138">
        <v>23.855</v>
      </c>
      <c r="S24" s="140">
        <v>209542</v>
      </c>
      <c r="T24" s="140">
        <v>208970</v>
      </c>
      <c r="U24" s="142">
        <v>0.55800000000000005</v>
      </c>
      <c r="V24" s="142">
        <v>0.66800000000000004</v>
      </c>
      <c r="W24" s="134">
        <v>0</v>
      </c>
      <c r="X24" s="134">
        <v>0</v>
      </c>
      <c r="Y24" s="142">
        <v>0.55800000000000005</v>
      </c>
      <c r="Z24" s="142">
        <v>0.66800000000000004</v>
      </c>
      <c r="AA24" s="138">
        <v>0</v>
      </c>
      <c r="AB24" s="138">
        <v>0</v>
      </c>
      <c r="AC24" s="142">
        <v>0</v>
      </c>
      <c r="AD24" s="142">
        <v>0</v>
      </c>
      <c r="AE24" s="143">
        <v>3.3960000000000001E-3</v>
      </c>
      <c r="AF24" s="143">
        <v>3.3960000000000001E-3</v>
      </c>
      <c r="AG24" s="135">
        <v>0</v>
      </c>
      <c r="AH24" s="143">
        <v>3.3960000000000001E-3</v>
      </c>
      <c r="AI24" s="143">
        <v>3.3960000000000001E-3</v>
      </c>
      <c r="AJ24" s="143">
        <v>3.3960000000000001E-3</v>
      </c>
      <c r="AK24" s="143">
        <v>0.9771533</v>
      </c>
      <c r="AL24" s="143">
        <v>0.97277020000000003</v>
      </c>
      <c r="AM24" s="143">
        <v>1.0233912999999999</v>
      </c>
      <c r="AN24" s="143">
        <v>1.0280024999999999</v>
      </c>
      <c r="AO24" s="143">
        <v>0</v>
      </c>
      <c r="AP24" s="143">
        <v>0</v>
      </c>
      <c r="AQ24" s="138">
        <v>1</v>
      </c>
      <c r="AR24" s="138">
        <v>1</v>
      </c>
      <c r="AS24" s="142">
        <v>0</v>
      </c>
      <c r="AT24" s="142">
        <v>0</v>
      </c>
      <c r="AU24" s="134">
        <v>0</v>
      </c>
      <c r="AV24" s="134">
        <v>0</v>
      </c>
      <c r="AW24" s="134">
        <v>0</v>
      </c>
      <c r="AX24" s="134">
        <v>0</v>
      </c>
      <c r="AY24" s="134">
        <v>0</v>
      </c>
      <c r="AZ24" s="134">
        <v>0</v>
      </c>
      <c r="BA24" s="134">
        <v>0</v>
      </c>
      <c r="BB24" s="134">
        <v>0</v>
      </c>
      <c r="BC24" s="134">
        <v>0</v>
      </c>
      <c r="BD24" s="134">
        <v>0</v>
      </c>
      <c r="BE24" s="142">
        <v>24.413</v>
      </c>
      <c r="BF24" s="142">
        <v>24.523</v>
      </c>
      <c r="BG24" s="131">
        <v>1</v>
      </c>
      <c r="BH24" s="138"/>
      <c r="BI24" s="138"/>
      <c r="BJ24" s="138"/>
      <c r="BK24" s="138"/>
      <c r="BL24" s="138"/>
      <c r="BM24" s="131"/>
      <c r="BN24" s="131"/>
    </row>
    <row r="25" spans="1:66">
      <c r="A25" s="131">
        <v>10074</v>
      </c>
      <c r="B25" s="131" t="s">
        <v>29</v>
      </c>
      <c r="C25" s="131">
        <v>1</v>
      </c>
      <c r="D25" s="131">
        <v>0</v>
      </c>
      <c r="E25" s="134">
        <v>27.08</v>
      </c>
      <c r="F25" s="134">
        <v>30.481000000000002</v>
      </c>
      <c r="G25" s="134">
        <v>30.530999999999999</v>
      </c>
      <c r="H25" s="134">
        <v>0</v>
      </c>
      <c r="I25" s="134">
        <v>0</v>
      </c>
      <c r="J25" s="134">
        <v>2.9409999999999998</v>
      </c>
      <c r="K25" s="134">
        <v>2.9409999999999998</v>
      </c>
      <c r="L25" s="133">
        <v>25834</v>
      </c>
      <c r="M25" s="133">
        <v>25763</v>
      </c>
      <c r="N25" s="134">
        <v>28.468</v>
      </c>
      <c r="O25" s="134">
        <v>28.603999999999999</v>
      </c>
      <c r="P25" s="133">
        <v>250063</v>
      </c>
      <c r="Q25" s="133">
        <v>250571</v>
      </c>
      <c r="R25" s="131">
        <v>26.541</v>
      </c>
      <c r="S25" s="133">
        <v>233136</v>
      </c>
      <c r="T25" s="133">
        <v>232499</v>
      </c>
      <c r="U25" s="134">
        <v>1.927</v>
      </c>
      <c r="V25" s="134">
        <v>2.0630000000000002</v>
      </c>
      <c r="W25" s="134">
        <v>1.927</v>
      </c>
      <c r="X25" s="134">
        <v>2.0630000000000002</v>
      </c>
      <c r="Y25" s="134">
        <v>0</v>
      </c>
      <c r="Z25" s="134">
        <v>0</v>
      </c>
      <c r="AA25" s="131">
        <v>0</v>
      </c>
      <c r="AB25" s="131">
        <v>0</v>
      </c>
      <c r="AC25" s="134">
        <v>1.927</v>
      </c>
      <c r="AD25" s="134">
        <v>2.0630000000000002</v>
      </c>
      <c r="AE25" s="135">
        <v>3.7783000000000001E-3</v>
      </c>
      <c r="AF25" s="135">
        <v>3.7783000000000001E-3</v>
      </c>
      <c r="AG25" s="135">
        <v>0</v>
      </c>
      <c r="AH25" s="135">
        <v>3.7783000000000001E-3</v>
      </c>
      <c r="AI25" s="135">
        <v>3.7783000000000001E-3</v>
      </c>
      <c r="AJ25" s="135">
        <v>3.7783000000000001E-3</v>
      </c>
      <c r="AK25" s="135">
        <v>0.938639</v>
      </c>
      <c r="AL25" s="135">
        <v>0.93459230000000004</v>
      </c>
      <c r="AM25" s="135">
        <v>1.0726046</v>
      </c>
      <c r="AN25" s="135">
        <v>1.0777288</v>
      </c>
      <c r="AO25" s="135">
        <v>0</v>
      </c>
      <c r="AP25" s="135">
        <v>0</v>
      </c>
      <c r="AQ25" s="131">
        <v>3</v>
      </c>
      <c r="AR25" s="131">
        <v>3</v>
      </c>
      <c r="AS25" s="134">
        <v>1</v>
      </c>
      <c r="AT25" s="134">
        <v>1</v>
      </c>
      <c r="AU25" s="134">
        <v>0.92700000000000005</v>
      </c>
      <c r="AV25" s="134">
        <v>1.0629999999999999</v>
      </c>
      <c r="AW25" s="134">
        <v>0</v>
      </c>
      <c r="AX25" s="134">
        <v>0</v>
      </c>
      <c r="AY25" s="134">
        <v>0</v>
      </c>
      <c r="AZ25" s="134">
        <v>0</v>
      </c>
      <c r="BA25" s="134">
        <v>0</v>
      </c>
      <c r="BB25" s="134">
        <v>0</v>
      </c>
      <c r="BC25" s="134">
        <v>0</v>
      </c>
      <c r="BD25" s="134">
        <v>0</v>
      </c>
      <c r="BE25" s="134">
        <v>27.468</v>
      </c>
      <c r="BF25" s="134">
        <v>27.603999999999999</v>
      </c>
      <c r="BG25" s="131">
        <v>1</v>
      </c>
      <c r="BH25" s="131"/>
      <c r="BI25" s="131"/>
      <c r="BJ25" s="131"/>
      <c r="BK25" s="131"/>
      <c r="BL25" s="131"/>
      <c r="BM25" s="131"/>
      <c r="BN25" s="131"/>
    </row>
    <row r="26" spans="1:66">
      <c r="A26" s="131">
        <v>10076</v>
      </c>
      <c r="B26" s="131" t="s">
        <v>30</v>
      </c>
      <c r="C26" s="131">
        <v>1</v>
      </c>
      <c r="D26" s="131">
        <v>0</v>
      </c>
      <c r="E26" s="134">
        <v>4.8890000000000002</v>
      </c>
      <c r="F26" s="134">
        <v>7.742</v>
      </c>
      <c r="G26" s="134">
        <v>7.7770000000000001</v>
      </c>
      <c r="H26" s="134">
        <v>0</v>
      </c>
      <c r="I26" s="134">
        <v>0</v>
      </c>
      <c r="J26" s="134">
        <v>0</v>
      </c>
      <c r="K26" s="134">
        <v>0</v>
      </c>
      <c r="L26" s="133">
        <v>0</v>
      </c>
      <c r="M26" s="133">
        <v>0</v>
      </c>
      <c r="N26" s="134">
        <v>7.6959999999999997</v>
      </c>
      <c r="O26" s="134">
        <v>7.73</v>
      </c>
      <c r="P26" s="133">
        <v>67602</v>
      </c>
      <c r="Q26" s="133">
        <v>67715</v>
      </c>
      <c r="R26" s="131">
        <v>4.7919999999999998</v>
      </c>
      <c r="S26" s="133">
        <v>42093</v>
      </c>
      <c r="T26" s="133">
        <v>41978</v>
      </c>
      <c r="U26" s="134">
        <v>2.9039999999999999</v>
      </c>
      <c r="V26" s="134">
        <v>2.9380000000000002</v>
      </c>
      <c r="W26" s="134">
        <v>2.9039999999999999</v>
      </c>
      <c r="X26" s="134">
        <v>2.9380000000000002</v>
      </c>
      <c r="Y26" s="134">
        <v>0</v>
      </c>
      <c r="Z26" s="134">
        <v>0</v>
      </c>
      <c r="AA26" s="131">
        <v>0</v>
      </c>
      <c r="AB26" s="131">
        <v>0</v>
      </c>
      <c r="AC26" s="134">
        <v>2.9039999999999999</v>
      </c>
      <c r="AD26" s="134">
        <v>2.9380000000000002</v>
      </c>
      <c r="AE26" s="135">
        <v>6.8219999999999999E-4</v>
      </c>
      <c r="AF26" s="135">
        <v>6.8219999999999999E-4</v>
      </c>
      <c r="AG26" s="135">
        <v>0</v>
      </c>
      <c r="AH26" s="135">
        <v>6.8219999999999999E-4</v>
      </c>
      <c r="AI26" s="135">
        <v>6.8219999999999999E-4</v>
      </c>
      <c r="AJ26" s="135">
        <v>6.8219999999999999E-4</v>
      </c>
      <c r="AK26" s="135">
        <v>0.62267700000000004</v>
      </c>
      <c r="AL26" s="135">
        <v>0.61993819999999999</v>
      </c>
      <c r="AM26" s="135">
        <v>1.6060099999999999</v>
      </c>
      <c r="AN26" s="135">
        <v>1.6131051999999999</v>
      </c>
      <c r="AO26" s="135">
        <v>0</v>
      </c>
      <c r="AP26" s="135">
        <v>0</v>
      </c>
      <c r="AQ26" s="131">
        <v>1</v>
      </c>
      <c r="AR26" s="131">
        <v>1</v>
      </c>
      <c r="AS26" s="134">
        <v>0</v>
      </c>
      <c r="AT26" s="134">
        <v>0</v>
      </c>
      <c r="AU26" s="134">
        <v>2.9039999999999999</v>
      </c>
      <c r="AV26" s="134">
        <v>2.9380000000000002</v>
      </c>
      <c r="AW26" s="134">
        <v>0</v>
      </c>
      <c r="AX26" s="134">
        <v>0</v>
      </c>
      <c r="AY26" s="134">
        <v>0</v>
      </c>
      <c r="AZ26" s="134">
        <v>0</v>
      </c>
      <c r="BA26" s="134">
        <v>0</v>
      </c>
      <c r="BB26" s="134">
        <v>0</v>
      </c>
      <c r="BC26" s="134">
        <v>0</v>
      </c>
      <c r="BD26" s="134">
        <v>0</v>
      </c>
      <c r="BE26" s="134">
        <v>7.6959999999999997</v>
      </c>
      <c r="BF26" s="134">
        <v>7.73</v>
      </c>
      <c r="BG26" s="131">
        <v>1</v>
      </c>
      <c r="BH26" s="131"/>
      <c r="BI26" s="131"/>
      <c r="BJ26" s="131"/>
      <c r="BK26" s="131"/>
      <c r="BL26" s="131"/>
      <c r="BM26" s="131"/>
      <c r="BN26" s="131"/>
    </row>
    <row r="27" spans="1:66">
      <c r="A27" s="131">
        <v>10078</v>
      </c>
      <c r="B27" s="131" t="s">
        <v>31</v>
      </c>
      <c r="C27" s="131">
        <v>1</v>
      </c>
      <c r="D27" s="131">
        <v>0</v>
      </c>
      <c r="E27" s="134">
        <v>3.7730000000000001</v>
      </c>
      <c r="F27" s="134">
        <v>3.8109999999999999</v>
      </c>
      <c r="G27" s="134">
        <v>3.8450000000000002</v>
      </c>
      <c r="H27" s="134">
        <v>0</v>
      </c>
      <c r="I27" s="134">
        <v>0</v>
      </c>
      <c r="J27" s="134">
        <v>0</v>
      </c>
      <c r="K27" s="134">
        <v>0</v>
      </c>
      <c r="L27" s="133">
        <v>0</v>
      </c>
      <c r="M27" s="133">
        <v>0</v>
      </c>
      <c r="N27" s="134">
        <v>3.7050000000000001</v>
      </c>
      <c r="O27" s="134">
        <v>3.71</v>
      </c>
      <c r="P27" s="133">
        <v>32545</v>
      </c>
      <c r="Q27" s="133">
        <v>32500</v>
      </c>
      <c r="R27" s="131">
        <v>3.698</v>
      </c>
      <c r="S27" s="133">
        <v>32483</v>
      </c>
      <c r="T27" s="133">
        <v>32394</v>
      </c>
      <c r="U27" s="134">
        <v>7.0000000000000001E-3</v>
      </c>
      <c r="V27" s="134">
        <v>1.2E-2</v>
      </c>
      <c r="W27" s="134">
        <v>0</v>
      </c>
      <c r="X27" s="134">
        <v>0</v>
      </c>
      <c r="Y27" s="134">
        <v>7.0000000000000001E-3</v>
      </c>
      <c r="Z27" s="134">
        <v>1.2E-2</v>
      </c>
      <c r="AA27" s="131">
        <v>0</v>
      </c>
      <c r="AB27" s="131">
        <v>0</v>
      </c>
      <c r="AC27" s="134">
        <v>0</v>
      </c>
      <c r="AD27" s="134">
        <v>0</v>
      </c>
      <c r="AE27" s="135">
        <v>5.264E-4</v>
      </c>
      <c r="AF27" s="135">
        <v>5.264E-4</v>
      </c>
      <c r="AG27" s="135">
        <v>0</v>
      </c>
      <c r="AH27" s="135">
        <v>5.264E-4</v>
      </c>
      <c r="AI27" s="135">
        <v>5.264E-4</v>
      </c>
      <c r="AJ27" s="135">
        <v>5.264E-4</v>
      </c>
      <c r="AK27" s="135">
        <v>0.99803050000000004</v>
      </c>
      <c r="AL27" s="135">
        <v>0.9966855</v>
      </c>
      <c r="AM27" s="135">
        <v>1.0018929000000001</v>
      </c>
      <c r="AN27" s="135">
        <v>1.0032449999999999</v>
      </c>
      <c r="AO27" s="135">
        <v>0</v>
      </c>
      <c r="AP27" s="135">
        <v>0</v>
      </c>
      <c r="AQ27" s="131">
        <v>1</v>
      </c>
      <c r="AR27" s="131">
        <v>1</v>
      </c>
      <c r="AS27" s="134">
        <v>0</v>
      </c>
      <c r="AT27" s="134">
        <v>0</v>
      </c>
      <c r="AU27" s="134">
        <v>0</v>
      </c>
      <c r="AV27" s="134">
        <v>0</v>
      </c>
      <c r="AW27" s="134">
        <v>0</v>
      </c>
      <c r="AX27" s="134">
        <v>0</v>
      </c>
      <c r="AY27" s="134">
        <v>0</v>
      </c>
      <c r="AZ27" s="134">
        <v>0</v>
      </c>
      <c r="BA27" s="134">
        <v>0</v>
      </c>
      <c r="BB27" s="134">
        <v>0</v>
      </c>
      <c r="BC27" s="134">
        <v>0</v>
      </c>
      <c r="BD27" s="134">
        <v>0</v>
      </c>
      <c r="BE27" s="134">
        <v>3.7050000000000001</v>
      </c>
      <c r="BF27" s="134">
        <v>3.71</v>
      </c>
      <c r="BG27" s="131">
        <v>0</v>
      </c>
      <c r="BH27" s="131"/>
      <c r="BI27" s="131"/>
      <c r="BJ27" s="131"/>
      <c r="BK27" s="131"/>
      <c r="BL27" s="131"/>
      <c r="BM27" s="131"/>
      <c r="BN27" s="131"/>
    </row>
    <row r="28" spans="1:66">
      <c r="A28" s="131">
        <v>10079</v>
      </c>
      <c r="B28" s="131" t="s">
        <v>32</v>
      </c>
      <c r="C28" s="131">
        <v>1</v>
      </c>
      <c r="D28" s="131">
        <v>0</v>
      </c>
      <c r="E28" s="134">
        <v>89.494</v>
      </c>
      <c r="F28" s="134">
        <v>89.09</v>
      </c>
      <c r="G28" s="134">
        <v>90.021000000000001</v>
      </c>
      <c r="H28" s="134">
        <v>0</v>
      </c>
      <c r="I28" s="134">
        <v>0</v>
      </c>
      <c r="J28" s="134">
        <v>2.9409999999999998</v>
      </c>
      <c r="K28" s="134">
        <v>2.9409999999999998</v>
      </c>
      <c r="L28" s="133">
        <v>25834</v>
      </c>
      <c r="M28" s="133">
        <v>25763</v>
      </c>
      <c r="N28" s="134">
        <v>86.61</v>
      </c>
      <c r="O28" s="134">
        <v>88.045000000000002</v>
      </c>
      <c r="P28" s="133">
        <v>760782</v>
      </c>
      <c r="Q28" s="133">
        <v>771274</v>
      </c>
      <c r="R28" s="131">
        <v>87.712000000000003</v>
      </c>
      <c r="S28" s="133">
        <v>770462</v>
      </c>
      <c r="T28" s="133">
        <v>768357</v>
      </c>
      <c r="U28" s="134">
        <v>0</v>
      </c>
      <c r="V28" s="134">
        <v>0.33300000000000002</v>
      </c>
      <c r="W28" s="134">
        <v>0</v>
      </c>
      <c r="X28" s="134">
        <v>0.33300000000000002</v>
      </c>
      <c r="Y28" s="134">
        <v>0</v>
      </c>
      <c r="Z28" s="134">
        <v>0</v>
      </c>
      <c r="AA28" s="131">
        <v>0</v>
      </c>
      <c r="AB28" s="131">
        <v>0</v>
      </c>
      <c r="AC28" s="134">
        <v>0</v>
      </c>
      <c r="AD28" s="134">
        <v>0.33300000000000002</v>
      </c>
      <c r="AE28" s="135">
        <v>1.2329700000000001E-2</v>
      </c>
      <c r="AF28" s="135">
        <v>1.24866E-2</v>
      </c>
      <c r="AG28" s="135">
        <v>0</v>
      </c>
      <c r="AH28" s="135">
        <v>1.2329700000000001E-2</v>
      </c>
      <c r="AI28" s="135">
        <v>1.24866E-2</v>
      </c>
      <c r="AJ28" s="135">
        <v>1.2408199999999999E-2</v>
      </c>
      <c r="AK28" s="135">
        <v>1</v>
      </c>
      <c r="AL28" s="135">
        <v>0.99634310000000004</v>
      </c>
      <c r="AM28" s="135">
        <v>1</v>
      </c>
      <c r="AN28" s="135">
        <v>1.0037965</v>
      </c>
      <c r="AO28" s="135">
        <v>0</v>
      </c>
      <c r="AP28" s="135">
        <v>0</v>
      </c>
      <c r="AQ28" s="131">
        <v>3</v>
      </c>
      <c r="AR28" s="131">
        <v>3</v>
      </c>
      <c r="AS28" s="134">
        <v>4.069</v>
      </c>
      <c r="AT28" s="134">
        <v>4.069</v>
      </c>
      <c r="AU28" s="134">
        <v>0</v>
      </c>
      <c r="AV28" s="134">
        <v>0</v>
      </c>
      <c r="AW28" s="134">
        <v>4.069</v>
      </c>
      <c r="AX28" s="134">
        <v>4.069</v>
      </c>
      <c r="AY28" s="134">
        <v>-4.069</v>
      </c>
      <c r="AZ28" s="134">
        <v>-3.7360000000000002</v>
      </c>
      <c r="BA28" s="134">
        <v>0</v>
      </c>
      <c r="BB28" s="134">
        <v>0</v>
      </c>
      <c r="BC28" s="134">
        <v>-4.069</v>
      </c>
      <c r="BD28" s="134">
        <v>-3.7360000000000002</v>
      </c>
      <c r="BE28" s="134">
        <v>86.61</v>
      </c>
      <c r="BF28" s="134">
        <v>87.712000000000003</v>
      </c>
      <c r="BG28" s="131">
        <v>0</v>
      </c>
      <c r="BH28" s="131"/>
      <c r="BI28" s="131"/>
      <c r="BJ28" s="131"/>
      <c r="BK28" s="131"/>
      <c r="BL28" s="131"/>
      <c r="BM28" s="131"/>
      <c r="BN28" s="131"/>
    </row>
    <row r="29" spans="1:66">
      <c r="A29" s="131">
        <v>10080</v>
      </c>
      <c r="B29" s="131" t="s">
        <v>33</v>
      </c>
      <c r="C29" s="131">
        <v>1</v>
      </c>
      <c r="D29" s="131">
        <v>0</v>
      </c>
      <c r="E29" s="134">
        <v>7.548</v>
      </c>
      <c r="F29" s="134">
        <v>6.8550000000000004</v>
      </c>
      <c r="G29" s="134">
        <v>6.8570000000000002</v>
      </c>
      <c r="H29" s="134">
        <v>0</v>
      </c>
      <c r="I29" s="134">
        <v>0</v>
      </c>
      <c r="J29" s="134">
        <v>0</v>
      </c>
      <c r="K29" s="134">
        <v>0</v>
      </c>
      <c r="L29" s="133">
        <v>0</v>
      </c>
      <c r="M29" s="133">
        <v>0</v>
      </c>
      <c r="N29" s="134">
        <v>6.8890000000000002</v>
      </c>
      <c r="O29" s="134">
        <v>6.899</v>
      </c>
      <c r="P29" s="133">
        <v>60513</v>
      </c>
      <c r="Q29" s="133">
        <v>60435</v>
      </c>
      <c r="R29" s="131">
        <v>7.3979999999999997</v>
      </c>
      <c r="S29" s="133">
        <v>64984</v>
      </c>
      <c r="T29" s="133">
        <v>64806</v>
      </c>
      <c r="U29" s="134">
        <v>0</v>
      </c>
      <c r="V29" s="134">
        <v>0</v>
      </c>
      <c r="W29" s="134">
        <v>0</v>
      </c>
      <c r="X29" s="134">
        <v>0</v>
      </c>
      <c r="Y29" s="134">
        <v>0</v>
      </c>
      <c r="Z29" s="134">
        <v>0</v>
      </c>
      <c r="AA29" s="131">
        <v>0</v>
      </c>
      <c r="AB29" s="131">
        <v>0</v>
      </c>
      <c r="AC29" s="134">
        <v>0</v>
      </c>
      <c r="AD29" s="134">
        <v>0</v>
      </c>
      <c r="AE29" s="135">
        <v>9.8069999999999993E-4</v>
      </c>
      <c r="AF29" s="135">
        <v>9.8210000000000007E-4</v>
      </c>
      <c r="AG29" s="135">
        <v>0</v>
      </c>
      <c r="AH29" s="135">
        <v>9.8069999999999993E-4</v>
      </c>
      <c r="AI29" s="135">
        <v>9.8210000000000007E-4</v>
      </c>
      <c r="AJ29" s="135">
        <v>9.8139999999999989E-4</v>
      </c>
      <c r="AK29" s="135">
        <v>0.99999110000000002</v>
      </c>
      <c r="AL29" s="135">
        <v>0.9999671</v>
      </c>
      <c r="AM29" s="135">
        <v>1</v>
      </c>
      <c r="AN29" s="135">
        <v>1</v>
      </c>
      <c r="AO29" s="135">
        <v>0</v>
      </c>
      <c r="AP29" s="135">
        <v>0</v>
      </c>
      <c r="AQ29" s="131">
        <v>1</v>
      </c>
      <c r="AR29" s="131">
        <v>1</v>
      </c>
      <c r="AS29" s="134">
        <v>0</v>
      </c>
      <c r="AT29" s="134">
        <v>0</v>
      </c>
      <c r="AU29" s="134">
        <v>0</v>
      </c>
      <c r="AV29" s="134">
        <v>0</v>
      </c>
      <c r="AW29" s="134">
        <v>0</v>
      </c>
      <c r="AX29" s="134">
        <v>0</v>
      </c>
      <c r="AY29" s="134">
        <v>0</v>
      </c>
      <c r="AZ29" s="134">
        <v>0</v>
      </c>
      <c r="BA29" s="134">
        <v>0</v>
      </c>
      <c r="BB29" s="134">
        <v>0</v>
      </c>
      <c r="BC29" s="134">
        <v>0</v>
      </c>
      <c r="BD29" s="134">
        <v>0</v>
      </c>
      <c r="BE29" s="134">
        <v>6.8890000000000002</v>
      </c>
      <c r="BF29" s="134">
        <v>6.899</v>
      </c>
      <c r="BG29" s="131">
        <v>0</v>
      </c>
      <c r="BH29" s="131"/>
      <c r="BI29" s="131"/>
      <c r="BJ29" s="131"/>
      <c r="BK29" s="131"/>
      <c r="BL29" s="131"/>
      <c r="BM29" s="131"/>
      <c r="BN29" s="131"/>
    </row>
    <row r="30" spans="1:66">
      <c r="A30" s="131">
        <v>10081</v>
      </c>
      <c r="B30" s="131" t="s">
        <v>34</v>
      </c>
      <c r="C30" s="131">
        <v>1</v>
      </c>
      <c r="D30" s="131">
        <v>0</v>
      </c>
      <c r="E30" s="134">
        <v>10.611000000000001</v>
      </c>
      <c r="F30" s="134">
        <v>12.411</v>
      </c>
      <c r="G30" s="134">
        <v>12.404</v>
      </c>
      <c r="H30" s="134">
        <v>0</v>
      </c>
      <c r="I30" s="134">
        <v>0</v>
      </c>
      <c r="J30" s="134">
        <v>2.9409999999999998</v>
      </c>
      <c r="K30" s="134">
        <v>2.9409999999999998</v>
      </c>
      <c r="L30" s="133">
        <v>25834</v>
      </c>
      <c r="M30" s="133">
        <v>25763</v>
      </c>
      <c r="N30" s="134">
        <v>10.673</v>
      </c>
      <c r="O30" s="134">
        <v>10.667999999999999</v>
      </c>
      <c r="P30" s="133">
        <v>93752</v>
      </c>
      <c r="Q30" s="133">
        <v>93452</v>
      </c>
      <c r="R30" s="131">
        <v>10.4</v>
      </c>
      <c r="S30" s="133">
        <v>91354</v>
      </c>
      <c r="T30" s="133">
        <v>91104</v>
      </c>
      <c r="U30" s="134">
        <v>0.27300000000000002</v>
      </c>
      <c r="V30" s="134">
        <v>0.26800000000000002</v>
      </c>
      <c r="W30" s="134">
        <v>0</v>
      </c>
      <c r="X30" s="134">
        <v>0</v>
      </c>
      <c r="Y30" s="134">
        <v>0.27300000000000002</v>
      </c>
      <c r="Z30" s="134">
        <v>0.26800000000000002</v>
      </c>
      <c r="AA30" s="131">
        <v>0</v>
      </c>
      <c r="AB30" s="131">
        <v>0</v>
      </c>
      <c r="AC30" s="134">
        <v>0</v>
      </c>
      <c r="AD30" s="134">
        <v>0</v>
      </c>
      <c r="AE30" s="135">
        <v>1.4805E-3</v>
      </c>
      <c r="AF30" s="135">
        <v>1.4805E-3</v>
      </c>
      <c r="AG30" s="135">
        <v>0</v>
      </c>
      <c r="AH30" s="135">
        <v>1.4805E-3</v>
      </c>
      <c r="AI30" s="135">
        <v>1.4805E-3</v>
      </c>
      <c r="AJ30" s="135">
        <v>1.4805E-3</v>
      </c>
      <c r="AK30" s="135">
        <v>0.97993169999999996</v>
      </c>
      <c r="AL30" s="135">
        <v>0.98029169999999999</v>
      </c>
      <c r="AM30" s="135">
        <v>1.0262500000000001</v>
      </c>
      <c r="AN30" s="135">
        <v>1.0257692</v>
      </c>
      <c r="AO30" s="135">
        <v>0</v>
      </c>
      <c r="AP30" s="135">
        <v>0</v>
      </c>
      <c r="AQ30" s="131">
        <v>1</v>
      </c>
      <c r="AR30" s="131">
        <v>1</v>
      </c>
      <c r="AS30" s="134">
        <v>0</v>
      </c>
      <c r="AT30" s="134">
        <v>0</v>
      </c>
      <c r="AU30" s="134">
        <v>0</v>
      </c>
      <c r="AV30" s="134">
        <v>0</v>
      </c>
      <c r="AW30" s="134">
        <v>0</v>
      </c>
      <c r="AX30" s="134">
        <v>0</v>
      </c>
      <c r="AY30" s="134">
        <v>0</v>
      </c>
      <c r="AZ30" s="134">
        <v>0</v>
      </c>
      <c r="BA30" s="134">
        <v>0</v>
      </c>
      <c r="BB30" s="134">
        <v>0</v>
      </c>
      <c r="BC30" s="134">
        <v>0</v>
      </c>
      <c r="BD30" s="134">
        <v>0</v>
      </c>
      <c r="BE30" s="134">
        <v>10.673</v>
      </c>
      <c r="BF30" s="134">
        <v>10.667999999999999</v>
      </c>
      <c r="BG30" s="131">
        <v>0</v>
      </c>
      <c r="BH30" s="131"/>
      <c r="BI30" s="131"/>
      <c r="BJ30" s="131"/>
      <c r="BK30" s="131"/>
      <c r="BL30" s="131"/>
      <c r="BM30" s="131"/>
      <c r="BN30" s="131"/>
    </row>
    <row r="31" spans="1:66">
      <c r="A31" s="131">
        <v>10082</v>
      </c>
      <c r="B31" s="131" t="s">
        <v>35</v>
      </c>
      <c r="C31" s="131">
        <v>1</v>
      </c>
      <c r="D31" s="131">
        <v>0</v>
      </c>
      <c r="E31" s="134">
        <v>0.12</v>
      </c>
      <c r="F31" s="134">
        <v>9.4E-2</v>
      </c>
      <c r="G31" s="134">
        <v>9.4E-2</v>
      </c>
      <c r="H31" s="134">
        <v>0</v>
      </c>
      <c r="I31" s="134">
        <v>0</v>
      </c>
      <c r="J31" s="134">
        <v>0</v>
      </c>
      <c r="K31" s="134">
        <v>0</v>
      </c>
      <c r="L31" s="133">
        <v>0</v>
      </c>
      <c r="M31" s="133">
        <v>0</v>
      </c>
      <c r="N31" s="134">
        <v>9.4E-2</v>
      </c>
      <c r="O31" s="134">
        <v>9.4E-2</v>
      </c>
      <c r="P31" s="133">
        <v>826</v>
      </c>
      <c r="Q31" s="133">
        <v>823</v>
      </c>
      <c r="R31" s="131">
        <v>0.11799999999999999</v>
      </c>
      <c r="S31" s="133">
        <v>1037</v>
      </c>
      <c r="T31" s="133">
        <v>1034</v>
      </c>
      <c r="U31" s="134">
        <v>0</v>
      </c>
      <c r="V31" s="134">
        <v>0</v>
      </c>
      <c r="W31" s="134">
        <v>0</v>
      </c>
      <c r="X31" s="134">
        <v>0</v>
      </c>
      <c r="Y31" s="134">
        <v>0</v>
      </c>
      <c r="Z31" s="134">
        <v>0</v>
      </c>
      <c r="AA31" s="131">
        <v>0</v>
      </c>
      <c r="AB31" s="131">
        <v>0</v>
      </c>
      <c r="AC31" s="134">
        <v>0</v>
      </c>
      <c r="AD31" s="134">
        <v>0</v>
      </c>
      <c r="AE31" s="135">
        <v>1.34E-5</v>
      </c>
      <c r="AF31" s="135">
        <v>1.34E-5</v>
      </c>
      <c r="AG31" s="135">
        <v>0</v>
      </c>
      <c r="AH31" s="135">
        <v>1.34E-5</v>
      </c>
      <c r="AI31" s="135">
        <v>1.34E-5</v>
      </c>
      <c r="AJ31" s="135">
        <v>1.34E-5</v>
      </c>
      <c r="AK31" s="135">
        <v>1</v>
      </c>
      <c r="AL31" s="135">
        <v>1</v>
      </c>
      <c r="AM31" s="135">
        <v>1</v>
      </c>
      <c r="AN31" s="135">
        <v>1</v>
      </c>
      <c r="AO31" s="135">
        <v>0</v>
      </c>
      <c r="AP31" s="135">
        <v>0</v>
      </c>
      <c r="AQ31" s="131">
        <v>1</v>
      </c>
      <c r="AR31" s="131">
        <v>1</v>
      </c>
      <c r="AS31" s="134">
        <v>0</v>
      </c>
      <c r="AT31" s="134">
        <v>0</v>
      </c>
      <c r="AU31" s="134">
        <v>0</v>
      </c>
      <c r="AV31" s="134">
        <v>0</v>
      </c>
      <c r="AW31" s="134">
        <v>0</v>
      </c>
      <c r="AX31" s="134">
        <v>0</v>
      </c>
      <c r="AY31" s="134">
        <v>0</v>
      </c>
      <c r="AZ31" s="134">
        <v>0</v>
      </c>
      <c r="BA31" s="134">
        <v>0</v>
      </c>
      <c r="BB31" s="134">
        <v>0</v>
      </c>
      <c r="BC31" s="134">
        <v>0</v>
      </c>
      <c r="BD31" s="134">
        <v>0</v>
      </c>
      <c r="BE31" s="134">
        <v>9.4E-2</v>
      </c>
      <c r="BF31" s="134">
        <v>9.4E-2</v>
      </c>
      <c r="BG31" s="131">
        <v>0</v>
      </c>
      <c r="BH31" s="131"/>
      <c r="BI31" s="131"/>
      <c r="BJ31" s="131"/>
      <c r="BK31" s="131"/>
      <c r="BL31" s="131"/>
      <c r="BM31" s="131"/>
      <c r="BN31" s="131"/>
    </row>
    <row r="32" spans="1:66">
      <c r="A32" s="131">
        <v>10083</v>
      </c>
      <c r="B32" s="131" t="s">
        <v>36</v>
      </c>
      <c r="C32" s="131">
        <v>1</v>
      </c>
      <c r="D32" s="131">
        <v>0</v>
      </c>
      <c r="E32" s="134">
        <v>8.4879999999999995</v>
      </c>
      <c r="F32" s="134">
        <v>8.7140000000000004</v>
      </c>
      <c r="G32" s="134">
        <v>8.7769999999999992</v>
      </c>
      <c r="H32" s="134">
        <v>0</v>
      </c>
      <c r="I32" s="134">
        <v>0</v>
      </c>
      <c r="J32" s="134">
        <v>0</v>
      </c>
      <c r="K32" s="134">
        <v>0</v>
      </c>
      <c r="L32" s="133">
        <v>0</v>
      </c>
      <c r="M32" s="133">
        <v>0</v>
      </c>
      <c r="N32" s="134">
        <v>8.5259999999999998</v>
      </c>
      <c r="O32" s="134">
        <v>8.5679999999999996</v>
      </c>
      <c r="P32" s="133">
        <v>74892</v>
      </c>
      <c r="Q32" s="133">
        <v>75056</v>
      </c>
      <c r="R32" s="131">
        <v>8.3190000000000008</v>
      </c>
      <c r="S32" s="133">
        <v>73074</v>
      </c>
      <c r="T32" s="133">
        <v>72874</v>
      </c>
      <c r="U32" s="134">
        <v>0.20699999999999999</v>
      </c>
      <c r="V32" s="134">
        <v>0.249</v>
      </c>
      <c r="W32" s="134">
        <v>0</v>
      </c>
      <c r="X32" s="134">
        <v>0</v>
      </c>
      <c r="Y32" s="134">
        <v>0.20699999999999999</v>
      </c>
      <c r="Z32" s="134">
        <v>0.249</v>
      </c>
      <c r="AA32" s="131">
        <v>0</v>
      </c>
      <c r="AB32" s="131">
        <v>0</v>
      </c>
      <c r="AC32" s="134">
        <v>0</v>
      </c>
      <c r="AD32" s="134">
        <v>0</v>
      </c>
      <c r="AE32" s="135">
        <v>1.1842999999999999E-3</v>
      </c>
      <c r="AF32" s="135">
        <v>1.1842999999999999E-3</v>
      </c>
      <c r="AG32" s="135">
        <v>0</v>
      </c>
      <c r="AH32" s="135">
        <v>1.1842999999999999E-3</v>
      </c>
      <c r="AI32" s="135">
        <v>1.1842999999999999E-3</v>
      </c>
      <c r="AJ32" s="135">
        <v>1.1842999999999999E-3</v>
      </c>
      <c r="AK32" s="135">
        <v>0.97573650000000001</v>
      </c>
      <c r="AL32" s="135">
        <v>0.97095350000000002</v>
      </c>
      <c r="AM32" s="135">
        <v>1.0248828000000001</v>
      </c>
      <c r="AN32" s="135">
        <v>1.0299315</v>
      </c>
      <c r="AO32" s="135">
        <v>0</v>
      </c>
      <c r="AP32" s="135">
        <v>0</v>
      </c>
      <c r="AQ32" s="131">
        <v>1</v>
      </c>
      <c r="AR32" s="131">
        <v>1</v>
      </c>
      <c r="AS32" s="134">
        <v>0</v>
      </c>
      <c r="AT32" s="134">
        <v>0</v>
      </c>
      <c r="AU32" s="134">
        <v>0</v>
      </c>
      <c r="AV32" s="134">
        <v>0</v>
      </c>
      <c r="AW32" s="134">
        <v>0</v>
      </c>
      <c r="AX32" s="134">
        <v>0</v>
      </c>
      <c r="AY32" s="134">
        <v>0</v>
      </c>
      <c r="AZ32" s="134">
        <v>0</v>
      </c>
      <c r="BA32" s="134">
        <v>0</v>
      </c>
      <c r="BB32" s="134">
        <v>0</v>
      </c>
      <c r="BC32" s="134">
        <v>0</v>
      </c>
      <c r="BD32" s="134">
        <v>0</v>
      </c>
      <c r="BE32" s="134">
        <v>8.5259999999999998</v>
      </c>
      <c r="BF32" s="134">
        <v>8.5679999999999996</v>
      </c>
      <c r="BG32" s="131">
        <v>0</v>
      </c>
      <c r="BH32" s="131"/>
      <c r="BI32" s="131"/>
      <c r="BJ32" s="131"/>
      <c r="BK32" s="131"/>
      <c r="BL32" s="131"/>
      <c r="BM32" s="131"/>
      <c r="BN32" s="131"/>
    </row>
    <row r="33" spans="1:66">
      <c r="A33" s="131">
        <v>10086</v>
      </c>
      <c r="B33" s="131" t="s">
        <v>37</v>
      </c>
      <c r="C33" s="131">
        <v>1</v>
      </c>
      <c r="D33" s="131">
        <v>0</v>
      </c>
      <c r="E33" s="134">
        <v>4.0039999999999996</v>
      </c>
      <c r="F33" s="134">
        <v>3.867</v>
      </c>
      <c r="G33" s="134">
        <v>3.8719999999999999</v>
      </c>
      <c r="H33" s="134">
        <v>0</v>
      </c>
      <c r="I33" s="134">
        <v>0</v>
      </c>
      <c r="J33" s="134">
        <v>0</v>
      </c>
      <c r="K33" s="134">
        <v>0</v>
      </c>
      <c r="L33" s="133">
        <v>0</v>
      </c>
      <c r="M33" s="133">
        <v>0</v>
      </c>
      <c r="N33" s="134">
        <v>3.8730000000000002</v>
      </c>
      <c r="O33" s="134">
        <v>3.8820000000000001</v>
      </c>
      <c r="P33" s="133">
        <v>34020</v>
      </c>
      <c r="Q33" s="133">
        <v>34006</v>
      </c>
      <c r="R33" s="131">
        <v>3.9239999999999999</v>
      </c>
      <c r="S33" s="133">
        <v>34468</v>
      </c>
      <c r="T33" s="133">
        <v>34374</v>
      </c>
      <c r="U33" s="134">
        <v>0</v>
      </c>
      <c r="V33" s="134">
        <v>0</v>
      </c>
      <c r="W33" s="134">
        <v>0</v>
      </c>
      <c r="X33" s="134">
        <v>0</v>
      </c>
      <c r="Y33" s="134">
        <v>0</v>
      </c>
      <c r="Z33" s="134">
        <v>0</v>
      </c>
      <c r="AA33" s="131">
        <v>0</v>
      </c>
      <c r="AB33" s="131">
        <v>0</v>
      </c>
      <c r="AC33" s="134">
        <v>0</v>
      </c>
      <c r="AD33" s="134">
        <v>0</v>
      </c>
      <c r="AE33" s="135">
        <v>5.5139999999999996E-4</v>
      </c>
      <c r="AF33" s="135">
        <v>5.5259999999999999E-4</v>
      </c>
      <c r="AG33" s="135">
        <v>0</v>
      </c>
      <c r="AH33" s="135">
        <v>5.5139999999999996E-4</v>
      </c>
      <c r="AI33" s="135">
        <v>5.5259999999999999E-4</v>
      </c>
      <c r="AJ33" s="135">
        <v>5.5199999999999997E-4</v>
      </c>
      <c r="AK33" s="135">
        <v>1</v>
      </c>
      <c r="AL33" s="135">
        <v>0.9999344</v>
      </c>
      <c r="AM33" s="135">
        <v>1</v>
      </c>
      <c r="AN33" s="135">
        <v>1</v>
      </c>
      <c r="AO33" s="135">
        <v>0</v>
      </c>
      <c r="AP33" s="135">
        <v>0</v>
      </c>
      <c r="AQ33" s="131">
        <v>1</v>
      </c>
      <c r="AR33" s="131">
        <v>1</v>
      </c>
      <c r="AS33" s="134">
        <v>0</v>
      </c>
      <c r="AT33" s="134">
        <v>0</v>
      </c>
      <c r="AU33" s="134">
        <v>0</v>
      </c>
      <c r="AV33" s="134">
        <v>0</v>
      </c>
      <c r="AW33" s="134">
        <v>0</v>
      </c>
      <c r="AX33" s="134">
        <v>0</v>
      </c>
      <c r="AY33" s="134">
        <v>0</v>
      </c>
      <c r="AZ33" s="134">
        <v>0</v>
      </c>
      <c r="BA33" s="134">
        <v>0</v>
      </c>
      <c r="BB33" s="134">
        <v>0</v>
      </c>
      <c r="BC33" s="134">
        <v>0</v>
      </c>
      <c r="BD33" s="134">
        <v>0</v>
      </c>
      <c r="BE33" s="134">
        <v>3.8730000000000002</v>
      </c>
      <c r="BF33" s="134">
        <v>3.8820000000000001</v>
      </c>
      <c r="BG33" s="131">
        <v>0</v>
      </c>
      <c r="BH33" s="131"/>
      <c r="BI33" s="131"/>
      <c r="BJ33" s="131"/>
      <c r="BK33" s="131"/>
      <c r="BL33" s="131"/>
      <c r="BM33" s="131"/>
      <c r="BN33" s="131"/>
    </row>
    <row r="34" spans="1:66">
      <c r="A34" s="131">
        <v>10087</v>
      </c>
      <c r="B34" s="131" t="s">
        <v>38</v>
      </c>
      <c r="C34" s="131">
        <v>1</v>
      </c>
      <c r="D34" s="131">
        <v>0</v>
      </c>
      <c r="E34" s="134">
        <v>86.754999999999995</v>
      </c>
      <c r="F34" s="134">
        <v>32.093000000000004</v>
      </c>
      <c r="G34" s="134">
        <v>32.064999999999998</v>
      </c>
      <c r="H34" s="134">
        <v>0</v>
      </c>
      <c r="I34" s="134">
        <v>0</v>
      </c>
      <c r="J34" s="134">
        <v>0</v>
      </c>
      <c r="K34" s="134">
        <v>0</v>
      </c>
      <c r="L34" s="133">
        <v>0</v>
      </c>
      <c r="M34" s="133">
        <v>0</v>
      </c>
      <c r="N34" s="134">
        <v>30.669</v>
      </c>
      <c r="O34" s="134">
        <v>30.68</v>
      </c>
      <c r="P34" s="133">
        <v>269396</v>
      </c>
      <c r="Q34" s="133">
        <v>268757</v>
      </c>
      <c r="R34" s="131">
        <v>85.027000000000001</v>
      </c>
      <c r="S34" s="133">
        <v>746877</v>
      </c>
      <c r="T34" s="133">
        <v>744837</v>
      </c>
      <c r="U34" s="134">
        <v>0</v>
      </c>
      <c r="V34" s="134">
        <v>0</v>
      </c>
      <c r="W34" s="134">
        <v>0</v>
      </c>
      <c r="X34" s="134">
        <v>0</v>
      </c>
      <c r="Y34" s="134">
        <v>0</v>
      </c>
      <c r="Z34" s="134">
        <v>0</v>
      </c>
      <c r="AA34" s="131">
        <v>0</v>
      </c>
      <c r="AB34" s="131">
        <v>0</v>
      </c>
      <c r="AC34" s="134">
        <v>0</v>
      </c>
      <c r="AD34" s="134">
        <v>0</v>
      </c>
      <c r="AE34" s="135">
        <v>4.3660000000000001E-3</v>
      </c>
      <c r="AF34" s="135">
        <v>4.3676000000000001E-3</v>
      </c>
      <c r="AG34" s="135">
        <v>0</v>
      </c>
      <c r="AH34" s="135">
        <v>4.3660000000000001E-3</v>
      </c>
      <c r="AI34" s="135">
        <v>4.3676000000000001E-3</v>
      </c>
      <c r="AJ34" s="135">
        <v>4.3667999999999997E-3</v>
      </c>
      <c r="AK34" s="135">
        <v>1</v>
      </c>
      <c r="AL34" s="135">
        <v>1</v>
      </c>
      <c r="AM34" s="135">
        <v>1</v>
      </c>
      <c r="AN34" s="135">
        <v>1</v>
      </c>
      <c r="AO34" s="135">
        <v>0</v>
      </c>
      <c r="AP34" s="135">
        <v>0</v>
      </c>
      <c r="AQ34" s="131">
        <v>2</v>
      </c>
      <c r="AR34" s="131">
        <v>2</v>
      </c>
      <c r="AS34" s="134">
        <v>10</v>
      </c>
      <c r="AT34" s="134">
        <v>10</v>
      </c>
      <c r="AU34" s="134">
        <v>0</v>
      </c>
      <c r="AV34" s="134">
        <v>0</v>
      </c>
      <c r="AW34" s="134">
        <v>0</v>
      </c>
      <c r="AX34" s="134">
        <v>0</v>
      </c>
      <c r="AY34" s="134">
        <v>0</v>
      </c>
      <c r="AZ34" s="134">
        <v>0</v>
      </c>
      <c r="BA34" s="134">
        <v>0</v>
      </c>
      <c r="BB34" s="134">
        <v>0</v>
      </c>
      <c r="BC34" s="134">
        <v>0</v>
      </c>
      <c r="BD34" s="134">
        <v>0</v>
      </c>
      <c r="BE34" s="134">
        <v>30.669</v>
      </c>
      <c r="BF34" s="134">
        <v>30.68</v>
      </c>
      <c r="BG34" s="131">
        <v>0</v>
      </c>
      <c r="BH34" s="131"/>
      <c r="BI34" s="131"/>
      <c r="BJ34" s="131"/>
      <c r="BK34" s="131"/>
      <c r="BL34" s="131"/>
      <c r="BM34" s="131"/>
      <c r="BN34" s="131"/>
    </row>
    <row r="35" spans="1:66">
      <c r="A35" s="131">
        <v>10089</v>
      </c>
      <c r="B35" s="131" t="s">
        <v>39</v>
      </c>
      <c r="C35" s="131">
        <v>1</v>
      </c>
      <c r="D35" s="131">
        <v>0</v>
      </c>
      <c r="E35" s="134">
        <v>105.40600000000001</v>
      </c>
      <c r="F35" s="134">
        <v>112.33499999999999</v>
      </c>
      <c r="G35" s="134">
        <v>113.255</v>
      </c>
      <c r="H35" s="134">
        <v>0</v>
      </c>
      <c r="I35" s="134">
        <v>0</v>
      </c>
      <c r="J35" s="134">
        <v>0</v>
      </c>
      <c r="K35" s="134">
        <v>0</v>
      </c>
      <c r="L35" s="133">
        <v>0</v>
      </c>
      <c r="M35" s="133">
        <v>0</v>
      </c>
      <c r="N35" s="134">
        <v>114.26</v>
      </c>
      <c r="O35" s="134">
        <v>115.386</v>
      </c>
      <c r="P35" s="133">
        <v>1003660</v>
      </c>
      <c r="Q35" s="133">
        <v>1010781</v>
      </c>
      <c r="R35" s="131">
        <v>103.307</v>
      </c>
      <c r="S35" s="133">
        <v>907449</v>
      </c>
      <c r="T35" s="133">
        <v>904969</v>
      </c>
      <c r="U35" s="134">
        <v>10.952999999999999</v>
      </c>
      <c r="V35" s="134">
        <v>12.079000000000001</v>
      </c>
      <c r="W35" s="134">
        <v>10.952999999999999</v>
      </c>
      <c r="X35" s="134">
        <v>12.079000000000001</v>
      </c>
      <c r="Y35" s="134">
        <v>0</v>
      </c>
      <c r="Z35" s="134">
        <v>0</v>
      </c>
      <c r="AA35" s="131">
        <v>0</v>
      </c>
      <c r="AB35" s="131">
        <v>0</v>
      </c>
      <c r="AC35" s="134">
        <v>10.952999999999999</v>
      </c>
      <c r="AD35" s="134">
        <v>12.079000000000001</v>
      </c>
      <c r="AE35" s="135">
        <v>1.47066E-2</v>
      </c>
      <c r="AF35" s="135">
        <v>1.47066E-2</v>
      </c>
      <c r="AG35" s="135">
        <v>0</v>
      </c>
      <c r="AH35" s="135">
        <v>1.47066E-2</v>
      </c>
      <c r="AI35" s="135">
        <v>1.47066E-2</v>
      </c>
      <c r="AJ35" s="135">
        <v>1.47066E-2</v>
      </c>
      <c r="AK35" s="135">
        <v>0.90413699999999997</v>
      </c>
      <c r="AL35" s="135">
        <v>0.8953139</v>
      </c>
      <c r="AM35" s="135">
        <v>1.1060238</v>
      </c>
      <c r="AN35" s="135">
        <v>1.1169233000000001</v>
      </c>
      <c r="AO35" s="135">
        <v>0</v>
      </c>
      <c r="AP35" s="135">
        <v>0</v>
      </c>
      <c r="AQ35" s="131">
        <v>3</v>
      </c>
      <c r="AR35" s="131">
        <v>3</v>
      </c>
      <c r="AS35" s="134">
        <v>8</v>
      </c>
      <c r="AT35" s="134">
        <v>8</v>
      </c>
      <c r="AU35" s="134">
        <v>2.9529999999999998</v>
      </c>
      <c r="AV35" s="134">
        <v>4.0789999999999997</v>
      </c>
      <c r="AW35" s="134">
        <v>0</v>
      </c>
      <c r="AX35" s="134">
        <v>0</v>
      </c>
      <c r="AY35" s="134">
        <v>0</v>
      </c>
      <c r="AZ35" s="134">
        <v>0</v>
      </c>
      <c r="BA35" s="134">
        <v>0</v>
      </c>
      <c r="BB35" s="134">
        <v>0</v>
      </c>
      <c r="BC35" s="134">
        <v>0</v>
      </c>
      <c r="BD35" s="134">
        <v>0</v>
      </c>
      <c r="BE35" s="134">
        <v>106.26</v>
      </c>
      <c r="BF35" s="134">
        <v>107.386</v>
      </c>
      <c r="BG35" s="131">
        <v>1</v>
      </c>
      <c r="BH35" s="131"/>
      <c r="BI35" s="131"/>
      <c r="BJ35" s="131"/>
      <c r="BK35" s="131"/>
      <c r="BL35" s="131"/>
      <c r="BM35" s="131"/>
      <c r="BN35" s="131"/>
    </row>
    <row r="36" spans="1:66">
      <c r="A36" s="131">
        <v>10091</v>
      </c>
      <c r="B36" s="131" t="s">
        <v>40</v>
      </c>
      <c r="C36" s="131">
        <v>1</v>
      </c>
      <c r="D36" s="131">
        <v>0</v>
      </c>
      <c r="E36" s="134">
        <v>9.5630000000000006</v>
      </c>
      <c r="F36" s="134">
        <v>9.6080000000000005</v>
      </c>
      <c r="G36" s="134">
        <v>9.6790000000000003</v>
      </c>
      <c r="H36" s="134">
        <v>0</v>
      </c>
      <c r="I36" s="134">
        <v>0</v>
      </c>
      <c r="J36" s="134">
        <v>0</v>
      </c>
      <c r="K36" s="134">
        <v>0</v>
      </c>
      <c r="L36" s="133">
        <v>0</v>
      </c>
      <c r="M36" s="133">
        <v>0</v>
      </c>
      <c r="N36" s="134">
        <v>9.6669999999999998</v>
      </c>
      <c r="O36" s="134">
        <v>9.6649999999999991</v>
      </c>
      <c r="P36" s="133">
        <v>84915</v>
      </c>
      <c r="Q36" s="133">
        <v>84665</v>
      </c>
      <c r="R36" s="131">
        <v>9.3729999999999993</v>
      </c>
      <c r="S36" s="133">
        <v>82332</v>
      </c>
      <c r="T36" s="133">
        <v>82107</v>
      </c>
      <c r="U36" s="134">
        <v>0.29399999999999998</v>
      </c>
      <c r="V36" s="134">
        <v>0.29199999999999998</v>
      </c>
      <c r="W36" s="134">
        <v>0</v>
      </c>
      <c r="X36" s="134">
        <v>0</v>
      </c>
      <c r="Y36" s="134">
        <v>0.29399999999999998</v>
      </c>
      <c r="Z36" s="134">
        <v>0.29199999999999998</v>
      </c>
      <c r="AA36" s="131">
        <v>0</v>
      </c>
      <c r="AB36" s="131">
        <v>0</v>
      </c>
      <c r="AC36" s="134">
        <v>0</v>
      </c>
      <c r="AD36" s="134">
        <v>0</v>
      </c>
      <c r="AE36" s="135">
        <v>1.3343000000000001E-3</v>
      </c>
      <c r="AF36" s="135">
        <v>1.3343000000000001E-3</v>
      </c>
      <c r="AG36" s="135">
        <v>0</v>
      </c>
      <c r="AH36" s="135">
        <v>1.3343000000000001E-3</v>
      </c>
      <c r="AI36" s="135">
        <v>1.3343000000000001E-3</v>
      </c>
      <c r="AJ36" s="135">
        <v>1.3343000000000001E-3</v>
      </c>
      <c r="AK36" s="135">
        <v>0.96956719999999996</v>
      </c>
      <c r="AL36" s="135">
        <v>0.96976790000000002</v>
      </c>
      <c r="AM36" s="135">
        <v>1.0313667</v>
      </c>
      <c r="AN36" s="135">
        <v>1.0311532999999999</v>
      </c>
      <c r="AO36" s="135">
        <v>0</v>
      </c>
      <c r="AP36" s="135">
        <v>0</v>
      </c>
      <c r="AQ36" s="131">
        <v>1</v>
      </c>
      <c r="AR36" s="131">
        <v>1</v>
      </c>
      <c r="AS36" s="134">
        <v>0</v>
      </c>
      <c r="AT36" s="134">
        <v>0</v>
      </c>
      <c r="AU36" s="134">
        <v>0</v>
      </c>
      <c r="AV36" s="134">
        <v>0</v>
      </c>
      <c r="AW36" s="134">
        <v>0</v>
      </c>
      <c r="AX36" s="134">
        <v>0</v>
      </c>
      <c r="AY36" s="134">
        <v>0</v>
      </c>
      <c r="AZ36" s="134">
        <v>0</v>
      </c>
      <c r="BA36" s="134">
        <v>0</v>
      </c>
      <c r="BB36" s="134">
        <v>0</v>
      </c>
      <c r="BC36" s="134">
        <v>0</v>
      </c>
      <c r="BD36" s="134">
        <v>0</v>
      </c>
      <c r="BE36" s="134">
        <v>9.6669999999999998</v>
      </c>
      <c r="BF36" s="134">
        <v>9.6649999999999991</v>
      </c>
      <c r="BG36" s="131">
        <v>1</v>
      </c>
      <c r="BH36" s="131"/>
      <c r="BI36" s="131"/>
      <c r="BJ36" s="131"/>
      <c r="BK36" s="131"/>
      <c r="BL36" s="131"/>
      <c r="BM36" s="131"/>
      <c r="BN36" s="131"/>
    </row>
    <row r="37" spans="1:66">
      <c r="A37" s="131">
        <v>10094</v>
      </c>
      <c r="B37" s="131" t="s">
        <v>41</v>
      </c>
      <c r="C37" s="131">
        <v>1</v>
      </c>
      <c r="D37" s="131">
        <v>0</v>
      </c>
      <c r="E37" s="134">
        <v>3.0819999999999999</v>
      </c>
      <c r="F37" s="134">
        <v>3.145</v>
      </c>
      <c r="G37" s="134">
        <v>3.1440000000000001</v>
      </c>
      <c r="H37" s="134">
        <v>0</v>
      </c>
      <c r="I37" s="134">
        <v>0</v>
      </c>
      <c r="J37" s="134">
        <v>0.113</v>
      </c>
      <c r="K37" s="134">
        <v>0.113</v>
      </c>
      <c r="L37" s="133">
        <v>993</v>
      </c>
      <c r="M37" s="133">
        <v>990</v>
      </c>
      <c r="N37" s="134">
        <v>3.0910000000000002</v>
      </c>
      <c r="O37" s="134">
        <v>3.093</v>
      </c>
      <c r="P37" s="133">
        <v>27151</v>
      </c>
      <c r="Q37" s="133">
        <v>27095</v>
      </c>
      <c r="R37" s="131">
        <v>3.0209999999999999</v>
      </c>
      <c r="S37" s="133">
        <v>26536</v>
      </c>
      <c r="T37" s="133">
        <v>26464</v>
      </c>
      <c r="U37" s="134">
        <v>7.0000000000000007E-2</v>
      </c>
      <c r="V37" s="134">
        <v>7.1999999999999995E-2</v>
      </c>
      <c r="W37" s="134">
        <v>0</v>
      </c>
      <c r="X37" s="134">
        <v>0</v>
      </c>
      <c r="Y37" s="134">
        <v>7.0000000000000007E-2</v>
      </c>
      <c r="Z37" s="134">
        <v>7.1999999999999995E-2</v>
      </c>
      <c r="AA37" s="131">
        <v>0</v>
      </c>
      <c r="AB37" s="131">
        <v>0</v>
      </c>
      <c r="AC37" s="134">
        <v>0</v>
      </c>
      <c r="AD37" s="134">
        <v>0</v>
      </c>
      <c r="AE37" s="135">
        <v>4.3009999999999999E-4</v>
      </c>
      <c r="AF37" s="135">
        <v>4.3009999999999999E-4</v>
      </c>
      <c r="AG37" s="135">
        <v>0</v>
      </c>
      <c r="AH37" s="135">
        <v>4.3009999999999999E-4</v>
      </c>
      <c r="AI37" s="135">
        <v>4.3009999999999999E-4</v>
      </c>
      <c r="AJ37" s="135">
        <v>4.3009999999999999E-4</v>
      </c>
      <c r="AK37" s="135">
        <v>0.97822799999999999</v>
      </c>
      <c r="AL37" s="135">
        <v>0.97761779999999998</v>
      </c>
      <c r="AM37" s="135">
        <v>1.0231710999999999</v>
      </c>
      <c r="AN37" s="135">
        <v>1.0238332000000001</v>
      </c>
      <c r="AO37" s="135">
        <v>0</v>
      </c>
      <c r="AP37" s="135">
        <v>0</v>
      </c>
      <c r="AQ37" s="131">
        <v>1</v>
      </c>
      <c r="AR37" s="131">
        <v>1</v>
      </c>
      <c r="AS37" s="134">
        <v>0</v>
      </c>
      <c r="AT37" s="134">
        <v>0</v>
      </c>
      <c r="AU37" s="134">
        <v>0</v>
      </c>
      <c r="AV37" s="134">
        <v>0</v>
      </c>
      <c r="AW37" s="134">
        <v>0</v>
      </c>
      <c r="AX37" s="134">
        <v>0</v>
      </c>
      <c r="AY37" s="134">
        <v>0</v>
      </c>
      <c r="AZ37" s="134">
        <v>0</v>
      </c>
      <c r="BA37" s="134">
        <v>0</v>
      </c>
      <c r="BB37" s="134">
        <v>0</v>
      </c>
      <c r="BC37" s="134">
        <v>0</v>
      </c>
      <c r="BD37" s="134">
        <v>0</v>
      </c>
      <c r="BE37" s="134">
        <v>3.0910000000000002</v>
      </c>
      <c r="BF37" s="134">
        <v>3.093</v>
      </c>
      <c r="BG37" s="131">
        <v>1</v>
      </c>
      <c r="BH37" s="131"/>
      <c r="BI37" s="131"/>
      <c r="BJ37" s="131"/>
      <c r="BK37" s="131"/>
      <c r="BL37" s="131"/>
      <c r="BM37" s="131"/>
      <c r="BN37" s="131"/>
    </row>
    <row r="38" spans="1:66">
      <c r="A38" s="131">
        <v>10095</v>
      </c>
      <c r="B38" s="131" t="s">
        <v>42</v>
      </c>
      <c r="C38" s="131">
        <v>1</v>
      </c>
      <c r="D38" s="131">
        <v>0</v>
      </c>
      <c r="E38" s="134">
        <v>3.6970000000000001</v>
      </c>
      <c r="F38" s="134">
        <v>3.9390000000000001</v>
      </c>
      <c r="G38" s="134">
        <v>3.9540000000000002</v>
      </c>
      <c r="H38" s="134">
        <v>0</v>
      </c>
      <c r="I38" s="134">
        <v>0</v>
      </c>
      <c r="J38" s="134">
        <v>0</v>
      </c>
      <c r="K38" s="134">
        <v>0</v>
      </c>
      <c r="L38" s="133">
        <v>0</v>
      </c>
      <c r="M38" s="133">
        <v>0</v>
      </c>
      <c r="N38" s="134">
        <v>3.742</v>
      </c>
      <c r="O38" s="134">
        <v>3.7509999999999999</v>
      </c>
      <c r="P38" s="133">
        <v>32870</v>
      </c>
      <c r="Q38" s="133">
        <v>32859</v>
      </c>
      <c r="R38" s="131">
        <v>3.6230000000000002</v>
      </c>
      <c r="S38" s="133">
        <v>31824</v>
      </c>
      <c r="T38" s="133">
        <v>31737</v>
      </c>
      <c r="U38" s="134">
        <v>0.11899999999999999</v>
      </c>
      <c r="V38" s="134">
        <v>0.128</v>
      </c>
      <c r="W38" s="134">
        <v>0</v>
      </c>
      <c r="X38" s="134">
        <v>0</v>
      </c>
      <c r="Y38" s="134">
        <v>0.11899999999999999</v>
      </c>
      <c r="Z38" s="134">
        <v>0.128</v>
      </c>
      <c r="AA38" s="131">
        <v>0</v>
      </c>
      <c r="AB38" s="131">
        <v>0</v>
      </c>
      <c r="AC38" s="134">
        <v>0</v>
      </c>
      <c r="AD38" s="134">
        <v>0</v>
      </c>
      <c r="AE38" s="135">
        <v>5.1579999999999996E-4</v>
      </c>
      <c r="AF38" s="135">
        <v>5.1579999999999996E-4</v>
      </c>
      <c r="AG38" s="135">
        <v>0</v>
      </c>
      <c r="AH38" s="135">
        <v>5.1579999999999996E-4</v>
      </c>
      <c r="AI38" s="135">
        <v>5.1579999999999996E-4</v>
      </c>
      <c r="AJ38" s="135">
        <v>5.1579999999999996E-4</v>
      </c>
      <c r="AK38" s="135">
        <v>0.96826380000000001</v>
      </c>
      <c r="AL38" s="135">
        <v>0.96594060000000004</v>
      </c>
      <c r="AM38" s="135">
        <v>1.0328457</v>
      </c>
      <c r="AN38" s="135">
        <v>1.0353298</v>
      </c>
      <c r="AO38" s="135">
        <v>0</v>
      </c>
      <c r="AP38" s="135">
        <v>0</v>
      </c>
      <c r="AQ38" s="131">
        <v>1</v>
      </c>
      <c r="AR38" s="131">
        <v>1</v>
      </c>
      <c r="AS38" s="134">
        <v>0</v>
      </c>
      <c r="AT38" s="134">
        <v>0</v>
      </c>
      <c r="AU38" s="134">
        <v>0</v>
      </c>
      <c r="AV38" s="134">
        <v>0</v>
      </c>
      <c r="AW38" s="134">
        <v>0</v>
      </c>
      <c r="AX38" s="134">
        <v>0</v>
      </c>
      <c r="AY38" s="134">
        <v>0</v>
      </c>
      <c r="AZ38" s="134">
        <v>0</v>
      </c>
      <c r="BA38" s="134">
        <v>0</v>
      </c>
      <c r="BB38" s="134">
        <v>0</v>
      </c>
      <c r="BC38" s="134">
        <v>0</v>
      </c>
      <c r="BD38" s="134">
        <v>0</v>
      </c>
      <c r="BE38" s="134">
        <v>3.742</v>
      </c>
      <c r="BF38" s="134">
        <v>3.7509999999999999</v>
      </c>
      <c r="BG38" s="131">
        <v>0</v>
      </c>
      <c r="BH38" s="131"/>
      <c r="BI38" s="131"/>
      <c r="BJ38" s="131"/>
      <c r="BK38" s="131"/>
      <c r="BL38" s="131"/>
      <c r="BM38" s="131"/>
      <c r="BN38" s="131"/>
    </row>
    <row r="39" spans="1:66">
      <c r="A39" s="131">
        <v>10097</v>
      </c>
      <c r="B39" s="131" t="s">
        <v>43</v>
      </c>
      <c r="C39" s="131">
        <v>1</v>
      </c>
      <c r="D39" s="131">
        <v>0</v>
      </c>
      <c r="E39" s="134">
        <v>2.0680000000000001</v>
      </c>
      <c r="F39" s="134">
        <v>2.0110000000000001</v>
      </c>
      <c r="G39" s="134">
        <v>2.0209999999999999</v>
      </c>
      <c r="H39" s="134">
        <v>0</v>
      </c>
      <c r="I39" s="134">
        <v>0</v>
      </c>
      <c r="J39" s="134">
        <v>0</v>
      </c>
      <c r="K39" s="134">
        <v>0</v>
      </c>
      <c r="L39" s="133">
        <v>0</v>
      </c>
      <c r="M39" s="133">
        <v>0</v>
      </c>
      <c r="N39" s="134">
        <v>2.0110000000000001</v>
      </c>
      <c r="O39" s="134">
        <v>2.0209999999999999</v>
      </c>
      <c r="P39" s="133">
        <v>17665</v>
      </c>
      <c r="Q39" s="133">
        <v>17704</v>
      </c>
      <c r="R39" s="131">
        <v>2.0270000000000001</v>
      </c>
      <c r="S39" s="133">
        <v>17805</v>
      </c>
      <c r="T39" s="133">
        <v>17757</v>
      </c>
      <c r="U39" s="134">
        <v>0</v>
      </c>
      <c r="V39" s="134">
        <v>0</v>
      </c>
      <c r="W39" s="134">
        <v>0</v>
      </c>
      <c r="X39" s="134">
        <v>0</v>
      </c>
      <c r="Y39" s="134">
        <v>0</v>
      </c>
      <c r="Z39" s="134">
        <v>0</v>
      </c>
      <c r="AA39" s="131">
        <v>0</v>
      </c>
      <c r="AB39" s="131">
        <v>0</v>
      </c>
      <c r="AC39" s="134">
        <v>0</v>
      </c>
      <c r="AD39" s="134">
        <v>0</v>
      </c>
      <c r="AE39" s="135">
        <v>2.8630000000000002E-4</v>
      </c>
      <c r="AF39" s="135">
        <v>2.877E-4</v>
      </c>
      <c r="AG39" s="135">
        <v>0</v>
      </c>
      <c r="AH39" s="135">
        <v>2.8630000000000002E-4</v>
      </c>
      <c r="AI39" s="135">
        <v>2.877E-4</v>
      </c>
      <c r="AJ39" s="135">
        <v>2.8699999999999998E-4</v>
      </c>
      <c r="AK39" s="135">
        <v>1</v>
      </c>
      <c r="AL39" s="135">
        <v>0.99997630000000004</v>
      </c>
      <c r="AM39" s="135">
        <v>1</v>
      </c>
      <c r="AN39" s="135">
        <v>1</v>
      </c>
      <c r="AO39" s="135">
        <v>0</v>
      </c>
      <c r="AP39" s="135">
        <v>0</v>
      </c>
      <c r="AQ39" s="131">
        <v>1</v>
      </c>
      <c r="AR39" s="131">
        <v>1</v>
      </c>
      <c r="AS39" s="134">
        <v>0</v>
      </c>
      <c r="AT39" s="134">
        <v>0</v>
      </c>
      <c r="AU39" s="134">
        <v>0</v>
      </c>
      <c r="AV39" s="134">
        <v>0</v>
      </c>
      <c r="AW39" s="134">
        <v>0</v>
      </c>
      <c r="AX39" s="134">
        <v>0</v>
      </c>
      <c r="AY39" s="134">
        <v>0</v>
      </c>
      <c r="AZ39" s="134">
        <v>0</v>
      </c>
      <c r="BA39" s="134">
        <v>0</v>
      </c>
      <c r="BB39" s="134">
        <v>0</v>
      </c>
      <c r="BC39" s="134">
        <v>0</v>
      </c>
      <c r="BD39" s="134">
        <v>0</v>
      </c>
      <c r="BE39" s="134">
        <v>2.0110000000000001</v>
      </c>
      <c r="BF39" s="134">
        <v>2.0209999999999999</v>
      </c>
      <c r="BG39" s="131">
        <v>0</v>
      </c>
      <c r="BH39" s="131"/>
      <c r="BI39" s="131"/>
      <c r="BJ39" s="131"/>
      <c r="BK39" s="131"/>
      <c r="BL39" s="131"/>
      <c r="BM39" s="131"/>
      <c r="BN39" s="131"/>
    </row>
    <row r="40" spans="1:66">
      <c r="A40" s="131">
        <v>10101</v>
      </c>
      <c r="B40" s="131" t="s">
        <v>44</v>
      </c>
      <c r="C40" s="131">
        <v>1</v>
      </c>
      <c r="D40" s="131">
        <v>0</v>
      </c>
      <c r="E40" s="134">
        <v>77.162000000000006</v>
      </c>
      <c r="F40" s="134">
        <v>77.37</v>
      </c>
      <c r="G40" s="134">
        <v>77.911000000000001</v>
      </c>
      <c r="H40" s="134">
        <v>0</v>
      </c>
      <c r="I40" s="134">
        <v>0</v>
      </c>
      <c r="J40" s="134">
        <v>0</v>
      </c>
      <c r="K40" s="134">
        <v>0</v>
      </c>
      <c r="L40" s="133">
        <v>0</v>
      </c>
      <c r="M40" s="133">
        <v>0</v>
      </c>
      <c r="N40" s="134">
        <v>77.37</v>
      </c>
      <c r="O40" s="134">
        <v>77.911000000000001</v>
      </c>
      <c r="P40" s="133">
        <v>679618</v>
      </c>
      <c r="Q40" s="133">
        <v>682500</v>
      </c>
      <c r="R40" s="131">
        <v>75.625</v>
      </c>
      <c r="S40" s="133">
        <v>664290</v>
      </c>
      <c r="T40" s="133">
        <v>662475</v>
      </c>
      <c r="U40" s="134">
        <v>1.7450000000000001</v>
      </c>
      <c r="V40" s="134">
        <v>2.286</v>
      </c>
      <c r="W40" s="134">
        <v>1.7450000000000001</v>
      </c>
      <c r="X40" s="134">
        <v>2.286</v>
      </c>
      <c r="Y40" s="134">
        <v>0</v>
      </c>
      <c r="Z40" s="134">
        <v>0</v>
      </c>
      <c r="AA40" s="131">
        <v>0</v>
      </c>
      <c r="AB40" s="131">
        <v>0</v>
      </c>
      <c r="AC40" s="134">
        <v>1.7450000000000001</v>
      </c>
      <c r="AD40" s="134">
        <v>2.286</v>
      </c>
      <c r="AE40" s="135">
        <v>1.07659E-2</v>
      </c>
      <c r="AF40" s="135">
        <v>1.07659E-2</v>
      </c>
      <c r="AG40" s="135">
        <v>0</v>
      </c>
      <c r="AH40" s="135">
        <v>1.07659E-2</v>
      </c>
      <c r="AI40" s="135">
        <v>1.07659E-2</v>
      </c>
      <c r="AJ40" s="135">
        <v>1.07659E-2</v>
      </c>
      <c r="AK40" s="135">
        <v>0.97744850000000005</v>
      </c>
      <c r="AL40" s="135">
        <v>0.97066129999999995</v>
      </c>
      <c r="AM40" s="135">
        <v>1.0230744000000001</v>
      </c>
      <c r="AN40" s="135">
        <v>1.0302281</v>
      </c>
      <c r="AO40" s="135">
        <v>5.1153700000000003E-2</v>
      </c>
      <c r="AP40" s="135">
        <v>5.1511399999999999E-2</v>
      </c>
      <c r="AQ40" s="131">
        <v>3</v>
      </c>
      <c r="AR40" s="131">
        <v>3</v>
      </c>
      <c r="AS40" s="134">
        <v>0.67300000000000004</v>
      </c>
      <c r="AT40" s="134">
        <v>0.67300000000000004</v>
      </c>
      <c r="AU40" s="134">
        <v>1.0720000000000001</v>
      </c>
      <c r="AV40" s="134">
        <v>1.613</v>
      </c>
      <c r="AW40" s="134">
        <v>0.67300000000000004</v>
      </c>
      <c r="AX40" s="134">
        <v>0.67300000000000004</v>
      </c>
      <c r="AY40" s="134">
        <v>0</v>
      </c>
      <c r="AZ40" s="134">
        <v>0</v>
      </c>
      <c r="BA40" s="134">
        <v>0</v>
      </c>
      <c r="BB40" s="134">
        <v>0</v>
      </c>
      <c r="BC40" s="134">
        <v>0</v>
      </c>
      <c r="BD40" s="134">
        <v>0</v>
      </c>
      <c r="BE40" s="134">
        <v>76.697000000000003</v>
      </c>
      <c r="BF40" s="134">
        <v>77.238</v>
      </c>
      <c r="BG40" s="131">
        <v>0</v>
      </c>
      <c r="BH40" s="131"/>
      <c r="BI40" s="131"/>
      <c r="BJ40" s="131"/>
      <c r="BK40" s="131"/>
      <c r="BL40" s="131"/>
      <c r="BM40" s="131"/>
      <c r="BN40" s="131"/>
    </row>
    <row r="41" spans="1:66">
      <c r="A41" s="131">
        <v>10103</v>
      </c>
      <c r="B41" s="131" t="s">
        <v>45</v>
      </c>
      <c r="C41" s="131">
        <v>1</v>
      </c>
      <c r="D41" s="131">
        <v>0</v>
      </c>
      <c r="E41" s="134">
        <v>323.245</v>
      </c>
      <c r="F41" s="134">
        <v>529.84299999999996</v>
      </c>
      <c r="G41" s="134">
        <v>532.63599999999997</v>
      </c>
      <c r="H41" s="134">
        <v>0</v>
      </c>
      <c r="I41" s="134">
        <v>0</v>
      </c>
      <c r="J41" s="134">
        <v>225.989</v>
      </c>
      <c r="K41" s="134">
        <v>225.94900000000001</v>
      </c>
      <c r="L41" s="133">
        <v>1985087</v>
      </c>
      <c r="M41" s="133">
        <v>1979313</v>
      </c>
      <c r="N41" s="134">
        <v>303.85399999999998</v>
      </c>
      <c r="O41" s="134">
        <v>306.68700000000001</v>
      </c>
      <c r="P41" s="133">
        <v>2669054</v>
      </c>
      <c r="Q41" s="133">
        <v>2686578</v>
      </c>
      <c r="R41" s="131">
        <v>316.80799999999999</v>
      </c>
      <c r="S41" s="133">
        <v>2782841</v>
      </c>
      <c r="T41" s="133">
        <v>2775238</v>
      </c>
      <c r="U41" s="134">
        <v>0</v>
      </c>
      <c r="V41" s="134">
        <v>0</v>
      </c>
      <c r="W41" s="134">
        <v>0</v>
      </c>
      <c r="X41" s="134">
        <v>0</v>
      </c>
      <c r="Y41" s="134">
        <v>0</v>
      </c>
      <c r="Z41" s="134">
        <v>0</v>
      </c>
      <c r="AA41" s="131">
        <v>0</v>
      </c>
      <c r="AB41" s="131">
        <v>0</v>
      </c>
      <c r="AC41" s="134">
        <v>0</v>
      </c>
      <c r="AD41" s="134">
        <v>0</v>
      </c>
      <c r="AE41" s="135">
        <v>4.3256200000000002E-2</v>
      </c>
      <c r="AF41" s="135">
        <v>4.3659499999999997E-2</v>
      </c>
      <c r="AG41" s="135">
        <v>2.1821500000000001E-2</v>
      </c>
      <c r="AH41" s="135">
        <v>2.1434700000000001E-2</v>
      </c>
      <c r="AI41" s="135">
        <v>2.1838E-2</v>
      </c>
      <c r="AJ41" s="135">
        <v>2.16364E-2</v>
      </c>
      <c r="AK41" s="135">
        <v>1</v>
      </c>
      <c r="AL41" s="135">
        <v>0.99999979999999999</v>
      </c>
      <c r="AM41" s="135">
        <v>1</v>
      </c>
      <c r="AN41" s="135">
        <v>1</v>
      </c>
      <c r="AO41" s="135">
        <v>0</v>
      </c>
      <c r="AP41" s="135">
        <v>0</v>
      </c>
      <c r="AQ41" s="131">
        <v>4</v>
      </c>
      <c r="AR41" s="131">
        <v>4</v>
      </c>
      <c r="AS41" s="134">
        <v>0</v>
      </c>
      <c r="AT41" s="134">
        <v>0</v>
      </c>
      <c r="AU41" s="134">
        <v>0</v>
      </c>
      <c r="AV41" s="134">
        <v>0</v>
      </c>
      <c r="AW41" s="134">
        <v>0</v>
      </c>
      <c r="AX41" s="134">
        <v>0</v>
      </c>
      <c r="AY41" s="134">
        <v>0</v>
      </c>
      <c r="AZ41" s="134">
        <v>0</v>
      </c>
      <c r="BA41" s="134">
        <v>0</v>
      </c>
      <c r="BB41" s="134">
        <v>0</v>
      </c>
      <c r="BC41" s="134">
        <v>0</v>
      </c>
      <c r="BD41" s="134">
        <v>0</v>
      </c>
      <c r="BE41" s="134">
        <v>303.85399999999998</v>
      </c>
      <c r="BF41" s="134">
        <v>306.68700000000001</v>
      </c>
      <c r="BG41" s="131">
        <v>0</v>
      </c>
      <c r="BH41" s="131"/>
      <c r="BI41" s="131"/>
      <c r="BJ41" s="131"/>
      <c r="BK41" s="131"/>
      <c r="BL41" s="131"/>
      <c r="BM41" s="131"/>
      <c r="BN41" s="131"/>
    </row>
    <row r="42" spans="1:66">
      <c r="A42" s="131">
        <v>10105</v>
      </c>
      <c r="B42" s="131" t="s">
        <v>46</v>
      </c>
      <c r="C42" s="131">
        <v>1</v>
      </c>
      <c r="D42" s="131">
        <v>0</v>
      </c>
      <c r="E42" s="134">
        <v>94.222999999999999</v>
      </c>
      <c r="F42" s="134">
        <v>87.325000000000003</v>
      </c>
      <c r="G42" s="134">
        <v>93.83</v>
      </c>
      <c r="H42" s="134">
        <v>0</v>
      </c>
      <c r="I42" s="134">
        <v>0</v>
      </c>
      <c r="J42" s="134">
        <v>0</v>
      </c>
      <c r="K42" s="134">
        <v>0</v>
      </c>
      <c r="L42" s="133">
        <v>0</v>
      </c>
      <c r="M42" s="133">
        <v>0</v>
      </c>
      <c r="N42" s="134">
        <v>87.325000000000003</v>
      </c>
      <c r="O42" s="134">
        <v>93.83</v>
      </c>
      <c r="P42" s="133">
        <v>767063</v>
      </c>
      <c r="Q42" s="133">
        <v>821951</v>
      </c>
      <c r="R42" s="131">
        <v>92.346999999999994</v>
      </c>
      <c r="S42" s="133">
        <v>811176</v>
      </c>
      <c r="T42" s="133">
        <v>808960</v>
      </c>
      <c r="U42" s="134">
        <v>0.11700000000000001</v>
      </c>
      <c r="V42" s="134">
        <v>3.1640000000000001</v>
      </c>
      <c r="W42" s="134">
        <v>0</v>
      </c>
      <c r="X42" s="134">
        <v>3.1640000000000001</v>
      </c>
      <c r="Y42" s="134">
        <v>0.11700000000000001</v>
      </c>
      <c r="Z42" s="134">
        <v>0</v>
      </c>
      <c r="AA42" s="131">
        <v>0</v>
      </c>
      <c r="AB42" s="131">
        <v>0</v>
      </c>
      <c r="AC42" s="134">
        <v>0</v>
      </c>
      <c r="AD42" s="134">
        <v>3.1640000000000001</v>
      </c>
      <c r="AE42" s="135">
        <v>1.24315E-2</v>
      </c>
      <c r="AF42" s="135">
        <v>1.3146400000000001E-2</v>
      </c>
      <c r="AG42" s="135">
        <v>7.2534000000000001E-3</v>
      </c>
      <c r="AH42" s="135">
        <v>5.1780999999999997E-3</v>
      </c>
      <c r="AI42" s="135">
        <v>5.8929999999999998E-3</v>
      </c>
      <c r="AJ42" s="135">
        <v>5.5355999999999999E-3</v>
      </c>
      <c r="AK42" s="135">
        <v>0.99873509999999999</v>
      </c>
      <c r="AL42" s="135">
        <v>0.96687339999999999</v>
      </c>
      <c r="AM42" s="135">
        <v>1</v>
      </c>
      <c r="AN42" s="135">
        <v>1.016059</v>
      </c>
      <c r="AO42" s="135">
        <v>0</v>
      </c>
      <c r="AP42" s="135">
        <v>0</v>
      </c>
      <c r="AQ42" s="131">
        <v>4</v>
      </c>
      <c r="AR42" s="131">
        <v>4</v>
      </c>
      <c r="AS42" s="134">
        <v>0</v>
      </c>
      <c r="AT42" s="134">
        <v>0</v>
      </c>
      <c r="AU42" s="134">
        <v>0</v>
      </c>
      <c r="AV42" s="134">
        <v>0</v>
      </c>
      <c r="AW42" s="134">
        <v>0</v>
      </c>
      <c r="AX42" s="134">
        <v>0</v>
      </c>
      <c r="AY42" s="134">
        <v>0</v>
      </c>
      <c r="AZ42" s="134">
        <v>0</v>
      </c>
      <c r="BA42" s="134">
        <v>0</v>
      </c>
      <c r="BB42" s="134">
        <v>0</v>
      </c>
      <c r="BC42" s="134">
        <v>0</v>
      </c>
      <c r="BD42" s="134">
        <v>0</v>
      </c>
      <c r="BE42" s="134">
        <v>87.441999999999993</v>
      </c>
      <c r="BF42" s="134">
        <v>92.346999999999994</v>
      </c>
      <c r="BG42" s="131">
        <v>0</v>
      </c>
      <c r="BH42" s="131"/>
      <c r="BI42" s="131"/>
      <c r="BJ42" s="131"/>
      <c r="BK42" s="131"/>
      <c r="BL42" s="131"/>
      <c r="BM42" s="131"/>
      <c r="BN42" s="131"/>
    </row>
    <row r="43" spans="1:66">
      <c r="A43" s="131">
        <v>10106</v>
      </c>
      <c r="B43" s="131" t="s">
        <v>47</v>
      </c>
      <c r="C43" s="131">
        <v>0</v>
      </c>
      <c r="D43" s="131">
        <v>1</v>
      </c>
      <c r="E43" s="134">
        <v>24.234999999999999</v>
      </c>
      <c r="F43" s="134">
        <v>23.835999999999999</v>
      </c>
      <c r="G43" s="134">
        <v>23.943999999999999</v>
      </c>
      <c r="H43" s="134">
        <v>0</v>
      </c>
      <c r="I43" s="134">
        <v>0</v>
      </c>
      <c r="J43" s="134">
        <v>0</v>
      </c>
      <c r="K43" s="134">
        <v>0</v>
      </c>
      <c r="L43" s="133">
        <v>0</v>
      </c>
      <c r="M43" s="133">
        <v>0</v>
      </c>
      <c r="N43" s="134">
        <v>23.68</v>
      </c>
      <c r="O43" s="134">
        <v>23.777000000000001</v>
      </c>
      <c r="P43" s="133">
        <v>208005</v>
      </c>
      <c r="Q43" s="133">
        <v>208287</v>
      </c>
      <c r="R43" s="131">
        <v>23.751999999999999</v>
      </c>
      <c r="S43" s="133">
        <v>208638</v>
      </c>
      <c r="T43" s="133">
        <v>208068</v>
      </c>
      <c r="U43" s="134">
        <v>0</v>
      </c>
      <c r="V43" s="134">
        <v>2.5000000000000001E-2</v>
      </c>
      <c r="W43" s="134">
        <v>0</v>
      </c>
      <c r="X43" s="134">
        <v>2.5000000000000001E-2</v>
      </c>
      <c r="Y43" s="134">
        <v>0</v>
      </c>
      <c r="Z43" s="134">
        <v>0</v>
      </c>
      <c r="AA43" s="131">
        <v>0</v>
      </c>
      <c r="AB43" s="131">
        <v>0</v>
      </c>
      <c r="AC43" s="134">
        <v>0</v>
      </c>
      <c r="AD43" s="134">
        <v>2.5000000000000001E-2</v>
      </c>
      <c r="AE43" s="135">
        <v>3.3711000000000001E-3</v>
      </c>
      <c r="AF43" s="135">
        <v>3.3812999999999998E-3</v>
      </c>
      <c r="AG43" s="135">
        <v>0</v>
      </c>
      <c r="AH43" s="135">
        <v>3.3711000000000001E-3</v>
      </c>
      <c r="AI43" s="135">
        <v>3.3812999999999998E-3</v>
      </c>
      <c r="AJ43" s="135">
        <v>3.3762000000000002E-3</v>
      </c>
      <c r="AK43" s="135">
        <v>1</v>
      </c>
      <c r="AL43" s="135">
        <v>0.99894780000000005</v>
      </c>
      <c r="AM43" s="135">
        <v>1</v>
      </c>
      <c r="AN43" s="135">
        <v>1.0010524999999999</v>
      </c>
      <c r="AO43" s="135">
        <v>7.0000000000000007E-2</v>
      </c>
      <c r="AP43" s="135">
        <v>7.0073700000000003E-2</v>
      </c>
      <c r="AQ43" s="131">
        <v>6</v>
      </c>
      <c r="AR43" s="131">
        <v>6</v>
      </c>
      <c r="AS43" s="134">
        <v>0</v>
      </c>
      <c r="AT43" s="134">
        <v>0</v>
      </c>
      <c r="AU43" s="134">
        <v>0</v>
      </c>
      <c r="AV43" s="134">
        <v>0</v>
      </c>
      <c r="AW43" s="134">
        <v>0</v>
      </c>
      <c r="AX43" s="134">
        <v>0</v>
      </c>
      <c r="AY43" s="134">
        <v>0</v>
      </c>
      <c r="AZ43" s="134">
        <v>0</v>
      </c>
      <c r="BA43" s="134">
        <v>0</v>
      </c>
      <c r="BB43" s="134">
        <v>0</v>
      </c>
      <c r="BC43" s="134">
        <v>0</v>
      </c>
      <c r="BD43" s="134">
        <v>0</v>
      </c>
      <c r="BE43" s="134">
        <v>23.68</v>
      </c>
      <c r="BF43" s="134">
        <v>23.751999999999999</v>
      </c>
      <c r="BG43" s="131">
        <v>0</v>
      </c>
      <c r="BH43" s="131"/>
      <c r="BI43" s="131"/>
      <c r="BJ43" s="131"/>
      <c r="BK43" s="131"/>
      <c r="BL43" s="131"/>
      <c r="BM43" s="131"/>
      <c r="BN43" s="131"/>
    </row>
    <row r="44" spans="1:66">
      <c r="A44" s="131">
        <v>10109</v>
      </c>
      <c r="B44" s="131" t="s">
        <v>48</v>
      </c>
      <c r="C44" s="131">
        <v>1</v>
      </c>
      <c r="D44" s="131">
        <v>0</v>
      </c>
      <c r="E44" s="134">
        <v>12.298999999999999</v>
      </c>
      <c r="F44" s="134">
        <v>13.395</v>
      </c>
      <c r="G44" s="134">
        <v>13.407999999999999</v>
      </c>
      <c r="H44" s="134">
        <v>0</v>
      </c>
      <c r="I44" s="134">
        <v>0</v>
      </c>
      <c r="J44" s="134">
        <v>0</v>
      </c>
      <c r="K44" s="134">
        <v>0</v>
      </c>
      <c r="L44" s="133">
        <v>0</v>
      </c>
      <c r="M44" s="133">
        <v>0</v>
      </c>
      <c r="N44" s="134">
        <v>13.648</v>
      </c>
      <c r="O44" s="134">
        <v>13.712</v>
      </c>
      <c r="P44" s="133">
        <v>119884</v>
      </c>
      <c r="Q44" s="133">
        <v>120117</v>
      </c>
      <c r="R44" s="131">
        <v>12.054</v>
      </c>
      <c r="S44" s="133">
        <v>105882</v>
      </c>
      <c r="T44" s="133">
        <v>105593</v>
      </c>
      <c r="U44" s="134">
        <v>1.5940000000000001</v>
      </c>
      <c r="V44" s="134">
        <v>1.6579999999999999</v>
      </c>
      <c r="W44" s="134">
        <v>1.5940000000000001</v>
      </c>
      <c r="X44" s="134">
        <v>1.6579999999999999</v>
      </c>
      <c r="Y44" s="134">
        <v>0</v>
      </c>
      <c r="Z44" s="134">
        <v>0</v>
      </c>
      <c r="AA44" s="131">
        <v>0</v>
      </c>
      <c r="AB44" s="131">
        <v>0</v>
      </c>
      <c r="AC44" s="134">
        <v>1.5940000000000001</v>
      </c>
      <c r="AD44" s="134">
        <v>1.6579999999999999</v>
      </c>
      <c r="AE44" s="135">
        <v>1.7160000000000001E-3</v>
      </c>
      <c r="AF44" s="135">
        <v>1.7160000000000001E-3</v>
      </c>
      <c r="AG44" s="135">
        <v>0</v>
      </c>
      <c r="AH44" s="135">
        <v>1.7160000000000001E-3</v>
      </c>
      <c r="AI44" s="135">
        <v>1.7160000000000001E-3</v>
      </c>
      <c r="AJ44" s="135">
        <v>1.7160000000000001E-3</v>
      </c>
      <c r="AK44" s="135">
        <v>0.88321090000000002</v>
      </c>
      <c r="AL44" s="135">
        <v>0.8790886</v>
      </c>
      <c r="AM44" s="135">
        <v>1.1322383</v>
      </c>
      <c r="AN44" s="135">
        <v>1.1375477000000001</v>
      </c>
      <c r="AO44" s="135">
        <v>7.9256699999999999E-2</v>
      </c>
      <c r="AP44" s="135">
        <v>7.9628299999999999E-2</v>
      </c>
      <c r="AQ44" s="131">
        <v>1</v>
      </c>
      <c r="AR44" s="131">
        <v>1</v>
      </c>
      <c r="AS44" s="134">
        <v>0</v>
      </c>
      <c r="AT44" s="134">
        <v>0</v>
      </c>
      <c r="AU44" s="134">
        <v>1.5940000000000001</v>
      </c>
      <c r="AV44" s="134">
        <v>1.6579999999999999</v>
      </c>
      <c r="AW44" s="134">
        <v>0</v>
      </c>
      <c r="AX44" s="134">
        <v>0</v>
      </c>
      <c r="AY44" s="134">
        <v>0</v>
      </c>
      <c r="AZ44" s="134">
        <v>0</v>
      </c>
      <c r="BA44" s="134">
        <v>0</v>
      </c>
      <c r="BB44" s="134">
        <v>0</v>
      </c>
      <c r="BC44" s="134">
        <v>0</v>
      </c>
      <c r="BD44" s="134">
        <v>0</v>
      </c>
      <c r="BE44" s="134">
        <v>13.648</v>
      </c>
      <c r="BF44" s="134">
        <v>13.712</v>
      </c>
      <c r="BG44" s="131">
        <v>1</v>
      </c>
      <c r="BH44" s="131"/>
      <c r="BI44" s="131"/>
      <c r="BJ44" s="131"/>
      <c r="BK44" s="131"/>
      <c r="BL44" s="131"/>
      <c r="BM44" s="131"/>
      <c r="BN44" s="131"/>
    </row>
    <row r="45" spans="1:66">
      <c r="A45" s="131">
        <v>10111</v>
      </c>
      <c r="B45" s="131" t="s">
        <v>49</v>
      </c>
      <c r="C45" s="131">
        <v>1</v>
      </c>
      <c r="D45" s="131">
        <v>0</v>
      </c>
      <c r="E45" s="134">
        <v>3.2829999999999999</v>
      </c>
      <c r="F45" s="134">
        <v>3.0459999999999998</v>
      </c>
      <c r="G45" s="134">
        <v>3.0510000000000002</v>
      </c>
      <c r="H45" s="134">
        <v>0</v>
      </c>
      <c r="I45" s="134">
        <v>0</v>
      </c>
      <c r="J45" s="134">
        <v>0</v>
      </c>
      <c r="K45" s="134">
        <v>0</v>
      </c>
      <c r="L45" s="133">
        <v>0</v>
      </c>
      <c r="M45" s="133">
        <v>0</v>
      </c>
      <c r="N45" s="134">
        <v>3.0459999999999998</v>
      </c>
      <c r="O45" s="134">
        <v>3.0510000000000002</v>
      </c>
      <c r="P45" s="133">
        <v>26756</v>
      </c>
      <c r="Q45" s="133">
        <v>26727</v>
      </c>
      <c r="R45" s="131">
        <v>3.218</v>
      </c>
      <c r="S45" s="133">
        <v>28267</v>
      </c>
      <c r="T45" s="133">
        <v>28190</v>
      </c>
      <c r="U45" s="134">
        <v>0</v>
      </c>
      <c r="V45" s="134">
        <v>0</v>
      </c>
      <c r="W45" s="134">
        <v>0</v>
      </c>
      <c r="X45" s="134">
        <v>0</v>
      </c>
      <c r="Y45" s="134">
        <v>0</v>
      </c>
      <c r="Z45" s="134">
        <v>0</v>
      </c>
      <c r="AA45" s="131">
        <v>0</v>
      </c>
      <c r="AB45" s="131">
        <v>0</v>
      </c>
      <c r="AC45" s="134">
        <v>0</v>
      </c>
      <c r="AD45" s="134">
        <v>0</v>
      </c>
      <c r="AE45" s="135">
        <v>4.3360000000000002E-4</v>
      </c>
      <c r="AF45" s="135">
        <v>4.3429999999999999E-4</v>
      </c>
      <c r="AG45" s="135">
        <v>0</v>
      </c>
      <c r="AH45" s="135">
        <v>4.3360000000000002E-4</v>
      </c>
      <c r="AI45" s="135">
        <v>4.3429999999999999E-4</v>
      </c>
      <c r="AJ45" s="135">
        <v>4.3399999999999998E-4</v>
      </c>
      <c r="AK45" s="135">
        <v>0.99994369999999999</v>
      </c>
      <c r="AL45" s="135">
        <v>0.99991660000000004</v>
      </c>
      <c r="AM45" s="135">
        <v>1</v>
      </c>
      <c r="AN45" s="135">
        <v>1</v>
      </c>
      <c r="AO45" s="135">
        <v>7.0000000000000007E-2</v>
      </c>
      <c r="AP45" s="135">
        <v>7.0000000000000007E-2</v>
      </c>
      <c r="AQ45" s="131">
        <v>1</v>
      </c>
      <c r="AR45" s="131">
        <v>1</v>
      </c>
      <c r="AS45" s="134">
        <v>0</v>
      </c>
      <c r="AT45" s="134">
        <v>0</v>
      </c>
      <c r="AU45" s="134">
        <v>0</v>
      </c>
      <c r="AV45" s="134">
        <v>0</v>
      </c>
      <c r="AW45" s="134">
        <v>0</v>
      </c>
      <c r="AX45" s="134">
        <v>0</v>
      </c>
      <c r="AY45" s="134">
        <v>0</v>
      </c>
      <c r="AZ45" s="134">
        <v>0</v>
      </c>
      <c r="BA45" s="134">
        <v>0</v>
      </c>
      <c r="BB45" s="134">
        <v>0</v>
      </c>
      <c r="BC45" s="134">
        <v>0</v>
      </c>
      <c r="BD45" s="134">
        <v>0</v>
      </c>
      <c r="BE45" s="134">
        <v>3.0459999999999998</v>
      </c>
      <c r="BF45" s="134">
        <v>3.0510000000000002</v>
      </c>
      <c r="BG45" s="131">
        <v>0</v>
      </c>
      <c r="BH45" s="131"/>
      <c r="BI45" s="131"/>
      <c r="BJ45" s="131"/>
      <c r="BK45" s="131"/>
      <c r="BL45" s="131"/>
      <c r="BM45" s="131"/>
      <c r="BN45" s="131"/>
    </row>
    <row r="46" spans="1:66">
      <c r="A46" s="131">
        <v>10112</v>
      </c>
      <c r="B46" s="131" t="s">
        <v>50</v>
      </c>
      <c r="C46" s="131">
        <v>1</v>
      </c>
      <c r="D46" s="131">
        <v>0</v>
      </c>
      <c r="E46" s="134">
        <v>59.119</v>
      </c>
      <c r="F46" s="134">
        <v>54.478999999999999</v>
      </c>
      <c r="G46" s="134">
        <v>54.555999999999997</v>
      </c>
      <c r="H46" s="134">
        <v>0</v>
      </c>
      <c r="I46" s="134">
        <v>0</v>
      </c>
      <c r="J46" s="134">
        <v>0</v>
      </c>
      <c r="K46" s="134">
        <v>0</v>
      </c>
      <c r="L46" s="133">
        <v>0</v>
      </c>
      <c r="M46" s="133">
        <v>0</v>
      </c>
      <c r="N46" s="134">
        <v>54.478999999999999</v>
      </c>
      <c r="O46" s="134">
        <v>54.555999999999997</v>
      </c>
      <c r="P46" s="133">
        <v>478544</v>
      </c>
      <c r="Q46" s="133">
        <v>477911</v>
      </c>
      <c r="R46" s="131">
        <v>57.942</v>
      </c>
      <c r="S46" s="133">
        <v>508963</v>
      </c>
      <c r="T46" s="133">
        <v>507572</v>
      </c>
      <c r="U46" s="134">
        <v>0</v>
      </c>
      <c r="V46" s="134">
        <v>0</v>
      </c>
      <c r="W46" s="134">
        <v>0</v>
      </c>
      <c r="X46" s="134">
        <v>0</v>
      </c>
      <c r="Y46" s="134">
        <v>0</v>
      </c>
      <c r="Z46" s="134">
        <v>0</v>
      </c>
      <c r="AA46" s="131">
        <v>0</v>
      </c>
      <c r="AB46" s="131">
        <v>0</v>
      </c>
      <c r="AC46" s="134">
        <v>0</v>
      </c>
      <c r="AD46" s="134">
        <v>0</v>
      </c>
      <c r="AE46" s="135">
        <v>7.7555999999999996E-3</v>
      </c>
      <c r="AF46" s="135">
        <v>7.7665E-3</v>
      </c>
      <c r="AG46" s="135">
        <v>0</v>
      </c>
      <c r="AH46" s="135">
        <v>7.7555999999999996E-3</v>
      </c>
      <c r="AI46" s="135">
        <v>7.7665E-3</v>
      </c>
      <c r="AJ46" s="135">
        <v>7.7610999999999999E-3</v>
      </c>
      <c r="AK46" s="135">
        <v>1</v>
      </c>
      <c r="AL46" s="135">
        <v>0.99999769999999999</v>
      </c>
      <c r="AM46" s="135">
        <v>1</v>
      </c>
      <c r="AN46" s="135">
        <v>1</v>
      </c>
      <c r="AO46" s="135">
        <v>0</v>
      </c>
      <c r="AP46" s="135">
        <v>0</v>
      </c>
      <c r="AQ46" s="131">
        <v>1</v>
      </c>
      <c r="AR46" s="131">
        <v>1</v>
      </c>
      <c r="AS46" s="134">
        <v>0</v>
      </c>
      <c r="AT46" s="134">
        <v>0</v>
      </c>
      <c r="AU46" s="134">
        <v>0</v>
      </c>
      <c r="AV46" s="134">
        <v>0</v>
      </c>
      <c r="AW46" s="134">
        <v>0</v>
      </c>
      <c r="AX46" s="134">
        <v>0</v>
      </c>
      <c r="AY46" s="134">
        <v>0</v>
      </c>
      <c r="AZ46" s="134">
        <v>0</v>
      </c>
      <c r="BA46" s="134">
        <v>0</v>
      </c>
      <c r="BB46" s="134">
        <v>0</v>
      </c>
      <c r="BC46" s="134">
        <v>0</v>
      </c>
      <c r="BD46" s="134">
        <v>0</v>
      </c>
      <c r="BE46" s="134">
        <v>54.478999999999999</v>
      </c>
      <c r="BF46" s="134">
        <v>54.555999999999997</v>
      </c>
      <c r="BG46" s="131">
        <v>1</v>
      </c>
      <c r="BH46" s="131"/>
      <c r="BI46" s="131"/>
      <c r="BJ46" s="131"/>
      <c r="BK46" s="131"/>
      <c r="BL46" s="131"/>
      <c r="BM46" s="131"/>
      <c r="BN46" s="131"/>
    </row>
    <row r="47" spans="1:66">
      <c r="A47" s="131">
        <v>10113</v>
      </c>
      <c r="B47" s="131" t="s">
        <v>51</v>
      </c>
      <c r="C47" s="131">
        <v>1</v>
      </c>
      <c r="D47" s="131">
        <v>0</v>
      </c>
      <c r="E47" s="134">
        <v>38.255000000000003</v>
      </c>
      <c r="F47" s="134">
        <v>41.588000000000001</v>
      </c>
      <c r="G47" s="134">
        <v>42.057000000000002</v>
      </c>
      <c r="H47" s="134">
        <v>0</v>
      </c>
      <c r="I47" s="134">
        <v>0</v>
      </c>
      <c r="J47" s="134">
        <v>0</v>
      </c>
      <c r="K47" s="134">
        <v>0</v>
      </c>
      <c r="L47" s="133">
        <v>0</v>
      </c>
      <c r="M47" s="133">
        <v>0</v>
      </c>
      <c r="N47" s="134">
        <v>43.765000000000001</v>
      </c>
      <c r="O47" s="134">
        <v>44.648000000000003</v>
      </c>
      <c r="P47" s="133">
        <v>384432</v>
      </c>
      <c r="Q47" s="133">
        <v>391116</v>
      </c>
      <c r="R47" s="131">
        <v>37.493000000000002</v>
      </c>
      <c r="S47" s="133">
        <v>329339</v>
      </c>
      <c r="T47" s="133">
        <v>328439</v>
      </c>
      <c r="U47" s="134">
        <v>6.2720000000000002</v>
      </c>
      <c r="V47" s="134">
        <v>7.1550000000000002</v>
      </c>
      <c r="W47" s="134">
        <v>6.2720000000000002</v>
      </c>
      <c r="X47" s="134">
        <v>7.1550000000000002</v>
      </c>
      <c r="Y47" s="134">
        <v>0</v>
      </c>
      <c r="Z47" s="134">
        <v>0</v>
      </c>
      <c r="AA47" s="131">
        <v>0</v>
      </c>
      <c r="AB47" s="131">
        <v>0</v>
      </c>
      <c r="AC47" s="134">
        <v>6.2720000000000002</v>
      </c>
      <c r="AD47" s="134">
        <v>7.1550000000000002</v>
      </c>
      <c r="AE47" s="135">
        <v>5.3375000000000002E-3</v>
      </c>
      <c r="AF47" s="135">
        <v>5.3375000000000002E-3</v>
      </c>
      <c r="AG47" s="135">
        <v>0</v>
      </c>
      <c r="AH47" s="135">
        <v>5.3375000000000002E-3</v>
      </c>
      <c r="AI47" s="135">
        <v>5.3375000000000002E-3</v>
      </c>
      <c r="AJ47" s="135">
        <v>5.3375000000000002E-3</v>
      </c>
      <c r="AK47" s="135">
        <v>0.85669669999999998</v>
      </c>
      <c r="AL47" s="135">
        <v>0.83975390000000005</v>
      </c>
      <c r="AM47" s="135">
        <v>1.1672845999999999</v>
      </c>
      <c r="AN47" s="135">
        <v>1.1908356</v>
      </c>
      <c r="AO47" s="135">
        <v>8.1709900000000002E-2</v>
      </c>
      <c r="AP47" s="135">
        <v>8.3358500000000002E-2</v>
      </c>
      <c r="AQ47" s="131">
        <v>3</v>
      </c>
      <c r="AR47" s="131">
        <v>3</v>
      </c>
      <c r="AS47" s="134">
        <v>20</v>
      </c>
      <c r="AT47" s="134">
        <v>20</v>
      </c>
      <c r="AU47" s="134">
        <v>4.1000000000000002E-2</v>
      </c>
      <c r="AV47" s="134">
        <v>0.92400000000000004</v>
      </c>
      <c r="AW47" s="134">
        <v>1.2310000000000001</v>
      </c>
      <c r="AX47" s="134">
        <v>1.2310000000000001</v>
      </c>
      <c r="AY47" s="134">
        <v>0</v>
      </c>
      <c r="AZ47" s="134">
        <v>0</v>
      </c>
      <c r="BA47" s="134">
        <v>0</v>
      </c>
      <c r="BB47" s="134">
        <v>0</v>
      </c>
      <c r="BC47" s="134">
        <v>0</v>
      </c>
      <c r="BD47" s="134">
        <v>0</v>
      </c>
      <c r="BE47" s="134">
        <v>37.533999999999999</v>
      </c>
      <c r="BF47" s="134">
        <v>38.417000000000002</v>
      </c>
      <c r="BG47" s="131">
        <v>1</v>
      </c>
      <c r="BH47" s="131"/>
      <c r="BI47" s="131"/>
      <c r="BJ47" s="131"/>
      <c r="BK47" s="131"/>
      <c r="BL47" s="131"/>
      <c r="BM47" s="131"/>
      <c r="BN47" s="131"/>
    </row>
    <row r="48" spans="1:66">
      <c r="A48" s="131">
        <v>10116</v>
      </c>
      <c r="B48" s="131" t="s">
        <v>52</v>
      </c>
      <c r="C48" s="131">
        <v>1</v>
      </c>
      <c r="D48" s="131">
        <v>0</v>
      </c>
      <c r="E48" s="134">
        <v>0.23100000000000001</v>
      </c>
      <c r="F48" s="134">
        <v>0.22900000000000001</v>
      </c>
      <c r="G48" s="134">
        <v>0.23</v>
      </c>
      <c r="H48" s="134">
        <v>0</v>
      </c>
      <c r="I48" s="134">
        <v>0</v>
      </c>
      <c r="J48" s="134">
        <v>0</v>
      </c>
      <c r="K48" s="134">
        <v>0</v>
      </c>
      <c r="L48" s="133">
        <v>0</v>
      </c>
      <c r="M48" s="133">
        <v>0</v>
      </c>
      <c r="N48" s="134">
        <v>0.22900000000000001</v>
      </c>
      <c r="O48" s="134">
        <v>0.23</v>
      </c>
      <c r="P48" s="133">
        <v>2012</v>
      </c>
      <c r="Q48" s="133">
        <v>2015</v>
      </c>
      <c r="R48" s="131">
        <v>0.22600000000000001</v>
      </c>
      <c r="S48" s="133">
        <v>1985</v>
      </c>
      <c r="T48" s="133">
        <v>1980</v>
      </c>
      <c r="U48" s="134">
        <v>3.0000000000000001E-3</v>
      </c>
      <c r="V48" s="134">
        <v>4.0000000000000001E-3</v>
      </c>
      <c r="W48" s="134">
        <v>0</v>
      </c>
      <c r="X48" s="134">
        <v>0</v>
      </c>
      <c r="Y48" s="134">
        <v>3.0000000000000001E-3</v>
      </c>
      <c r="Z48" s="134">
        <v>4.0000000000000001E-3</v>
      </c>
      <c r="AA48" s="131">
        <v>0</v>
      </c>
      <c r="AB48" s="131">
        <v>0</v>
      </c>
      <c r="AC48" s="134">
        <v>0</v>
      </c>
      <c r="AD48" s="134">
        <v>0</v>
      </c>
      <c r="AE48" s="135">
        <v>3.2199999999999997E-5</v>
      </c>
      <c r="AF48" s="135">
        <v>3.2199999999999997E-5</v>
      </c>
      <c r="AG48" s="135">
        <v>0</v>
      </c>
      <c r="AH48" s="135">
        <v>3.2199999999999997E-5</v>
      </c>
      <c r="AI48" s="135">
        <v>3.2199999999999997E-5</v>
      </c>
      <c r="AJ48" s="135">
        <v>3.2199999999999997E-5</v>
      </c>
      <c r="AK48" s="135">
        <v>0.98772610000000005</v>
      </c>
      <c r="AL48" s="135">
        <v>0.98343170000000002</v>
      </c>
      <c r="AM48" s="135">
        <v>1.0132743</v>
      </c>
      <c r="AN48" s="135">
        <v>1.0176991</v>
      </c>
      <c r="AO48" s="135">
        <v>0</v>
      </c>
      <c r="AP48" s="135">
        <v>0</v>
      </c>
      <c r="AQ48" s="131">
        <v>1</v>
      </c>
      <c r="AR48" s="131">
        <v>1</v>
      </c>
      <c r="AS48" s="134">
        <v>0</v>
      </c>
      <c r="AT48" s="134">
        <v>0</v>
      </c>
      <c r="AU48" s="134">
        <v>0</v>
      </c>
      <c r="AV48" s="134">
        <v>0</v>
      </c>
      <c r="AW48" s="134">
        <v>0</v>
      </c>
      <c r="AX48" s="134">
        <v>0</v>
      </c>
      <c r="AY48" s="134">
        <v>0</v>
      </c>
      <c r="AZ48" s="134">
        <v>0</v>
      </c>
      <c r="BA48" s="134">
        <v>0</v>
      </c>
      <c r="BB48" s="134">
        <v>0</v>
      </c>
      <c r="BC48" s="134">
        <v>0</v>
      </c>
      <c r="BD48" s="134">
        <v>0</v>
      </c>
      <c r="BE48" s="134">
        <v>0.22900000000000001</v>
      </c>
      <c r="BF48" s="134">
        <v>0.23</v>
      </c>
      <c r="BG48" s="131">
        <v>0</v>
      </c>
      <c r="BH48" s="131"/>
      <c r="BI48" s="131"/>
      <c r="BJ48" s="131"/>
      <c r="BK48" s="131"/>
      <c r="BL48" s="131"/>
      <c r="BM48" s="131"/>
      <c r="BN48" s="131"/>
    </row>
    <row r="49" spans="1:66">
      <c r="A49" s="138">
        <v>10118</v>
      </c>
      <c r="B49" s="138" t="s">
        <v>53</v>
      </c>
      <c r="C49" s="138">
        <v>0</v>
      </c>
      <c r="D49" s="138">
        <v>1</v>
      </c>
      <c r="E49" s="134">
        <v>46.354999999999997</v>
      </c>
      <c r="F49" s="142">
        <v>52.234999999999999</v>
      </c>
      <c r="G49" s="142">
        <v>54.371000000000002</v>
      </c>
      <c r="H49" s="142">
        <v>0</v>
      </c>
      <c r="I49" s="142">
        <v>0</v>
      </c>
      <c r="J49" s="142">
        <v>2.363</v>
      </c>
      <c r="K49" s="142">
        <v>2.363</v>
      </c>
      <c r="L49" s="140">
        <v>20757</v>
      </c>
      <c r="M49" s="140">
        <v>20700</v>
      </c>
      <c r="N49" s="142">
        <v>47.008000000000003</v>
      </c>
      <c r="O49" s="142">
        <v>47.228000000000002</v>
      </c>
      <c r="P49" s="140">
        <v>412918</v>
      </c>
      <c r="Q49" s="140">
        <v>413717</v>
      </c>
      <c r="R49" s="138">
        <v>45.432000000000002</v>
      </c>
      <c r="S49" s="140">
        <v>399075</v>
      </c>
      <c r="T49" s="140">
        <v>397984</v>
      </c>
      <c r="U49" s="142">
        <v>1.5760000000000001</v>
      </c>
      <c r="V49" s="142">
        <v>1.796</v>
      </c>
      <c r="W49" s="134">
        <v>1.5760000000000001</v>
      </c>
      <c r="X49" s="134">
        <v>1.796</v>
      </c>
      <c r="Y49" s="142">
        <v>0</v>
      </c>
      <c r="Z49" s="142">
        <v>0</v>
      </c>
      <c r="AA49" s="138">
        <v>0</v>
      </c>
      <c r="AB49" s="138">
        <v>0</v>
      </c>
      <c r="AC49" s="142">
        <v>1.5760000000000001</v>
      </c>
      <c r="AD49" s="142">
        <v>1.796</v>
      </c>
      <c r="AE49" s="143">
        <v>6.4676000000000004E-3</v>
      </c>
      <c r="AF49" s="143">
        <v>6.4676000000000004E-3</v>
      </c>
      <c r="AG49" s="135">
        <v>0</v>
      </c>
      <c r="AH49" s="143">
        <v>6.4676000000000004E-3</v>
      </c>
      <c r="AI49" s="143">
        <v>6.4676000000000004E-3</v>
      </c>
      <c r="AJ49" s="143">
        <v>6.4676000000000004E-3</v>
      </c>
      <c r="AK49" s="143">
        <v>0.96807299999999996</v>
      </c>
      <c r="AL49" s="143">
        <v>0.96377840000000004</v>
      </c>
      <c r="AM49" s="143">
        <v>1.0346892000000001</v>
      </c>
      <c r="AN49" s="143">
        <v>1.0395315999999999</v>
      </c>
      <c r="AO49" s="143">
        <v>6.7254800000000003E-2</v>
      </c>
      <c r="AP49" s="143">
        <v>6.7569599999999994E-2</v>
      </c>
      <c r="AQ49" s="138">
        <v>6</v>
      </c>
      <c r="AR49" s="138">
        <v>6</v>
      </c>
      <c r="AS49" s="142">
        <v>0</v>
      </c>
      <c r="AT49" s="142">
        <v>0</v>
      </c>
      <c r="AU49" s="134">
        <v>0</v>
      </c>
      <c r="AV49" s="134">
        <v>0</v>
      </c>
      <c r="AW49" s="134">
        <v>0</v>
      </c>
      <c r="AX49" s="134">
        <v>0</v>
      </c>
      <c r="AY49" s="134">
        <v>0</v>
      </c>
      <c r="AZ49" s="134">
        <v>0</v>
      </c>
      <c r="BA49" s="134">
        <v>0</v>
      </c>
      <c r="BB49" s="134">
        <v>0</v>
      </c>
      <c r="BC49" s="134">
        <v>0</v>
      </c>
      <c r="BD49" s="134">
        <v>0</v>
      </c>
      <c r="BE49" s="142">
        <v>45.432000000000002</v>
      </c>
      <c r="BF49" s="142">
        <v>45.432000000000002</v>
      </c>
      <c r="BG49" s="131">
        <v>0</v>
      </c>
      <c r="BH49" s="138"/>
      <c r="BI49" s="138"/>
      <c r="BJ49" s="138"/>
      <c r="BK49" s="138"/>
      <c r="BL49" s="138"/>
      <c r="BM49" s="131"/>
      <c r="BN49" s="131"/>
    </row>
    <row r="50" spans="1:66">
      <c r="A50" s="131">
        <v>10121</v>
      </c>
      <c r="B50" s="131" t="s">
        <v>54</v>
      </c>
      <c r="C50" s="131">
        <v>0</v>
      </c>
      <c r="D50" s="131">
        <v>1</v>
      </c>
      <c r="E50" s="134">
        <v>41.484999999999999</v>
      </c>
      <c r="F50" s="134">
        <v>38.926000000000002</v>
      </c>
      <c r="G50" s="134">
        <v>38.908000000000001</v>
      </c>
      <c r="H50" s="134">
        <v>0</v>
      </c>
      <c r="I50" s="134">
        <v>0</v>
      </c>
      <c r="J50" s="134">
        <v>0</v>
      </c>
      <c r="K50" s="134">
        <v>0</v>
      </c>
      <c r="L50" s="133">
        <v>0</v>
      </c>
      <c r="M50" s="133">
        <v>0</v>
      </c>
      <c r="N50" s="134">
        <v>38.926000000000002</v>
      </c>
      <c r="O50" s="134">
        <v>38.908000000000001</v>
      </c>
      <c r="P50" s="133">
        <v>341926</v>
      </c>
      <c r="Q50" s="133">
        <v>340834</v>
      </c>
      <c r="R50" s="131">
        <v>40.658999999999999</v>
      </c>
      <c r="S50" s="133">
        <v>357149</v>
      </c>
      <c r="T50" s="133">
        <v>356173</v>
      </c>
      <c r="U50" s="134">
        <v>0</v>
      </c>
      <c r="V50" s="134">
        <v>0</v>
      </c>
      <c r="W50" s="134">
        <v>0</v>
      </c>
      <c r="X50" s="134">
        <v>0</v>
      </c>
      <c r="Y50" s="134">
        <v>0</v>
      </c>
      <c r="Z50" s="134">
        <v>0</v>
      </c>
      <c r="AA50" s="131">
        <v>0</v>
      </c>
      <c r="AB50" s="131">
        <v>0</v>
      </c>
      <c r="AC50" s="134">
        <v>0</v>
      </c>
      <c r="AD50" s="134">
        <v>0</v>
      </c>
      <c r="AE50" s="135">
        <v>5.5415000000000004E-3</v>
      </c>
      <c r="AF50" s="135">
        <v>5.5389000000000002E-3</v>
      </c>
      <c r="AG50" s="135">
        <v>0</v>
      </c>
      <c r="AH50" s="135">
        <v>5.5415000000000004E-3</v>
      </c>
      <c r="AI50" s="135">
        <v>5.5389000000000002E-3</v>
      </c>
      <c r="AJ50" s="135">
        <v>5.5402000000000003E-3</v>
      </c>
      <c r="AK50" s="135">
        <v>1</v>
      </c>
      <c r="AL50" s="135">
        <v>1</v>
      </c>
      <c r="AM50" s="135">
        <v>1</v>
      </c>
      <c r="AN50" s="135">
        <v>1</v>
      </c>
      <c r="AO50" s="135">
        <v>0.06</v>
      </c>
      <c r="AP50" s="135">
        <v>0.06</v>
      </c>
      <c r="AQ50" s="131">
        <v>6</v>
      </c>
      <c r="AR50" s="131">
        <v>6</v>
      </c>
      <c r="AS50" s="134">
        <v>0</v>
      </c>
      <c r="AT50" s="134">
        <v>0</v>
      </c>
      <c r="AU50" s="134">
        <v>0</v>
      </c>
      <c r="AV50" s="134">
        <v>0</v>
      </c>
      <c r="AW50" s="134">
        <v>0</v>
      </c>
      <c r="AX50" s="134">
        <v>0</v>
      </c>
      <c r="AY50" s="134">
        <v>0</v>
      </c>
      <c r="AZ50" s="134">
        <v>0</v>
      </c>
      <c r="BA50" s="134">
        <v>0</v>
      </c>
      <c r="BB50" s="134">
        <v>0</v>
      </c>
      <c r="BC50" s="134">
        <v>0</v>
      </c>
      <c r="BD50" s="134">
        <v>0</v>
      </c>
      <c r="BE50" s="134">
        <v>38.926000000000002</v>
      </c>
      <c r="BF50" s="134">
        <v>38.908000000000001</v>
      </c>
      <c r="BG50" s="131">
        <v>0</v>
      </c>
      <c r="BH50" s="131"/>
      <c r="BI50" s="131"/>
      <c r="BJ50" s="131"/>
      <c r="BK50" s="131"/>
      <c r="BL50" s="131"/>
      <c r="BM50" s="131"/>
      <c r="BN50" s="131"/>
    </row>
    <row r="51" spans="1:66">
      <c r="A51" s="131">
        <v>10123</v>
      </c>
      <c r="B51" s="131" t="s">
        <v>55</v>
      </c>
      <c r="C51" s="131">
        <v>1</v>
      </c>
      <c r="D51" s="131">
        <v>0</v>
      </c>
      <c r="E51" s="134">
        <v>557.39200000000005</v>
      </c>
      <c r="F51" s="134">
        <v>459.28100000000001</v>
      </c>
      <c r="G51" s="134">
        <v>477.32100000000003</v>
      </c>
      <c r="H51" s="134">
        <v>25.001999999999999</v>
      </c>
      <c r="I51" s="134">
        <v>25.001999999999999</v>
      </c>
      <c r="J51" s="134">
        <v>15.743</v>
      </c>
      <c r="K51" s="134">
        <v>15.72</v>
      </c>
      <c r="L51" s="133">
        <v>138287</v>
      </c>
      <c r="M51" s="133">
        <v>137707</v>
      </c>
      <c r="N51" s="134">
        <v>418.536</v>
      </c>
      <c r="O51" s="134">
        <v>436.59899999999999</v>
      </c>
      <c r="P51" s="133">
        <v>3676420</v>
      </c>
      <c r="Q51" s="133">
        <v>3824607</v>
      </c>
      <c r="R51" s="131">
        <v>546.29200000000003</v>
      </c>
      <c r="S51" s="133">
        <v>4798629</v>
      </c>
      <c r="T51" s="133">
        <v>4785518</v>
      </c>
      <c r="U51" s="134">
        <v>0</v>
      </c>
      <c r="V51" s="134">
        <v>0</v>
      </c>
      <c r="W51" s="134">
        <v>0</v>
      </c>
      <c r="X51" s="134">
        <v>0</v>
      </c>
      <c r="Y51" s="134">
        <v>0</v>
      </c>
      <c r="Z51" s="134">
        <v>0</v>
      </c>
      <c r="AA51" s="131">
        <v>0</v>
      </c>
      <c r="AB51" s="131">
        <v>0</v>
      </c>
      <c r="AC51" s="134">
        <v>0</v>
      </c>
      <c r="AD51" s="134">
        <v>0</v>
      </c>
      <c r="AE51" s="135">
        <v>5.9582200000000002E-2</v>
      </c>
      <c r="AF51" s="135">
        <v>6.2153600000000003E-2</v>
      </c>
      <c r="AG51" s="135">
        <v>3.9884000000000003E-2</v>
      </c>
      <c r="AH51" s="135">
        <v>1.9698199999999999E-2</v>
      </c>
      <c r="AI51" s="135">
        <v>2.2269600000000001E-2</v>
      </c>
      <c r="AJ51" s="135">
        <v>2.09839E-2</v>
      </c>
      <c r="AK51" s="135">
        <v>0.99999939999999998</v>
      </c>
      <c r="AL51" s="135">
        <v>0.99999979999999999</v>
      </c>
      <c r="AM51" s="135">
        <v>1</v>
      </c>
      <c r="AN51" s="135">
        <v>1</v>
      </c>
      <c r="AO51" s="135">
        <v>0</v>
      </c>
      <c r="AP51" s="135">
        <v>0</v>
      </c>
      <c r="AQ51" s="131">
        <v>4</v>
      </c>
      <c r="AR51" s="131">
        <v>4</v>
      </c>
      <c r="AS51" s="134">
        <v>0</v>
      </c>
      <c r="AT51" s="134">
        <v>0</v>
      </c>
      <c r="AU51" s="134">
        <v>0</v>
      </c>
      <c r="AV51" s="134">
        <v>0</v>
      </c>
      <c r="AW51" s="134">
        <v>0</v>
      </c>
      <c r="AX51" s="134">
        <v>0</v>
      </c>
      <c r="AY51" s="134">
        <v>0</v>
      </c>
      <c r="AZ51" s="134">
        <v>0</v>
      </c>
      <c r="BA51" s="134">
        <v>0</v>
      </c>
      <c r="BB51" s="134">
        <v>0</v>
      </c>
      <c r="BC51" s="134">
        <v>0</v>
      </c>
      <c r="BD51" s="134">
        <v>0</v>
      </c>
      <c r="BE51" s="134">
        <v>418.536</v>
      </c>
      <c r="BF51" s="134">
        <v>436.59899999999999</v>
      </c>
      <c r="BG51" s="131">
        <v>0</v>
      </c>
      <c r="BH51" s="131"/>
      <c r="BI51" s="131"/>
      <c r="BJ51" s="131"/>
      <c r="BK51" s="131"/>
      <c r="BL51" s="131"/>
      <c r="BM51" s="131"/>
      <c r="BN51" s="131"/>
    </row>
    <row r="52" spans="1:66">
      <c r="A52" s="131">
        <v>10136</v>
      </c>
      <c r="B52" s="131" t="s">
        <v>56</v>
      </c>
      <c r="C52" s="131">
        <v>0</v>
      </c>
      <c r="D52" s="131">
        <v>1</v>
      </c>
      <c r="E52" s="134">
        <v>18.814</v>
      </c>
      <c r="F52" s="134">
        <v>18.888999999999999</v>
      </c>
      <c r="G52" s="134">
        <v>19.065999999999999</v>
      </c>
      <c r="H52" s="134">
        <v>0</v>
      </c>
      <c r="I52" s="134">
        <v>0</v>
      </c>
      <c r="J52" s="134">
        <v>0</v>
      </c>
      <c r="K52" s="134">
        <v>0</v>
      </c>
      <c r="L52" s="133">
        <v>0</v>
      </c>
      <c r="M52" s="133">
        <v>0</v>
      </c>
      <c r="N52" s="134">
        <v>18.117000000000001</v>
      </c>
      <c r="O52" s="134">
        <v>18.152000000000001</v>
      </c>
      <c r="P52" s="133">
        <v>159140</v>
      </c>
      <c r="Q52" s="133">
        <v>159012</v>
      </c>
      <c r="R52" s="131">
        <v>18.439</v>
      </c>
      <c r="S52" s="133">
        <v>161968</v>
      </c>
      <c r="T52" s="133">
        <v>161526</v>
      </c>
      <c r="U52" s="134">
        <v>0</v>
      </c>
      <c r="V52" s="134">
        <v>0</v>
      </c>
      <c r="W52" s="134">
        <v>0</v>
      </c>
      <c r="X52" s="134">
        <v>0</v>
      </c>
      <c r="Y52" s="134">
        <v>0</v>
      </c>
      <c r="Z52" s="134">
        <v>0</v>
      </c>
      <c r="AA52" s="131">
        <v>0</v>
      </c>
      <c r="AB52" s="131">
        <v>0</v>
      </c>
      <c r="AC52" s="134">
        <v>0</v>
      </c>
      <c r="AD52" s="134">
        <v>0</v>
      </c>
      <c r="AE52" s="135">
        <v>2.5791E-3</v>
      </c>
      <c r="AF52" s="135">
        <v>2.5841000000000002E-3</v>
      </c>
      <c r="AG52" s="135">
        <v>0</v>
      </c>
      <c r="AH52" s="135">
        <v>2.5791E-3</v>
      </c>
      <c r="AI52" s="135">
        <v>2.5841000000000002E-3</v>
      </c>
      <c r="AJ52" s="135">
        <v>2.5815999999999999E-3</v>
      </c>
      <c r="AK52" s="135">
        <v>0.99999550000000004</v>
      </c>
      <c r="AL52" s="135">
        <v>1</v>
      </c>
      <c r="AM52" s="135">
        <v>1</v>
      </c>
      <c r="AN52" s="135">
        <v>1</v>
      </c>
      <c r="AO52" s="135">
        <v>7.0000000000000007E-2</v>
      </c>
      <c r="AP52" s="135">
        <v>7.0000000000000007E-2</v>
      </c>
      <c r="AQ52" s="131">
        <v>6</v>
      </c>
      <c r="AR52" s="131">
        <v>6</v>
      </c>
      <c r="AS52" s="134">
        <v>0</v>
      </c>
      <c r="AT52" s="134">
        <v>0</v>
      </c>
      <c r="AU52" s="134">
        <v>0</v>
      </c>
      <c r="AV52" s="134">
        <v>0</v>
      </c>
      <c r="AW52" s="134">
        <v>0</v>
      </c>
      <c r="AX52" s="134">
        <v>0</v>
      </c>
      <c r="AY52" s="134">
        <v>0</v>
      </c>
      <c r="AZ52" s="134">
        <v>0</v>
      </c>
      <c r="BA52" s="134">
        <v>0</v>
      </c>
      <c r="BB52" s="134">
        <v>0</v>
      </c>
      <c r="BC52" s="134">
        <v>0</v>
      </c>
      <c r="BD52" s="134">
        <v>0</v>
      </c>
      <c r="BE52" s="134">
        <v>18.117000000000001</v>
      </c>
      <c r="BF52" s="134">
        <v>18.152000000000001</v>
      </c>
      <c r="BG52" s="131">
        <v>0</v>
      </c>
      <c r="BH52" s="131"/>
      <c r="BI52" s="131"/>
      <c r="BJ52" s="131"/>
      <c r="BK52" s="131"/>
      <c r="BL52" s="131"/>
      <c r="BM52" s="131"/>
      <c r="BN52" s="131"/>
    </row>
    <row r="53" spans="1:66">
      <c r="A53" s="131">
        <v>10142</v>
      </c>
      <c r="B53" s="131" t="s">
        <v>57</v>
      </c>
      <c r="C53" s="131">
        <v>1</v>
      </c>
      <c r="D53" s="131">
        <v>0</v>
      </c>
      <c r="E53" s="134">
        <v>2.7269999999999999</v>
      </c>
      <c r="F53" s="134">
        <v>2.956</v>
      </c>
      <c r="G53" s="134">
        <v>2.9630000000000001</v>
      </c>
      <c r="H53" s="134">
        <v>0</v>
      </c>
      <c r="I53" s="134">
        <v>0</v>
      </c>
      <c r="J53" s="134">
        <v>0</v>
      </c>
      <c r="K53" s="134">
        <v>0</v>
      </c>
      <c r="L53" s="133">
        <v>0</v>
      </c>
      <c r="M53" s="133">
        <v>0</v>
      </c>
      <c r="N53" s="134">
        <v>2.9369999999999998</v>
      </c>
      <c r="O53" s="134">
        <v>2.944</v>
      </c>
      <c r="P53" s="133">
        <v>25799</v>
      </c>
      <c r="Q53" s="133">
        <v>25789</v>
      </c>
      <c r="R53" s="131">
        <v>2.673</v>
      </c>
      <c r="S53" s="133">
        <v>23480</v>
      </c>
      <c r="T53" s="133">
        <v>23415</v>
      </c>
      <c r="U53" s="134">
        <v>0.26400000000000001</v>
      </c>
      <c r="V53" s="134">
        <v>0.27100000000000002</v>
      </c>
      <c r="W53" s="134">
        <v>0</v>
      </c>
      <c r="X53" s="134">
        <v>0</v>
      </c>
      <c r="Y53" s="134">
        <v>0.26400000000000001</v>
      </c>
      <c r="Z53" s="134">
        <v>0.27100000000000002</v>
      </c>
      <c r="AA53" s="131">
        <v>0</v>
      </c>
      <c r="AB53" s="131">
        <v>0</v>
      </c>
      <c r="AC53" s="134">
        <v>0</v>
      </c>
      <c r="AD53" s="134">
        <v>0</v>
      </c>
      <c r="AE53" s="135">
        <v>3.8049999999999998E-4</v>
      </c>
      <c r="AF53" s="135">
        <v>3.8049999999999998E-4</v>
      </c>
      <c r="AG53" s="135">
        <v>0</v>
      </c>
      <c r="AH53" s="135">
        <v>3.8049999999999998E-4</v>
      </c>
      <c r="AI53" s="135">
        <v>3.8049999999999998E-4</v>
      </c>
      <c r="AJ53" s="135">
        <v>3.8049999999999998E-4</v>
      </c>
      <c r="AK53" s="135">
        <v>0.91005340000000001</v>
      </c>
      <c r="AL53" s="135">
        <v>0.90788950000000002</v>
      </c>
      <c r="AM53" s="135">
        <v>1.0987654</v>
      </c>
      <c r="AN53" s="135">
        <v>1.1013842</v>
      </c>
      <c r="AO53" s="135">
        <v>3.2962999999999999E-2</v>
      </c>
      <c r="AP53" s="135">
        <v>3.3041500000000001E-2</v>
      </c>
      <c r="AQ53" s="131">
        <v>1</v>
      </c>
      <c r="AR53" s="131">
        <v>1</v>
      </c>
      <c r="AS53" s="134">
        <v>0</v>
      </c>
      <c r="AT53" s="134">
        <v>0</v>
      </c>
      <c r="AU53" s="134">
        <v>0</v>
      </c>
      <c r="AV53" s="134">
        <v>0</v>
      </c>
      <c r="AW53" s="134">
        <v>0</v>
      </c>
      <c r="AX53" s="134">
        <v>0</v>
      </c>
      <c r="AY53" s="134">
        <v>0</v>
      </c>
      <c r="AZ53" s="134">
        <v>0</v>
      </c>
      <c r="BA53" s="134">
        <v>0</v>
      </c>
      <c r="BB53" s="134">
        <v>0</v>
      </c>
      <c r="BC53" s="134">
        <v>0</v>
      </c>
      <c r="BD53" s="134">
        <v>0</v>
      </c>
      <c r="BE53" s="134">
        <v>2.9369999999999998</v>
      </c>
      <c r="BF53" s="134">
        <v>2.944</v>
      </c>
      <c r="BG53" s="131">
        <v>0</v>
      </c>
      <c r="BH53" s="131"/>
      <c r="BI53" s="131"/>
      <c r="BJ53" s="131"/>
      <c r="BK53" s="131"/>
      <c r="BL53" s="131"/>
      <c r="BM53" s="131"/>
      <c r="BN53" s="131"/>
    </row>
    <row r="54" spans="1:66">
      <c r="A54" s="131">
        <v>10144</v>
      </c>
      <c r="B54" s="131" t="s">
        <v>58</v>
      </c>
      <c r="C54" s="131">
        <v>1</v>
      </c>
      <c r="D54" s="131">
        <v>0</v>
      </c>
      <c r="E54" s="134">
        <v>3.4180000000000001</v>
      </c>
      <c r="F54" s="134">
        <v>3.2890000000000001</v>
      </c>
      <c r="G54" s="134">
        <v>3.29</v>
      </c>
      <c r="H54" s="134">
        <v>0</v>
      </c>
      <c r="I54" s="134">
        <v>0</v>
      </c>
      <c r="J54" s="134">
        <v>0</v>
      </c>
      <c r="K54" s="134">
        <v>0</v>
      </c>
      <c r="L54" s="133">
        <v>0</v>
      </c>
      <c r="M54" s="133">
        <v>0</v>
      </c>
      <c r="N54" s="134">
        <v>3.3809999999999998</v>
      </c>
      <c r="O54" s="134">
        <v>3.4</v>
      </c>
      <c r="P54" s="133">
        <v>29699</v>
      </c>
      <c r="Q54" s="133">
        <v>29784</v>
      </c>
      <c r="R54" s="131">
        <v>3.35</v>
      </c>
      <c r="S54" s="133">
        <v>29426</v>
      </c>
      <c r="T54" s="133">
        <v>29346</v>
      </c>
      <c r="U54" s="134">
        <v>3.1E-2</v>
      </c>
      <c r="V54" s="134">
        <v>0.05</v>
      </c>
      <c r="W54" s="134">
        <v>0</v>
      </c>
      <c r="X54" s="134">
        <v>0</v>
      </c>
      <c r="Y54" s="134">
        <v>3.1E-2</v>
      </c>
      <c r="Z54" s="134">
        <v>0.05</v>
      </c>
      <c r="AA54" s="131">
        <v>0</v>
      </c>
      <c r="AB54" s="131">
        <v>0</v>
      </c>
      <c r="AC54" s="134">
        <v>0</v>
      </c>
      <c r="AD54" s="134">
        <v>0</v>
      </c>
      <c r="AE54" s="135">
        <v>4.7689999999999999E-4</v>
      </c>
      <c r="AF54" s="135">
        <v>4.7689999999999999E-4</v>
      </c>
      <c r="AG54" s="135">
        <v>0</v>
      </c>
      <c r="AH54" s="135">
        <v>4.7689999999999999E-4</v>
      </c>
      <c r="AI54" s="135">
        <v>4.7689999999999999E-4</v>
      </c>
      <c r="AJ54" s="135">
        <v>4.7689999999999999E-4</v>
      </c>
      <c r="AK54" s="135">
        <v>0.99082809999999999</v>
      </c>
      <c r="AL54" s="135">
        <v>0.98529109999999998</v>
      </c>
      <c r="AM54" s="135">
        <v>1.0092536999999999</v>
      </c>
      <c r="AN54" s="135">
        <v>1.0149254000000001</v>
      </c>
      <c r="AO54" s="135">
        <v>0</v>
      </c>
      <c r="AP54" s="135">
        <v>0</v>
      </c>
      <c r="AQ54" s="131">
        <v>1</v>
      </c>
      <c r="AR54" s="131">
        <v>1</v>
      </c>
      <c r="AS54" s="134">
        <v>0</v>
      </c>
      <c r="AT54" s="134">
        <v>0</v>
      </c>
      <c r="AU54" s="134">
        <v>0</v>
      </c>
      <c r="AV54" s="134">
        <v>0</v>
      </c>
      <c r="AW54" s="134">
        <v>0</v>
      </c>
      <c r="AX54" s="134">
        <v>0</v>
      </c>
      <c r="AY54" s="134">
        <v>0</v>
      </c>
      <c r="AZ54" s="134">
        <v>0</v>
      </c>
      <c r="BA54" s="134">
        <v>0</v>
      </c>
      <c r="BB54" s="134">
        <v>0</v>
      </c>
      <c r="BC54" s="134">
        <v>0</v>
      </c>
      <c r="BD54" s="134">
        <v>0</v>
      </c>
      <c r="BE54" s="134">
        <v>3.3809999999999998</v>
      </c>
      <c r="BF54" s="134">
        <v>3.4</v>
      </c>
      <c r="BG54" s="131">
        <v>0</v>
      </c>
      <c r="BH54" s="131"/>
      <c r="BI54" s="131"/>
      <c r="BJ54" s="131"/>
      <c r="BK54" s="131"/>
      <c r="BL54" s="131"/>
      <c r="BM54" s="131"/>
      <c r="BN54" s="131"/>
    </row>
    <row r="55" spans="1:66">
      <c r="A55" s="131">
        <v>10156</v>
      </c>
      <c r="B55" s="131" t="s">
        <v>59</v>
      </c>
      <c r="C55" s="131">
        <v>1</v>
      </c>
      <c r="D55" s="131">
        <v>0</v>
      </c>
      <c r="E55" s="134">
        <v>32.719000000000001</v>
      </c>
      <c r="F55" s="134">
        <v>33.167000000000002</v>
      </c>
      <c r="G55" s="134">
        <v>33.445</v>
      </c>
      <c r="H55" s="134">
        <v>0</v>
      </c>
      <c r="I55" s="134">
        <v>0</v>
      </c>
      <c r="J55" s="134">
        <v>0</v>
      </c>
      <c r="K55" s="134">
        <v>0</v>
      </c>
      <c r="L55" s="133">
        <v>0</v>
      </c>
      <c r="M55" s="133">
        <v>0</v>
      </c>
      <c r="N55" s="134">
        <v>32.155000000000001</v>
      </c>
      <c r="O55" s="134">
        <v>32.411000000000001</v>
      </c>
      <c r="P55" s="133">
        <v>282450</v>
      </c>
      <c r="Q55" s="133">
        <v>283920</v>
      </c>
      <c r="R55" s="131">
        <v>32.067</v>
      </c>
      <c r="S55" s="133">
        <v>281677</v>
      </c>
      <c r="T55" s="133">
        <v>280907</v>
      </c>
      <c r="U55" s="134">
        <v>8.7999999999999995E-2</v>
      </c>
      <c r="V55" s="134">
        <v>0.34399999999999997</v>
      </c>
      <c r="W55" s="134">
        <v>0</v>
      </c>
      <c r="X55" s="134">
        <v>0</v>
      </c>
      <c r="Y55" s="134">
        <v>8.7999999999999995E-2</v>
      </c>
      <c r="Z55" s="134">
        <v>0.34399999999999997</v>
      </c>
      <c r="AA55" s="131">
        <v>0</v>
      </c>
      <c r="AB55" s="131">
        <v>0</v>
      </c>
      <c r="AC55" s="134">
        <v>0</v>
      </c>
      <c r="AD55" s="134">
        <v>0</v>
      </c>
      <c r="AE55" s="135">
        <v>4.5649999999999996E-3</v>
      </c>
      <c r="AF55" s="135">
        <v>4.5649999999999996E-3</v>
      </c>
      <c r="AG55" s="135">
        <v>0</v>
      </c>
      <c r="AH55" s="135">
        <v>4.5649999999999996E-3</v>
      </c>
      <c r="AI55" s="135">
        <v>4.5649999999999996E-3</v>
      </c>
      <c r="AJ55" s="135">
        <v>4.5649999999999996E-3</v>
      </c>
      <c r="AK55" s="135">
        <v>0.99726009999999998</v>
      </c>
      <c r="AL55" s="135">
        <v>0.98938320000000002</v>
      </c>
      <c r="AM55" s="135">
        <v>1.0027443</v>
      </c>
      <c r="AN55" s="135">
        <v>1.0107275</v>
      </c>
      <c r="AO55" s="135">
        <v>0</v>
      </c>
      <c r="AP55" s="135">
        <v>0</v>
      </c>
      <c r="AQ55" s="131">
        <v>1</v>
      </c>
      <c r="AR55" s="131">
        <v>1</v>
      </c>
      <c r="AS55" s="134">
        <v>0</v>
      </c>
      <c r="AT55" s="134">
        <v>0</v>
      </c>
      <c r="AU55" s="134">
        <v>0</v>
      </c>
      <c r="AV55" s="134">
        <v>0</v>
      </c>
      <c r="AW55" s="134">
        <v>0</v>
      </c>
      <c r="AX55" s="134">
        <v>0</v>
      </c>
      <c r="AY55" s="134">
        <v>0</v>
      </c>
      <c r="AZ55" s="134">
        <v>0</v>
      </c>
      <c r="BA55" s="134">
        <v>0</v>
      </c>
      <c r="BB55" s="134">
        <v>0</v>
      </c>
      <c r="BC55" s="134">
        <v>0</v>
      </c>
      <c r="BD55" s="134">
        <v>0</v>
      </c>
      <c r="BE55" s="134">
        <v>32.155000000000001</v>
      </c>
      <c r="BF55" s="134">
        <v>32.411000000000001</v>
      </c>
      <c r="BG55" s="131">
        <v>1</v>
      </c>
      <c r="BH55" s="131"/>
      <c r="BI55" s="131"/>
      <c r="BJ55" s="131"/>
      <c r="BK55" s="131"/>
      <c r="BL55" s="131"/>
      <c r="BM55" s="131"/>
      <c r="BN55" s="131"/>
    </row>
    <row r="56" spans="1:66">
      <c r="A56" s="131">
        <v>10157</v>
      </c>
      <c r="B56" s="131" t="s">
        <v>60</v>
      </c>
      <c r="C56" s="131">
        <v>1</v>
      </c>
      <c r="D56" s="131">
        <v>0</v>
      </c>
      <c r="E56" s="134">
        <v>50.703000000000003</v>
      </c>
      <c r="F56" s="134">
        <v>93.2</v>
      </c>
      <c r="G56" s="134">
        <v>93.620999999999995</v>
      </c>
      <c r="H56" s="134">
        <v>38.469000000000001</v>
      </c>
      <c r="I56" s="134">
        <v>38.466999999999999</v>
      </c>
      <c r="J56" s="134">
        <v>2.5499999999999998</v>
      </c>
      <c r="K56" s="134">
        <v>2.5489999999999999</v>
      </c>
      <c r="L56" s="133">
        <v>22399</v>
      </c>
      <c r="M56" s="133">
        <v>22329</v>
      </c>
      <c r="N56" s="134">
        <v>52.180999999999997</v>
      </c>
      <c r="O56" s="134">
        <v>52.604999999999997</v>
      </c>
      <c r="P56" s="133">
        <v>458358</v>
      </c>
      <c r="Q56" s="133">
        <v>460820</v>
      </c>
      <c r="R56" s="131">
        <v>49.692999999999998</v>
      </c>
      <c r="S56" s="133">
        <v>436503</v>
      </c>
      <c r="T56" s="133">
        <v>435311</v>
      </c>
      <c r="U56" s="134">
        <v>2.488</v>
      </c>
      <c r="V56" s="134">
        <v>2.9119999999999999</v>
      </c>
      <c r="W56" s="134">
        <v>2.488</v>
      </c>
      <c r="X56" s="134">
        <v>2.9119999999999999</v>
      </c>
      <c r="Y56" s="134">
        <v>0</v>
      </c>
      <c r="Z56" s="134">
        <v>0</v>
      </c>
      <c r="AA56" s="131">
        <v>0</v>
      </c>
      <c r="AB56" s="131">
        <v>0</v>
      </c>
      <c r="AC56" s="134">
        <v>2.488</v>
      </c>
      <c r="AD56" s="134">
        <v>2.9119999999999999</v>
      </c>
      <c r="AE56" s="135">
        <v>7.0742000000000001E-3</v>
      </c>
      <c r="AF56" s="135">
        <v>7.0742000000000001E-3</v>
      </c>
      <c r="AG56" s="135">
        <v>3.6979999999999999E-3</v>
      </c>
      <c r="AH56" s="135">
        <v>3.3762000000000002E-3</v>
      </c>
      <c r="AI56" s="135">
        <v>3.3762000000000002E-3</v>
      </c>
      <c r="AJ56" s="135">
        <v>3.3762000000000002E-3</v>
      </c>
      <c r="AK56" s="135">
        <v>0.95453770000000004</v>
      </c>
      <c r="AL56" s="135">
        <v>0.94719880000000001</v>
      </c>
      <c r="AM56" s="135">
        <v>1.0500674000000001</v>
      </c>
      <c r="AN56" s="135">
        <v>1.0585998000000001</v>
      </c>
      <c r="AO56" s="272">
        <v>5.2503399999999999E-2</v>
      </c>
      <c r="AP56" s="272">
        <v>5.2929999999999998E-2</v>
      </c>
      <c r="AQ56" s="131">
        <v>4</v>
      </c>
      <c r="AR56" s="131">
        <v>4</v>
      </c>
      <c r="AS56" s="134">
        <v>0</v>
      </c>
      <c r="AT56" s="134">
        <v>0</v>
      </c>
      <c r="AU56" s="134">
        <v>0</v>
      </c>
      <c r="AV56" s="134">
        <v>0</v>
      </c>
      <c r="AW56" s="134">
        <v>0</v>
      </c>
      <c r="AX56" s="134">
        <v>0</v>
      </c>
      <c r="AY56" s="134">
        <v>0</v>
      </c>
      <c r="AZ56" s="134">
        <v>0</v>
      </c>
      <c r="BA56" s="134">
        <v>0</v>
      </c>
      <c r="BB56" s="134">
        <v>0</v>
      </c>
      <c r="BC56" s="134">
        <v>0</v>
      </c>
      <c r="BD56" s="134">
        <v>0</v>
      </c>
      <c r="BE56" s="134">
        <v>49.692999999999998</v>
      </c>
      <c r="BF56" s="134">
        <v>49.692999999999998</v>
      </c>
      <c r="BG56" s="131">
        <v>0</v>
      </c>
      <c r="BH56" s="131"/>
      <c r="BI56" s="131"/>
      <c r="BJ56" s="131"/>
      <c r="BK56" s="131"/>
      <c r="BL56" s="131"/>
      <c r="BM56" s="131"/>
      <c r="BN56" s="131"/>
    </row>
    <row r="57" spans="1:66">
      <c r="A57" s="131">
        <v>10158</v>
      </c>
      <c r="B57" s="131" t="s">
        <v>61</v>
      </c>
      <c r="C57" s="131">
        <v>1</v>
      </c>
      <c r="D57" s="131">
        <v>0</v>
      </c>
      <c r="E57" s="134">
        <v>2.8330000000000002</v>
      </c>
      <c r="F57" s="134">
        <v>2.375</v>
      </c>
      <c r="G57" s="134">
        <v>2.3730000000000002</v>
      </c>
      <c r="H57" s="134">
        <v>0</v>
      </c>
      <c r="I57" s="134">
        <v>0</v>
      </c>
      <c r="J57" s="134">
        <v>0</v>
      </c>
      <c r="K57" s="134">
        <v>0</v>
      </c>
      <c r="L57" s="133">
        <v>0</v>
      </c>
      <c r="M57" s="133">
        <v>0</v>
      </c>
      <c r="N57" s="134">
        <v>2.4159999999999999</v>
      </c>
      <c r="O57" s="134">
        <v>2.4140000000000001</v>
      </c>
      <c r="P57" s="133">
        <v>21222</v>
      </c>
      <c r="Q57" s="133">
        <v>21147</v>
      </c>
      <c r="R57" s="131">
        <v>2.7770000000000001</v>
      </c>
      <c r="S57" s="133">
        <v>24393</v>
      </c>
      <c r="T57" s="133">
        <v>24327</v>
      </c>
      <c r="U57" s="134">
        <v>0</v>
      </c>
      <c r="V57" s="134">
        <v>0</v>
      </c>
      <c r="W57" s="134">
        <v>0</v>
      </c>
      <c r="X57" s="134">
        <v>0</v>
      </c>
      <c r="Y57" s="134">
        <v>0</v>
      </c>
      <c r="Z57" s="134">
        <v>0</v>
      </c>
      <c r="AA57" s="131">
        <v>0</v>
      </c>
      <c r="AB57" s="131">
        <v>0</v>
      </c>
      <c r="AC57" s="134">
        <v>0</v>
      </c>
      <c r="AD57" s="134">
        <v>0</v>
      </c>
      <c r="AE57" s="135">
        <v>3.4390000000000001E-4</v>
      </c>
      <c r="AF57" s="135">
        <v>3.4370000000000001E-4</v>
      </c>
      <c r="AG57" s="135">
        <v>0</v>
      </c>
      <c r="AH57" s="135">
        <v>3.4390000000000001E-4</v>
      </c>
      <c r="AI57" s="135">
        <v>3.4370000000000001E-4</v>
      </c>
      <c r="AJ57" s="135">
        <v>3.4380000000000001E-4</v>
      </c>
      <c r="AK57" s="135">
        <v>0.99988809999999995</v>
      </c>
      <c r="AL57" s="135">
        <v>1</v>
      </c>
      <c r="AM57" s="135">
        <v>1</v>
      </c>
      <c r="AN57" s="135">
        <v>1</v>
      </c>
      <c r="AO57" s="135">
        <v>0</v>
      </c>
      <c r="AP57" s="135">
        <v>0</v>
      </c>
      <c r="AQ57" s="131">
        <v>1</v>
      </c>
      <c r="AR57" s="131">
        <v>1</v>
      </c>
      <c r="AS57" s="134">
        <v>0</v>
      </c>
      <c r="AT57" s="134">
        <v>0</v>
      </c>
      <c r="AU57" s="134">
        <v>0</v>
      </c>
      <c r="AV57" s="134">
        <v>0</v>
      </c>
      <c r="AW57" s="134">
        <v>0</v>
      </c>
      <c r="AX57" s="134">
        <v>0</v>
      </c>
      <c r="AY57" s="134">
        <v>0</v>
      </c>
      <c r="AZ57" s="134">
        <v>0</v>
      </c>
      <c r="BA57" s="134">
        <v>0</v>
      </c>
      <c r="BB57" s="134">
        <v>0</v>
      </c>
      <c r="BC57" s="134">
        <v>0</v>
      </c>
      <c r="BD57" s="134">
        <v>0</v>
      </c>
      <c r="BE57" s="134">
        <v>2.4159999999999999</v>
      </c>
      <c r="BF57" s="134">
        <v>2.4140000000000001</v>
      </c>
      <c r="BG57" s="131">
        <v>0</v>
      </c>
      <c r="BH57" s="131"/>
      <c r="BI57" s="131"/>
      <c r="BJ57" s="131"/>
      <c r="BK57" s="131"/>
      <c r="BL57" s="131"/>
      <c r="BM57" s="131"/>
      <c r="BN57" s="131"/>
    </row>
    <row r="58" spans="1:66">
      <c r="A58" s="131">
        <v>10170</v>
      </c>
      <c r="B58" s="131" t="s">
        <v>62</v>
      </c>
      <c r="C58" s="131">
        <v>1</v>
      </c>
      <c r="D58" s="131">
        <v>0</v>
      </c>
      <c r="E58" s="134">
        <v>254.84299999999999</v>
      </c>
      <c r="F58" s="134">
        <v>281.48</v>
      </c>
      <c r="G58" s="134">
        <v>281.851</v>
      </c>
      <c r="H58" s="134">
        <v>1</v>
      </c>
      <c r="I58" s="134">
        <v>1</v>
      </c>
      <c r="J58" s="134">
        <v>42.38</v>
      </c>
      <c r="K58" s="134">
        <v>42.39</v>
      </c>
      <c r="L58" s="133">
        <v>372266</v>
      </c>
      <c r="M58" s="133">
        <v>371336</v>
      </c>
      <c r="N58" s="134">
        <v>238.1</v>
      </c>
      <c r="O58" s="134">
        <v>238.46100000000001</v>
      </c>
      <c r="P58" s="133">
        <v>2091470</v>
      </c>
      <c r="Q58" s="133">
        <v>2088918</v>
      </c>
      <c r="R58" s="131">
        <v>249.768</v>
      </c>
      <c r="S58" s="133">
        <v>2193962</v>
      </c>
      <c r="T58" s="133">
        <v>2187968</v>
      </c>
      <c r="U58" s="134">
        <v>0</v>
      </c>
      <c r="V58" s="134">
        <v>0</v>
      </c>
      <c r="W58" s="134">
        <v>0</v>
      </c>
      <c r="X58" s="134">
        <v>0</v>
      </c>
      <c r="Y58" s="134">
        <v>0</v>
      </c>
      <c r="Z58" s="134">
        <v>0</v>
      </c>
      <c r="AA58" s="131">
        <v>0</v>
      </c>
      <c r="AB58" s="131">
        <v>0</v>
      </c>
      <c r="AC58" s="134">
        <v>0</v>
      </c>
      <c r="AD58" s="134">
        <v>0</v>
      </c>
      <c r="AE58" s="135">
        <v>3.3895599999999998E-2</v>
      </c>
      <c r="AF58" s="135">
        <v>3.3946999999999998E-2</v>
      </c>
      <c r="AG58" s="135">
        <v>1.7933600000000001E-2</v>
      </c>
      <c r="AH58" s="135">
        <v>1.5962E-2</v>
      </c>
      <c r="AI58" s="135">
        <v>1.6013400000000001E-2</v>
      </c>
      <c r="AJ58" s="135">
        <v>1.5987700000000001E-2</v>
      </c>
      <c r="AK58" s="135">
        <v>1</v>
      </c>
      <c r="AL58" s="135">
        <v>1</v>
      </c>
      <c r="AM58" s="135">
        <v>1</v>
      </c>
      <c r="AN58" s="135">
        <v>1</v>
      </c>
      <c r="AO58" s="135">
        <v>0</v>
      </c>
      <c r="AP58" s="135">
        <v>0</v>
      </c>
      <c r="AQ58" s="131">
        <v>4</v>
      </c>
      <c r="AR58" s="131">
        <v>4</v>
      </c>
      <c r="AS58" s="134">
        <v>0</v>
      </c>
      <c r="AT58" s="134">
        <v>0</v>
      </c>
      <c r="AU58" s="134">
        <v>0</v>
      </c>
      <c r="AV58" s="134">
        <v>0</v>
      </c>
      <c r="AW58" s="134">
        <v>0</v>
      </c>
      <c r="AX58" s="134">
        <v>0</v>
      </c>
      <c r="AY58" s="134">
        <v>0</v>
      </c>
      <c r="AZ58" s="134">
        <v>0</v>
      </c>
      <c r="BA58" s="134">
        <v>0</v>
      </c>
      <c r="BB58" s="134">
        <v>0</v>
      </c>
      <c r="BC58" s="134">
        <v>0</v>
      </c>
      <c r="BD58" s="134">
        <v>0</v>
      </c>
      <c r="BE58" s="134">
        <v>238.1</v>
      </c>
      <c r="BF58" s="134">
        <v>238.46100000000001</v>
      </c>
      <c r="BG58" s="131">
        <v>0</v>
      </c>
      <c r="BH58" s="131"/>
      <c r="BI58" s="131"/>
      <c r="BJ58" s="131"/>
      <c r="BK58" s="131"/>
      <c r="BL58" s="131"/>
      <c r="BM58" s="131"/>
      <c r="BN58" s="131"/>
    </row>
    <row r="59" spans="1:66">
      <c r="A59" s="131">
        <v>10172</v>
      </c>
      <c r="B59" s="131" t="s">
        <v>63</v>
      </c>
      <c r="C59" s="131">
        <v>1</v>
      </c>
      <c r="D59" s="131">
        <v>0</v>
      </c>
      <c r="E59" s="134">
        <v>6.1929999999999996</v>
      </c>
      <c r="F59" s="134">
        <v>5.4279999999999999</v>
      </c>
      <c r="G59" s="134">
        <v>5.4560000000000004</v>
      </c>
      <c r="H59" s="134">
        <v>0</v>
      </c>
      <c r="I59" s="134">
        <v>0</v>
      </c>
      <c r="J59" s="134">
        <v>0</v>
      </c>
      <c r="K59" s="134">
        <v>0</v>
      </c>
      <c r="L59" s="133">
        <v>0</v>
      </c>
      <c r="M59" s="133">
        <v>0</v>
      </c>
      <c r="N59" s="134">
        <v>5.4</v>
      </c>
      <c r="O59" s="134">
        <v>5.4279999999999999</v>
      </c>
      <c r="P59" s="133">
        <v>47434</v>
      </c>
      <c r="Q59" s="133">
        <v>47549</v>
      </c>
      <c r="R59" s="131">
        <v>6.07</v>
      </c>
      <c r="S59" s="133">
        <v>53319</v>
      </c>
      <c r="T59" s="133">
        <v>53173</v>
      </c>
      <c r="U59" s="134">
        <v>0</v>
      </c>
      <c r="V59" s="134">
        <v>0</v>
      </c>
      <c r="W59" s="134">
        <v>0</v>
      </c>
      <c r="X59" s="134">
        <v>0</v>
      </c>
      <c r="Y59" s="134">
        <v>0</v>
      </c>
      <c r="Z59" s="134">
        <v>0</v>
      </c>
      <c r="AA59" s="131">
        <v>0</v>
      </c>
      <c r="AB59" s="131">
        <v>0</v>
      </c>
      <c r="AC59" s="134">
        <v>0</v>
      </c>
      <c r="AD59" s="134">
        <v>0</v>
      </c>
      <c r="AE59" s="135">
        <v>7.6869999999999998E-4</v>
      </c>
      <c r="AF59" s="135">
        <v>7.7269999999999997E-4</v>
      </c>
      <c r="AG59" s="135">
        <v>0</v>
      </c>
      <c r="AH59" s="135">
        <v>7.6869999999999998E-4</v>
      </c>
      <c r="AI59" s="135">
        <v>7.7269999999999997E-4</v>
      </c>
      <c r="AJ59" s="135">
        <v>7.7070000000000003E-4</v>
      </c>
      <c r="AK59" s="135">
        <v>0.99995230000000002</v>
      </c>
      <c r="AL59" s="135">
        <v>0.99997060000000004</v>
      </c>
      <c r="AM59" s="135">
        <v>1</v>
      </c>
      <c r="AN59" s="135">
        <v>1</v>
      </c>
      <c r="AO59" s="135">
        <v>0</v>
      </c>
      <c r="AP59" s="135">
        <v>0</v>
      </c>
      <c r="AQ59" s="131">
        <v>1</v>
      </c>
      <c r="AR59" s="131">
        <v>1</v>
      </c>
      <c r="AS59" s="134">
        <v>0</v>
      </c>
      <c r="AT59" s="134">
        <v>0</v>
      </c>
      <c r="AU59" s="134">
        <v>0</v>
      </c>
      <c r="AV59" s="134">
        <v>0</v>
      </c>
      <c r="AW59" s="134">
        <v>0</v>
      </c>
      <c r="AX59" s="134">
        <v>0</v>
      </c>
      <c r="AY59" s="134">
        <v>0</v>
      </c>
      <c r="AZ59" s="134">
        <v>0</v>
      </c>
      <c r="BA59" s="134">
        <v>0</v>
      </c>
      <c r="BB59" s="134">
        <v>0</v>
      </c>
      <c r="BC59" s="134">
        <v>0</v>
      </c>
      <c r="BD59" s="134">
        <v>0</v>
      </c>
      <c r="BE59" s="134">
        <v>5.4</v>
      </c>
      <c r="BF59" s="134">
        <v>5.4279999999999999</v>
      </c>
      <c r="BG59" s="131">
        <v>0</v>
      </c>
      <c r="BH59" s="131"/>
      <c r="BI59" s="131"/>
      <c r="BJ59" s="131"/>
      <c r="BK59" s="131"/>
      <c r="BL59" s="131"/>
      <c r="BM59" s="131"/>
      <c r="BN59" s="131"/>
    </row>
    <row r="60" spans="1:66">
      <c r="A60" s="131">
        <v>10173</v>
      </c>
      <c r="B60" s="131" t="s">
        <v>64</v>
      </c>
      <c r="C60" s="131">
        <v>0</v>
      </c>
      <c r="D60" s="131">
        <v>1</v>
      </c>
      <c r="E60" s="134">
        <v>33.624000000000002</v>
      </c>
      <c r="F60" s="134">
        <v>39.412999999999997</v>
      </c>
      <c r="G60" s="134">
        <v>39.996000000000002</v>
      </c>
      <c r="H60" s="134">
        <v>0</v>
      </c>
      <c r="I60" s="134">
        <v>0</v>
      </c>
      <c r="J60" s="134">
        <v>2.09</v>
      </c>
      <c r="K60" s="134">
        <v>2.0939999999999999</v>
      </c>
      <c r="L60" s="133">
        <v>18359</v>
      </c>
      <c r="M60" s="133">
        <v>18343</v>
      </c>
      <c r="N60" s="134">
        <v>36.72</v>
      </c>
      <c r="O60" s="134">
        <v>37.222999999999999</v>
      </c>
      <c r="P60" s="133">
        <v>322548</v>
      </c>
      <c r="Q60" s="133">
        <v>326073</v>
      </c>
      <c r="R60" s="131">
        <v>32.954000000000001</v>
      </c>
      <c r="S60" s="133">
        <v>289468</v>
      </c>
      <c r="T60" s="133">
        <v>288677</v>
      </c>
      <c r="U60" s="134">
        <v>3.766</v>
      </c>
      <c r="V60" s="134">
        <v>4.2690000000000001</v>
      </c>
      <c r="W60" s="134">
        <v>3.766</v>
      </c>
      <c r="X60" s="134">
        <v>4.2690000000000001</v>
      </c>
      <c r="Y60" s="134">
        <v>0</v>
      </c>
      <c r="Z60" s="134">
        <v>0</v>
      </c>
      <c r="AA60" s="131">
        <v>0</v>
      </c>
      <c r="AB60" s="131">
        <v>0</v>
      </c>
      <c r="AC60" s="134">
        <v>3.766</v>
      </c>
      <c r="AD60" s="134">
        <v>4.2690000000000001</v>
      </c>
      <c r="AE60" s="135">
        <v>4.6912999999999998E-3</v>
      </c>
      <c r="AF60" s="135">
        <v>4.6912999999999998E-3</v>
      </c>
      <c r="AG60" s="135">
        <v>0</v>
      </c>
      <c r="AH60" s="135">
        <v>4.6912999999999998E-3</v>
      </c>
      <c r="AI60" s="135">
        <v>4.6912999999999998E-3</v>
      </c>
      <c r="AJ60" s="135">
        <v>4.6912999999999998E-3</v>
      </c>
      <c r="AK60" s="135">
        <v>0.90296560000000003</v>
      </c>
      <c r="AL60" s="135">
        <v>0.89142339999999998</v>
      </c>
      <c r="AM60" s="135">
        <v>1.1142805</v>
      </c>
      <c r="AN60" s="135">
        <v>1.1295442</v>
      </c>
      <c r="AO60" s="135">
        <v>7.7999600000000002E-2</v>
      </c>
      <c r="AP60" s="135">
        <v>7.9068100000000002E-2</v>
      </c>
      <c r="AQ60" s="131">
        <v>6</v>
      </c>
      <c r="AR60" s="131">
        <v>6</v>
      </c>
      <c r="AS60" s="134">
        <v>0</v>
      </c>
      <c r="AT60" s="134">
        <v>0</v>
      </c>
      <c r="AU60" s="134">
        <v>0</v>
      </c>
      <c r="AV60" s="134">
        <v>0</v>
      </c>
      <c r="AW60" s="134">
        <v>0</v>
      </c>
      <c r="AX60" s="134">
        <v>0</v>
      </c>
      <c r="AY60" s="134">
        <v>0</v>
      </c>
      <c r="AZ60" s="134">
        <v>0</v>
      </c>
      <c r="BA60" s="134">
        <v>0</v>
      </c>
      <c r="BB60" s="134">
        <v>0</v>
      </c>
      <c r="BC60" s="134">
        <v>0</v>
      </c>
      <c r="BD60" s="134">
        <v>0</v>
      </c>
      <c r="BE60" s="134">
        <v>32.954000000000001</v>
      </c>
      <c r="BF60" s="134">
        <v>32.954000000000001</v>
      </c>
      <c r="BG60" s="131">
        <v>0</v>
      </c>
      <c r="BH60" s="131"/>
      <c r="BI60" s="131"/>
      <c r="BJ60" s="131"/>
      <c r="BK60" s="131"/>
      <c r="BL60" s="131"/>
      <c r="BM60" s="131"/>
      <c r="BN60" s="131"/>
    </row>
    <row r="61" spans="1:66">
      <c r="A61" s="131">
        <v>10174</v>
      </c>
      <c r="B61" s="131" t="s">
        <v>65</v>
      </c>
      <c r="C61" s="131">
        <v>1</v>
      </c>
      <c r="D61" s="131">
        <v>0</v>
      </c>
      <c r="E61" s="134">
        <v>0.51500000000000001</v>
      </c>
      <c r="F61" s="134">
        <v>0.497</v>
      </c>
      <c r="G61" s="134">
        <v>0.497</v>
      </c>
      <c r="H61" s="134">
        <v>0</v>
      </c>
      <c r="I61" s="134">
        <v>0</v>
      </c>
      <c r="J61" s="134">
        <v>0</v>
      </c>
      <c r="K61" s="134">
        <v>0</v>
      </c>
      <c r="L61" s="133">
        <v>0</v>
      </c>
      <c r="M61" s="133">
        <v>0</v>
      </c>
      <c r="N61" s="134">
        <v>0.497</v>
      </c>
      <c r="O61" s="134">
        <v>0.496</v>
      </c>
      <c r="P61" s="133">
        <v>4366</v>
      </c>
      <c r="Q61" s="133">
        <v>4345</v>
      </c>
      <c r="R61" s="131">
        <v>0.505</v>
      </c>
      <c r="S61" s="133">
        <v>4436</v>
      </c>
      <c r="T61" s="133">
        <v>4424</v>
      </c>
      <c r="U61" s="134">
        <v>0</v>
      </c>
      <c r="V61" s="134">
        <v>0</v>
      </c>
      <c r="W61" s="134">
        <v>0</v>
      </c>
      <c r="X61" s="134">
        <v>0</v>
      </c>
      <c r="Y61" s="134">
        <v>0</v>
      </c>
      <c r="Z61" s="134">
        <v>0</v>
      </c>
      <c r="AA61" s="131">
        <v>0</v>
      </c>
      <c r="AB61" s="131">
        <v>0</v>
      </c>
      <c r="AC61" s="134">
        <v>0</v>
      </c>
      <c r="AD61" s="134">
        <v>0</v>
      </c>
      <c r="AE61" s="135">
        <v>7.08E-5</v>
      </c>
      <c r="AF61" s="135">
        <v>7.0599999999999995E-5</v>
      </c>
      <c r="AG61" s="135">
        <v>0</v>
      </c>
      <c r="AH61" s="135">
        <v>7.08E-5</v>
      </c>
      <c r="AI61" s="135">
        <v>7.0599999999999995E-5</v>
      </c>
      <c r="AJ61" s="135">
        <v>7.0699999999999997E-5</v>
      </c>
      <c r="AK61" s="135">
        <v>1</v>
      </c>
      <c r="AL61" s="135">
        <v>0.99985999999999997</v>
      </c>
      <c r="AM61" s="135">
        <v>1</v>
      </c>
      <c r="AN61" s="135">
        <v>1</v>
      </c>
      <c r="AO61" s="135">
        <v>0</v>
      </c>
      <c r="AP61" s="135">
        <v>0</v>
      </c>
      <c r="AQ61" s="131">
        <v>1</v>
      </c>
      <c r="AR61" s="131">
        <v>1</v>
      </c>
      <c r="AS61" s="134">
        <v>0</v>
      </c>
      <c r="AT61" s="134">
        <v>0</v>
      </c>
      <c r="AU61" s="134">
        <v>0</v>
      </c>
      <c r="AV61" s="134">
        <v>0</v>
      </c>
      <c r="AW61" s="134">
        <v>0</v>
      </c>
      <c r="AX61" s="134">
        <v>0</v>
      </c>
      <c r="AY61" s="134">
        <v>0</v>
      </c>
      <c r="AZ61" s="134">
        <v>0</v>
      </c>
      <c r="BA61" s="134">
        <v>0</v>
      </c>
      <c r="BB61" s="134">
        <v>0</v>
      </c>
      <c r="BC61" s="134">
        <v>0</v>
      </c>
      <c r="BD61" s="134">
        <v>0</v>
      </c>
      <c r="BE61" s="134">
        <v>0.497</v>
      </c>
      <c r="BF61" s="134">
        <v>0.496</v>
      </c>
      <c r="BG61" s="131">
        <v>0</v>
      </c>
      <c r="BH61" s="131"/>
      <c r="BI61" s="131"/>
      <c r="BJ61" s="131"/>
      <c r="BK61" s="131"/>
      <c r="BL61" s="131"/>
      <c r="BM61" s="131"/>
      <c r="BN61" s="131"/>
    </row>
    <row r="62" spans="1:66">
      <c r="A62" s="131">
        <v>10177</v>
      </c>
      <c r="B62" s="131" t="s">
        <v>66</v>
      </c>
      <c r="C62" s="131">
        <v>1</v>
      </c>
      <c r="D62" s="131">
        <v>0</v>
      </c>
      <c r="E62" s="134">
        <v>11.839</v>
      </c>
      <c r="F62" s="134">
        <v>8.84</v>
      </c>
      <c r="G62" s="134">
        <v>8.8849999999999998</v>
      </c>
      <c r="H62" s="134">
        <v>0</v>
      </c>
      <c r="I62" s="134">
        <v>0</v>
      </c>
      <c r="J62" s="134">
        <v>0</v>
      </c>
      <c r="K62" s="134">
        <v>0</v>
      </c>
      <c r="L62" s="133">
        <v>0</v>
      </c>
      <c r="M62" s="133">
        <v>0</v>
      </c>
      <c r="N62" s="134">
        <v>9.1950000000000003</v>
      </c>
      <c r="O62" s="134">
        <v>9.2420000000000009</v>
      </c>
      <c r="P62" s="133">
        <v>80769</v>
      </c>
      <c r="Q62" s="133">
        <v>80960</v>
      </c>
      <c r="R62" s="131">
        <v>11.603</v>
      </c>
      <c r="S62" s="133">
        <v>101921</v>
      </c>
      <c r="T62" s="133">
        <v>101642</v>
      </c>
      <c r="U62" s="134">
        <v>0</v>
      </c>
      <c r="V62" s="134">
        <v>0</v>
      </c>
      <c r="W62" s="134">
        <v>0</v>
      </c>
      <c r="X62" s="134">
        <v>0</v>
      </c>
      <c r="Y62" s="134">
        <v>0</v>
      </c>
      <c r="Z62" s="134">
        <v>0</v>
      </c>
      <c r="AA62" s="131">
        <v>0</v>
      </c>
      <c r="AB62" s="131">
        <v>0</v>
      </c>
      <c r="AC62" s="134">
        <v>0</v>
      </c>
      <c r="AD62" s="134">
        <v>0</v>
      </c>
      <c r="AE62" s="135">
        <v>1.3090000000000001E-3</v>
      </c>
      <c r="AF62" s="135">
        <v>1.3156999999999999E-3</v>
      </c>
      <c r="AG62" s="135">
        <v>0</v>
      </c>
      <c r="AH62" s="135">
        <v>1.3090000000000001E-3</v>
      </c>
      <c r="AI62" s="135">
        <v>1.3156999999999999E-3</v>
      </c>
      <c r="AJ62" s="135">
        <v>1.3124E-3</v>
      </c>
      <c r="AK62" s="135">
        <v>1</v>
      </c>
      <c r="AL62" s="135">
        <v>1</v>
      </c>
      <c r="AM62" s="135">
        <v>1</v>
      </c>
      <c r="AN62" s="135">
        <v>1</v>
      </c>
      <c r="AO62" s="135">
        <v>7.0000000000000007E-2</v>
      </c>
      <c r="AP62" s="135">
        <v>7.0000000000000007E-2</v>
      </c>
      <c r="AQ62" s="131">
        <v>1</v>
      </c>
      <c r="AR62" s="131">
        <v>1</v>
      </c>
      <c r="AS62" s="134">
        <v>0</v>
      </c>
      <c r="AT62" s="134">
        <v>0</v>
      </c>
      <c r="AU62" s="134">
        <v>0</v>
      </c>
      <c r="AV62" s="134">
        <v>0</v>
      </c>
      <c r="AW62" s="134">
        <v>0</v>
      </c>
      <c r="AX62" s="134">
        <v>0</v>
      </c>
      <c r="AY62" s="134">
        <v>0</v>
      </c>
      <c r="AZ62" s="134">
        <v>0</v>
      </c>
      <c r="BA62" s="134">
        <v>0</v>
      </c>
      <c r="BB62" s="134">
        <v>0</v>
      </c>
      <c r="BC62" s="134">
        <v>0</v>
      </c>
      <c r="BD62" s="134">
        <v>0</v>
      </c>
      <c r="BE62" s="134">
        <v>9.1950000000000003</v>
      </c>
      <c r="BF62" s="134">
        <v>9.2420000000000009</v>
      </c>
      <c r="BG62" s="131">
        <v>1</v>
      </c>
      <c r="BH62" s="131"/>
      <c r="BI62" s="131"/>
      <c r="BJ62" s="131"/>
      <c r="BK62" s="131"/>
      <c r="BL62" s="131"/>
      <c r="BM62" s="131"/>
      <c r="BN62" s="131"/>
    </row>
    <row r="63" spans="1:66">
      <c r="A63" s="131">
        <v>10179</v>
      </c>
      <c r="B63" s="131" t="s">
        <v>67</v>
      </c>
      <c r="C63" s="131">
        <v>1</v>
      </c>
      <c r="D63" s="131">
        <v>0</v>
      </c>
      <c r="E63" s="134">
        <v>169.31100000000001</v>
      </c>
      <c r="F63" s="134">
        <v>186.672</v>
      </c>
      <c r="G63" s="134">
        <v>189.798</v>
      </c>
      <c r="H63" s="134">
        <v>0</v>
      </c>
      <c r="I63" s="134">
        <v>0</v>
      </c>
      <c r="J63" s="134">
        <v>9.9730000000000008</v>
      </c>
      <c r="K63" s="134">
        <v>10.026999999999999</v>
      </c>
      <c r="L63" s="133">
        <v>87603</v>
      </c>
      <c r="M63" s="133">
        <v>87837</v>
      </c>
      <c r="N63" s="134">
        <v>182.358</v>
      </c>
      <c r="O63" s="134">
        <v>185.02</v>
      </c>
      <c r="P63" s="133">
        <v>1601833</v>
      </c>
      <c r="Q63" s="133">
        <v>1620775</v>
      </c>
      <c r="R63" s="131">
        <v>165.93899999999999</v>
      </c>
      <c r="S63" s="133">
        <v>1457608</v>
      </c>
      <c r="T63" s="133">
        <v>1453626</v>
      </c>
      <c r="U63" s="134">
        <v>6.4189999999999996</v>
      </c>
      <c r="V63" s="134">
        <v>9.0809999999999995</v>
      </c>
      <c r="W63" s="134">
        <v>6.4189999999999996</v>
      </c>
      <c r="X63" s="134">
        <v>9.0809999999999995</v>
      </c>
      <c r="Y63" s="134">
        <v>0</v>
      </c>
      <c r="Z63" s="134">
        <v>0</v>
      </c>
      <c r="AA63" s="131">
        <v>0</v>
      </c>
      <c r="AB63" s="131">
        <v>0</v>
      </c>
      <c r="AC63" s="134">
        <v>6.4189999999999996</v>
      </c>
      <c r="AD63" s="134">
        <v>9.0809999999999995</v>
      </c>
      <c r="AE63" s="135">
        <v>2.3622799999999999E-2</v>
      </c>
      <c r="AF63" s="135">
        <v>2.3622799999999999E-2</v>
      </c>
      <c r="AG63" s="135">
        <v>0</v>
      </c>
      <c r="AH63" s="135">
        <v>2.3622799999999999E-2</v>
      </c>
      <c r="AI63" s="135">
        <v>2.3622799999999999E-2</v>
      </c>
      <c r="AJ63" s="135">
        <v>2.3622799999999999E-2</v>
      </c>
      <c r="AK63" s="135">
        <v>0.90996089999999996</v>
      </c>
      <c r="AL63" s="135">
        <v>0.89686869999999996</v>
      </c>
      <c r="AM63" s="135">
        <v>1.098946</v>
      </c>
      <c r="AN63" s="135">
        <v>1.1149880000000001</v>
      </c>
      <c r="AO63" s="135">
        <v>0</v>
      </c>
      <c r="AP63" s="135">
        <v>0</v>
      </c>
      <c r="AQ63" s="131">
        <v>3</v>
      </c>
      <c r="AR63" s="131">
        <v>3</v>
      </c>
      <c r="AS63" s="134">
        <v>3.5760000000000001</v>
      </c>
      <c r="AT63" s="134">
        <v>3.577</v>
      </c>
      <c r="AU63" s="134">
        <v>2.843</v>
      </c>
      <c r="AV63" s="134">
        <v>5.5039999999999996</v>
      </c>
      <c r="AW63" s="134">
        <v>3.5760000000000001</v>
      </c>
      <c r="AX63" s="134">
        <v>3.577</v>
      </c>
      <c r="AY63" s="134">
        <v>0</v>
      </c>
      <c r="AZ63" s="134">
        <v>0</v>
      </c>
      <c r="BA63" s="134">
        <v>0</v>
      </c>
      <c r="BB63" s="134">
        <v>0</v>
      </c>
      <c r="BC63" s="134">
        <v>0</v>
      </c>
      <c r="BD63" s="134">
        <v>0</v>
      </c>
      <c r="BE63" s="134">
        <v>168.78200000000001</v>
      </c>
      <c r="BF63" s="134">
        <v>171.44300000000001</v>
      </c>
      <c r="BG63" s="131">
        <v>0</v>
      </c>
      <c r="BH63" s="131"/>
      <c r="BI63" s="131"/>
      <c r="BJ63" s="131"/>
      <c r="BK63" s="131"/>
      <c r="BL63" s="131"/>
      <c r="BM63" s="131"/>
      <c r="BN63" s="131"/>
    </row>
    <row r="64" spans="1:66">
      <c r="A64" s="131">
        <v>10183</v>
      </c>
      <c r="B64" s="131" t="s">
        <v>68</v>
      </c>
      <c r="C64" s="131">
        <v>1</v>
      </c>
      <c r="D64" s="131">
        <v>0</v>
      </c>
      <c r="E64" s="134">
        <v>119.102</v>
      </c>
      <c r="F64" s="134">
        <v>123.47199999999999</v>
      </c>
      <c r="G64" s="134">
        <v>124.239</v>
      </c>
      <c r="H64" s="134">
        <v>0</v>
      </c>
      <c r="I64" s="134">
        <v>0</v>
      </c>
      <c r="J64" s="134">
        <v>0.68899999999999995</v>
      </c>
      <c r="K64" s="134">
        <v>0.68899999999999995</v>
      </c>
      <c r="L64" s="133">
        <v>6052</v>
      </c>
      <c r="M64" s="133">
        <v>6036</v>
      </c>
      <c r="N64" s="134">
        <v>122.783</v>
      </c>
      <c r="O64" s="134">
        <v>123.55</v>
      </c>
      <c r="P64" s="133">
        <v>1078526</v>
      </c>
      <c r="Q64" s="133">
        <v>1082298</v>
      </c>
      <c r="R64" s="131">
        <v>116.73</v>
      </c>
      <c r="S64" s="133">
        <v>1025356</v>
      </c>
      <c r="T64" s="133">
        <v>1022555</v>
      </c>
      <c r="U64" s="134">
        <v>6.0679999999999996</v>
      </c>
      <c r="V64" s="134">
        <v>6.8230000000000004</v>
      </c>
      <c r="W64" s="134">
        <v>6.0679999999999996</v>
      </c>
      <c r="X64" s="134">
        <v>6.8230000000000004</v>
      </c>
      <c r="Y64" s="134">
        <v>0</v>
      </c>
      <c r="Z64" s="134">
        <v>0</v>
      </c>
      <c r="AA64" s="131">
        <v>0</v>
      </c>
      <c r="AB64" s="131">
        <v>0</v>
      </c>
      <c r="AC64" s="134">
        <v>6.0679999999999996</v>
      </c>
      <c r="AD64" s="134">
        <v>6.8230000000000004</v>
      </c>
      <c r="AE64" s="135">
        <v>1.66175E-2</v>
      </c>
      <c r="AF64" s="135">
        <v>1.66175E-2</v>
      </c>
      <c r="AG64" s="135">
        <v>7.7895000000000004E-3</v>
      </c>
      <c r="AH64" s="135">
        <v>8.8280000000000008E-3</v>
      </c>
      <c r="AI64" s="135">
        <v>8.8280000000000008E-3</v>
      </c>
      <c r="AJ64" s="135">
        <v>8.8280000000000008E-3</v>
      </c>
      <c r="AK64" s="135">
        <v>0.95085980000000003</v>
      </c>
      <c r="AL64" s="135">
        <v>0.94508159999999997</v>
      </c>
      <c r="AM64" s="135">
        <v>1.0518547</v>
      </c>
      <c r="AN64" s="135">
        <v>1.0584254</v>
      </c>
      <c r="AO64" s="135">
        <v>0</v>
      </c>
      <c r="AP64" s="135">
        <v>0</v>
      </c>
      <c r="AQ64" s="131">
        <v>4</v>
      </c>
      <c r="AR64" s="131">
        <v>4</v>
      </c>
      <c r="AS64" s="134">
        <v>0</v>
      </c>
      <c r="AT64" s="134">
        <v>0</v>
      </c>
      <c r="AU64" s="134">
        <v>0</v>
      </c>
      <c r="AV64" s="134">
        <v>0</v>
      </c>
      <c r="AW64" s="134">
        <v>0</v>
      </c>
      <c r="AX64" s="134">
        <v>0</v>
      </c>
      <c r="AY64" s="134">
        <v>0</v>
      </c>
      <c r="AZ64" s="134">
        <v>0</v>
      </c>
      <c r="BA64" s="134">
        <v>0</v>
      </c>
      <c r="BB64" s="134">
        <v>0</v>
      </c>
      <c r="BC64" s="134">
        <v>0</v>
      </c>
      <c r="BD64" s="134">
        <v>0</v>
      </c>
      <c r="BE64" s="134">
        <v>116.73</v>
      </c>
      <c r="BF64" s="134">
        <v>116.73</v>
      </c>
      <c r="BG64" s="131">
        <v>0</v>
      </c>
      <c r="BH64" s="131"/>
      <c r="BI64" s="131"/>
      <c r="BJ64" s="131"/>
      <c r="BK64" s="131"/>
      <c r="BL64" s="131"/>
      <c r="BM64" s="131"/>
      <c r="BN64" s="131"/>
    </row>
    <row r="65" spans="1:66">
      <c r="A65" s="131">
        <v>10186</v>
      </c>
      <c r="B65" s="131" t="s">
        <v>69</v>
      </c>
      <c r="C65" s="131">
        <v>1</v>
      </c>
      <c r="D65" s="131">
        <v>0</v>
      </c>
      <c r="E65" s="134">
        <v>21.635000000000002</v>
      </c>
      <c r="F65" s="134">
        <v>21.196999999999999</v>
      </c>
      <c r="G65" s="134">
        <v>21.361000000000001</v>
      </c>
      <c r="H65" s="134">
        <v>0</v>
      </c>
      <c r="I65" s="134">
        <v>0</v>
      </c>
      <c r="J65" s="134">
        <v>3.3180000000000001</v>
      </c>
      <c r="K65" s="134">
        <v>0.82899999999999996</v>
      </c>
      <c r="L65" s="133">
        <v>29145</v>
      </c>
      <c r="M65" s="133">
        <v>7262</v>
      </c>
      <c r="N65" s="134">
        <v>17.808</v>
      </c>
      <c r="O65" s="134">
        <v>20.460999999999999</v>
      </c>
      <c r="P65" s="133">
        <v>156425</v>
      </c>
      <c r="Q65" s="133">
        <v>179238</v>
      </c>
      <c r="R65" s="131">
        <v>21.204000000000001</v>
      </c>
      <c r="S65" s="133">
        <v>186256</v>
      </c>
      <c r="T65" s="133">
        <v>185747</v>
      </c>
      <c r="U65" s="134">
        <v>0</v>
      </c>
      <c r="V65" s="134">
        <v>0</v>
      </c>
      <c r="W65" s="134">
        <v>0</v>
      </c>
      <c r="X65" s="134">
        <v>0</v>
      </c>
      <c r="Y65" s="134">
        <v>0</v>
      </c>
      <c r="Z65" s="134">
        <v>0</v>
      </c>
      <c r="AA65" s="131">
        <v>0</v>
      </c>
      <c r="AB65" s="131">
        <v>0</v>
      </c>
      <c r="AC65" s="134">
        <v>0</v>
      </c>
      <c r="AD65" s="134">
        <v>0</v>
      </c>
      <c r="AE65" s="135">
        <v>2.5351000000000002E-3</v>
      </c>
      <c r="AF65" s="135">
        <v>2.9128000000000001E-3</v>
      </c>
      <c r="AG65" s="135">
        <v>0</v>
      </c>
      <c r="AH65" s="135">
        <v>2.5351000000000002E-3</v>
      </c>
      <c r="AI65" s="135">
        <v>2.9128000000000001E-3</v>
      </c>
      <c r="AJ65" s="135">
        <v>2.7239999999999999E-3</v>
      </c>
      <c r="AK65" s="135">
        <v>0.9999924</v>
      </c>
      <c r="AL65" s="135">
        <v>0.99999990000000005</v>
      </c>
      <c r="AM65" s="135">
        <v>1</v>
      </c>
      <c r="AN65" s="135">
        <v>1</v>
      </c>
      <c r="AO65" s="135">
        <v>7.0000000000000007E-2</v>
      </c>
      <c r="AP65" s="135">
        <v>7.0000000000000007E-2</v>
      </c>
      <c r="AQ65" s="131">
        <v>1</v>
      </c>
      <c r="AR65" s="131">
        <v>1</v>
      </c>
      <c r="AS65" s="134">
        <v>0</v>
      </c>
      <c r="AT65" s="134">
        <v>0</v>
      </c>
      <c r="AU65" s="134">
        <v>0</v>
      </c>
      <c r="AV65" s="134">
        <v>0</v>
      </c>
      <c r="AW65" s="134">
        <v>0</v>
      </c>
      <c r="AX65" s="134">
        <v>0</v>
      </c>
      <c r="AY65" s="134">
        <v>0</v>
      </c>
      <c r="AZ65" s="134">
        <v>0</v>
      </c>
      <c r="BA65" s="134">
        <v>0</v>
      </c>
      <c r="BB65" s="134">
        <v>0</v>
      </c>
      <c r="BC65" s="134">
        <v>0</v>
      </c>
      <c r="BD65" s="134">
        <v>0</v>
      </c>
      <c r="BE65" s="134">
        <v>17.808</v>
      </c>
      <c r="BF65" s="134">
        <v>20.460999999999999</v>
      </c>
      <c r="BG65" s="131">
        <v>1</v>
      </c>
      <c r="BH65" s="131"/>
      <c r="BI65" s="131"/>
      <c r="BJ65" s="131"/>
      <c r="BK65" s="131"/>
      <c r="BL65" s="131"/>
      <c r="BM65" s="131"/>
      <c r="BN65" s="131"/>
    </row>
    <row r="66" spans="1:66">
      <c r="A66" s="131">
        <v>10190</v>
      </c>
      <c r="B66" s="131" t="s">
        <v>70</v>
      </c>
      <c r="C66" s="131">
        <v>1</v>
      </c>
      <c r="D66" s="131">
        <v>0</v>
      </c>
      <c r="E66" s="134">
        <v>5.2690000000000001</v>
      </c>
      <c r="F66" s="134">
        <v>5.3710000000000004</v>
      </c>
      <c r="G66" s="134">
        <v>5.3789999999999996</v>
      </c>
      <c r="H66" s="134">
        <v>0</v>
      </c>
      <c r="I66" s="134">
        <v>0</v>
      </c>
      <c r="J66" s="134">
        <v>0</v>
      </c>
      <c r="K66" s="134">
        <v>0</v>
      </c>
      <c r="L66" s="133">
        <v>0</v>
      </c>
      <c r="M66" s="133">
        <v>0</v>
      </c>
      <c r="N66" s="134">
        <v>5.44</v>
      </c>
      <c r="O66" s="134">
        <v>5.4569999999999999</v>
      </c>
      <c r="P66" s="133">
        <v>47785</v>
      </c>
      <c r="Q66" s="133">
        <v>47803</v>
      </c>
      <c r="R66" s="131">
        <v>5.1639999999999997</v>
      </c>
      <c r="S66" s="133">
        <v>45361</v>
      </c>
      <c r="T66" s="133">
        <v>45237</v>
      </c>
      <c r="U66" s="134">
        <v>0.27600000000000002</v>
      </c>
      <c r="V66" s="134">
        <v>0.29299999999999998</v>
      </c>
      <c r="W66" s="134">
        <v>0</v>
      </c>
      <c r="X66" s="134">
        <v>0</v>
      </c>
      <c r="Y66" s="134">
        <v>0.27600000000000002</v>
      </c>
      <c r="Z66" s="134">
        <v>0.29299999999999998</v>
      </c>
      <c r="AA66" s="131">
        <v>0</v>
      </c>
      <c r="AB66" s="131">
        <v>0</v>
      </c>
      <c r="AC66" s="134">
        <v>0</v>
      </c>
      <c r="AD66" s="134">
        <v>0</v>
      </c>
      <c r="AE66" s="135">
        <v>7.3510000000000003E-4</v>
      </c>
      <c r="AF66" s="135">
        <v>7.3510000000000003E-4</v>
      </c>
      <c r="AG66" s="135">
        <v>0</v>
      </c>
      <c r="AH66" s="135">
        <v>7.3510000000000003E-4</v>
      </c>
      <c r="AI66" s="135">
        <v>7.3510000000000003E-4</v>
      </c>
      <c r="AJ66" s="135">
        <v>7.3510000000000003E-4</v>
      </c>
      <c r="AK66" s="135">
        <v>0.94921299999999997</v>
      </c>
      <c r="AL66" s="135">
        <v>0.94625599999999999</v>
      </c>
      <c r="AM66" s="135">
        <v>1.0534469</v>
      </c>
      <c r="AN66" s="135">
        <v>1.0567390000000001</v>
      </c>
      <c r="AO66" s="135">
        <v>0</v>
      </c>
      <c r="AP66" s="135">
        <v>0</v>
      </c>
      <c r="AQ66" s="131">
        <v>1</v>
      </c>
      <c r="AR66" s="131">
        <v>1</v>
      </c>
      <c r="AS66" s="134">
        <v>0</v>
      </c>
      <c r="AT66" s="134">
        <v>0</v>
      </c>
      <c r="AU66" s="134">
        <v>0</v>
      </c>
      <c r="AV66" s="134">
        <v>0</v>
      </c>
      <c r="AW66" s="134">
        <v>0</v>
      </c>
      <c r="AX66" s="134">
        <v>0</v>
      </c>
      <c r="AY66" s="134">
        <v>0</v>
      </c>
      <c r="AZ66" s="134">
        <v>0</v>
      </c>
      <c r="BA66" s="134">
        <v>0</v>
      </c>
      <c r="BB66" s="134">
        <v>0</v>
      </c>
      <c r="BC66" s="134">
        <v>0</v>
      </c>
      <c r="BD66" s="134">
        <v>0</v>
      </c>
      <c r="BE66" s="134">
        <v>5.44</v>
      </c>
      <c r="BF66" s="134">
        <v>5.4569999999999999</v>
      </c>
      <c r="BG66" s="131">
        <v>1</v>
      </c>
      <c r="BH66" s="131"/>
      <c r="BI66" s="131"/>
      <c r="BJ66" s="131"/>
      <c r="BK66" s="131"/>
      <c r="BL66" s="131"/>
      <c r="BM66" s="131"/>
      <c r="BN66" s="131"/>
    </row>
    <row r="67" spans="1:66">
      <c r="A67" s="131">
        <v>10191</v>
      </c>
      <c r="B67" s="131" t="s">
        <v>71</v>
      </c>
      <c r="C67" s="131">
        <v>1</v>
      </c>
      <c r="D67" s="131">
        <v>0</v>
      </c>
      <c r="E67" s="134">
        <v>133.17400000000001</v>
      </c>
      <c r="F67" s="134">
        <v>129.28399999999999</v>
      </c>
      <c r="G67" s="134">
        <v>129.173</v>
      </c>
      <c r="H67" s="134">
        <v>0</v>
      </c>
      <c r="I67" s="134">
        <v>0</v>
      </c>
      <c r="J67" s="134">
        <v>0</v>
      </c>
      <c r="K67" s="134">
        <v>0</v>
      </c>
      <c r="L67" s="133">
        <v>0</v>
      </c>
      <c r="M67" s="133">
        <v>0</v>
      </c>
      <c r="N67" s="134">
        <v>129.28399999999999</v>
      </c>
      <c r="O67" s="134">
        <v>129.173</v>
      </c>
      <c r="P67" s="133">
        <v>1135631</v>
      </c>
      <c r="Q67" s="133">
        <v>1131555</v>
      </c>
      <c r="R67" s="131">
        <v>130.52199999999999</v>
      </c>
      <c r="S67" s="133">
        <v>1146505</v>
      </c>
      <c r="T67" s="133">
        <v>1143373</v>
      </c>
      <c r="U67" s="134">
        <v>0</v>
      </c>
      <c r="V67" s="134">
        <v>0</v>
      </c>
      <c r="W67" s="134">
        <v>0</v>
      </c>
      <c r="X67" s="134">
        <v>0</v>
      </c>
      <c r="Y67" s="134">
        <v>0</v>
      </c>
      <c r="Z67" s="134">
        <v>0</v>
      </c>
      <c r="AA67" s="131">
        <v>0</v>
      </c>
      <c r="AB67" s="131">
        <v>0</v>
      </c>
      <c r="AC67" s="134">
        <v>0</v>
      </c>
      <c r="AD67" s="134">
        <v>0</v>
      </c>
      <c r="AE67" s="135">
        <v>1.84047E-2</v>
      </c>
      <c r="AF67" s="135">
        <v>1.83889E-2</v>
      </c>
      <c r="AG67" s="135">
        <v>9.6827000000000007E-3</v>
      </c>
      <c r="AH67" s="135">
        <v>8.7220000000000006E-3</v>
      </c>
      <c r="AI67" s="135">
        <v>8.7062000000000007E-3</v>
      </c>
      <c r="AJ67" s="135">
        <v>8.7141000000000007E-3</v>
      </c>
      <c r="AK67" s="135">
        <v>0.9999979</v>
      </c>
      <c r="AL67" s="135">
        <v>0.99999950000000004</v>
      </c>
      <c r="AM67" s="135">
        <v>1</v>
      </c>
      <c r="AN67" s="135">
        <v>1</v>
      </c>
      <c r="AO67" s="135">
        <v>0</v>
      </c>
      <c r="AP67" s="135">
        <v>0</v>
      </c>
      <c r="AQ67" s="131">
        <v>4</v>
      </c>
      <c r="AR67" s="131">
        <v>4</v>
      </c>
      <c r="AS67" s="134">
        <v>0</v>
      </c>
      <c r="AT67" s="134">
        <v>0</v>
      </c>
      <c r="AU67" s="134">
        <v>0</v>
      </c>
      <c r="AV67" s="134">
        <v>0</v>
      </c>
      <c r="AW67" s="134">
        <v>0</v>
      </c>
      <c r="AX67" s="134">
        <v>0</v>
      </c>
      <c r="AY67" s="134">
        <v>0</v>
      </c>
      <c r="AZ67" s="134">
        <v>0</v>
      </c>
      <c r="BA67" s="134">
        <v>0</v>
      </c>
      <c r="BB67" s="134">
        <v>0</v>
      </c>
      <c r="BC67" s="134">
        <v>0</v>
      </c>
      <c r="BD67" s="134">
        <v>0</v>
      </c>
      <c r="BE67" s="134">
        <v>129.28399999999999</v>
      </c>
      <c r="BF67" s="134">
        <v>129.173</v>
      </c>
      <c r="BG67" s="131">
        <v>0</v>
      </c>
      <c r="BH67" s="131"/>
      <c r="BI67" s="131"/>
      <c r="BJ67" s="131"/>
      <c r="BK67" s="131"/>
      <c r="BL67" s="131"/>
      <c r="BM67" s="131"/>
      <c r="BN67" s="131"/>
    </row>
    <row r="68" spans="1:66">
      <c r="A68" s="131">
        <v>10197</v>
      </c>
      <c r="B68" s="131" t="s">
        <v>72</v>
      </c>
      <c r="C68" s="131">
        <v>1</v>
      </c>
      <c r="D68" s="131">
        <v>0</v>
      </c>
      <c r="E68" s="134">
        <v>23.091999999999999</v>
      </c>
      <c r="F68" s="134">
        <v>26.361000000000001</v>
      </c>
      <c r="G68" s="134">
        <v>26.414999999999999</v>
      </c>
      <c r="H68" s="134">
        <v>0</v>
      </c>
      <c r="I68" s="134">
        <v>0</v>
      </c>
      <c r="J68" s="134">
        <v>0</v>
      </c>
      <c r="K68" s="134">
        <v>0</v>
      </c>
      <c r="L68" s="133">
        <v>0</v>
      </c>
      <c r="M68" s="133">
        <v>0</v>
      </c>
      <c r="N68" s="134">
        <v>25.149000000000001</v>
      </c>
      <c r="O68" s="134">
        <v>25.195</v>
      </c>
      <c r="P68" s="133">
        <v>220909</v>
      </c>
      <c r="Q68" s="133">
        <v>220708</v>
      </c>
      <c r="R68" s="131">
        <v>22.632000000000001</v>
      </c>
      <c r="S68" s="133">
        <v>198799</v>
      </c>
      <c r="T68" s="133">
        <v>198256</v>
      </c>
      <c r="U68" s="134">
        <v>2.5169999999999999</v>
      </c>
      <c r="V68" s="134">
        <v>2.5630000000000002</v>
      </c>
      <c r="W68" s="134">
        <v>2.5169999999999999</v>
      </c>
      <c r="X68" s="134">
        <v>2.5630000000000002</v>
      </c>
      <c r="Y68" s="134">
        <v>0</v>
      </c>
      <c r="Z68" s="134">
        <v>0</v>
      </c>
      <c r="AA68" s="131">
        <v>0</v>
      </c>
      <c r="AB68" s="131">
        <v>0</v>
      </c>
      <c r="AC68" s="134">
        <v>2.5169999999999999</v>
      </c>
      <c r="AD68" s="134">
        <v>2.5630000000000002</v>
      </c>
      <c r="AE68" s="135">
        <v>3.2219000000000002E-3</v>
      </c>
      <c r="AF68" s="135">
        <v>3.2219000000000002E-3</v>
      </c>
      <c r="AG68" s="135">
        <v>0</v>
      </c>
      <c r="AH68" s="135">
        <v>3.2219000000000002E-3</v>
      </c>
      <c r="AI68" s="135">
        <v>3.2219000000000002E-3</v>
      </c>
      <c r="AJ68" s="135">
        <v>3.2219000000000002E-3</v>
      </c>
      <c r="AK68" s="135">
        <v>0.89992740000000004</v>
      </c>
      <c r="AL68" s="135">
        <v>0.89828439999999998</v>
      </c>
      <c r="AM68" s="135">
        <v>1.1112142</v>
      </c>
      <c r="AN68" s="135">
        <v>1.1132466999999999</v>
      </c>
      <c r="AO68" s="135">
        <v>7.7785000000000007E-2</v>
      </c>
      <c r="AP68" s="135">
        <v>7.7927300000000005E-2</v>
      </c>
      <c r="AQ68" s="131">
        <v>1</v>
      </c>
      <c r="AR68" s="131">
        <v>1</v>
      </c>
      <c r="AS68" s="134">
        <v>0</v>
      </c>
      <c r="AT68" s="134">
        <v>0</v>
      </c>
      <c r="AU68" s="134">
        <v>2.5169999999999999</v>
      </c>
      <c r="AV68" s="134">
        <v>2.5630000000000002</v>
      </c>
      <c r="AW68" s="134">
        <v>0</v>
      </c>
      <c r="AX68" s="134">
        <v>0</v>
      </c>
      <c r="AY68" s="134">
        <v>0</v>
      </c>
      <c r="AZ68" s="134">
        <v>0</v>
      </c>
      <c r="BA68" s="134">
        <v>0</v>
      </c>
      <c r="BB68" s="134">
        <v>0</v>
      </c>
      <c r="BC68" s="134">
        <v>0</v>
      </c>
      <c r="BD68" s="134">
        <v>0</v>
      </c>
      <c r="BE68" s="134">
        <v>25.149000000000001</v>
      </c>
      <c r="BF68" s="134">
        <v>25.195</v>
      </c>
      <c r="BG68" s="131">
        <v>1</v>
      </c>
      <c r="BH68" s="131"/>
      <c r="BI68" s="131"/>
      <c r="BJ68" s="131"/>
      <c r="BK68" s="131"/>
      <c r="BL68" s="131"/>
      <c r="BM68" s="131"/>
      <c r="BN68" s="131"/>
    </row>
    <row r="69" spans="1:66">
      <c r="A69" s="131">
        <v>10202</v>
      </c>
      <c r="B69" s="131" t="s">
        <v>73</v>
      </c>
      <c r="C69" s="131">
        <v>1</v>
      </c>
      <c r="D69" s="131">
        <v>0</v>
      </c>
      <c r="E69" s="134">
        <v>13.294</v>
      </c>
      <c r="F69" s="134">
        <v>14.34</v>
      </c>
      <c r="G69" s="134">
        <v>14.51</v>
      </c>
      <c r="H69" s="134">
        <v>0</v>
      </c>
      <c r="I69" s="134">
        <v>0</v>
      </c>
      <c r="J69" s="134">
        <v>0</v>
      </c>
      <c r="K69" s="134">
        <v>0</v>
      </c>
      <c r="L69" s="133">
        <v>0</v>
      </c>
      <c r="M69" s="133">
        <v>0</v>
      </c>
      <c r="N69" s="134">
        <v>14.763</v>
      </c>
      <c r="O69" s="134">
        <v>14.965999999999999</v>
      </c>
      <c r="P69" s="133">
        <v>129678</v>
      </c>
      <c r="Q69" s="133">
        <v>131102</v>
      </c>
      <c r="R69" s="131">
        <v>13.029</v>
      </c>
      <c r="S69" s="133">
        <v>114447</v>
      </c>
      <c r="T69" s="133">
        <v>114134</v>
      </c>
      <c r="U69" s="134">
        <v>1.734</v>
      </c>
      <c r="V69" s="134">
        <v>1.9370000000000001</v>
      </c>
      <c r="W69" s="134">
        <v>1.734</v>
      </c>
      <c r="X69" s="134">
        <v>1.9370000000000001</v>
      </c>
      <c r="Y69" s="134">
        <v>0</v>
      </c>
      <c r="Z69" s="134">
        <v>0</v>
      </c>
      <c r="AA69" s="131">
        <v>0</v>
      </c>
      <c r="AB69" s="131">
        <v>0</v>
      </c>
      <c r="AC69" s="134">
        <v>1.734</v>
      </c>
      <c r="AD69" s="134">
        <v>1.9370000000000001</v>
      </c>
      <c r="AE69" s="135">
        <v>1.8548E-3</v>
      </c>
      <c r="AF69" s="135">
        <v>1.8548E-3</v>
      </c>
      <c r="AG69" s="135">
        <v>0</v>
      </c>
      <c r="AH69" s="135">
        <v>1.8548E-3</v>
      </c>
      <c r="AI69" s="135">
        <v>1.8548E-3</v>
      </c>
      <c r="AJ69" s="135">
        <v>1.8548E-3</v>
      </c>
      <c r="AK69" s="135">
        <v>0.88254860000000002</v>
      </c>
      <c r="AL69" s="135">
        <v>0.87057759999999995</v>
      </c>
      <c r="AM69" s="135">
        <v>1.1330876999999999</v>
      </c>
      <c r="AN69" s="135">
        <v>1.1486684</v>
      </c>
      <c r="AO69" s="135">
        <v>0</v>
      </c>
      <c r="AP69" s="135">
        <v>0</v>
      </c>
      <c r="AQ69" s="131">
        <v>1</v>
      </c>
      <c r="AR69" s="131">
        <v>1</v>
      </c>
      <c r="AS69" s="134">
        <v>0</v>
      </c>
      <c r="AT69" s="134">
        <v>0</v>
      </c>
      <c r="AU69" s="134">
        <v>1.734</v>
      </c>
      <c r="AV69" s="134">
        <v>1.9370000000000001</v>
      </c>
      <c r="AW69" s="134">
        <v>0</v>
      </c>
      <c r="AX69" s="134">
        <v>0</v>
      </c>
      <c r="AY69" s="134">
        <v>0</v>
      </c>
      <c r="AZ69" s="134">
        <v>0</v>
      </c>
      <c r="BA69" s="134">
        <v>0</v>
      </c>
      <c r="BB69" s="134">
        <v>0</v>
      </c>
      <c r="BC69" s="134">
        <v>0</v>
      </c>
      <c r="BD69" s="134">
        <v>0</v>
      </c>
      <c r="BE69" s="134">
        <v>14.763</v>
      </c>
      <c r="BF69" s="134">
        <v>14.965999999999999</v>
      </c>
      <c r="BG69" s="131">
        <v>1</v>
      </c>
      <c r="BH69" s="131"/>
      <c r="BI69" s="131"/>
      <c r="BJ69" s="131"/>
      <c r="BK69" s="131"/>
      <c r="BL69" s="131"/>
      <c r="BM69" s="131"/>
      <c r="BN69" s="131"/>
    </row>
    <row r="70" spans="1:66">
      <c r="A70" s="131">
        <v>10203</v>
      </c>
      <c r="B70" s="131" t="s">
        <v>74</v>
      </c>
      <c r="C70" s="131">
        <v>1</v>
      </c>
      <c r="D70" s="131">
        <v>0</v>
      </c>
      <c r="E70" s="134">
        <v>6.306</v>
      </c>
      <c r="F70" s="134">
        <v>6.4020000000000001</v>
      </c>
      <c r="G70" s="134">
        <v>6.4459999999999997</v>
      </c>
      <c r="H70" s="134">
        <v>0</v>
      </c>
      <c r="I70" s="134">
        <v>0</v>
      </c>
      <c r="J70" s="134">
        <v>0</v>
      </c>
      <c r="K70" s="134">
        <v>0</v>
      </c>
      <c r="L70" s="133">
        <v>0</v>
      </c>
      <c r="M70" s="133">
        <v>0</v>
      </c>
      <c r="N70" s="134">
        <v>6.4020000000000001</v>
      </c>
      <c r="O70" s="134">
        <v>6.4459999999999997</v>
      </c>
      <c r="P70" s="133">
        <v>56235</v>
      </c>
      <c r="Q70" s="133">
        <v>56467</v>
      </c>
      <c r="R70" s="131">
        <v>6.18</v>
      </c>
      <c r="S70" s="133">
        <v>54285</v>
      </c>
      <c r="T70" s="133">
        <v>54137</v>
      </c>
      <c r="U70" s="134">
        <v>0.222</v>
      </c>
      <c r="V70" s="134">
        <v>0.26600000000000001</v>
      </c>
      <c r="W70" s="134">
        <v>0</v>
      </c>
      <c r="X70" s="134">
        <v>0</v>
      </c>
      <c r="Y70" s="134">
        <v>0.222</v>
      </c>
      <c r="Z70" s="134">
        <v>0.26600000000000001</v>
      </c>
      <c r="AA70" s="131">
        <v>0</v>
      </c>
      <c r="AB70" s="131">
        <v>0</v>
      </c>
      <c r="AC70" s="134">
        <v>0</v>
      </c>
      <c r="AD70" s="134">
        <v>0</v>
      </c>
      <c r="AE70" s="135">
        <v>8.7980000000000003E-4</v>
      </c>
      <c r="AF70" s="135">
        <v>8.7980000000000003E-4</v>
      </c>
      <c r="AG70" s="135">
        <v>0</v>
      </c>
      <c r="AH70" s="135">
        <v>8.7980000000000003E-4</v>
      </c>
      <c r="AI70" s="135">
        <v>8.7980000000000003E-4</v>
      </c>
      <c r="AJ70" s="135">
        <v>8.7980000000000003E-4</v>
      </c>
      <c r="AK70" s="135">
        <v>0.96534920000000002</v>
      </c>
      <c r="AL70" s="135">
        <v>0.95875980000000005</v>
      </c>
      <c r="AM70" s="135">
        <v>1.0359223</v>
      </c>
      <c r="AN70" s="135">
        <v>1.0430421000000001</v>
      </c>
      <c r="AO70" s="135">
        <v>7.2514599999999999E-2</v>
      </c>
      <c r="AP70" s="135">
        <v>7.3012900000000006E-2</v>
      </c>
      <c r="AQ70" s="131">
        <v>3</v>
      </c>
      <c r="AR70" s="131">
        <v>3</v>
      </c>
      <c r="AS70" s="134">
        <v>2</v>
      </c>
      <c r="AT70" s="134">
        <v>2</v>
      </c>
      <c r="AU70" s="134">
        <v>0</v>
      </c>
      <c r="AV70" s="134">
        <v>0</v>
      </c>
      <c r="AW70" s="134">
        <v>0</v>
      </c>
      <c r="AX70" s="134">
        <v>0</v>
      </c>
      <c r="AY70" s="134">
        <v>0</v>
      </c>
      <c r="AZ70" s="134">
        <v>0</v>
      </c>
      <c r="BA70" s="134">
        <v>0</v>
      </c>
      <c r="BB70" s="134">
        <v>0</v>
      </c>
      <c r="BC70" s="134">
        <v>0</v>
      </c>
      <c r="BD70" s="134">
        <v>0</v>
      </c>
      <c r="BE70" s="134">
        <v>6.4020000000000001</v>
      </c>
      <c r="BF70" s="134">
        <v>6.4459999999999997</v>
      </c>
      <c r="BG70" s="131">
        <v>1</v>
      </c>
      <c r="BH70" s="131"/>
      <c r="BI70" s="131"/>
      <c r="BJ70" s="131"/>
      <c r="BK70" s="131"/>
      <c r="BL70" s="131"/>
      <c r="BM70" s="131"/>
      <c r="BN70" s="131"/>
    </row>
    <row r="71" spans="1:66">
      <c r="A71" s="131">
        <v>10204</v>
      </c>
      <c r="B71" s="131" t="s">
        <v>75</v>
      </c>
      <c r="C71" s="131">
        <v>1</v>
      </c>
      <c r="D71" s="131">
        <v>0</v>
      </c>
      <c r="E71" s="134">
        <v>80.742999999999995</v>
      </c>
      <c r="F71" s="134">
        <v>80.037000000000006</v>
      </c>
      <c r="G71" s="134">
        <v>79.927999999999997</v>
      </c>
      <c r="H71" s="134">
        <v>0</v>
      </c>
      <c r="I71" s="134">
        <v>0</v>
      </c>
      <c r="J71" s="134">
        <v>17.350000000000001</v>
      </c>
      <c r="K71" s="134">
        <v>17.321999999999999</v>
      </c>
      <c r="L71" s="133">
        <v>152402</v>
      </c>
      <c r="M71" s="133">
        <v>151741</v>
      </c>
      <c r="N71" s="134">
        <v>62.686999999999998</v>
      </c>
      <c r="O71" s="134">
        <v>62.606000000000002</v>
      </c>
      <c r="P71" s="133">
        <v>550643</v>
      </c>
      <c r="Q71" s="133">
        <v>548429</v>
      </c>
      <c r="R71" s="131">
        <v>79.135000000000005</v>
      </c>
      <c r="S71" s="133">
        <v>695122</v>
      </c>
      <c r="T71" s="133">
        <v>693223</v>
      </c>
      <c r="U71" s="134">
        <v>0</v>
      </c>
      <c r="V71" s="134">
        <v>0</v>
      </c>
      <c r="W71" s="134">
        <v>0</v>
      </c>
      <c r="X71" s="134">
        <v>0</v>
      </c>
      <c r="Y71" s="134">
        <v>0</v>
      </c>
      <c r="Z71" s="134">
        <v>0</v>
      </c>
      <c r="AA71" s="131">
        <v>0</v>
      </c>
      <c r="AB71" s="131">
        <v>0</v>
      </c>
      <c r="AC71" s="134">
        <v>0</v>
      </c>
      <c r="AD71" s="134">
        <v>0</v>
      </c>
      <c r="AE71" s="135">
        <v>8.9239999999999996E-3</v>
      </c>
      <c r="AF71" s="135">
        <v>8.9125000000000003E-3</v>
      </c>
      <c r="AG71" s="135">
        <v>5.4892999999999999E-3</v>
      </c>
      <c r="AH71" s="135">
        <v>3.4347000000000002E-3</v>
      </c>
      <c r="AI71" s="135">
        <v>3.4231999999999999E-3</v>
      </c>
      <c r="AJ71" s="135">
        <v>3.4290000000000002E-3</v>
      </c>
      <c r="AK71" s="135">
        <v>0.99999910000000003</v>
      </c>
      <c r="AL71" s="135">
        <v>0.99999749999999998</v>
      </c>
      <c r="AM71" s="135">
        <v>1</v>
      </c>
      <c r="AN71" s="135">
        <v>1</v>
      </c>
      <c r="AO71" s="135">
        <v>0</v>
      </c>
      <c r="AP71" s="135">
        <v>0</v>
      </c>
      <c r="AQ71" s="131">
        <v>4</v>
      </c>
      <c r="AR71" s="131">
        <v>4</v>
      </c>
      <c r="AS71" s="134">
        <v>0</v>
      </c>
      <c r="AT71" s="134">
        <v>0</v>
      </c>
      <c r="AU71" s="134">
        <v>0</v>
      </c>
      <c r="AV71" s="134">
        <v>0</v>
      </c>
      <c r="AW71" s="134">
        <v>0.51800000000000002</v>
      </c>
      <c r="AX71" s="134">
        <v>0.51800000000000002</v>
      </c>
      <c r="AY71" s="134">
        <v>-0.51800000000000002</v>
      </c>
      <c r="AZ71" s="134">
        <v>-0.51800000000000002</v>
      </c>
      <c r="BA71" s="134">
        <v>0</v>
      </c>
      <c r="BB71" s="134">
        <v>0</v>
      </c>
      <c r="BC71" s="134">
        <v>-0.51800000000000002</v>
      </c>
      <c r="BD71" s="134">
        <v>-0.51800000000000002</v>
      </c>
      <c r="BE71" s="134">
        <v>62.686999999999998</v>
      </c>
      <c r="BF71" s="134">
        <v>62.606000000000002</v>
      </c>
      <c r="BG71" s="131">
        <v>0</v>
      </c>
      <c r="BH71" s="131"/>
      <c r="BI71" s="131"/>
      <c r="BJ71" s="131"/>
      <c r="BK71" s="131"/>
      <c r="BL71" s="131"/>
      <c r="BM71" s="131"/>
      <c r="BN71" s="131"/>
    </row>
    <row r="72" spans="1:66">
      <c r="A72" s="131">
        <v>10209</v>
      </c>
      <c r="B72" s="131" t="s">
        <v>76</v>
      </c>
      <c r="C72" s="131">
        <v>1</v>
      </c>
      <c r="D72" s="131">
        <v>0</v>
      </c>
      <c r="E72" s="134">
        <v>106.455</v>
      </c>
      <c r="F72" s="134">
        <v>110.23</v>
      </c>
      <c r="G72" s="134">
        <v>112.47199999999999</v>
      </c>
      <c r="H72" s="134">
        <v>0</v>
      </c>
      <c r="I72" s="134">
        <v>0</v>
      </c>
      <c r="J72" s="134">
        <v>0</v>
      </c>
      <c r="K72" s="134">
        <v>0</v>
      </c>
      <c r="L72" s="133">
        <v>0</v>
      </c>
      <c r="M72" s="133">
        <v>0</v>
      </c>
      <c r="N72" s="134">
        <v>110.23</v>
      </c>
      <c r="O72" s="134">
        <v>112.47199999999999</v>
      </c>
      <c r="P72" s="133">
        <v>968260</v>
      </c>
      <c r="Q72" s="133">
        <v>985255</v>
      </c>
      <c r="R72" s="131">
        <v>104.33499999999999</v>
      </c>
      <c r="S72" s="133">
        <v>916479</v>
      </c>
      <c r="T72" s="133">
        <v>913975</v>
      </c>
      <c r="U72" s="134">
        <v>5.8949999999999996</v>
      </c>
      <c r="V72" s="134">
        <v>8.1370000000000005</v>
      </c>
      <c r="W72" s="134">
        <v>5.8949999999999996</v>
      </c>
      <c r="X72" s="134">
        <v>8.1370000000000005</v>
      </c>
      <c r="Y72" s="134">
        <v>0</v>
      </c>
      <c r="Z72" s="134">
        <v>0</v>
      </c>
      <c r="AA72" s="131">
        <v>0</v>
      </c>
      <c r="AB72" s="131">
        <v>0</v>
      </c>
      <c r="AC72" s="134">
        <v>5.8949999999999996</v>
      </c>
      <c r="AD72" s="134">
        <v>8.1370000000000005</v>
      </c>
      <c r="AE72" s="135">
        <v>1.4853E-2</v>
      </c>
      <c r="AF72" s="135">
        <v>1.4853E-2</v>
      </c>
      <c r="AG72" s="135">
        <v>0</v>
      </c>
      <c r="AH72" s="135">
        <v>1.4853E-2</v>
      </c>
      <c r="AI72" s="135">
        <v>1.4853E-2</v>
      </c>
      <c r="AJ72" s="135">
        <v>1.4853E-2</v>
      </c>
      <c r="AK72" s="135">
        <v>0.94652159999999996</v>
      </c>
      <c r="AL72" s="135">
        <v>0.92765379999999997</v>
      </c>
      <c r="AM72" s="135">
        <v>1.0565007</v>
      </c>
      <c r="AN72" s="135">
        <v>1.0779892</v>
      </c>
      <c r="AO72" s="135">
        <v>7.3955000000000007E-2</v>
      </c>
      <c r="AP72" s="135">
        <v>7.5459200000000004E-2</v>
      </c>
      <c r="AQ72" s="131">
        <v>3</v>
      </c>
      <c r="AR72" s="131">
        <v>3</v>
      </c>
      <c r="AS72" s="134">
        <v>15</v>
      </c>
      <c r="AT72" s="134">
        <v>15</v>
      </c>
      <c r="AU72" s="134">
        <v>0.89500000000000002</v>
      </c>
      <c r="AV72" s="134">
        <v>0.13700000000000001</v>
      </c>
      <c r="AW72" s="134">
        <v>0</v>
      </c>
      <c r="AX72" s="134">
        <v>0</v>
      </c>
      <c r="AY72" s="134">
        <v>0</v>
      </c>
      <c r="AZ72" s="134">
        <v>0</v>
      </c>
      <c r="BA72" s="134">
        <v>0</v>
      </c>
      <c r="BB72" s="134">
        <v>0</v>
      </c>
      <c r="BC72" s="134">
        <v>0</v>
      </c>
      <c r="BD72" s="134">
        <v>0</v>
      </c>
      <c r="BE72" s="134">
        <v>105.23</v>
      </c>
      <c r="BF72" s="134">
        <v>104.47199999999999</v>
      </c>
      <c r="BG72" s="131">
        <v>1</v>
      </c>
      <c r="BH72" s="131"/>
      <c r="BI72" s="131"/>
      <c r="BJ72" s="131"/>
      <c r="BK72" s="131"/>
      <c r="BL72" s="131"/>
      <c r="BM72" s="131"/>
      <c r="BN72" s="131"/>
    </row>
    <row r="73" spans="1:66">
      <c r="A73" s="131">
        <v>10230</v>
      </c>
      <c r="B73" s="131" t="s">
        <v>77</v>
      </c>
      <c r="C73" s="131">
        <v>1</v>
      </c>
      <c r="D73" s="131">
        <v>0</v>
      </c>
      <c r="E73" s="134">
        <v>9.8469999999999995</v>
      </c>
      <c r="F73" s="134">
        <v>12.705</v>
      </c>
      <c r="G73" s="134">
        <v>12.763</v>
      </c>
      <c r="H73" s="134">
        <v>0</v>
      </c>
      <c r="I73" s="134">
        <v>0</v>
      </c>
      <c r="J73" s="134">
        <v>0.98</v>
      </c>
      <c r="K73" s="134">
        <v>0.98</v>
      </c>
      <c r="L73" s="133">
        <v>8608</v>
      </c>
      <c r="M73" s="133">
        <v>8585</v>
      </c>
      <c r="N73" s="134">
        <v>12.071</v>
      </c>
      <c r="O73" s="134">
        <v>12.134</v>
      </c>
      <c r="P73" s="133">
        <v>106032</v>
      </c>
      <c r="Q73" s="133">
        <v>106294</v>
      </c>
      <c r="R73" s="131">
        <v>9.6509999999999998</v>
      </c>
      <c r="S73" s="133">
        <v>84774</v>
      </c>
      <c r="T73" s="133">
        <v>84543</v>
      </c>
      <c r="U73" s="134">
        <v>2.42</v>
      </c>
      <c r="V73" s="134">
        <v>2.4830000000000001</v>
      </c>
      <c r="W73" s="134">
        <v>2.42</v>
      </c>
      <c r="X73" s="134">
        <v>2.4830000000000001</v>
      </c>
      <c r="Y73" s="134">
        <v>0</v>
      </c>
      <c r="Z73" s="134">
        <v>0</v>
      </c>
      <c r="AA73" s="131">
        <v>0</v>
      </c>
      <c r="AB73" s="131">
        <v>0</v>
      </c>
      <c r="AC73" s="134">
        <v>2.42</v>
      </c>
      <c r="AD73" s="134">
        <v>2.4830000000000001</v>
      </c>
      <c r="AE73" s="135">
        <v>1.3738999999999999E-3</v>
      </c>
      <c r="AF73" s="135">
        <v>1.3738999999999999E-3</v>
      </c>
      <c r="AG73" s="135">
        <v>0</v>
      </c>
      <c r="AH73" s="135">
        <v>1.3738999999999999E-3</v>
      </c>
      <c r="AI73" s="135">
        <v>1.3738999999999999E-3</v>
      </c>
      <c r="AJ73" s="135">
        <v>1.3738999999999999E-3</v>
      </c>
      <c r="AK73" s="135">
        <v>0.81457179999999996</v>
      </c>
      <c r="AL73" s="135">
        <v>0.81065860000000001</v>
      </c>
      <c r="AM73" s="135">
        <v>1.2507512000000001</v>
      </c>
      <c r="AN73" s="135">
        <v>1.257279</v>
      </c>
      <c r="AO73" s="135">
        <v>8.7552599999999994E-2</v>
      </c>
      <c r="AP73" s="135">
        <v>8.8009500000000004E-2</v>
      </c>
      <c r="AQ73" s="131">
        <v>1</v>
      </c>
      <c r="AR73" s="131">
        <v>1</v>
      </c>
      <c r="AS73" s="134">
        <v>0</v>
      </c>
      <c r="AT73" s="134">
        <v>0</v>
      </c>
      <c r="AU73" s="134">
        <v>2.42</v>
      </c>
      <c r="AV73" s="134">
        <v>2.4830000000000001</v>
      </c>
      <c r="AW73" s="134">
        <v>0</v>
      </c>
      <c r="AX73" s="134">
        <v>0</v>
      </c>
      <c r="AY73" s="134">
        <v>0</v>
      </c>
      <c r="AZ73" s="134">
        <v>0</v>
      </c>
      <c r="BA73" s="134">
        <v>0</v>
      </c>
      <c r="BB73" s="134">
        <v>0</v>
      </c>
      <c r="BC73" s="134">
        <v>0</v>
      </c>
      <c r="BD73" s="134">
        <v>0</v>
      </c>
      <c r="BE73" s="134">
        <v>12.071</v>
      </c>
      <c r="BF73" s="134">
        <v>12.134</v>
      </c>
      <c r="BG73" s="131">
        <v>1</v>
      </c>
      <c r="BH73" s="131"/>
      <c r="BI73" s="131"/>
      <c r="BJ73" s="131"/>
      <c r="BK73" s="131"/>
      <c r="BL73" s="131"/>
      <c r="BM73" s="131"/>
      <c r="BN73" s="131"/>
    </row>
    <row r="74" spans="1:66">
      <c r="A74" s="131">
        <v>10231</v>
      </c>
      <c r="B74" s="131" t="s">
        <v>78</v>
      </c>
      <c r="C74" s="131">
        <v>1</v>
      </c>
      <c r="D74" s="131">
        <v>0</v>
      </c>
      <c r="E74" s="134">
        <v>37.206000000000003</v>
      </c>
      <c r="F74" s="134">
        <v>48.658000000000001</v>
      </c>
      <c r="G74" s="134">
        <v>49.122</v>
      </c>
      <c r="H74" s="134">
        <v>0</v>
      </c>
      <c r="I74" s="134">
        <v>0</v>
      </c>
      <c r="J74" s="134">
        <v>4.4189999999999996</v>
      </c>
      <c r="K74" s="134">
        <v>4.4189999999999996</v>
      </c>
      <c r="L74" s="133">
        <v>38816</v>
      </c>
      <c r="M74" s="133">
        <v>38710</v>
      </c>
      <c r="N74" s="134">
        <v>44.238999999999997</v>
      </c>
      <c r="O74" s="134">
        <v>44.703000000000003</v>
      </c>
      <c r="P74" s="133">
        <v>388595</v>
      </c>
      <c r="Q74" s="133">
        <v>391598</v>
      </c>
      <c r="R74" s="131">
        <v>36.465000000000003</v>
      </c>
      <c r="S74" s="133">
        <v>320309</v>
      </c>
      <c r="T74" s="133">
        <v>319433</v>
      </c>
      <c r="U74" s="134">
        <v>7.774</v>
      </c>
      <c r="V74" s="134">
        <v>8.2379999999999995</v>
      </c>
      <c r="W74" s="134">
        <v>7.774</v>
      </c>
      <c r="X74" s="134">
        <v>8.2379999999999995</v>
      </c>
      <c r="Y74" s="134">
        <v>0</v>
      </c>
      <c r="Z74" s="134">
        <v>0</v>
      </c>
      <c r="AA74" s="131">
        <v>0</v>
      </c>
      <c r="AB74" s="131">
        <v>0</v>
      </c>
      <c r="AC74" s="134">
        <v>7.774</v>
      </c>
      <c r="AD74" s="134">
        <v>8.2379999999999995</v>
      </c>
      <c r="AE74" s="135">
        <v>5.1910999999999997E-3</v>
      </c>
      <c r="AF74" s="135">
        <v>5.1910999999999997E-3</v>
      </c>
      <c r="AG74" s="135">
        <v>0</v>
      </c>
      <c r="AH74" s="135">
        <v>5.1910999999999997E-3</v>
      </c>
      <c r="AI74" s="135">
        <v>5.1910999999999997E-3</v>
      </c>
      <c r="AJ74" s="135">
        <v>5.1910999999999997E-3</v>
      </c>
      <c r="AK74" s="135">
        <v>0.8402307</v>
      </c>
      <c r="AL74" s="135">
        <v>0.83229399999999998</v>
      </c>
      <c r="AM74" s="135">
        <v>1.2131907</v>
      </c>
      <c r="AN74" s="135">
        <v>1.2259153</v>
      </c>
      <c r="AO74" s="135">
        <v>8.4923399999999996E-2</v>
      </c>
      <c r="AP74" s="135">
        <v>8.5814100000000004E-2</v>
      </c>
      <c r="AQ74" s="131">
        <v>3</v>
      </c>
      <c r="AR74" s="131">
        <v>3</v>
      </c>
      <c r="AS74" s="134">
        <v>20</v>
      </c>
      <c r="AT74" s="134">
        <v>20</v>
      </c>
      <c r="AU74" s="134">
        <v>0.77400000000000002</v>
      </c>
      <c r="AV74" s="134">
        <v>0.23799999999999999</v>
      </c>
      <c r="AW74" s="134">
        <v>0</v>
      </c>
      <c r="AX74" s="134">
        <v>0</v>
      </c>
      <c r="AY74" s="134">
        <v>0</v>
      </c>
      <c r="AZ74" s="134">
        <v>0</v>
      </c>
      <c r="BA74" s="134">
        <v>0</v>
      </c>
      <c r="BB74" s="134">
        <v>0</v>
      </c>
      <c r="BC74" s="134">
        <v>0</v>
      </c>
      <c r="BD74" s="134">
        <v>0</v>
      </c>
      <c r="BE74" s="134">
        <v>37.238999999999997</v>
      </c>
      <c r="BF74" s="134">
        <v>36.703000000000003</v>
      </c>
      <c r="BG74" s="131">
        <v>1</v>
      </c>
      <c r="BH74" s="131"/>
      <c r="BI74" s="131"/>
      <c r="BJ74" s="131"/>
      <c r="BK74" s="131"/>
      <c r="BL74" s="131"/>
      <c r="BM74" s="131"/>
      <c r="BN74" s="131"/>
    </row>
    <row r="75" spans="1:66">
      <c r="A75" s="131">
        <v>10234</v>
      </c>
      <c r="B75" s="131" t="s">
        <v>79</v>
      </c>
      <c r="C75" s="131">
        <v>1</v>
      </c>
      <c r="D75" s="131">
        <v>0</v>
      </c>
      <c r="E75" s="134">
        <v>51.76</v>
      </c>
      <c r="F75" s="134">
        <v>56.26</v>
      </c>
      <c r="G75" s="134">
        <v>56.802</v>
      </c>
      <c r="H75" s="134">
        <v>0</v>
      </c>
      <c r="I75" s="134">
        <v>0</v>
      </c>
      <c r="J75" s="134">
        <v>0</v>
      </c>
      <c r="K75" s="134">
        <v>0</v>
      </c>
      <c r="L75" s="133">
        <v>0</v>
      </c>
      <c r="M75" s="133">
        <v>0</v>
      </c>
      <c r="N75" s="134">
        <v>54.965000000000003</v>
      </c>
      <c r="O75" s="134">
        <v>55.378999999999998</v>
      </c>
      <c r="P75" s="133">
        <v>482813</v>
      </c>
      <c r="Q75" s="133">
        <v>485120</v>
      </c>
      <c r="R75" s="131">
        <v>50.728999999999999</v>
      </c>
      <c r="S75" s="133">
        <v>445604</v>
      </c>
      <c r="T75" s="133">
        <v>444386</v>
      </c>
      <c r="U75" s="134">
        <v>4.2359999999999998</v>
      </c>
      <c r="V75" s="134">
        <v>4.6500000000000004</v>
      </c>
      <c r="W75" s="134">
        <v>4.2359999999999998</v>
      </c>
      <c r="X75" s="134">
        <v>4.6500000000000004</v>
      </c>
      <c r="Y75" s="134">
        <v>0</v>
      </c>
      <c r="Z75" s="134">
        <v>0</v>
      </c>
      <c r="AA75" s="131">
        <v>0</v>
      </c>
      <c r="AB75" s="131">
        <v>0</v>
      </c>
      <c r="AC75" s="134">
        <v>4.2359999999999998</v>
      </c>
      <c r="AD75" s="134">
        <v>4.6500000000000004</v>
      </c>
      <c r="AE75" s="135">
        <v>7.2217000000000002E-3</v>
      </c>
      <c r="AF75" s="135">
        <v>7.2217000000000002E-3</v>
      </c>
      <c r="AG75" s="135">
        <v>0</v>
      </c>
      <c r="AH75" s="135">
        <v>7.2217000000000002E-3</v>
      </c>
      <c r="AI75" s="135">
        <v>7.2217000000000002E-3</v>
      </c>
      <c r="AJ75" s="135">
        <v>7.2217000000000002E-3</v>
      </c>
      <c r="AK75" s="135">
        <v>0.92293130000000001</v>
      </c>
      <c r="AL75" s="135">
        <v>0.9160317</v>
      </c>
      <c r="AM75" s="135">
        <v>1.0835025</v>
      </c>
      <c r="AN75" s="135">
        <v>1.0916634999999999</v>
      </c>
      <c r="AO75" s="135">
        <v>5.4175099999999997E-2</v>
      </c>
      <c r="AP75" s="135">
        <v>5.4583199999999998E-2</v>
      </c>
      <c r="AQ75" s="131">
        <v>3</v>
      </c>
      <c r="AR75" s="131">
        <v>3</v>
      </c>
      <c r="AS75" s="134">
        <v>30</v>
      </c>
      <c r="AT75" s="134">
        <v>30</v>
      </c>
      <c r="AU75" s="134">
        <v>0.23599999999999999</v>
      </c>
      <c r="AV75" s="134">
        <v>0.65</v>
      </c>
      <c r="AW75" s="134">
        <v>0</v>
      </c>
      <c r="AX75" s="134">
        <v>0</v>
      </c>
      <c r="AY75" s="134">
        <v>0</v>
      </c>
      <c r="AZ75" s="134">
        <v>0</v>
      </c>
      <c r="BA75" s="134">
        <v>0</v>
      </c>
      <c r="BB75" s="134">
        <v>0</v>
      </c>
      <c r="BC75" s="134">
        <v>0</v>
      </c>
      <c r="BD75" s="134">
        <v>0</v>
      </c>
      <c r="BE75" s="134">
        <v>50.965000000000003</v>
      </c>
      <c r="BF75" s="134">
        <v>51.378999999999998</v>
      </c>
      <c r="BG75" s="131">
        <v>1</v>
      </c>
      <c r="BH75" s="131"/>
      <c r="BI75" s="131"/>
      <c r="BJ75" s="131"/>
      <c r="BK75" s="131"/>
      <c r="BL75" s="131"/>
      <c r="BM75" s="131"/>
      <c r="BN75" s="131"/>
    </row>
    <row r="76" spans="1:66">
      <c r="A76" s="131">
        <v>10235</v>
      </c>
      <c r="B76" s="131" t="s">
        <v>80</v>
      </c>
      <c r="C76" s="131">
        <v>1</v>
      </c>
      <c r="D76" s="131">
        <v>0</v>
      </c>
      <c r="E76" s="134">
        <v>33.606999999999999</v>
      </c>
      <c r="F76" s="134">
        <v>31.032</v>
      </c>
      <c r="G76" s="134">
        <v>31.166</v>
      </c>
      <c r="H76" s="134">
        <v>0</v>
      </c>
      <c r="I76" s="134">
        <v>0</v>
      </c>
      <c r="J76" s="134">
        <v>0</v>
      </c>
      <c r="K76" s="134">
        <v>0</v>
      </c>
      <c r="L76" s="133">
        <v>0</v>
      </c>
      <c r="M76" s="133">
        <v>0</v>
      </c>
      <c r="N76" s="134">
        <v>31.431000000000001</v>
      </c>
      <c r="O76" s="134">
        <v>31.565999999999999</v>
      </c>
      <c r="P76" s="133">
        <v>276090</v>
      </c>
      <c r="Q76" s="133">
        <v>276518</v>
      </c>
      <c r="R76" s="131">
        <v>32.938000000000002</v>
      </c>
      <c r="S76" s="133">
        <v>289327</v>
      </c>
      <c r="T76" s="133">
        <v>288537</v>
      </c>
      <c r="U76" s="134">
        <v>0</v>
      </c>
      <c r="V76" s="134">
        <v>0</v>
      </c>
      <c r="W76" s="134">
        <v>0</v>
      </c>
      <c r="X76" s="134">
        <v>0</v>
      </c>
      <c r="Y76" s="134">
        <v>0</v>
      </c>
      <c r="Z76" s="134">
        <v>0</v>
      </c>
      <c r="AA76" s="131">
        <v>0</v>
      </c>
      <c r="AB76" s="131">
        <v>0</v>
      </c>
      <c r="AC76" s="134">
        <v>0</v>
      </c>
      <c r="AD76" s="134">
        <v>0</v>
      </c>
      <c r="AE76" s="135">
        <v>4.4745000000000002E-3</v>
      </c>
      <c r="AF76" s="135">
        <v>4.4936999999999998E-3</v>
      </c>
      <c r="AG76" s="135">
        <v>0</v>
      </c>
      <c r="AH76" s="135">
        <v>4.4745000000000002E-3</v>
      </c>
      <c r="AI76" s="135">
        <v>4.4936999999999998E-3</v>
      </c>
      <c r="AJ76" s="135">
        <v>4.4841000000000004E-3</v>
      </c>
      <c r="AK76" s="135">
        <v>1</v>
      </c>
      <c r="AL76" s="135">
        <v>1</v>
      </c>
      <c r="AM76" s="135">
        <v>1</v>
      </c>
      <c r="AN76" s="135">
        <v>1</v>
      </c>
      <c r="AO76" s="135">
        <v>0</v>
      </c>
      <c r="AP76" s="135">
        <v>0</v>
      </c>
      <c r="AQ76" s="131">
        <v>1</v>
      </c>
      <c r="AR76" s="131">
        <v>1</v>
      </c>
      <c r="AS76" s="134">
        <v>0</v>
      </c>
      <c r="AT76" s="134">
        <v>0</v>
      </c>
      <c r="AU76" s="134">
        <v>0</v>
      </c>
      <c r="AV76" s="134">
        <v>0</v>
      </c>
      <c r="AW76" s="134">
        <v>0</v>
      </c>
      <c r="AX76" s="134">
        <v>0</v>
      </c>
      <c r="AY76" s="134">
        <v>0</v>
      </c>
      <c r="AZ76" s="134">
        <v>0</v>
      </c>
      <c r="BA76" s="134">
        <v>0</v>
      </c>
      <c r="BB76" s="134">
        <v>0</v>
      </c>
      <c r="BC76" s="134">
        <v>0</v>
      </c>
      <c r="BD76" s="134">
        <v>0</v>
      </c>
      <c r="BE76" s="134">
        <v>31.431000000000001</v>
      </c>
      <c r="BF76" s="134">
        <v>31.565999999999999</v>
      </c>
      <c r="BG76" s="131">
        <v>0</v>
      </c>
      <c r="BH76" s="131"/>
      <c r="BI76" s="131"/>
      <c r="BJ76" s="131"/>
      <c r="BK76" s="131"/>
      <c r="BL76" s="131"/>
      <c r="BM76" s="131"/>
      <c r="BN76" s="131"/>
    </row>
    <row r="77" spans="1:66">
      <c r="A77" s="131">
        <v>10236</v>
      </c>
      <c r="B77" s="131" t="s">
        <v>81</v>
      </c>
      <c r="C77" s="131">
        <v>0</v>
      </c>
      <c r="D77" s="131">
        <v>1</v>
      </c>
      <c r="E77" s="134">
        <v>29.536999999999999</v>
      </c>
      <c r="F77" s="134">
        <v>27.536000000000001</v>
      </c>
      <c r="G77" s="134">
        <v>27.512</v>
      </c>
      <c r="H77" s="134">
        <v>0</v>
      </c>
      <c r="I77" s="134">
        <v>0</v>
      </c>
      <c r="J77" s="134">
        <v>0.13200000000000001</v>
      </c>
      <c r="K77" s="134">
        <v>0.13200000000000001</v>
      </c>
      <c r="L77" s="133">
        <v>1159</v>
      </c>
      <c r="M77" s="133">
        <v>1156</v>
      </c>
      <c r="N77" s="134">
        <v>27.437999999999999</v>
      </c>
      <c r="O77" s="134">
        <v>27.411000000000001</v>
      </c>
      <c r="P77" s="133">
        <v>241015</v>
      </c>
      <c r="Q77" s="133">
        <v>240120</v>
      </c>
      <c r="R77" s="131">
        <v>28.949000000000002</v>
      </c>
      <c r="S77" s="133">
        <v>254288</v>
      </c>
      <c r="T77" s="133">
        <v>253593</v>
      </c>
      <c r="U77" s="134">
        <v>0</v>
      </c>
      <c r="V77" s="134">
        <v>0</v>
      </c>
      <c r="W77" s="134">
        <v>0</v>
      </c>
      <c r="X77" s="134">
        <v>0</v>
      </c>
      <c r="Y77" s="134">
        <v>0</v>
      </c>
      <c r="Z77" s="134">
        <v>0</v>
      </c>
      <c r="AA77" s="131">
        <v>0</v>
      </c>
      <c r="AB77" s="131">
        <v>0</v>
      </c>
      <c r="AC77" s="134">
        <v>0</v>
      </c>
      <c r="AD77" s="134">
        <v>0</v>
      </c>
      <c r="AE77" s="135">
        <v>3.9060000000000002E-3</v>
      </c>
      <c r="AF77" s="135">
        <v>3.9022000000000002E-3</v>
      </c>
      <c r="AG77" s="135">
        <v>0</v>
      </c>
      <c r="AH77" s="135">
        <v>3.9060000000000002E-3</v>
      </c>
      <c r="AI77" s="135">
        <v>3.9022000000000002E-3</v>
      </c>
      <c r="AJ77" s="135">
        <v>3.9041000000000002E-3</v>
      </c>
      <c r="AK77" s="135">
        <v>0.99999070000000001</v>
      </c>
      <c r="AL77" s="135">
        <v>1</v>
      </c>
      <c r="AM77" s="135">
        <v>1</v>
      </c>
      <c r="AN77" s="135">
        <v>1</v>
      </c>
      <c r="AO77" s="135">
        <v>6.5000000000000002E-2</v>
      </c>
      <c r="AP77" s="135">
        <v>6.5000000000000002E-2</v>
      </c>
      <c r="AQ77" s="131">
        <v>6</v>
      </c>
      <c r="AR77" s="131">
        <v>6</v>
      </c>
      <c r="AS77" s="134">
        <v>0</v>
      </c>
      <c r="AT77" s="134">
        <v>0</v>
      </c>
      <c r="AU77" s="134">
        <v>0</v>
      </c>
      <c r="AV77" s="134">
        <v>0</v>
      </c>
      <c r="AW77" s="134">
        <v>0</v>
      </c>
      <c r="AX77" s="134">
        <v>0</v>
      </c>
      <c r="AY77" s="134">
        <v>0</v>
      </c>
      <c r="AZ77" s="134">
        <v>0</v>
      </c>
      <c r="BA77" s="134">
        <v>0</v>
      </c>
      <c r="BB77" s="134">
        <v>0</v>
      </c>
      <c r="BC77" s="134">
        <v>0</v>
      </c>
      <c r="BD77" s="134">
        <v>0</v>
      </c>
      <c r="BE77" s="134">
        <v>27.437999999999999</v>
      </c>
      <c r="BF77" s="134">
        <v>27.411000000000001</v>
      </c>
      <c r="BG77" s="131">
        <v>0</v>
      </c>
      <c r="BH77" s="131"/>
      <c r="BI77" s="131"/>
      <c r="BJ77" s="131"/>
      <c r="BK77" s="131"/>
      <c r="BL77" s="131"/>
      <c r="BM77" s="131"/>
      <c r="BN77" s="131"/>
    </row>
    <row r="78" spans="1:66">
      <c r="A78" s="131">
        <v>10237</v>
      </c>
      <c r="B78" s="131" t="s">
        <v>82</v>
      </c>
      <c r="C78" s="131">
        <v>1</v>
      </c>
      <c r="D78" s="131">
        <v>0</v>
      </c>
      <c r="E78" s="134">
        <v>115.429</v>
      </c>
      <c r="F78" s="134">
        <v>110.279</v>
      </c>
      <c r="G78" s="134">
        <v>110.477</v>
      </c>
      <c r="H78" s="134">
        <v>0</v>
      </c>
      <c r="I78" s="134">
        <v>0</v>
      </c>
      <c r="J78" s="134">
        <v>1.1890000000000001</v>
      </c>
      <c r="K78" s="134">
        <v>1.19</v>
      </c>
      <c r="L78" s="133">
        <v>10444</v>
      </c>
      <c r="M78" s="133">
        <v>10424</v>
      </c>
      <c r="N78" s="134">
        <v>109.09</v>
      </c>
      <c r="O78" s="134">
        <v>109.28700000000001</v>
      </c>
      <c r="P78" s="133">
        <v>958247</v>
      </c>
      <c r="Q78" s="133">
        <v>957354</v>
      </c>
      <c r="R78" s="131">
        <v>113.13</v>
      </c>
      <c r="S78" s="133">
        <v>993734</v>
      </c>
      <c r="T78" s="133">
        <v>991019</v>
      </c>
      <c r="U78" s="134">
        <v>0</v>
      </c>
      <c r="V78" s="134">
        <v>0</v>
      </c>
      <c r="W78" s="134">
        <v>0</v>
      </c>
      <c r="X78" s="134">
        <v>0</v>
      </c>
      <c r="Y78" s="134">
        <v>0</v>
      </c>
      <c r="Z78" s="134">
        <v>0</v>
      </c>
      <c r="AA78" s="131">
        <v>0</v>
      </c>
      <c r="AB78" s="131">
        <v>0</v>
      </c>
      <c r="AC78" s="134">
        <v>0</v>
      </c>
      <c r="AD78" s="134">
        <v>0</v>
      </c>
      <c r="AE78" s="135">
        <v>1.5529899999999999E-2</v>
      </c>
      <c r="AF78" s="135">
        <v>1.55579E-2</v>
      </c>
      <c r="AG78" s="135">
        <v>9.6048000000000001E-3</v>
      </c>
      <c r="AH78" s="135">
        <v>5.9251E-3</v>
      </c>
      <c r="AI78" s="135">
        <v>5.9531000000000002E-3</v>
      </c>
      <c r="AJ78" s="135">
        <v>5.9391000000000001E-3</v>
      </c>
      <c r="AK78" s="135">
        <v>0.99999970000000005</v>
      </c>
      <c r="AL78" s="135">
        <v>0.99999689999999997</v>
      </c>
      <c r="AM78" s="135">
        <v>1</v>
      </c>
      <c r="AN78" s="135">
        <v>1</v>
      </c>
      <c r="AO78" s="272">
        <v>0.05</v>
      </c>
      <c r="AP78" s="272">
        <v>0.05</v>
      </c>
      <c r="AQ78" s="131">
        <v>4</v>
      </c>
      <c r="AR78" s="131">
        <v>4</v>
      </c>
      <c r="AS78" s="134">
        <v>0</v>
      </c>
      <c r="AT78" s="134">
        <v>0</v>
      </c>
      <c r="AU78" s="134">
        <v>0</v>
      </c>
      <c r="AV78" s="134">
        <v>0</v>
      </c>
      <c r="AW78" s="134">
        <v>0</v>
      </c>
      <c r="AX78" s="134">
        <v>0</v>
      </c>
      <c r="AY78" s="134">
        <v>0</v>
      </c>
      <c r="AZ78" s="134">
        <v>0</v>
      </c>
      <c r="BA78" s="134">
        <v>0</v>
      </c>
      <c r="BB78" s="134">
        <v>0</v>
      </c>
      <c r="BC78" s="134">
        <v>0</v>
      </c>
      <c r="BD78" s="134">
        <v>0</v>
      </c>
      <c r="BE78" s="134">
        <v>109.09</v>
      </c>
      <c r="BF78" s="134">
        <v>109.28700000000001</v>
      </c>
      <c r="BG78" s="131">
        <v>0</v>
      </c>
      <c r="BH78" s="131"/>
      <c r="BI78" s="131"/>
      <c r="BJ78" s="131"/>
      <c r="BK78" s="131"/>
      <c r="BL78" s="131"/>
      <c r="BM78" s="131"/>
      <c r="BN78" s="131"/>
    </row>
    <row r="79" spans="1:66">
      <c r="A79" s="131">
        <v>10239</v>
      </c>
      <c r="B79" s="131" t="s">
        <v>83</v>
      </c>
      <c r="C79" s="131">
        <v>0</v>
      </c>
      <c r="D79" s="131">
        <v>1</v>
      </c>
      <c r="E79" s="134">
        <v>14.209</v>
      </c>
      <c r="F79" s="134">
        <v>14.476000000000001</v>
      </c>
      <c r="G79" s="134">
        <v>14.461</v>
      </c>
      <c r="H79" s="134">
        <v>0</v>
      </c>
      <c r="I79" s="134">
        <v>0</v>
      </c>
      <c r="J79" s="134">
        <v>0</v>
      </c>
      <c r="K79" s="134">
        <v>0</v>
      </c>
      <c r="L79" s="133">
        <v>0</v>
      </c>
      <c r="M79" s="133">
        <v>0</v>
      </c>
      <c r="N79" s="134">
        <v>13.936</v>
      </c>
      <c r="O79" s="134">
        <v>13.923</v>
      </c>
      <c r="P79" s="133">
        <v>122414</v>
      </c>
      <c r="Q79" s="133">
        <v>121965</v>
      </c>
      <c r="R79" s="131">
        <v>13.926</v>
      </c>
      <c r="S79" s="133">
        <v>122326</v>
      </c>
      <c r="T79" s="133">
        <v>121992</v>
      </c>
      <c r="U79" s="134">
        <v>0.01</v>
      </c>
      <c r="V79" s="134">
        <v>0</v>
      </c>
      <c r="W79" s="134">
        <v>0.01</v>
      </c>
      <c r="X79" s="134">
        <v>0</v>
      </c>
      <c r="Y79" s="134">
        <v>0</v>
      </c>
      <c r="Z79" s="134">
        <v>0</v>
      </c>
      <c r="AA79" s="131">
        <v>0</v>
      </c>
      <c r="AB79" s="131">
        <v>0</v>
      </c>
      <c r="AC79" s="134">
        <v>0.01</v>
      </c>
      <c r="AD79" s="134">
        <v>0</v>
      </c>
      <c r="AE79" s="135">
        <v>1.9824999999999999E-3</v>
      </c>
      <c r="AF79" s="135">
        <v>1.9821000000000001E-3</v>
      </c>
      <c r="AG79" s="135">
        <v>0</v>
      </c>
      <c r="AH79" s="135">
        <v>1.9824999999999999E-3</v>
      </c>
      <c r="AI79" s="135">
        <v>1.9821000000000001E-3</v>
      </c>
      <c r="AJ79" s="135">
        <v>1.9823000000000002E-3</v>
      </c>
      <c r="AK79" s="135">
        <v>0.99928930000000005</v>
      </c>
      <c r="AL79" s="135">
        <v>1</v>
      </c>
      <c r="AM79" s="135">
        <v>1.0007181000000001</v>
      </c>
      <c r="AN79" s="135">
        <v>1</v>
      </c>
      <c r="AO79" s="135">
        <v>7.0050299999999996E-2</v>
      </c>
      <c r="AP79" s="135">
        <v>7.0000000000000007E-2</v>
      </c>
      <c r="AQ79" s="131">
        <v>6</v>
      </c>
      <c r="AR79" s="131">
        <v>6</v>
      </c>
      <c r="AS79" s="134">
        <v>0</v>
      </c>
      <c r="AT79" s="134">
        <v>0</v>
      </c>
      <c r="AU79" s="134">
        <v>0</v>
      </c>
      <c r="AV79" s="134">
        <v>0</v>
      </c>
      <c r="AW79" s="134">
        <v>0</v>
      </c>
      <c r="AX79" s="134">
        <v>0</v>
      </c>
      <c r="AY79" s="134">
        <v>0</v>
      </c>
      <c r="AZ79" s="134">
        <v>0</v>
      </c>
      <c r="BA79" s="134">
        <v>0</v>
      </c>
      <c r="BB79" s="134">
        <v>0</v>
      </c>
      <c r="BC79" s="134">
        <v>0</v>
      </c>
      <c r="BD79" s="134">
        <v>0</v>
      </c>
      <c r="BE79" s="134">
        <v>13.926</v>
      </c>
      <c r="BF79" s="134">
        <v>13.923</v>
      </c>
      <c r="BG79" s="131">
        <v>0</v>
      </c>
      <c r="BH79" s="131"/>
      <c r="BI79" s="131"/>
      <c r="BJ79" s="131"/>
      <c r="BK79" s="131"/>
      <c r="BL79" s="131"/>
      <c r="BM79" s="131"/>
      <c r="BN79" s="131"/>
    </row>
    <row r="80" spans="1:66">
      <c r="A80" s="131">
        <v>10242</v>
      </c>
      <c r="B80" s="131" t="s">
        <v>84</v>
      </c>
      <c r="C80" s="131">
        <v>1</v>
      </c>
      <c r="D80" s="131">
        <v>0</v>
      </c>
      <c r="E80" s="134">
        <v>9.6679999999999993</v>
      </c>
      <c r="F80" s="134">
        <v>9.4469999999999992</v>
      </c>
      <c r="G80" s="134">
        <v>9.5169999999999995</v>
      </c>
      <c r="H80" s="134">
        <v>0</v>
      </c>
      <c r="I80" s="134">
        <v>0</v>
      </c>
      <c r="J80" s="134">
        <v>0</v>
      </c>
      <c r="K80" s="134">
        <v>0</v>
      </c>
      <c r="L80" s="133">
        <v>0</v>
      </c>
      <c r="M80" s="133">
        <v>0</v>
      </c>
      <c r="N80" s="134">
        <v>9.9169999999999998</v>
      </c>
      <c r="O80" s="134">
        <v>10.023999999999999</v>
      </c>
      <c r="P80" s="133">
        <v>87111</v>
      </c>
      <c r="Q80" s="133">
        <v>87810</v>
      </c>
      <c r="R80" s="131">
        <v>9.4749999999999996</v>
      </c>
      <c r="S80" s="133">
        <v>83228</v>
      </c>
      <c r="T80" s="133">
        <v>83001</v>
      </c>
      <c r="U80" s="134">
        <v>0.442</v>
      </c>
      <c r="V80" s="134">
        <v>0.54900000000000004</v>
      </c>
      <c r="W80" s="134">
        <v>0</v>
      </c>
      <c r="X80" s="134">
        <v>0</v>
      </c>
      <c r="Y80" s="134">
        <v>0.442</v>
      </c>
      <c r="Z80" s="134">
        <v>0.54900000000000004</v>
      </c>
      <c r="AA80" s="131">
        <v>0</v>
      </c>
      <c r="AB80" s="131">
        <v>0</v>
      </c>
      <c r="AC80" s="134">
        <v>0</v>
      </c>
      <c r="AD80" s="134">
        <v>0</v>
      </c>
      <c r="AE80" s="135">
        <v>1.3488E-3</v>
      </c>
      <c r="AF80" s="135">
        <v>1.3488E-3</v>
      </c>
      <c r="AG80" s="135">
        <v>0</v>
      </c>
      <c r="AH80" s="135">
        <v>1.3488E-3</v>
      </c>
      <c r="AI80" s="135">
        <v>1.3488E-3</v>
      </c>
      <c r="AJ80" s="135">
        <v>1.3488E-3</v>
      </c>
      <c r="AK80" s="135">
        <v>0.95539600000000002</v>
      </c>
      <c r="AL80" s="135">
        <v>0.94519770000000003</v>
      </c>
      <c r="AM80" s="135">
        <v>1.0466491</v>
      </c>
      <c r="AN80" s="135">
        <v>1.0579419999999999</v>
      </c>
      <c r="AO80" s="135">
        <v>7.3265399999999994E-2</v>
      </c>
      <c r="AP80" s="135">
        <v>7.4055899999999994E-2</v>
      </c>
      <c r="AQ80" s="131">
        <v>1</v>
      </c>
      <c r="AR80" s="131">
        <v>1</v>
      </c>
      <c r="AS80" s="134">
        <v>0</v>
      </c>
      <c r="AT80" s="134">
        <v>0</v>
      </c>
      <c r="AU80" s="134">
        <v>0</v>
      </c>
      <c r="AV80" s="134">
        <v>0</v>
      </c>
      <c r="AW80" s="134">
        <v>0</v>
      </c>
      <c r="AX80" s="134">
        <v>0</v>
      </c>
      <c r="AY80" s="134">
        <v>0</v>
      </c>
      <c r="AZ80" s="134">
        <v>0</v>
      </c>
      <c r="BA80" s="134">
        <v>0</v>
      </c>
      <c r="BB80" s="134">
        <v>0</v>
      </c>
      <c r="BC80" s="134">
        <v>0</v>
      </c>
      <c r="BD80" s="134">
        <v>0</v>
      </c>
      <c r="BE80" s="134">
        <v>9.9169999999999998</v>
      </c>
      <c r="BF80" s="134">
        <v>10.023999999999999</v>
      </c>
      <c r="BG80" s="131">
        <v>0</v>
      </c>
      <c r="BH80" s="131"/>
      <c r="BI80" s="131"/>
      <c r="BJ80" s="131"/>
      <c r="BK80" s="131"/>
      <c r="BL80" s="131"/>
      <c r="BM80" s="131"/>
      <c r="BN80" s="131"/>
    </row>
    <row r="81" spans="1:66">
      <c r="A81" s="131">
        <v>10244</v>
      </c>
      <c r="B81" s="131" t="s">
        <v>85</v>
      </c>
      <c r="C81" s="131">
        <v>1</v>
      </c>
      <c r="D81" s="131">
        <v>0</v>
      </c>
      <c r="E81" s="134">
        <v>87.320999999999998</v>
      </c>
      <c r="F81" s="134">
        <v>98.373999999999995</v>
      </c>
      <c r="G81" s="134">
        <v>100.194</v>
      </c>
      <c r="H81" s="134">
        <v>0</v>
      </c>
      <c r="I81" s="134">
        <v>0</v>
      </c>
      <c r="J81" s="134">
        <v>1.7749999999999999</v>
      </c>
      <c r="K81" s="134">
        <v>1.778</v>
      </c>
      <c r="L81" s="133">
        <v>15592</v>
      </c>
      <c r="M81" s="133">
        <v>15575</v>
      </c>
      <c r="N81" s="134">
        <v>96.599000000000004</v>
      </c>
      <c r="O81" s="134">
        <v>98.415999999999997</v>
      </c>
      <c r="P81" s="133">
        <v>848526</v>
      </c>
      <c r="Q81" s="133">
        <v>862124</v>
      </c>
      <c r="R81" s="131">
        <v>85.581999999999994</v>
      </c>
      <c r="S81" s="133">
        <v>751752</v>
      </c>
      <c r="T81" s="133">
        <v>749698</v>
      </c>
      <c r="U81" s="134">
        <v>11.016999999999999</v>
      </c>
      <c r="V81" s="134">
        <v>12.834</v>
      </c>
      <c r="W81" s="134">
        <v>11.016999999999999</v>
      </c>
      <c r="X81" s="134">
        <v>12.834</v>
      </c>
      <c r="Y81" s="134">
        <v>0</v>
      </c>
      <c r="Z81" s="134">
        <v>0</v>
      </c>
      <c r="AA81" s="131">
        <v>0</v>
      </c>
      <c r="AB81" s="131">
        <v>0</v>
      </c>
      <c r="AC81" s="134">
        <v>11.016999999999999</v>
      </c>
      <c r="AD81" s="134">
        <v>12.834</v>
      </c>
      <c r="AE81" s="135">
        <v>1.2183299999999999E-2</v>
      </c>
      <c r="AF81" s="135">
        <v>1.2183299999999999E-2</v>
      </c>
      <c r="AG81" s="135">
        <v>0</v>
      </c>
      <c r="AH81" s="135">
        <v>1.2183299999999999E-2</v>
      </c>
      <c r="AI81" s="135">
        <v>1.2183299999999999E-2</v>
      </c>
      <c r="AJ81" s="135">
        <v>1.2183299999999999E-2</v>
      </c>
      <c r="AK81" s="135">
        <v>0.88800639999999997</v>
      </c>
      <c r="AL81" s="135">
        <v>0.87190590000000001</v>
      </c>
      <c r="AM81" s="135">
        <v>1.1287303</v>
      </c>
      <c r="AN81" s="135">
        <v>1.1499614</v>
      </c>
      <c r="AO81" s="135">
        <v>6.2080200000000002E-2</v>
      </c>
      <c r="AP81" s="135">
        <v>6.3247899999999996E-2</v>
      </c>
      <c r="AQ81" s="131">
        <v>3</v>
      </c>
      <c r="AR81" s="131">
        <v>3</v>
      </c>
      <c r="AS81" s="134">
        <v>2.577</v>
      </c>
      <c r="AT81" s="134">
        <v>2.573</v>
      </c>
      <c r="AU81" s="134">
        <v>8.44</v>
      </c>
      <c r="AV81" s="134">
        <v>10.260999999999999</v>
      </c>
      <c r="AW81" s="134">
        <v>2.577</v>
      </c>
      <c r="AX81" s="134">
        <v>2.573</v>
      </c>
      <c r="AY81" s="134">
        <v>0</v>
      </c>
      <c r="AZ81" s="134">
        <v>0</v>
      </c>
      <c r="BA81" s="134">
        <v>0</v>
      </c>
      <c r="BB81" s="134">
        <v>0</v>
      </c>
      <c r="BC81" s="134">
        <v>0</v>
      </c>
      <c r="BD81" s="134">
        <v>0</v>
      </c>
      <c r="BE81" s="134">
        <v>94.022000000000006</v>
      </c>
      <c r="BF81" s="134">
        <v>95.843000000000004</v>
      </c>
      <c r="BG81" s="131">
        <v>0</v>
      </c>
      <c r="BH81" s="131"/>
      <c r="BI81" s="131"/>
      <c r="BJ81" s="131"/>
      <c r="BK81" s="131"/>
      <c r="BL81" s="131"/>
      <c r="BM81" s="131"/>
      <c r="BN81" s="131"/>
    </row>
    <row r="82" spans="1:66">
      <c r="A82" s="131">
        <v>10246</v>
      </c>
      <c r="B82" s="131" t="s">
        <v>86</v>
      </c>
      <c r="C82" s="131">
        <v>1</v>
      </c>
      <c r="D82" s="131">
        <v>0</v>
      </c>
      <c r="E82" s="134">
        <v>9.1210000000000004</v>
      </c>
      <c r="F82" s="134">
        <v>9.2260000000000009</v>
      </c>
      <c r="G82" s="134">
        <v>9.2569999999999997</v>
      </c>
      <c r="H82" s="134">
        <v>0</v>
      </c>
      <c r="I82" s="134">
        <v>0</v>
      </c>
      <c r="J82" s="134">
        <v>0.54</v>
      </c>
      <c r="K82" s="134">
        <v>0.54200000000000004</v>
      </c>
      <c r="L82" s="133">
        <v>4743</v>
      </c>
      <c r="M82" s="133">
        <v>4748</v>
      </c>
      <c r="N82" s="134">
        <v>8.7850000000000001</v>
      </c>
      <c r="O82" s="134">
        <v>8.85</v>
      </c>
      <c r="P82" s="133">
        <v>77167</v>
      </c>
      <c r="Q82" s="133">
        <v>77526</v>
      </c>
      <c r="R82" s="131">
        <v>8.9390000000000001</v>
      </c>
      <c r="S82" s="133">
        <v>78520</v>
      </c>
      <c r="T82" s="133">
        <v>78306</v>
      </c>
      <c r="U82" s="134">
        <v>0</v>
      </c>
      <c r="V82" s="134">
        <v>0</v>
      </c>
      <c r="W82" s="134">
        <v>0</v>
      </c>
      <c r="X82" s="134">
        <v>0</v>
      </c>
      <c r="Y82" s="134">
        <v>0</v>
      </c>
      <c r="Z82" s="134">
        <v>0</v>
      </c>
      <c r="AA82" s="131">
        <v>0</v>
      </c>
      <c r="AB82" s="131">
        <v>0</v>
      </c>
      <c r="AC82" s="134">
        <v>0</v>
      </c>
      <c r="AD82" s="134">
        <v>0</v>
      </c>
      <c r="AE82" s="135">
        <v>1.2505999999999999E-3</v>
      </c>
      <c r="AF82" s="135">
        <v>1.2599E-3</v>
      </c>
      <c r="AG82" s="135">
        <v>0</v>
      </c>
      <c r="AH82" s="135">
        <v>1.2505999999999999E-3</v>
      </c>
      <c r="AI82" s="135">
        <v>1.2599E-3</v>
      </c>
      <c r="AJ82" s="135">
        <v>1.2553E-3</v>
      </c>
      <c r="AK82" s="135">
        <v>0.9999844</v>
      </c>
      <c r="AL82" s="135">
        <v>1</v>
      </c>
      <c r="AM82" s="135">
        <v>1</v>
      </c>
      <c r="AN82" s="135">
        <v>1</v>
      </c>
      <c r="AO82" s="135">
        <v>5.5E-2</v>
      </c>
      <c r="AP82" s="135">
        <v>5.5E-2</v>
      </c>
      <c r="AQ82" s="131">
        <v>1</v>
      </c>
      <c r="AR82" s="131">
        <v>1</v>
      </c>
      <c r="AS82" s="134">
        <v>0</v>
      </c>
      <c r="AT82" s="134">
        <v>0</v>
      </c>
      <c r="AU82" s="134">
        <v>0</v>
      </c>
      <c r="AV82" s="134">
        <v>0</v>
      </c>
      <c r="AW82" s="134">
        <v>0</v>
      </c>
      <c r="AX82" s="134">
        <v>0</v>
      </c>
      <c r="AY82" s="134">
        <v>0</v>
      </c>
      <c r="AZ82" s="134">
        <v>0</v>
      </c>
      <c r="BA82" s="134">
        <v>0</v>
      </c>
      <c r="BB82" s="134">
        <v>0</v>
      </c>
      <c r="BC82" s="134">
        <v>0</v>
      </c>
      <c r="BD82" s="134">
        <v>0</v>
      </c>
      <c r="BE82" s="134">
        <v>8.7850000000000001</v>
      </c>
      <c r="BF82" s="134">
        <v>8.85</v>
      </c>
      <c r="BG82" s="131">
        <v>0</v>
      </c>
      <c r="BH82" s="131"/>
      <c r="BI82" s="131"/>
      <c r="BJ82" s="131"/>
      <c r="BK82" s="131"/>
      <c r="BL82" s="131"/>
      <c r="BM82" s="131"/>
      <c r="BN82" s="131"/>
    </row>
    <row r="83" spans="1:66">
      <c r="A83" s="131">
        <v>10247</v>
      </c>
      <c r="B83" s="131" t="s">
        <v>87</v>
      </c>
      <c r="C83" s="131">
        <v>1</v>
      </c>
      <c r="D83" s="131">
        <v>0</v>
      </c>
      <c r="E83" s="134">
        <v>81.120999999999995</v>
      </c>
      <c r="F83" s="134">
        <v>76.581000000000003</v>
      </c>
      <c r="G83" s="134">
        <v>77.53</v>
      </c>
      <c r="H83" s="134">
        <v>0</v>
      </c>
      <c r="I83" s="134">
        <v>0</v>
      </c>
      <c r="J83" s="134">
        <v>0.65600000000000003</v>
      </c>
      <c r="K83" s="134">
        <v>0.65600000000000003</v>
      </c>
      <c r="L83" s="133">
        <v>5762</v>
      </c>
      <c r="M83" s="133">
        <v>5747</v>
      </c>
      <c r="N83" s="134">
        <v>79.222999999999999</v>
      </c>
      <c r="O83" s="134">
        <v>79.138000000000005</v>
      </c>
      <c r="P83" s="133">
        <v>695895</v>
      </c>
      <c r="Q83" s="133">
        <v>693249</v>
      </c>
      <c r="R83" s="131">
        <v>79.504999999999995</v>
      </c>
      <c r="S83" s="133">
        <v>698372</v>
      </c>
      <c r="T83" s="133">
        <v>696464</v>
      </c>
      <c r="U83" s="134">
        <v>0</v>
      </c>
      <c r="V83" s="134">
        <v>0</v>
      </c>
      <c r="W83" s="134">
        <v>0</v>
      </c>
      <c r="X83" s="134">
        <v>0</v>
      </c>
      <c r="Y83" s="134">
        <v>0</v>
      </c>
      <c r="Z83" s="134">
        <v>0</v>
      </c>
      <c r="AA83" s="131">
        <v>0</v>
      </c>
      <c r="AB83" s="131">
        <v>0</v>
      </c>
      <c r="AC83" s="134">
        <v>0</v>
      </c>
      <c r="AD83" s="134">
        <v>0</v>
      </c>
      <c r="AE83" s="135">
        <v>1.1278099999999999E-2</v>
      </c>
      <c r="AF83" s="135">
        <v>1.1266E-2</v>
      </c>
      <c r="AG83" s="135">
        <v>0</v>
      </c>
      <c r="AH83" s="135">
        <v>1.1278099999999999E-2</v>
      </c>
      <c r="AI83" s="135">
        <v>1.1266E-2</v>
      </c>
      <c r="AJ83" s="135">
        <v>1.12721E-2</v>
      </c>
      <c r="AK83" s="135">
        <v>1</v>
      </c>
      <c r="AL83" s="135">
        <v>1</v>
      </c>
      <c r="AM83" s="135">
        <v>1</v>
      </c>
      <c r="AN83" s="135">
        <v>1</v>
      </c>
      <c r="AO83" s="135">
        <v>0.05</v>
      </c>
      <c r="AP83" s="135">
        <v>0.05</v>
      </c>
      <c r="AQ83" s="131">
        <v>3</v>
      </c>
      <c r="AR83" s="131">
        <v>3</v>
      </c>
      <c r="AS83" s="134">
        <v>1.7270000000000001</v>
      </c>
      <c r="AT83" s="134">
        <v>1.7290000000000001</v>
      </c>
      <c r="AU83" s="134">
        <v>0</v>
      </c>
      <c r="AV83" s="134">
        <v>0</v>
      </c>
      <c r="AW83" s="134">
        <v>1.728</v>
      </c>
      <c r="AX83" s="134">
        <v>1.728</v>
      </c>
      <c r="AY83" s="134">
        <v>-1.728</v>
      </c>
      <c r="AZ83" s="134">
        <v>-1.728</v>
      </c>
      <c r="BA83" s="134">
        <v>0</v>
      </c>
      <c r="BB83" s="134">
        <v>0</v>
      </c>
      <c r="BC83" s="134">
        <v>-1.728</v>
      </c>
      <c r="BD83" s="134">
        <v>-1.728</v>
      </c>
      <c r="BE83" s="134">
        <v>79.222999999999999</v>
      </c>
      <c r="BF83" s="134">
        <v>79.138000000000005</v>
      </c>
      <c r="BG83" s="131">
        <v>0</v>
      </c>
      <c r="BH83" s="131"/>
      <c r="BI83" s="131"/>
      <c r="BJ83" s="131"/>
      <c r="BK83" s="131"/>
      <c r="BL83" s="131"/>
      <c r="BM83" s="131"/>
      <c r="BN83" s="131"/>
    </row>
    <row r="84" spans="1:66">
      <c r="A84" s="131">
        <v>10256</v>
      </c>
      <c r="B84" s="131" t="s">
        <v>88</v>
      </c>
      <c r="C84" s="131">
        <v>1</v>
      </c>
      <c r="D84" s="131">
        <v>0</v>
      </c>
      <c r="E84" s="134">
        <v>47.442999999999998</v>
      </c>
      <c r="F84" s="134">
        <v>49.795000000000002</v>
      </c>
      <c r="G84" s="134">
        <v>49.834000000000003</v>
      </c>
      <c r="H84" s="134">
        <v>0</v>
      </c>
      <c r="I84" s="134">
        <v>0</v>
      </c>
      <c r="J84" s="134">
        <v>0.52200000000000002</v>
      </c>
      <c r="K84" s="134">
        <v>0.52200000000000002</v>
      </c>
      <c r="L84" s="133">
        <v>4585</v>
      </c>
      <c r="M84" s="133">
        <v>4573</v>
      </c>
      <c r="N84" s="134">
        <v>46.329000000000001</v>
      </c>
      <c r="O84" s="134">
        <v>46.558</v>
      </c>
      <c r="P84" s="133">
        <v>406954</v>
      </c>
      <c r="Q84" s="133">
        <v>407848</v>
      </c>
      <c r="R84" s="131">
        <v>46.497999999999998</v>
      </c>
      <c r="S84" s="133">
        <v>408438</v>
      </c>
      <c r="T84" s="133">
        <v>407322</v>
      </c>
      <c r="U84" s="134">
        <v>0</v>
      </c>
      <c r="V84" s="134">
        <v>0.06</v>
      </c>
      <c r="W84" s="134">
        <v>0</v>
      </c>
      <c r="X84" s="134">
        <v>0</v>
      </c>
      <c r="Y84" s="134">
        <v>0</v>
      </c>
      <c r="Z84" s="134">
        <v>0.06</v>
      </c>
      <c r="AA84" s="131">
        <v>0</v>
      </c>
      <c r="AB84" s="131">
        <v>0</v>
      </c>
      <c r="AC84" s="134">
        <v>0</v>
      </c>
      <c r="AD84" s="134">
        <v>0</v>
      </c>
      <c r="AE84" s="135">
        <v>6.5953000000000001E-3</v>
      </c>
      <c r="AF84" s="135">
        <v>6.6194000000000001E-3</v>
      </c>
      <c r="AG84" s="135">
        <v>0</v>
      </c>
      <c r="AH84" s="135">
        <v>6.5953000000000001E-3</v>
      </c>
      <c r="AI84" s="135">
        <v>6.6194000000000001E-3</v>
      </c>
      <c r="AJ84" s="135">
        <v>6.6074000000000003E-3</v>
      </c>
      <c r="AK84" s="135">
        <v>0.99999499999999997</v>
      </c>
      <c r="AL84" s="135">
        <v>0.99872669999999997</v>
      </c>
      <c r="AM84" s="135">
        <v>1</v>
      </c>
      <c r="AN84" s="135">
        <v>1.0012904</v>
      </c>
      <c r="AO84" s="135">
        <v>6.5000000000000002E-2</v>
      </c>
      <c r="AP84" s="135">
        <v>6.50839E-2</v>
      </c>
      <c r="AQ84" s="131">
        <v>1</v>
      </c>
      <c r="AR84" s="131">
        <v>1</v>
      </c>
      <c r="AS84" s="134">
        <v>0</v>
      </c>
      <c r="AT84" s="134">
        <v>0</v>
      </c>
      <c r="AU84" s="134">
        <v>0</v>
      </c>
      <c r="AV84" s="134">
        <v>0</v>
      </c>
      <c r="AW84" s="134">
        <v>0</v>
      </c>
      <c r="AX84" s="134">
        <v>0</v>
      </c>
      <c r="AY84" s="134">
        <v>0</v>
      </c>
      <c r="AZ84" s="134">
        <v>0</v>
      </c>
      <c r="BA84" s="134">
        <v>0</v>
      </c>
      <c r="BB84" s="134">
        <v>0</v>
      </c>
      <c r="BC84" s="134">
        <v>0</v>
      </c>
      <c r="BD84" s="134">
        <v>0</v>
      </c>
      <c r="BE84" s="134">
        <v>46.329000000000001</v>
      </c>
      <c r="BF84" s="134">
        <v>46.558</v>
      </c>
      <c r="BG84" s="131">
        <v>1</v>
      </c>
      <c r="BH84" s="131"/>
      <c r="BI84" s="131"/>
      <c r="BJ84" s="131"/>
      <c r="BK84" s="131"/>
      <c r="BL84" s="131"/>
      <c r="BM84" s="131"/>
      <c r="BN84" s="131"/>
    </row>
    <row r="85" spans="1:66">
      <c r="A85" s="131">
        <v>10258</v>
      </c>
      <c r="B85" s="131" t="s">
        <v>89</v>
      </c>
      <c r="C85" s="131">
        <v>1</v>
      </c>
      <c r="D85" s="131">
        <v>0</v>
      </c>
      <c r="E85" s="134">
        <v>38.518000000000001</v>
      </c>
      <c r="F85" s="134">
        <v>48.131999999999998</v>
      </c>
      <c r="G85" s="134">
        <v>48.414999999999999</v>
      </c>
      <c r="H85" s="134">
        <v>0</v>
      </c>
      <c r="I85" s="134">
        <v>0</v>
      </c>
      <c r="J85" s="134">
        <v>9.7449999999999992</v>
      </c>
      <c r="K85" s="134">
        <v>9.7509999999999994</v>
      </c>
      <c r="L85" s="133">
        <v>85600</v>
      </c>
      <c r="M85" s="133">
        <v>85419</v>
      </c>
      <c r="N85" s="134">
        <v>37.945</v>
      </c>
      <c r="O85" s="134">
        <v>38.393999999999998</v>
      </c>
      <c r="P85" s="133">
        <v>333309</v>
      </c>
      <c r="Q85" s="133">
        <v>336331</v>
      </c>
      <c r="R85" s="131">
        <v>37.750999999999998</v>
      </c>
      <c r="S85" s="133">
        <v>331605</v>
      </c>
      <c r="T85" s="133">
        <v>330699</v>
      </c>
      <c r="U85" s="134">
        <v>0.19400000000000001</v>
      </c>
      <c r="V85" s="134">
        <v>0.64300000000000002</v>
      </c>
      <c r="W85" s="134">
        <v>0</v>
      </c>
      <c r="X85" s="134">
        <v>0</v>
      </c>
      <c r="Y85" s="134">
        <v>0.19400000000000001</v>
      </c>
      <c r="Z85" s="134">
        <v>0.64300000000000002</v>
      </c>
      <c r="AA85" s="131">
        <v>0</v>
      </c>
      <c r="AB85" s="131">
        <v>0</v>
      </c>
      <c r="AC85" s="134">
        <v>0</v>
      </c>
      <c r="AD85" s="134">
        <v>0</v>
      </c>
      <c r="AE85" s="135">
        <v>5.3742E-3</v>
      </c>
      <c r="AF85" s="135">
        <v>5.3742E-3</v>
      </c>
      <c r="AG85" s="135">
        <v>0</v>
      </c>
      <c r="AH85" s="135">
        <v>5.3742E-3</v>
      </c>
      <c r="AI85" s="135">
        <v>5.3742E-3</v>
      </c>
      <c r="AJ85" s="135">
        <v>5.3742E-3</v>
      </c>
      <c r="AK85" s="135">
        <v>0.99593480000000001</v>
      </c>
      <c r="AL85" s="135">
        <v>0.9866473</v>
      </c>
      <c r="AM85" s="135">
        <v>1.0051388999999999</v>
      </c>
      <c r="AN85" s="135">
        <v>1.0170326999999999</v>
      </c>
      <c r="AO85" s="135">
        <v>6.0308300000000002E-2</v>
      </c>
      <c r="AP85" s="135">
        <v>6.1022E-2</v>
      </c>
      <c r="AQ85" s="131">
        <v>1</v>
      </c>
      <c r="AR85" s="131">
        <v>1</v>
      </c>
      <c r="AS85" s="134">
        <v>0</v>
      </c>
      <c r="AT85" s="134">
        <v>0</v>
      </c>
      <c r="AU85" s="134">
        <v>0</v>
      </c>
      <c r="AV85" s="134">
        <v>0</v>
      </c>
      <c r="AW85" s="134">
        <v>0</v>
      </c>
      <c r="AX85" s="134">
        <v>0</v>
      </c>
      <c r="AY85" s="134">
        <v>0</v>
      </c>
      <c r="AZ85" s="134">
        <v>0</v>
      </c>
      <c r="BA85" s="134">
        <v>0</v>
      </c>
      <c r="BB85" s="134">
        <v>0</v>
      </c>
      <c r="BC85" s="134">
        <v>0</v>
      </c>
      <c r="BD85" s="134">
        <v>0</v>
      </c>
      <c r="BE85" s="134">
        <v>37.945</v>
      </c>
      <c r="BF85" s="134">
        <v>38.393999999999998</v>
      </c>
      <c r="BG85" s="131">
        <v>1</v>
      </c>
      <c r="BH85" s="131"/>
      <c r="BI85" s="131"/>
      <c r="BJ85" s="131"/>
      <c r="BK85" s="131"/>
      <c r="BL85" s="131"/>
      <c r="BM85" s="131"/>
      <c r="BN85" s="131"/>
    </row>
    <row r="86" spans="1:66">
      <c r="A86" s="131">
        <v>10259</v>
      </c>
      <c r="B86" s="131" t="s">
        <v>90</v>
      </c>
      <c r="C86" s="131">
        <v>1</v>
      </c>
      <c r="D86" s="131">
        <v>0</v>
      </c>
      <c r="E86" s="134">
        <v>27.388000000000002</v>
      </c>
      <c r="F86" s="134">
        <v>27.584</v>
      </c>
      <c r="G86" s="134">
        <v>27.795000000000002</v>
      </c>
      <c r="H86" s="134">
        <v>0</v>
      </c>
      <c r="I86" s="134">
        <v>0</v>
      </c>
      <c r="J86" s="134">
        <v>0</v>
      </c>
      <c r="K86" s="134">
        <v>0</v>
      </c>
      <c r="L86" s="133">
        <v>0</v>
      </c>
      <c r="M86" s="133">
        <v>0</v>
      </c>
      <c r="N86" s="134">
        <v>26.95</v>
      </c>
      <c r="O86" s="134">
        <v>27.131</v>
      </c>
      <c r="P86" s="133">
        <v>236729</v>
      </c>
      <c r="Q86" s="133">
        <v>237668</v>
      </c>
      <c r="R86" s="131">
        <v>26.843</v>
      </c>
      <c r="S86" s="133">
        <v>235789</v>
      </c>
      <c r="T86" s="133">
        <v>235145</v>
      </c>
      <c r="U86" s="134">
        <v>0.107</v>
      </c>
      <c r="V86" s="134">
        <v>0.28799999999999998</v>
      </c>
      <c r="W86" s="134">
        <v>0</v>
      </c>
      <c r="X86" s="134">
        <v>0</v>
      </c>
      <c r="Y86" s="134">
        <v>0.107</v>
      </c>
      <c r="Z86" s="134">
        <v>0.28799999999999998</v>
      </c>
      <c r="AA86" s="131">
        <v>0</v>
      </c>
      <c r="AB86" s="131">
        <v>0</v>
      </c>
      <c r="AC86" s="134">
        <v>0</v>
      </c>
      <c r="AD86" s="134">
        <v>0</v>
      </c>
      <c r="AE86" s="135">
        <v>3.8213000000000001E-3</v>
      </c>
      <c r="AF86" s="135">
        <v>3.8213000000000001E-3</v>
      </c>
      <c r="AG86" s="135">
        <v>0</v>
      </c>
      <c r="AH86" s="135">
        <v>3.8213000000000001E-3</v>
      </c>
      <c r="AI86" s="135">
        <v>3.8213000000000001E-3</v>
      </c>
      <c r="AJ86" s="135">
        <v>3.8213000000000001E-3</v>
      </c>
      <c r="AK86" s="135">
        <v>0.99602109999999999</v>
      </c>
      <c r="AL86" s="135">
        <v>0.98937629999999999</v>
      </c>
      <c r="AM86" s="135">
        <v>1.0039861000000001</v>
      </c>
      <c r="AN86" s="135">
        <v>1.0107291</v>
      </c>
      <c r="AO86" s="135">
        <v>6.52591E-2</v>
      </c>
      <c r="AP86" s="135">
        <v>6.5697400000000003E-2</v>
      </c>
      <c r="AQ86" s="131">
        <v>1</v>
      </c>
      <c r="AR86" s="131">
        <v>1</v>
      </c>
      <c r="AS86" s="134">
        <v>0</v>
      </c>
      <c r="AT86" s="134">
        <v>0</v>
      </c>
      <c r="AU86" s="134">
        <v>0</v>
      </c>
      <c r="AV86" s="134">
        <v>0</v>
      </c>
      <c r="AW86" s="134">
        <v>0</v>
      </c>
      <c r="AX86" s="134">
        <v>0</v>
      </c>
      <c r="AY86" s="134">
        <v>0</v>
      </c>
      <c r="AZ86" s="134">
        <v>0</v>
      </c>
      <c r="BA86" s="134">
        <v>0</v>
      </c>
      <c r="BB86" s="134">
        <v>0</v>
      </c>
      <c r="BC86" s="134">
        <v>0</v>
      </c>
      <c r="BD86" s="134">
        <v>0</v>
      </c>
      <c r="BE86" s="134">
        <v>26.95</v>
      </c>
      <c r="BF86" s="134">
        <v>27.131</v>
      </c>
      <c r="BG86" s="131">
        <v>1</v>
      </c>
      <c r="BH86" s="131"/>
      <c r="BI86" s="131"/>
      <c r="BJ86" s="131"/>
      <c r="BK86" s="131"/>
      <c r="BL86" s="131"/>
      <c r="BM86" s="131"/>
      <c r="BN86" s="131"/>
    </row>
    <row r="87" spans="1:66">
      <c r="A87" s="131">
        <v>10260</v>
      </c>
      <c r="B87" s="131" t="s">
        <v>91</v>
      </c>
      <c r="C87" s="131">
        <v>1</v>
      </c>
      <c r="D87" s="131">
        <v>0</v>
      </c>
      <c r="E87" s="134">
        <v>26.677</v>
      </c>
      <c r="F87" s="134">
        <v>27.113</v>
      </c>
      <c r="G87" s="134">
        <v>27.300999999999998</v>
      </c>
      <c r="H87" s="134">
        <v>0</v>
      </c>
      <c r="I87" s="134">
        <v>0</v>
      </c>
      <c r="J87" s="134">
        <v>0</v>
      </c>
      <c r="K87" s="134">
        <v>0</v>
      </c>
      <c r="L87" s="133">
        <v>0</v>
      </c>
      <c r="M87" s="133">
        <v>0</v>
      </c>
      <c r="N87" s="134">
        <v>27.81</v>
      </c>
      <c r="O87" s="134">
        <v>28.004000000000001</v>
      </c>
      <c r="P87" s="133">
        <v>244283</v>
      </c>
      <c r="Q87" s="133">
        <v>245315</v>
      </c>
      <c r="R87" s="131">
        <v>26.146000000000001</v>
      </c>
      <c r="S87" s="133">
        <v>229666</v>
      </c>
      <c r="T87" s="133">
        <v>229039</v>
      </c>
      <c r="U87" s="134">
        <v>1.6639999999999999</v>
      </c>
      <c r="V87" s="134">
        <v>1.8580000000000001</v>
      </c>
      <c r="W87" s="134">
        <v>1.6639999999999999</v>
      </c>
      <c r="X87" s="134">
        <v>1.8580000000000001</v>
      </c>
      <c r="Y87" s="134">
        <v>0</v>
      </c>
      <c r="Z87" s="134">
        <v>0</v>
      </c>
      <c r="AA87" s="131">
        <v>0</v>
      </c>
      <c r="AB87" s="131">
        <v>0</v>
      </c>
      <c r="AC87" s="134">
        <v>1.6639999999999999</v>
      </c>
      <c r="AD87" s="134">
        <v>1.8580000000000001</v>
      </c>
      <c r="AE87" s="135">
        <v>3.7220999999999999E-3</v>
      </c>
      <c r="AF87" s="135">
        <v>3.7220999999999999E-3</v>
      </c>
      <c r="AG87" s="135">
        <v>0</v>
      </c>
      <c r="AH87" s="135">
        <v>3.7220999999999999E-3</v>
      </c>
      <c r="AI87" s="135">
        <v>3.7220999999999999E-3</v>
      </c>
      <c r="AJ87" s="135">
        <v>3.7220999999999999E-3</v>
      </c>
      <c r="AK87" s="135">
        <v>0.94016310000000003</v>
      </c>
      <c r="AL87" s="135">
        <v>0.93365010000000004</v>
      </c>
      <c r="AM87" s="135">
        <v>1.0636426000000001</v>
      </c>
      <c r="AN87" s="135">
        <v>1.0710625</v>
      </c>
      <c r="AO87" s="135">
        <v>0</v>
      </c>
      <c r="AP87" s="135">
        <v>0</v>
      </c>
      <c r="AQ87" s="131">
        <v>1</v>
      </c>
      <c r="AR87" s="131">
        <v>1</v>
      </c>
      <c r="AS87" s="134">
        <v>0</v>
      </c>
      <c r="AT87" s="134">
        <v>0</v>
      </c>
      <c r="AU87" s="134">
        <v>1.6639999999999999</v>
      </c>
      <c r="AV87" s="134">
        <v>1.8580000000000001</v>
      </c>
      <c r="AW87" s="134">
        <v>0</v>
      </c>
      <c r="AX87" s="134">
        <v>0</v>
      </c>
      <c r="AY87" s="134">
        <v>0</v>
      </c>
      <c r="AZ87" s="134">
        <v>0</v>
      </c>
      <c r="BA87" s="134">
        <v>0</v>
      </c>
      <c r="BB87" s="134">
        <v>0</v>
      </c>
      <c r="BC87" s="134">
        <v>0</v>
      </c>
      <c r="BD87" s="134">
        <v>0</v>
      </c>
      <c r="BE87" s="134">
        <v>27.81</v>
      </c>
      <c r="BF87" s="134">
        <v>28.004000000000001</v>
      </c>
      <c r="BG87" s="131">
        <v>1</v>
      </c>
      <c r="BH87" s="131"/>
      <c r="BI87" s="131"/>
      <c r="BJ87" s="131"/>
      <c r="BK87" s="131"/>
      <c r="BL87" s="131"/>
      <c r="BM87" s="131"/>
      <c r="BN87" s="131"/>
    </row>
    <row r="88" spans="1:66">
      <c r="A88" s="131">
        <v>10273</v>
      </c>
      <c r="B88" s="131" t="s">
        <v>92</v>
      </c>
      <c r="C88" s="131">
        <v>1</v>
      </c>
      <c r="D88" s="131">
        <v>0</v>
      </c>
      <c r="E88" s="134">
        <v>5.9690000000000003</v>
      </c>
      <c r="F88" s="134">
        <v>7.9390000000000001</v>
      </c>
      <c r="G88" s="134">
        <v>8.2729999999999997</v>
      </c>
      <c r="H88" s="134">
        <v>0</v>
      </c>
      <c r="I88" s="134">
        <v>0</v>
      </c>
      <c r="J88" s="134">
        <v>0</v>
      </c>
      <c r="K88" s="134">
        <v>0</v>
      </c>
      <c r="L88" s="133">
        <v>0</v>
      </c>
      <c r="M88" s="133">
        <v>0</v>
      </c>
      <c r="N88" s="134">
        <v>8.0630000000000006</v>
      </c>
      <c r="O88" s="134">
        <v>8.4120000000000008</v>
      </c>
      <c r="P88" s="133">
        <v>70825</v>
      </c>
      <c r="Q88" s="133">
        <v>73689</v>
      </c>
      <c r="R88" s="131">
        <v>5.85</v>
      </c>
      <c r="S88" s="133">
        <v>51386</v>
      </c>
      <c r="T88" s="133">
        <v>51246</v>
      </c>
      <c r="U88" s="134">
        <v>2.2130000000000001</v>
      </c>
      <c r="V88" s="134">
        <v>2.5619999999999998</v>
      </c>
      <c r="W88" s="134">
        <v>2.2130000000000001</v>
      </c>
      <c r="X88" s="134">
        <v>2.5619999999999998</v>
      </c>
      <c r="Y88" s="134">
        <v>0</v>
      </c>
      <c r="Z88" s="134">
        <v>0</v>
      </c>
      <c r="AA88" s="131">
        <v>0</v>
      </c>
      <c r="AB88" s="131">
        <v>0</v>
      </c>
      <c r="AC88" s="134">
        <v>2.2130000000000001</v>
      </c>
      <c r="AD88" s="134">
        <v>2.5619999999999998</v>
      </c>
      <c r="AE88" s="135">
        <v>8.3279999999999997E-4</v>
      </c>
      <c r="AF88" s="135">
        <v>8.3279999999999997E-4</v>
      </c>
      <c r="AG88" s="135">
        <v>0</v>
      </c>
      <c r="AH88" s="135">
        <v>8.3279999999999997E-4</v>
      </c>
      <c r="AI88" s="135">
        <v>8.3279999999999997E-4</v>
      </c>
      <c r="AJ88" s="135">
        <v>8.3279999999999997E-4</v>
      </c>
      <c r="AK88" s="135">
        <v>0.72553809999999996</v>
      </c>
      <c r="AL88" s="135">
        <v>0.69543670000000002</v>
      </c>
      <c r="AM88" s="135">
        <v>1.3782905999999999</v>
      </c>
      <c r="AN88" s="135">
        <v>1.4379487</v>
      </c>
      <c r="AO88" s="135">
        <v>9.6480300000000005E-2</v>
      </c>
      <c r="AP88" s="135">
        <v>0.10065639999999999</v>
      </c>
      <c r="AQ88" s="131">
        <v>1</v>
      </c>
      <c r="AR88" s="131">
        <v>1</v>
      </c>
      <c r="AS88" s="134">
        <v>0</v>
      </c>
      <c r="AT88" s="134">
        <v>0</v>
      </c>
      <c r="AU88" s="134">
        <v>2.2130000000000001</v>
      </c>
      <c r="AV88" s="134">
        <v>2.5619999999999998</v>
      </c>
      <c r="AW88" s="134">
        <v>0</v>
      </c>
      <c r="AX88" s="134">
        <v>0</v>
      </c>
      <c r="AY88" s="134">
        <v>0</v>
      </c>
      <c r="AZ88" s="134">
        <v>0</v>
      </c>
      <c r="BA88" s="134">
        <v>0</v>
      </c>
      <c r="BB88" s="134">
        <v>0</v>
      </c>
      <c r="BC88" s="134">
        <v>0</v>
      </c>
      <c r="BD88" s="134">
        <v>0</v>
      </c>
      <c r="BE88" s="134">
        <v>8.0630000000000006</v>
      </c>
      <c r="BF88" s="134">
        <v>8.4120000000000008</v>
      </c>
      <c r="BG88" s="131">
        <v>1</v>
      </c>
      <c r="BH88" s="131"/>
      <c r="BI88" s="131"/>
      <c r="BJ88" s="131"/>
      <c r="BK88" s="131"/>
      <c r="BL88" s="131"/>
      <c r="BM88" s="131"/>
      <c r="BN88" s="131"/>
    </row>
    <row r="89" spans="1:66">
      <c r="A89" s="131">
        <v>10278</v>
      </c>
      <c r="B89" s="131" t="s">
        <v>93</v>
      </c>
      <c r="C89" s="131">
        <v>0</v>
      </c>
      <c r="D89" s="131">
        <v>1</v>
      </c>
      <c r="E89" s="134">
        <v>36.463999999999999</v>
      </c>
      <c r="F89" s="134">
        <v>39.161000000000001</v>
      </c>
      <c r="G89" s="134">
        <v>39.798999999999999</v>
      </c>
      <c r="H89" s="134">
        <v>0</v>
      </c>
      <c r="I89" s="134">
        <v>0</v>
      </c>
      <c r="J89" s="134">
        <v>1.5269999999999999</v>
      </c>
      <c r="K89" s="134">
        <v>1.53</v>
      </c>
      <c r="L89" s="133">
        <v>13413</v>
      </c>
      <c r="M89" s="133">
        <v>13403</v>
      </c>
      <c r="N89" s="134">
        <v>35.652000000000001</v>
      </c>
      <c r="O89" s="134">
        <v>35.83</v>
      </c>
      <c r="P89" s="133">
        <v>313167</v>
      </c>
      <c r="Q89" s="133">
        <v>313871</v>
      </c>
      <c r="R89" s="131">
        <v>35.738</v>
      </c>
      <c r="S89" s="133">
        <v>313923</v>
      </c>
      <c r="T89" s="133">
        <v>313065</v>
      </c>
      <c r="U89" s="134">
        <v>0</v>
      </c>
      <c r="V89" s="134">
        <v>9.1999999999999998E-2</v>
      </c>
      <c r="W89" s="134">
        <v>0</v>
      </c>
      <c r="X89" s="134">
        <v>9.1999999999999998E-2</v>
      </c>
      <c r="Y89" s="134">
        <v>0</v>
      </c>
      <c r="Z89" s="134">
        <v>0</v>
      </c>
      <c r="AA89" s="131">
        <v>0</v>
      </c>
      <c r="AB89" s="131">
        <v>0</v>
      </c>
      <c r="AC89" s="134">
        <v>0</v>
      </c>
      <c r="AD89" s="134">
        <v>9.1999999999999998E-2</v>
      </c>
      <c r="AE89" s="135">
        <v>5.0753999999999999E-3</v>
      </c>
      <c r="AF89" s="135">
        <v>5.0876000000000003E-3</v>
      </c>
      <c r="AG89" s="135">
        <v>0</v>
      </c>
      <c r="AH89" s="135">
        <v>5.0753999999999999E-3</v>
      </c>
      <c r="AI89" s="135">
        <v>5.0876000000000003E-3</v>
      </c>
      <c r="AJ89" s="135">
        <v>5.0815000000000001E-3</v>
      </c>
      <c r="AK89" s="135">
        <v>1</v>
      </c>
      <c r="AL89" s="135">
        <v>0.99753499999999995</v>
      </c>
      <c r="AM89" s="135">
        <v>1</v>
      </c>
      <c r="AN89" s="135">
        <v>1.0025743</v>
      </c>
      <c r="AO89" s="135">
        <v>6.5000000000000002E-2</v>
      </c>
      <c r="AP89" s="135">
        <v>6.5167299999999997E-2</v>
      </c>
      <c r="AQ89" s="131">
        <v>6</v>
      </c>
      <c r="AR89" s="131">
        <v>6</v>
      </c>
      <c r="AS89" s="134">
        <v>0</v>
      </c>
      <c r="AT89" s="134">
        <v>0</v>
      </c>
      <c r="AU89" s="134">
        <v>0</v>
      </c>
      <c r="AV89" s="134">
        <v>0</v>
      </c>
      <c r="AW89" s="134">
        <v>0</v>
      </c>
      <c r="AX89" s="134">
        <v>0</v>
      </c>
      <c r="AY89" s="134">
        <v>0</v>
      </c>
      <c r="AZ89" s="134">
        <v>0</v>
      </c>
      <c r="BA89" s="134">
        <v>0</v>
      </c>
      <c r="BB89" s="134">
        <v>0</v>
      </c>
      <c r="BC89" s="134">
        <v>0</v>
      </c>
      <c r="BD89" s="134">
        <v>0</v>
      </c>
      <c r="BE89" s="134">
        <v>35.652000000000001</v>
      </c>
      <c r="BF89" s="134">
        <v>35.738</v>
      </c>
      <c r="BG89" s="131">
        <v>0</v>
      </c>
      <c r="BH89" s="131"/>
      <c r="BI89" s="131"/>
      <c r="BJ89" s="131"/>
      <c r="BK89" s="131"/>
      <c r="BL89" s="131"/>
      <c r="BM89" s="131"/>
      <c r="BN89" s="131"/>
    </row>
    <row r="90" spans="1:66">
      <c r="A90" s="131">
        <v>10279</v>
      </c>
      <c r="B90" s="131" t="s">
        <v>94</v>
      </c>
      <c r="C90" s="131">
        <v>1</v>
      </c>
      <c r="D90" s="131">
        <v>0</v>
      </c>
      <c r="E90" s="134">
        <v>65.730999999999995</v>
      </c>
      <c r="F90" s="134">
        <v>126.889</v>
      </c>
      <c r="G90" s="134">
        <v>151.62899999999999</v>
      </c>
      <c r="H90" s="134">
        <v>32.417999999999999</v>
      </c>
      <c r="I90" s="134">
        <v>50.598999999999997</v>
      </c>
      <c r="J90" s="134">
        <v>4.4050000000000002</v>
      </c>
      <c r="K90" s="134">
        <v>4.4039999999999999</v>
      </c>
      <c r="L90" s="133">
        <v>38694</v>
      </c>
      <c r="M90" s="133">
        <v>38579</v>
      </c>
      <c r="N90" s="134">
        <v>84.37</v>
      </c>
      <c r="O90" s="134">
        <v>91.027000000000001</v>
      </c>
      <c r="P90" s="133">
        <v>741106</v>
      </c>
      <c r="Q90" s="133">
        <v>797397</v>
      </c>
      <c r="R90" s="131">
        <v>64.421999999999997</v>
      </c>
      <c r="S90" s="133">
        <v>565883</v>
      </c>
      <c r="T90" s="133">
        <v>564337</v>
      </c>
      <c r="U90" s="134">
        <v>19.948</v>
      </c>
      <c r="V90" s="134">
        <v>26.605</v>
      </c>
      <c r="W90" s="134">
        <v>19.948</v>
      </c>
      <c r="X90" s="134">
        <v>26.605</v>
      </c>
      <c r="Y90" s="134">
        <v>0</v>
      </c>
      <c r="Z90" s="134">
        <v>0</v>
      </c>
      <c r="AA90" s="131">
        <v>0</v>
      </c>
      <c r="AB90" s="131">
        <v>0</v>
      </c>
      <c r="AC90" s="134">
        <v>19.948</v>
      </c>
      <c r="AD90" s="134">
        <v>26.605</v>
      </c>
      <c r="AE90" s="135">
        <v>9.1710000000000003E-3</v>
      </c>
      <c r="AF90" s="135">
        <v>9.1710000000000003E-3</v>
      </c>
      <c r="AG90" s="135">
        <v>0</v>
      </c>
      <c r="AH90" s="135">
        <v>9.1710000000000003E-3</v>
      </c>
      <c r="AI90" s="135">
        <v>9.1710000000000003E-3</v>
      </c>
      <c r="AJ90" s="135">
        <v>9.1710000000000003E-3</v>
      </c>
      <c r="AK90" s="135">
        <v>0.77529479999999995</v>
      </c>
      <c r="AL90" s="135">
        <v>0.72121009999999997</v>
      </c>
      <c r="AM90" s="135">
        <v>1.3096458</v>
      </c>
      <c r="AN90" s="135">
        <v>1.4129799999999999</v>
      </c>
      <c r="AO90" s="135">
        <v>0</v>
      </c>
      <c r="AP90" s="135">
        <v>0</v>
      </c>
      <c r="AQ90" s="131">
        <v>3</v>
      </c>
      <c r="AR90" s="131">
        <v>3</v>
      </c>
      <c r="AS90" s="134">
        <v>25</v>
      </c>
      <c r="AT90" s="134">
        <v>25</v>
      </c>
      <c r="AU90" s="134">
        <v>0.94799999999999995</v>
      </c>
      <c r="AV90" s="134">
        <v>1.605</v>
      </c>
      <c r="AW90" s="134">
        <v>0</v>
      </c>
      <c r="AX90" s="134">
        <v>0</v>
      </c>
      <c r="AY90" s="134">
        <v>0</v>
      </c>
      <c r="AZ90" s="134">
        <v>0</v>
      </c>
      <c r="BA90" s="134">
        <v>0</v>
      </c>
      <c r="BB90" s="134">
        <v>0</v>
      </c>
      <c r="BC90" s="134">
        <v>0</v>
      </c>
      <c r="BD90" s="134">
        <v>0</v>
      </c>
      <c r="BE90" s="134">
        <v>65.37</v>
      </c>
      <c r="BF90" s="134">
        <v>66.027000000000001</v>
      </c>
      <c r="BG90" s="131">
        <v>1</v>
      </c>
      <c r="BH90" s="131"/>
      <c r="BI90" s="131"/>
      <c r="BJ90" s="131"/>
      <c r="BK90" s="131"/>
      <c r="BL90" s="131"/>
      <c r="BM90" s="131"/>
      <c r="BN90" s="131"/>
    </row>
    <row r="91" spans="1:66">
      <c r="A91" s="131">
        <v>10284</v>
      </c>
      <c r="B91" s="131" t="s">
        <v>95</v>
      </c>
      <c r="C91" s="131">
        <v>1</v>
      </c>
      <c r="D91" s="131">
        <v>0</v>
      </c>
      <c r="E91" s="134">
        <v>10.31</v>
      </c>
      <c r="F91" s="134">
        <v>9.7870000000000008</v>
      </c>
      <c r="G91" s="134">
        <v>9.7780000000000005</v>
      </c>
      <c r="H91" s="134">
        <v>0</v>
      </c>
      <c r="I91" s="134">
        <v>0</v>
      </c>
      <c r="J91" s="134">
        <v>0</v>
      </c>
      <c r="K91" s="134">
        <v>0</v>
      </c>
      <c r="L91" s="133">
        <v>0</v>
      </c>
      <c r="M91" s="133">
        <v>0</v>
      </c>
      <c r="N91" s="134">
        <v>9.8260000000000005</v>
      </c>
      <c r="O91" s="134">
        <v>9.8360000000000003</v>
      </c>
      <c r="P91" s="133">
        <v>86312</v>
      </c>
      <c r="Q91" s="133">
        <v>86163</v>
      </c>
      <c r="R91" s="131">
        <v>10.105</v>
      </c>
      <c r="S91" s="133">
        <v>88762</v>
      </c>
      <c r="T91" s="133">
        <v>88520</v>
      </c>
      <c r="U91" s="134">
        <v>0</v>
      </c>
      <c r="V91" s="134">
        <v>0</v>
      </c>
      <c r="W91" s="134">
        <v>0</v>
      </c>
      <c r="X91" s="134">
        <v>0</v>
      </c>
      <c r="Y91" s="134">
        <v>0</v>
      </c>
      <c r="Z91" s="134">
        <v>0</v>
      </c>
      <c r="AA91" s="131">
        <v>0</v>
      </c>
      <c r="AB91" s="131">
        <v>0</v>
      </c>
      <c r="AC91" s="134">
        <v>0</v>
      </c>
      <c r="AD91" s="134">
        <v>0</v>
      </c>
      <c r="AE91" s="135">
        <v>1.3988E-3</v>
      </c>
      <c r="AF91" s="135">
        <v>1.4002000000000001E-3</v>
      </c>
      <c r="AG91" s="135">
        <v>0</v>
      </c>
      <c r="AH91" s="135">
        <v>1.3988E-3</v>
      </c>
      <c r="AI91" s="135">
        <v>1.4002000000000001E-3</v>
      </c>
      <c r="AJ91" s="135">
        <v>1.3994999999999999E-3</v>
      </c>
      <c r="AK91" s="135">
        <v>0.99998849999999995</v>
      </c>
      <c r="AL91" s="135">
        <v>0.99997170000000002</v>
      </c>
      <c r="AM91" s="135">
        <v>1</v>
      </c>
      <c r="AN91" s="135">
        <v>1</v>
      </c>
      <c r="AO91" s="135">
        <v>0.05</v>
      </c>
      <c r="AP91" s="135">
        <v>0.05</v>
      </c>
      <c r="AQ91" s="131">
        <v>1</v>
      </c>
      <c r="AR91" s="131">
        <v>1</v>
      </c>
      <c r="AS91" s="134">
        <v>0</v>
      </c>
      <c r="AT91" s="134">
        <v>0</v>
      </c>
      <c r="AU91" s="134">
        <v>0</v>
      </c>
      <c r="AV91" s="134">
        <v>0</v>
      </c>
      <c r="AW91" s="134">
        <v>0</v>
      </c>
      <c r="AX91" s="134">
        <v>0</v>
      </c>
      <c r="AY91" s="134">
        <v>0</v>
      </c>
      <c r="AZ91" s="134">
        <v>0</v>
      </c>
      <c r="BA91" s="134">
        <v>0</v>
      </c>
      <c r="BB91" s="134">
        <v>0</v>
      </c>
      <c r="BC91" s="134">
        <v>0</v>
      </c>
      <c r="BD91" s="134">
        <v>0</v>
      </c>
      <c r="BE91" s="134">
        <v>9.8260000000000005</v>
      </c>
      <c r="BF91" s="134">
        <v>9.8360000000000003</v>
      </c>
      <c r="BG91" s="131">
        <v>0</v>
      </c>
      <c r="BH91" s="131"/>
      <c r="BI91" s="131"/>
      <c r="BJ91" s="131"/>
      <c r="BK91" s="131"/>
      <c r="BL91" s="131"/>
      <c r="BM91" s="131"/>
      <c r="BN91" s="131"/>
    </row>
    <row r="92" spans="1:66">
      <c r="A92" s="131">
        <v>10285</v>
      </c>
      <c r="B92" s="131" t="s">
        <v>96</v>
      </c>
      <c r="C92" s="131">
        <v>0</v>
      </c>
      <c r="D92" s="131">
        <v>1</v>
      </c>
      <c r="E92" s="134">
        <v>6.6260000000000003</v>
      </c>
      <c r="F92" s="134">
        <v>7.2060000000000004</v>
      </c>
      <c r="G92" s="134">
        <v>7.2439999999999998</v>
      </c>
      <c r="H92" s="134">
        <v>0</v>
      </c>
      <c r="I92" s="134">
        <v>0</v>
      </c>
      <c r="J92" s="134">
        <v>0</v>
      </c>
      <c r="K92" s="134">
        <v>0</v>
      </c>
      <c r="L92" s="133">
        <v>0</v>
      </c>
      <c r="M92" s="133">
        <v>0</v>
      </c>
      <c r="N92" s="134">
        <v>6.9610000000000003</v>
      </c>
      <c r="O92" s="134">
        <v>7.0220000000000002</v>
      </c>
      <c r="P92" s="133">
        <v>61145</v>
      </c>
      <c r="Q92" s="133">
        <v>61513</v>
      </c>
      <c r="R92" s="131">
        <v>6.4939999999999998</v>
      </c>
      <c r="S92" s="133">
        <v>57043</v>
      </c>
      <c r="T92" s="133">
        <v>56887</v>
      </c>
      <c r="U92" s="134">
        <v>0.46700000000000003</v>
      </c>
      <c r="V92" s="134">
        <v>0.52800000000000002</v>
      </c>
      <c r="W92" s="134">
        <v>0.46700000000000003</v>
      </c>
      <c r="X92" s="134">
        <v>0.52800000000000002</v>
      </c>
      <c r="Y92" s="134">
        <v>0</v>
      </c>
      <c r="Z92" s="134">
        <v>0</v>
      </c>
      <c r="AA92" s="131">
        <v>0</v>
      </c>
      <c r="AB92" s="131">
        <v>0</v>
      </c>
      <c r="AC92" s="134">
        <v>0.46700000000000003</v>
      </c>
      <c r="AD92" s="134">
        <v>0.52800000000000002</v>
      </c>
      <c r="AE92" s="135">
        <v>9.2449999999999997E-4</v>
      </c>
      <c r="AF92" s="135">
        <v>9.2449999999999997E-4</v>
      </c>
      <c r="AG92" s="135">
        <v>0</v>
      </c>
      <c r="AH92" s="135">
        <v>9.2449999999999997E-4</v>
      </c>
      <c r="AI92" s="135">
        <v>9.2449999999999997E-4</v>
      </c>
      <c r="AJ92" s="135">
        <v>9.2449999999999997E-4</v>
      </c>
      <c r="AK92" s="135">
        <v>0.93293510000000002</v>
      </c>
      <c r="AL92" s="135">
        <v>0.92483070000000001</v>
      </c>
      <c r="AM92" s="135">
        <v>1.0719125</v>
      </c>
      <c r="AN92" s="135">
        <v>1.0813058</v>
      </c>
      <c r="AO92" s="135">
        <v>6.9674299999999995E-2</v>
      </c>
      <c r="AP92" s="135">
        <v>7.0284899999999997E-2</v>
      </c>
      <c r="AQ92" s="131">
        <v>6</v>
      </c>
      <c r="AR92" s="131">
        <v>6</v>
      </c>
      <c r="AS92" s="134">
        <v>0</v>
      </c>
      <c r="AT92" s="134">
        <v>0</v>
      </c>
      <c r="AU92" s="134">
        <v>0</v>
      </c>
      <c r="AV92" s="134">
        <v>0</v>
      </c>
      <c r="AW92" s="134">
        <v>0</v>
      </c>
      <c r="AX92" s="134">
        <v>0</v>
      </c>
      <c r="AY92" s="134">
        <v>0</v>
      </c>
      <c r="AZ92" s="134">
        <v>0</v>
      </c>
      <c r="BA92" s="134">
        <v>0</v>
      </c>
      <c r="BB92" s="134">
        <v>0</v>
      </c>
      <c r="BC92" s="134">
        <v>0</v>
      </c>
      <c r="BD92" s="134">
        <v>0</v>
      </c>
      <c r="BE92" s="134">
        <v>6.4939999999999998</v>
      </c>
      <c r="BF92" s="134">
        <v>6.4939999999999998</v>
      </c>
      <c r="BG92" s="131">
        <v>0</v>
      </c>
      <c r="BH92" s="131"/>
      <c r="BI92" s="131"/>
      <c r="BJ92" s="131"/>
      <c r="BK92" s="131"/>
      <c r="BL92" s="131"/>
      <c r="BM92" s="131"/>
      <c r="BN92" s="131"/>
    </row>
    <row r="93" spans="1:66">
      <c r="A93" s="131">
        <v>10286</v>
      </c>
      <c r="B93" s="131" t="s">
        <v>97</v>
      </c>
      <c r="C93" s="131">
        <v>1</v>
      </c>
      <c r="D93" s="131">
        <v>0</v>
      </c>
      <c r="E93" s="134">
        <v>46.595999999999997</v>
      </c>
      <c r="F93" s="134">
        <v>74.665000000000006</v>
      </c>
      <c r="G93" s="134">
        <v>75.882999999999996</v>
      </c>
      <c r="H93" s="134">
        <v>0</v>
      </c>
      <c r="I93" s="134">
        <v>0</v>
      </c>
      <c r="J93" s="134">
        <v>24.1</v>
      </c>
      <c r="K93" s="134">
        <v>24.131</v>
      </c>
      <c r="L93" s="133">
        <v>211694</v>
      </c>
      <c r="M93" s="133">
        <v>211388</v>
      </c>
      <c r="N93" s="134">
        <v>50.564999999999998</v>
      </c>
      <c r="O93" s="134">
        <v>51.752000000000002</v>
      </c>
      <c r="P93" s="133">
        <v>444163</v>
      </c>
      <c r="Q93" s="133">
        <v>453348</v>
      </c>
      <c r="R93" s="131">
        <v>45.667999999999999</v>
      </c>
      <c r="S93" s="133">
        <v>401148</v>
      </c>
      <c r="T93" s="133">
        <v>400052</v>
      </c>
      <c r="U93" s="134">
        <v>5.7789999999999999</v>
      </c>
      <c r="V93" s="134">
        <v>6.984</v>
      </c>
      <c r="W93" s="134">
        <v>5.7789999999999999</v>
      </c>
      <c r="X93" s="134">
        <v>6.984</v>
      </c>
      <c r="Y93" s="134">
        <v>0</v>
      </c>
      <c r="Z93" s="134">
        <v>0</v>
      </c>
      <c r="AA93" s="131">
        <v>0</v>
      </c>
      <c r="AB93" s="131">
        <v>0</v>
      </c>
      <c r="AC93" s="134">
        <v>5.7789999999999999</v>
      </c>
      <c r="AD93" s="134">
        <v>6.984</v>
      </c>
      <c r="AE93" s="135">
        <v>6.5012000000000004E-3</v>
      </c>
      <c r="AF93" s="135">
        <v>6.5012000000000004E-3</v>
      </c>
      <c r="AG93" s="135">
        <v>0</v>
      </c>
      <c r="AH93" s="135">
        <v>6.5012000000000004E-3</v>
      </c>
      <c r="AI93" s="135">
        <v>6.5012000000000004E-3</v>
      </c>
      <c r="AJ93" s="135">
        <v>6.5012000000000004E-3</v>
      </c>
      <c r="AK93" s="135">
        <v>0.92366809999999999</v>
      </c>
      <c r="AL93" s="135">
        <v>0.90923430000000005</v>
      </c>
      <c r="AM93" s="135">
        <v>1.1072303999999999</v>
      </c>
      <c r="AN93" s="135">
        <v>1.1332224</v>
      </c>
      <c r="AO93" s="135">
        <v>0</v>
      </c>
      <c r="AP93" s="135">
        <v>0</v>
      </c>
      <c r="AQ93" s="131">
        <v>4</v>
      </c>
      <c r="AR93" s="131">
        <v>4</v>
      </c>
      <c r="AS93" s="134">
        <v>0</v>
      </c>
      <c r="AT93" s="134">
        <v>0</v>
      </c>
      <c r="AU93" s="134">
        <v>0</v>
      </c>
      <c r="AV93" s="134">
        <v>0</v>
      </c>
      <c r="AW93" s="134">
        <v>0</v>
      </c>
      <c r="AX93" s="134">
        <v>0</v>
      </c>
      <c r="AY93" s="134">
        <v>0</v>
      </c>
      <c r="AZ93" s="134">
        <v>0</v>
      </c>
      <c r="BA93" s="134">
        <v>0</v>
      </c>
      <c r="BB93" s="134">
        <v>0</v>
      </c>
      <c r="BC93" s="134">
        <v>0</v>
      </c>
      <c r="BD93" s="134">
        <v>0</v>
      </c>
      <c r="BE93" s="134">
        <v>45.667999999999999</v>
      </c>
      <c r="BF93" s="134">
        <v>45.667999999999999</v>
      </c>
      <c r="BG93" s="131">
        <v>0</v>
      </c>
      <c r="BH93" s="131"/>
      <c r="BI93" s="131"/>
      <c r="BJ93" s="131"/>
      <c r="BK93" s="131"/>
      <c r="BL93" s="131"/>
      <c r="BM93" s="131"/>
      <c r="BN93" s="131"/>
    </row>
    <row r="94" spans="1:66">
      <c r="A94" s="131">
        <v>10288</v>
      </c>
      <c r="B94" s="131" t="s">
        <v>98</v>
      </c>
      <c r="C94" s="131">
        <v>0</v>
      </c>
      <c r="D94" s="131">
        <v>1</v>
      </c>
      <c r="E94" s="134">
        <v>25.103000000000002</v>
      </c>
      <c r="F94" s="134">
        <v>24.901</v>
      </c>
      <c r="G94" s="134">
        <v>24.977</v>
      </c>
      <c r="H94" s="134">
        <v>0</v>
      </c>
      <c r="I94" s="134">
        <v>0</v>
      </c>
      <c r="J94" s="134">
        <v>6.6000000000000003E-2</v>
      </c>
      <c r="K94" s="134">
        <v>6.6000000000000003E-2</v>
      </c>
      <c r="L94" s="133">
        <v>580</v>
      </c>
      <c r="M94" s="133">
        <v>578</v>
      </c>
      <c r="N94" s="134">
        <v>24.209</v>
      </c>
      <c r="O94" s="134">
        <v>24.271000000000001</v>
      </c>
      <c r="P94" s="133">
        <v>212652</v>
      </c>
      <c r="Q94" s="133">
        <v>212614</v>
      </c>
      <c r="R94" s="131">
        <v>24.603000000000002</v>
      </c>
      <c r="S94" s="133">
        <v>216113</v>
      </c>
      <c r="T94" s="133">
        <v>215522</v>
      </c>
      <c r="U94" s="134">
        <v>0</v>
      </c>
      <c r="V94" s="134">
        <v>0</v>
      </c>
      <c r="W94" s="134">
        <v>0</v>
      </c>
      <c r="X94" s="134">
        <v>0</v>
      </c>
      <c r="Y94" s="134">
        <v>0</v>
      </c>
      <c r="Z94" s="134">
        <v>0</v>
      </c>
      <c r="AA94" s="131">
        <v>0</v>
      </c>
      <c r="AB94" s="131">
        <v>0</v>
      </c>
      <c r="AC94" s="134">
        <v>0</v>
      </c>
      <c r="AD94" s="134">
        <v>0</v>
      </c>
      <c r="AE94" s="135">
        <v>3.4464000000000001E-3</v>
      </c>
      <c r="AF94" s="135">
        <v>3.4551999999999999E-3</v>
      </c>
      <c r="AG94" s="135">
        <v>0</v>
      </c>
      <c r="AH94" s="135">
        <v>3.4464000000000001E-3</v>
      </c>
      <c r="AI94" s="135">
        <v>3.4551999999999999E-3</v>
      </c>
      <c r="AJ94" s="135">
        <v>3.4508E-3</v>
      </c>
      <c r="AK94" s="135">
        <v>1</v>
      </c>
      <c r="AL94" s="135">
        <v>1</v>
      </c>
      <c r="AM94" s="135">
        <v>1</v>
      </c>
      <c r="AN94" s="135">
        <v>1</v>
      </c>
      <c r="AO94" s="135">
        <v>5.5E-2</v>
      </c>
      <c r="AP94" s="135">
        <v>5.5E-2</v>
      </c>
      <c r="AQ94" s="131">
        <v>6</v>
      </c>
      <c r="AR94" s="131">
        <v>6</v>
      </c>
      <c r="AS94" s="134">
        <v>0</v>
      </c>
      <c r="AT94" s="134">
        <v>0</v>
      </c>
      <c r="AU94" s="134">
        <v>0</v>
      </c>
      <c r="AV94" s="134">
        <v>0</v>
      </c>
      <c r="AW94" s="134">
        <v>0</v>
      </c>
      <c r="AX94" s="134">
        <v>0</v>
      </c>
      <c r="AY94" s="134">
        <v>0</v>
      </c>
      <c r="AZ94" s="134">
        <v>0</v>
      </c>
      <c r="BA94" s="134">
        <v>0</v>
      </c>
      <c r="BB94" s="134">
        <v>0</v>
      </c>
      <c r="BC94" s="134">
        <v>0</v>
      </c>
      <c r="BD94" s="134">
        <v>0</v>
      </c>
      <c r="BE94" s="134">
        <v>24.209</v>
      </c>
      <c r="BF94" s="134">
        <v>24.271000000000001</v>
      </c>
      <c r="BG94" s="131">
        <v>0</v>
      </c>
      <c r="BH94" s="131"/>
      <c r="BI94" s="131"/>
      <c r="BJ94" s="131"/>
      <c r="BK94" s="131"/>
      <c r="BL94" s="131"/>
      <c r="BM94" s="131"/>
      <c r="BN94" s="131"/>
    </row>
    <row r="95" spans="1:66">
      <c r="A95" s="131">
        <v>10291</v>
      </c>
      <c r="B95" s="131" t="s">
        <v>99</v>
      </c>
      <c r="C95" s="131">
        <v>1</v>
      </c>
      <c r="D95" s="131">
        <v>0</v>
      </c>
      <c r="E95" s="134">
        <v>80.363</v>
      </c>
      <c r="F95" s="134">
        <v>79.802000000000007</v>
      </c>
      <c r="G95" s="134">
        <v>79.751999999999995</v>
      </c>
      <c r="H95" s="134">
        <v>0</v>
      </c>
      <c r="I95" s="134">
        <v>0</v>
      </c>
      <c r="J95" s="134">
        <v>0</v>
      </c>
      <c r="K95" s="134">
        <v>0</v>
      </c>
      <c r="L95" s="133">
        <v>0</v>
      </c>
      <c r="M95" s="133">
        <v>0</v>
      </c>
      <c r="N95" s="134">
        <v>79.117000000000004</v>
      </c>
      <c r="O95" s="134">
        <v>78.379000000000005</v>
      </c>
      <c r="P95" s="133">
        <v>694964</v>
      </c>
      <c r="Q95" s="133">
        <v>686600</v>
      </c>
      <c r="R95" s="131">
        <v>78.763000000000005</v>
      </c>
      <c r="S95" s="133">
        <v>691854</v>
      </c>
      <c r="T95" s="133">
        <v>689964</v>
      </c>
      <c r="U95" s="134">
        <v>0.35399999999999998</v>
      </c>
      <c r="V95" s="134">
        <v>0</v>
      </c>
      <c r="W95" s="134">
        <v>0</v>
      </c>
      <c r="X95" s="134">
        <v>0</v>
      </c>
      <c r="Y95" s="134">
        <v>0.35399999999999998</v>
      </c>
      <c r="Z95" s="134">
        <v>0</v>
      </c>
      <c r="AA95" s="131">
        <v>0</v>
      </c>
      <c r="AB95" s="131">
        <v>0</v>
      </c>
      <c r="AC95" s="134">
        <v>0</v>
      </c>
      <c r="AD95" s="134">
        <v>0</v>
      </c>
      <c r="AE95" s="135">
        <v>1.12126E-2</v>
      </c>
      <c r="AF95" s="135">
        <v>1.11579E-2</v>
      </c>
      <c r="AG95" s="135">
        <v>0</v>
      </c>
      <c r="AH95" s="135">
        <v>1.12126E-2</v>
      </c>
      <c r="AI95" s="135">
        <v>1.11579E-2</v>
      </c>
      <c r="AJ95" s="135">
        <v>1.11853E-2</v>
      </c>
      <c r="AK95" s="135">
        <v>0.99552620000000003</v>
      </c>
      <c r="AL95" s="135">
        <v>0.99999749999999998</v>
      </c>
      <c r="AM95" s="135">
        <v>1.0044945000000001</v>
      </c>
      <c r="AN95" s="135">
        <v>1</v>
      </c>
      <c r="AO95" s="135">
        <v>5.0224699999999997E-2</v>
      </c>
      <c r="AP95" s="135">
        <v>0.05</v>
      </c>
      <c r="AQ95" s="131">
        <v>1</v>
      </c>
      <c r="AR95" s="131">
        <v>1</v>
      </c>
      <c r="AS95" s="134">
        <v>0</v>
      </c>
      <c r="AT95" s="134">
        <v>0</v>
      </c>
      <c r="AU95" s="134">
        <v>0</v>
      </c>
      <c r="AV95" s="134">
        <v>0</v>
      </c>
      <c r="AW95" s="134">
        <v>0</v>
      </c>
      <c r="AX95" s="134">
        <v>0</v>
      </c>
      <c r="AY95" s="134">
        <v>0</v>
      </c>
      <c r="AZ95" s="134">
        <v>0</v>
      </c>
      <c r="BA95" s="134">
        <v>0</v>
      </c>
      <c r="BB95" s="134">
        <v>0</v>
      </c>
      <c r="BC95" s="134">
        <v>0</v>
      </c>
      <c r="BD95" s="134">
        <v>0</v>
      </c>
      <c r="BE95" s="134">
        <v>79.117000000000004</v>
      </c>
      <c r="BF95" s="134">
        <v>78.379000000000005</v>
      </c>
      <c r="BG95" s="131">
        <v>1</v>
      </c>
      <c r="BH95" s="131"/>
      <c r="BI95" s="131"/>
      <c r="BJ95" s="131"/>
      <c r="BK95" s="131"/>
      <c r="BL95" s="131"/>
      <c r="BM95" s="131"/>
      <c r="BN95" s="131"/>
    </row>
    <row r="96" spans="1:66">
      <c r="A96" s="131">
        <v>10294</v>
      </c>
      <c r="B96" s="131" t="s">
        <v>100</v>
      </c>
      <c r="C96" s="131">
        <v>1</v>
      </c>
      <c r="D96" s="131">
        <v>0</v>
      </c>
      <c r="E96" s="134">
        <v>36.869</v>
      </c>
      <c r="F96" s="134">
        <v>35.066000000000003</v>
      </c>
      <c r="G96" s="134">
        <v>35.012999999999998</v>
      </c>
      <c r="H96" s="134">
        <v>0</v>
      </c>
      <c r="I96" s="134">
        <v>0</v>
      </c>
      <c r="J96" s="134">
        <v>0</v>
      </c>
      <c r="K96" s="134">
        <v>0</v>
      </c>
      <c r="L96" s="133">
        <v>0</v>
      </c>
      <c r="M96" s="133">
        <v>0</v>
      </c>
      <c r="N96" s="134">
        <v>35.066000000000003</v>
      </c>
      <c r="O96" s="134">
        <v>35.012999999999998</v>
      </c>
      <c r="P96" s="133">
        <v>308020</v>
      </c>
      <c r="Q96" s="133">
        <v>306714</v>
      </c>
      <c r="R96" s="131">
        <v>36.134999999999998</v>
      </c>
      <c r="S96" s="133">
        <v>317410</v>
      </c>
      <c r="T96" s="133">
        <v>316543</v>
      </c>
      <c r="U96" s="134">
        <v>0.19900000000000001</v>
      </c>
      <c r="V96" s="134">
        <v>0.19800000000000001</v>
      </c>
      <c r="W96" s="134">
        <v>0</v>
      </c>
      <c r="X96" s="134">
        <v>0</v>
      </c>
      <c r="Y96" s="134">
        <v>0.19900000000000001</v>
      </c>
      <c r="Z96" s="134">
        <v>0.19800000000000001</v>
      </c>
      <c r="AA96" s="131">
        <v>0</v>
      </c>
      <c r="AB96" s="131">
        <v>0</v>
      </c>
      <c r="AC96" s="134">
        <v>0</v>
      </c>
      <c r="AD96" s="134">
        <v>0</v>
      </c>
      <c r="AE96" s="135">
        <v>4.9918999999999996E-3</v>
      </c>
      <c r="AF96" s="135">
        <v>4.9843999999999999E-3</v>
      </c>
      <c r="AG96" s="135">
        <v>2.8159000000000001E-3</v>
      </c>
      <c r="AH96" s="135">
        <v>2.176E-3</v>
      </c>
      <c r="AI96" s="135">
        <v>2.1684999999999999E-3</v>
      </c>
      <c r="AJ96" s="135">
        <v>2.1722999999999998E-3</v>
      </c>
      <c r="AK96" s="135">
        <v>0.99451730000000005</v>
      </c>
      <c r="AL96" s="135">
        <v>0.99454469999999995</v>
      </c>
      <c r="AM96" s="135">
        <v>1</v>
      </c>
      <c r="AN96" s="135">
        <v>1</v>
      </c>
      <c r="AO96" s="135">
        <v>0</v>
      </c>
      <c r="AP96" s="135">
        <v>0</v>
      </c>
      <c r="AQ96" s="131">
        <v>4</v>
      </c>
      <c r="AR96" s="131">
        <v>4</v>
      </c>
      <c r="AS96" s="134">
        <v>0</v>
      </c>
      <c r="AT96" s="134">
        <v>0</v>
      </c>
      <c r="AU96" s="134">
        <v>0</v>
      </c>
      <c r="AV96" s="134">
        <v>0</v>
      </c>
      <c r="AW96" s="134">
        <v>0</v>
      </c>
      <c r="AX96" s="134">
        <v>0</v>
      </c>
      <c r="AY96" s="134">
        <v>0</v>
      </c>
      <c r="AZ96" s="134">
        <v>0</v>
      </c>
      <c r="BA96" s="134">
        <v>0</v>
      </c>
      <c r="BB96" s="134">
        <v>0</v>
      </c>
      <c r="BC96" s="134">
        <v>0</v>
      </c>
      <c r="BD96" s="134">
        <v>0</v>
      </c>
      <c r="BE96" s="134">
        <v>35.265000000000001</v>
      </c>
      <c r="BF96" s="134">
        <v>35.210999999999999</v>
      </c>
      <c r="BG96" s="131">
        <v>0</v>
      </c>
      <c r="BH96" s="131"/>
      <c r="BI96" s="131"/>
      <c r="BJ96" s="131"/>
      <c r="BK96" s="131"/>
      <c r="BL96" s="131"/>
      <c r="BM96" s="131"/>
      <c r="BN96" s="131"/>
    </row>
    <row r="97" spans="1:66">
      <c r="A97" s="131">
        <v>10304</v>
      </c>
      <c r="B97" s="131" t="s">
        <v>101</v>
      </c>
      <c r="C97" s="131">
        <v>1</v>
      </c>
      <c r="D97" s="131">
        <v>0</v>
      </c>
      <c r="E97" s="134">
        <v>14.278</v>
      </c>
      <c r="F97" s="134">
        <v>13.672000000000001</v>
      </c>
      <c r="G97" s="134">
        <v>13.708</v>
      </c>
      <c r="H97" s="134">
        <v>0</v>
      </c>
      <c r="I97" s="134">
        <v>0</v>
      </c>
      <c r="J97" s="134">
        <v>0</v>
      </c>
      <c r="K97" s="134">
        <v>0</v>
      </c>
      <c r="L97" s="133">
        <v>0</v>
      </c>
      <c r="M97" s="133">
        <v>0</v>
      </c>
      <c r="N97" s="134">
        <v>13.672000000000001</v>
      </c>
      <c r="O97" s="134">
        <v>13.708</v>
      </c>
      <c r="P97" s="133">
        <v>120095</v>
      </c>
      <c r="Q97" s="133">
        <v>120082</v>
      </c>
      <c r="R97" s="131">
        <v>13.994</v>
      </c>
      <c r="S97" s="133">
        <v>122923</v>
      </c>
      <c r="T97" s="133">
        <v>122587</v>
      </c>
      <c r="U97" s="134">
        <v>0</v>
      </c>
      <c r="V97" s="134">
        <v>0</v>
      </c>
      <c r="W97" s="134">
        <v>0</v>
      </c>
      <c r="X97" s="134">
        <v>0</v>
      </c>
      <c r="Y97" s="134">
        <v>0</v>
      </c>
      <c r="Z97" s="134">
        <v>0</v>
      </c>
      <c r="AA97" s="131">
        <v>0</v>
      </c>
      <c r="AB97" s="131">
        <v>0</v>
      </c>
      <c r="AC97" s="134">
        <v>0</v>
      </c>
      <c r="AD97" s="134">
        <v>0</v>
      </c>
      <c r="AE97" s="135">
        <v>1.9463E-3</v>
      </c>
      <c r="AF97" s="135">
        <v>1.9514999999999999E-3</v>
      </c>
      <c r="AG97" s="135">
        <v>0</v>
      </c>
      <c r="AH97" s="135">
        <v>1.9463E-3</v>
      </c>
      <c r="AI97" s="135">
        <v>1.9514999999999999E-3</v>
      </c>
      <c r="AJ97" s="135">
        <v>1.9488999999999999E-3</v>
      </c>
      <c r="AK97" s="135">
        <v>0.99998589999999998</v>
      </c>
      <c r="AL97" s="135">
        <v>1</v>
      </c>
      <c r="AM97" s="135">
        <v>1</v>
      </c>
      <c r="AN97" s="135">
        <v>1</v>
      </c>
      <c r="AO97" s="135">
        <v>0</v>
      </c>
      <c r="AP97" s="135">
        <v>0</v>
      </c>
      <c r="AQ97" s="131">
        <v>1</v>
      </c>
      <c r="AR97" s="131">
        <v>1</v>
      </c>
      <c r="AS97" s="134">
        <v>0</v>
      </c>
      <c r="AT97" s="134">
        <v>0</v>
      </c>
      <c r="AU97" s="134">
        <v>0</v>
      </c>
      <c r="AV97" s="134">
        <v>0</v>
      </c>
      <c r="AW97" s="134">
        <v>0</v>
      </c>
      <c r="AX97" s="134">
        <v>0</v>
      </c>
      <c r="AY97" s="134">
        <v>0</v>
      </c>
      <c r="AZ97" s="134">
        <v>0</v>
      </c>
      <c r="BA97" s="134">
        <v>0</v>
      </c>
      <c r="BB97" s="134">
        <v>0</v>
      </c>
      <c r="BC97" s="134">
        <v>0</v>
      </c>
      <c r="BD97" s="134">
        <v>0</v>
      </c>
      <c r="BE97" s="134">
        <v>13.672000000000001</v>
      </c>
      <c r="BF97" s="134">
        <v>13.708</v>
      </c>
      <c r="BG97" s="131">
        <v>0</v>
      </c>
      <c r="BH97" s="131"/>
      <c r="BI97" s="131"/>
      <c r="BJ97" s="131"/>
      <c r="BK97" s="131"/>
      <c r="BL97" s="131"/>
      <c r="BM97" s="131"/>
      <c r="BN97" s="131"/>
    </row>
    <row r="98" spans="1:66">
      <c r="A98" s="131">
        <v>10306</v>
      </c>
      <c r="B98" s="131" t="s">
        <v>102</v>
      </c>
      <c r="C98" s="131">
        <v>1</v>
      </c>
      <c r="D98" s="131">
        <v>0</v>
      </c>
      <c r="E98" s="134">
        <v>26.152999999999999</v>
      </c>
      <c r="F98" s="134">
        <v>109.524</v>
      </c>
      <c r="G98" s="134">
        <v>108.65900000000001</v>
      </c>
      <c r="H98" s="134">
        <v>57.866999999999997</v>
      </c>
      <c r="I98" s="134">
        <v>57.866</v>
      </c>
      <c r="J98" s="134">
        <v>29.539000000000001</v>
      </c>
      <c r="K98" s="134">
        <v>29.594999999999999</v>
      </c>
      <c r="L98" s="133">
        <v>259471</v>
      </c>
      <c r="M98" s="133">
        <v>259252</v>
      </c>
      <c r="N98" s="134">
        <v>22.117999999999999</v>
      </c>
      <c r="O98" s="134">
        <v>21.198</v>
      </c>
      <c r="P98" s="133">
        <v>194285</v>
      </c>
      <c r="Q98" s="133">
        <v>185694</v>
      </c>
      <c r="R98" s="131">
        <v>25.632000000000001</v>
      </c>
      <c r="S98" s="133">
        <v>225151</v>
      </c>
      <c r="T98" s="133">
        <v>224536</v>
      </c>
      <c r="U98" s="134">
        <v>0</v>
      </c>
      <c r="V98" s="134">
        <v>0</v>
      </c>
      <c r="W98" s="134">
        <v>0</v>
      </c>
      <c r="X98" s="134">
        <v>0</v>
      </c>
      <c r="Y98" s="134">
        <v>0</v>
      </c>
      <c r="Z98" s="134">
        <v>0</v>
      </c>
      <c r="AA98" s="131">
        <v>0</v>
      </c>
      <c r="AB98" s="131">
        <v>0</v>
      </c>
      <c r="AC98" s="134">
        <v>0</v>
      </c>
      <c r="AD98" s="134">
        <v>0</v>
      </c>
      <c r="AE98" s="135">
        <v>3.1486999999999999E-3</v>
      </c>
      <c r="AF98" s="135">
        <v>3.0176999999999999E-3</v>
      </c>
      <c r="AG98" s="135">
        <v>0</v>
      </c>
      <c r="AH98" s="135">
        <v>3.1486999999999999E-3</v>
      </c>
      <c r="AI98" s="135">
        <v>3.0176999999999999E-3</v>
      </c>
      <c r="AJ98" s="135">
        <v>3.0831999999999999E-3</v>
      </c>
      <c r="AK98" s="135">
        <v>1</v>
      </c>
      <c r="AL98" s="135">
        <v>1</v>
      </c>
      <c r="AM98" s="135">
        <v>1</v>
      </c>
      <c r="AN98" s="135">
        <v>1</v>
      </c>
      <c r="AO98" s="135">
        <v>0</v>
      </c>
      <c r="AP98" s="135">
        <v>0</v>
      </c>
      <c r="AQ98" s="131">
        <v>4</v>
      </c>
      <c r="AR98" s="131">
        <v>4</v>
      </c>
      <c r="AS98" s="134">
        <v>0</v>
      </c>
      <c r="AT98" s="134">
        <v>0</v>
      </c>
      <c r="AU98" s="134">
        <v>0</v>
      </c>
      <c r="AV98" s="134">
        <v>0</v>
      </c>
      <c r="AW98" s="134">
        <v>0</v>
      </c>
      <c r="AX98" s="134">
        <v>0</v>
      </c>
      <c r="AY98" s="134">
        <v>0</v>
      </c>
      <c r="AZ98" s="134">
        <v>0</v>
      </c>
      <c r="BA98" s="134">
        <v>0</v>
      </c>
      <c r="BB98" s="134">
        <v>0</v>
      </c>
      <c r="BC98" s="134">
        <v>0</v>
      </c>
      <c r="BD98" s="134">
        <v>0</v>
      </c>
      <c r="BE98" s="134">
        <v>25.632000000000001</v>
      </c>
      <c r="BF98" s="134">
        <v>25.632000000000001</v>
      </c>
      <c r="BG98" s="131">
        <v>0</v>
      </c>
      <c r="BH98" s="131"/>
      <c r="BI98" s="131"/>
      <c r="BJ98" s="131"/>
      <c r="BK98" s="131"/>
      <c r="BL98" s="131"/>
      <c r="BM98" s="131"/>
      <c r="BN98" s="131"/>
    </row>
    <row r="99" spans="1:66">
      <c r="A99" s="131">
        <v>10307</v>
      </c>
      <c r="B99" s="131" t="s">
        <v>103</v>
      </c>
      <c r="C99" s="131">
        <v>1</v>
      </c>
      <c r="D99" s="131">
        <v>0</v>
      </c>
      <c r="E99" s="134">
        <v>73.058999999999997</v>
      </c>
      <c r="F99" s="134">
        <v>67.522000000000006</v>
      </c>
      <c r="G99" s="134">
        <v>67.570999999999998</v>
      </c>
      <c r="H99" s="134">
        <v>0</v>
      </c>
      <c r="I99" s="134">
        <v>0</v>
      </c>
      <c r="J99" s="134">
        <v>0</v>
      </c>
      <c r="K99" s="134">
        <v>0</v>
      </c>
      <c r="L99" s="133">
        <v>0</v>
      </c>
      <c r="M99" s="133">
        <v>0</v>
      </c>
      <c r="N99" s="134">
        <v>67.447000000000003</v>
      </c>
      <c r="O99" s="134">
        <v>67.498999999999995</v>
      </c>
      <c r="P99" s="133">
        <v>592454</v>
      </c>
      <c r="Q99" s="133">
        <v>591291</v>
      </c>
      <c r="R99" s="131">
        <v>71.603999999999999</v>
      </c>
      <c r="S99" s="133">
        <v>628970</v>
      </c>
      <c r="T99" s="133">
        <v>627251</v>
      </c>
      <c r="U99" s="134">
        <v>0</v>
      </c>
      <c r="V99" s="134">
        <v>0</v>
      </c>
      <c r="W99" s="134">
        <v>0</v>
      </c>
      <c r="X99" s="134">
        <v>0</v>
      </c>
      <c r="Y99" s="134">
        <v>0</v>
      </c>
      <c r="Z99" s="134">
        <v>0</v>
      </c>
      <c r="AA99" s="131">
        <v>0</v>
      </c>
      <c r="AB99" s="131">
        <v>0</v>
      </c>
      <c r="AC99" s="134">
        <v>0</v>
      </c>
      <c r="AD99" s="134">
        <v>0</v>
      </c>
      <c r="AE99" s="135">
        <v>9.6016999999999995E-3</v>
      </c>
      <c r="AF99" s="135">
        <v>9.6091000000000006E-3</v>
      </c>
      <c r="AG99" s="135">
        <v>0</v>
      </c>
      <c r="AH99" s="135">
        <v>9.6016999999999995E-3</v>
      </c>
      <c r="AI99" s="135">
        <v>9.6091000000000006E-3</v>
      </c>
      <c r="AJ99" s="135">
        <v>9.6054E-3</v>
      </c>
      <c r="AK99" s="135">
        <v>1</v>
      </c>
      <c r="AL99" s="135">
        <v>1</v>
      </c>
      <c r="AM99" s="135">
        <v>1</v>
      </c>
      <c r="AN99" s="135">
        <v>1</v>
      </c>
      <c r="AO99" s="135">
        <v>0</v>
      </c>
      <c r="AP99" s="135">
        <v>0</v>
      </c>
      <c r="AQ99" s="131">
        <v>3</v>
      </c>
      <c r="AR99" s="131">
        <v>3</v>
      </c>
      <c r="AS99" s="134">
        <v>5</v>
      </c>
      <c r="AT99" s="134">
        <v>5</v>
      </c>
      <c r="AU99" s="134">
        <v>0</v>
      </c>
      <c r="AV99" s="134">
        <v>0</v>
      </c>
      <c r="AW99" s="134">
        <v>4.9859999999999998</v>
      </c>
      <c r="AX99" s="134">
        <v>5</v>
      </c>
      <c r="AY99" s="134">
        <v>-4.9859999999999998</v>
      </c>
      <c r="AZ99" s="134">
        <v>-5</v>
      </c>
      <c r="BA99" s="134">
        <v>0</v>
      </c>
      <c r="BB99" s="134">
        <v>0</v>
      </c>
      <c r="BC99" s="134">
        <v>-4.9859999999999998</v>
      </c>
      <c r="BD99" s="134">
        <v>-5</v>
      </c>
      <c r="BE99" s="134">
        <v>67.447000000000003</v>
      </c>
      <c r="BF99" s="134">
        <v>67.498999999999995</v>
      </c>
      <c r="BG99" s="131">
        <v>0</v>
      </c>
      <c r="BH99" s="131"/>
      <c r="BI99" s="131"/>
      <c r="BJ99" s="131"/>
      <c r="BK99" s="131"/>
      <c r="BL99" s="131"/>
      <c r="BM99" s="131"/>
      <c r="BN99" s="131"/>
    </row>
    <row r="100" spans="1:66">
      <c r="A100" s="131">
        <v>10326</v>
      </c>
      <c r="B100" s="131" t="s">
        <v>104</v>
      </c>
      <c r="C100" s="131">
        <v>1</v>
      </c>
      <c r="D100" s="131">
        <v>0</v>
      </c>
      <c r="E100" s="134">
        <v>30.914000000000001</v>
      </c>
      <c r="F100" s="134">
        <v>31.352</v>
      </c>
      <c r="G100" s="134">
        <v>31.343</v>
      </c>
      <c r="H100" s="134">
        <v>0</v>
      </c>
      <c r="I100" s="134">
        <v>0</v>
      </c>
      <c r="J100" s="134">
        <v>0</v>
      </c>
      <c r="K100" s="134">
        <v>0</v>
      </c>
      <c r="L100" s="133">
        <v>0</v>
      </c>
      <c r="M100" s="133">
        <v>0</v>
      </c>
      <c r="N100" s="134">
        <v>29.521000000000001</v>
      </c>
      <c r="O100" s="134">
        <v>29.536999999999999</v>
      </c>
      <c r="P100" s="133">
        <v>259312</v>
      </c>
      <c r="Q100" s="133">
        <v>258744</v>
      </c>
      <c r="R100" s="131">
        <v>30.297999999999998</v>
      </c>
      <c r="S100" s="133">
        <v>266138</v>
      </c>
      <c r="T100" s="133">
        <v>265410</v>
      </c>
      <c r="U100" s="134">
        <v>0</v>
      </c>
      <c r="V100" s="134">
        <v>0</v>
      </c>
      <c r="W100" s="134">
        <v>0</v>
      </c>
      <c r="X100" s="134">
        <v>0</v>
      </c>
      <c r="Y100" s="134">
        <v>0</v>
      </c>
      <c r="Z100" s="134">
        <v>0</v>
      </c>
      <c r="AA100" s="131">
        <v>0</v>
      </c>
      <c r="AB100" s="131">
        <v>0</v>
      </c>
      <c r="AC100" s="134">
        <v>0</v>
      </c>
      <c r="AD100" s="134">
        <v>0</v>
      </c>
      <c r="AE100" s="135">
        <v>4.2025999999999999E-3</v>
      </c>
      <c r="AF100" s="135">
        <v>4.2047999999999999E-3</v>
      </c>
      <c r="AG100" s="135">
        <v>0</v>
      </c>
      <c r="AH100" s="135">
        <v>4.2025999999999999E-3</v>
      </c>
      <c r="AI100" s="135">
        <v>4.2047999999999999E-3</v>
      </c>
      <c r="AJ100" s="135">
        <v>4.2037000000000003E-3</v>
      </c>
      <c r="AK100" s="135">
        <v>1</v>
      </c>
      <c r="AL100" s="135">
        <v>0.99998880000000001</v>
      </c>
      <c r="AM100" s="135">
        <v>1</v>
      </c>
      <c r="AN100" s="135">
        <v>1</v>
      </c>
      <c r="AO100" s="135">
        <v>0</v>
      </c>
      <c r="AP100" s="135">
        <v>0</v>
      </c>
      <c r="AQ100" s="131">
        <v>1</v>
      </c>
      <c r="AR100" s="131">
        <v>1</v>
      </c>
      <c r="AS100" s="134">
        <v>0</v>
      </c>
      <c r="AT100" s="134">
        <v>0</v>
      </c>
      <c r="AU100" s="134">
        <v>0</v>
      </c>
      <c r="AV100" s="134">
        <v>0</v>
      </c>
      <c r="AW100" s="134">
        <v>0</v>
      </c>
      <c r="AX100" s="134">
        <v>0</v>
      </c>
      <c r="AY100" s="134">
        <v>0</v>
      </c>
      <c r="AZ100" s="134">
        <v>0</v>
      </c>
      <c r="BA100" s="134">
        <v>0</v>
      </c>
      <c r="BB100" s="134">
        <v>0</v>
      </c>
      <c r="BC100" s="134">
        <v>0</v>
      </c>
      <c r="BD100" s="134">
        <v>0</v>
      </c>
      <c r="BE100" s="134">
        <v>29.521000000000001</v>
      </c>
      <c r="BF100" s="134">
        <v>29.536999999999999</v>
      </c>
      <c r="BG100" s="131">
        <v>0</v>
      </c>
      <c r="BH100" s="131"/>
      <c r="BI100" s="131"/>
      <c r="BJ100" s="131"/>
      <c r="BK100" s="131"/>
      <c r="BL100" s="131"/>
      <c r="BM100" s="131"/>
      <c r="BN100" s="131"/>
    </row>
    <row r="101" spans="1:66">
      <c r="A101" s="131">
        <v>10331</v>
      </c>
      <c r="B101" s="131" t="s">
        <v>105</v>
      </c>
      <c r="C101" s="131">
        <v>0</v>
      </c>
      <c r="D101" s="131">
        <v>1</v>
      </c>
      <c r="E101" s="134">
        <v>37.148000000000003</v>
      </c>
      <c r="F101" s="134">
        <v>35.994999999999997</v>
      </c>
      <c r="G101" s="134">
        <v>36.042999999999999</v>
      </c>
      <c r="H101" s="134">
        <v>0</v>
      </c>
      <c r="I101" s="134">
        <v>0</v>
      </c>
      <c r="J101" s="134">
        <v>0</v>
      </c>
      <c r="K101" s="134">
        <v>0</v>
      </c>
      <c r="L101" s="133">
        <v>0</v>
      </c>
      <c r="M101" s="133">
        <v>0</v>
      </c>
      <c r="N101" s="134">
        <v>35.935000000000002</v>
      </c>
      <c r="O101" s="134">
        <v>35.984000000000002</v>
      </c>
      <c r="P101" s="133">
        <v>315653</v>
      </c>
      <c r="Q101" s="133">
        <v>315220</v>
      </c>
      <c r="R101" s="131">
        <v>36.408000000000001</v>
      </c>
      <c r="S101" s="133">
        <v>319808</v>
      </c>
      <c r="T101" s="133">
        <v>318934</v>
      </c>
      <c r="U101" s="134">
        <v>0</v>
      </c>
      <c r="V101" s="134">
        <v>0</v>
      </c>
      <c r="W101" s="134">
        <v>0</v>
      </c>
      <c r="X101" s="134">
        <v>0</v>
      </c>
      <c r="Y101" s="134">
        <v>0</v>
      </c>
      <c r="Z101" s="134">
        <v>0</v>
      </c>
      <c r="AA101" s="131">
        <v>0</v>
      </c>
      <c r="AB101" s="131">
        <v>0</v>
      </c>
      <c r="AC101" s="134">
        <v>0</v>
      </c>
      <c r="AD101" s="134">
        <v>0</v>
      </c>
      <c r="AE101" s="135">
        <v>5.1156999999999999E-3</v>
      </c>
      <c r="AF101" s="135">
        <v>5.1225999999999997E-3</v>
      </c>
      <c r="AG101" s="135">
        <v>0</v>
      </c>
      <c r="AH101" s="135">
        <v>5.1156999999999999E-3</v>
      </c>
      <c r="AI101" s="135">
        <v>5.1225999999999997E-3</v>
      </c>
      <c r="AJ101" s="135">
        <v>5.1192E-3</v>
      </c>
      <c r="AK101" s="135">
        <v>1</v>
      </c>
      <c r="AL101" s="135">
        <v>0.99999349999999998</v>
      </c>
      <c r="AM101" s="135">
        <v>1</v>
      </c>
      <c r="AN101" s="135">
        <v>1</v>
      </c>
      <c r="AO101" s="135">
        <v>7.0000000000000007E-2</v>
      </c>
      <c r="AP101" s="135">
        <v>7.0000000000000007E-2</v>
      </c>
      <c r="AQ101" s="131">
        <v>6</v>
      </c>
      <c r="AR101" s="131">
        <v>6</v>
      </c>
      <c r="AS101" s="134">
        <v>0</v>
      </c>
      <c r="AT101" s="134">
        <v>0</v>
      </c>
      <c r="AU101" s="134">
        <v>0</v>
      </c>
      <c r="AV101" s="134">
        <v>0</v>
      </c>
      <c r="AW101" s="134">
        <v>0</v>
      </c>
      <c r="AX101" s="134">
        <v>0</v>
      </c>
      <c r="AY101" s="134">
        <v>0</v>
      </c>
      <c r="AZ101" s="134">
        <v>0</v>
      </c>
      <c r="BA101" s="134">
        <v>0</v>
      </c>
      <c r="BB101" s="134">
        <v>0</v>
      </c>
      <c r="BC101" s="134">
        <v>0</v>
      </c>
      <c r="BD101" s="134">
        <v>0</v>
      </c>
      <c r="BE101" s="134">
        <v>35.935000000000002</v>
      </c>
      <c r="BF101" s="134">
        <v>35.984000000000002</v>
      </c>
      <c r="BG101" s="131">
        <v>0</v>
      </c>
      <c r="BH101" s="131"/>
      <c r="BI101" s="131"/>
      <c r="BJ101" s="131"/>
      <c r="BK101" s="131"/>
      <c r="BL101" s="131"/>
      <c r="BM101" s="131"/>
      <c r="BN101" s="131"/>
    </row>
    <row r="102" spans="1:66">
      <c r="A102" s="131">
        <v>10333</v>
      </c>
      <c r="B102" s="131" t="s">
        <v>106</v>
      </c>
      <c r="C102" s="131">
        <v>1</v>
      </c>
      <c r="D102" s="131">
        <v>0</v>
      </c>
      <c r="E102" s="134">
        <v>18.791</v>
      </c>
      <c r="F102" s="134">
        <v>18.547999999999998</v>
      </c>
      <c r="G102" s="134">
        <v>18.7</v>
      </c>
      <c r="H102" s="134">
        <v>0</v>
      </c>
      <c r="I102" s="134">
        <v>0</v>
      </c>
      <c r="J102" s="134">
        <v>0</v>
      </c>
      <c r="K102" s="134">
        <v>0</v>
      </c>
      <c r="L102" s="133">
        <v>0</v>
      </c>
      <c r="M102" s="133">
        <v>0</v>
      </c>
      <c r="N102" s="134">
        <v>18.283000000000001</v>
      </c>
      <c r="O102" s="134">
        <v>18.417999999999999</v>
      </c>
      <c r="P102" s="133">
        <v>160598</v>
      </c>
      <c r="Q102" s="133">
        <v>161342</v>
      </c>
      <c r="R102" s="131">
        <v>18.417000000000002</v>
      </c>
      <c r="S102" s="133">
        <v>161775</v>
      </c>
      <c r="T102" s="133">
        <v>161333</v>
      </c>
      <c r="U102" s="134">
        <v>0</v>
      </c>
      <c r="V102" s="134">
        <v>1E-3</v>
      </c>
      <c r="W102" s="134">
        <v>0</v>
      </c>
      <c r="X102" s="134">
        <v>0</v>
      </c>
      <c r="Y102" s="134">
        <v>0</v>
      </c>
      <c r="Z102" s="134">
        <v>1E-3</v>
      </c>
      <c r="AA102" s="131">
        <v>0</v>
      </c>
      <c r="AB102" s="131">
        <v>0</v>
      </c>
      <c r="AC102" s="134">
        <v>0</v>
      </c>
      <c r="AD102" s="134">
        <v>0</v>
      </c>
      <c r="AE102" s="135">
        <v>2.6026999999999999E-3</v>
      </c>
      <c r="AF102" s="135">
        <v>2.6218000000000001E-3</v>
      </c>
      <c r="AG102" s="135">
        <v>0</v>
      </c>
      <c r="AH102" s="135">
        <v>2.6026999999999999E-3</v>
      </c>
      <c r="AI102" s="135">
        <v>2.6218000000000001E-3</v>
      </c>
      <c r="AJ102" s="135">
        <v>2.6123000000000001E-3</v>
      </c>
      <c r="AK102" s="135">
        <v>0.99998339999999997</v>
      </c>
      <c r="AL102" s="135">
        <v>0.99993840000000001</v>
      </c>
      <c r="AM102" s="135">
        <v>1</v>
      </c>
      <c r="AN102" s="135">
        <v>1.0000543</v>
      </c>
      <c r="AO102" s="135">
        <v>6.5000000000000002E-2</v>
      </c>
      <c r="AP102" s="135">
        <v>6.5003500000000006E-2</v>
      </c>
      <c r="AQ102" s="131">
        <v>1</v>
      </c>
      <c r="AR102" s="131">
        <v>1</v>
      </c>
      <c r="AS102" s="134">
        <v>0</v>
      </c>
      <c r="AT102" s="134">
        <v>0</v>
      </c>
      <c r="AU102" s="134">
        <v>0</v>
      </c>
      <c r="AV102" s="134">
        <v>0</v>
      </c>
      <c r="AW102" s="134">
        <v>0</v>
      </c>
      <c r="AX102" s="134">
        <v>0</v>
      </c>
      <c r="AY102" s="134">
        <v>0</v>
      </c>
      <c r="AZ102" s="134">
        <v>0</v>
      </c>
      <c r="BA102" s="134">
        <v>0</v>
      </c>
      <c r="BB102" s="134">
        <v>0</v>
      </c>
      <c r="BC102" s="134">
        <v>0</v>
      </c>
      <c r="BD102" s="134">
        <v>0</v>
      </c>
      <c r="BE102" s="134">
        <v>18.283000000000001</v>
      </c>
      <c r="BF102" s="134">
        <v>18.417999999999999</v>
      </c>
      <c r="BG102" s="131">
        <v>1</v>
      </c>
      <c r="BH102" s="131"/>
      <c r="BI102" s="131"/>
      <c r="BJ102" s="131"/>
      <c r="BK102" s="131"/>
      <c r="BL102" s="131"/>
      <c r="BM102" s="131"/>
      <c r="BN102" s="131"/>
    </row>
    <row r="103" spans="1:66">
      <c r="A103" s="131">
        <v>10338</v>
      </c>
      <c r="B103" s="131" t="s">
        <v>107</v>
      </c>
      <c r="C103" s="131">
        <v>1</v>
      </c>
      <c r="D103" s="131">
        <v>0</v>
      </c>
      <c r="E103" s="134">
        <v>2.4079999999999999</v>
      </c>
      <c r="F103" s="134">
        <v>2.4900000000000002</v>
      </c>
      <c r="G103" s="134">
        <v>2.4969999999999999</v>
      </c>
      <c r="H103" s="134">
        <v>0</v>
      </c>
      <c r="I103" s="134">
        <v>0</v>
      </c>
      <c r="J103" s="134">
        <v>0</v>
      </c>
      <c r="K103" s="134">
        <v>0</v>
      </c>
      <c r="L103" s="133">
        <v>0</v>
      </c>
      <c r="M103" s="133">
        <v>0</v>
      </c>
      <c r="N103" s="134">
        <v>2.4329999999999998</v>
      </c>
      <c r="O103" s="134">
        <v>2.4409999999999998</v>
      </c>
      <c r="P103" s="133">
        <v>21371</v>
      </c>
      <c r="Q103" s="133">
        <v>21383</v>
      </c>
      <c r="R103" s="131">
        <v>2.36</v>
      </c>
      <c r="S103" s="133">
        <v>20730</v>
      </c>
      <c r="T103" s="133">
        <v>20674</v>
      </c>
      <c r="U103" s="134">
        <v>7.2999999999999995E-2</v>
      </c>
      <c r="V103" s="134">
        <v>8.1000000000000003E-2</v>
      </c>
      <c r="W103" s="134">
        <v>0</v>
      </c>
      <c r="X103" s="134">
        <v>0</v>
      </c>
      <c r="Y103" s="134">
        <v>7.2999999999999995E-2</v>
      </c>
      <c r="Z103" s="134">
        <v>8.1000000000000003E-2</v>
      </c>
      <c r="AA103" s="131">
        <v>0</v>
      </c>
      <c r="AB103" s="131">
        <v>0</v>
      </c>
      <c r="AC103" s="134">
        <v>0</v>
      </c>
      <c r="AD103" s="134">
        <v>0</v>
      </c>
      <c r="AE103" s="135">
        <v>3.3599999999999998E-4</v>
      </c>
      <c r="AF103" s="135">
        <v>3.3599999999999998E-4</v>
      </c>
      <c r="AG103" s="135">
        <v>0</v>
      </c>
      <c r="AH103" s="135">
        <v>3.3599999999999998E-4</v>
      </c>
      <c r="AI103" s="135">
        <v>3.3599999999999998E-4</v>
      </c>
      <c r="AJ103" s="135">
        <v>3.3599999999999998E-4</v>
      </c>
      <c r="AK103" s="135">
        <v>0.97009290000000004</v>
      </c>
      <c r="AL103" s="135">
        <v>0.96691360000000004</v>
      </c>
      <c r="AM103" s="135">
        <v>1.0309322000000001</v>
      </c>
      <c r="AN103" s="135">
        <v>1.034322</v>
      </c>
      <c r="AO103" s="135">
        <v>3.6082599999999999E-2</v>
      </c>
      <c r="AP103" s="135">
        <v>3.6201299999999999E-2</v>
      </c>
      <c r="AQ103" s="131">
        <v>1</v>
      </c>
      <c r="AR103" s="131">
        <v>1</v>
      </c>
      <c r="AS103" s="134">
        <v>0</v>
      </c>
      <c r="AT103" s="134">
        <v>0</v>
      </c>
      <c r="AU103" s="134">
        <v>0</v>
      </c>
      <c r="AV103" s="134">
        <v>0</v>
      </c>
      <c r="AW103" s="134">
        <v>0</v>
      </c>
      <c r="AX103" s="134">
        <v>0</v>
      </c>
      <c r="AY103" s="134">
        <v>0</v>
      </c>
      <c r="AZ103" s="134">
        <v>0</v>
      </c>
      <c r="BA103" s="134">
        <v>0</v>
      </c>
      <c r="BB103" s="134">
        <v>0</v>
      </c>
      <c r="BC103" s="134">
        <v>0</v>
      </c>
      <c r="BD103" s="134">
        <v>0</v>
      </c>
      <c r="BE103" s="134">
        <v>2.4329999999999998</v>
      </c>
      <c r="BF103" s="134">
        <v>2.4409999999999998</v>
      </c>
      <c r="BG103" s="131">
        <v>0</v>
      </c>
      <c r="BH103" s="131"/>
      <c r="BI103" s="131"/>
      <c r="BJ103" s="131"/>
      <c r="BK103" s="131"/>
      <c r="BL103" s="131"/>
      <c r="BM103" s="131"/>
      <c r="BN103" s="131"/>
    </row>
    <row r="104" spans="1:66">
      <c r="A104" s="131">
        <v>10342</v>
      </c>
      <c r="B104" s="131" t="s">
        <v>108</v>
      </c>
      <c r="C104" s="131">
        <v>1</v>
      </c>
      <c r="D104" s="131">
        <v>0</v>
      </c>
      <c r="E104" s="134">
        <v>39.268000000000001</v>
      </c>
      <c r="F104" s="134">
        <v>37.856000000000002</v>
      </c>
      <c r="G104" s="134">
        <v>37.954000000000001</v>
      </c>
      <c r="H104" s="134">
        <v>0</v>
      </c>
      <c r="I104" s="134">
        <v>0</v>
      </c>
      <c r="J104" s="134">
        <v>0</v>
      </c>
      <c r="K104" s="134">
        <v>0</v>
      </c>
      <c r="L104" s="133">
        <v>0</v>
      </c>
      <c r="M104" s="133">
        <v>0</v>
      </c>
      <c r="N104" s="134">
        <v>37.942999999999998</v>
      </c>
      <c r="O104" s="134">
        <v>38.042999999999999</v>
      </c>
      <c r="P104" s="133">
        <v>333291</v>
      </c>
      <c r="Q104" s="133">
        <v>333257</v>
      </c>
      <c r="R104" s="131">
        <v>38.485999999999997</v>
      </c>
      <c r="S104" s="133">
        <v>338061</v>
      </c>
      <c r="T104" s="133">
        <v>337137</v>
      </c>
      <c r="U104" s="134">
        <v>0</v>
      </c>
      <c r="V104" s="134">
        <v>0</v>
      </c>
      <c r="W104" s="134">
        <v>0</v>
      </c>
      <c r="X104" s="134">
        <v>0</v>
      </c>
      <c r="Y104" s="134">
        <v>0</v>
      </c>
      <c r="Z104" s="134">
        <v>0</v>
      </c>
      <c r="AA104" s="131">
        <v>0</v>
      </c>
      <c r="AB104" s="131">
        <v>0</v>
      </c>
      <c r="AC104" s="134">
        <v>0</v>
      </c>
      <c r="AD104" s="134">
        <v>0</v>
      </c>
      <c r="AE104" s="135">
        <v>5.4015000000000001E-3</v>
      </c>
      <c r="AF104" s="135">
        <v>5.4156999999999999E-3</v>
      </c>
      <c r="AG104" s="135">
        <v>0</v>
      </c>
      <c r="AH104" s="135">
        <v>5.4015000000000001E-3</v>
      </c>
      <c r="AI104" s="135">
        <v>5.4156999999999999E-3</v>
      </c>
      <c r="AJ104" s="135">
        <v>5.4086000000000004E-3</v>
      </c>
      <c r="AK104" s="135">
        <v>0.99999740000000004</v>
      </c>
      <c r="AL104" s="135">
        <v>0.99999079999999996</v>
      </c>
      <c r="AM104" s="135">
        <v>1</v>
      </c>
      <c r="AN104" s="135">
        <v>1</v>
      </c>
      <c r="AO104" s="135">
        <v>0</v>
      </c>
      <c r="AP104" s="135">
        <v>0</v>
      </c>
      <c r="AQ104" s="131">
        <v>1</v>
      </c>
      <c r="AR104" s="131">
        <v>1</v>
      </c>
      <c r="AS104" s="134">
        <v>0</v>
      </c>
      <c r="AT104" s="134">
        <v>0</v>
      </c>
      <c r="AU104" s="134">
        <v>0</v>
      </c>
      <c r="AV104" s="134">
        <v>0</v>
      </c>
      <c r="AW104" s="134">
        <v>0</v>
      </c>
      <c r="AX104" s="134">
        <v>0</v>
      </c>
      <c r="AY104" s="134">
        <v>0</v>
      </c>
      <c r="AZ104" s="134">
        <v>0</v>
      </c>
      <c r="BA104" s="134">
        <v>0</v>
      </c>
      <c r="BB104" s="134">
        <v>0</v>
      </c>
      <c r="BC104" s="134">
        <v>0</v>
      </c>
      <c r="BD104" s="134">
        <v>0</v>
      </c>
      <c r="BE104" s="134">
        <v>37.942999999999998</v>
      </c>
      <c r="BF104" s="134">
        <v>38.042999999999999</v>
      </c>
      <c r="BG104" s="131">
        <v>0</v>
      </c>
      <c r="BH104" s="131"/>
      <c r="BI104" s="131"/>
      <c r="BJ104" s="131"/>
      <c r="BK104" s="131"/>
      <c r="BL104" s="131"/>
      <c r="BM104" s="131"/>
      <c r="BN104" s="131"/>
    </row>
    <row r="105" spans="1:66">
      <c r="A105" s="131">
        <v>10343</v>
      </c>
      <c r="B105" s="131" t="s">
        <v>109</v>
      </c>
      <c r="C105" s="131">
        <v>1</v>
      </c>
      <c r="D105" s="131">
        <v>0</v>
      </c>
      <c r="E105" s="134">
        <v>31.856999999999999</v>
      </c>
      <c r="F105" s="134">
        <v>12.076000000000001</v>
      </c>
      <c r="G105" s="134">
        <v>12.074</v>
      </c>
      <c r="H105" s="134">
        <v>0</v>
      </c>
      <c r="I105" s="134">
        <v>0</v>
      </c>
      <c r="J105" s="134">
        <v>0</v>
      </c>
      <c r="K105" s="134">
        <v>0</v>
      </c>
      <c r="L105" s="133">
        <v>0</v>
      </c>
      <c r="M105" s="133">
        <v>0</v>
      </c>
      <c r="N105" s="134">
        <v>12.076000000000001</v>
      </c>
      <c r="O105" s="134">
        <v>12.074</v>
      </c>
      <c r="P105" s="133">
        <v>106076</v>
      </c>
      <c r="Q105" s="133">
        <v>105768</v>
      </c>
      <c r="R105" s="131">
        <v>31.222999999999999</v>
      </c>
      <c r="S105" s="133">
        <v>274263</v>
      </c>
      <c r="T105" s="133">
        <v>273513</v>
      </c>
      <c r="U105" s="134">
        <v>0</v>
      </c>
      <c r="V105" s="134">
        <v>0</v>
      </c>
      <c r="W105" s="134">
        <v>0</v>
      </c>
      <c r="X105" s="134">
        <v>0</v>
      </c>
      <c r="Y105" s="134">
        <v>0</v>
      </c>
      <c r="Z105" s="134">
        <v>0</v>
      </c>
      <c r="AA105" s="131">
        <v>0</v>
      </c>
      <c r="AB105" s="131">
        <v>0</v>
      </c>
      <c r="AC105" s="134">
        <v>0</v>
      </c>
      <c r="AD105" s="134">
        <v>0</v>
      </c>
      <c r="AE105" s="135">
        <v>1.7191000000000001E-3</v>
      </c>
      <c r="AF105" s="135">
        <v>1.7187999999999999E-3</v>
      </c>
      <c r="AG105" s="135">
        <v>0</v>
      </c>
      <c r="AH105" s="135">
        <v>1.7191000000000001E-3</v>
      </c>
      <c r="AI105" s="135">
        <v>1.7187999999999999E-3</v>
      </c>
      <c r="AJ105" s="135">
        <v>1.719E-3</v>
      </c>
      <c r="AK105" s="135">
        <v>0.99998659999999995</v>
      </c>
      <c r="AL105" s="135">
        <v>0.99997769999999997</v>
      </c>
      <c r="AM105" s="135">
        <v>1</v>
      </c>
      <c r="AN105" s="135">
        <v>1</v>
      </c>
      <c r="AO105" s="135">
        <v>7.0000000000000007E-2</v>
      </c>
      <c r="AP105" s="135">
        <v>7.0000000000000007E-2</v>
      </c>
      <c r="AQ105" s="131">
        <v>1</v>
      </c>
      <c r="AR105" s="131">
        <v>1</v>
      </c>
      <c r="AS105" s="134">
        <v>0</v>
      </c>
      <c r="AT105" s="134">
        <v>0</v>
      </c>
      <c r="AU105" s="134">
        <v>0</v>
      </c>
      <c r="AV105" s="134">
        <v>0</v>
      </c>
      <c r="AW105" s="134">
        <v>0</v>
      </c>
      <c r="AX105" s="134">
        <v>0</v>
      </c>
      <c r="AY105" s="134">
        <v>0</v>
      </c>
      <c r="AZ105" s="134">
        <v>0</v>
      </c>
      <c r="BA105" s="134">
        <v>0</v>
      </c>
      <c r="BB105" s="134">
        <v>0</v>
      </c>
      <c r="BC105" s="134">
        <v>0</v>
      </c>
      <c r="BD105" s="134">
        <v>0</v>
      </c>
      <c r="BE105" s="134">
        <v>12.076000000000001</v>
      </c>
      <c r="BF105" s="134">
        <v>12.074</v>
      </c>
      <c r="BG105" s="131">
        <v>1</v>
      </c>
      <c r="BH105" s="131"/>
      <c r="BI105" s="131"/>
      <c r="BJ105" s="131"/>
      <c r="BK105" s="131"/>
      <c r="BL105" s="131"/>
      <c r="BM105" s="131"/>
      <c r="BN105" s="131"/>
    </row>
    <row r="106" spans="1:66">
      <c r="A106" s="131">
        <v>10349</v>
      </c>
      <c r="B106" s="131" t="s">
        <v>110</v>
      </c>
      <c r="C106" s="131">
        <v>1</v>
      </c>
      <c r="D106" s="131">
        <v>0</v>
      </c>
      <c r="E106" s="134">
        <v>531.72699999999998</v>
      </c>
      <c r="F106" s="134">
        <v>1121.2139999999999</v>
      </c>
      <c r="G106" s="134">
        <v>1120.76</v>
      </c>
      <c r="H106" s="134">
        <v>0</v>
      </c>
      <c r="I106" s="134">
        <v>0</v>
      </c>
      <c r="J106" s="134">
        <v>614.98500000000001</v>
      </c>
      <c r="K106" s="134">
        <v>615.74900000000002</v>
      </c>
      <c r="L106" s="133">
        <v>5402028</v>
      </c>
      <c r="M106" s="133">
        <v>5393961</v>
      </c>
      <c r="N106" s="134">
        <v>506.22899999999998</v>
      </c>
      <c r="O106" s="134">
        <v>505.01100000000002</v>
      </c>
      <c r="P106" s="133">
        <v>4446716</v>
      </c>
      <c r="Q106" s="133">
        <v>4423896</v>
      </c>
      <c r="R106" s="131">
        <v>521.13800000000003</v>
      </c>
      <c r="S106" s="133">
        <v>4577676</v>
      </c>
      <c r="T106" s="133">
        <v>4565169</v>
      </c>
      <c r="U106" s="134">
        <v>0</v>
      </c>
      <c r="V106" s="134">
        <v>0</v>
      </c>
      <c r="W106" s="134">
        <v>0</v>
      </c>
      <c r="X106" s="134">
        <v>0</v>
      </c>
      <c r="Y106" s="134">
        <v>0</v>
      </c>
      <c r="Z106" s="134">
        <v>0</v>
      </c>
      <c r="AA106" s="131">
        <v>0</v>
      </c>
      <c r="AB106" s="131">
        <v>0</v>
      </c>
      <c r="AC106" s="134">
        <v>0</v>
      </c>
      <c r="AD106" s="134">
        <v>0</v>
      </c>
      <c r="AE106" s="135">
        <v>7.2066000000000005E-2</v>
      </c>
      <c r="AF106" s="135">
        <v>7.1892700000000004E-2</v>
      </c>
      <c r="AG106" s="135">
        <v>0</v>
      </c>
      <c r="AH106" s="135">
        <v>7.2066000000000005E-2</v>
      </c>
      <c r="AI106" s="135">
        <v>7.1892700000000004E-2</v>
      </c>
      <c r="AJ106" s="135">
        <v>7.1979399999999999E-2</v>
      </c>
      <c r="AK106" s="135">
        <v>0.99999950000000004</v>
      </c>
      <c r="AL106" s="135">
        <v>0.99999979999999999</v>
      </c>
      <c r="AM106" s="135">
        <v>1</v>
      </c>
      <c r="AN106" s="135">
        <v>1</v>
      </c>
      <c r="AO106" s="135">
        <v>0</v>
      </c>
      <c r="AP106" s="135">
        <v>0</v>
      </c>
      <c r="AQ106" s="131">
        <v>4</v>
      </c>
      <c r="AR106" s="131">
        <v>4</v>
      </c>
      <c r="AS106" s="134">
        <v>0</v>
      </c>
      <c r="AT106" s="134">
        <v>0</v>
      </c>
      <c r="AU106" s="134">
        <v>0</v>
      </c>
      <c r="AV106" s="134">
        <v>0</v>
      </c>
      <c r="AW106" s="134">
        <v>0</v>
      </c>
      <c r="AX106" s="134">
        <v>0</v>
      </c>
      <c r="AY106" s="134">
        <v>0</v>
      </c>
      <c r="AZ106" s="134">
        <v>0</v>
      </c>
      <c r="BA106" s="134">
        <v>0</v>
      </c>
      <c r="BB106" s="134">
        <v>0</v>
      </c>
      <c r="BC106" s="134">
        <v>0</v>
      </c>
      <c r="BD106" s="134">
        <v>0</v>
      </c>
      <c r="BE106" s="134">
        <v>516.74300000000005</v>
      </c>
      <c r="BF106" s="134">
        <v>519.64200000000005</v>
      </c>
      <c r="BG106" s="131">
        <v>0</v>
      </c>
      <c r="BH106" s="131"/>
      <c r="BI106" s="131"/>
      <c r="BJ106" s="131"/>
      <c r="BK106" s="131"/>
      <c r="BL106" s="131"/>
      <c r="BM106" s="131"/>
      <c r="BN106" s="131"/>
    </row>
    <row r="107" spans="1:66">
      <c r="A107" s="131">
        <v>10352</v>
      </c>
      <c r="B107" s="131" t="s">
        <v>111</v>
      </c>
      <c r="C107" s="131">
        <v>1</v>
      </c>
      <c r="D107" s="131">
        <v>0</v>
      </c>
      <c r="E107" s="134">
        <v>16.143999999999998</v>
      </c>
      <c r="F107" s="134">
        <v>15.313000000000001</v>
      </c>
      <c r="G107" s="134">
        <v>15.302</v>
      </c>
      <c r="H107" s="134">
        <v>0</v>
      </c>
      <c r="I107" s="134">
        <v>0</v>
      </c>
      <c r="J107" s="134">
        <v>0</v>
      </c>
      <c r="K107" s="134">
        <v>0</v>
      </c>
      <c r="L107" s="133">
        <v>0</v>
      </c>
      <c r="M107" s="133">
        <v>0</v>
      </c>
      <c r="N107" s="134">
        <v>15.319000000000001</v>
      </c>
      <c r="O107" s="134">
        <v>15.339</v>
      </c>
      <c r="P107" s="133">
        <v>134562</v>
      </c>
      <c r="Q107" s="133">
        <v>134370</v>
      </c>
      <c r="R107" s="131">
        <v>15.821999999999999</v>
      </c>
      <c r="S107" s="133">
        <v>138980</v>
      </c>
      <c r="T107" s="133">
        <v>138601</v>
      </c>
      <c r="U107" s="134">
        <v>0</v>
      </c>
      <c r="V107" s="134">
        <v>0</v>
      </c>
      <c r="W107" s="134">
        <v>0</v>
      </c>
      <c r="X107" s="134">
        <v>0</v>
      </c>
      <c r="Y107" s="134">
        <v>0</v>
      </c>
      <c r="Z107" s="134">
        <v>0</v>
      </c>
      <c r="AA107" s="131">
        <v>0</v>
      </c>
      <c r="AB107" s="131">
        <v>0</v>
      </c>
      <c r="AC107" s="134">
        <v>0</v>
      </c>
      <c r="AD107" s="134">
        <v>0</v>
      </c>
      <c r="AE107" s="135">
        <v>2.1808000000000001E-3</v>
      </c>
      <c r="AF107" s="135">
        <v>2.1836E-3</v>
      </c>
      <c r="AG107" s="135">
        <v>0</v>
      </c>
      <c r="AH107" s="135">
        <v>2.1808000000000001E-3</v>
      </c>
      <c r="AI107" s="135">
        <v>2.1836E-3</v>
      </c>
      <c r="AJ107" s="135">
        <v>2.1822E-3</v>
      </c>
      <c r="AK107" s="135">
        <v>1</v>
      </c>
      <c r="AL107" s="135">
        <v>0.99998200000000004</v>
      </c>
      <c r="AM107" s="135">
        <v>1</v>
      </c>
      <c r="AN107" s="135">
        <v>1</v>
      </c>
      <c r="AO107" s="135">
        <v>4.4999999999999998E-2</v>
      </c>
      <c r="AP107" s="135">
        <v>4.4999999999999998E-2</v>
      </c>
      <c r="AQ107" s="131">
        <v>1</v>
      </c>
      <c r="AR107" s="131">
        <v>1</v>
      </c>
      <c r="AS107" s="134">
        <v>0</v>
      </c>
      <c r="AT107" s="134">
        <v>0</v>
      </c>
      <c r="AU107" s="134">
        <v>0</v>
      </c>
      <c r="AV107" s="134">
        <v>0</v>
      </c>
      <c r="AW107" s="134">
        <v>0</v>
      </c>
      <c r="AX107" s="134">
        <v>0</v>
      </c>
      <c r="AY107" s="134">
        <v>0</v>
      </c>
      <c r="AZ107" s="134">
        <v>0</v>
      </c>
      <c r="BA107" s="134">
        <v>0</v>
      </c>
      <c r="BB107" s="134">
        <v>0</v>
      </c>
      <c r="BC107" s="134">
        <v>0</v>
      </c>
      <c r="BD107" s="134">
        <v>0</v>
      </c>
      <c r="BE107" s="134">
        <v>15.319000000000001</v>
      </c>
      <c r="BF107" s="134">
        <v>15.339</v>
      </c>
      <c r="BG107" s="131">
        <v>0</v>
      </c>
      <c r="BH107" s="131"/>
      <c r="BI107" s="131"/>
      <c r="BJ107" s="131"/>
      <c r="BK107" s="131"/>
      <c r="BL107" s="131"/>
      <c r="BM107" s="131"/>
      <c r="BN107" s="131"/>
    </row>
    <row r="108" spans="1:66">
      <c r="A108" s="131">
        <v>10354</v>
      </c>
      <c r="B108" s="131" t="s">
        <v>112</v>
      </c>
      <c r="C108" s="131">
        <v>1</v>
      </c>
      <c r="D108" s="131">
        <v>0</v>
      </c>
      <c r="E108" s="134">
        <v>810.99</v>
      </c>
      <c r="F108" s="134">
        <v>756.10199999999998</v>
      </c>
      <c r="G108" s="134">
        <v>755.15200000000004</v>
      </c>
      <c r="H108" s="134">
        <v>0</v>
      </c>
      <c r="I108" s="134">
        <v>0</v>
      </c>
      <c r="J108" s="134">
        <v>30.841000000000001</v>
      </c>
      <c r="K108" s="134">
        <v>30.827999999999999</v>
      </c>
      <c r="L108" s="133">
        <v>270907</v>
      </c>
      <c r="M108" s="133">
        <v>270053</v>
      </c>
      <c r="N108" s="134">
        <v>725.26099999999997</v>
      </c>
      <c r="O108" s="134">
        <v>724.32399999999996</v>
      </c>
      <c r="P108" s="133">
        <v>6370693</v>
      </c>
      <c r="Q108" s="133">
        <v>6345078</v>
      </c>
      <c r="R108" s="131">
        <v>794.83900000000006</v>
      </c>
      <c r="S108" s="133">
        <v>6981866</v>
      </c>
      <c r="T108" s="133">
        <v>6962790</v>
      </c>
      <c r="U108" s="134">
        <v>0</v>
      </c>
      <c r="V108" s="134">
        <v>0</v>
      </c>
      <c r="W108" s="134">
        <v>0</v>
      </c>
      <c r="X108" s="134">
        <v>0</v>
      </c>
      <c r="Y108" s="134">
        <v>0</v>
      </c>
      <c r="Z108" s="134">
        <v>0</v>
      </c>
      <c r="AA108" s="131">
        <v>0</v>
      </c>
      <c r="AB108" s="131">
        <v>0</v>
      </c>
      <c r="AC108" s="134">
        <v>0</v>
      </c>
      <c r="AD108" s="134">
        <v>0</v>
      </c>
      <c r="AE108" s="135">
        <v>0.10324709999999999</v>
      </c>
      <c r="AF108" s="135">
        <v>0.1031137</v>
      </c>
      <c r="AG108" s="135">
        <v>5.4363700000000001E-2</v>
      </c>
      <c r="AH108" s="135">
        <v>4.88834E-2</v>
      </c>
      <c r="AI108" s="135">
        <v>4.8750000000000002E-2</v>
      </c>
      <c r="AJ108" s="135">
        <v>4.8816699999999998E-2</v>
      </c>
      <c r="AK108" s="135">
        <v>0.99999950000000004</v>
      </c>
      <c r="AL108" s="135">
        <v>0.99999990000000005</v>
      </c>
      <c r="AM108" s="135">
        <v>1</v>
      </c>
      <c r="AN108" s="135">
        <v>1</v>
      </c>
      <c r="AO108" s="135">
        <v>0</v>
      </c>
      <c r="AP108" s="135">
        <v>0</v>
      </c>
      <c r="AQ108" s="131">
        <v>4</v>
      </c>
      <c r="AR108" s="131">
        <v>4</v>
      </c>
      <c r="AS108" s="134">
        <v>0</v>
      </c>
      <c r="AT108" s="134">
        <v>0</v>
      </c>
      <c r="AU108" s="134">
        <v>0</v>
      </c>
      <c r="AV108" s="134">
        <v>0</v>
      </c>
      <c r="AW108" s="134">
        <v>1.3680000000000001</v>
      </c>
      <c r="AX108" s="134">
        <v>1.3680000000000001</v>
      </c>
      <c r="AY108" s="134">
        <v>-1.3680000000000001</v>
      </c>
      <c r="AZ108" s="134">
        <v>-1.3680000000000001</v>
      </c>
      <c r="BA108" s="134">
        <v>0</v>
      </c>
      <c r="BB108" s="134">
        <v>0</v>
      </c>
      <c r="BC108" s="134">
        <v>-1.3680000000000001</v>
      </c>
      <c r="BD108" s="134">
        <v>-1.3680000000000001</v>
      </c>
      <c r="BE108" s="134">
        <v>725.27</v>
      </c>
      <c r="BF108" s="134">
        <v>724.33399999999995</v>
      </c>
      <c r="BG108" s="131">
        <v>0</v>
      </c>
      <c r="BH108" s="131"/>
      <c r="BI108" s="131"/>
      <c r="BJ108" s="131"/>
      <c r="BK108" s="131"/>
      <c r="BL108" s="131"/>
      <c r="BM108" s="131"/>
      <c r="BN108" s="131"/>
    </row>
    <row r="109" spans="1:66">
      <c r="A109" s="131">
        <v>10360</v>
      </c>
      <c r="B109" s="131" t="s">
        <v>113</v>
      </c>
      <c r="C109" s="131">
        <v>1</v>
      </c>
      <c r="D109" s="131">
        <v>0</v>
      </c>
      <c r="E109" s="134">
        <v>6.8659999999999997</v>
      </c>
      <c r="F109" s="134">
        <v>7.165</v>
      </c>
      <c r="G109" s="134">
        <v>7.194</v>
      </c>
      <c r="H109" s="134">
        <v>0</v>
      </c>
      <c r="I109" s="134">
        <v>0</v>
      </c>
      <c r="J109" s="134">
        <v>0</v>
      </c>
      <c r="K109" s="134">
        <v>0</v>
      </c>
      <c r="L109" s="133">
        <v>0</v>
      </c>
      <c r="M109" s="133">
        <v>0</v>
      </c>
      <c r="N109" s="134">
        <v>7.1470000000000002</v>
      </c>
      <c r="O109" s="134">
        <v>7.1749999999999998</v>
      </c>
      <c r="P109" s="133">
        <v>62779</v>
      </c>
      <c r="Q109" s="133">
        <v>62853</v>
      </c>
      <c r="R109" s="131">
        <v>6.7290000000000001</v>
      </c>
      <c r="S109" s="133">
        <v>59108</v>
      </c>
      <c r="T109" s="133">
        <v>58946</v>
      </c>
      <c r="U109" s="134">
        <v>0.41799999999999998</v>
      </c>
      <c r="V109" s="134">
        <v>0.44600000000000001</v>
      </c>
      <c r="W109" s="134">
        <v>0</v>
      </c>
      <c r="X109" s="134">
        <v>0</v>
      </c>
      <c r="Y109" s="134">
        <v>0.41799999999999998</v>
      </c>
      <c r="Z109" s="134">
        <v>0.44600000000000001</v>
      </c>
      <c r="AA109" s="131">
        <v>0</v>
      </c>
      <c r="AB109" s="131">
        <v>0</v>
      </c>
      <c r="AC109" s="134">
        <v>0</v>
      </c>
      <c r="AD109" s="134">
        <v>0</v>
      </c>
      <c r="AE109" s="135">
        <v>9.5790000000000003E-4</v>
      </c>
      <c r="AF109" s="135">
        <v>9.5790000000000003E-4</v>
      </c>
      <c r="AG109" s="135">
        <v>0</v>
      </c>
      <c r="AH109" s="135">
        <v>9.5790000000000003E-4</v>
      </c>
      <c r="AI109" s="135">
        <v>9.5790000000000003E-4</v>
      </c>
      <c r="AJ109" s="135">
        <v>9.5790000000000003E-4</v>
      </c>
      <c r="AK109" s="135">
        <v>0.94148310000000002</v>
      </c>
      <c r="AL109" s="135">
        <v>0.93780909999999995</v>
      </c>
      <c r="AM109" s="135">
        <v>1.0621191999999999</v>
      </c>
      <c r="AN109" s="135">
        <v>1.0662803000000001</v>
      </c>
      <c r="AO109" s="135">
        <v>4.7795400000000002E-2</v>
      </c>
      <c r="AP109" s="135">
        <v>4.79826E-2</v>
      </c>
      <c r="AQ109" s="131">
        <v>1</v>
      </c>
      <c r="AR109" s="131">
        <v>1</v>
      </c>
      <c r="AS109" s="134">
        <v>0</v>
      </c>
      <c r="AT109" s="134">
        <v>0</v>
      </c>
      <c r="AU109" s="134">
        <v>0</v>
      </c>
      <c r="AV109" s="134">
        <v>0</v>
      </c>
      <c r="AW109" s="134">
        <v>0</v>
      </c>
      <c r="AX109" s="134">
        <v>0</v>
      </c>
      <c r="AY109" s="134">
        <v>0</v>
      </c>
      <c r="AZ109" s="134">
        <v>0</v>
      </c>
      <c r="BA109" s="134">
        <v>0</v>
      </c>
      <c r="BB109" s="134">
        <v>0</v>
      </c>
      <c r="BC109" s="134">
        <v>0</v>
      </c>
      <c r="BD109" s="134">
        <v>0</v>
      </c>
      <c r="BE109" s="134">
        <v>7.1470000000000002</v>
      </c>
      <c r="BF109" s="134">
        <v>7.1749999999999998</v>
      </c>
      <c r="BG109" s="131">
        <v>0</v>
      </c>
      <c r="BH109" s="131"/>
      <c r="BI109" s="131"/>
      <c r="BJ109" s="131"/>
      <c r="BK109" s="131"/>
      <c r="BL109" s="131"/>
      <c r="BM109" s="131"/>
      <c r="BN109" s="131"/>
    </row>
    <row r="110" spans="1:66">
      <c r="A110" s="131">
        <v>10363</v>
      </c>
      <c r="B110" s="131" t="s">
        <v>114</v>
      </c>
      <c r="C110" s="131">
        <v>1</v>
      </c>
      <c r="D110" s="131">
        <v>0</v>
      </c>
      <c r="E110" s="134">
        <v>102.208</v>
      </c>
      <c r="F110" s="134">
        <v>94.778999999999996</v>
      </c>
      <c r="G110" s="134">
        <v>94.968999999999994</v>
      </c>
      <c r="H110" s="134">
        <v>0</v>
      </c>
      <c r="I110" s="134">
        <v>0</v>
      </c>
      <c r="J110" s="134">
        <v>0</v>
      </c>
      <c r="K110" s="134">
        <v>0</v>
      </c>
      <c r="L110" s="133">
        <v>0</v>
      </c>
      <c r="M110" s="133">
        <v>0</v>
      </c>
      <c r="N110" s="134">
        <v>94.820999999999998</v>
      </c>
      <c r="O110" s="134">
        <v>94.988</v>
      </c>
      <c r="P110" s="133">
        <v>832908</v>
      </c>
      <c r="Q110" s="133">
        <v>832095</v>
      </c>
      <c r="R110" s="131">
        <v>100.173</v>
      </c>
      <c r="S110" s="133">
        <v>879920</v>
      </c>
      <c r="T110" s="133">
        <v>877515</v>
      </c>
      <c r="U110" s="134">
        <v>0</v>
      </c>
      <c r="V110" s="134">
        <v>0</v>
      </c>
      <c r="W110" s="134">
        <v>0</v>
      </c>
      <c r="X110" s="134">
        <v>0</v>
      </c>
      <c r="Y110" s="134">
        <v>0</v>
      </c>
      <c r="Z110" s="134">
        <v>0</v>
      </c>
      <c r="AA110" s="131">
        <v>0</v>
      </c>
      <c r="AB110" s="131">
        <v>0</v>
      </c>
      <c r="AC110" s="134">
        <v>0</v>
      </c>
      <c r="AD110" s="134">
        <v>0</v>
      </c>
      <c r="AE110" s="135">
        <v>1.3498599999999999E-2</v>
      </c>
      <c r="AF110" s="135">
        <v>1.35224E-2</v>
      </c>
      <c r="AG110" s="135">
        <v>0</v>
      </c>
      <c r="AH110" s="135">
        <v>1.3498599999999999E-2</v>
      </c>
      <c r="AI110" s="135">
        <v>1.35224E-2</v>
      </c>
      <c r="AJ110" s="135">
        <v>1.35105E-2</v>
      </c>
      <c r="AK110" s="135">
        <v>1</v>
      </c>
      <c r="AL110" s="135">
        <v>1</v>
      </c>
      <c r="AM110" s="135">
        <v>1</v>
      </c>
      <c r="AN110" s="135">
        <v>1</v>
      </c>
      <c r="AO110" s="135">
        <v>0</v>
      </c>
      <c r="AP110" s="135">
        <v>0</v>
      </c>
      <c r="AQ110" s="131">
        <v>1</v>
      </c>
      <c r="AR110" s="131">
        <v>1</v>
      </c>
      <c r="AS110" s="134">
        <v>0</v>
      </c>
      <c r="AT110" s="134">
        <v>0</v>
      </c>
      <c r="AU110" s="134">
        <v>0</v>
      </c>
      <c r="AV110" s="134">
        <v>0</v>
      </c>
      <c r="AW110" s="134">
        <v>0</v>
      </c>
      <c r="AX110" s="134">
        <v>0</v>
      </c>
      <c r="AY110" s="134">
        <v>0</v>
      </c>
      <c r="AZ110" s="134">
        <v>0</v>
      </c>
      <c r="BA110" s="134">
        <v>0</v>
      </c>
      <c r="BB110" s="134">
        <v>0</v>
      </c>
      <c r="BC110" s="134">
        <v>0</v>
      </c>
      <c r="BD110" s="134">
        <v>0</v>
      </c>
      <c r="BE110" s="134">
        <v>94.820999999999998</v>
      </c>
      <c r="BF110" s="134">
        <v>94.988</v>
      </c>
      <c r="BG110" s="131">
        <v>0</v>
      </c>
      <c r="BH110" s="131"/>
      <c r="BI110" s="131"/>
      <c r="BJ110" s="131"/>
      <c r="BK110" s="131"/>
      <c r="BL110" s="131"/>
      <c r="BM110" s="131"/>
      <c r="BN110" s="131"/>
    </row>
    <row r="111" spans="1:66">
      <c r="A111" s="131">
        <v>10369</v>
      </c>
      <c r="B111" s="131" t="s">
        <v>115</v>
      </c>
      <c r="C111" s="131">
        <v>1</v>
      </c>
      <c r="D111" s="131">
        <v>0</v>
      </c>
      <c r="E111" s="134">
        <v>16.677</v>
      </c>
      <c r="F111" s="134">
        <v>17.117999999999999</v>
      </c>
      <c r="G111" s="134">
        <v>17.148</v>
      </c>
      <c r="H111" s="134">
        <v>0</v>
      </c>
      <c r="I111" s="134">
        <v>0</v>
      </c>
      <c r="J111" s="134">
        <v>0</v>
      </c>
      <c r="K111" s="134">
        <v>0</v>
      </c>
      <c r="L111" s="133">
        <v>0</v>
      </c>
      <c r="M111" s="133">
        <v>0</v>
      </c>
      <c r="N111" s="134">
        <v>18.013999999999999</v>
      </c>
      <c r="O111" s="134">
        <v>18.039000000000001</v>
      </c>
      <c r="P111" s="133">
        <v>158235</v>
      </c>
      <c r="Q111" s="133">
        <v>158022</v>
      </c>
      <c r="R111" s="131">
        <v>16.344999999999999</v>
      </c>
      <c r="S111" s="133">
        <v>143574</v>
      </c>
      <c r="T111" s="133">
        <v>143182</v>
      </c>
      <c r="U111" s="134">
        <v>1.669</v>
      </c>
      <c r="V111" s="134">
        <v>1.694</v>
      </c>
      <c r="W111" s="134">
        <v>1.669</v>
      </c>
      <c r="X111" s="134">
        <v>1.694</v>
      </c>
      <c r="Y111" s="134">
        <v>0</v>
      </c>
      <c r="Z111" s="134">
        <v>0</v>
      </c>
      <c r="AA111" s="131">
        <v>0</v>
      </c>
      <c r="AB111" s="131">
        <v>0</v>
      </c>
      <c r="AC111" s="134">
        <v>1.669</v>
      </c>
      <c r="AD111" s="134">
        <v>1.694</v>
      </c>
      <c r="AE111" s="135">
        <v>2.3268999999999998E-3</v>
      </c>
      <c r="AF111" s="135">
        <v>2.3268999999999998E-3</v>
      </c>
      <c r="AG111" s="135">
        <v>0</v>
      </c>
      <c r="AH111" s="135">
        <v>2.3268999999999998E-3</v>
      </c>
      <c r="AI111" s="135">
        <v>2.3268999999999998E-3</v>
      </c>
      <c r="AJ111" s="135">
        <v>2.3268999999999998E-3</v>
      </c>
      <c r="AK111" s="135">
        <v>0.90736850000000002</v>
      </c>
      <c r="AL111" s="135">
        <v>0.906111</v>
      </c>
      <c r="AM111" s="135">
        <v>1.1021107000000001</v>
      </c>
      <c r="AN111" s="135">
        <v>1.1036402999999999</v>
      </c>
      <c r="AO111" s="135">
        <v>7.7147800000000002E-2</v>
      </c>
      <c r="AP111" s="135">
        <v>7.7254799999999998E-2</v>
      </c>
      <c r="AQ111" s="131">
        <v>1</v>
      </c>
      <c r="AR111" s="131">
        <v>1</v>
      </c>
      <c r="AS111" s="134">
        <v>0</v>
      </c>
      <c r="AT111" s="134">
        <v>0</v>
      </c>
      <c r="AU111" s="134">
        <v>1.669</v>
      </c>
      <c r="AV111" s="134">
        <v>1.694</v>
      </c>
      <c r="AW111" s="134">
        <v>0</v>
      </c>
      <c r="AX111" s="134">
        <v>0</v>
      </c>
      <c r="AY111" s="134">
        <v>0</v>
      </c>
      <c r="AZ111" s="134">
        <v>0</v>
      </c>
      <c r="BA111" s="134">
        <v>0</v>
      </c>
      <c r="BB111" s="134">
        <v>0</v>
      </c>
      <c r="BC111" s="134">
        <v>0</v>
      </c>
      <c r="BD111" s="134">
        <v>0</v>
      </c>
      <c r="BE111" s="134">
        <v>18.013999999999999</v>
      </c>
      <c r="BF111" s="134">
        <v>18.039000000000001</v>
      </c>
      <c r="BG111" s="131">
        <v>1</v>
      </c>
      <c r="BH111" s="131"/>
      <c r="BI111" s="131"/>
      <c r="BJ111" s="131"/>
      <c r="BK111" s="131"/>
      <c r="BL111" s="131"/>
      <c r="BM111" s="131"/>
      <c r="BN111" s="131"/>
    </row>
    <row r="112" spans="1:66">
      <c r="A112" s="131">
        <v>10370</v>
      </c>
      <c r="B112" s="131" t="s">
        <v>116</v>
      </c>
      <c r="C112" s="131">
        <v>1</v>
      </c>
      <c r="D112" s="131">
        <v>0</v>
      </c>
      <c r="E112" s="134">
        <v>408.39299999999997</v>
      </c>
      <c r="F112" s="134">
        <v>562.08600000000001</v>
      </c>
      <c r="G112" s="134">
        <v>561.13900000000001</v>
      </c>
      <c r="H112" s="134">
        <v>0</v>
      </c>
      <c r="I112" s="134">
        <v>0</v>
      </c>
      <c r="J112" s="134">
        <v>178.477</v>
      </c>
      <c r="K112" s="134">
        <v>178.42599999999999</v>
      </c>
      <c r="L112" s="133">
        <v>1567742</v>
      </c>
      <c r="M112" s="133">
        <v>1563012</v>
      </c>
      <c r="N112" s="134">
        <v>383.60899999999998</v>
      </c>
      <c r="O112" s="134">
        <v>382.71300000000002</v>
      </c>
      <c r="P112" s="133">
        <v>3369621</v>
      </c>
      <c r="Q112" s="133">
        <v>3352566</v>
      </c>
      <c r="R112" s="131">
        <v>400.26</v>
      </c>
      <c r="S112" s="133">
        <v>3515884</v>
      </c>
      <c r="T112" s="133">
        <v>3506278</v>
      </c>
      <c r="U112" s="134">
        <v>0</v>
      </c>
      <c r="V112" s="134">
        <v>0</v>
      </c>
      <c r="W112" s="134">
        <v>0</v>
      </c>
      <c r="X112" s="134">
        <v>0</v>
      </c>
      <c r="Y112" s="134">
        <v>0</v>
      </c>
      <c r="Z112" s="134">
        <v>0</v>
      </c>
      <c r="AA112" s="131">
        <v>0</v>
      </c>
      <c r="AB112" s="131">
        <v>0</v>
      </c>
      <c r="AC112" s="134">
        <v>0</v>
      </c>
      <c r="AD112" s="134">
        <v>0</v>
      </c>
      <c r="AE112" s="135">
        <v>5.4609999999999999E-2</v>
      </c>
      <c r="AF112" s="135">
        <v>5.4482500000000003E-2</v>
      </c>
      <c r="AG112" s="135">
        <v>2.9611100000000001E-2</v>
      </c>
      <c r="AH112" s="135">
        <v>2.4998900000000001E-2</v>
      </c>
      <c r="AI112" s="135">
        <v>2.4871399999999998E-2</v>
      </c>
      <c r="AJ112" s="135">
        <v>2.4935200000000001E-2</v>
      </c>
      <c r="AK112" s="135">
        <v>0.99999930000000004</v>
      </c>
      <c r="AL112" s="135">
        <v>1</v>
      </c>
      <c r="AM112" s="135">
        <v>1</v>
      </c>
      <c r="AN112" s="135">
        <v>1</v>
      </c>
      <c r="AO112" s="135">
        <v>0</v>
      </c>
      <c r="AP112" s="135">
        <v>0</v>
      </c>
      <c r="AQ112" s="131">
        <v>4</v>
      </c>
      <c r="AR112" s="131">
        <v>4</v>
      </c>
      <c r="AS112" s="134">
        <v>0</v>
      </c>
      <c r="AT112" s="134">
        <v>0</v>
      </c>
      <c r="AU112" s="134">
        <v>0</v>
      </c>
      <c r="AV112" s="134">
        <v>0</v>
      </c>
      <c r="AW112" s="134">
        <v>30.491</v>
      </c>
      <c r="AX112" s="134">
        <v>30.562999999999999</v>
      </c>
      <c r="AY112" s="134">
        <v>-30.491</v>
      </c>
      <c r="AZ112" s="134">
        <v>-30.562999999999999</v>
      </c>
      <c r="BA112" s="134">
        <v>0</v>
      </c>
      <c r="BB112" s="134">
        <v>0</v>
      </c>
      <c r="BC112" s="134">
        <v>-30.491</v>
      </c>
      <c r="BD112" s="134">
        <v>-30.562999999999999</v>
      </c>
      <c r="BE112" s="134">
        <v>383.60899999999998</v>
      </c>
      <c r="BF112" s="134">
        <v>382.71300000000002</v>
      </c>
      <c r="BG112" s="131">
        <v>0</v>
      </c>
      <c r="BH112" s="131"/>
      <c r="BI112" s="131"/>
      <c r="BJ112" s="131"/>
      <c r="BK112" s="131"/>
      <c r="BL112" s="131"/>
      <c r="BM112" s="131"/>
      <c r="BN112" s="131"/>
    </row>
    <row r="113" spans="1:66">
      <c r="A113" s="131">
        <v>10371</v>
      </c>
      <c r="B113" s="131" t="s">
        <v>117</v>
      </c>
      <c r="C113" s="131">
        <v>1</v>
      </c>
      <c r="D113" s="131">
        <v>0</v>
      </c>
      <c r="E113" s="134">
        <v>11.196999999999999</v>
      </c>
      <c r="F113" s="134">
        <v>11.285</v>
      </c>
      <c r="G113" s="134">
        <v>11.417</v>
      </c>
      <c r="H113" s="134">
        <v>0</v>
      </c>
      <c r="I113" s="134">
        <v>0</v>
      </c>
      <c r="J113" s="134">
        <v>0</v>
      </c>
      <c r="K113" s="134">
        <v>0</v>
      </c>
      <c r="L113" s="133">
        <v>0</v>
      </c>
      <c r="M113" s="133">
        <v>0</v>
      </c>
      <c r="N113" s="134">
        <v>11.664</v>
      </c>
      <c r="O113" s="134">
        <v>11.816000000000001</v>
      </c>
      <c r="P113" s="133">
        <v>102457</v>
      </c>
      <c r="Q113" s="133">
        <v>103508</v>
      </c>
      <c r="R113" s="131">
        <v>10.974</v>
      </c>
      <c r="S113" s="133">
        <v>96396</v>
      </c>
      <c r="T113" s="133">
        <v>96132</v>
      </c>
      <c r="U113" s="134">
        <v>0.69</v>
      </c>
      <c r="V113" s="134">
        <v>0.84199999999999997</v>
      </c>
      <c r="W113" s="134">
        <v>0</v>
      </c>
      <c r="X113" s="134">
        <v>0</v>
      </c>
      <c r="Y113" s="134">
        <v>0.69</v>
      </c>
      <c r="Z113" s="134">
        <v>0.84199999999999997</v>
      </c>
      <c r="AA113" s="131">
        <v>0</v>
      </c>
      <c r="AB113" s="131">
        <v>0</v>
      </c>
      <c r="AC113" s="134">
        <v>0</v>
      </c>
      <c r="AD113" s="134">
        <v>0</v>
      </c>
      <c r="AE113" s="135">
        <v>1.5621999999999999E-3</v>
      </c>
      <c r="AF113" s="135">
        <v>1.5621999999999999E-3</v>
      </c>
      <c r="AG113" s="135">
        <v>0</v>
      </c>
      <c r="AH113" s="135">
        <v>1.5621999999999999E-3</v>
      </c>
      <c r="AI113" s="135">
        <v>1.5621999999999999E-3</v>
      </c>
      <c r="AJ113" s="135">
        <v>1.5621999999999999E-3</v>
      </c>
      <c r="AK113" s="135">
        <v>0.94081729999999997</v>
      </c>
      <c r="AL113" s="135">
        <v>0.9287147</v>
      </c>
      <c r="AM113" s="135">
        <v>1.0628759000000001</v>
      </c>
      <c r="AN113" s="135">
        <v>1.0767268000000001</v>
      </c>
      <c r="AO113" s="135">
        <v>0</v>
      </c>
      <c r="AP113" s="135">
        <v>0</v>
      </c>
      <c r="AQ113" s="131">
        <v>3</v>
      </c>
      <c r="AR113" s="131">
        <v>3</v>
      </c>
      <c r="AS113" s="134">
        <v>10</v>
      </c>
      <c r="AT113" s="134">
        <v>10</v>
      </c>
      <c r="AU113" s="134">
        <v>0</v>
      </c>
      <c r="AV113" s="134">
        <v>0</v>
      </c>
      <c r="AW113" s="134">
        <v>0</v>
      </c>
      <c r="AX113" s="134">
        <v>0</v>
      </c>
      <c r="AY113" s="134">
        <v>0</v>
      </c>
      <c r="AZ113" s="134">
        <v>0</v>
      </c>
      <c r="BA113" s="134">
        <v>0</v>
      </c>
      <c r="BB113" s="134">
        <v>0</v>
      </c>
      <c r="BC113" s="134">
        <v>0</v>
      </c>
      <c r="BD113" s="134">
        <v>0</v>
      </c>
      <c r="BE113" s="134">
        <v>11.664</v>
      </c>
      <c r="BF113" s="134">
        <v>11.816000000000001</v>
      </c>
      <c r="BG113" s="131">
        <v>1</v>
      </c>
      <c r="BH113" s="131"/>
      <c r="BI113" s="131"/>
      <c r="BJ113" s="131"/>
      <c r="BK113" s="131"/>
      <c r="BL113" s="131"/>
      <c r="BM113" s="131"/>
      <c r="BN113" s="131"/>
    </row>
    <row r="114" spans="1:66">
      <c r="A114" s="131">
        <v>10376</v>
      </c>
      <c r="B114" s="131" t="s">
        <v>118</v>
      </c>
      <c r="C114" s="131">
        <v>1</v>
      </c>
      <c r="D114" s="131">
        <v>0</v>
      </c>
      <c r="E114" s="134">
        <v>56.865000000000002</v>
      </c>
      <c r="F114" s="134">
        <v>56.000999999999998</v>
      </c>
      <c r="G114" s="134">
        <v>56.122999999999998</v>
      </c>
      <c r="H114" s="134">
        <v>0</v>
      </c>
      <c r="I114" s="134">
        <v>0</v>
      </c>
      <c r="J114" s="134">
        <v>0.69699999999999995</v>
      </c>
      <c r="K114" s="134">
        <v>0.69699999999999995</v>
      </c>
      <c r="L114" s="133">
        <v>6122</v>
      </c>
      <c r="M114" s="133">
        <v>6106</v>
      </c>
      <c r="N114" s="134">
        <v>54.506999999999998</v>
      </c>
      <c r="O114" s="134">
        <v>54.621000000000002</v>
      </c>
      <c r="P114" s="133">
        <v>478789</v>
      </c>
      <c r="Q114" s="133">
        <v>478480</v>
      </c>
      <c r="R114" s="131">
        <v>55.732999999999997</v>
      </c>
      <c r="S114" s="133">
        <v>489559</v>
      </c>
      <c r="T114" s="133">
        <v>488221</v>
      </c>
      <c r="U114" s="134">
        <v>0</v>
      </c>
      <c r="V114" s="134">
        <v>0</v>
      </c>
      <c r="W114" s="134">
        <v>0</v>
      </c>
      <c r="X114" s="134">
        <v>0</v>
      </c>
      <c r="Y114" s="134">
        <v>0</v>
      </c>
      <c r="Z114" s="134">
        <v>0</v>
      </c>
      <c r="AA114" s="131">
        <v>0</v>
      </c>
      <c r="AB114" s="131">
        <v>0</v>
      </c>
      <c r="AC114" s="134">
        <v>0</v>
      </c>
      <c r="AD114" s="134">
        <v>0</v>
      </c>
      <c r="AE114" s="135">
        <v>7.7594999999999999E-3</v>
      </c>
      <c r="AF114" s="135">
        <v>7.7758000000000002E-3</v>
      </c>
      <c r="AG114" s="135">
        <v>0</v>
      </c>
      <c r="AH114" s="135">
        <v>7.7594999999999999E-3</v>
      </c>
      <c r="AI114" s="135">
        <v>7.7758000000000002E-3</v>
      </c>
      <c r="AJ114" s="135">
        <v>7.7676999999999998E-3</v>
      </c>
      <c r="AK114" s="135">
        <v>0.99999459999999996</v>
      </c>
      <c r="AL114" s="135">
        <v>1</v>
      </c>
      <c r="AM114" s="135">
        <v>1</v>
      </c>
      <c r="AN114" s="135">
        <v>1</v>
      </c>
      <c r="AO114" s="135">
        <v>0</v>
      </c>
      <c r="AP114" s="135">
        <v>0</v>
      </c>
      <c r="AQ114" s="131">
        <v>1</v>
      </c>
      <c r="AR114" s="131">
        <v>1</v>
      </c>
      <c r="AS114" s="134">
        <v>0</v>
      </c>
      <c r="AT114" s="134">
        <v>0</v>
      </c>
      <c r="AU114" s="134">
        <v>0</v>
      </c>
      <c r="AV114" s="134">
        <v>0</v>
      </c>
      <c r="AW114" s="134">
        <v>0</v>
      </c>
      <c r="AX114" s="134">
        <v>0</v>
      </c>
      <c r="AY114" s="134">
        <v>0</v>
      </c>
      <c r="AZ114" s="134">
        <v>0</v>
      </c>
      <c r="BA114" s="134">
        <v>0</v>
      </c>
      <c r="BB114" s="134">
        <v>0</v>
      </c>
      <c r="BC114" s="134">
        <v>0</v>
      </c>
      <c r="BD114" s="134">
        <v>0</v>
      </c>
      <c r="BE114" s="134">
        <v>54.506999999999998</v>
      </c>
      <c r="BF114" s="134">
        <v>54.621000000000002</v>
      </c>
      <c r="BG114" s="131">
        <v>1</v>
      </c>
      <c r="BH114" s="131"/>
      <c r="BI114" s="131"/>
      <c r="BJ114" s="131"/>
      <c r="BK114" s="131"/>
      <c r="BL114" s="131"/>
      <c r="BM114" s="131"/>
      <c r="BN114" s="131"/>
    </row>
    <row r="115" spans="1:66">
      <c r="A115" s="131">
        <v>10378</v>
      </c>
      <c r="B115" s="131" t="s">
        <v>119</v>
      </c>
      <c r="C115" s="131">
        <v>1</v>
      </c>
      <c r="D115" s="131">
        <v>0</v>
      </c>
      <c r="E115" s="134">
        <v>2.0510000000000002</v>
      </c>
      <c r="F115" s="134">
        <v>1.903</v>
      </c>
      <c r="G115" s="134">
        <v>1.9219999999999999</v>
      </c>
      <c r="H115" s="134">
        <v>0</v>
      </c>
      <c r="I115" s="134">
        <v>0</v>
      </c>
      <c r="J115" s="134">
        <v>0</v>
      </c>
      <c r="K115" s="134">
        <v>0</v>
      </c>
      <c r="L115" s="133">
        <v>0</v>
      </c>
      <c r="M115" s="133">
        <v>0</v>
      </c>
      <c r="N115" s="134">
        <v>1.903</v>
      </c>
      <c r="O115" s="134">
        <v>1.9219999999999999</v>
      </c>
      <c r="P115" s="133">
        <v>16716</v>
      </c>
      <c r="Q115" s="133">
        <v>16837</v>
      </c>
      <c r="R115" s="131">
        <v>2.0099999999999998</v>
      </c>
      <c r="S115" s="133">
        <v>17656</v>
      </c>
      <c r="T115" s="133">
        <v>17608</v>
      </c>
      <c r="U115" s="134">
        <v>0</v>
      </c>
      <c r="V115" s="134">
        <v>0</v>
      </c>
      <c r="W115" s="134">
        <v>0</v>
      </c>
      <c r="X115" s="134">
        <v>0</v>
      </c>
      <c r="Y115" s="134">
        <v>0</v>
      </c>
      <c r="Z115" s="134">
        <v>0</v>
      </c>
      <c r="AA115" s="131">
        <v>0</v>
      </c>
      <c r="AB115" s="131">
        <v>0</v>
      </c>
      <c r="AC115" s="134">
        <v>0</v>
      </c>
      <c r="AD115" s="134">
        <v>0</v>
      </c>
      <c r="AE115" s="135">
        <v>2.7090000000000003E-4</v>
      </c>
      <c r="AF115" s="135">
        <v>2.7359999999999998E-4</v>
      </c>
      <c r="AG115" s="135">
        <v>0</v>
      </c>
      <c r="AH115" s="135">
        <v>2.7090000000000003E-4</v>
      </c>
      <c r="AI115" s="135">
        <v>2.7359999999999998E-4</v>
      </c>
      <c r="AJ115" s="135">
        <v>2.7230000000000001E-4</v>
      </c>
      <c r="AK115" s="135">
        <v>0.99996859999999999</v>
      </c>
      <c r="AL115" s="135">
        <v>0.99995129999999999</v>
      </c>
      <c r="AM115" s="135">
        <v>1</v>
      </c>
      <c r="AN115" s="135">
        <v>1</v>
      </c>
      <c r="AO115" s="135">
        <v>0</v>
      </c>
      <c r="AP115" s="135">
        <v>0</v>
      </c>
      <c r="AQ115" s="131">
        <v>1</v>
      </c>
      <c r="AR115" s="131">
        <v>1</v>
      </c>
      <c r="AS115" s="134">
        <v>0</v>
      </c>
      <c r="AT115" s="134">
        <v>0</v>
      </c>
      <c r="AU115" s="134">
        <v>0</v>
      </c>
      <c r="AV115" s="134">
        <v>0</v>
      </c>
      <c r="AW115" s="134">
        <v>0</v>
      </c>
      <c r="AX115" s="134">
        <v>0</v>
      </c>
      <c r="AY115" s="134">
        <v>0</v>
      </c>
      <c r="AZ115" s="134">
        <v>0</v>
      </c>
      <c r="BA115" s="134">
        <v>0</v>
      </c>
      <c r="BB115" s="134">
        <v>0</v>
      </c>
      <c r="BC115" s="134">
        <v>0</v>
      </c>
      <c r="BD115" s="134">
        <v>0</v>
      </c>
      <c r="BE115" s="134">
        <v>1.903</v>
      </c>
      <c r="BF115" s="134">
        <v>1.9219999999999999</v>
      </c>
      <c r="BG115" s="131">
        <v>0</v>
      </c>
      <c r="BH115" s="131"/>
      <c r="BI115" s="131"/>
      <c r="BJ115" s="131"/>
      <c r="BK115" s="131"/>
      <c r="BL115" s="131"/>
      <c r="BM115" s="131"/>
      <c r="BN115" s="131"/>
    </row>
    <row r="116" spans="1:66">
      <c r="A116" s="131">
        <v>10379</v>
      </c>
      <c r="B116" s="131" t="s">
        <v>120</v>
      </c>
      <c r="C116" s="131">
        <v>1</v>
      </c>
      <c r="D116" s="131">
        <v>0</v>
      </c>
      <c r="E116" s="134">
        <v>4.88</v>
      </c>
      <c r="F116" s="134">
        <v>4.6260000000000003</v>
      </c>
      <c r="G116" s="134">
        <v>4.6470000000000002</v>
      </c>
      <c r="H116" s="134">
        <v>0</v>
      </c>
      <c r="I116" s="134">
        <v>0</v>
      </c>
      <c r="J116" s="134">
        <v>0</v>
      </c>
      <c r="K116" s="134">
        <v>0</v>
      </c>
      <c r="L116" s="133">
        <v>0</v>
      </c>
      <c r="M116" s="133">
        <v>0</v>
      </c>
      <c r="N116" s="134">
        <v>4.7460000000000004</v>
      </c>
      <c r="O116" s="134">
        <v>4.7679999999999998</v>
      </c>
      <c r="P116" s="133">
        <v>41689</v>
      </c>
      <c r="Q116" s="133">
        <v>41768</v>
      </c>
      <c r="R116" s="131">
        <v>4.7830000000000004</v>
      </c>
      <c r="S116" s="133">
        <v>42014</v>
      </c>
      <c r="T116" s="133">
        <v>41899</v>
      </c>
      <c r="U116" s="134">
        <v>0</v>
      </c>
      <c r="V116" s="134">
        <v>0</v>
      </c>
      <c r="W116" s="134">
        <v>0</v>
      </c>
      <c r="X116" s="134">
        <v>0</v>
      </c>
      <c r="Y116" s="134">
        <v>0</v>
      </c>
      <c r="Z116" s="134">
        <v>0</v>
      </c>
      <c r="AA116" s="131">
        <v>0</v>
      </c>
      <c r="AB116" s="131">
        <v>0</v>
      </c>
      <c r="AC116" s="134">
        <v>0</v>
      </c>
      <c r="AD116" s="134">
        <v>0</v>
      </c>
      <c r="AE116" s="135">
        <v>6.7560000000000005E-4</v>
      </c>
      <c r="AF116" s="135">
        <v>6.7880000000000002E-4</v>
      </c>
      <c r="AG116" s="135">
        <v>0</v>
      </c>
      <c r="AH116" s="135">
        <v>6.7560000000000005E-4</v>
      </c>
      <c r="AI116" s="135">
        <v>6.7880000000000002E-4</v>
      </c>
      <c r="AJ116" s="135">
        <v>6.7719999999999998E-4</v>
      </c>
      <c r="AK116" s="135">
        <v>0.99994950000000005</v>
      </c>
      <c r="AL116" s="135">
        <v>1</v>
      </c>
      <c r="AM116" s="135">
        <v>1</v>
      </c>
      <c r="AN116" s="135">
        <v>1</v>
      </c>
      <c r="AO116" s="135">
        <v>0</v>
      </c>
      <c r="AP116" s="135">
        <v>0</v>
      </c>
      <c r="AQ116" s="131">
        <v>1</v>
      </c>
      <c r="AR116" s="131">
        <v>1</v>
      </c>
      <c r="AS116" s="134">
        <v>0</v>
      </c>
      <c r="AT116" s="134">
        <v>0</v>
      </c>
      <c r="AU116" s="134">
        <v>0</v>
      </c>
      <c r="AV116" s="134">
        <v>0</v>
      </c>
      <c r="AW116" s="134">
        <v>0</v>
      </c>
      <c r="AX116" s="134">
        <v>0</v>
      </c>
      <c r="AY116" s="134">
        <v>0</v>
      </c>
      <c r="AZ116" s="134">
        <v>0</v>
      </c>
      <c r="BA116" s="134">
        <v>0</v>
      </c>
      <c r="BB116" s="134">
        <v>0</v>
      </c>
      <c r="BC116" s="134">
        <v>0</v>
      </c>
      <c r="BD116" s="134">
        <v>0</v>
      </c>
      <c r="BE116" s="134">
        <v>4.7460000000000004</v>
      </c>
      <c r="BF116" s="134">
        <v>4.7679999999999998</v>
      </c>
      <c r="BG116" s="131">
        <v>0</v>
      </c>
      <c r="BH116" s="131"/>
      <c r="BI116" s="131"/>
      <c r="BJ116" s="131"/>
      <c r="BK116" s="131"/>
      <c r="BL116" s="131"/>
      <c r="BM116" s="131"/>
      <c r="BN116" s="131"/>
    </row>
    <row r="117" spans="1:66">
      <c r="A117" s="131">
        <v>10388</v>
      </c>
      <c r="B117" s="131" t="s">
        <v>121</v>
      </c>
      <c r="C117" s="131">
        <v>0</v>
      </c>
      <c r="D117" s="131">
        <v>1</v>
      </c>
      <c r="E117" s="134">
        <v>114.91200000000001</v>
      </c>
      <c r="F117" s="134">
        <v>454.73599999999999</v>
      </c>
      <c r="G117" s="134">
        <v>518.91800000000001</v>
      </c>
      <c r="H117" s="134">
        <v>237.80600000000001</v>
      </c>
      <c r="I117" s="134">
        <v>300.81</v>
      </c>
      <c r="J117" s="134">
        <v>0.23200000000000001</v>
      </c>
      <c r="K117" s="134">
        <v>0.23200000000000001</v>
      </c>
      <c r="L117" s="133">
        <v>2038</v>
      </c>
      <c r="M117" s="133">
        <v>2032</v>
      </c>
      <c r="N117" s="134">
        <v>220.2</v>
      </c>
      <c r="O117" s="134">
        <v>223.422</v>
      </c>
      <c r="P117" s="133">
        <v>1934237</v>
      </c>
      <c r="Q117" s="133">
        <v>1957177</v>
      </c>
      <c r="R117" s="131">
        <v>112.624</v>
      </c>
      <c r="S117" s="133">
        <v>989289</v>
      </c>
      <c r="T117" s="133">
        <v>986586</v>
      </c>
      <c r="U117" s="134">
        <v>107.57599999999999</v>
      </c>
      <c r="V117" s="134">
        <v>110.798</v>
      </c>
      <c r="W117" s="134">
        <v>107.57599999999999</v>
      </c>
      <c r="X117" s="134">
        <v>110.798</v>
      </c>
      <c r="Y117" s="134">
        <v>0</v>
      </c>
      <c r="Z117" s="134">
        <v>0</v>
      </c>
      <c r="AA117" s="131">
        <v>0</v>
      </c>
      <c r="AB117" s="131">
        <v>0</v>
      </c>
      <c r="AC117" s="134">
        <v>107.57599999999999</v>
      </c>
      <c r="AD117" s="134">
        <v>110.798</v>
      </c>
      <c r="AE117" s="135">
        <v>1.6032999999999999E-2</v>
      </c>
      <c r="AF117" s="135">
        <v>1.6032999999999999E-2</v>
      </c>
      <c r="AG117" s="135">
        <v>0</v>
      </c>
      <c r="AH117" s="135">
        <v>1.6032999999999999E-2</v>
      </c>
      <c r="AI117" s="135">
        <v>1.6032999999999999E-2</v>
      </c>
      <c r="AJ117" s="135">
        <v>1.6032999999999999E-2</v>
      </c>
      <c r="AK117" s="135">
        <v>0.51197649999999995</v>
      </c>
      <c r="AL117" s="135">
        <v>0.50460090000000002</v>
      </c>
      <c r="AM117" s="135">
        <v>1.9551783</v>
      </c>
      <c r="AN117" s="135">
        <v>1.9837868000000001</v>
      </c>
      <c r="AO117" s="135">
        <v>0.1075348</v>
      </c>
      <c r="AP117" s="135">
        <v>0.10910830000000001</v>
      </c>
      <c r="AQ117" s="131">
        <v>6</v>
      </c>
      <c r="AR117" s="131">
        <v>6</v>
      </c>
      <c r="AS117" s="134">
        <v>0</v>
      </c>
      <c r="AT117" s="134">
        <v>0</v>
      </c>
      <c r="AU117" s="134">
        <v>0</v>
      </c>
      <c r="AV117" s="134">
        <v>0</v>
      </c>
      <c r="AW117" s="134">
        <v>0</v>
      </c>
      <c r="AX117" s="134">
        <v>0</v>
      </c>
      <c r="AY117" s="134">
        <v>0</v>
      </c>
      <c r="AZ117" s="134">
        <v>0</v>
      </c>
      <c r="BA117" s="134">
        <v>0</v>
      </c>
      <c r="BB117" s="134">
        <v>0</v>
      </c>
      <c r="BC117" s="134">
        <v>0</v>
      </c>
      <c r="BD117" s="134">
        <v>0</v>
      </c>
      <c r="BE117" s="134">
        <v>112.624</v>
      </c>
      <c r="BF117" s="134">
        <v>112.624</v>
      </c>
      <c r="BG117" s="131">
        <v>0</v>
      </c>
      <c r="BH117" s="131"/>
      <c r="BI117" s="131"/>
      <c r="BJ117" s="131"/>
      <c r="BK117" s="131"/>
      <c r="BL117" s="131"/>
      <c r="BM117" s="131"/>
      <c r="BN117" s="131"/>
    </row>
    <row r="118" spans="1:66">
      <c r="A118" s="131">
        <v>10391</v>
      </c>
      <c r="B118" s="131" t="s">
        <v>122</v>
      </c>
      <c r="C118" s="131">
        <v>1</v>
      </c>
      <c r="D118" s="131">
        <v>0</v>
      </c>
      <c r="E118" s="134">
        <v>30.423999999999999</v>
      </c>
      <c r="F118" s="134">
        <v>35.795999999999999</v>
      </c>
      <c r="G118" s="134">
        <v>36.351999999999997</v>
      </c>
      <c r="H118" s="134">
        <v>0</v>
      </c>
      <c r="I118" s="134">
        <v>0</v>
      </c>
      <c r="J118" s="134">
        <v>0</v>
      </c>
      <c r="K118" s="134">
        <v>0</v>
      </c>
      <c r="L118" s="133">
        <v>0</v>
      </c>
      <c r="M118" s="133">
        <v>0</v>
      </c>
      <c r="N118" s="134">
        <v>35.795999999999999</v>
      </c>
      <c r="O118" s="134">
        <v>36.351999999999997</v>
      </c>
      <c r="P118" s="133">
        <v>314432</v>
      </c>
      <c r="Q118" s="133">
        <v>318444</v>
      </c>
      <c r="R118" s="131">
        <v>29.818000000000001</v>
      </c>
      <c r="S118" s="133">
        <v>261921</v>
      </c>
      <c r="T118" s="133">
        <v>261206</v>
      </c>
      <c r="U118" s="134">
        <v>5.9779999999999998</v>
      </c>
      <c r="V118" s="134">
        <v>6.5339999999999998</v>
      </c>
      <c r="W118" s="134">
        <v>5.9779999999999998</v>
      </c>
      <c r="X118" s="134">
        <v>6.5339999999999998</v>
      </c>
      <c r="Y118" s="134">
        <v>0</v>
      </c>
      <c r="Z118" s="134">
        <v>0</v>
      </c>
      <c r="AA118" s="131">
        <v>0</v>
      </c>
      <c r="AB118" s="131">
        <v>0</v>
      </c>
      <c r="AC118" s="134">
        <v>5.9779999999999998</v>
      </c>
      <c r="AD118" s="134">
        <v>6.5339999999999998</v>
      </c>
      <c r="AE118" s="135">
        <v>4.2448E-3</v>
      </c>
      <c r="AF118" s="135">
        <v>4.2448E-3</v>
      </c>
      <c r="AG118" s="135">
        <v>0</v>
      </c>
      <c r="AH118" s="135">
        <v>4.2448E-3</v>
      </c>
      <c r="AI118" s="135">
        <v>4.2448E-3</v>
      </c>
      <c r="AJ118" s="135">
        <v>4.2448E-3</v>
      </c>
      <c r="AK118" s="135">
        <v>0.83298830000000001</v>
      </c>
      <c r="AL118" s="135">
        <v>0.82024779999999997</v>
      </c>
      <c r="AM118" s="135">
        <v>1.2004828999999999</v>
      </c>
      <c r="AN118" s="135">
        <v>1.2191293999999999</v>
      </c>
      <c r="AO118" s="135">
        <v>3.6014499999999998E-2</v>
      </c>
      <c r="AP118" s="135">
        <v>3.6573899999999999E-2</v>
      </c>
      <c r="AQ118" s="131">
        <v>1</v>
      </c>
      <c r="AR118" s="131">
        <v>1</v>
      </c>
      <c r="AS118" s="134">
        <v>0</v>
      </c>
      <c r="AT118" s="134">
        <v>0</v>
      </c>
      <c r="AU118" s="134">
        <v>5.9779999999999998</v>
      </c>
      <c r="AV118" s="134">
        <v>6.5339999999999998</v>
      </c>
      <c r="AW118" s="134">
        <v>0</v>
      </c>
      <c r="AX118" s="134">
        <v>0</v>
      </c>
      <c r="AY118" s="134">
        <v>0</v>
      </c>
      <c r="AZ118" s="134">
        <v>0</v>
      </c>
      <c r="BA118" s="134">
        <v>0</v>
      </c>
      <c r="BB118" s="134">
        <v>0</v>
      </c>
      <c r="BC118" s="134">
        <v>0</v>
      </c>
      <c r="BD118" s="134">
        <v>0</v>
      </c>
      <c r="BE118" s="134">
        <v>35.795999999999999</v>
      </c>
      <c r="BF118" s="134">
        <v>36.351999999999997</v>
      </c>
      <c r="BG118" s="131">
        <v>1</v>
      </c>
      <c r="BH118" s="131"/>
      <c r="BI118" s="131"/>
      <c r="BJ118" s="131"/>
      <c r="BK118" s="131"/>
      <c r="BL118" s="131"/>
      <c r="BM118" s="131"/>
      <c r="BN118" s="131"/>
    </row>
    <row r="119" spans="1:66">
      <c r="A119" s="131">
        <v>10406</v>
      </c>
      <c r="B119" s="131" t="s">
        <v>123</v>
      </c>
      <c r="C119" s="131">
        <v>1</v>
      </c>
      <c r="D119" s="131">
        <v>0</v>
      </c>
      <c r="E119" s="134">
        <v>0.46500000000000002</v>
      </c>
      <c r="F119" s="134">
        <v>0.64</v>
      </c>
      <c r="G119" s="134">
        <v>0.64</v>
      </c>
      <c r="H119" s="134">
        <v>0</v>
      </c>
      <c r="I119" s="134">
        <v>0</v>
      </c>
      <c r="J119" s="134">
        <v>0</v>
      </c>
      <c r="K119" s="134">
        <v>0</v>
      </c>
      <c r="L119" s="133">
        <v>0</v>
      </c>
      <c r="M119" s="133">
        <v>0</v>
      </c>
      <c r="N119" s="134">
        <v>0.64</v>
      </c>
      <c r="O119" s="134">
        <v>0.64</v>
      </c>
      <c r="P119" s="133">
        <v>5622</v>
      </c>
      <c r="Q119" s="133">
        <v>5606</v>
      </c>
      <c r="R119" s="131">
        <v>0.45600000000000002</v>
      </c>
      <c r="S119" s="133">
        <v>4006</v>
      </c>
      <c r="T119" s="133">
        <v>3995</v>
      </c>
      <c r="U119" s="134">
        <v>0.184</v>
      </c>
      <c r="V119" s="134">
        <v>0.184</v>
      </c>
      <c r="W119" s="134">
        <v>0</v>
      </c>
      <c r="X119" s="134">
        <v>0</v>
      </c>
      <c r="Y119" s="134">
        <v>0.184</v>
      </c>
      <c r="Z119" s="134">
        <v>0.184</v>
      </c>
      <c r="AA119" s="131">
        <v>0</v>
      </c>
      <c r="AB119" s="131">
        <v>0</v>
      </c>
      <c r="AC119" s="134">
        <v>0</v>
      </c>
      <c r="AD119" s="134">
        <v>0</v>
      </c>
      <c r="AE119" s="135">
        <v>6.4900000000000005E-5</v>
      </c>
      <c r="AF119" s="135">
        <v>6.4900000000000005E-5</v>
      </c>
      <c r="AG119" s="135">
        <v>0</v>
      </c>
      <c r="AH119" s="135">
        <v>6.4900000000000005E-5</v>
      </c>
      <c r="AI119" s="135">
        <v>6.4900000000000005E-5</v>
      </c>
      <c r="AJ119" s="135">
        <v>6.4900000000000005E-5</v>
      </c>
      <c r="AK119" s="135">
        <v>0.7123294</v>
      </c>
      <c r="AL119" s="135">
        <v>0.7123294</v>
      </c>
      <c r="AM119" s="135">
        <v>1.4035088</v>
      </c>
      <c r="AN119" s="135">
        <v>1.4035088</v>
      </c>
      <c r="AO119" s="135">
        <v>0</v>
      </c>
      <c r="AP119" s="135">
        <v>0</v>
      </c>
      <c r="AQ119" s="131">
        <v>1</v>
      </c>
      <c r="AR119" s="131">
        <v>1</v>
      </c>
      <c r="AS119" s="134">
        <v>0</v>
      </c>
      <c r="AT119" s="134">
        <v>0</v>
      </c>
      <c r="AU119" s="134">
        <v>0</v>
      </c>
      <c r="AV119" s="134">
        <v>0</v>
      </c>
      <c r="AW119" s="134">
        <v>0</v>
      </c>
      <c r="AX119" s="134">
        <v>0</v>
      </c>
      <c r="AY119" s="134">
        <v>0</v>
      </c>
      <c r="AZ119" s="134">
        <v>0</v>
      </c>
      <c r="BA119" s="134">
        <v>0</v>
      </c>
      <c r="BB119" s="134">
        <v>0</v>
      </c>
      <c r="BC119" s="134">
        <v>0</v>
      </c>
      <c r="BD119" s="134">
        <v>0</v>
      </c>
      <c r="BE119" s="134">
        <v>0.64</v>
      </c>
      <c r="BF119" s="134">
        <v>0.64</v>
      </c>
      <c r="BG119" s="131">
        <v>0</v>
      </c>
      <c r="BH119" s="131"/>
      <c r="BI119" s="131"/>
      <c r="BJ119" s="131"/>
      <c r="BK119" s="131"/>
      <c r="BL119" s="131"/>
      <c r="BM119" s="131"/>
      <c r="BN119" s="131"/>
    </row>
    <row r="120" spans="1:66">
      <c r="A120" s="131">
        <v>10408</v>
      </c>
      <c r="B120" s="131" t="s">
        <v>124</v>
      </c>
      <c r="C120" s="131">
        <v>1</v>
      </c>
      <c r="D120" s="131">
        <v>0</v>
      </c>
      <c r="E120" s="134">
        <v>1.55</v>
      </c>
      <c r="F120" s="134">
        <v>1.611</v>
      </c>
      <c r="G120" s="134">
        <v>1.61</v>
      </c>
      <c r="H120" s="134">
        <v>0</v>
      </c>
      <c r="I120" s="134">
        <v>0</v>
      </c>
      <c r="J120" s="134">
        <v>0</v>
      </c>
      <c r="K120" s="134">
        <v>0</v>
      </c>
      <c r="L120" s="133">
        <v>0</v>
      </c>
      <c r="M120" s="133">
        <v>0</v>
      </c>
      <c r="N120" s="134">
        <v>1.486</v>
      </c>
      <c r="O120" s="134">
        <v>1.4850000000000001</v>
      </c>
      <c r="P120" s="133">
        <v>13053</v>
      </c>
      <c r="Q120" s="133">
        <v>13009</v>
      </c>
      <c r="R120" s="131">
        <v>1.5189999999999999</v>
      </c>
      <c r="S120" s="133">
        <v>13343</v>
      </c>
      <c r="T120" s="133">
        <v>13306</v>
      </c>
      <c r="U120" s="134">
        <v>0</v>
      </c>
      <c r="V120" s="134">
        <v>0</v>
      </c>
      <c r="W120" s="134">
        <v>0</v>
      </c>
      <c r="X120" s="134">
        <v>0</v>
      </c>
      <c r="Y120" s="134">
        <v>0</v>
      </c>
      <c r="Z120" s="134">
        <v>0</v>
      </c>
      <c r="AA120" s="131">
        <v>0</v>
      </c>
      <c r="AB120" s="131">
        <v>0</v>
      </c>
      <c r="AC120" s="134">
        <v>0</v>
      </c>
      <c r="AD120" s="134">
        <v>0</v>
      </c>
      <c r="AE120" s="135">
        <v>2.1149999999999999E-4</v>
      </c>
      <c r="AF120" s="135">
        <v>2.1139999999999999E-4</v>
      </c>
      <c r="AG120" s="135">
        <v>0</v>
      </c>
      <c r="AH120" s="135">
        <v>2.1149999999999999E-4</v>
      </c>
      <c r="AI120" s="135">
        <v>2.1139999999999999E-4</v>
      </c>
      <c r="AJ120" s="135">
        <v>2.1149999999999999E-4</v>
      </c>
      <c r="AK120" s="135">
        <v>0.99978750000000005</v>
      </c>
      <c r="AL120" s="135">
        <v>0.99998779999999998</v>
      </c>
      <c r="AM120" s="135">
        <v>1</v>
      </c>
      <c r="AN120" s="135">
        <v>1</v>
      </c>
      <c r="AO120" s="135">
        <v>0</v>
      </c>
      <c r="AP120" s="135">
        <v>0</v>
      </c>
      <c r="AQ120" s="131">
        <v>1</v>
      </c>
      <c r="AR120" s="131">
        <v>1</v>
      </c>
      <c r="AS120" s="134">
        <v>0</v>
      </c>
      <c r="AT120" s="134">
        <v>0</v>
      </c>
      <c r="AU120" s="134">
        <v>0</v>
      </c>
      <c r="AV120" s="134">
        <v>0</v>
      </c>
      <c r="AW120" s="134">
        <v>0</v>
      </c>
      <c r="AX120" s="134">
        <v>0</v>
      </c>
      <c r="AY120" s="134">
        <v>0</v>
      </c>
      <c r="AZ120" s="134">
        <v>0</v>
      </c>
      <c r="BA120" s="134">
        <v>0</v>
      </c>
      <c r="BB120" s="134">
        <v>0</v>
      </c>
      <c r="BC120" s="134">
        <v>0</v>
      </c>
      <c r="BD120" s="134">
        <v>0</v>
      </c>
      <c r="BE120" s="134">
        <v>1.486</v>
      </c>
      <c r="BF120" s="134">
        <v>1.4850000000000001</v>
      </c>
      <c r="BG120" s="131">
        <v>0</v>
      </c>
      <c r="BH120" s="131"/>
      <c r="BI120" s="131"/>
      <c r="BJ120" s="131"/>
      <c r="BK120" s="131"/>
      <c r="BL120" s="131"/>
      <c r="BM120" s="131"/>
      <c r="BN120" s="131"/>
    </row>
    <row r="121" spans="1:66">
      <c r="A121" s="131">
        <v>10409</v>
      </c>
      <c r="B121" s="131" t="s">
        <v>125</v>
      </c>
      <c r="C121" s="131">
        <v>1</v>
      </c>
      <c r="D121" s="131">
        <v>0</v>
      </c>
      <c r="E121" s="134">
        <v>20.725999999999999</v>
      </c>
      <c r="F121" s="134">
        <v>19.59</v>
      </c>
      <c r="G121" s="142">
        <v>22.632999999999999</v>
      </c>
      <c r="H121" s="134">
        <v>0</v>
      </c>
      <c r="I121" s="134">
        <v>0</v>
      </c>
      <c r="J121" s="134">
        <v>0</v>
      </c>
      <c r="K121" s="134">
        <v>0</v>
      </c>
      <c r="L121" s="133">
        <v>0</v>
      </c>
      <c r="M121" s="133">
        <v>0</v>
      </c>
      <c r="N121" s="134">
        <v>19.513000000000002</v>
      </c>
      <c r="O121" s="134">
        <v>19.512</v>
      </c>
      <c r="P121" s="133">
        <v>171402</v>
      </c>
      <c r="Q121" s="133">
        <v>170925</v>
      </c>
      <c r="R121" s="131">
        <v>20.312999999999999</v>
      </c>
      <c r="S121" s="133">
        <v>178429</v>
      </c>
      <c r="T121" s="133">
        <v>177942</v>
      </c>
      <c r="U121" s="134">
        <v>0</v>
      </c>
      <c r="V121" s="134">
        <v>0</v>
      </c>
      <c r="W121" s="134">
        <v>0</v>
      </c>
      <c r="X121" s="134">
        <v>0</v>
      </c>
      <c r="Y121" s="134">
        <v>0</v>
      </c>
      <c r="Z121" s="134">
        <v>0</v>
      </c>
      <c r="AA121" s="131">
        <v>0</v>
      </c>
      <c r="AB121" s="131">
        <v>0</v>
      </c>
      <c r="AC121" s="134">
        <v>0</v>
      </c>
      <c r="AD121" s="134">
        <v>0</v>
      </c>
      <c r="AE121" s="135">
        <v>2.7778E-3</v>
      </c>
      <c r="AF121" s="135">
        <v>2.7777000000000001E-3</v>
      </c>
      <c r="AG121" s="135">
        <v>0</v>
      </c>
      <c r="AH121" s="135">
        <v>2.7778E-3</v>
      </c>
      <c r="AI121" s="135">
        <v>2.7777000000000001E-3</v>
      </c>
      <c r="AJ121" s="135">
        <v>2.7778E-3</v>
      </c>
      <c r="AK121" s="135">
        <v>0.99998410000000004</v>
      </c>
      <c r="AL121" s="135">
        <v>0.99999930000000004</v>
      </c>
      <c r="AM121" s="135">
        <v>1</v>
      </c>
      <c r="AN121" s="135">
        <v>1</v>
      </c>
      <c r="AO121" s="135">
        <v>0</v>
      </c>
      <c r="AP121" s="135">
        <v>0</v>
      </c>
      <c r="AQ121" s="131">
        <v>1</v>
      </c>
      <c r="AR121" s="131">
        <v>1</v>
      </c>
      <c r="AS121" s="134">
        <v>0</v>
      </c>
      <c r="AT121" s="134">
        <v>0</v>
      </c>
      <c r="AU121" s="134">
        <v>0</v>
      </c>
      <c r="AV121" s="134">
        <v>0</v>
      </c>
      <c r="AW121" s="134">
        <v>0</v>
      </c>
      <c r="AX121" s="134">
        <v>0</v>
      </c>
      <c r="AY121" s="134">
        <v>0</v>
      </c>
      <c r="AZ121" s="134">
        <v>0</v>
      </c>
      <c r="BA121" s="134">
        <v>0</v>
      </c>
      <c r="BB121" s="134">
        <v>0</v>
      </c>
      <c r="BC121" s="134">
        <v>0</v>
      </c>
      <c r="BD121" s="134">
        <v>0</v>
      </c>
      <c r="BE121" s="134">
        <v>19.513000000000002</v>
      </c>
      <c r="BF121" s="134">
        <v>19.512</v>
      </c>
      <c r="BG121" s="131">
        <v>0</v>
      </c>
      <c r="BH121" s="131"/>
      <c r="BI121" s="131"/>
      <c r="BJ121" s="131"/>
      <c r="BK121" s="131"/>
      <c r="BL121" s="131"/>
      <c r="BM121" s="131"/>
      <c r="BN121" s="131"/>
    </row>
    <row r="122" spans="1:66">
      <c r="A122" s="138">
        <v>10426</v>
      </c>
      <c r="B122" s="138" t="s">
        <v>126</v>
      </c>
      <c r="C122" s="138">
        <v>1</v>
      </c>
      <c r="D122" s="138">
        <v>0</v>
      </c>
      <c r="E122" s="142">
        <v>35.594999999999999</v>
      </c>
      <c r="F122" s="142">
        <v>30.436</v>
      </c>
      <c r="G122" s="142">
        <v>35.426000000000002</v>
      </c>
      <c r="H122" s="134">
        <v>0</v>
      </c>
      <c r="I122" s="134">
        <v>0</v>
      </c>
      <c r="J122" s="134">
        <v>0</v>
      </c>
      <c r="K122" s="134">
        <v>0</v>
      </c>
      <c r="L122" s="133">
        <v>0</v>
      </c>
      <c r="M122" s="133">
        <v>0</v>
      </c>
      <c r="N122" s="134">
        <v>30.58</v>
      </c>
      <c r="O122" s="134">
        <v>35.594999999999999</v>
      </c>
      <c r="P122" s="133">
        <v>268615</v>
      </c>
      <c r="Q122" s="133">
        <v>311812</v>
      </c>
      <c r="R122" s="131">
        <v>34.886000000000003</v>
      </c>
      <c r="S122" s="133">
        <v>306439</v>
      </c>
      <c r="T122" s="133">
        <v>305601</v>
      </c>
      <c r="U122" s="134">
        <v>0</v>
      </c>
      <c r="V122" s="134">
        <v>0.70899999999999996</v>
      </c>
      <c r="W122" s="134">
        <v>0</v>
      </c>
      <c r="X122" s="134">
        <v>0</v>
      </c>
      <c r="Y122" s="134">
        <v>0</v>
      </c>
      <c r="Z122" s="134">
        <v>0.70899999999999996</v>
      </c>
      <c r="AA122" s="131">
        <v>0</v>
      </c>
      <c r="AB122" s="131">
        <v>0</v>
      </c>
      <c r="AC122" s="134">
        <v>0</v>
      </c>
      <c r="AD122" s="134">
        <v>0</v>
      </c>
      <c r="AE122" s="135">
        <v>4.3533000000000001E-3</v>
      </c>
      <c r="AF122" s="135">
        <v>4.9662999999999999E-3</v>
      </c>
      <c r="AG122" s="135">
        <v>0</v>
      </c>
      <c r="AH122" s="135">
        <v>4.3533000000000001E-3</v>
      </c>
      <c r="AI122" s="135">
        <v>4.9662999999999999E-3</v>
      </c>
      <c r="AJ122" s="135">
        <v>4.6598000000000004E-3</v>
      </c>
      <c r="AK122" s="135">
        <v>0.99999369999999999</v>
      </c>
      <c r="AL122" s="135">
        <v>0.98007679999999997</v>
      </c>
      <c r="AM122" s="135">
        <v>1</v>
      </c>
      <c r="AN122" s="135">
        <v>1.0203233</v>
      </c>
      <c r="AO122" s="135">
        <v>0</v>
      </c>
      <c r="AP122" s="135">
        <v>0</v>
      </c>
      <c r="AQ122" s="131">
        <v>1</v>
      </c>
      <c r="AR122" s="131">
        <v>1</v>
      </c>
      <c r="AS122" s="134">
        <v>0</v>
      </c>
      <c r="AT122" s="134">
        <v>0</v>
      </c>
      <c r="AU122" s="134">
        <v>0</v>
      </c>
      <c r="AV122" s="134">
        <v>0</v>
      </c>
      <c r="AW122" s="134">
        <v>0</v>
      </c>
      <c r="AX122" s="134">
        <v>0</v>
      </c>
      <c r="AY122" s="134">
        <v>0</v>
      </c>
      <c r="AZ122" s="134">
        <v>0</v>
      </c>
      <c r="BA122" s="134">
        <v>0</v>
      </c>
      <c r="BB122" s="134">
        <v>0</v>
      </c>
      <c r="BC122" s="134">
        <v>0</v>
      </c>
      <c r="BD122" s="134">
        <v>0</v>
      </c>
      <c r="BE122" s="134">
        <v>30.58</v>
      </c>
      <c r="BF122" s="134">
        <v>35.594999999999999</v>
      </c>
      <c r="BG122" s="131">
        <v>0</v>
      </c>
      <c r="BH122" s="131"/>
      <c r="BI122" s="131"/>
      <c r="BJ122" s="131"/>
      <c r="BK122" s="131"/>
      <c r="BL122" s="131"/>
      <c r="BM122" s="131"/>
      <c r="BN122" s="131"/>
    </row>
    <row r="123" spans="1:66">
      <c r="A123" s="138">
        <v>10434</v>
      </c>
      <c r="B123" s="138" t="s">
        <v>127</v>
      </c>
      <c r="C123" s="138">
        <v>1</v>
      </c>
      <c r="D123" s="138">
        <v>0</v>
      </c>
      <c r="E123" s="142">
        <v>27.562000000000001</v>
      </c>
      <c r="F123" s="142">
        <v>28.291</v>
      </c>
      <c r="G123" s="142">
        <v>28.51</v>
      </c>
      <c r="H123" s="134">
        <v>0</v>
      </c>
      <c r="I123" s="134">
        <v>0</v>
      </c>
      <c r="J123" s="134">
        <v>0</v>
      </c>
      <c r="K123" s="134">
        <v>0</v>
      </c>
      <c r="L123" s="133">
        <v>0</v>
      </c>
      <c r="M123" s="133">
        <v>0</v>
      </c>
      <c r="N123" s="134">
        <v>28.288</v>
      </c>
      <c r="O123" s="134">
        <v>28.507999999999999</v>
      </c>
      <c r="P123" s="133">
        <v>248482</v>
      </c>
      <c r="Q123" s="133">
        <v>249730</v>
      </c>
      <c r="R123" s="131">
        <v>27.013000000000002</v>
      </c>
      <c r="S123" s="133">
        <v>237282</v>
      </c>
      <c r="T123" s="133">
        <v>236634</v>
      </c>
      <c r="U123" s="134">
        <v>1.2749999999999999</v>
      </c>
      <c r="V123" s="134">
        <v>1.4950000000000001</v>
      </c>
      <c r="W123" s="134">
        <v>1.2749999999999999</v>
      </c>
      <c r="X123" s="134">
        <v>1.4950000000000001</v>
      </c>
      <c r="Y123" s="134">
        <v>0</v>
      </c>
      <c r="Z123" s="134">
        <v>0</v>
      </c>
      <c r="AA123" s="131">
        <v>0</v>
      </c>
      <c r="AB123" s="131">
        <v>0</v>
      </c>
      <c r="AC123" s="134">
        <v>1.2749999999999999</v>
      </c>
      <c r="AD123" s="134">
        <v>1.4950000000000001</v>
      </c>
      <c r="AE123" s="135">
        <v>3.8455E-3</v>
      </c>
      <c r="AF123" s="135">
        <v>3.8455E-3</v>
      </c>
      <c r="AG123" s="135">
        <v>0</v>
      </c>
      <c r="AH123" s="135">
        <v>3.8455E-3</v>
      </c>
      <c r="AI123" s="135">
        <v>3.8455E-3</v>
      </c>
      <c r="AJ123" s="135">
        <v>3.8455E-3</v>
      </c>
      <c r="AK123" s="135">
        <v>0.95491939999999997</v>
      </c>
      <c r="AL123" s="135">
        <v>0.94755020000000001</v>
      </c>
      <c r="AM123" s="135">
        <v>1.0471995000000001</v>
      </c>
      <c r="AN123" s="135">
        <v>1.0553437000000001</v>
      </c>
      <c r="AO123" s="135">
        <v>0</v>
      </c>
      <c r="AP123" s="135">
        <v>0</v>
      </c>
      <c r="AQ123" s="131">
        <v>3</v>
      </c>
      <c r="AR123" s="131">
        <v>3</v>
      </c>
      <c r="AS123" s="134">
        <v>10</v>
      </c>
      <c r="AT123" s="134">
        <v>10</v>
      </c>
      <c r="AU123" s="134">
        <v>0.27500000000000002</v>
      </c>
      <c r="AV123" s="134">
        <v>0.495</v>
      </c>
      <c r="AW123" s="134">
        <v>0</v>
      </c>
      <c r="AX123" s="134">
        <v>0</v>
      </c>
      <c r="AY123" s="134">
        <v>0</v>
      </c>
      <c r="AZ123" s="134">
        <v>0</v>
      </c>
      <c r="BA123" s="134">
        <v>0</v>
      </c>
      <c r="BB123" s="134">
        <v>0</v>
      </c>
      <c r="BC123" s="134">
        <v>0</v>
      </c>
      <c r="BD123" s="134">
        <v>0</v>
      </c>
      <c r="BE123" s="134">
        <v>27.288</v>
      </c>
      <c r="BF123" s="134">
        <v>27.507999999999999</v>
      </c>
      <c r="BG123" s="131">
        <v>1</v>
      </c>
      <c r="BH123" s="131"/>
      <c r="BI123" s="131"/>
      <c r="BJ123" s="131"/>
      <c r="BK123" s="131"/>
      <c r="BL123" s="131"/>
      <c r="BM123" s="131"/>
      <c r="BN123" s="131"/>
    </row>
    <row r="124" spans="1:66">
      <c r="A124" s="138">
        <v>10436</v>
      </c>
      <c r="B124" s="138" t="s">
        <v>128</v>
      </c>
      <c r="C124" s="138">
        <v>1</v>
      </c>
      <c r="D124" s="138">
        <v>0</v>
      </c>
      <c r="E124" s="142">
        <v>19.437999999999999</v>
      </c>
      <c r="F124" s="142">
        <v>20.789000000000001</v>
      </c>
      <c r="G124" s="142">
        <v>21.038</v>
      </c>
      <c r="H124" s="134">
        <v>0</v>
      </c>
      <c r="I124" s="134">
        <v>0</v>
      </c>
      <c r="J124" s="134">
        <v>0</v>
      </c>
      <c r="K124" s="134">
        <v>0</v>
      </c>
      <c r="L124" s="133">
        <v>0</v>
      </c>
      <c r="M124" s="133">
        <v>0</v>
      </c>
      <c r="N124" s="134">
        <v>21.093</v>
      </c>
      <c r="O124" s="134">
        <v>21.324000000000002</v>
      </c>
      <c r="P124" s="133">
        <v>185281</v>
      </c>
      <c r="Q124" s="133">
        <v>186798</v>
      </c>
      <c r="R124" s="131">
        <v>19.050999999999998</v>
      </c>
      <c r="S124" s="133">
        <v>167344</v>
      </c>
      <c r="T124" s="133">
        <v>166887</v>
      </c>
      <c r="U124" s="134">
        <v>2.0419999999999998</v>
      </c>
      <c r="V124" s="134">
        <v>2.2730000000000001</v>
      </c>
      <c r="W124" s="134">
        <v>2.0419999999999998</v>
      </c>
      <c r="X124" s="134">
        <v>2.2730000000000001</v>
      </c>
      <c r="Y124" s="134">
        <v>0</v>
      </c>
      <c r="Z124" s="134">
        <v>0</v>
      </c>
      <c r="AA124" s="131">
        <v>0</v>
      </c>
      <c r="AB124" s="131">
        <v>0</v>
      </c>
      <c r="AC124" s="134">
        <v>2.0419999999999998</v>
      </c>
      <c r="AD124" s="134">
        <v>2.2730000000000001</v>
      </c>
      <c r="AE124" s="135">
        <v>2.7120999999999998E-3</v>
      </c>
      <c r="AF124" s="135">
        <v>2.7120999999999998E-3</v>
      </c>
      <c r="AG124" s="135">
        <v>0</v>
      </c>
      <c r="AH124" s="135">
        <v>2.7120999999999998E-3</v>
      </c>
      <c r="AI124" s="135">
        <v>2.7120999999999998E-3</v>
      </c>
      <c r="AJ124" s="135">
        <v>2.7120999999999998E-3</v>
      </c>
      <c r="AK124" s="135">
        <v>0.90319910000000003</v>
      </c>
      <c r="AL124" s="135">
        <v>0.89341490000000001</v>
      </c>
      <c r="AM124" s="135">
        <v>1.107186</v>
      </c>
      <c r="AN124" s="135">
        <v>1.1193112999999999</v>
      </c>
      <c r="AO124" s="135">
        <v>7.7503000000000002E-2</v>
      </c>
      <c r="AP124" s="135">
        <v>7.8351799999999999E-2</v>
      </c>
      <c r="AQ124" s="131">
        <v>1</v>
      </c>
      <c r="AR124" s="131">
        <v>1</v>
      </c>
      <c r="AS124" s="134">
        <v>0</v>
      </c>
      <c r="AT124" s="134">
        <v>0</v>
      </c>
      <c r="AU124" s="134">
        <v>2.0419999999999998</v>
      </c>
      <c r="AV124" s="134">
        <v>2.2730000000000001</v>
      </c>
      <c r="AW124" s="134">
        <v>0</v>
      </c>
      <c r="AX124" s="134">
        <v>0</v>
      </c>
      <c r="AY124" s="134">
        <v>0</v>
      </c>
      <c r="AZ124" s="134">
        <v>0</v>
      </c>
      <c r="BA124" s="134">
        <v>0</v>
      </c>
      <c r="BB124" s="134">
        <v>0</v>
      </c>
      <c r="BC124" s="134">
        <v>0</v>
      </c>
      <c r="BD124" s="134">
        <v>0</v>
      </c>
      <c r="BE124" s="134">
        <v>21.093</v>
      </c>
      <c r="BF124" s="134">
        <v>21.324000000000002</v>
      </c>
      <c r="BG124" s="131">
        <v>1</v>
      </c>
      <c r="BH124" s="131"/>
      <c r="BI124" s="131"/>
      <c r="BJ124" s="131"/>
      <c r="BK124" s="131"/>
      <c r="BL124" s="131"/>
      <c r="BM124" s="131"/>
      <c r="BN124" s="131"/>
    </row>
    <row r="125" spans="1:66">
      <c r="A125" s="138">
        <v>10440</v>
      </c>
      <c r="B125" s="138" t="s">
        <v>129</v>
      </c>
      <c r="C125" s="138">
        <v>1</v>
      </c>
      <c r="D125" s="138">
        <v>0</v>
      </c>
      <c r="E125" s="142">
        <v>5.08</v>
      </c>
      <c r="F125" s="142">
        <v>4.9249999999999998</v>
      </c>
      <c r="G125" s="142">
        <v>4.9210000000000003</v>
      </c>
      <c r="H125" s="134">
        <v>0</v>
      </c>
      <c r="I125" s="134">
        <v>0</v>
      </c>
      <c r="J125" s="134">
        <v>0</v>
      </c>
      <c r="K125" s="134">
        <v>0</v>
      </c>
      <c r="L125" s="133">
        <v>0</v>
      </c>
      <c r="M125" s="133">
        <v>0</v>
      </c>
      <c r="N125" s="134">
        <v>4.9249999999999998</v>
      </c>
      <c r="O125" s="134">
        <v>4.9210000000000003</v>
      </c>
      <c r="P125" s="133">
        <v>43261</v>
      </c>
      <c r="Q125" s="133">
        <v>43108</v>
      </c>
      <c r="R125" s="131">
        <v>4.9790000000000001</v>
      </c>
      <c r="S125" s="133">
        <v>43736</v>
      </c>
      <c r="T125" s="133">
        <v>43616</v>
      </c>
      <c r="U125" s="134">
        <v>0</v>
      </c>
      <c r="V125" s="134">
        <v>0</v>
      </c>
      <c r="W125" s="134">
        <v>0</v>
      </c>
      <c r="X125" s="134">
        <v>0</v>
      </c>
      <c r="Y125" s="134">
        <v>0</v>
      </c>
      <c r="Z125" s="134">
        <v>0</v>
      </c>
      <c r="AA125" s="131">
        <v>0</v>
      </c>
      <c r="AB125" s="131">
        <v>0</v>
      </c>
      <c r="AC125" s="134">
        <v>0</v>
      </c>
      <c r="AD125" s="134">
        <v>0</v>
      </c>
      <c r="AE125" s="135">
        <v>7.0109999999999997E-4</v>
      </c>
      <c r="AF125" s="135">
        <v>7.0049999999999995E-4</v>
      </c>
      <c r="AG125" s="135">
        <v>0</v>
      </c>
      <c r="AH125" s="135">
        <v>7.0109999999999997E-4</v>
      </c>
      <c r="AI125" s="135">
        <v>7.0049999999999995E-4</v>
      </c>
      <c r="AJ125" s="135">
        <v>7.0080000000000001E-4</v>
      </c>
      <c r="AK125" s="135">
        <v>0.99997670000000005</v>
      </c>
      <c r="AL125" s="135">
        <v>0.99993310000000002</v>
      </c>
      <c r="AM125" s="135">
        <v>1</v>
      </c>
      <c r="AN125" s="135">
        <v>1</v>
      </c>
      <c r="AO125" s="135">
        <v>5.5E-2</v>
      </c>
      <c r="AP125" s="135">
        <v>5.5E-2</v>
      </c>
      <c r="AQ125" s="131">
        <v>1</v>
      </c>
      <c r="AR125" s="131">
        <v>1</v>
      </c>
      <c r="AS125" s="134">
        <v>0</v>
      </c>
      <c r="AT125" s="134">
        <v>0</v>
      </c>
      <c r="AU125" s="134">
        <v>0</v>
      </c>
      <c r="AV125" s="134">
        <v>0</v>
      </c>
      <c r="AW125" s="134">
        <v>0</v>
      </c>
      <c r="AX125" s="134">
        <v>0</v>
      </c>
      <c r="AY125" s="134">
        <v>0</v>
      </c>
      <c r="AZ125" s="134">
        <v>0</v>
      </c>
      <c r="BA125" s="134">
        <v>0</v>
      </c>
      <c r="BB125" s="134">
        <v>0</v>
      </c>
      <c r="BC125" s="134">
        <v>0</v>
      </c>
      <c r="BD125" s="134">
        <v>0</v>
      </c>
      <c r="BE125" s="134">
        <v>4.9249999999999998</v>
      </c>
      <c r="BF125" s="134">
        <v>4.9210000000000003</v>
      </c>
      <c r="BG125" s="131">
        <v>0</v>
      </c>
      <c r="BH125" s="131"/>
      <c r="BI125" s="131"/>
      <c r="BJ125" s="131"/>
      <c r="BK125" s="131"/>
      <c r="BL125" s="131"/>
      <c r="BM125" s="131"/>
      <c r="BN125" s="131"/>
    </row>
    <row r="126" spans="1:66">
      <c r="A126" s="138">
        <v>10442</v>
      </c>
      <c r="B126" s="138" t="s">
        <v>130</v>
      </c>
      <c r="C126" s="138">
        <v>1</v>
      </c>
      <c r="D126" s="138">
        <v>0</v>
      </c>
      <c r="E126" s="142">
        <v>13.596</v>
      </c>
      <c r="F126" s="142">
        <v>12.571999999999999</v>
      </c>
      <c r="G126" s="142">
        <v>12.63</v>
      </c>
      <c r="H126" s="134">
        <v>0</v>
      </c>
      <c r="I126" s="134">
        <v>0</v>
      </c>
      <c r="J126" s="134">
        <v>0</v>
      </c>
      <c r="K126" s="134">
        <v>0</v>
      </c>
      <c r="L126" s="133">
        <v>0</v>
      </c>
      <c r="M126" s="133">
        <v>0</v>
      </c>
      <c r="N126" s="134">
        <v>12.571999999999999</v>
      </c>
      <c r="O126" s="134">
        <v>12.63</v>
      </c>
      <c r="P126" s="133">
        <v>110432</v>
      </c>
      <c r="Q126" s="133">
        <v>110639</v>
      </c>
      <c r="R126" s="131">
        <v>13.324999999999999</v>
      </c>
      <c r="S126" s="133">
        <v>117047</v>
      </c>
      <c r="T126" s="133">
        <v>116727</v>
      </c>
      <c r="U126" s="134">
        <v>0</v>
      </c>
      <c r="V126" s="134">
        <v>0</v>
      </c>
      <c r="W126" s="134">
        <v>0</v>
      </c>
      <c r="X126" s="134">
        <v>0</v>
      </c>
      <c r="Y126" s="134">
        <v>0</v>
      </c>
      <c r="Z126" s="134">
        <v>0</v>
      </c>
      <c r="AA126" s="131">
        <v>0</v>
      </c>
      <c r="AB126" s="131">
        <v>0</v>
      </c>
      <c r="AC126" s="134">
        <v>0</v>
      </c>
      <c r="AD126" s="134">
        <v>0</v>
      </c>
      <c r="AE126" s="135">
        <v>1.7897E-3</v>
      </c>
      <c r="AF126" s="135">
        <v>1.7979999999999999E-3</v>
      </c>
      <c r="AG126" s="135">
        <v>0</v>
      </c>
      <c r="AH126" s="135">
        <v>1.7897E-3</v>
      </c>
      <c r="AI126" s="135">
        <v>1.7979999999999999E-3</v>
      </c>
      <c r="AJ126" s="135">
        <v>1.7939E-3</v>
      </c>
      <c r="AK126" s="135">
        <v>0.99998160000000003</v>
      </c>
      <c r="AL126" s="135">
        <v>1</v>
      </c>
      <c r="AM126" s="135">
        <v>1</v>
      </c>
      <c r="AN126" s="135">
        <v>1</v>
      </c>
      <c r="AO126" s="135">
        <v>7.0000000000000007E-2</v>
      </c>
      <c r="AP126" s="135">
        <v>7.0000000000000007E-2</v>
      </c>
      <c r="AQ126" s="131">
        <v>1</v>
      </c>
      <c r="AR126" s="131">
        <v>1</v>
      </c>
      <c r="AS126" s="134">
        <v>0</v>
      </c>
      <c r="AT126" s="134">
        <v>0</v>
      </c>
      <c r="AU126" s="134">
        <v>0</v>
      </c>
      <c r="AV126" s="134">
        <v>0</v>
      </c>
      <c r="AW126" s="134">
        <v>0</v>
      </c>
      <c r="AX126" s="134">
        <v>0</v>
      </c>
      <c r="AY126" s="134">
        <v>0</v>
      </c>
      <c r="AZ126" s="134">
        <v>0</v>
      </c>
      <c r="BA126" s="134">
        <v>0</v>
      </c>
      <c r="BB126" s="134">
        <v>0</v>
      </c>
      <c r="BC126" s="134">
        <v>0</v>
      </c>
      <c r="BD126" s="134">
        <v>0</v>
      </c>
      <c r="BE126" s="134">
        <v>12.571999999999999</v>
      </c>
      <c r="BF126" s="134">
        <v>12.63</v>
      </c>
      <c r="BG126" s="131">
        <v>1</v>
      </c>
      <c r="BH126" s="131"/>
      <c r="BI126" s="131"/>
      <c r="BJ126" s="131"/>
      <c r="BK126" s="131"/>
      <c r="BL126" s="131"/>
      <c r="BM126" s="131"/>
      <c r="BN126" s="131"/>
    </row>
    <row r="127" spans="1:66">
      <c r="A127" s="138">
        <v>10446</v>
      </c>
      <c r="B127" s="138" t="s">
        <v>131</v>
      </c>
      <c r="C127" s="138">
        <v>1</v>
      </c>
      <c r="D127" s="138">
        <v>0</v>
      </c>
      <c r="E127" s="142">
        <v>97.2</v>
      </c>
      <c r="F127" s="142">
        <v>92.087000000000003</v>
      </c>
      <c r="G127" s="142">
        <v>92.453999999999994</v>
      </c>
      <c r="H127" s="134">
        <v>0</v>
      </c>
      <c r="I127" s="134">
        <v>0</v>
      </c>
      <c r="J127" s="134">
        <v>0</v>
      </c>
      <c r="K127" s="134">
        <v>0</v>
      </c>
      <c r="L127" s="133">
        <v>0</v>
      </c>
      <c r="M127" s="133">
        <v>0</v>
      </c>
      <c r="N127" s="134">
        <v>93.082999999999998</v>
      </c>
      <c r="O127" s="134">
        <v>93.177000000000007</v>
      </c>
      <c r="P127" s="133">
        <v>817641</v>
      </c>
      <c r="Q127" s="133">
        <v>816231</v>
      </c>
      <c r="R127" s="131">
        <v>95.263999999999996</v>
      </c>
      <c r="S127" s="133">
        <v>836799</v>
      </c>
      <c r="T127" s="133">
        <v>834513</v>
      </c>
      <c r="U127" s="134">
        <v>0</v>
      </c>
      <c r="V127" s="134">
        <v>0</v>
      </c>
      <c r="W127" s="134">
        <v>0</v>
      </c>
      <c r="X127" s="134">
        <v>0</v>
      </c>
      <c r="Y127" s="134">
        <v>0</v>
      </c>
      <c r="Z127" s="134">
        <v>0</v>
      </c>
      <c r="AA127" s="131">
        <v>0</v>
      </c>
      <c r="AB127" s="131">
        <v>0</v>
      </c>
      <c r="AC127" s="134">
        <v>0</v>
      </c>
      <c r="AD127" s="134">
        <v>0</v>
      </c>
      <c r="AE127" s="135">
        <v>1.3251199999999999E-2</v>
      </c>
      <c r="AF127" s="135">
        <v>1.32645E-2</v>
      </c>
      <c r="AG127" s="135">
        <v>0</v>
      </c>
      <c r="AH127" s="135">
        <v>1.3251199999999999E-2</v>
      </c>
      <c r="AI127" s="135">
        <v>1.32645E-2</v>
      </c>
      <c r="AJ127" s="135">
        <v>1.32579E-2</v>
      </c>
      <c r="AK127" s="135">
        <v>1</v>
      </c>
      <c r="AL127" s="135">
        <v>0.99999610000000005</v>
      </c>
      <c r="AM127" s="135">
        <v>1</v>
      </c>
      <c r="AN127" s="135">
        <v>1</v>
      </c>
      <c r="AO127" s="135">
        <v>6.5000000000000002E-2</v>
      </c>
      <c r="AP127" s="135">
        <v>6.5000000000000002E-2</v>
      </c>
      <c r="AQ127" s="131">
        <v>3</v>
      </c>
      <c r="AR127" s="131">
        <v>3</v>
      </c>
      <c r="AS127" s="134">
        <v>5</v>
      </c>
      <c r="AT127" s="134">
        <v>5</v>
      </c>
      <c r="AU127" s="134">
        <v>0</v>
      </c>
      <c r="AV127" s="134">
        <v>0</v>
      </c>
      <c r="AW127" s="134">
        <v>0</v>
      </c>
      <c r="AX127" s="134">
        <v>0</v>
      </c>
      <c r="AY127" s="134">
        <v>0</v>
      </c>
      <c r="AZ127" s="134">
        <v>0</v>
      </c>
      <c r="BA127" s="134">
        <v>0</v>
      </c>
      <c r="BB127" s="134">
        <v>0</v>
      </c>
      <c r="BC127" s="134">
        <v>0</v>
      </c>
      <c r="BD127" s="134">
        <v>0</v>
      </c>
      <c r="BE127" s="134">
        <v>93.082999999999998</v>
      </c>
      <c r="BF127" s="134">
        <v>93.177000000000007</v>
      </c>
      <c r="BG127" s="131">
        <v>1</v>
      </c>
      <c r="BH127" s="131"/>
      <c r="BI127" s="131"/>
      <c r="BJ127" s="131"/>
      <c r="BK127" s="131"/>
      <c r="BL127" s="131"/>
      <c r="BM127" s="131"/>
      <c r="BN127" s="131"/>
    </row>
    <row r="128" spans="1:66">
      <c r="A128" s="138">
        <v>10448</v>
      </c>
      <c r="B128" s="138" t="s">
        <v>132</v>
      </c>
      <c r="C128" s="138">
        <v>0</v>
      </c>
      <c r="D128" s="138">
        <v>1</v>
      </c>
      <c r="E128" s="142">
        <v>8.6080000000000005</v>
      </c>
      <c r="F128" s="142">
        <v>8.2590000000000003</v>
      </c>
      <c r="G128" s="142">
        <v>8.2560000000000002</v>
      </c>
      <c r="H128" s="134">
        <v>0</v>
      </c>
      <c r="I128" s="134">
        <v>0</v>
      </c>
      <c r="J128" s="134">
        <v>0</v>
      </c>
      <c r="K128" s="134">
        <v>0</v>
      </c>
      <c r="L128" s="133">
        <v>0</v>
      </c>
      <c r="M128" s="133">
        <v>0</v>
      </c>
      <c r="N128" s="134">
        <v>8.1359999999999992</v>
      </c>
      <c r="O128" s="134">
        <v>8.1310000000000002</v>
      </c>
      <c r="P128" s="133">
        <v>71467</v>
      </c>
      <c r="Q128" s="133">
        <v>71228</v>
      </c>
      <c r="R128" s="131">
        <v>8.4369999999999994</v>
      </c>
      <c r="S128" s="133">
        <v>74111</v>
      </c>
      <c r="T128" s="133">
        <v>73908</v>
      </c>
      <c r="U128" s="134">
        <v>0</v>
      </c>
      <c r="V128" s="134">
        <v>0</v>
      </c>
      <c r="W128" s="134">
        <v>0</v>
      </c>
      <c r="X128" s="134">
        <v>0</v>
      </c>
      <c r="Y128" s="134">
        <v>0</v>
      </c>
      <c r="Z128" s="134">
        <v>0</v>
      </c>
      <c r="AA128" s="131">
        <v>0</v>
      </c>
      <c r="AB128" s="131">
        <v>0</v>
      </c>
      <c r="AC128" s="134">
        <v>0</v>
      </c>
      <c r="AD128" s="134">
        <v>0</v>
      </c>
      <c r="AE128" s="135">
        <v>1.1582000000000001E-3</v>
      </c>
      <c r="AF128" s="135">
        <v>1.1574999999999999E-3</v>
      </c>
      <c r="AG128" s="135">
        <v>0</v>
      </c>
      <c r="AH128" s="135">
        <v>1.1582000000000001E-3</v>
      </c>
      <c r="AI128" s="135">
        <v>1.1574999999999999E-3</v>
      </c>
      <c r="AJ128" s="135">
        <v>1.1578999999999999E-3</v>
      </c>
      <c r="AK128" s="135">
        <v>0.99997420000000004</v>
      </c>
      <c r="AL128" s="135">
        <v>0.99998430000000005</v>
      </c>
      <c r="AM128" s="135">
        <v>1</v>
      </c>
      <c r="AN128" s="135">
        <v>1</v>
      </c>
      <c r="AO128" s="135">
        <v>7.0000000000000007E-2</v>
      </c>
      <c r="AP128" s="135">
        <v>7.0000000000000007E-2</v>
      </c>
      <c r="AQ128" s="131">
        <v>6</v>
      </c>
      <c r="AR128" s="131">
        <v>6</v>
      </c>
      <c r="AS128" s="134">
        <v>0</v>
      </c>
      <c r="AT128" s="134">
        <v>0</v>
      </c>
      <c r="AU128" s="134">
        <v>0</v>
      </c>
      <c r="AV128" s="134">
        <v>0</v>
      </c>
      <c r="AW128" s="134">
        <v>0</v>
      </c>
      <c r="AX128" s="134">
        <v>0</v>
      </c>
      <c r="AY128" s="134">
        <v>0</v>
      </c>
      <c r="AZ128" s="134">
        <v>0</v>
      </c>
      <c r="BA128" s="134">
        <v>0</v>
      </c>
      <c r="BB128" s="134">
        <v>0</v>
      </c>
      <c r="BC128" s="134">
        <v>0</v>
      </c>
      <c r="BD128" s="134">
        <v>0</v>
      </c>
      <c r="BE128" s="134">
        <v>8.1359999999999992</v>
      </c>
      <c r="BF128" s="134">
        <v>8.1310000000000002</v>
      </c>
      <c r="BG128" s="131">
        <v>0</v>
      </c>
      <c r="BH128" s="131"/>
      <c r="BI128" s="131"/>
      <c r="BJ128" s="131"/>
      <c r="BK128" s="131"/>
      <c r="BL128" s="131"/>
      <c r="BM128" s="131"/>
      <c r="BN128" s="131"/>
    </row>
    <row r="129" spans="1:66">
      <c r="A129" s="138">
        <v>10451</v>
      </c>
      <c r="B129" s="138" t="s">
        <v>133</v>
      </c>
      <c r="C129" s="138">
        <v>1</v>
      </c>
      <c r="D129" s="138">
        <v>0</v>
      </c>
      <c r="E129" s="142">
        <v>27.233000000000001</v>
      </c>
      <c r="F129" s="142">
        <v>26.344999999999999</v>
      </c>
      <c r="G129" s="142">
        <v>23.530999999999999</v>
      </c>
      <c r="H129" s="134">
        <v>0</v>
      </c>
      <c r="I129" s="134">
        <v>0</v>
      </c>
      <c r="J129" s="134">
        <v>0</v>
      </c>
      <c r="K129" s="134">
        <v>0</v>
      </c>
      <c r="L129" s="133">
        <v>0</v>
      </c>
      <c r="M129" s="133">
        <v>0</v>
      </c>
      <c r="N129" s="134">
        <v>26.344999999999999</v>
      </c>
      <c r="O129" s="134">
        <v>23.530999999999999</v>
      </c>
      <c r="P129" s="133">
        <v>231414</v>
      </c>
      <c r="Q129" s="133">
        <v>206132</v>
      </c>
      <c r="R129" s="131">
        <v>26.690999999999999</v>
      </c>
      <c r="S129" s="133">
        <v>234454</v>
      </c>
      <c r="T129" s="133">
        <v>233813</v>
      </c>
      <c r="U129" s="134">
        <v>0</v>
      </c>
      <c r="V129" s="134">
        <v>0</v>
      </c>
      <c r="W129" s="134">
        <v>0</v>
      </c>
      <c r="X129" s="134">
        <v>0</v>
      </c>
      <c r="Y129" s="134">
        <v>0</v>
      </c>
      <c r="Z129" s="134">
        <v>0</v>
      </c>
      <c r="AA129" s="131">
        <v>0</v>
      </c>
      <c r="AB129" s="131">
        <v>0</v>
      </c>
      <c r="AC129" s="134">
        <v>0</v>
      </c>
      <c r="AD129" s="134">
        <v>0</v>
      </c>
      <c r="AE129" s="135">
        <v>3.7504000000000001E-3</v>
      </c>
      <c r="AF129" s="135">
        <v>3.3498E-3</v>
      </c>
      <c r="AG129" s="135">
        <v>0</v>
      </c>
      <c r="AH129" s="135">
        <v>3.7504000000000001E-3</v>
      </c>
      <c r="AI129" s="135">
        <v>3.3498E-3</v>
      </c>
      <c r="AJ129" s="135">
        <v>3.5501E-3</v>
      </c>
      <c r="AK129" s="135">
        <v>0.99998969999999998</v>
      </c>
      <c r="AL129" s="135">
        <v>0.99998770000000003</v>
      </c>
      <c r="AM129" s="135">
        <v>1</v>
      </c>
      <c r="AN129" s="135">
        <v>1</v>
      </c>
      <c r="AO129" s="135">
        <v>0</v>
      </c>
      <c r="AP129" s="135">
        <v>0</v>
      </c>
      <c r="AQ129" s="131">
        <v>1</v>
      </c>
      <c r="AR129" s="131">
        <v>1</v>
      </c>
      <c r="AS129" s="134">
        <v>0</v>
      </c>
      <c r="AT129" s="134">
        <v>0</v>
      </c>
      <c r="AU129" s="134">
        <v>0</v>
      </c>
      <c r="AV129" s="134">
        <v>0</v>
      </c>
      <c r="AW129" s="134">
        <v>0</v>
      </c>
      <c r="AX129" s="134">
        <v>0</v>
      </c>
      <c r="AY129" s="134">
        <v>0</v>
      </c>
      <c r="AZ129" s="134">
        <v>0</v>
      </c>
      <c r="BA129" s="134">
        <v>0</v>
      </c>
      <c r="BB129" s="134">
        <v>0</v>
      </c>
      <c r="BC129" s="134">
        <v>0</v>
      </c>
      <c r="BD129" s="134">
        <v>0</v>
      </c>
      <c r="BE129" s="134">
        <v>26.344999999999999</v>
      </c>
      <c r="BF129" s="134">
        <v>23.530999999999999</v>
      </c>
      <c r="BG129" s="131">
        <v>0</v>
      </c>
      <c r="BH129" s="131"/>
      <c r="BI129" s="131"/>
      <c r="BJ129" s="131"/>
      <c r="BK129" s="131"/>
      <c r="BL129" s="131"/>
      <c r="BM129" s="131"/>
      <c r="BN129" s="131"/>
    </row>
    <row r="130" spans="1:66">
      <c r="A130" s="138">
        <v>10482</v>
      </c>
      <c r="B130" s="138" t="s">
        <v>134</v>
      </c>
      <c r="C130" s="138">
        <v>1</v>
      </c>
      <c r="D130" s="138">
        <v>0</v>
      </c>
      <c r="E130" s="142">
        <v>4.1749999999999998</v>
      </c>
      <c r="F130" s="142">
        <v>2.7530000000000001</v>
      </c>
      <c r="G130" s="142">
        <v>2.7559999999999998</v>
      </c>
      <c r="H130" s="134">
        <v>0</v>
      </c>
      <c r="I130" s="134">
        <v>0</v>
      </c>
      <c r="J130" s="134">
        <v>0</v>
      </c>
      <c r="K130" s="134">
        <v>0</v>
      </c>
      <c r="L130" s="133">
        <v>0</v>
      </c>
      <c r="M130" s="133">
        <v>0</v>
      </c>
      <c r="N130" s="134">
        <v>2.6989999999999998</v>
      </c>
      <c r="O130" s="134">
        <v>2.698</v>
      </c>
      <c r="P130" s="133">
        <v>23708</v>
      </c>
      <c r="Q130" s="133">
        <v>23634</v>
      </c>
      <c r="R130" s="131">
        <v>4.0919999999999996</v>
      </c>
      <c r="S130" s="133">
        <v>35944</v>
      </c>
      <c r="T130" s="133">
        <v>35846</v>
      </c>
      <c r="U130" s="134">
        <v>0</v>
      </c>
      <c r="V130" s="134">
        <v>0</v>
      </c>
      <c r="W130" s="134">
        <v>0</v>
      </c>
      <c r="X130" s="134">
        <v>0</v>
      </c>
      <c r="Y130" s="134">
        <v>0</v>
      </c>
      <c r="Z130" s="134">
        <v>0</v>
      </c>
      <c r="AA130" s="131">
        <v>0</v>
      </c>
      <c r="AB130" s="131">
        <v>0</v>
      </c>
      <c r="AC130" s="134">
        <v>0</v>
      </c>
      <c r="AD130" s="134">
        <v>0</v>
      </c>
      <c r="AE130" s="135">
        <v>3.8420000000000001E-4</v>
      </c>
      <c r="AF130" s="135">
        <v>3.8410000000000001E-4</v>
      </c>
      <c r="AG130" s="135">
        <v>0</v>
      </c>
      <c r="AH130" s="135">
        <v>3.8420000000000001E-4</v>
      </c>
      <c r="AI130" s="135">
        <v>3.8410000000000001E-4</v>
      </c>
      <c r="AJ130" s="135">
        <v>3.8420000000000001E-4</v>
      </c>
      <c r="AK130" s="135">
        <v>0.99993240000000005</v>
      </c>
      <c r="AL130" s="135">
        <v>1</v>
      </c>
      <c r="AM130" s="135">
        <v>1</v>
      </c>
      <c r="AN130" s="135">
        <v>1</v>
      </c>
      <c r="AO130" s="135">
        <v>0</v>
      </c>
      <c r="AP130" s="135">
        <v>0</v>
      </c>
      <c r="AQ130" s="131">
        <v>1</v>
      </c>
      <c r="AR130" s="131">
        <v>1</v>
      </c>
      <c r="AS130" s="134">
        <v>0</v>
      </c>
      <c r="AT130" s="134">
        <v>0</v>
      </c>
      <c r="AU130" s="134">
        <v>0</v>
      </c>
      <c r="AV130" s="134">
        <v>0</v>
      </c>
      <c r="AW130" s="134">
        <v>0</v>
      </c>
      <c r="AX130" s="134">
        <v>0</v>
      </c>
      <c r="AY130" s="134">
        <v>0</v>
      </c>
      <c r="AZ130" s="134">
        <v>0</v>
      </c>
      <c r="BA130" s="134">
        <v>0</v>
      </c>
      <c r="BB130" s="134">
        <v>0</v>
      </c>
      <c r="BC130" s="134">
        <v>0</v>
      </c>
      <c r="BD130" s="134">
        <v>0</v>
      </c>
      <c r="BE130" s="134">
        <v>2.6989999999999998</v>
      </c>
      <c r="BF130" s="134">
        <v>2.698</v>
      </c>
      <c r="BG130" s="131">
        <v>0</v>
      </c>
      <c r="BH130" s="131"/>
      <c r="BI130" s="131"/>
      <c r="BJ130" s="131"/>
      <c r="BK130" s="131"/>
      <c r="BL130" s="131"/>
      <c r="BM130" s="131"/>
      <c r="BN130" s="131"/>
    </row>
    <row r="131" spans="1:66">
      <c r="A131" s="138">
        <v>10502</v>
      </c>
      <c r="B131" s="138" t="s">
        <v>135</v>
      </c>
      <c r="C131" s="138">
        <v>1</v>
      </c>
      <c r="D131" s="138">
        <v>0</v>
      </c>
      <c r="E131" s="142">
        <v>18.986000000000001</v>
      </c>
      <c r="F131" s="142">
        <v>17.815000000000001</v>
      </c>
      <c r="G131" s="142">
        <v>18.709</v>
      </c>
      <c r="H131" s="134">
        <v>0</v>
      </c>
      <c r="I131" s="134">
        <v>0</v>
      </c>
      <c r="J131" s="134">
        <v>0</v>
      </c>
      <c r="K131" s="134">
        <v>0</v>
      </c>
      <c r="L131" s="133">
        <v>0</v>
      </c>
      <c r="M131" s="133">
        <v>0</v>
      </c>
      <c r="N131" s="142">
        <v>18.690999999999999</v>
      </c>
      <c r="O131" s="142">
        <v>18.963000000000001</v>
      </c>
      <c r="P131" s="133">
        <v>164182</v>
      </c>
      <c r="Q131" s="133">
        <v>166116</v>
      </c>
      <c r="R131" s="131">
        <v>18.608000000000001</v>
      </c>
      <c r="S131" s="133">
        <v>163453</v>
      </c>
      <c r="T131" s="133">
        <v>163006</v>
      </c>
      <c r="U131" s="134">
        <v>8.3000000000000004E-2</v>
      </c>
      <c r="V131" s="134">
        <v>0.35499999999999998</v>
      </c>
      <c r="W131" s="134">
        <v>0</v>
      </c>
      <c r="X131" s="134">
        <v>0</v>
      </c>
      <c r="Y131" s="134">
        <v>8.3000000000000004E-2</v>
      </c>
      <c r="Z131" s="134">
        <v>0.35499999999999998</v>
      </c>
      <c r="AA131" s="131">
        <v>0</v>
      </c>
      <c r="AB131" s="131">
        <v>0</v>
      </c>
      <c r="AC131" s="134">
        <v>0</v>
      </c>
      <c r="AD131" s="134">
        <v>0</v>
      </c>
      <c r="AE131" s="135">
        <v>2.6489999999999999E-3</v>
      </c>
      <c r="AF131" s="135">
        <v>2.6489999999999999E-3</v>
      </c>
      <c r="AG131" s="135">
        <v>0</v>
      </c>
      <c r="AH131" s="135">
        <v>2.6489999999999999E-3</v>
      </c>
      <c r="AI131" s="135">
        <v>2.6489999999999999E-3</v>
      </c>
      <c r="AJ131" s="135">
        <v>2.6489999999999999E-3</v>
      </c>
      <c r="AK131" s="135">
        <v>0.99555570000000004</v>
      </c>
      <c r="AL131" s="135">
        <v>0.98127580000000003</v>
      </c>
      <c r="AM131" s="135">
        <v>1.0044603999999999</v>
      </c>
      <c r="AN131" s="135">
        <v>1.0190778</v>
      </c>
      <c r="AO131" s="135">
        <v>7.0312200000000005E-2</v>
      </c>
      <c r="AP131" s="135">
        <v>7.1335399999999993E-2</v>
      </c>
      <c r="AQ131" s="131">
        <v>1</v>
      </c>
      <c r="AR131" s="131">
        <v>1</v>
      </c>
      <c r="AS131" s="134">
        <v>0</v>
      </c>
      <c r="AT131" s="134">
        <v>0</v>
      </c>
      <c r="AU131" s="134">
        <v>0</v>
      </c>
      <c r="AV131" s="134">
        <v>0</v>
      </c>
      <c r="AW131" s="134">
        <v>0</v>
      </c>
      <c r="AX131" s="134">
        <v>0</v>
      </c>
      <c r="AY131" s="134">
        <v>0</v>
      </c>
      <c r="AZ131" s="134">
        <v>0</v>
      </c>
      <c r="BA131" s="134">
        <v>0</v>
      </c>
      <c r="BB131" s="134">
        <v>0</v>
      </c>
      <c r="BC131" s="134">
        <v>0</v>
      </c>
      <c r="BD131" s="134">
        <v>0</v>
      </c>
      <c r="BE131" s="134">
        <v>18.690999999999999</v>
      </c>
      <c r="BF131" s="134">
        <v>18.963000000000001</v>
      </c>
      <c r="BG131" s="131">
        <v>1</v>
      </c>
      <c r="BH131" s="131"/>
      <c r="BI131" s="131"/>
      <c r="BJ131" s="131"/>
      <c r="BK131" s="131"/>
      <c r="BL131" s="131"/>
      <c r="BM131" s="131"/>
      <c r="BN131" s="131"/>
    </row>
    <row r="132" spans="1:66">
      <c r="A132" s="138">
        <v>13927</v>
      </c>
      <c r="B132" s="138" t="s">
        <v>269</v>
      </c>
      <c r="C132" s="138">
        <v>1</v>
      </c>
      <c r="D132" s="138">
        <v>0</v>
      </c>
      <c r="E132" s="142">
        <v>4.1340000000000003</v>
      </c>
      <c r="F132" s="142">
        <v>3.0030000000000001</v>
      </c>
      <c r="G132" s="142">
        <v>3.3490000000000002</v>
      </c>
      <c r="H132" s="134">
        <v>0</v>
      </c>
      <c r="I132" s="134">
        <v>0</v>
      </c>
      <c r="J132" s="134">
        <v>0</v>
      </c>
      <c r="K132" s="134">
        <v>0</v>
      </c>
      <c r="L132" s="133">
        <v>0</v>
      </c>
      <c r="M132" s="133">
        <v>0</v>
      </c>
      <c r="N132" s="134">
        <v>3.0190000000000001</v>
      </c>
      <c r="O132" s="134">
        <v>3.3690000000000002</v>
      </c>
      <c r="P132" s="133">
        <v>26519</v>
      </c>
      <c r="Q132" s="133">
        <v>29512</v>
      </c>
      <c r="R132" s="131">
        <v>4.0519999999999996</v>
      </c>
      <c r="S132" s="133">
        <v>35593</v>
      </c>
      <c r="T132" s="133">
        <v>35496</v>
      </c>
      <c r="U132" s="134">
        <v>0</v>
      </c>
      <c r="V132" s="134">
        <v>0</v>
      </c>
      <c r="W132" s="134">
        <v>0</v>
      </c>
      <c r="X132" s="134">
        <v>0</v>
      </c>
      <c r="Y132" s="134">
        <v>0</v>
      </c>
      <c r="Z132" s="134">
        <v>0</v>
      </c>
      <c r="AA132" s="131">
        <v>0</v>
      </c>
      <c r="AB132" s="131">
        <v>0</v>
      </c>
      <c r="AC132" s="134">
        <v>0</v>
      </c>
      <c r="AD132" s="134">
        <v>0</v>
      </c>
      <c r="AE132" s="135">
        <v>4.2979999999999998E-4</v>
      </c>
      <c r="AF132" s="135">
        <v>4.796E-4</v>
      </c>
      <c r="AG132" s="135">
        <v>0</v>
      </c>
      <c r="AH132" s="135">
        <v>4.2979999999999998E-4</v>
      </c>
      <c r="AI132" s="135">
        <v>4.796E-4</v>
      </c>
      <c r="AJ132" s="135">
        <v>4.5469999999999999E-4</v>
      </c>
      <c r="AK132" s="135">
        <v>1</v>
      </c>
      <c r="AL132" s="135">
        <v>0.99998690000000001</v>
      </c>
      <c r="AM132" s="135">
        <v>1</v>
      </c>
      <c r="AN132" s="135">
        <v>1</v>
      </c>
      <c r="AO132" s="135">
        <v>0</v>
      </c>
      <c r="AP132" s="135">
        <v>0</v>
      </c>
      <c r="AQ132" s="131">
        <v>1</v>
      </c>
      <c r="AR132" s="131">
        <v>1</v>
      </c>
      <c r="AS132" s="134">
        <v>0</v>
      </c>
      <c r="AT132" s="134">
        <v>0</v>
      </c>
      <c r="AU132" s="134">
        <v>0</v>
      </c>
      <c r="AV132" s="134">
        <v>0</v>
      </c>
      <c r="AW132" s="134">
        <v>0</v>
      </c>
      <c r="AX132" s="134">
        <v>0</v>
      </c>
      <c r="AY132" s="134">
        <v>0</v>
      </c>
      <c r="AZ132" s="134">
        <v>0</v>
      </c>
      <c r="BA132" s="134">
        <v>0</v>
      </c>
      <c r="BB132" s="134">
        <v>0</v>
      </c>
      <c r="BC132" s="134">
        <v>0</v>
      </c>
      <c r="BD132" s="134">
        <v>0</v>
      </c>
      <c r="BE132" s="134">
        <v>3.0190000000000001</v>
      </c>
      <c r="BF132" s="134">
        <v>3.3690000000000002</v>
      </c>
      <c r="BG132" s="131">
        <v>0</v>
      </c>
      <c r="BH132" s="131"/>
      <c r="BI132" s="131"/>
      <c r="BJ132" s="131"/>
      <c r="BK132" s="131"/>
      <c r="BL132" s="131"/>
      <c r="BM132" s="131"/>
      <c r="BN132" s="131"/>
    </row>
    <row r="133" spans="1:66">
      <c r="A133" s="138">
        <v>10597</v>
      </c>
      <c r="B133" s="138" t="s">
        <v>136</v>
      </c>
      <c r="C133" s="138">
        <v>1</v>
      </c>
      <c r="D133" s="138">
        <v>0</v>
      </c>
      <c r="E133" s="142">
        <v>13.13</v>
      </c>
      <c r="F133" s="142">
        <v>12.298</v>
      </c>
      <c r="G133" s="142">
        <v>12.304</v>
      </c>
      <c r="H133" s="134">
        <v>0</v>
      </c>
      <c r="I133" s="134">
        <v>0</v>
      </c>
      <c r="J133" s="134">
        <v>0</v>
      </c>
      <c r="K133" s="134">
        <v>0</v>
      </c>
      <c r="L133" s="133">
        <v>0</v>
      </c>
      <c r="M133" s="133">
        <v>0</v>
      </c>
      <c r="N133" s="134">
        <v>12.298</v>
      </c>
      <c r="O133" s="134">
        <v>12.304</v>
      </c>
      <c r="P133" s="133">
        <v>108026</v>
      </c>
      <c r="Q133" s="133">
        <v>107783</v>
      </c>
      <c r="R133" s="131">
        <v>12.869</v>
      </c>
      <c r="S133" s="133">
        <v>113041</v>
      </c>
      <c r="T133" s="133">
        <v>112732</v>
      </c>
      <c r="U133" s="134">
        <v>0</v>
      </c>
      <c r="V133" s="134">
        <v>0</v>
      </c>
      <c r="W133" s="134">
        <v>0</v>
      </c>
      <c r="X133" s="134">
        <v>0</v>
      </c>
      <c r="Y133" s="134">
        <v>0</v>
      </c>
      <c r="Z133" s="134">
        <v>0</v>
      </c>
      <c r="AA133" s="131">
        <v>0</v>
      </c>
      <c r="AB133" s="131">
        <v>0</v>
      </c>
      <c r="AC133" s="134">
        <v>0</v>
      </c>
      <c r="AD133" s="134">
        <v>0</v>
      </c>
      <c r="AE133" s="135">
        <v>1.7507E-3</v>
      </c>
      <c r="AF133" s="135">
        <v>1.7516000000000001E-3</v>
      </c>
      <c r="AG133" s="135">
        <v>0</v>
      </c>
      <c r="AH133" s="135">
        <v>1.7507E-3</v>
      </c>
      <c r="AI133" s="135">
        <v>1.7516000000000001E-3</v>
      </c>
      <c r="AJ133" s="135">
        <v>1.7512000000000001E-3</v>
      </c>
      <c r="AK133" s="135">
        <v>0.99998480000000001</v>
      </c>
      <c r="AL133" s="135">
        <v>1</v>
      </c>
      <c r="AM133" s="135">
        <v>1</v>
      </c>
      <c r="AN133" s="135">
        <v>1</v>
      </c>
      <c r="AO133" s="135">
        <v>0</v>
      </c>
      <c r="AP133" s="135">
        <v>0</v>
      </c>
      <c r="AQ133" s="131">
        <v>1</v>
      </c>
      <c r="AR133" s="131">
        <v>1</v>
      </c>
      <c r="AS133" s="134">
        <v>0</v>
      </c>
      <c r="AT133" s="134">
        <v>0</v>
      </c>
      <c r="AU133" s="134">
        <v>0</v>
      </c>
      <c r="AV133" s="134">
        <v>0</v>
      </c>
      <c r="AW133" s="134">
        <v>0</v>
      </c>
      <c r="AX133" s="134">
        <v>0</v>
      </c>
      <c r="AY133" s="134">
        <v>0</v>
      </c>
      <c r="AZ133" s="134">
        <v>0</v>
      </c>
      <c r="BA133" s="134">
        <v>0</v>
      </c>
      <c r="BB133" s="134">
        <v>0</v>
      </c>
      <c r="BC133" s="134">
        <v>0</v>
      </c>
      <c r="BD133" s="134">
        <v>0</v>
      </c>
      <c r="BE133" s="134">
        <v>12.298</v>
      </c>
      <c r="BF133" s="134">
        <v>12.304</v>
      </c>
      <c r="BG133" s="131">
        <v>1</v>
      </c>
      <c r="BH133" s="131"/>
      <c r="BI133" s="131"/>
      <c r="BJ133" s="131"/>
      <c r="BK133" s="131"/>
      <c r="BL133" s="131"/>
      <c r="BM133" s="131"/>
      <c r="BN133" s="131"/>
    </row>
    <row r="134" spans="1:66">
      <c r="A134" s="138">
        <v>10706</v>
      </c>
      <c r="B134" s="138" t="s">
        <v>137</v>
      </c>
      <c r="C134" s="138">
        <v>1</v>
      </c>
      <c r="D134" s="138">
        <v>0</v>
      </c>
      <c r="E134" s="142">
        <v>17.536000000000001</v>
      </c>
      <c r="F134" s="142">
        <v>18.704999999999998</v>
      </c>
      <c r="G134" s="142">
        <v>21.878</v>
      </c>
      <c r="H134" s="134">
        <v>0</v>
      </c>
      <c r="I134" s="134">
        <v>0</v>
      </c>
      <c r="J134" s="134">
        <v>0</v>
      </c>
      <c r="K134" s="134">
        <v>0</v>
      </c>
      <c r="L134" s="133">
        <v>0</v>
      </c>
      <c r="M134" s="133">
        <v>0</v>
      </c>
      <c r="N134" s="134">
        <v>21.876999999999999</v>
      </c>
      <c r="O134" s="134">
        <v>21.899000000000001</v>
      </c>
      <c r="P134" s="133">
        <v>192168</v>
      </c>
      <c r="Q134" s="133">
        <v>191835</v>
      </c>
      <c r="R134" s="131">
        <v>17.187000000000001</v>
      </c>
      <c r="S134" s="133">
        <v>150971</v>
      </c>
      <c r="T134" s="133">
        <v>150558</v>
      </c>
      <c r="U134" s="134">
        <v>4.6900000000000004</v>
      </c>
      <c r="V134" s="134">
        <v>4.7119999999999997</v>
      </c>
      <c r="W134" s="134">
        <v>4.6900000000000004</v>
      </c>
      <c r="X134" s="134">
        <v>4.7119999999999997</v>
      </c>
      <c r="Y134" s="134">
        <v>0</v>
      </c>
      <c r="Z134" s="134">
        <v>0</v>
      </c>
      <c r="AA134" s="131">
        <v>0</v>
      </c>
      <c r="AB134" s="131">
        <v>0</v>
      </c>
      <c r="AC134" s="134">
        <v>4.6900000000000004</v>
      </c>
      <c r="AD134" s="134">
        <v>4.7119999999999997</v>
      </c>
      <c r="AE134" s="135">
        <v>2.4467E-3</v>
      </c>
      <c r="AF134" s="135">
        <v>2.4467E-3</v>
      </c>
      <c r="AG134" s="135">
        <v>0</v>
      </c>
      <c r="AH134" s="135">
        <v>2.4467E-3</v>
      </c>
      <c r="AI134" s="135">
        <v>2.4467E-3</v>
      </c>
      <c r="AJ134" s="135">
        <v>2.4467E-3</v>
      </c>
      <c r="AK134" s="135">
        <v>0.78561380000000003</v>
      </c>
      <c r="AL134" s="135">
        <v>0.78482459999999998</v>
      </c>
      <c r="AM134" s="135">
        <v>1.2728807</v>
      </c>
      <c r="AN134" s="135">
        <v>1.2741606999999999</v>
      </c>
      <c r="AO134" s="135">
        <v>0</v>
      </c>
      <c r="AP134" s="135">
        <v>0</v>
      </c>
      <c r="AQ134" s="131">
        <v>1</v>
      </c>
      <c r="AR134" s="131">
        <v>1</v>
      </c>
      <c r="AS134" s="134">
        <v>0</v>
      </c>
      <c r="AT134" s="134">
        <v>0</v>
      </c>
      <c r="AU134" s="134">
        <v>4.6900000000000004</v>
      </c>
      <c r="AV134" s="134">
        <v>4.7119999999999997</v>
      </c>
      <c r="AW134" s="134">
        <v>0</v>
      </c>
      <c r="AX134" s="134">
        <v>0</v>
      </c>
      <c r="AY134" s="134">
        <v>0</v>
      </c>
      <c r="AZ134" s="134">
        <v>0</v>
      </c>
      <c r="BA134" s="134">
        <v>0</v>
      </c>
      <c r="BB134" s="134">
        <v>0</v>
      </c>
      <c r="BC134" s="134">
        <v>0</v>
      </c>
      <c r="BD134" s="134">
        <v>0</v>
      </c>
      <c r="BE134" s="134">
        <v>21.876999999999999</v>
      </c>
      <c r="BF134" s="134">
        <v>21.899000000000001</v>
      </c>
      <c r="BG134" s="131">
        <v>0</v>
      </c>
      <c r="BH134" s="131"/>
      <c r="BI134" s="131"/>
      <c r="BJ134" s="131"/>
      <c r="BK134" s="131"/>
      <c r="BL134" s="131"/>
      <c r="BM134" s="131"/>
      <c r="BN134" s="131"/>
    </row>
    <row r="135" spans="1:66">
      <c r="A135" s="138">
        <v>11680</v>
      </c>
      <c r="B135" s="138" t="s">
        <v>138</v>
      </c>
      <c r="C135" s="138">
        <v>1</v>
      </c>
      <c r="D135" s="138">
        <v>0</v>
      </c>
      <c r="E135" s="142">
        <v>6.423</v>
      </c>
      <c r="F135" s="142">
        <v>6.3109999999999999</v>
      </c>
      <c r="G135" s="142">
        <v>6.3280000000000003</v>
      </c>
      <c r="H135" s="134">
        <v>0</v>
      </c>
      <c r="I135" s="134">
        <v>0</v>
      </c>
      <c r="J135" s="134">
        <v>0</v>
      </c>
      <c r="K135" s="134">
        <v>0</v>
      </c>
      <c r="L135" s="133">
        <v>0</v>
      </c>
      <c r="M135" s="133">
        <v>0</v>
      </c>
      <c r="N135" s="134">
        <v>6.3109999999999999</v>
      </c>
      <c r="O135" s="134">
        <v>6.3280000000000003</v>
      </c>
      <c r="P135" s="133">
        <v>55436</v>
      </c>
      <c r="Q135" s="133">
        <v>55433</v>
      </c>
      <c r="R135" s="131">
        <v>6.2949999999999999</v>
      </c>
      <c r="S135" s="133">
        <v>55295</v>
      </c>
      <c r="T135" s="133">
        <v>55144</v>
      </c>
      <c r="U135" s="134">
        <v>1.6E-2</v>
      </c>
      <c r="V135" s="134">
        <v>3.3000000000000002E-2</v>
      </c>
      <c r="W135" s="134">
        <v>0</v>
      </c>
      <c r="X135" s="134">
        <v>0</v>
      </c>
      <c r="Y135" s="134">
        <v>1.6E-2</v>
      </c>
      <c r="Z135" s="134">
        <v>3.3000000000000002E-2</v>
      </c>
      <c r="AA135" s="131">
        <v>0</v>
      </c>
      <c r="AB135" s="131">
        <v>0</v>
      </c>
      <c r="AC135" s="134">
        <v>0</v>
      </c>
      <c r="AD135" s="134">
        <v>0</v>
      </c>
      <c r="AE135" s="135">
        <v>8.9610000000000004E-4</v>
      </c>
      <c r="AF135" s="135">
        <v>8.9610000000000004E-4</v>
      </c>
      <c r="AG135" s="135">
        <v>0</v>
      </c>
      <c r="AH135" s="135">
        <v>8.9610000000000004E-4</v>
      </c>
      <c r="AI135" s="135">
        <v>8.9610000000000004E-4</v>
      </c>
      <c r="AJ135" s="135">
        <v>8.9610000000000004E-4</v>
      </c>
      <c r="AK135" s="135">
        <v>0.99741170000000001</v>
      </c>
      <c r="AL135" s="135">
        <v>0.99473219999999996</v>
      </c>
      <c r="AM135" s="135">
        <v>1.0025417000000001</v>
      </c>
      <c r="AN135" s="135">
        <v>1.0052422999999999</v>
      </c>
      <c r="AO135" s="135">
        <v>0</v>
      </c>
      <c r="AP135" s="135">
        <v>0</v>
      </c>
      <c r="AQ135" s="131">
        <v>1</v>
      </c>
      <c r="AR135" s="131">
        <v>1</v>
      </c>
      <c r="AS135" s="134">
        <v>0</v>
      </c>
      <c r="AT135" s="134">
        <v>0</v>
      </c>
      <c r="AU135" s="134">
        <v>0</v>
      </c>
      <c r="AV135" s="134">
        <v>0</v>
      </c>
      <c r="AW135" s="134">
        <v>0</v>
      </c>
      <c r="AX135" s="134">
        <v>0</v>
      </c>
      <c r="AY135" s="134">
        <v>0</v>
      </c>
      <c r="AZ135" s="134">
        <v>0</v>
      </c>
      <c r="BA135" s="134">
        <v>0</v>
      </c>
      <c r="BB135" s="134">
        <v>0</v>
      </c>
      <c r="BC135" s="134">
        <v>0</v>
      </c>
      <c r="BD135" s="134">
        <v>0</v>
      </c>
      <c r="BE135" s="134">
        <v>6.3109999999999999</v>
      </c>
      <c r="BF135" s="134">
        <v>6.3280000000000003</v>
      </c>
      <c r="BG135" s="131">
        <v>1</v>
      </c>
      <c r="BH135" s="131"/>
      <c r="BI135" s="131"/>
      <c r="BJ135" s="131"/>
      <c r="BK135" s="131"/>
      <c r="BL135" s="131"/>
      <c r="BM135" s="131"/>
      <c r="BN135" s="131"/>
    </row>
    <row r="136" spans="1:66">
      <c r="A136" s="138">
        <v>12026</v>
      </c>
      <c r="B136" s="138" t="s">
        <v>139</v>
      </c>
      <c r="C136" s="138">
        <v>1</v>
      </c>
      <c r="D136" s="138">
        <v>0</v>
      </c>
      <c r="E136" s="142">
        <v>45.847000000000001</v>
      </c>
      <c r="F136" s="142">
        <v>45.026000000000003</v>
      </c>
      <c r="G136" s="142">
        <v>45.152999999999999</v>
      </c>
      <c r="H136" s="134">
        <v>0</v>
      </c>
      <c r="I136" s="134">
        <v>0</v>
      </c>
      <c r="J136" s="134">
        <v>0</v>
      </c>
      <c r="K136" s="134">
        <v>0</v>
      </c>
      <c r="L136" s="133">
        <v>0</v>
      </c>
      <c r="M136" s="133">
        <v>0</v>
      </c>
      <c r="N136" s="134">
        <v>44.484999999999999</v>
      </c>
      <c r="O136" s="134">
        <v>44.677</v>
      </c>
      <c r="P136" s="133">
        <v>390756</v>
      </c>
      <c r="Q136" s="133">
        <v>391371</v>
      </c>
      <c r="R136" s="131">
        <v>44.933999999999997</v>
      </c>
      <c r="S136" s="133">
        <v>394700</v>
      </c>
      <c r="T136" s="133">
        <v>393622</v>
      </c>
      <c r="U136" s="134">
        <v>0</v>
      </c>
      <c r="V136" s="134">
        <v>0</v>
      </c>
      <c r="W136" s="134">
        <v>0</v>
      </c>
      <c r="X136" s="134">
        <v>0</v>
      </c>
      <c r="Y136" s="134">
        <v>0</v>
      </c>
      <c r="Z136" s="134">
        <v>0</v>
      </c>
      <c r="AA136" s="131">
        <v>0</v>
      </c>
      <c r="AB136" s="131">
        <v>0</v>
      </c>
      <c r="AC136" s="134">
        <v>0</v>
      </c>
      <c r="AD136" s="134">
        <v>0</v>
      </c>
      <c r="AE136" s="135">
        <v>6.3328000000000004E-3</v>
      </c>
      <c r="AF136" s="135">
        <v>6.3601999999999999E-3</v>
      </c>
      <c r="AG136" s="135">
        <v>0</v>
      </c>
      <c r="AH136" s="135">
        <v>6.3328000000000004E-3</v>
      </c>
      <c r="AI136" s="135">
        <v>6.3601999999999999E-3</v>
      </c>
      <c r="AJ136" s="135">
        <v>6.3464999999999997E-3</v>
      </c>
      <c r="AK136" s="135">
        <v>0.9999962</v>
      </c>
      <c r="AL136" s="135">
        <v>1</v>
      </c>
      <c r="AM136" s="135">
        <v>1</v>
      </c>
      <c r="AN136" s="135">
        <v>1</v>
      </c>
      <c r="AO136" s="135">
        <v>0</v>
      </c>
      <c r="AP136" s="135">
        <v>0</v>
      </c>
      <c r="AQ136" s="131">
        <v>1</v>
      </c>
      <c r="AR136" s="131">
        <v>1</v>
      </c>
      <c r="AS136" s="134">
        <v>0</v>
      </c>
      <c r="AT136" s="134">
        <v>0</v>
      </c>
      <c r="AU136" s="134">
        <v>0</v>
      </c>
      <c r="AV136" s="134">
        <v>0</v>
      </c>
      <c r="AW136" s="134">
        <v>0</v>
      </c>
      <c r="AX136" s="134">
        <v>0</v>
      </c>
      <c r="AY136" s="134">
        <v>0</v>
      </c>
      <c r="AZ136" s="134">
        <v>0</v>
      </c>
      <c r="BA136" s="134">
        <v>0</v>
      </c>
      <c r="BB136" s="134">
        <v>0</v>
      </c>
      <c r="BC136" s="134">
        <v>0</v>
      </c>
      <c r="BD136" s="134">
        <v>0</v>
      </c>
      <c r="BE136" s="134">
        <v>44.484999999999999</v>
      </c>
      <c r="BF136" s="134">
        <v>44.677</v>
      </c>
      <c r="BG136" s="131">
        <v>0</v>
      </c>
      <c r="BH136" s="131"/>
      <c r="BI136" s="131"/>
      <c r="BJ136" s="131"/>
      <c r="BK136" s="131"/>
      <c r="BL136" s="131"/>
      <c r="BM136" s="131"/>
      <c r="BN136" s="131"/>
    </row>
    <row r="137" spans="1:66" s="19" customFormat="1" ht="54.75" customHeight="1">
      <c r="A137" s="131">
        <v>10298</v>
      </c>
      <c r="B137" s="131" t="s">
        <v>140</v>
      </c>
      <c r="C137" s="131">
        <v>1</v>
      </c>
      <c r="D137" s="131">
        <v>0</v>
      </c>
      <c r="E137" s="134">
        <v>538.07100000000003</v>
      </c>
      <c r="F137" s="134">
        <v>899.55200000000002</v>
      </c>
      <c r="G137" s="134">
        <v>969.20799999999997</v>
      </c>
      <c r="H137" s="134">
        <v>237.80600000000001</v>
      </c>
      <c r="I137" s="134">
        <v>300.81</v>
      </c>
      <c r="J137" s="134">
        <v>6.4109999999999996</v>
      </c>
      <c r="K137" s="134">
        <v>6.4169999999999998</v>
      </c>
      <c r="L137" s="133">
        <v>56314</v>
      </c>
      <c r="M137" s="133">
        <v>56213</v>
      </c>
      <c r="N137" s="134">
        <v>648.678</v>
      </c>
      <c r="O137" s="134">
        <v>654.49099999999999</v>
      </c>
      <c r="P137" s="133">
        <v>5697988</v>
      </c>
      <c r="Q137" s="133">
        <v>5733341</v>
      </c>
      <c r="R137" s="131">
        <v>527.35599999999999</v>
      </c>
      <c r="S137" s="133">
        <v>4632295</v>
      </c>
      <c r="T137" s="133">
        <v>4619639</v>
      </c>
      <c r="U137" s="134">
        <v>126.214</v>
      </c>
      <c r="V137" s="134">
        <v>131.77600000000001</v>
      </c>
      <c r="W137" s="134">
        <v>126.214</v>
      </c>
      <c r="X137" s="134">
        <v>131.77600000000001</v>
      </c>
      <c r="Y137" s="134">
        <v>0</v>
      </c>
      <c r="Z137" s="134">
        <v>0</v>
      </c>
      <c r="AA137" s="131">
        <v>0</v>
      </c>
      <c r="AB137" s="131">
        <v>0</v>
      </c>
      <c r="AC137" s="134">
        <v>126.214</v>
      </c>
      <c r="AD137" s="134">
        <v>131.77600000000001</v>
      </c>
      <c r="AE137" s="135">
        <v>7.4377399999999996E-2</v>
      </c>
      <c r="AF137" s="135">
        <v>7.4413000000000007E-2</v>
      </c>
      <c r="AG137" s="135">
        <v>0</v>
      </c>
      <c r="AH137" s="135">
        <v>7.4377399999999996E-2</v>
      </c>
      <c r="AI137" s="135">
        <v>7.4413000000000007E-2</v>
      </c>
      <c r="AJ137" s="135">
        <v>7.4395199999999995E-2</v>
      </c>
      <c r="AK137" s="135">
        <v>0.80731629999999999</v>
      </c>
      <c r="AL137" s="135">
        <v>0.80059259999999999</v>
      </c>
      <c r="AM137" s="135">
        <v>1.2300571</v>
      </c>
      <c r="AN137" s="135">
        <v>1.24108</v>
      </c>
      <c r="AO137" s="135">
        <v>0</v>
      </c>
      <c r="AP137" s="135">
        <v>0</v>
      </c>
      <c r="AQ137" s="131">
        <v>3</v>
      </c>
      <c r="AR137" s="131">
        <v>3</v>
      </c>
      <c r="AS137" s="134">
        <v>120</v>
      </c>
      <c r="AT137" s="134">
        <v>120</v>
      </c>
      <c r="AU137" s="134">
        <v>6.2140000000000004</v>
      </c>
      <c r="AV137" s="134">
        <v>11.776</v>
      </c>
      <c r="AW137" s="134">
        <v>0</v>
      </c>
      <c r="AX137" s="134">
        <v>0</v>
      </c>
      <c r="AY137" s="134">
        <v>0</v>
      </c>
      <c r="AZ137" s="134">
        <v>0</v>
      </c>
      <c r="BA137" s="134">
        <v>0</v>
      </c>
      <c r="BB137" s="134">
        <v>0</v>
      </c>
      <c r="BC137" s="134">
        <v>0</v>
      </c>
      <c r="BD137" s="134">
        <v>0</v>
      </c>
      <c r="BE137" s="134">
        <v>528.67899999999997</v>
      </c>
      <c r="BF137" s="134">
        <v>534.49099999999999</v>
      </c>
      <c r="BG137" s="131">
        <v>0</v>
      </c>
      <c r="BH137" s="131"/>
      <c r="BI137" s="131"/>
      <c r="BJ137" s="131"/>
      <c r="BK137" s="131"/>
      <c r="BL137" s="131"/>
      <c r="BM137" s="131"/>
      <c r="BN137" s="131"/>
    </row>
    <row r="138" spans="1:66" s="19" customFormat="1">
      <c r="A138" s="131"/>
      <c r="B138" s="131"/>
      <c r="C138" s="131"/>
      <c r="D138" s="131"/>
      <c r="E138" s="131"/>
      <c r="F138" s="131"/>
      <c r="G138" s="131"/>
      <c r="H138" s="131"/>
      <c r="I138" s="131"/>
      <c r="J138" s="131"/>
      <c r="K138" s="131"/>
      <c r="L138" s="131"/>
      <c r="M138" s="131"/>
      <c r="N138" s="131"/>
      <c r="O138" s="131"/>
      <c r="P138" s="131"/>
      <c r="Q138" s="131"/>
      <c r="R138" s="131"/>
      <c r="S138" s="131"/>
      <c r="T138" s="131"/>
      <c r="U138" s="131"/>
      <c r="V138" s="131"/>
      <c r="W138" s="134"/>
      <c r="X138" s="131"/>
      <c r="Y138" s="131"/>
      <c r="Z138" s="131"/>
      <c r="AA138" s="131"/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  <c r="AM138" s="131"/>
      <c r="AN138" s="131"/>
      <c r="AO138" s="131"/>
      <c r="AP138" s="131"/>
      <c r="AQ138" s="131"/>
      <c r="AR138" s="131"/>
      <c r="AS138" s="131"/>
      <c r="AT138" s="131"/>
      <c r="AU138" s="131"/>
      <c r="AV138" s="131"/>
      <c r="AW138" s="131"/>
      <c r="AX138" s="131"/>
      <c r="AY138" s="131"/>
      <c r="AZ138" s="131"/>
      <c r="BA138" s="131"/>
      <c r="BB138" s="131"/>
      <c r="BC138" s="131"/>
      <c r="BD138" s="131"/>
      <c r="BE138" s="131"/>
      <c r="BF138" s="131"/>
      <c r="BG138" s="131"/>
      <c r="BH138" s="131"/>
      <c r="BI138" s="131"/>
      <c r="BJ138" s="131"/>
      <c r="BK138" s="131"/>
      <c r="BL138" s="131"/>
      <c r="BM138" s="131"/>
      <c r="BN138" s="131"/>
    </row>
    <row r="139" spans="1:66" s="19" customFormat="1" ht="42.75" customHeight="1">
      <c r="A139" s="131"/>
      <c r="B139" s="131"/>
      <c r="C139" s="131"/>
      <c r="D139" s="131"/>
      <c r="E139" s="131"/>
      <c r="F139" s="131"/>
      <c r="G139" s="131"/>
      <c r="H139" s="131"/>
      <c r="I139" s="131"/>
      <c r="J139" s="136"/>
      <c r="K139" s="131"/>
      <c r="L139" s="131"/>
      <c r="M139" s="131"/>
      <c r="N139" s="131"/>
      <c r="O139" s="136"/>
      <c r="P139" s="131"/>
      <c r="Q139" s="136"/>
      <c r="R139" s="131"/>
      <c r="S139" s="131"/>
      <c r="T139" s="131"/>
      <c r="U139" s="131"/>
      <c r="V139" s="141"/>
      <c r="W139" s="136"/>
      <c r="X139" s="136"/>
      <c r="Y139" s="131"/>
      <c r="Z139" s="131"/>
      <c r="AA139" s="131"/>
      <c r="AB139" s="131"/>
      <c r="AC139" s="131"/>
      <c r="AD139" s="131"/>
      <c r="AE139" s="131"/>
      <c r="AF139" s="131"/>
      <c r="AG139" s="131"/>
      <c r="AH139" s="131"/>
      <c r="AI139" s="131"/>
      <c r="AJ139" s="131"/>
      <c r="AK139" s="131"/>
      <c r="AL139" s="131"/>
      <c r="AM139" s="131"/>
      <c r="AN139" s="131"/>
      <c r="AO139" s="131"/>
      <c r="AP139" s="131"/>
      <c r="AQ139" s="131"/>
      <c r="AR139" s="131"/>
      <c r="AS139" s="131"/>
      <c r="AT139" s="131"/>
      <c r="AU139" s="131"/>
      <c r="AV139" s="131"/>
      <c r="AW139" s="131"/>
      <c r="AX139" s="131"/>
      <c r="AY139" s="131"/>
      <c r="AZ139" s="131"/>
      <c r="BA139" s="131"/>
      <c r="BB139" s="131"/>
      <c r="BC139" s="131"/>
      <c r="BD139" s="131"/>
      <c r="BE139" s="131"/>
      <c r="BF139" s="131"/>
      <c r="BG139" s="131"/>
      <c r="BH139" s="131"/>
      <c r="BI139" s="131"/>
      <c r="BJ139" s="131"/>
      <c r="BK139" s="131"/>
      <c r="BL139" s="131"/>
      <c r="BM139" s="131"/>
      <c r="BN139" s="131"/>
    </row>
    <row r="140" spans="1:66">
      <c r="A140" s="131"/>
      <c r="B140" s="131"/>
      <c r="C140" s="131"/>
      <c r="D140" s="131"/>
      <c r="E140" s="131"/>
      <c r="F140" s="131"/>
      <c r="G140" s="131"/>
      <c r="H140" s="131"/>
      <c r="I140" s="131"/>
      <c r="J140" s="136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1"/>
      <c r="Z140" s="131"/>
      <c r="AA140" s="131"/>
      <c r="AB140" s="131"/>
      <c r="AC140" s="131"/>
      <c r="AD140" s="131"/>
      <c r="AE140" s="131"/>
      <c r="AF140" s="131"/>
      <c r="AG140" s="131"/>
      <c r="AH140" s="131"/>
      <c r="AI140" s="131"/>
      <c r="AJ140" s="131"/>
      <c r="AK140" s="131"/>
      <c r="AL140" s="131"/>
      <c r="AM140" s="131"/>
      <c r="AN140" s="131"/>
      <c r="AO140" s="131"/>
      <c r="AP140" s="131"/>
      <c r="AQ140" s="131"/>
      <c r="AR140" s="131"/>
      <c r="AS140" s="131"/>
      <c r="AT140" s="131"/>
      <c r="AU140" s="131"/>
      <c r="AV140" s="131"/>
      <c r="AW140" s="131"/>
      <c r="AX140" s="131"/>
      <c r="AY140" s="131"/>
      <c r="AZ140" s="131"/>
      <c r="BA140" s="131"/>
      <c r="BB140" s="131"/>
      <c r="BC140" s="131"/>
      <c r="BD140" s="131"/>
      <c r="BE140" s="131"/>
      <c r="BF140" s="131"/>
      <c r="BG140" s="131"/>
      <c r="BH140" s="131"/>
      <c r="BI140" s="131"/>
      <c r="BJ140" s="131"/>
      <c r="BK140" s="131"/>
      <c r="BL140" s="131"/>
      <c r="BM140" s="131"/>
      <c r="BN140" s="131"/>
    </row>
    <row r="141" spans="1:66">
      <c r="A141" s="3"/>
      <c r="B141" s="4"/>
      <c r="C141" s="5"/>
      <c r="D141" s="5"/>
      <c r="E141" s="7"/>
      <c r="F141" s="7"/>
      <c r="G141" s="7"/>
      <c r="H141" s="7"/>
      <c r="I141" s="7"/>
      <c r="J141" s="7"/>
      <c r="K141" s="8"/>
      <c r="L141" s="8"/>
      <c r="M141" s="7"/>
      <c r="N141" s="7"/>
      <c r="O141" s="8"/>
      <c r="P141" s="8"/>
      <c r="Q141" s="6"/>
      <c r="R141" s="7"/>
      <c r="S141" s="7"/>
      <c r="T141" s="9"/>
      <c r="U141" s="9"/>
      <c r="V141" s="115"/>
      <c r="W141" s="115"/>
      <c r="X141" s="116"/>
      <c r="Y141" s="116"/>
      <c r="Z141" s="7"/>
      <c r="AA141" s="7"/>
      <c r="AB141" s="20"/>
      <c r="AC141" s="20"/>
      <c r="AD141" s="16"/>
      <c r="AE141" s="16"/>
      <c r="AF141" s="10"/>
      <c r="AG141" s="17"/>
      <c r="AH141" s="17"/>
      <c r="AI141" s="17"/>
      <c r="AJ141" s="11"/>
      <c r="AK141" s="11"/>
      <c r="AL141" s="11"/>
      <c r="AM141" s="11"/>
      <c r="AN141" s="12"/>
      <c r="AO141" s="12"/>
      <c r="AP141" s="12"/>
      <c r="AQ141" s="12"/>
      <c r="AR141" s="12"/>
      <c r="AS141" s="12"/>
      <c r="AT141" s="12"/>
      <c r="AU141" s="12"/>
    </row>
    <row r="142" spans="1:66">
      <c r="A142" s="131"/>
      <c r="B142" s="131"/>
      <c r="C142" s="131"/>
      <c r="D142" s="131"/>
      <c r="E142" s="131"/>
      <c r="F142" s="131"/>
      <c r="G142" s="131"/>
      <c r="H142" s="131"/>
      <c r="I142" s="131"/>
      <c r="J142" s="131"/>
      <c r="K142" s="131"/>
      <c r="L142" s="131"/>
      <c r="M142" s="131"/>
      <c r="N142" s="131"/>
      <c r="O142" s="131"/>
      <c r="P142" s="131"/>
      <c r="Q142" s="131"/>
      <c r="R142" s="131"/>
      <c r="S142" s="131"/>
      <c r="T142" s="131"/>
      <c r="U142" s="131"/>
      <c r="V142" s="131"/>
      <c r="W142" s="131"/>
      <c r="X142" s="131"/>
      <c r="Y142" s="131"/>
      <c r="Z142" s="131"/>
      <c r="AA142" s="137"/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131"/>
      <c r="AN142" s="131"/>
      <c r="AO142" s="131"/>
      <c r="AP142" s="131"/>
      <c r="AQ142" s="131"/>
      <c r="AR142" s="131"/>
      <c r="AS142" s="131"/>
      <c r="AT142" s="131"/>
      <c r="AU142" s="131"/>
      <c r="AV142" s="131"/>
      <c r="AW142" s="131"/>
      <c r="AX142" s="131"/>
      <c r="AY142" s="131"/>
      <c r="AZ142" s="131"/>
      <c r="BA142" s="131"/>
      <c r="BB142" s="131"/>
      <c r="BC142" s="131"/>
      <c r="BD142" s="131"/>
      <c r="BE142" s="131"/>
      <c r="BF142" s="131"/>
      <c r="BG142" s="131"/>
      <c r="BH142" s="131"/>
      <c r="BI142" s="131"/>
      <c r="BJ142" s="131"/>
      <c r="BK142" s="131"/>
      <c r="BL142" s="131"/>
      <c r="BM142" s="131"/>
      <c r="BN142" s="131"/>
    </row>
    <row r="143" spans="1:66">
      <c r="A143" s="131"/>
      <c r="B143" s="131"/>
      <c r="C143" s="131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131"/>
      <c r="O143" s="131"/>
      <c r="P143" s="131"/>
      <c r="Q143" s="131"/>
      <c r="R143" s="131"/>
      <c r="S143" s="131"/>
      <c r="T143" s="131"/>
      <c r="U143" s="131"/>
      <c r="V143" s="131"/>
      <c r="W143" s="131"/>
      <c r="X143" s="131"/>
      <c r="Y143" s="131"/>
      <c r="Z143" s="131"/>
      <c r="AA143" s="136"/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131"/>
      <c r="AN143" s="131"/>
      <c r="AO143" s="131"/>
      <c r="AP143" s="131"/>
      <c r="AQ143" s="131"/>
      <c r="AR143" s="131"/>
      <c r="AS143" s="131"/>
      <c r="AT143" s="131"/>
      <c r="AU143" s="131"/>
      <c r="AV143" s="131"/>
      <c r="AW143" s="131"/>
      <c r="AX143" s="131"/>
      <c r="AY143" s="131"/>
      <c r="AZ143" s="131"/>
      <c r="BA143" s="131"/>
      <c r="BB143" s="131"/>
      <c r="BC143" s="131"/>
      <c r="BD143" s="131"/>
      <c r="BE143" s="131"/>
      <c r="BF143" s="131"/>
      <c r="BG143" s="131"/>
      <c r="BH143" s="131"/>
      <c r="BI143" s="131"/>
      <c r="BJ143" s="131"/>
      <c r="BK143" s="131"/>
      <c r="BL143" s="131"/>
      <c r="BM143" s="131"/>
      <c r="BN143" s="131"/>
    </row>
    <row r="144" spans="1:66">
      <c r="A144" s="3"/>
      <c r="B144" s="4"/>
      <c r="C144" s="5"/>
      <c r="D144" s="5"/>
      <c r="E144" s="7"/>
      <c r="F144" s="7"/>
      <c r="G144" s="7"/>
      <c r="H144" s="7"/>
      <c r="I144" s="7"/>
      <c r="J144" s="7"/>
      <c r="K144" s="8"/>
      <c r="L144" s="8"/>
      <c r="M144" s="7"/>
      <c r="N144" s="7"/>
      <c r="O144" s="8"/>
      <c r="P144" s="8"/>
      <c r="Q144" s="6"/>
      <c r="R144" s="7"/>
      <c r="S144" s="7"/>
      <c r="T144" s="9"/>
      <c r="U144" s="9"/>
      <c r="V144" s="115"/>
      <c r="W144" s="115"/>
      <c r="X144" s="116"/>
      <c r="Y144" s="116"/>
      <c r="Z144" s="7"/>
      <c r="AA144" s="7"/>
      <c r="AB144" s="20"/>
      <c r="AC144" s="20"/>
      <c r="AD144" s="16"/>
      <c r="AE144" s="16"/>
      <c r="AF144" s="10"/>
      <c r="AG144" s="17"/>
      <c r="AH144" s="17"/>
      <c r="AI144" s="17"/>
      <c r="AJ144" s="11"/>
      <c r="AK144" s="11"/>
      <c r="AL144" s="11"/>
      <c r="AM144" s="11"/>
      <c r="AN144" s="12"/>
      <c r="AO144" s="12"/>
      <c r="AP144" s="12"/>
      <c r="AQ144" s="12"/>
      <c r="AR144" s="12"/>
      <c r="AS144" s="12"/>
      <c r="AT144" s="12"/>
      <c r="AU144" s="12"/>
    </row>
    <row r="145" spans="1:56">
      <c r="A145" s="3"/>
      <c r="B145" s="4"/>
      <c r="C145" s="5"/>
      <c r="D145" s="5"/>
      <c r="E145" s="7"/>
      <c r="F145" s="7"/>
      <c r="G145" s="136"/>
      <c r="H145" s="131"/>
      <c r="I145" s="131"/>
      <c r="J145" s="131"/>
      <c r="K145" s="131"/>
      <c r="L145" s="131"/>
      <c r="M145" s="131"/>
      <c r="N145" s="131"/>
      <c r="O145" s="131"/>
      <c r="P145" s="131"/>
      <c r="Q145" s="131"/>
      <c r="R145" s="131"/>
      <c r="S145" s="131"/>
      <c r="T145" s="131"/>
      <c r="U145" s="131"/>
      <c r="V145" s="131"/>
      <c r="W145" s="131"/>
      <c r="X145" s="131"/>
      <c r="Y145" s="131"/>
      <c r="Z145" s="131"/>
      <c r="AA145" s="131"/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131"/>
      <c r="AN145" s="131"/>
      <c r="AO145" s="131"/>
      <c r="AP145" s="131"/>
      <c r="AQ145" s="131"/>
      <c r="AR145" s="131"/>
      <c r="AS145" s="131"/>
      <c r="AT145" s="131"/>
      <c r="AU145" s="131"/>
      <c r="AV145" s="131"/>
      <c r="AW145" s="131"/>
      <c r="AX145" s="131"/>
      <c r="AY145" s="131"/>
      <c r="AZ145" s="131"/>
      <c r="BA145" s="131"/>
      <c r="BB145" s="131"/>
      <c r="BC145" s="131"/>
      <c r="BD145" s="131"/>
    </row>
    <row r="146" spans="1:56">
      <c r="A146" s="3"/>
      <c r="B146" s="4"/>
      <c r="C146" s="5"/>
      <c r="D146" s="5"/>
      <c r="E146" s="7"/>
      <c r="F146" s="7"/>
      <c r="G146" s="7"/>
      <c r="H146" s="7"/>
      <c r="I146" s="7"/>
      <c r="J146" s="7"/>
      <c r="K146" s="8"/>
      <c r="L146" s="8"/>
      <c r="M146" s="7"/>
      <c r="N146" s="7"/>
      <c r="O146" s="8"/>
      <c r="P146" s="8"/>
      <c r="Q146" s="6"/>
      <c r="R146" s="7"/>
      <c r="S146" s="7"/>
      <c r="T146" s="9"/>
      <c r="U146" s="9"/>
      <c r="V146" s="115"/>
      <c r="W146" s="115"/>
      <c r="X146" s="116"/>
      <c r="Y146" s="116"/>
      <c r="Z146" s="7"/>
      <c r="AA146" s="7"/>
      <c r="AB146" s="20"/>
      <c r="AC146" s="20"/>
      <c r="AD146" s="16"/>
      <c r="AE146" s="16"/>
      <c r="AF146" s="10"/>
      <c r="AG146" s="17"/>
      <c r="AH146" s="17"/>
      <c r="AI146" s="17"/>
      <c r="AJ146" s="11"/>
      <c r="AK146" s="11"/>
      <c r="AL146" s="11"/>
      <c r="AM146" s="11"/>
      <c r="AN146" s="12"/>
      <c r="AO146" s="12"/>
      <c r="AP146" s="12"/>
      <c r="AQ146" s="12"/>
      <c r="AR146" s="12"/>
      <c r="AS146" s="12"/>
      <c r="AT146" s="12"/>
      <c r="AU146" s="12"/>
    </row>
    <row r="147" spans="1:56">
      <c r="A147" s="3"/>
      <c r="B147" s="4"/>
      <c r="C147" s="5"/>
      <c r="D147" s="5"/>
      <c r="E147" s="7"/>
      <c r="F147" s="7"/>
      <c r="G147" s="7"/>
      <c r="H147" s="7"/>
      <c r="I147" s="7"/>
      <c r="J147" s="7"/>
      <c r="K147" s="8"/>
      <c r="L147" s="8"/>
      <c r="M147" s="7"/>
      <c r="N147" s="7"/>
      <c r="O147" s="8"/>
      <c r="P147" s="8"/>
      <c r="Q147" s="6"/>
      <c r="R147" s="7"/>
      <c r="S147" s="7"/>
      <c r="T147" s="9"/>
      <c r="U147" s="9"/>
      <c r="V147" s="115"/>
      <c r="W147" s="115"/>
      <c r="X147" s="116"/>
      <c r="Y147" s="116"/>
      <c r="Z147" s="7"/>
      <c r="AA147" s="7"/>
      <c r="AB147" s="20"/>
      <c r="AC147" s="20"/>
      <c r="AD147" s="16"/>
      <c r="AE147" s="16"/>
      <c r="AF147" s="10"/>
      <c r="AG147" s="17"/>
      <c r="AH147" s="17"/>
      <c r="AI147" s="17"/>
      <c r="AJ147" s="11"/>
      <c r="AK147" s="11"/>
      <c r="AL147" s="11"/>
      <c r="AM147" s="11"/>
      <c r="AN147" s="12"/>
      <c r="AO147" s="12"/>
      <c r="AP147" s="12"/>
      <c r="AQ147" s="12"/>
      <c r="AR147" s="12"/>
      <c r="AS147" s="12"/>
      <c r="AT147" s="12"/>
      <c r="AU147" s="12"/>
    </row>
    <row r="148" spans="1:56">
      <c r="A148" s="3"/>
      <c r="B148" s="4"/>
      <c r="C148" s="5"/>
      <c r="D148" s="5"/>
      <c r="E148" s="7"/>
      <c r="F148" s="7"/>
      <c r="G148" s="7"/>
      <c r="H148" s="7"/>
      <c r="I148" s="7"/>
      <c r="J148" s="7"/>
      <c r="K148" s="8"/>
      <c r="L148" s="8"/>
      <c r="M148" s="7"/>
      <c r="N148" s="7"/>
      <c r="O148" s="8"/>
      <c r="P148" s="8"/>
      <c r="Q148" s="6"/>
      <c r="R148" s="7"/>
      <c r="S148" s="7"/>
      <c r="T148" s="9"/>
      <c r="U148" s="9"/>
      <c r="V148" s="115"/>
      <c r="W148" s="115"/>
      <c r="X148" s="116"/>
      <c r="Y148" s="116"/>
      <c r="Z148" s="7"/>
      <c r="AA148" s="7"/>
      <c r="AB148" s="20"/>
      <c r="AC148" s="20"/>
      <c r="AD148" s="16"/>
      <c r="AE148" s="16"/>
      <c r="AF148" s="10"/>
      <c r="AG148" s="17"/>
      <c r="AH148" s="17"/>
      <c r="AI148" s="17"/>
      <c r="AJ148" s="11"/>
      <c r="AK148" s="11"/>
      <c r="AL148" s="11"/>
      <c r="AM148" s="11"/>
      <c r="AN148" s="12"/>
      <c r="AO148" s="12"/>
      <c r="AP148" s="12"/>
      <c r="AQ148" s="12"/>
      <c r="AR148" s="12"/>
      <c r="AS148" s="12"/>
      <c r="AT148" s="12"/>
      <c r="AU148" s="12"/>
    </row>
    <row r="149" spans="1:56">
      <c r="A149" s="3"/>
      <c r="B149" s="4"/>
      <c r="C149" s="5"/>
      <c r="D149" s="5"/>
      <c r="E149" s="7"/>
      <c r="F149" s="7"/>
      <c r="G149" s="7"/>
      <c r="H149" s="7"/>
      <c r="I149" s="7"/>
      <c r="J149" s="7"/>
      <c r="K149" s="8"/>
      <c r="L149" s="8"/>
      <c r="M149" s="7"/>
      <c r="N149" s="7"/>
      <c r="O149" s="8"/>
      <c r="P149" s="8"/>
      <c r="Q149" s="6"/>
      <c r="R149" s="7"/>
      <c r="S149" s="7"/>
      <c r="T149" s="9"/>
      <c r="U149" s="9"/>
      <c r="V149" s="115"/>
      <c r="W149" s="115"/>
      <c r="X149" s="116"/>
      <c r="Y149" s="116"/>
      <c r="Z149" s="7"/>
      <c r="AA149" s="7"/>
      <c r="AB149" s="20"/>
      <c r="AC149" s="20"/>
      <c r="AD149" s="16"/>
      <c r="AE149" s="16"/>
      <c r="AF149" s="10"/>
      <c r="AG149" s="17"/>
      <c r="AH149" s="17"/>
      <c r="AI149" s="17"/>
      <c r="AJ149" s="11"/>
      <c r="AK149" s="11"/>
      <c r="AL149" s="11"/>
      <c r="AM149" s="11"/>
      <c r="AN149" s="12"/>
      <c r="AO149" s="12"/>
      <c r="AP149" s="12"/>
      <c r="AQ149" s="12"/>
      <c r="AR149" s="12"/>
      <c r="AS149" s="12"/>
      <c r="AT149" s="12"/>
      <c r="AU149" s="12"/>
    </row>
    <row r="150" spans="1:56">
      <c r="A150" s="3"/>
      <c r="B150" s="4"/>
      <c r="C150" s="5"/>
      <c r="D150" s="5"/>
      <c r="E150" s="7"/>
      <c r="F150" s="7"/>
      <c r="G150" s="7"/>
      <c r="H150" s="7"/>
      <c r="I150" s="7"/>
      <c r="J150" s="7"/>
      <c r="K150" s="8"/>
      <c r="L150" s="8"/>
      <c r="M150" s="7"/>
      <c r="N150" s="7"/>
      <c r="O150" s="8"/>
      <c r="P150" s="8"/>
      <c r="Q150" s="6"/>
      <c r="R150" s="7"/>
      <c r="S150" s="7"/>
      <c r="T150" s="9"/>
      <c r="U150" s="9"/>
      <c r="V150" s="115"/>
      <c r="W150" s="115"/>
      <c r="X150" s="116"/>
      <c r="Y150" s="116"/>
      <c r="Z150" s="7"/>
      <c r="AA150" s="7"/>
      <c r="AB150" s="20"/>
      <c r="AC150" s="20"/>
      <c r="AD150" s="16"/>
      <c r="AE150" s="16"/>
      <c r="AF150" s="10"/>
      <c r="AG150" s="17"/>
      <c r="AH150" s="17"/>
      <c r="AI150" s="17"/>
      <c r="AJ150" s="11"/>
      <c r="AK150" s="11"/>
      <c r="AL150" s="11"/>
      <c r="AM150" s="11"/>
      <c r="AN150" s="12"/>
      <c r="AO150" s="12"/>
      <c r="AP150" s="12"/>
      <c r="AQ150" s="12"/>
      <c r="AR150" s="12"/>
      <c r="AS150" s="12"/>
      <c r="AT150" s="12"/>
      <c r="AU150" s="12"/>
    </row>
    <row r="151" spans="1:56">
      <c r="A151" s="3"/>
      <c r="B151" s="4"/>
      <c r="C151" s="5"/>
      <c r="D151" s="5"/>
      <c r="E151" s="7"/>
      <c r="F151" s="7"/>
      <c r="G151" s="7"/>
      <c r="H151" s="7"/>
      <c r="I151" s="7"/>
      <c r="J151" s="7"/>
      <c r="K151" s="8"/>
      <c r="L151" s="8"/>
      <c r="M151" s="7"/>
      <c r="N151" s="7"/>
      <c r="O151" s="8"/>
      <c r="P151" s="8"/>
      <c r="Q151" s="6"/>
      <c r="R151" s="7"/>
      <c r="S151" s="7"/>
      <c r="T151" s="9"/>
      <c r="U151" s="9"/>
      <c r="V151" s="115"/>
      <c r="W151" s="115"/>
      <c r="X151" s="116"/>
      <c r="Y151" s="116"/>
      <c r="Z151" s="7"/>
      <c r="AA151" s="7"/>
      <c r="AB151" s="20"/>
      <c r="AC151" s="20"/>
      <c r="AD151" s="16"/>
      <c r="AE151" s="16"/>
      <c r="AF151" s="10"/>
      <c r="AG151" s="17"/>
      <c r="AH151" s="17"/>
      <c r="AI151" s="17"/>
      <c r="AJ151" s="11"/>
      <c r="AK151" s="11"/>
      <c r="AL151" s="11"/>
      <c r="AM151" s="11"/>
      <c r="AN151" s="12"/>
      <c r="AO151" s="12"/>
      <c r="AP151" s="12"/>
      <c r="AQ151" s="12"/>
      <c r="AR151" s="12"/>
      <c r="AS151" s="12"/>
      <c r="AT151" s="12"/>
      <c r="AU151" s="12"/>
    </row>
    <row r="152" spans="1:56">
      <c r="A152" s="3"/>
      <c r="B152" s="4"/>
      <c r="C152" s="5"/>
      <c r="D152" s="5"/>
      <c r="E152" s="7"/>
      <c r="F152" s="7"/>
      <c r="G152" s="7"/>
      <c r="H152" s="7"/>
      <c r="I152" s="7"/>
      <c r="J152" s="7"/>
      <c r="K152" s="8"/>
      <c r="L152" s="8"/>
      <c r="M152" s="7"/>
      <c r="N152" s="7"/>
      <c r="O152" s="8"/>
      <c r="P152" s="8"/>
      <c r="Q152" s="6"/>
      <c r="R152" s="7"/>
      <c r="S152" s="7"/>
      <c r="T152" s="9"/>
      <c r="U152" s="9"/>
      <c r="V152" s="115"/>
      <c r="W152" s="115"/>
      <c r="X152" s="116"/>
      <c r="Y152" s="116"/>
      <c r="Z152" s="7"/>
      <c r="AA152" s="7"/>
      <c r="AB152" s="20"/>
      <c r="AC152" s="20"/>
      <c r="AD152" s="16"/>
      <c r="AE152" s="16"/>
      <c r="AF152" s="10"/>
      <c r="AG152" s="17"/>
      <c r="AH152" s="17"/>
      <c r="AI152" s="17"/>
      <c r="AJ152" s="11"/>
      <c r="AK152" s="11"/>
      <c r="AL152" s="11"/>
      <c r="AM152" s="11"/>
      <c r="AN152" s="12"/>
      <c r="AO152" s="12"/>
      <c r="AP152" s="12"/>
      <c r="AQ152" s="12"/>
      <c r="AR152" s="12"/>
      <c r="AS152" s="12"/>
      <c r="AT152" s="12"/>
      <c r="AU152" s="12"/>
    </row>
    <row r="153" spans="1:56">
      <c r="A153" s="3"/>
      <c r="B153" s="4"/>
      <c r="C153" s="5"/>
      <c r="D153" s="5"/>
      <c r="E153" s="7"/>
      <c r="F153" s="7"/>
      <c r="G153" s="7"/>
      <c r="H153" s="7"/>
      <c r="I153" s="7"/>
      <c r="J153" s="7"/>
      <c r="K153" s="8"/>
      <c r="L153" s="8"/>
      <c r="M153" s="7"/>
      <c r="N153" s="7"/>
      <c r="O153" s="8"/>
      <c r="P153" s="8"/>
      <c r="Q153" s="6"/>
      <c r="R153" s="7"/>
      <c r="S153" s="7"/>
      <c r="T153" s="9"/>
      <c r="U153" s="9"/>
      <c r="V153" s="115"/>
      <c r="W153" s="115"/>
      <c r="X153" s="116"/>
      <c r="Y153" s="116"/>
      <c r="Z153" s="7"/>
      <c r="AA153" s="7"/>
      <c r="AB153" s="20"/>
      <c r="AC153" s="20"/>
      <c r="AD153" s="16"/>
      <c r="AE153" s="16"/>
      <c r="AF153" s="10"/>
      <c r="AG153" s="17"/>
      <c r="AH153" s="17"/>
      <c r="AI153" s="17"/>
      <c r="AJ153" s="11"/>
      <c r="AK153" s="11"/>
      <c r="AL153" s="11"/>
      <c r="AM153" s="11"/>
      <c r="AN153" s="12"/>
      <c r="AO153" s="12"/>
      <c r="AP153" s="12"/>
      <c r="AQ153" s="12"/>
      <c r="AR153" s="12"/>
      <c r="AS153" s="12"/>
      <c r="AT153" s="12"/>
      <c r="AU153" s="12"/>
    </row>
    <row r="154" spans="1:56">
      <c r="A154" s="3"/>
      <c r="B154" s="4"/>
      <c r="C154" s="5"/>
      <c r="D154" s="5"/>
      <c r="E154" s="7"/>
      <c r="F154" s="7"/>
      <c r="G154" s="131"/>
      <c r="H154" s="131"/>
      <c r="I154" s="131"/>
      <c r="J154" s="131"/>
      <c r="K154" s="131"/>
      <c r="L154" s="131"/>
      <c r="M154" s="131"/>
      <c r="N154" s="131"/>
      <c r="O154" s="131"/>
      <c r="P154" s="131"/>
      <c r="Q154" s="131"/>
      <c r="R154" s="131"/>
      <c r="S154" s="131"/>
      <c r="T154" s="131"/>
      <c r="U154" s="131"/>
      <c r="V154" s="131"/>
      <c r="W154" s="131"/>
      <c r="X154" s="131"/>
      <c r="Y154" s="131"/>
      <c r="Z154" s="131"/>
      <c r="AA154" s="131"/>
      <c r="AB154" s="131"/>
      <c r="AC154" s="131"/>
      <c r="AD154" s="135"/>
      <c r="AE154" s="131"/>
      <c r="AF154" s="131"/>
      <c r="AG154" s="131"/>
      <c r="AH154" s="131"/>
      <c r="AI154" s="131"/>
      <c r="AJ154" s="131"/>
      <c r="AK154" s="131"/>
      <c r="AL154" s="131"/>
      <c r="AM154" s="131"/>
      <c r="AN154" s="131"/>
      <c r="AO154" s="131"/>
      <c r="AP154" s="131"/>
      <c r="AQ154" s="131"/>
      <c r="AR154" s="131"/>
      <c r="AS154" s="131"/>
      <c r="AT154" s="131"/>
      <c r="AU154" s="131"/>
      <c r="AV154" s="131"/>
      <c r="AW154" s="131"/>
      <c r="AX154" s="131"/>
      <c r="AY154" s="131"/>
      <c r="AZ154" s="131"/>
      <c r="BA154" s="131"/>
      <c r="BB154" s="131"/>
      <c r="BC154" s="131"/>
      <c r="BD154" s="131"/>
    </row>
    <row r="155" spans="1:56">
      <c r="A155" s="3"/>
      <c r="B155" s="4"/>
      <c r="C155" s="5"/>
      <c r="D155" s="5"/>
      <c r="E155" s="7"/>
      <c r="F155" s="7"/>
      <c r="G155" s="131"/>
      <c r="H155" s="131"/>
      <c r="I155" s="131"/>
      <c r="J155" s="131"/>
      <c r="K155" s="131"/>
      <c r="L155" s="131"/>
      <c r="M155" s="131"/>
      <c r="N155" s="131"/>
      <c r="O155" s="131"/>
      <c r="P155" s="131"/>
      <c r="Q155" s="131"/>
      <c r="R155" s="131"/>
      <c r="S155" s="131"/>
      <c r="T155" s="131"/>
      <c r="U155" s="131"/>
      <c r="V155" s="131"/>
      <c r="W155" s="131"/>
      <c r="X155" s="131"/>
      <c r="Y155" s="131"/>
      <c r="Z155" s="131"/>
      <c r="AA155" s="131"/>
      <c r="AB155" s="131"/>
      <c r="AC155" s="131"/>
      <c r="AD155" s="135"/>
      <c r="AE155" s="131"/>
      <c r="AF155" s="131"/>
      <c r="AG155" s="131"/>
      <c r="AH155" s="131"/>
      <c r="AI155" s="131"/>
      <c r="AJ155" s="131"/>
      <c r="AK155" s="131"/>
      <c r="AL155" s="131"/>
      <c r="AM155" s="131"/>
      <c r="AN155" s="131"/>
      <c r="AO155" s="131"/>
      <c r="AP155" s="131"/>
      <c r="AQ155" s="131"/>
      <c r="AR155" s="131"/>
      <c r="AS155" s="131"/>
      <c r="AT155" s="131"/>
      <c r="AU155" s="131"/>
      <c r="AV155" s="131"/>
      <c r="AW155" s="131"/>
      <c r="AX155" s="131"/>
      <c r="AY155" s="131"/>
      <c r="AZ155" s="131"/>
      <c r="BA155" s="131"/>
      <c r="BB155" s="131"/>
      <c r="BC155" s="131"/>
      <c r="BD155" s="131"/>
    </row>
    <row r="156" spans="1:56">
      <c r="A156" s="3"/>
      <c r="B156" s="4"/>
      <c r="C156" s="5"/>
      <c r="D156" s="5"/>
      <c r="E156" s="7"/>
      <c r="F156" s="7"/>
      <c r="G156" s="131"/>
      <c r="H156" s="131"/>
      <c r="I156" s="131"/>
      <c r="J156" s="131"/>
      <c r="K156" s="131"/>
      <c r="L156" s="131"/>
      <c r="M156" s="131"/>
      <c r="N156" s="131"/>
      <c r="O156" s="131"/>
      <c r="P156" s="131"/>
      <c r="Q156" s="131"/>
      <c r="R156" s="131"/>
      <c r="S156" s="131"/>
      <c r="T156" s="131"/>
      <c r="U156" s="131"/>
      <c r="V156" s="131"/>
      <c r="W156" s="131"/>
      <c r="X156" s="131"/>
      <c r="Y156" s="131"/>
      <c r="Z156" s="131"/>
      <c r="AA156" s="131"/>
      <c r="AB156" s="131"/>
      <c r="AC156" s="131"/>
      <c r="AD156" s="135"/>
      <c r="AE156" s="131"/>
      <c r="AF156" s="131"/>
      <c r="AG156" s="131"/>
      <c r="AH156" s="131"/>
      <c r="AI156" s="131"/>
      <c r="AJ156" s="131"/>
      <c r="AK156" s="131"/>
      <c r="AL156" s="131"/>
      <c r="AM156" s="131"/>
      <c r="AN156" s="131"/>
      <c r="AO156" s="131"/>
      <c r="AP156" s="131"/>
      <c r="AQ156" s="131"/>
      <c r="AR156" s="131"/>
      <c r="AS156" s="131"/>
      <c r="AT156" s="131"/>
      <c r="AU156" s="131"/>
      <c r="AV156" s="131"/>
      <c r="AW156" s="131"/>
      <c r="AX156" s="131"/>
      <c r="AY156" s="131"/>
      <c r="AZ156" s="131"/>
      <c r="BA156" s="131"/>
      <c r="BB156" s="131"/>
      <c r="BC156" s="131"/>
      <c r="BD156" s="131"/>
    </row>
    <row r="157" spans="1:56">
      <c r="A157" s="3"/>
      <c r="B157" s="4"/>
      <c r="C157" s="5"/>
      <c r="D157" s="5"/>
      <c r="E157" s="7"/>
      <c r="F157" s="7"/>
      <c r="G157" s="131"/>
      <c r="H157" s="131"/>
      <c r="I157" s="131"/>
      <c r="J157" s="131"/>
      <c r="K157" s="131"/>
      <c r="L157" s="131"/>
      <c r="M157" s="131"/>
      <c r="N157" s="131"/>
      <c r="O157" s="131"/>
      <c r="P157" s="131"/>
      <c r="Q157" s="131"/>
      <c r="R157" s="131"/>
      <c r="S157" s="131"/>
      <c r="T157" s="131"/>
      <c r="U157" s="131"/>
      <c r="V157" s="131"/>
      <c r="W157" s="131"/>
      <c r="X157" s="131"/>
      <c r="Y157" s="131"/>
      <c r="Z157" s="131"/>
      <c r="AA157" s="131"/>
      <c r="AB157" s="131"/>
      <c r="AC157" s="131"/>
      <c r="AD157" s="135"/>
      <c r="AE157" s="131"/>
      <c r="AF157" s="131"/>
      <c r="AG157" s="131"/>
      <c r="AH157" s="131"/>
      <c r="AI157" s="131"/>
      <c r="AJ157" s="131"/>
      <c r="AK157" s="131"/>
      <c r="AL157" s="131"/>
      <c r="AM157" s="131"/>
      <c r="AN157" s="131"/>
      <c r="AO157" s="131"/>
      <c r="AP157" s="131"/>
      <c r="AQ157" s="131"/>
      <c r="AR157" s="131"/>
      <c r="AS157" s="131"/>
      <c r="AT157" s="131"/>
      <c r="AU157" s="131"/>
      <c r="AV157" s="131"/>
      <c r="AW157" s="131"/>
      <c r="AX157" s="131"/>
      <c r="AY157" s="131"/>
      <c r="AZ157" s="131"/>
      <c r="BA157" s="131"/>
      <c r="BB157" s="131"/>
      <c r="BC157" s="131"/>
      <c r="BD157" s="131"/>
    </row>
    <row r="158" spans="1:56">
      <c r="A158" s="3"/>
      <c r="B158" s="4"/>
      <c r="C158" s="5"/>
      <c r="D158" s="5"/>
      <c r="E158" s="7"/>
      <c r="F158" s="7"/>
      <c r="G158" s="131"/>
      <c r="H158" s="131"/>
      <c r="I158" s="131"/>
      <c r="J158" s="131"/>
      <c r="K158" s="131"/>
      <c r="L158" s="131"/>
      <c r="M158" s="131"/>
      <c r="N158" s="131"/>
      <c r="O158" s="131"/>
      <c r="P158" s="131"/>
      <c r="Q158" s="131"/>
      <c r="R158" s="131"/>
      <c r="S158" s="131"/>
      <c r="T158" s="131"/>
      <c r="U158" s="131"/>
      <c r="V158" s="131"/>
      <c r="W158" s="131"/>
      <c r="X158" s="131"/>
      <c r="Y158" s="131"/>
      <c r="Z158" s="131"/>
      <c r="AA158" s="131"/>
      <c r="AB158" s="131"/>
      <c r="AC158" s="131"/>
      <c r="AD158" s="135"/>
      <c r="AE158" s="131"/>
      <c r="AF158" s="131"/>
      <c r="AG158" s="131"/>
      <c r="AH158" s="131"/>
      <c r="AI158" s="131"/>
      <c r="AJ158" s="131"/>
      <c r="AK158" s="131"/>
      <c r="AL158" s="131"/>
      <c r="AM158" s="131"/>
      <c r="AN158" s="131"/>
      <c r="AO158" s="131"/>
      <c r="AP158" s="131"/>
      <c r="AQ158" s="131"/>
      <c r="AR158" s="131"/>
      <c r="AS158" s="131"/>
      <c r="AT158" s="131"/>
      <c r="AU158" s="131"/>
      <c r="AV158" s="131"/>
      <c r="AW158" s="131"/>
      <c r="AX158" s="131"/>
      <c r="AY158" s="131"/>
      <c r="AZ158" s="131"/>
      <c r="BA158" s="131"/>
      <c r="BB158" s="131"/>
      <c r="BC158" s="131"/>
      <c r="BD158" s="131"/>
    </row>
    <row r="159" spans="1:56">
      <c r="A159" s="3"/>
      <c r="B159" s="4"/>
      <c r="C159" s="5"/>
      <c r="D159" s="5"/>
      <c r="E159" s="7"/>
      <c r="F159" s="7"/>
      <c r="G159" s="131"/>
      <c r="H159" s="131"/>
      <c r="I159" s="131"/>
      <c r="J159" s="131"/>
      <c r="K159" s="131"/>
      <c r="L159" s="131"/>
      <c r="M159" s="131"/>
      <c r="N159" s="131"/>
      <c r="O159" s="131"/>
      <c r="P159" s="131"/>
      <c r="Q159" s="131"/>
      <c r="R159" s="131"/>
      <c r="S159" s="131"/>
      <c r="T159" s="131"/>
      <c r="U159" s="131"/>
      <c r="V159" s="131"/>
      <c r="W159" s="131"/>
      <c r="X159" s="131"/>
      <c r="Y159" s="131"/>
      <c r="Z159" s="131"/>
      <c r="AA159" s="131"/>
      <c r="AB159" s="131"/>
      <c r="AC159" s="131"/>
      <c r="AD159" s="135"/>
      <c r="AE159" s="131"/>
      <c r="AF159" s="131"/>
      <c r="AG159" s="131"/>
      <c r="AH159" s="131"/>
      <c r="AI159" s="131"/>
      <c r="AJ159" s="131"/>
      <c r="AK159" s="131"/>
      <c r="AL159" s="131"/>
      <c r="AM159" s="131"/>
      <c r="AN159" s="131"/>
      <c r="AO159" s="131"/>
      <c r="AP159" s="131"/>
      <c r="AQ159" s="131"/>
      <c r="AR159" s="131"/>
      <c r="AS159" s="131"/>
      <c r="AT159" s="131"/>
      <c r="AU159" s="131"/>
      <c r="AV159" s="131"/>
      <c r="AW159" s="131"/>
      <c r="AX159" s="131"/>
      <c r="AY159" s="131"/>
      <c r="AZ159" s="131"/>
      <c r="BA159" s="131"/>
      <c r="BB159" s="131"/>
      <c r="BC159" s="131"/>
      <c r="BD159" s="131"/>
    </row>
    <row r="160" spans="1:56">
      <c r="A160" s="3"/>
      <c r="B160" s="4"/>
      <c r="C160" s="5"/>
      <c r="D160" s="5"/>
      <c r="E160" s="7"/>
      <c r="F160" s="7"/>
      <c r="G160" s="7"/>
      <c r="H160" s="7"/>
      <c r="I160" s="7"/>
      <c r="J160" s="7"/>
      <c r="K160" s="8"/>
      <c r="L160" s="8"/>
      <c r="M160" s="7"/>
      <c r="N160" s="7"/>
      <c r="O160" s="8"/>
      <c r="P160" s="8"/>
      <c r="Q160" s="6"/>
      <c r="R160" s="7"/>
      <c r="S160" s="7"/>
      <c r="T160" s="9"/>
      <c r="U160" s="9"/>
      <c r="V160" s="115"/>
      <c r="W160" s="115"/>
      <c r="X160" s="116"/>
      <c r="Y160" s="116"/>
      <c r="Z160" s="7"/>
      <c r="AA160" s="7"/>
      <c r="AB160" s="20"/>
      <c r="AC160" s="131"/>
      <c r="AD160" s="135"/>
      <c r="AE160" s="16"/>
      <c r="AF160" s="10"/>
      <c r="AG160" s="17"/>
      <c r="AH160" s="17"/>
      <c r="AI160" s="17"/>
      <c r="AJ160" s="11"/>
      <c r="AK160" s="11"/>
      <c r="AL160" s="11"/>
      <c r="AM160" s="11"/>
      <c r="AN160" s="12"/>
      <c r="AO160" s="12"/>
      <c r="AP160" s="12"/>
      <c r="AQ160" s="12"/>
      <c r="AR160" s="12"/>
      <c r="AS160" s="12"/>
      <c r="AT160" s="12"/>
      <c r="AU160" s="12"/>
    </row>
    <row r="161" spans="1:47">
      <c r="A161" s="3"/>
      <c r="B161" s="4"/>
      <c r="C161" s="5"/>
      <c r="D161" s="5"/>
      <c r="E161" s="7"/>
      <c r="F161" s="7"/>
      <c r="G161" s="7"/>
      <c r="H161" s="7"/>
      <c r="I161" s="7"/>
      <c r="J161" s="7"/>
      <c r="K161" s="8"/>
      <c r="L161" s="8"/>
      <c r="M161" s="7"/>
      <c r="N161" s="7"/>
      <c r="O161" s="8"/>
      <c r="P161" s="8"/>
      <c r="Q161" s="6"/>
      <c r="R161" s="7"/>
      <c r="S161" s="7"/>
      <c r="T161" s="9"/>
      <c r="U161" s="9"/>
      <c r="V161" s="115"/>
      <c r="W161" s="115"/>
      <c r="X161" s="116"/>
      <c r="Y161" s="116"/>
      <c r="Z161" s="7"/>
      <c r="AA161" s="7"/>
      <c r="AB161" s="20"/>
      <c r="AC161" s="131"/>
      <c r="AD161" s="135"/>
      <c r="AE161" s="16"/>
      <c r="AF161" s="10"/>
      <c r="AG161" s="17"/>
      <c r="AH161" s="17"/>
      <c r="AI161" s="17"/>
      <c r="AJ161" s="11"/>
      <c r="AK161" s="11"/>
      <c r="AL161" s="11"/>
      <c r="AM161" s="11"/>
      <c r="AN161" s="12"/>
      <c r="AO161" s="12"/>
      <c r="AP161" s="12"/>
      <c r="AQ161" s="12"/>
      <c r="AR161" s="12"/>
      <c r="AS161" s="12"/>
      <c r="AT161" s="12"/>
      <c r="AU161" s="12"/>
    </row>
    <row r="162" spans="1:47">
      <c r="A162" s="3"/>
      <c r="B162" s="4"/>
      <c r="C162" s="5"/>
      <c r="D162" s="5"/>
      <c r="E162" s="7"/>
      <c r="F162" s="7"/>
      <c r="G162" s="7"/>
      <c r="H162" s="7"/>
      <c r="I162" s="7"/>
      <c r="J162" s="7"/>
      <c r="K162" s="8"/>
      <c r="L162" s="8"/>
      <c r="M162" s="7"/>
      <c r="N162" s="7"/>
      <c r="O162" s="8"/>
      <c r="P162" s="8"/>
      <c r="Q162" s="6"/>
      <c r="R162" s="7"/>
      <c r="S162" s="7"/>
      <c r="T162" s="9"/>
      <c r="U162" s="9"/>
      <c r="V162" s="115"/>
      <c r="W162" s="115"/>
      <c r="X162" s="116"/>
      <c r="Y162" s="116"/>
      <c r="Z162" s="7"/>
      <c r="AA162" s="7"/>
      <c r="AB162" s="20"/>
      <c r="AC162" s="131"/>
      <c r="AD162" s="135"/>
      <c r="AE162" s="16"/>
      <c r="AF162" s="10"/>
      <c r="AG162" s="17"/>
      <c r="AH162" s="17"/>
      <c r="AI162" s="17"/>
      <c r="AJ162" s="11"/>
      <c r="AK162" s="11"/>
      <c r="AL162" s="11"/>
      <c r="AM162" s="11"/>
      <c r="AN162" s="12"/>
      <c r="AO162" s="12"/>
      <c r="AP162" s="12"/>
      <c r="AQ162" s="12"/>
      <c r="AR162" s="12"/>
      <c r="AS162" s="12"/>
      <c r="AT162" s="12"/>
      <c r="AU162" s="12"/>
    </row>
    <row r="163" spans="1:47">
      <c r="A163" s="3"/>
      <c r="B163" s="4"/>
      <c r="C163" s="5"/>
      <c r="D163" s="5"/>
      <c r="E163" s="7"/>
      <c r="F163" s="7"/>
      <c r="G163" s="7"/>
      <c r="H163" s="7"/>
      <c r="I163" s="7"/>
      <c r="J163" s="7"/>
      <c r="K163" s="8"/>
      <c r="L163" s="8"/>
      <c r="M163" s="7"/>
      <c r="N163" s="7"/>
      <c r="O163" s="8"/>
      <c r="P163" s="8"/>
      <c r="Q163" s="6"/>
      <c r="R163" s="7"/>
      <c r="S163" s="7"/>
      <c r="T163" s="9"/>
      <c r="U163" s="9"/>
      <c r="V163" s="115"/>
      <c r="W163" s="115"/>
      <c r="X163" s="116"/>
      <c r="Y163" s="116"/>
      <c r="Z163" s="7"/>
      <c r="AA163" s="7"/>
      <c r="AB163" s="20"/>
      <c r="AC163" s="131"/>
      <c r="AD163" s="135"/>
      <c r="AE163" s="16"/>
      <c r="AF163" s="10"/>
      <c r="AG163" s="17"/>
      <c r="AH163" s="17"/>
      <c r="AI163" s="17"/>
      <c r="AJ163" s="11"/>
      <c r="AK163" s="11"/>
      <c r="AL163" s="11"/>
      <c r="AM163" s="11"/>
      <c r="AN163" s="12"/>
      <c r="AO163" s="12"/>
      <c r="AP163" s="12"/>
      <c r="AQ163" s="12"/>
      <c r="AR163" s="12"/>
      <c r="AS163" s="12"/>
      <c r="AT163" s="12"/>
      <c r="AU163" s="12"/>
    </row>
    <row r="164" spans="1:47">
      <c r="A164" s="3"/>
      <c r="B164" s="4"/>
      <c r="C164" s="5"/>
      <c r="D164" s="5"/>
      <c r="E164" s="7"/>
      <c r="F164" s="7"/>
      <c r="G164" s="7"/>
      <c r="H164" s="7"/>
      <c r="I164" s="7"/>
      <c r="J164" s="7"/>
      <c r="K164" s="8"/>
      <c r="L164" s="8"/>
      <c r="M164" s="7"/>
      <c r="N164" s="7"/>
      <c r="O164" s="8"/>
      <c r="P164" s="8"/>
      <c r="Q164" s="6"/>
      <c r="R164" s="7"/>
      <c r="S164" s="7"/>
      <c r="T164" s="9"/>
      <c r="U164" s="9"/>
      <c r="V164" s="115"/>
      <c r="W164" s="115"/>
      <c r="X164" s="116"/>
      <c r="Y164" s="116"/>
      <c r="Z164" s="7"/>
      <c r="AA164" s="7"/>
      <c r="AB164" s="20"/>
      <c r="AC164" s="131"/>
      <c r="AD164" s="135"/>
      <c r="AE164" s="16"/>
      <c r="AF164" s="10"/>
      <c r="AG164" s="17"/>
      <c r="AH164" s="17"/>
      <c r="AI164" s="17"/>
      <c r="AJ164" s="11"/>
      <c r="AK164" s="11"/>
      <c r="AL164" s="11"/>
      <c r="AM164" s="11"/>
      <c r="AN164" s="12"/>
      <c r="AO164" s="12"/>
      <c r="AP164" s="12"/>
      <c r="AQ164" s="12"/>
      <c r="AR164" s="12"/>
      <c r="AS164" s="12"/>
      <c r="AT164" s="12"/>
      <c r="AU164" s="12"/>
    </row>
    <row r="165" spans="1:47">
      <c r="A165" s="21"/>
      <c r="B165" s="21"/>
      <c r="C165" s="5"/>
      <c r="D165" s="5"/>
      <c r="E165" s="7"/>
      <c r="F165" s="7"/>
      <c r="G165" s="7"/>
      <c r="H165" s="7"/>
      <c r="I165" s="7"/>
      <c r="J165" s="7"/>
      <c r="K165" s="8"/>
      <c r="L165" s="8"/>
      <c r="M165" s="7"/>
      <c r="N165" s="7"/>
      <c r="O165" s="8"/>
      <c r="P165" s="8"/>
      <c r="Q165" s="6"/>
      <c r="R165" s="7"/>
      <c r="S165" s="7"/>
      <c r="T165" s="9"/>
      <c r="U165" s="9"/>
      <c r="V165" s="115"/>
      <c r="W165" s="115"/>
      <c r="X165" s="116"/>
      <c r="Y165" s="116"/>
      <c r="Z165" s="7"/>
      <c r="AA165" s="7"/>
      <c r="AB165" s="20"/>
      <c r="AC165" s="131"/>
      <c r="AD165" s="135"/>
      <c r="AE165" s="16"/>
      <c r="AF165" s="10"/>
      <c r="AG165" s="17"/>
      <c r="AH165" s="17"/>
      <c r="AI165" s="17"/>
      <c r="AJ165" s="11"/>
      <c r="AK165" s="11"/>
      <c r="AL165" s="11"/>
      <c r="AM165" s="11"/>
      <c r="AN165" s="12"/>
      <c r="AO165" s="12"/>
      <c r="AP165" s="12"/>
      <c r="AQ165" s="12"/>
      <c r="AR165" s="12"/>
      <c r="AS165" s="12"/>
      <c r="AT165" s="12"/>
      <c r="AU165" s="12"/>
    </row>
    <row r="166" spans="1:47">
      <c r="A166" s="21"/>
      <c r="B166" s="21"/>
      <c r="C166" s="5"/>
      <c r="D166" s="5"/>
      <c r="E166" s="7"/>
      <c r="F166" s="7"/>
      <c r="G166" s="7"/>
      <c r="H166" s="7"/>
      <c r="I166" s="7"/>
      <c r="J166" s="7"/>
      <c r="K166" s="8"/>
      <c r="L166" s="8"/>
      <c r="M166" s="7"/>
      <c r="N166" s="7"/>
      <c r="O166" s="8"/>
      <c r="P166" s="8"/>
      <c r="Q166" s="6"/>
      <c r="R166" s="7"/>
      <c r="S166" s="7"/>
      <c r="T166" s="9"/>
      <c r="U166" s="9"/>
      <c r="V166" s="115"/>
      <c r="W166" s="115"/>
      <c r="X166" s="116"/>
      <c r="Y166" s="116"/>
      <c r="Z166" s="7"/>
      <c r="AA166" s="7"/>
      <c r="AB166" s="20"/>
      <c r="AC166" s="131"/>
      <c r="AD166" s="135"/>
      <c r="AE166" s="16"/>
      <c r="AF166" s="10"/>
      <c r="AG166" s="17"/>
      <c r="AH166" s="17"/>
      <c r="AI166" s="17"/>
      <c r="AJ166" s="11"/>
      <c r="AK166" s="11"/>
      <c r="AL166" s="11"/>
      <c r="AM166" s="11"/>
      <c r="AN166" s="12"/>
      <c r="AO166" s="12"/>
      <c r="AP166" s="12"/>
      <c r="AQ166" s="12"/>
      <c r="AR166" s="12"/>
      <c r="AS166" s="12"/>
      <c r="AT166" s="12"/>
      <c r="AU166" s="12"/>
    </row>
    <row r="167" spans="1:47">
      <c r="A167" s="21"/>
      <c r="B167" s="21"/>
      <c r="C167" s="5"/>
      <c r="D167" s="5"/>
      <c r="E167" s="7"/>
      <c r="F167" s="7"/>
      <c r="G167" s="7"/>
      <c r="H167" s="7"/>
      <c r="I167" s="7"/>
      <c r="J167" s="7"/>
      <c r="K167" s="8"/>
      <c r="L167" s="8"/>
      <c r="M167" s="7"/>
      <c r="N167" s="7"/>
      <c r="O167" s="8"/>
      <c r="P167" s="8"/>
      <c r="Q167" s="6"/>
      <c r="R167" s="7"/>
      <c r="S167" s="7"/>
      <c r="T167" s="9"/>
      <c r="U167" s="9"/>
      <c r="V167" s="115"/>
      <c r="W167" s="115"/>
      <c r="X167" s="116"/>
      <c r="Y167" s="116"/>
      <c r="Z167" s="7"/>
      <c r="AA167" s="7"/>
      <c r="AB167" s="20"/>
      <c r="AC167" s="131"/>
      <c r="AD167" s="135"/>
      <c r="AE167" s="16"/>
      <c r="AF167" s="10"/>
      <c r="AG167" s="17"/>
      <c r="AH167" s="17"/>
      <c r="AI167" s="17"/>
      <c r="AJ167" s="11"/>
      <c r="AK167" s="11"/>
      <c r="AL167" s="11"/>
      <c r="AM167" s="11"/>
      <c r="AN167" s="12"/>
      <c r="AO167" s="12"/>
      <c r="AP167" s="12"/>
      <c r="AQ167" s="12"/>
      <c r="AR167" s="12"/>
      <c r="AS167" s="12"/>
      <c r="AT167" s="12"/>
      <c r="AU167" s="12"/>
    </row>
    <row r="168" spans="1:47">
      <c r="C168" s="5"/>
      <c r="D168" s="5"/>
      <c r="E168" s="7"/>
      <c r="F168" s="7"/>
      <c r="G168" s="7"/>
      <c r="H168" s="7"/>
      <c r="I168" s="7"/>
      <c r="J168" s="7"/>
      <c r="K168" s="8"/>
      <c r="L168" s="8"/>
      <c r="M168" s="7"/>
      <c r="N168" s="7"/>
      <c r="O168" s="8"/>
      <c r="P168" s="8"/>
      <c r="Q168" s="6"/>
      <c r="R168" s="7"/>
      <c r="S168" s="7"/>
      <c r="T168" s="9"/>
      <c r="U168" s="9"/>
      <c r="V168" s="115"/>
      <c r="W168" s="115"/>
      <c r="X168" s="116"/>
      <c r="Y168" s="116"/>
      <c r="Z168" s="7"/>
      <c r="AA168" s="7"/>
      <c r="AB168" s="20"/>
      <c r="AC168" s="20"/>
      <c r="AD168" s="16"/>
      <c r="AE168" s="16"/>
      <c r="AF168" s="10"/>
      <c r="AG168" s="17"/>
      <c r="AH168" s="17"/>
      <c r="AI168" s="17"/>
      <c r="AJ168" s="11"/>
      <c r="AK168" s="11"/>
      <c r="AL168" s="11"/>
      <c r="AM168" s="11"/>
      <c r="AN168" s="12"/>
      <c r="AO168" s="12"/>
      <c r="AP168" s="12"/>
      <c r="AQ168" s="12"/>
      <c r="AR168" s="12"/>
      <c r="AS168" s="12"/>
      <c r="AT168" s="12"/>
      <c r="AU168" s="12"/>
    </row>
    <row r="169" spans="1:47">
      <c r="C169" s="16" t="s">
        <v>141</v>
      </c>
      <c r="D169" s="16" t="s">
        <v>141</v>
      </c>
      <c r="E169" s="7" t="s">
        <v>141</v>
      </c>
      <c r="F169" s="7" t="s">
        <v>141</v>
      </c>
      <c r="G169" s="7" t="s">
        <v>141</v>
      </c>
      <c r="H169" s="7" t="s">
        <v>141</v>
      </c>
      <c r="I169" s="7" t="s">
        <v>141</v>
      </c>
      <c r="J169" s="7" t="s">
        <v>141</v>
      </c>
      <c r="K169" s="8" t="s">
        <v>141</v>
      </c>
      <c r="L169" s="8" t="s">
        <v>141</v>
      </c>
      <c r="M169" s="7" t="s">
        <v>141</v>
      </c>
      <c r="N169" s="7" t="s">
        <v>141</v>
      </c>
      <c r="O169" s="8" t="s">
        <v>141</v>
      </c>
      <c r="P169" s="8" t="s">
        <v>141</v>
      </c>
      <c r="Q169" s="6" t="s">
        <v>141</v>
      </c>
      <c r="R169" s="7" t="s">
        <v>141</v>
      </c>
      <c r="S169" s="7"/>
      <c r="T169" s="9" t="s">
        <v>141</v>
      </c>
      <c r="U169" s="9" t="s">
        <v>141</v>
      </c>
      <c r="V169" s="115" t="s">
        <v>141</v>
      </c>
      <c r="W169" s="115" t="s">
        <v>141</v>
      </c>
      <c r="X169" s="116"/>
      <c r="Y169" s="116"/>
      <c r="Z169" s="7"/>
      <c r="AA169" s="7"/>
      <c r="AB169" s="20"/>
      <c r="AC169" s="20"/>
      <c r="AD169" s="16"/>
      <c r="AE169" s="16"/>
      <c r="AF169" s="10"/>
      <c r="AG169" s="17"/>
      <c r="AH169" s="17"/>
      <c r="AI169" s="17"/>
      <c r="AJ169" s="11"/>
      <c r="AK169" s="11"/>
      <c r="AL169" s="11"/>
      <c r="AM169" s="11"/>
      <c r="AN169" s="12"/>
      <c r="AO169" s="12"/>
      <c r="AP169" s="12"/>
      <c r="AQ169" s="12"/>
      <c r="AR169" s="12"/>
      <c r="AS169" s="12"/>
      <c r="AT169" s="12"/>
      <c r="AU169" s="12"/>
    </row>
    <row r="170" spans="1:47">
      <c r="C170" s="16" t="s">
        <v>141</v>
      </c>
      <c r="D170" s="16" t="s">
        <v>141</v>
      </c>
      <c r="E170" s="7" t="s">
        <v>141</v>
      </c>
      <c r="F170" s="7" t="s">
        <v>141</v>
      </c>
      <c r="G170" s="7" t="s">
        <v>141</v>
      </c>
      <c r="H170" s="7" t="s">
        <v>141</v>
      </c>
      <c r="I170" s="7" t="s">
        <v>141</v>
      </c>
      <c r="J170" s="7" t="s">
        <v>141</v>
      </c>
      <c r="K170" s="8" t="s">
        <v>141</v>
      </c>
      <c r="L170" s="8" t="s">
        <v>141</v>
      </c>
      <c r="M170" s="7" t="s">
        <v>141</v>
      </c>
      <c r="N170" s="7" t="s">
        <v>141</v>
      </c>
      <c r="O170" s="8" t="s">
        <v>141</v>
      </c>
      <c r="P170" s="8" t="s">
        <v>141</v>
      </c>
      <c r="Q170" s="6" t="s">
        <v>141</v>
      </c>
      <c r="R170" s="7" t="s">
        <v>141</v>
      </c>
      <c r="S170" s="7"/>
      <c r="T170" s="9" t="s">
        <v>141</v>
      </c>
      <c r="U170" s="9" t="s">
        <v>141</v>
      </c>
      <c r="V170" s="115" t="s">
        <v>141</v>
      </c>
      <c r="W170" s="115" t="s">
        <v>141</v>
      </c>
      <c r="X170" s="116"/>
      <c r="Y170" s="116"/>
      <c r="Z170" s="7"/>
      <c r="AA170" s="7"/>
      <c r="AB170" s="20"/>
      <c r="AC170" s="20"/>
      <c r="AD170" s="16"/>
      <c r="AE170" s="16"/>
      <c r="AF170" s="10"/>
      <c r="AG170" s="17"/>
      <c r="AH170" s="17"/>
      <c r="AI170" s="17"/>
      <c r="AJ170" s="11"/>
      <c r="AK170" s="11"/>
      <c r="AL170" s="11"/>
      <c r="AM170" s="11"/>
      <c r="AN170" s="12"/>
      <c r="AO170" s="12"/>
      <c r="AP170" s="12"/>
      <c r="AQ170" s="12"/>
      <c r="AR170" s="12"/>
      <c r="AS170" s="12"/>
      <c r="AT170" s="12"/>
      <c r="AU170" s="12"/>
    </row>
    <row r="171" spans="1:47">
      <c r="C171" s="16" t="s">
        <v>141</v>
      </c>
      <c r="D171" s="16" t="s">
        <v>141</v>
      </c>
      <c r="E171" s="7" t="s">
        <v>141</v>
      </c>
      <c r="F171" s="7" t="s">
        <v>141</v>
      </c>
      <c r="G171" s="7" t="s">
        <v>141</v>
      </c>
      <c r="H171" s="7" t="s">
        <v>141</v>
      </c>
      <c r="I171" s="7" t="s">
        <v>141</v>
      </c>
      <c r="J171" s="7" t="s">
        <v>141</v>
      </c>
      <c r="K171" s="8" t="s">
        <v>141</v>
      </c>
      <c r="L171" s="8" t="s">
        <v>141</v>
      </c>
      <c r="M171" s="7" t="s">
        <v>141</v>
      </c>
      <c r="N171" s="7" t="s">
        <v>141</v>
      </c>
      <c r="O171" s="8" t="s">
        <v>141</v>
      </c>
      <c r="P171" s="8" t="s">
        <v>141</v>
      </c>
      <c r="Q171" s="6" t="s">
        <v>141</v>
      </c>
      <c r="R171" s="7" t="s">
        <v>141</v>
      </c>
      <c r="S171" s="7"/>
      <c r="T171" s="9" t="s">
        <v>141</v>
      </c>
      <c r="U171" s="9" t="s">
        <v>141</v>
      </c>
      <c r="V171" s="115" t="s">
        <v>141</v>
      </c>
      <c r="W171" s="115" t="s">
        <v>141</v>
      </c>
      <c r="X171" s="116"/>
      <c r="Y171" s="116"/>
      <c r="Z171" s="7"/>
      <c r="AA171" s="7"/>
      <c r="AB171" s="20"/>
      <c r="AC171" s="20"/>
      <c r="AD171" s="16"/>
      <c r="AE171" s="16"/>
      <c r="AF171" s="10"/>
      <c r="AG171" s="17"/>
      <c r="AH171" s="17"/>
      <c r="AI171" s="17"/>
      <c r="AJ171" s="11"/>
      <c r="AK171" s="11"/>
      <c r="AL171" s="11"/>
      <c r="AM171" s="11"/>
      <c r="AN171" s="12"/>
      <c r="AO171" s="12"/>
      <c r="AP171" s="12"/>
      <c r="AQ171" s="12"/>
      <c r="AR171" s="12"/>
      <c r="AS171" s="12"/>
      <c r="AT171" s="12"/>
      <c r="AU171" s="12"/>
    </row>
    <row r="172" spans="1:47">
      <c r="C172" s="16" t="s">
        <v>141</v>
      </c>
      <c r="D172" s="16" t="s">
        <v>141</v>
      </c>
      <c r="E172" s="7" t="s">
        <v>141</v>
      </c>
      <c r="F172" s="7" t="s">
        <v>141</v>
      </c>
      <c r="G172" s="7" t="s">
        <v>141</v>
      </c>
      <c r="H172" s="7" t="s">
        <v>141</v>
      </c>
      <c r="I172" s="7" t="s">
        <v>141</v>
      </c>
      <c r="J172" s="7" t="s">
        <v>141</v>
      </c>
      <c r="K172" s="8" t="s">
        <v>141</v>
      </c>
      <c r="L172" s="8" t="s">
        <v>141</v>
      </c>
      <c r="M172" s="7" t="s">
        <v>141</v>
      </c>
      <c r="N172" s="7" t="s">
        <v>141</v>
      </c>
      <c r="O172" s="8" t="s">
        <v>141</v>
      </c>
      <c r="P172" s="8" t="s">
        <v>141</v>
      </c>
      <c r="Q172" s="6" t="s">
        <v>141</v>
      </c>
      <c r="R172" s="7" t="s">
        <v>141</v>
      </c>
      <c r="S172" s="7"/>
      <c r="T172" s="9" t="s">
        <v>141</v>
      </c>
      <c r="U172" s="9" t="s">
        <v>141</v>
      </c>
      <c r="V172" s="115" t="s">
        <v>141</v>
      </c>
      <c r="W172" s="115" t="s">
        <v>141</v>
      </c>
      <c r="X172" s="116"/>
      <c r="Y172" s="116"/>
      <c r="Z172" s="7"/>
      <c r="AA172" s="7"/>
      <c r="AB172" s="20"/>
      <c r="AC172" s="20"/>
      <c r="AD172" s="16"/>
      <c r="AE172" s="16"/>
      <c r="AF172" s="10"/>
      <c r="AG172" s="17"/>
      <c r="AH172" s="17"/>
      <c r="AI172" s="17"/>
      <c r="AJ172" s="11"/>
      <c r="AK172" s="11"/>
      <c r="AL172" s="11"/>
      <c r="AM172" s="11"/>
      <c r="AN172" s="12"/>
      <c r="AO172" s="12"/>
      <c r="AP172" s="12"/>
      <c r="AQ172" s="12"/>
      <c r="AR172" s="12"/>
      <c r="AS172" s="12"/>
      <c r="AT172" s="12"/>
      <c r="AU172" s="12"/>
    </row>
    <row r="173" spans="1:47">
      <c r="C173" s="16" t="s">
        <v>141</v>
      </c>
      <c r="D173" s="16" t="s">
        <v>141</v>
      </c>
      <c r="E173" s="7" t="s">
        <v>141</v>
      </c>
      <c r="F173" s="7" t="s">
        <v>141</v>
      </c>
      <c r="G173" s="7" t="s">
        <v>141</v>
      </c>
      <c r="H173" s="7" t="s">
        <v>141</v>
      </c>
      <c r="I173" s="7" t="s">
        <v>141</v>
      </c>
      <c r="J173" s="7" t="s">
        <v>141</v>
      </c>
      <c r="K173" s="8" t="s">
        <v>141</v>
      </c>
      <c r="L173" s="8" t="s">
        <v>141</v>
      </c>
      <c r="M173" s="7" t="s">
        <v>141</v>
      </c>
      <c r="N173" s="7" t="s">
        <v>141</v>
      </c>
      <c r="O173" s="8" t="s">
        <v>141</v>
      </c>
      <c r="P173" s="8" t="s">
        <v>141</v>
      </c>
      <c r="Q173" s="6" t="s">
        <v>141</v>
      </c>
      <c r="R173" s="7" t="s">
        <v>141</v>
      </c>
      <c r="S173" s="7"/>
      <c r="T173" s="9" t="s">
        <v>141</v>
      </c>
      <c r="U173" s="9" t="s">
        <v>141</v>
      </c>
      <c r="V173" s="115" t="s">
        <v>141</v>
      </c>
      <c r="W173" s="115" t="s">
        <v>141</v>
      </c>
      <c r="X173" s="116"/>
      <c r="Y173" s="116"/>
      <c r="Z173" s="7"/>
      <c r="AA173" s="7"/>
      <c r="AB173" s="20"/>
      <c r="AC173" s="20"/>
      <c r="AD173" s="16"/>
      <c r="AE173" s="16"/>
      <c r="AF173" s="10"/>
      <c r="AG173" s="17"/>
      <c r="AH173" s="17"/>
      <c r="AI173" s="17"/>
      <c r="AJ173" s="11"/>
      <c r="AK173" s="11"/>
      <c r="AL173" s="11"/>
      <c r="AM173" s="11"/>
      <c r="AN173" s="12"/>
      <c r="AO173" s="12"/>
      <c r="AP173" s="12"/>
      <c r="AQ173" s="12"/>
      <c r="AR173" s="12"/>
      <c r="AS173" s="12"/>
      <c r="AT173" s="12"/>
      <c r="AU173" s="12"/>
    </row>
    <row r="174" spans="1:47">
      <c r="C174" s="16" t="s">
        <v>141</v>
      </c>
      <c r="D174" s="16" t="s">
        <v>141</v>
      </c>
      <c r="E174" s="7" t="s">
        <v>141</v>
      </c>
      <c r="F174" s="7" t="s">
        <v>141</v>
      </c>
      <c r="G174" s="7" t="s">
        <v>141</v>
      </c>
      <c r="H174" s="7" t="s">
        <v>141</v>
      </c>
      <c r="I174" s="7" t="s">
        <v>141</v>
      </c>
      <c r="J174" s="7" t="s">
        <v>141</v>
      </c>
      <c r="K174" s="8" t="s">
        <v>141</v>
      </c>
      <c r="L174" s="8" t="s">
        <v>141</v>
      </c>
      <c r="M174" s="7" t="s">
        <v>141</v>
      </c>
      <c r="N174" s="7" t="s">
        <v>141</v>
      </c>
      <c r="O174" s="8" t="s">
        <v>141</v>
      </c>
      <c r="P174" s="8" t="s">
        <v>141</v>
      </c>
      <c r="Q174" s="6" t="s">
        <v>141</v>
      </c>
      <c r="R174" s="7" t="s">
        <v>141</v>
      </c>
      <c r="S174" s="7"/>
      <c r="T174" s="9" t="s">
        <v>141</v>
      </c>
      <c r="U174" s="9" t="s">
        <v>141</v>
      </c>
      <c r="V174" s="115" t="s">
        <v>141</v>
      </c>
      <c r="W174" s="115" t="s">
        <v>141</v>
      </c>
      <c r="X174" s="116"/>
      <c r="Y174" s="116"/>
      <c r="Z174" s="7"/>
      <c r="AA174" s="7"/>
      <c r="AB174" s="20"/>
      <c r="AC174" s="20"/>
      <c r="AD174" s="16"/>
      <c r="AE174" s="16"/>
      <c r="AF174" s="10"/>
      <c r="AG174" s="17"/>
      <c r="AH174" s="17"/>
      <c r="AI174" s="17"/>
      <c r="AJ174" s="11"/>
      <c r="AK174" s="11"/>
      <c r="AL174" s="11"/>
      <c r="AM174" s="11"/>
      <c r="AN174" s="12"/>
      <c r="AO174" s="12"/>
      <c r="AP174" s="12"/>
      <c r="AQ174" s="12"/>
      <c r="AR174" s="12"/>
      <c r="AS174" s="12"/>
      <c r="AT174" s="12"/>
      <c r="AU174" s="12"/>
    </row>
    <row r="175" spans="1:47">
      <c r="C175" s="16" t="s">
        <v>141</v>
      </c>
      <c r="D175" s="16" t="s">
        <v>141</v>
      </c>
      <c r="E175" s="7" t="s">
        <v>141</v>
      </c>
      <c r="F175" s="7" t="s">
        <v>141</v>
      </c>
      <c r="G175" s="7" t="s">
        <v>141</v>
      </c>
      <c r="H175" s="7" t="s">
        <v>141</v>
      </c>
      <c r="I175" s="7" t="s">
        <v>141</v>
      </c>
      <c r="J175" s="7" t="s">
        <v>141</v>
      </c>
      <c r="K175" s="8" t="s">
        <v>141</v>
      </c>
      <c r="L175" s="8" t="s">
        <v>141</v>
      </c>
      <c r="M175" s="7" t="s">
        <v>141</v>
      </c>
      <c r="N175" s="7" t="s">
        <v>141</v>
      </c>
      <c r="O175" s="8" t="s">
        <v>141</v>
      </c>
      <c r="P175" s="8" t="s">
        <v>141</v>
      </c>
      <c r="Q175" s="6" t="s">
        <v>141</v>
      </c>
      <c r="R175" s="7" t="s">
        <v>141</v>
      </c>
      <c r="S175" s="7"/>
      <c r="T175" s="9" t="s">
        <v>141</v>
      </c>
      <c r="U175" s="9" t="s">
        <v>141</v>
      </c>
      <c r="V175" s="115" t="s">
        <v>141</v>
      </c>
      <c r="W175" s="115" t="s">
        <v>141</v>
      </c>
      <c r="X175" s="116"/>
      <c r="Y175" s="116"/>
      <c r="Z175" s="7"/>
      <c r="AA175" s="7"/>
      <c r="AB175" s="20"/>
      <c r="AC175" s="20"/>
      <c r="AD175" s="16"/>
      <c r="AE175" s="16"/>
      <c r="AF175" s="10"/>
      <c r="AG175" s="17"/>
      <c r="AH175" s="17"/>
      <c r="AI175" s="17"/>
      <c r="AJ175" s="11"/>
      <c r="AK175" s="11"/>
      <c r="AL175" s="11"/>
      <c r="AM175" s="11"/>
      <c r="AN175" s="12"/>
      <c r="AO175" s="12"/>
      <c r="AP175" s="12"/>
      <c r="AQ175" s="12"/>
      <c r="AR175" s="12"/>
      <c r="AS175" s="12"/>
      <c r="AT175" s="12"/>
      <c r="AU175" s="12"/>
    </row>
    <row r="176" spans="1:47">
      <c r="C176" s="16" t="s">
        <v>141</v>
      </c>
      <c r="D176" s="16" t="s">
        <v>141</v>
      </c>
      <c r="E176" s="7" t="s">
        <v>141</v>
      </c>
      <c r="F176" s="7" t="s">
        <v>141</v>
      </c>
      <c r="G176" s="7" t="s">
        <v>141</v>
      </c>
      <c r="H176" s="7" t="s">
        <v>141</v>
      </c>
      <c r="I176" s="7" t="s">
        <v>141</v>
      </c>
      <c r="J176" s="7" t="s">
        <v>141</v>
      </c>
      <c r="K176" s="8" t="s">
        <v>141</v>
      </c>
      <c r="L176" s="8" t="s">
        <v>141</v>
      </c>
      <c r="M176" s="7" t="s">
        <v>141</v>
      </c>
      <c r="N176" s="7" t="s">
        <v>141</v>
      </c>
      <c r="O176" s="8" t="s">
        <v>141</v>
      </c>
      <c r="P176" s="8" t="s">
        <v>141</v>
      </c>
      <c r="Q176" s="6" t="s">
        <v>141</v>
      </c>
      <c r="R176" s="7" t="s">
        <v>141</v>
      </c>
      <c r="S176" s="7"/>
      <c r="T176" s="9" t="s">
        <v>141</v>
      </c>
      <c r="U176" s="9" t="s">
        <v>141</v>
      </c>
      <c r="V176" s="115" t="s">
        <v>141</v>
      </c>
      <c r="W176" s="115" t="s">
        <v>141</v>
      </c>
      <c r="X176" s="116"/>
      <c r="Y176" s="116"/>
      <c r="Z176" s="7"/>
      <c r="AA176" s="7"/>
      <c r="AB176" s="20"/>
      <c r="AC176" s="20"/>
      <c r="AD176" s="16"/>
      <c r="AE176" s="16"/>
      <c r="AF176" s="10"/>
      <c r="AG176" s="17"/>
      <c r="AH176" s="17"/>
      <c r="AI176" s="17"/>
      <c r="AJ176" s="11"/>
      <c r="AK176" s="11"/>
      <c r="AL176" s="11"/>
      <c r="AM176" s="11"/>
      <c r="AN176" s="12"/>
      <c r="AO176" s="12"/>
      <c r="AP176" s="12"/>
      <c r="AQ176" s="12"/>
      <c r="AR176" s="12"/>
      <c r="AS176" s="12"/>
      <c r="AT176" s="12"/>
      <c r="AU176" s="12"/>
    </row>
    <row r="177" spans="3:47">
      <c r="C177" s="16" t="s">
        <v>141</v>
      </c>
      <c r="D177" s="16" t="s">
        <v>141</v>
      </c>
      <c r="E177" s="7" t="s">
        <v>141</v>
      </c>
      <c r="F177" s="7" t="s">
        <v>141</v>
      </c>
      <c r="G177" s="7" t="s">
        <v>141</v>
      </c>
      <c r="H177" s="7" t="s">
        <v>141</v>
      </c>
      <c r="I177" s="7" t="s">
        <v>141</v>
      </c>
      <c r="J177" s="7" t="s">
        <v>141</v>
      </c>
      <c r="K177" s="8" t="s">
        <v>141</v>
      </c>
      <c r="L177" s="8" t="s">
        <v>141</v>
      </c>
      <c r="M177" s="7" t="s">
        <v>141</v>
      </c>
      <c r="N177" s="7" t="s">
        <v>141</v>
      </c>
      <c r="O177" s="8" t="s">
        <v>141</v>
      </c>
      <c r="P177" s="8" t="s">
        <v>141</v>
      </c>
      <c r="Q177" s="6" t="s">
        <v>141</v>
      </c>
      <c r="R177" s="7" t="s">
        <v>141</v>
      </c>
      <c r="S177" s="7"/>
      <c r="T177" s="9" t="s">
        <v>141</v>
      </c>
      <c r="U177" s="9" t="s">
        <v>141</v>
      </c>
      <c r="V177" s="115" t="s">
        <v>141</v>
      </c>
      <c r="W177" s="115" t="s">
        <v>141</v>
      </c>
      <c r="X177" s="116"/>
      <c r="Y177" s="116"/>
      <c r="Z177" s="7"/>
      <c r="AA177" s="7"/>
      <c r="AB177" s="20"/>
      <c r="AC177" s="20"/>
      <c r="AD177" s="16"/>
      <c r="AE177" s="16"/>
      <c r="AF177" s="10"/>
      <c r="AG177" s="17"/>
      <c r="AH177" s="17"/>
      <c r="AI177" s="17"/>
      <c r="AJ177" s="11"/>
      <c r="AK177" s="11"/>
      <c r="AL177" s="11"/>
      <c r="AM177" s="11"/>
      <c r="AN177" s="12"/>
      <c r="AO177" s="12"/>
      <c r="AP177" s="12"/>
      <c r="AQ177" s="12"/>
      <c r="AR177" s="12"/>
      <c r="AS177" s="12"/>
      <c r="AT177" s="12"/>
      <c r="AU177" s="12"/>
    </row>
    <row r="178" spans="3:47">
      <c r="C178" s="16" t="s">
        <v>141</v>
      </c>
      <c r="D178" s="16" t="s">
        <v>141</v>
      </c>
      <c r="E178" s="7" t="s">
        <v>141</v>
      </c>
      <c r="F178" s="7" t="s">
        <v>141</v>
      </c>
      <c r="G178" s="7" t="s">
        <v>141</v>
      </c>
      <c r="H178" s="7" t="s">
        <v>141</v>
      </c>
      <c r="I178" s="7" t="s">
        <v>141</v>
      </c>
      <c r="J178" s="7" t="s">
        <v>141</v>
      </c>
      <c r="K178" s="8" t="s">
        <v>141</v>
      </c>
      <c r="L178" s="8" t="s">
        <v>141</v>
      </c>
      <c r="M178" s="7" t="s">
        <v>141</v>
      </c>
      <c r="N178" s="7" t="s">
        <v>141</v>
      </c>
      <c r="O178" s="8" t="s">
        <v>141</v>
      </c>
      <c r="P178" s="8" t="s">
        <v>141</v>
      </c>
      <c r="Q178" s="6" t="s">
        <v>141</v>
      </c>
      <c r="R178" s="7" t="s">
        <v>141</v>
      </c>
      <c r="S178" s="7"/>
      <c r="T178" s="9" t="s">
        <v>141</v>
      </c>
      <c r="U178" s="9" t="s">
        <v>141</v>
      </c>
      <c r="V178" s="115" t="s">
        <v>141</v>
      </c>
      <c r="W178" s="115" t="s">
        <v>141</v>
      </c>
      <c r="X178" s="116"/>
      <c r="Y178" s="116"/>
      <c r="Z178" s="7"/>
      <c r="AA178" s="7"/>
      <c r="AB178" s="20"/>
      <c r="AC178" s="20"/>
      <c r="AD178" s="16"/>
      <c r="AE178" s="16"/>
      <c r="AF178" s="10"/>
      <c r="AG178" s="17"/>
      <c r="AH178" s="17"/>
      <c r="AI178" s="17"/>
      <c r="AJ178" s="11"/>
      <c r="AK178" s="11"/>
      <c r="AL178" s="11"/>
      <c r="AM178" s="11"/>
      <c r="AN178" s="12"/>
      <c r="AO178" s="12"/>
      <c r="AP178" s="12"/>
      <c r="AQ178" s="12"/>
      <c r="AR178" s="12"/>
      <c r="AS178" s="12"/>
      <c r="AT178" s="12"/>
      <c r="AU178" s="12"/>
    </row>
    <row r="179" spans="3:47">
      <c r="C179" s="16" t="s">
        <v>141</v>
      </c>
      <c r="D179" s="16" t="s">
        <v>141</v>
      </c>
      <c r="E179" s="7" t="s">
        <v>141</v>
      </c>
      <c r="F179" s="7" t="s">
        <v>141</v>
      </c>
      <c r="G179" s="7" t="s">
        <v>141</v>
      </c>
      <c r="H179" s="7" t="s">
        <v>141</v>
      </c>
      <c r="I179" s="7" t="s">
        <v>141</v>
      </c>
      <c r="J179" s="7" t="s">
        <v>141</v>
      </c>
      <c r="K179" s="8" t="s">
        <v>141</v>
      </c>
      <c r="L179" s="8" t="s">
        <v>141</v>
      </c>
      <c r="M179" s="7" t="s">
        <v>141</v>
      </c>
      <c r="N179" s="7" t="s">
        <v>141</v>
      </c>
      <c r="O179" s="8" t="s">
        <v>141</v>
      </c>
      <c r="P179" s="8" t="s">
        <v>141</v>
      </c>
      <c r="Q179" s="6" t="s">
        <v>141</v>
      </c>
      <c r="R179" s="7" t="s">
        <v>141</v>
      </c>
      <c r="S179" s="7"/>
      <c r="T179" s="9" t="s">
        <v>141</v>
      </c>
      <c r="U179" s="9" t="s">
        <v>141</v>
      </c>
      <c r="V179" s="115" t="s">
        <v>141</v>
      </c>
      <c r="W179" s="115" t="s">
        <v>141</v>
      </c>
      <c r="X179" s="116"/>
      <c r="Y179" s="116"/>
      <c r="Z179" s="7"/>
      <c r="AA179" s="7"/>
      <c r="AB179" s="20"/>
      <c r="AC179" s="20"/>
      <c r="AD179" s="16"/>
      <c r="AE179" s="16"/>
      <c r="AF179" s="10"/>
      <c r="AG179" s="17"/>
      <c r="AH179" s="17"/>
      <c r="AI179" s="17"/>
      <c r="AJ179" s="11"/>
      <c r="AK179" s="11"/>
      <c r="AL179" s="11"/>
      <c r="AM179" s="11"/>
      <c r="AN179" s="12"/>
      <c r="AO179" s="12"/>
      <c r="AP179" s="12"/>
      <c r="AQ179" s="12"/>
      <c r="AR179" s="12"/>
      <c r="AS179" s="12"/>
      <c r="AT179" s="12"/>
      <c r="AU179" s="12"/>
    </row>
    <row r="180" spans="3:47">
      <c r="C180" s="16" t="s">
        <v>141</v>
      </c>
      <c r="D180" s="16" t="s">
        <v>141</v>
      </c>
      <c r="E180" s="7" t="s">
        <v>141</v>
      </c>
      <c r="F180" s="7" t="s">
        <v>141</v>
      </c>
      <c r="G180" s="7" t="s">
        <v>141</v>
      </c>
      <c r="H180" s="7" t="s">
        <v>141</v>
      </c>
      <c r="I180" s="7" t="s">
        <v>141</v>
      </c>
      <c r="J180" s="7" t="s">
        <v>141</v>
      </c>
      <c r="K180" s="8" t="s">
        <v>141</v>
      </c>
      <c r="L180" s="8" t="s">
        <v>141</v>
      </c>
      <c r="M180" s="7" t="s">
        <v>141</v>
      </c>
      <c r="N180" s="7" t="s">
        <v>141</v>
      </c>
      <c r="O180" s="8" t="s">
        <v>141</v>
      </c>
      <c r="P180" s="8" t="s">
        <v>141</v>
      </c>
      <c r="Q180" s="6" t="s">
        <v>141</v>
      </c>
      <c r="R180" s="7" t="s">
        <v>141</v>
      </c>
      <c r="S180" s="7"/>
      <c r="T180" s="9" t="s">
        <v>141</v>
      </c>
      <c r="U180" s="9" t="s">
        <v>141</v>
      </c>
      <c r="V180" s="115" t="s">
        <v>141</v>
      </c>
      <c r="W180" s="115" t="s">
        <v>141</v>
      </c>
      <c r="Z180" s="7"/>
      <c r="AA180" s="7"/>
      <c r="AB180" s="20"/>
      <c r="AC180" s="20"/>
      <c r="AD180" s="16"/>
      <c r="AE180" s="16"/>
      <c r="AF180" s="10"/>
      <c r="AG180" s="17"/>
      <c r="AH180" s="17"/>
      <c r="AI180" s="17"/>
      <c r="AJ180" s="11"/>
      <c r="AK180" s="11"/>
      <c r="AL180" s="11"/>
      <c r="AM180" s="11"/>
      <c r="AN180" s="12"/>
      <c r="AO180" s="12"/>
      <c r="AP180" s="12"/>
      <c r="AQ180" s="12"/>
      <c r="AR180" s="12"/>
      <c r="AS180" s="12"/>
      <c r="AT180" s="12"/>
      <c r="AU180" s="12"/>
    </row>
    <row r="181" spans="3:47">
      <c r="C181" s="16" t="s">
        <v>141</v>
      </c>
      <c r="D181" s="16" t="s">
        <v>141</v>
      </c>
      <c r="E181" s="7" t="s">
        <v>141</v>
      </c>
      <c r="F181" s="7" t="s">
        <v>141</v>
      </c>
      <c r="G181" s="7" t="s">
        <v>141</v>
      </c>
      <c r="H181" s="7" t="s">
        <v>141</v>
      </c>
      <c r="I181" s="7" t="s">
        <v>141</v>
      </c>
      <c r="J181" s="7" t="s">
        <v>141</v>
      </c>
      <c r="K181" s="8" t="s">
        <v>141</v>
      </c>
      <c r="L181" s="8" t="s">
        <v>141</v>
      </c>
      <c r="M181" s="7" t="s">
        <v>141</v>
      </c>
      <c r="N181" s="7" t="s">
        <v>141</v>
      </c>
      <c r="O181" s="8" t="s">
        <v>141</v>
      </c>
      <c r="P181" s="8" t="s">
        <v>141</v>
      </c>
      <c r="Q181" s="6" t="s">
        <v>141</v>
      </c>
      <c r="R181" s="7" t="s">
        <v>141</v>
      </c>
      <c r="S181" s="7"/>
      <c r="T181" s="9" t="s">
        <v>141</v>
      </c>
      <c r="U181" s="9" t="s">
        <v>141</v>
      </c>
      <c r="V181" s="115" t="s">
        <v>141</v>
      </c>
      <c r="W181" s="115" t="s">
        <v>141</v>
      </c>
      <c r="Z181" s="7"/>
      <c r="AA181" s="7"/>
      <c r="AB181" s="20"/>
      <c r="AC181" s="20"/>
      <c r="AD181" s="16"/>
      <c r="AE181" s="16"/>
      <c r="AF181" s="10"/>
      <c r="AG181" s="17"/>
      <c r="AH181" s="17"/>
      <c r="AI181" s="17"/>
      <c r="AJ181" s="11"/>
      <c r="AK181" s="11"/>
      <c r="AL181" s="11"/>
      <c r="AM181" s="11"/>
      <c r="AN181" s="12"/>
      <c r="AO181" s="12"/>
      <c r="AP181" s="12"/>
      <c r="AQ181" s="12"/>
      <c r="AR181" s="12"/>
      <c r="AS181" s="12"/>
      <c r="AT181" s="12"/>
      <c r="AU181" s="12"/>
    </row>
    <row r="182" spans="3:47">
      <c r="C182" s="16" t="s">
        <v>141</v>
      </c>
      <c r="D182" s="16" t="s">
        <v>141</v>
      </c>
      <c r="E182" s="7" t="s">
        <v>141</v>
      </c>
      <c r="F182" s="7" t="s">
        <v>141</v>
      </c>
      <c r="G182" s="7" t="s">
        <v>141</v>
      </c>
      <c r="H182" s="7" t="s">
        <v>141</v>
      </c>
      <c r="I182" s="7" t="s">
        <v>141</v>
      </c>
      <c r="J182" s="7" t="s">
        <v>141</v>
      </c>
      <c r="K182" s="8" t="s">
        <v>141</v>
      </c>
      <c r="L182" s="8" t="s">
        <v>141</v>
      </c>
      <c r="M182" s="7" t="s">
        <v>141</v>
      </c>
      <c r="N182" s="7" t="s">
        <v>141</v>
      </c>
      <c r="O182" s="8" t="s">
        <v>141</v>
      </c>
      <c r="P182" s="8" t="s">
        <v>141</v>
      </c>
      <c r="Q182" s="6" t="s">
        <v>141</v>
      </c>
      <c r="R182" s="7" t="s">
        <v>141</v>
      </c>
      <c r="S182" s="7"/>
      <c r="T182" s="9" t="s">
        <v>141</v>
      </c>
      <c r="U182" s="9" t="s">
        <v>141</v>
      </c>
      <c r="V182" s="115" t="s">
        <v>141</v>
      </c>
      <c r="W182" s="115" t="s">
        <v>141</v>
      </c>
      <c r="Z182" s="7"/>
      <c r="AA182" s="7"/>
      <c r="AB182" s="20"/>
      <c r="AC182" s="20"/>
      <c r="AD182" s="16"/>
      <c r="AE182" s="16"/>
      <c r="AF182" s="10"/>
      <c r="AG182" s="17"/>
      <c r="AH182" s="17"/>
      <c r="AI182" s="17"/>
      <c r="AJ182" s="11"/>
      <c r="AK182" s="11"/>
      <c r="AL182" s="11"/>
      <c r="AM182" s="11"/>
      <c r="AN182" s="12"/>
      <c r="AO182" s="12"/>
      <c r="AP182" s="12"/>
      <c r="AQ182" s="12"/>
      <c r="AR182" s="12"/>
      <c r="AS182" s="12"/>
      <c r="AT182" s="12"/>
      <c r="AU182" s="12"/>
    </row>
    <row r="274" spans="1:35">
      <c r="A274" s="2"/>
      <c r="B274" s="2"/>
      <c r="C274" s="2"/>
      <c r="D274" s="2"/>
      <c r="K274" s="2"/>
      <c r="L274" s="2"/>
      <c r="Q274" s="2"/>
      <c r="T274" s="2"/>
      <c r="U274" s="2"/>
      <c r="V274" s="2"/>
      <c r="W274" s="2"/>
      <c r="X274" s="2"/>
      <c r="Y274" s="2"/>
      <c r="AD274" s="2"/>
      <c r="AE274" s="2"/>
      <c r="AF274" s="2"/>
      <c r="AG274" s="2"/>
      <c r="AH274" s="2"/>
      <c r="AI274" s="2"/>
    </row>
    <row r="275" spans="1:35">
      <c r="A275" s="2"/>
      <c r="B275" s="2"/>
      <c r="C275" s="2"/>
      <c r="D275" s="2"/>
      <c r="K275" s="2"/>
      <c r="L275" s="2"/>
      <c r="Q275" s="2"/>
      <c r="T275" s="2"/>
      <c r="U275" s="2"/>
      <c r="V275" s="2"/>
      <c r="W275" s="2"/>
      <c r="X275" s="2"/>
      <c r="Y275" s="2"/>
      <c r="AD275" s="2"/>
      <c r="AE275" s="2"/>
      <c r="AF275" s="2"/>
      <c r="AG275" s="2"/>
      <c r="AH275" s="2"/>
      <c r="AI275" s="2"/>
    </row>
    <row r="276" spans="1:35">
      <c r="A276" s="2"/>
      <c r="B276" s="2"/>
      <c r="C276" s="2"/>
      <c r="D276" s="2"/>
      <c r="K276" s="2"/>
      <c r="L276" s="2"/>
      <c r="Q276" s="2"/>
      <c r="T276" s="2"/>
      <c r="U276" s="2"/>
      <c r="V276" s="2"/>
      <c r="W276" s="2"/>
      <c r="X276" s="2"/>
      <c r="Y276" s="2"/>
      <c r="AD276" s="2"/>
      <c r="AE276" s="2"/>
      <c r="AF276" s="2"/>
      <c r="AG276" s="2"/>
      <c r="AH276" s="2"/>
      <c r="AI276" s="2"/>
    </row>
    <row r="277" spans="1:35">
      <c r="A277" s="2"/>
      <c r="B277" s="2"/>
      <c r="C277" s="2"/>
      <c r="D277" s="2"/>
      <c r="K277" s="2"/>
      <c r="L277" s="2"/>
      <c r="Q277" s="2"/>
      <c r="T277" s="2"/>
      <c r="U277" s="2"/>
      <c r="V277" s="2"/>
      <c r="W277" s="2"/>
      <c r="X277" s="2"/>
      <c r="Y277" s="2"/>
      <c r="AD277" s="2"/>
      <c r="AE277" s="2"/>
      <c r="AF277" s="2"/>
      <c r="AG277" s="2"/>
      <c r="AH277" s="2"/>
      <c r="AI277" s="2"/>
    </row>
    <row r="278" spans="1:35">
      <c r="A278" s="2"/>
      <c r="B278" s="2"/>
      <c r="C278" s="2"/>
      <c r="D278" s="2"/>
      <c r="K278" s="2"/>
      <c r="L278" s="2"/>
      <c r="Q278" s="2"/>
      <c r="T278" s="2"/>
      <c r="U278" s="2"/>
      <c r="V278" s="2"/>
      <c r="W278" s="2"/>
      <c r="X278" s="2"/>
      <c r="Y278" s="2"/>
      <c r="AD278" s="2"/>
      <c r="AE278" s="2"/>
      <c r="AF278" s="2"/>
      <c r="AG278" s="2"/>
      <c r="AH278" s="2"/>
      <c r="AI278" s="2"/>
    </row>
    <row r="279" spans="1:35">
      <c r="A279" s="2"/>
      <c r="B279" s="2"/>
      <c r="C279" s="2"/>
      <c r="D279" s="2"/>
      <c r="K279" s="2"/>
      <c r="L279" s="2"/>
      <c r="Q279" s="2"/>
      <c r="T279" s="2"/>
      <c r="U279" s="2"/>
      <c r="V279" s="2"/>
      <c r="W279" s="2"/>
      <c r="X279" s="2"/>
      <c r="Y279" s="2"/>
      <c r="AD279" s="2"/>
      <c r="AE279" s="2"/>
      <c r="AF279" s="2"/>
      <c r="AG279" s="2"/>
      <c r="AH279" s="2"/>
      <c r="AI279" s="2"/>
    </row>
    <row r="280" spans="1:35">
      <c r="A280" s="2"/>
      <c r="B280" s="2"/>
      <c r="C280" s="2"/>
      <c r="D280" s="2"/>
      <c r="K280" s="2"/>
      <c r="L280" s="2"/>
      <c r="Q280" s="2"/>
      <c r="T280" s="2"/>
      <c r="U280" s="2"/>
      <c r="V280" s="2"/>
      <c r="W280" s="2"/>
      <c r="X280" s="2"/>
      <c r="Y280" s="2"/>
      <c r="AD280" s="2"/>
      <c r="AE280" s="2"/>
      <c r="AF280" s="2"/>
      <c r="AG280" s="2"/>
      <c r="AH280" s="2"/>
      <c r="AI280" s="2"/>
    </row>
    <row r="281" spans="1:35">
      <c r="A281" s="2"/>
      <c r="B281" s="2"/>
      <c r="C281" s="2"/>
      <c r="D281" s="2"/>
      <c r="K281" s="2"/>
      <c r="L281" s="2"/>
      <c r="Q281" s="2"/>
      <c r="T281" s="2"/>
      <c r="U281" s="2"/>
      <c r="V281" s="2"/>
      <c r="W281" s="2"/>
      <c r="X281" s="2"/>
      <c r="Y281" s="2"/>
      <c r="AD281" s="2"/>
      <c r="AE281" s="2"/>
      <c r="AF281" s="2"/>
      <c r="AG281" s="2"/>
      <c r="AH281" s="2"/>
      <c r="AI281" s="2"/>
    </row>
    <row r="282" spans="1:35">
      <c r="A282" s="2"/>
      <c r="B282" s="2"/>
      <c r="C282" s="2"/>
      <c r="D282" s="2"/>
      <c r="K282" s="2"/>
      <c r="L282" s="2"/>
      <c r="Q282" s="2"/>
      <c r="T282" s="2"/>
      <c r="U282" s="2"/>
      <c r="V282" s="2"/>
      <c r="W282" s="2"/>
      <c r="X282" s="2"/>
      <c r="Y282" s="2"/>
      <c r="AD282" s="2"/>
      <c r="AE282" s="2"/>
      <c r="AF282" s="2"/>
      <c r="AG282" s="2"/>
      <c r="AH282" s="2"/>
      <c r="AI282" s="2"/>
    </row>
    <row r="283" spans="1:35">
      <c r="A283" s="2"/>
      <c r="B283" s="2"/>
      <c r="C283" s="2"/>
      <c r="D283" s="2"/>
      <c r="K283" s="2"/>
      <c r="L283" s="2"/>
      <c r="Q283" s="2"/>
      <c r="T283" s="2"/>
      <c r="U283" s="2"/>
      <c r="V283" s="2"/>
      <c r="W283" s="2"/>
      <c r="X283" s="2"/>
      <c r="Y283" s="2"/>
      <c r="AD283" s="2"/>
      <c r="AE283" s="2"/>
      <c r="AF283" s="2"/>
      <c r="AG283" s="2"/>
      <c r="AH283" s="2"/>
      <c r="AI283" s="2"/>
    </row>
    <row r="284" spans="1:35">
      <c r="A284" s="2"/>
      <c r="B284" s="2"/>
      <c r="C284" s="2"/>
      <c r="D284" s="2"/>
      <c r="K284" s="2"/>
      <c r="L284" s="2"/>
      <c r="Q284" s="2"/>
      <c r="T284" s="2"/>
      <c r="U284" s="2"/>
      <c r="V284" s="2"/>
      <c r="W284" s="2"/>
      <c r="X284" s="2"/>
      <c r="Y284" s="2"/>
      <c r="AD284" s="2"/>
      <c r="AE284" s="2"/>
      <c r="AF284" s="2"/>
      <c r="AG284" s="2"/>
      <c r="AH284" s="2"/>
      <c r="AI284" s="2"/>
    </row>
    <row r="285" spans="1:35">
      <c r="A285" s="2"/>
      <c r="B285" s="2"/>
      <c r="C285" s="2"/>
      <c r="D285" s="2"/>
      <c r="K285" s="2"/>
      <c r="L285" s="2"/>
      <c r="Q285" s="2"/>
      <c r="T285" s="2"/>
      <c r="U285" s="2"/>
      <c r="V285" s="2"/>
      <c r="W285" s="2"/>
      <c r="X285" s="2"/>
      <c r="Y285" s="2"/>
      <c r="AD285" s="2"/>
      <c r="AE285" s="2"/>
      <c r="AF285" s="2"/>
      <c r="AG285" s="2"/>
      <c r="AH285" s="2"/>
      <c r="AI285" s="2"/>
    </row>
    <row r="286" spans="1:35">
      <c r="A286" s="2"/>
      <c r="B286" s="2"/>
      <c r="C286" s="2"/>
      <c r="D286" s="2"/>
      <c r="K286" s="2"/>
      <c r="L286" s="2"/>
      <c r="Q286" s="2"/>
      <c r="T286" s="2"/>
      <c r="U286" s="2"/>
      <c r="V286" s="2"/>
      <c r="W286" s="2"/>
      <c r="X286" s="2"/>
      <c r="Y286" s="2"/>
      <c r="AD286" s="2"/>
      <c r="AE286" s="2"/>
      <c r="AF286" s="2"/>
      <c r="AG286" s="2"/>
      <c r="AH286" s="2"/>
      <c r="AI286" s="2"/>
    </row>
    <row r="287" spans="1:35">
      <c r="A287" s="2"/>
      <c r="B287" s="2"/>
      <c r="C287" s="2"/>
      <c r="D287" s="2"/>
      <c r="K287" s="2"/>
      <c r="L287" s="2"/>
      <c r="Q287" s="2"/>
      <c r="T287" s="2"/>
      <c r="U287" s="2"/>
      <c r="V287" s="2"/>
      <c r="W287" s="2"/>
      <c r="X287" s="2"/>
      <c r="Y287" s="2"/>
      <c r="AD287" s="2"/>
      <c r="AE287" s="2"/>
      <c r="AF287" s="2"/>
      <c r="AG287" s="2"/>
      <c r="AH287" s="2"/>
      <c r="AI287" s="2"/>
    </row>
    <row r="288" spans="1:35">
      <c r="A288" s="2"/>
      <c r="B288" s="2"/>
      <c r="C288" s="2"/>
      <c r="D288" s="2"/>
      <c r="K288" s="2"/>
      <c r="L288" s="2"/>
      <c r="Q288" s="2"/>
      <c r="T288" s="2"/>
      <c r="U288" s="2"/>
      <c r="V288" s="2"/>
      <c r="W288" s="2"/>
      <c r="X288" s="2"/>
      <c r="Y288" s="2"/>
      <c r="AD288" s="2"/>
      <c r="AE288" s="2"/>
      <c r="AF288" s="2"/>
      <c r="AG288" s="2"/>
      <c r="AH288" s="2"/>
      <c r="AI288" s="2"/>
    </row>
    <row r="289" spans="1:35">
      <c r="A289" s="2"/>
      <c r="B289" s="2"/>
      <c r="C289" s="2"/>
      <c r="D289" s="2"/>
      <c r="K289" s="2"/>
      <c r="L289" s="2"/>
      <c r="Q289" s="2"/>
      <c r="T289" s="2"/>
      <c r="U289" s="2"/>
      <c r="V289" s="2"/>
      <c r="W289" s="2"/>
      <c r="X289" s="2"/>
      <c r="Y289" s="2"/>
      <c r="AD289" s="2"/>
      <c r="AE289" s="2"/>
      <c r="AF289" s="2"/>
      <c r="AG289" s="2"/>
      <c r="AH289" s="2"/>
      <c r="AI289" s="2"/>
    </row>
    <row r="290" spans="1:35">
      <c r="A290" s="2"/>
      <c r="B290" s="2"/>
      <c r="C290" s="2"/>
      <c r="D290" s="2"/>
      <c r="K290" s="2"/>
      <c r="L290" s="2"/>
      <c r="Q290" s="2"/>
      <c r="T290" s="2"/>
      <c r="U290" s="2"/>
      <c r="V290" s="2"/>
      <c r="W290" s="2"/>
      <c r="X290" s="2"/>
      <c r="Y290" s="2"/>
      <c r="AD290" s="2"/>
      <c r="AE290" s="2"/>
      <c r="AF290" s="2"/>
      <c r="AG290" s="2"/>
      <c r="AH290" s="2"/>
      <c r="AI290" s="2"/>
    </row>
    <row r="291" spans="1:35">
      <c r="A291" s="2"/>
      <c r="B291" s="2"/>
      <c r="C291" s="2"/>
      <c r="D291" s="2"/>
      <c r="K291" s="2"/>
      <c r="L291" s="2"/>
      <c r="Q291" s="2"/>
      <c r="T291" s="2"/>
      <c r="U291" s="2"/>
      <c r="V291" s="2"/>
      <c r="W291" s="2"/>
      <c r="X291" s="2"/>
      <c r="Y291" s="2"/>
      <c r="AD291" s="2"/>
      <c r="AE291" s="2"/>
      <c r="AF291" s="2"/>
      <c r="AG291" s="2"/>
      <c r="AH291" s="2"/>
      <c r="AI291" s="2"/>
    </row>
    <row r="292" spans="1:35">
      <c r="A292" s="2"/>
      <c r="B292" s="2"/>
      <c r="C292" s="2"/>
      <c r="D292" s="2"/>
      <c r="K292" s="2"/>
      <c r="L292" s="2"/>
      <c r="Q292" s="2"/>
      <c r="T292" s="2"/>
      <c r="U292" s="2"/>
      <c r="V292" s="2"/>
      <c r="W292" s="2"/>
      <c r="X292" s="2"/>
      <c r="Y292" s="2"/>
      <c r="AD292" s="2"/>
      <c r="AE292" s="2"/>
      <c r="AF292" s="2"/>
      <c r="AG292" s="2"/>
      <c r="AH292" s="2"/>
      <c r="AI292" s="2"/>
    </row>
    <row r="293" spans="1:35">
      <c r="A293" s="2"/>
      <c r="B293" s="2"/>
      <c r="C293" s="2"/>
      <c r="D293" s="2"/>
      <c r="K293" s="2"/>
      <c r="L293" s="2"/>
      <c r="Q293" s="2"/>
      <c r="T293" s="2"/>
      <c r="U293" s="2"/>
      <c r="V293" s="2"/>
      <c r="W293" s="2"/>
      <c r="X293" s="2"/>
      <c r="Y293" s="2"/>
      <c r="AD293" s="2"/>
      <c r="AE293" s="2"/>
      <c r="AF293" s="2"/>
      <c r="AG293" s="2"/>
      <c r="AH293" s="2"/>
      <c r="AI293" s="2"/>
    </row>
    <row r="294" spans="1:35">
      <c r="A294" s="2"/>
      <c r="B294" s="2"/>
      <c r="C294" s="2"/>
      <c r="D294" s="2"/>
      <c r="K294" s="2"/>
      <c r="L294" s="2"/>
      <c r="Q294" s="2"/>
      <c r="T294" s="2"/>
      <c r="U294" s="2"/>
      <c r="V294" s="2"/>
      <c r="W294" s="2"/>
      <c r="X294" s="2"/>
      <c r="Y294" s="2"/>
      <c r="AD294" s="2"/>
      <c r="AE294" s="2"/>
      <c r="AF294" s="2"/>
      <c r="AG294" s="2"/>
      <c r="AH294" s="2"/>
      <c r="AI294" s="2"/>
    </row>
    <row r="295" spans="1:35">
      <c r="A295" s="2"/>
      <c r="B295" s="2"/>
      <c r="C295" s="2"/>
      <c r="D295" s="2"/>
      <c r="K295" s="2"/>
      <c r="L295" s="2"/>
      <c r="Q295" s="2"/>
      <c r="T295" s="2"/>
      <c r="U295" s="2"/>
      <c r="V295" s="2"/>
      <c r="W295" s="2"/>
      <c r="X295" s="2"/>
      <c r="Y295" s="2"/>
      <c r="AD295" s="2"/>
      <c r="AE295" s="2"/>
      <c r="AF295" s="2"/>
      <c r="AG295" s="2"/>
      <c r="AH295" s="2"/>
      <c r="AI295" s="2"/>
    </row>
    <row r="296" spans="1:35">
      <c r="A296" s="2"/>
      <c r="B296" s="2"/>
      <c r="C296" s="2"/>
      <c r="D296" s="2"/>
      <c r="K296" s="2"/>
      <c r="L296" s="2"/>
      <c r="Q296" s="2"/>
      <c r="T296" s="2"/>
      <c r="U296" s="2"/>
      <c r="V296" s="2"/>
      <c r="W296" s="2"/>
      <c r="X296" s="2"/>
      <c r="Y296" s="2"/>
      <c r="AD296" s="2"/>
      <c r="AE296" s="2"/>
      <c r="AF296" s="2"/>
      <c r="AG296" s="2"/>
      <c r="AH296" s="2"/>
      <c r="AI296" s="2"/>
    </row>
    <row r="297" spans="1:35">
      <c r="A297" s="2"/>
      <c r="B297" s="2"/>
      <c r="C297" s="2"/>
      <c r="D297" s="2"/>
      <c r="K297" s="2"/>
      <c r="L297" s="2"/>
      <c r="Q297" s="2"/>
      <c r="T297" s="2"/>
      <c r="U297" s="2"/>
      <c r="V297" s="2"/>
      <c r="W297" s="2"/>
      <c r="X297" s="2"/>
      <c r="Y297" s="2"/>
      <c r="AD297" s="2"/>
      <c r="AE297" s="2"/>
      <c r="AF297" s="2"/>
      <c r="AG297" s="2"/>
      <c r="AH297" s="2"/>
      <c r="AI297" s="2"/>
    </row>
    <row r="298" spans="1:35">
      <c r="A298" s="2"/>
      <c r="B298" s="2"/>
      <c r="C298" s="2"/>
      <c r="D298" s="2"/>
      <c r="K298" s="2"/>
      <c r="L298" s="2"/>
      <c r="Q298" s="2"/>
      <c r="T298" s="2"/>
      <c r="U298" s="2"/>
      <c r="V298" s="2"/>
      <c r="W298" s="2"/>
      <c r="X298" s="2"/>
      <c r="Y298" s="2"/>
      <c r="AD298" s="2"/>
      <c r="AE298" s="2"/>
      <c r="AF298" s="2"/>
      <c r="AG298" s="2"/>
      <c r="AH298" s="2"/>
      <c r="AI298" s="2"/>
    </row>
    <row r="299" spans="1:35">
      <c r="A299" s="2"/>
      <c r="B299" s="2"/>
      <c r="C299" s="2"/>
      <c r="D299" s="2"/>
      <c r="K299" s="2"/>
      <c r="L299" s="2"/>
      <c r="Q299" s="2"/>
      <c r="T299" s="2"/>
      <c r="U299" s="2"/>
      <c r="V299" s="2"/>
      <c r="W299" s="2"/>
      <c r="X299" s="2"/>
      <c r="Y299" s="2"/>
      <c r="AD299" s="2"/>
      <c r="AE299" s="2"/>
      <c r="AF299" s="2"/>
      <c r="AG299" s="2"/>
      <c r="AH299" s="2"/>
      <c r="AI299" s="2"/>
    </row>
    <row r="300" spans="1:35">
      <c r="A300" s="2"/>
      <c r="B300" s="2"/>
      <c r="C300" s="2"/>
      <c r="D300" s="2"/>
      <c r="K300" s="2"/>
      <c r="L300" s="2"/>
      <c r="Q300" s="2"/>
      <c r="T300" s="2"/>
      <c r="U300" s="2"/>
      <c r="V300" s="2"/>
      <c r="W300" s="2"/>
      <c r="X300" s="2"/>
      <c r="Y300" s="2"/>
      <c r="AD300" s="2"/>
      <c r="AE300" s="2"/>
      <c r="AF300" s="2"/>
      <c r="AG300" s="2"/>
      <c r="AH300" s="2"/>
      <c r="AI300" s="2"/>
    </row>
    <row r="301" spans="1:35">
      <c r="A301" s="2"/>
      <c r="B301" s="2"/>
      <c r="C301" s="2"/>
      <c r="D301" s="2"/>
      <c r="K301" s="2"/>
      <c r="L301" s="2"/>
      <c r="Q301" s="2"/>
      <c r="T301" s="2"/>
      <c r="U301" s="2"/>
      <c r="V301" s="2"/>
      <c r="W301" s="2"/>
      <c r="X301" s="2"/>
      <c r="Y301" s="2"/>
      <c r="AD301" s="2"/>
      <c r="AE301" s="2"/>
      <c r="AF301" s="2"/>
      <c r="AG301" s="2"/>
      <c r="AH301" s="2"/>
      <c r="AI301" s="2"/>
    </row>
    <row r="302" spans="1:35">
      <c r="A302" s="2"/>
      <c r="B302" s="2"/>
      <c r="C302" s="2"/>
      <c r="D302" s="2"/>
      <c r="K302" s="2"/>
      <c r="L302" s="2"/>
      <c r="Q302" s="2"/>
      <c r="T302" s="2"/>
      <c r="U302" s="2"/>
      <c r="V302" s="2"/>
      <c r="W302" s="2"/>
      <c r="X302" s="2"/>
      <c r="Y302" s="2"/>
      <c r="AD302" s="2"/>
      <c r="AE302" s="2"/>
      <c r="AF302" s="2"/>
      <c r="AG302" s="2"/>
      <c r="AH302" s="2"/>
      <c r="AI302" s="2"/>
    </row>
    <row r="303" spans="1:35">
      <c r="A303" s="2"/>
      <c r="B303" s="2"/>
      <c r="C303" s="2"/>
      <c r="D303" s="2"/>
      <c r="K303" s="2"/>
      <c r="L303" s="2"/>
      <c r="Q303" s="2"/>
      <c r="T303" s="2"/>
      <c r="U303" s="2"/>
      <c r="V303" s="2"/>
      <c r="W303" s="2"/>
      <c r="X303" s="2"/>
      <c r="Y303" s="2"/>
      <c r="AD303" s="2"/>
      <c r="AE303" s="2"/>
      <c r="AF303" s="2"/>
      <c r="AG303" s="2"/>
      <c r="AH303" s="2"/>
      <c r="AI303" s="2"/>
    </row>
    <row r="304" spans="1:35">
      <c r="A304" s="2"/>
      <c r="B304" s="2"/>
      <c r="C304" s="2"/>
      <c r="D304" s="2"/>
      <c r="K304" s="2"/>
      <c r="L304" s="2"/>
      <c r="Q304" s="2"/>
      <c r="T304" s="2"/>
      <c r="U304" s="2"/>
      <c r="V304" s="2"/>
      <c r="W304" s="2"/>
      <c r="X304" s="2"/>
      <c r="Y304" s="2"/>
      <c r="AD304" s="2"/>
      <c r="AE304" s="2"/>
      <c r="AF304" s="2"/>
      <c r="AG304" s="2"/>
      <c r="AH304" s="2"/>
      <c r="AI304" s="2"/>
    </row>
    <row r="305" spans="1:35">
      <c r="A305" s="2"/>
      <c r="B305" s="2"/>
      <c r="C305" s="2"/>
      <c r="D305" s="2"/>
      <c r="K305" s="2"/>
      <c r="L305" s="2"/>
      <c r="Q305" s="2"/>
      <c r="T305" s="2"/>
      <c r="U305" s="2"/>
      <c r="V305" s="2"/>
      <c r="W305" s="2"/>
      <c r="X305" s="2"/>
      <c r="Y305" s="2"/>
      <c r="AD305" s="2"/>
      <c r="AE305" s="2"/>
      <c r="AF305" s="2"/>
      <c r="AG305" s="2"/>
      <c r="AH305" s="2"/>
      <c r="AI305" s="2"/>
    </row>
    <row r="306" spans="1:35">
      <c r="A306" s="2"/>
      <c r="B306" s="2"/>
      <c r="C306" s="2"/>
      <c r="D306" s="2"/>
      <c r="K306" s="2"/>
      <c r="L306" s="2"/>
      <c r="Q306" s="2"/>
      <c r="T306" s="2"/>
      <c r="U306" s="2"/>
      <c r="V306" s="2"/>
      <c r="W306" s="2"/>
      <c r="X306" s="2"/>
      <c r="Y306" s="2"/>
      <c r="AD306" s="2"/>
      <c r="AE306" s="2"/>
      <c r="AF306" s="2"/>
      <c r="AG306" s="2"/>
      <c r="AH306" s="2"/>
      <c r="AI306" s="2"/>
    </row>
    <row r="307" spans="1:35">
      <c r="A307" s="2"/>
      <c r="B307" s="2"/>
      <c r="C307" s="2"/>
      <c r="D307" s="2"/>
      <c r="K307" s="2"/>
      <c r="L307" s="2"/>
      <c r="Q307" s="2"/>
      <c r="T307" s="2"/>
      <c r="U307" s="2"/>
      <c r="V307" s="2"/>
      <c r="W307" s="2"/>
      <c r="X307" s="2"/>
      <c r="Y307" s="2"/>
      <c r="AD307" s="2"/>
      <c r="AE307" s="2"/>
      <c r="AF307" s="2"/>
      <c r="AG307" s="2"/>
      <c r="AH307" s="2"/>
      <c r="AI307" s="2"/>
    </row>
    <row r="308" spans="1:35">
      <c r="A308" s="2"/>
      <c r="B308" s="2"/>
      <c r="C308" s="2"/>
      <c r="D308" s="2"/>
      <c r="K308" s="2"/>
      <c r="L308" s="2"/>
      <c r="Q308" s="2"/>
      <c r="T308" s="2"/>
      <c r="U308" s="2"/>
      <c r="V308" s="2"/>
      <c r="W308" s="2"/>
      <c r="X308" s="2"/>
      <c r="Y308" s="2"/>
      <c r="AD308" s="2"/>
      <c r="AE308" s="2"/>
      <c r="AF308" s="2"/>
      <c r="AG308" s="2"/>
      <c r="AH308" s="2"/>
      <c r="AI308" s="2"/>
    </row>
    <row r="309" spans="1:35">
      <c r="A309" s="2"/>
      <c r="B309" s="2"/>
      <c r="C309" s="2"/>
      <c r="D309" s="2"/>
      <c r="K309" s="2"/>
      <c r="L309" s="2"/>
      <c r="Q309" s="2"/>
      <c r="T309" s="2"/>
      <c r="U309" s="2"/>
      <c r="V309" s="2"/>
      <c r="W309" s="2"/>
      <c r="X309" s="2"/>
      <c r="Y309" s="2"/>
      <c r="AD309" s="2"/>
      <c r="AE309" s="2"/>
      <c r="AF309" s="2"/>
      <c r="AG309" s="2"/>
      <c r="AH309" s="2"/>
      <c r="AI309" s="2"/>
    </row>
    <row r="310" spans="1:35">
      <c r="A310" s="2"/>
      <c r="B310" s="2"/>
      <c r="C310" s="2"/>
      <c r="D310" s="2"/>
      <c r="K310" s="2"/>
      <c r="L310" s="2"/>
      <c r="Q310" s="2"/>
      <c r="T310" s="2"/>
      <c r="U310" s="2"/>
      <c r="V310" s="2"/>
      <c r="W310" s="2"/>
      <c r="X310" s="2"/>
      <c r="Y310" s="2"/>
      <c r="AD310" s="2"/>
      <c r="AE310" s="2"/>
      <c r="AF310" s="2"/>
      <c r="AG310" s="2"/>
      <c r="AH310" s="2"/>
      <c r="AI310" s="2"/>
    </row>
    <row r="311" spans="1:35">
      <c r="A311" s="2"/>
      <c r="B311" s="2"/>
      <c r="C311" s="2"/>
      <c r="D311" s="2"/>
      <c r="K311" s="2"/>
      <c r="L311" s="2"/>
      <c r="Q311" s="2"/>
      <c r="T311" s="2"/>
      <c r="U311" s="2"/>
      <c r="V311" s="2"/>
      <c r="W311" s="2"/>
      <c r="X311" s="2"/>
      <c r="Y311" s="2"/>
      <c r="AD311" s="2"/>
      <c r="AE311" s="2"/>
      <c r="AF311" s="2"/>
      <c r="AG311" s="2"/>
      <c r="AH311" s="2"/>
      <c r="AI311" s="2"/>
    </row>
    <row r="312" spans="1:35">
      <c r="A312" s="2"/>
      <c r="B312" s="2"/>
      <c r="C312" s="2"/>
      <c r="D312" s="2"/>
      <c r="K312" s="2"/>
      <c r="L312" s="2"/>
      <c r="Q312" s="2"/>
      <c r="T312" s="2"/>
      <c r="U312" s="2"/>
      <c r="V312" s="2"/>
      <c r="W312" s="2"/>
      <c r="X312" s="2"/>
      <c r="Y312" s="2"/>
      <c r="AD312" s="2"/>
      <c r="AE312" s="2"/>
      <c r="AF312" s="2"/>
      <c r="AG312" s="2"/>
      <c r="AH312" s="2"/>
      <c r="AI312" s="2"/>
    </row>
    <row r="313" spans="1:35">
      <c r="A313" s="2"/>
      <c r="B313" s="2"/>
      <c r="C313" s="2"/>
      <c r="D313" s="2"/>
      <c r="K313" s="2"/>
      <c r="L313" s="2"/>
      <c r="Q313" s="2"/>
      <c r="T313" s="2"/>
      <c r="U313" s="2"/>
      <c r="V313" s="2"/>
      <c r="W313" s="2"/>
      <c r="X313" s="2"/>
      <c r="Y313" s="2"/>
      <c r="AD313" s="2"/>
      <c r="AE313" s="2"/>
      <c r="AF313" s="2"/>
      <c r="AG313" s="2"/>
      <c r="AH313" s="2"/>
      <c r="AI313" s="2"/>
    </row>
    <row r="314" spans="1:35">
      <c r="A314" s="2"/>
      <c r="B314" s="2"/>
      <c r="C314" s="2"/>
      <c r="D314" s="2"/>
      <c r="K314" s="2"/>
      <c r="L314" s="2"/>
      <c r="Q314" s="2"/>
      <c r="T314" s="2"/>
      <c r="U314" s="2"/>
      <c r="V314" s="2"/>
      <c r="W314" s="2"/>
      <c r="X314" s="2"/>
      <c r="Y314" s="2"/>
      <c r="AD314" s="2"/>
      <c r="AE314" s="2"/>
      <c r="AF314" s="2"/>
      <c r="AG314" s="2"/>
      <c r="AH314" s="2"/>
      <c r="AI314" s="2"/>
    </row>
    <row r="315" spans="1:35">
      <c r="A315" s="2"/>
      <c r="B315" s="2"/>
      <c r="C315" s="2"/>
      <c r="D315" s="2"/>
      <c r="K315" s="2"/>
      <c r="L315" s="2"/>
      <c r="Q315" s="2"/>
      <c r="T315" s="2"/>
      <c r="U315" s="2"/>
      <c r="V315" s="2"/>
      <c r="W315" s="2"/>
      <c r="X315" s="2"/>
      <c r="Y315" s="2"/>
      <c r="AD315" s="2"/>
      <c r="AE315" s="2"/>
      <c r="AF315" s="2"/>
      <c r="AG315" s="2"/>
      <c r="AH315" s="2"/>
      <c r="AI315" s="2"/>
    </row>
    <row r="316" spans="1:35">
      <c r="A316" s="2"/>
      <c r="B316" s="2"/>
      <c r="C316" s="2"/>
      <c r="D316" s="2"/>
      <c r="K316" s="2"/>
      <c r="L316" s="2"/>
      <c r="Q316" s="2"/>
      <c r="T316" s="2"/>
      <c r="U316" s="2"/>
      <c r="V316" s="2"/>
      <c r="W316" s="2"/>
      <c r="X316" s="2"/>
      <c r="Y316" s="2"/>
      <c r="AD316" s="2"/>
      <c r="AE316" s="2"/>
      <c r="AF316" s="2"/>
      <c r="AG316" s="2"/>
      <c r="AH316" s="2"/>
      <c r="AI316" s="2"/>
    </row>
    <row r="317" spans="1:35">
      <c r="A317" s="2"/>
      <c r="B317" s="2"/>
      <c r="C317" s="2"/>
      <c r="D317" s="2"/>
      <c r="K317" s="2"/>
      <c r="L317" s="2"/>
      <c r="Q317" s="2"/>
      <c r="T317" s="2"/>
      <c r="U317" s="2"/>
      <c r="V317" s="2"/>
      <c r="W317" s="2"/>
      <c r="X317" s="2"/>
      <c r="Y317" s="2"/>
      <c r="AD317" s="2"/>
      <c r="AE317" s="2"/>
      <c r="AF317" s="2"/>
      <c r="AG317" s="2"/>
      <c r="AH317" s="2"/>
      <c r="AI317" s="2"/>
    </row>
    <row r="318" spans="1:35">
      <c r="A318" s="2"/>
      <c r="B318" s="2"/>
      <c r="C318" s="2"/>
      <c r="D318" s="2"/>
      <c r="K318" s="2"/>
      <c r="L318" s="2"/>
      <c r="Q318" s="2"/>
      <c r="T318" s="2"/>
      <c r="U318" s="2"/>
      <c r="V318" s="2"/>
      <c r="W318" s="2"/>
      <c r="X318" s="2"/>
      <c r="Y318" s="2"/>
      <c r="AD318" s="2"/>
      <c r="AE318" s="2"/>
      <c r="AF318" s="2"/>
      <c r="AG318" s="2"/>
      <c r="AH318" s="2"/>
      <c r="AI318" s="2"/>
    </row>
    <row r="319" spans="1:35">
      <c r="A319" s="2"/>
      <c r="B319" s="2"/>
      <c r="C319" s="2"/>
      <c r="D319" s="2"/>
      <c r="K319" s="2"/>
      <c r="L319" s="2"/>
      <c r="Q319" s="2"/>
      <c r="T319" s="2"/>
      <c r="U319" s="2"/>
      <c r="V319" s="2"/>
      <c r="W319" s="2"/>
      <c r="X319" s="2"/>
      <c r="Y319" s="2"/>
      <c r="AD319" s="2"/>
      <c r="AE319" s="2"/>
      <c r="AF319" s="2"/>
      <c r="AG319" s="2"/>
      <c r="AH319" s="2"/>
      <c r="AI319" s="2"/>
    </row>
    <row r="320" spans="1:35">
      <c r="A320" s="2"/>
      <c r="B320" s="2"/>
      <c r="C320" s="2"/>
      <c r="D320" s="2"/>
      <c r="K320" s="2"/>
      <c r="L320" s="2"/>
      <c r="Q320" s="2"/>
      <c r="T320" s="2"/>
      <c r="U320" s="2"/>
      <c r="V320" s="2"/>
      <c r="W320" s="2"/>
      <c r="X320" s="2"/>
      <c r="Y320" s="2"/>
      <c r="AD320" s="2"/>
      <c r="AE320" s="2"/>
      <c r="AF320" s="2"/>
      <c r="AG320" s="2"/>
      <c r="AH320" s="2"/>
      <c r="AI320" s="2"/>
    </row>
    <row r="321" spans="1:35">
      <c r="A321" s="2"/>
      <c r="B321" s="2"/>
      <c r="C321" s="2"/>
      <c r="D321" s="2"/>
      <c r="K321" s="2"/>
      <c r="L321" s="2"/>
      <c r="Q321" s="2"/>
      <c r="T321" s="2"/>
      <c r="U321" s="2"/>
      <c r="V321" s="2"/>
      <c r="W321" s="2"/>
      <c r="X321" s="2"/>
      <c r="Y321" s="2"/>
      <c r="AD321" s="2"/>
      <c r="AE321" s="2"/>
      <c r="AF321" s="2"/>
      <c r="AG321" s="2"/>
      <c r="AH321" s="2"/>
      <c r="AI321" s="2"/>
    </row>
    <row r="322" spans="1:35">
      <c r="A322" s="2"/>
      <c r="B322" s="2"/>
      <c r="C322" s="2"/>
      <c r="D322" s="2"/>
      <c r="K322" s="2"/>
      <c r="L322" s="2"/>
      <c r="Q322" s="2"/>
      <c r="T322" s="2"/>
      <c r="U322" s="2"/>
      <c r="V322" s="2"/>
      <c r="W322" s="2"/>
      <c r="X322" s="2"/>
      <c r="Y322" s="2"/>
      <c r="AD322" s="2"/>
      <c r="AE322" s="2"/>
      <c r="AF322" s="2"/>
      <c r="AG322" s="2"/>
      <c r="AH322" s="2"/>
      <c r="AI322" s="2"/>
    </row>
    <row r="323" spans="1:35">
      <c r="A323" s="2"/>
      <c r="B323" s="2"/>
      <c r="C323" s="2"/>
      <c r="D323" s="2"/>
      <c r="K323" s="2"/>
      <c r="L323" s="2"/>
      <c r="Q323" s="2"/>
      <c r="T323" s="2"/>
      <c r="U323" s="2"/>
      <c r="V323" s="2"/>
      <c r="W323" s="2"/>
      <c r="X323" s="2"/>
      <c r="Y323" s="2"/>
      <c r="AD323" s="2"/>
      <c r="AE323" s="2"/>
      <c r="AF323" s="2"/>
      <c r="AG323" s="2"/>
      <c r="AH323" s="2"/>
      <c r="AI323" s="2"/>
    </row>
    <row r="324" spans="1:35">
      <c r="A324" s="2"/>
      <c r="B324" s="2"/>
      <c r="C324" s="2"/>
      <c r="D324" s="2"/>
      <c r="K324" s="2"/>
      <c r="L324" s="2"/>
      <c r="Q324" s="2"/>
      <c r="T324" s="2"/>
      <c r="U324" s="2"/>
      <c r="V324" s="2"/>
      <c r="W324" s="2"/>
      <c r="X324" s="2"/>
      <c r="Y324" s="2"/>
      <c r="AD324" s="2"/>
      <c r="AE324" s="2"/>
      <c r="AF324" s="2"/>
      <c r="AG324" s="2"/>
      <c r="AH324" s="2"/>
      <c r="AI324" s="2"/>
    </row>
    <row r="325" spans="1:35">
      <c r="A325" s="2"/>
      <c r="B325" s="2"/>
      <c r="C325" s="2"/>
      <c r="D325" s="2"/>
      <c r="K325" s="2"/>
      <c r="L325" s="2"/>
      <c r="Q325" s="2"/>
      <c r="T325" s="2"/>
      <c r="U325" s="2"/>
      <c r="V325" s="2"/>
      <c r="W325" s="2"/>
      <c r="X325" s="2"/>
      <c r="Y325" s="2"/>
      <c r="AD325" s="2"/>
      <c r="AE325" s="2"/>
      <c r="AF325" s="2"/>
      <c r="AG325" s="2"/>
      <c r="AH325" s="2"/>
      <c r="AI325" s="2"/>
    </row>
    <row r="326" spans="1:35">
      <c r="A326" s="2"/>
      <c r="B326" s="2"/>
      <c r="C326" s="2"/>
      <c r="D326" s="2"/>
      <c r="K326" s="2"/>
      <c r="L326" s="2"/>
      <c r="Q326" s="2"/>
      <c r="T326" s="2"/>
      <c r="U326" s="2"/>
      <c r="V326" s="2"/>
      <c r="W326" s="2"/>
      <c r="X326" s="2"/>
      <c r="Y326" s="2"/>
      <c r="AD326" s="2"/>
      <c r="AE326" s="2"/>
      <c r="AF326" s="2"/>
      <c r="AG326" s="2"/>
      <c r="AH326" s="2"/>
      <c r="AI326" s="2"/>
    </row>
    <row r="327" spans="1:35">
      <c r="A327" s="2"/>
      <c r="B327" s="2"/>
      <c r="C327" s="2"/>
      <c r="D327" s="2"/>
      <c r="K327" s="2"/>
      <c r="L327" s="2"/>
      <c r="Q327" s="2"/>
      <c r="T327" s="2"/>
      <c r="U327" s="2"/>
      <c r="V327" s="2"/>
      <c r="W327" s="2"/>
      <c r="X327" s="2"/>
      <c r="Y327" s="2"/>
      <c r="AD327" s="2"/>
      <c r="AE327" s="2"/>
      <c r="AF327" s="2"/>
      <c r="AG327" s="2"/>
      <c r="AH327" s="2"/>
      <c r="AI327" s="2"/>
    </row>
    <row r="328" spans="1:35">
      <c r="A328" s="2"/>
      <c r="B328" s="2"/>
      <c r="C328" s="2"/>
      <c r="D328" s="2"/>
      <c r="K328" s="2"/>
      <c r="L328" s="2"/>
      <c r="Q328" s="2"/>
      <c r="T328" s="2"/>
      <c r="U328" s="2"/>
      <c r="V328" s="2"/>
      <c r="W328" s="2"/>
      <c r="X328" s="2"/>
      <c r="Y328" s="2"/>
      <c r="AD328" s="2"/>
      <c r="AE328" s="2"/>
      <c r="AF328" s="2"/>
      <c r="AG328" s="2"/>
      <c r="AH328" s="2"/>
      <c r="AI328" s="2"/>
    </row>
    <row r="329" spans="1:35">
      <c r="A329" s="2"/>
      <c r="B329" s="2"/>
      <c r="C329" s="2"/>
      <c r="D329" s="2"/>
      <c r="K329" s="2"/>
      <c r="L329" s="2"/>
      <c r="Q329" s="2"/>
      <c r="T329" s="2"/>
      <c r="U329" s="2"/>
      <c r="V329" s="2"/>
      <c r="W329" s="2"/>
      <c r="X329" s="2"/>
      <c r="Y329" s="2"/>
      <c r="AD329" s="2"/>
      <c r="AE329" s="2"/>
      <c r="AF329" s="2"/>
      <c r="AG329" s="2"/>
      <c r="AH329" s="2"/>
      <c r="AI329" s="2"/>
    </row>
    <row r="330" spans="1:35">
      <c r="A330" s="2"/>
      <c r="B330" s="2"/>
      <c r="C330" s="2"/>
      <c r="D330" s="2"/>
      <c r="K330" s="2"/>
      <c r="L330" s="2"/>
      <c r="Q330" s="2"/>
      <c r="T330" s="2"/>
      <c r="U330" s="2"/>
      <c r="V330" s="2"/>
      <c r="W330" s="2"/>
      <c r="X330" s="2"/>
      <c r="Y330" s="2"/>
      <c r="AD330" s="2"/>
      <c r="AE330" s="2"/>
      <c r="AF330" s="2"/>
      <c r="AG330" s="2"/>
      <c r="AH330" s="2"/>
      <c r="AI330" s="2"/>
    </row>
    <row r="331" spans="1:35">
      <c r="A331" s="2"/>
      <c r="B331" s="2"/>
      <c r="C331" s="2"/>
      <c r="D331" s="2"/>
      <c r="K331" s="2"/>
      <c r="L331" s="2"/>
      <c r="Q331" s="2"/>
      <c r="T331" s="2"/>
      <c r="U331" s="2"/>
      <c r="V331" s="2"/>
      <c r="W331" s="2"/>
      <c r="X331" s="2"/>
      <c r="Y331" s="2"/>
      <c r="AD331" s="2"/>
      <c r="AE331" s="2"/>
      <c r="AF331" s="2"/>
      <c r="AG331" s="2"/>
      <c r="AH331" s="2"/>
      <c r="AI331" s="2"/>
    </row>
    <row r="332" spans="1:35">
      <c r="A332" s="2"/>
      <c r="B332" s="2"/>
      <c r="C332" s="2"/>
      <c r="D332" s="2"/>
      <c r="K332" s="2"/>
      <c r="L332" s="2"/>
      <c r="Q332" s="2"/>
      <c r="T332" s="2"/>
      <c r="U332" s="2"/>
      <c r="V332" s="2"/>
      <c r="W332" s="2"/>
      <c r="X332" s="2"/>
      <c r="Y332" s="2"/>
      <c r="AD332" s="2"/>
      <c r="AE332" s="2"/>
      <c r="AF332" s="2"/>
      <c r="AG332" s="2"/>
      <c r="AH332" s="2"/>
      <c r="AI332" s="2"/>
    </row>
    <row r="333" spans="1:35">
      <c r="A333" s="2"/>
      <c r="B333" s="2"/>
      <c r="C333" s="2"/>
      <c r="D333" s="2"/>
      <c r="K333" s="2"/>
      <c r="L333" s="2"/>
      <c r="Q333" s="2"/>
      <c r="T333" s="2"/>
      <c r="U333" s="2"/>
      <c r="V333" s="2"/>
      <c r="W333" s="2"/>
      <c r="X333" s="2"/>
      <c r="Y333" s="2"/>
      <c r="AD333" s="2"/>
      <c r="AE333" s="2"/>
      <c r="AF333" s="2"/>
      <c r="AG333" s="2"/>
      <c r="AH333" s="2"/>
      <c r="AI333" s="2"/>
    </row>
    <row r="334" spans="1:35">
      <c r="A334" s="2"/>
      <c r="B334" s="2"/>
      <c r="C334" s="2"/>
      <c r="D334" s="2"/>
      <c r="K334" s="2"/>
      <c r="L334" s="2"/>
      <c r="Q334" s="2"/>
      <c r="T334" s="2"/>
      <c r="U334" s="2"/>
      <c r="V334" s="2"/>
      <c r="W334" s="2"/>
      <c r="X334" s="2"/>
      <c r="Y334" s="2"/>
      <c r="AD334" s="2"/>
      <c r="AE334" s="2"/>
      <c r="AF334" s="2"/>
      <c r="AG334" s="2"/>
      <c r="AH334" s="2"/>
      <c r="AI334" s="2"/>
    </row>
    <row r="335" spans="1:35">
      <c r="A335" s="2"/>
      <c r="B335" s="2"/>
      <c r="C335" s="2"/>
      <c r="D335" s="2"/>
      <c r="K335" s="2"/>
      <c r="L335" s="2"/>
      <c r="Q335" s="2"/>
      <c r="T335" s="2"/>
      <c r="U335" s="2"/>
      <c r="V335" s="2"/>
      <c r="W335" s="2"/>
      <c r="X335" s="2"/>
      <c r="Y335" s="2"/>
      <c r="AD335" s="2"/>
      <c r="AE335" s="2"/>
      <c r="AF335" s="2"/>
      <c r="AG335" s="2"/>
      <c r="AH335" s="2"/>
      <c r="AI335" s="2"/>
    </row>
    <row r="336" spans="1:35">
      <c r="A336" s="2"/>
      <c r="B336" s="2"/>
      <c r="C336" s="2"/>
      <c r="D336" s="2"/>
      <c r="K336" s="2"/>
      <c r="L336" s="2"/>
      <c r="Q336" s="2"/>
      <c r="T336" s="2"/>
      <c r="U336" s="2"/>
      <c r="V336" s="2"/>
      <c r="W336" s="2"/>
      <c r="X336" s="2"/>
      <c r="Y336" s="2"/>
      <c r="AD336" s="2"/>
      <c r="AE336" s="2"/>
      <c r="AF336" s="2"/>
      <c r="AG336" s="2"/>
      <c r="AH336" s="2"/>
      <c r="AI336" s="2"/>
    </row>
    <row r="337" spans="1:35">
      <c r="A337" s="2"/>
      <c r="B337" s="2"/>
      <c r="C337" s="2"/>
      <c r="D337" s="2"/>
      <c r="K337" s="2"/>
      <c r="L337" s="2"/>
      <c r="Q337" s="2"/>
      <c r="T337" s="2"/>
      <c r="U337" s="2"/>
      <c r="V337" s="2"/>
      <c r="W337" s="2"/>
      <c r="X337" s="2"/>
      <c r="Y337" s="2"/>
      <c r="AD337" s="2"/>
      <c r="AE337" s="2"/>
      <c r="AF337" s="2"/>
      <c r="AG337" s="2"/>
      <c r="AH337" s="2"/>
      <c r="AI337" s="2"/>
    </row>
    <row r="338" spans="1:35">
      <c r="A338" s="2"/>
      <c r="B338" s="2"/>
      <c r="C338" s="2"/>
      <c r="D338" s="2"/>
      <c r="K338" s="2"/>
      <c r="L338" s="2"/>
      <c r="Q338" s="2"/>
      <c r="T338" s="2"/>
      <c r="U338" s="2"/>
      <c r="V338" s="2"/>
      <c r="W338" s="2"/>
      <c r="X338" s="2"/>
      <c r="Y338" s="2"/>
      <c r="AD338" s="2"/>
      <c r="AE338" s="2"/>
      <c r="AF338" s="2"/>
      <c r="AG338" s="2"/>
      <c r="AH338" s="2"/>
      <c r="AI338" s="2"/>
    </row>
    <row r="339" spans="1:35">
      <c r="A339" s="2"/>
      <c r="B339" s="2"/>
      <c r="C339" s="2"/>
      <c r="D339" s="2"/>
      <c r="K339" s="2"/>
      <c r="L339" s="2"/>
      <c r="Q339" s="2"/>
      <c r="T339" s="2"/>
      <c r="U339" s="2"/>
      <c r="V339" s="2"/>
      <c r="W339" s="2"/>
      <c r="X339" s="2"/>
      <c r="Y339" s="2"/>
      <c r="AD339" s="2"/>
      <c r="AE339" s="2"/>
      <c r="AF339" s="2"/>
      <c r="AG339" s="2"/>
      <c r="AH339" s="2"/>
      <c r="AI339" s="2"/>
    </row>
    <row r="340" spans="1:35">
      <c r="A340" s="2"/>
      <c r="B340" s="2"/>
      <c r="C340" s="2"/>
      <c r="D340" s="2"/>
      <c r="K340" s="2"/>
      <c r="L340" s="2"/>
      <c r="Q340" s="2"/>
      <c r="T340" s="2"/>
      <c r="U340" s="2"/>
      <c r="V340" s="2"/>
      <c r="W340" s="2"/>
      <c r="X340" s="2"/>
      <c r="Y340" s="2"/>
      <c r="AD340" s="2"/>
      <c r="AE340" s="2"/>
      <c r="AF340" s="2"/>
      <c r="AG340" s="2"/>
      <c r="AH340" s="2"/>
      <c r="AI340" s="2"/>
    </row>
    <row r="341" spans="1:35">
      <c r="A341" s="2"/>
      <c r="B341" s="2"/>
      <c r="C341" s="2"/>
      <c r="D341" s="2"/>
      <c r="K341" s="2"/>
      <c r="L341" s="2"/>
      <c r="Q341" s="2"/>
      <c r="T341" s="2"/>
      <c r="U341" s="2"/>
      <c r="V341" s="2"/>
      <c r="W341" s="2"/>
      <c r="X341" s="2"/>
      <c r="Y341" s="2"/>
      <c r="AD341" s="2"/>
      <c r="AE341" s="2"/>
      <c r="AF341" s="2"/>
      <c r="AG341" s="2"/>
      <c r="AH341" s="2"/>
      <c r="AI341" s="2"/>
    </row>
    <row r="342" spans="1:35">
      <c r="A342" s="2"/>
      <c r="B342" s="2"/>
      <c r="C342" s="2"/>
      <c r="D342" s="2"/>
      <c r="K342" s="2"/>
      <c r="L342" s="2"/>
      <c r="Q342" s="2"/>
      <c r="T342" s="2"/>
      <c r="U342" s="2"/>
      <c r="V342" s="2"/>
      <c r="W342" s="2"/>
      <c r="X342" s="2"/>
      <c r="Y342" s="2"/>
      <c r="AD342" s="2"/>
      <c r="AE342" s="2"/>
      <c r="AF342" s="2"/>
      <c r="AG342" s="2"/>
      <c r="AH342" s="2"/>
      <c r="AI342" s="2"/>
    </row>
    <row r="343" spans="1:35">
      <c r="A343" s="2"/>
      <c r="B343" s="2"/>
      <c r="C343" s="2"/>
      <c r="D343" s="2"/>
      <c r="K343" s="2"/>
      <c r="L343" s="2"/>
      <c r="Q343" s="2"/>
      <c r="T343" s="2"/>
      <c r="U343" s="2"/>
      <c r="V343" s="2"/>
      <c r="W343" s="2"/>
      <c r="X343" s="2"/>
      <c r="Y343" s="2"/>
      <c r="AD343" s="2"/>
      <c r="AE343" s="2"/>
      <c r="AF343" s="2"/>
      <c r="AG343" s="2"/>
      <c r="AH343" s="2"/>
      <c r="AI343" s="2"/>
    </row>
    <row r="344" spans="1:35">
      <c r="A344" s="2"/>
      <c r="B344" s="2"/>
      <c r="C344" s="2"/>
      <c r="D344" s="2"/>
      <c r="K344" s="2"/>
      <c r="L344" s="2"/>
      <c r="Q344" s="2"/>
      <c r="T344" s="2"/>
      <c r="U344" s="2"/>
      <c r="V344" s="2"/>
      <c r="W344" s="2"/>
      <c r="X344" s="2"/>
      <c r="Y344" s="2"/>
      <c r="AD344" s="2"/>
      <c r="AE344" s="2"/>
      <c r="AF344" s="2"/>
      <c r="AG344" s="2"/>
      <c r="AH344" s="2"/>
      <c r="AI344" s="2"/>
    </row>
    <row r="345" spans="1:35">
      <c r="A345" s="2"/>
      <c r="B345" s="2"/>
      <c r="C345" s="2"/>
      <c r="D345" s="2"/>
      <c r="K345" s="2"/>
      <c r="L345" s="2"/>
      <c r="Q345" s="2"/>
      <c r="T345" s="2"/>
      <c r="U345" s="2"/>
      <c r="V345" s="2"/>
      <c r="W345" s="2"/>
      <c r="X345" s="2"/>
      <c r="Y345" s="2"/>
      <c r="AD345" s="2"/>
      <c r="AE345" s="2"/>
      <c r="AF345" s="2"/>
      <c r="AG345" s="2"/>
      <c r="AH345" s="2"/>
      <c r="AI345" s="2"/>
    </row>
    <row r="346" spans="1:35">
      <c r="A346" s="2"/>
      <c r="B346" s="2"/>
      <c r="C346" s="2"/>
      <c r="D346" s="2"/>
      <c r="K346" s="2"/>
      <c r="L346" s="2"/>
      <c r="Q346" s="2"/>
      <c r="T346" s="2"/>
      <c r="U346" s="2"/>
      <c r="V346" s="2"/>
      <c r="W346" s="2"/>
      <c r="X346" s="2"/>
      <c r="Y346" s="2"/>
      <c r="AD346" s="2"/>
      <c r="AE346" s="2"/>
      <c r="AF346" s="2"/>
      <c r="AG346" s="2"/>
      <c r="AH346" s="2"/>
      <c r="AI346" s="2"/>
    </row>
    <row r="347" spans="1:35">
      <c r="A347" s="2"/>
      <c r="B347" s="2"/>
      <c r="C347" s="2"/>
      <c r="D347" s="2"/>
      <c r="K347" s="2"/>
      <c r="L347" s="2"/>
      <c r="Q347" s="2"/>
      <c r="T347" s="2"/>
      <c r="U347" s="2"/>
      <c r="V347" s="2"/>
      <c r="W347" s="2"/>
      <c r="X347" s="2"/>
      <c r="Y347" s="2"/>
      <c r="AD347" s="2"/>
      <c r="AE347" s="2"/>
      <c r="AF347" s="2"/>
      <c r="AG347" s="2"/>
      <c r="AH347" s="2"/>
      <c r="AI347" s="2"/>
    </row>
    <row r="348" spans="1:35">
      <c r="A348" s="2"/>
      <c r="B348" s="2"/>
      <c r="C348" s="2"/>
      <c r="D348" s="2"/>
      <c r="K348" s="2"/>
      <c r="L348" s="2"/>
      <c r="Q348" s="2"/>
      <c r="T348" s="2"/>
      <c r="U348" s="2"/>
      <c r="V348" s="2"/>
      <c r="W348" s="2"/>
      <c r="X348" s="2"/>
      <c r="Y348" s="2"/>
      <c r="AD348" s="2"/>
      <c r="AE348" s="2"/>
      <c r="AF348" s="2"/>
      <c r="AG348" s="2"/>
      <c r="AH348" s="2"/>
      <c r="AI348" s="2"/>
    </row>
    <row r="349" spans="1:35">
      <c r="A349" s="2"/>
      <c r="B349" s="2"/>
      <c r="C349" s="2"/>
      <c r="D349" s="2"/>
      <c r="K349" s="2"/>
      <c r="L349" s="2"/>
      <c r="Q349" s="2"/>
      <c r="T349" s="2"/>
      <c r="U349" s="2"/>
      <c r="V349" s="2"/>
      <c r="W349" s="2"/>
      <c r="X349" s="2"/>
      <c r="Y349" s="2"/>
      <c r="AD349" s="2"/>
      <c r="AE349" s="2"/>
      <c r="AF349" s="2"/>
      <c r="AG349" s="2"/>
      <c r="AH349" s="2"/>
      <c r="AI349" s="2"/>
    </row>
    <row r="350" spans="1:35">
      <c r="A350" s="2"/>
      <c r="B350" s="2"/>
      <c r="C350" s="2"/>
      <c r="D350" s="2"/>
      <c r="K350" s="2"/>
      <c r="L350" s="2"/>
      <c r="Q350" s="2"/>
      <c r="T350" s="2"/>
      <c r="U350" s="2"/>
      <c r="V350" s="2"/>
      <c r="W350" s="2"/>
      <c r="X350" s="2"/>
      <c r="Y350" s="2"/>
      <c r="AD350" s="2"/>
      <c r="AE350" s="2"/>
      <c r="AF350" s="2"/>
      <c r="AG350" s="2"/>
      <c r="AH350" s="2"/>
      <c r="AI350" s="2"/>
    </row>
    <row r="351" spans="1:35">
      <c r="A351" s="2"/>
      <c r="B351" s="2"/>
      <c r="C351" s="2"/>
      <c r="D351" s="2"/>
      <c r="K351" s="2"/>
      <c r="L351" s="2"/>
      <c r="Q351" s="2"/>
      <c r="T351" s="2"/>
      <c r="U351" s="2"/>
      <c r="V351" s="2"/>
      <c r="W351" s="2"/>
      <c r="X351" s="2"/>
      <c r="Y351" s="2"/>
      <c r="AD351" s="2"/>
      <c r="AE351" s="2"/>
      <c r="AF351" s="2"/>
      <c r="AG351" s="2"/>
      <c r="AH351" s="2"/>
      <c r="AI351" s="2"/>
    </row>
    <row r="352" spans="1:35">
      <c r="A352" s="2"/>
      <c r="B352" s="2"/>
      <c r="C352" s="2"/>
      <c r="D352" s="2"/>
      <c r="K352" s="2"/>
      <c r="L352" s="2"/>
      <c r="Q352" s="2"/>
      <c r="T352" s="2"/>
      <c r="U352" s="2"/>
      <c r="V352" s="2"/>
      <c r="W352" s="2"/>
      <c r="X352" s="2"/>
      <c r="Y352" s="2"/>
      <c r="AD352" s="2"/>
      <c r="AE352" s="2"/>
      <c r="AF352" s="2"/>
      <c r="AG352" s="2"/>
      <c r="AH352" s="2"/>
      <c r="AI352" s="2"/>
    </row>
    <row r="353" spans="1:35">
      <c r="A353" s="2"/>
      <c r="B353" s="2"/>
      <c r="C353" s="2"/>
      <c r="D353" s="2"/>
      <c r="K353" s="2"/>
      <c r="L353" s="2"/>
      <c r="Q353" s="2"/>
      <c r="T353" s="2"/>
      <c r="U353" s="2"/>
      <c r="V353" s="2"/>
      <c r="W353" s="2"/>
      <c r="X353" s="2"/>
      <c r="Y353" s="2"/>
      <c r="AD353" s="2"/>
      <c r="AE353" s="2"/>
      <c r="AF353" s="2"/>
      <c r="AG353" s="2"/>
      <c r="AH353" s="2"/>
      <c r="AI353" s="2"/>
    </row>
    <row r="354" spans="1:35">
      <c r="A354" s="2"/>
      <c r="B354" s="2"/>
      <c r="C354" s="2"/>
      <c r="D354" s="2"/>
      <c r="K354" s="2"/>
      <c r="L354" s="2"/>
      <c r="Q354" s="2"/>
      <c r="T354" s="2"/>
      <c r="U354" s="2"/>
      <c r="V354" s="2"/>
      <c r="W354" s="2"/>
      <c r="X354" s="2"/>
      <c r="Y354" s="2"/>
      <c r="AD354" s="2"/>
      <c r="AE354" s="2"/>
      <c r="AF354" s="2"/>
      <c r="AG354" s="2"/>
      <c r="AH354" s="2"/>
      <c r="AI354" s="2"/>
    </row>
    <row r="355" spans="1:35">
      <c r="A355" s="2"/>
      <c r="B355" s="2"/>
      <c r="C355" s="2"/>
      <c r="D355" s="2"/>
      <c r="K355" s="2"/>
      <c r="L355" s="2"/>
      <c r="Q355" s="2"/>
      <c r="T355" s="2"/>
      <c r="U355" s="2"/>
      <c r="V355" s="2"/>
      <c r="W355" s="2"/>
      <c r="X355" s="2"/>
      <c r="Y355" s="2"/>
      <c r="AD355" s="2"/>
      <c r="AE355" s="2"/>
      <c r="AF355" s="2"/>
      <c r="AG355" s="2"/>
      <c r="AH355" s="2"/>
      <c r="AI355" s="2"/>
    </row>
    <row r="356" spans="1:35">
      <c r="A356" s="2"/>
      <c r="B356" s="2"/>
      <c r="C356" s="2"/>
      <c r="D356" s="2"/>
      <c r="K356" s="2"/>
      <c r="L356" s="2"/>
      <c r="Q356" s="2"/>
      <c r="T356" s="2"/>
      <c r="U356" s="2"/>
      <c r="V356" s="2"/>
      <c r="W356" s="2"/>
      <c r="X356" s="2"/>
      <c r="Y356" s="2"/>
      <c r="AD356" s="2"/>
      <c r="AE356" s="2"/>
      <c r="AF356" s="2"/>
      <c r="AG356" s="2"/>
      <c r="AH356" s="2"/>
      <c r="AI356" s="2"/>
    </row>
    <row r="357" spans="1:35">
      <c r="A357" s="2"/>
      <c r="B357" s="2"/>
      <c r="C357" s="2"/>
      <c r="D357" s="2"/>
      <c r="K357" s="2"/>
      <c r="L357" s="2"/>
      <c r="Q357" s="2"/>
      <c r="T357" s="2"/>
      <c r="U357" s="2"/>
      <c r="V357" s="2"/>
      <c r="W357" s="2"/>
      <c r="X357" s="2"/>
      <c r="Y357" s="2"/>
      <c r="AD357" s="2"/>
      <c r="AE357" s="2"/>
      <c r="AF357" s="2"/>
      <c r="AG357" s="2"/>
      <c r="AH357" s="2"/>
      <c r="AI357" s="2"/>
    </row>
    <row r="358" spans="1:35">
      <c r="A358" s="2"/>
      <c r="B358" s="2"/>
      <c r="C358" s="2"/>
      <c r="D358" s="2"/>
      <c r="K358" s="2"/>
      <c r="L358" s="2"/>
      <c r="Q358" s="2"/>
      <c r="T358" s="2"/>
      <c r="U358" s="2"/>
      <c r="V358" s="2"/>
      <c r="W358" s="2"/>
      <c r="X358" s="2"/>
      <c r="Y358" s="2"/>
      <c r="AD358" s="2"/>
      <c r="AE358" s="2"/>
      <c r="AF358" s="2"/>
      <c r="AG358" s="2"/>
      <c r="AH358" s="2"/>
      <c r="AI358" s="2"/>
    </row>
    <row r="359" spans="1:35">
      <c r="A359" s="2"/>
      <c r="B359" s="2"/>
      <c r="C359" s="2"/>
      <c r="D359" s="2"/>
      <c r="K359" s="2"/>
      <c r="L359" s="2"/>
      <c r="Q359" s="2"/>
      <c r="T359" s="2"/>
      <c r="U359" s="2"/>
      <c r="V359" s="2"/>
      <c r="W359" s="2"/>
      <c r="X359" s="2"/>
      <c r="Y359" s="2"/>
      <c r="AD359" s="2"/>
      <c r="AE359" s="2"/>
      <c r="AF359" s="2"/>
      <c r="AG359" s="2"/>
      <c r="AH359" s="2"/>
      <c r="AI359" s="2"/>
    </row>
    <row r="360" spans="1:35">
      <c r="A360" s="2"/>
      <c r="B360" s="2"/>
      <c r="C360" s="2"/>
      <c r="D360" s="2"/>
      <c r="K360" s="2"/>
      <c r="L360" s="2"/>
      <c r="Q360" s="2"/>
      <c r="T360" s="2"/>
      <c r="U360" s="2"/>
      <c r="V360" s="2"/>
      <c r="W360" s="2"/>
      <c r="X360" s="2"/>
      <c r="Y360" s="2"/>
      <c r="AD360" s="2"/>
      <c r="AE360" s="2"/>
      <c r="AF360" s="2"/>
      <c r="AG360" s="2"/>
      <c r="AH360" s="2"/>
      <c r="AI360" s="2"/>
    </row>
    <row r="361" spans="1:35">
      <c r="A361" s="2"/>
      <c r="B361" s="2"/>
      <c r="C361" s="2"/>
      <c r="D361" s="2"/>
      <c r="K361" s="2"/>
      <c r="L361" s="2"/>
      <c r="Q361" s="2"/>
      <c r="T361" s="2"/>
      <c r="U361" s="2"/>
      <c r="V361" s="2"/>
      <c r="W361" s="2"/>
      <c r="X361" s="2"/>
      <c r="Y361" s="2"/>
      <c r="AD361" s="2"/>
      <c r="AE361" s="2"/>
      <c r="AF361" s="2"/>
      <c r="AG361" s="2"/>
      <c r="AH361" s="2"/>
      <c r="AI361" s="2"/>
    </row>
    <row r="362" spans="1:35">
      <c r="A362" s="2"/>
      <c r="B362" s="2"/>
      <c r="C362" s="2"/>
      <c r="D362" s="2"/>
      <c r="K362" s="2"/>
      <c r="L362" s="2"/>
      <c r="Q362" s="2"/>
      <c r="T362" s="2"/>
      <c r="U362" s="2"/>
      <c r="V362" s="2"/>
      <c r="W362" s="2"/>
      <c r="X362" s="2"/>
      <c r="Y362" s="2"/>
      <c r="AD362" s="2"/>
      <c r="AE362" s="2"/>
      <c r="AF362" s="2"/>
      <c r="AG362" s="2"/>
      <c r="AH362" s="2"/>
      <c r="AI362" s="2"/>
    </row>
    <row r="363" spans="1:35">
      <c r="A363" s="2"/>
      <c r="B363" s="2"/>
      <c r="C363" s="2"/>
      <c r="D363" s="2"/>
      <c r="K363" s="2"/>
      <c r="L363" s="2"/>
      <c r="Q363" s="2"/>
      <c r="T363" s="2"/>
      <c r="U363" s="2"/>
      <c r="V363" s="2"/>
      <c r="W363" s="2"/>
      <c r="X363" s="2"/>
      <c r="Y363" s="2"/>
      <c r="AD363" s="2"/>
      <c r="AE363" s="2"/>
      <c r="AF363" s="2"/>
      <c r="AG363" s="2"/>
      <c r="AH363" s="2"/>
      <c r="AI363" s="2"/>
    </row>
    <row r="364" spans="1:35">
      <c r="A364" s="2"/>
      <c r="B364" s="2"/>
      <c r="C364" s="2"/>
      <c r="D364" s="2"/>
      <c r="K364" s="2"/>
      <c r="L364" s="2"/>
      <c r="Q364" s="2"/>
      <c r="T364" s="2"/>
      <c r="U364" s="2"/>
      <c r="V364" s="2"/>
      <c r="W364" s="2"/>
      <c r="X364" s="2"/>
      <c r="Y364" s="2"/>
      <c r="AD364" s="2"/>
      <c r="AE364" s="2"/>
      <c r="AF364" s="2"/>
      <c r="AG364" s="2"/>
      <c r="AH364" s="2"/>
      <c r="AI364" s="2"/>
    </row>
    <row r="365" spans="1:35">
      <c r="A365" s="2"/>
      <c r="B365" s="2"/>
      <c r="C365" s="2"/>
      <c r="D365" s="2"/>
      <c r="K365" s="2"/>
      <c r="L365" s="2"/>
      <c r="Q365" s="2"/>
      <c r="T365" s="2"/>
      <c r="U365" s="2"/>
      <c r="V365" s="2"/>
      <c r="W365" s="2"/>
      <c r="X365" s="2"/>
      <c r="Y365" s="2"/>
      <c r="AD365" s="2"/>
      <c r="AE365" s="2"/>
      <c r="AF365" s="2"/>
      <c r="AG365" s="2"/>
      <c r="AH365" s="2"/>
      <c r="AI365" s="2"/>
    </row>
    <row r="366" spans="1:35">
      <c r="A366" s="2"/>
      <c r="B366" s="2"/>
      <c r="C366" s="2"/>
      <c r="D366" s="2"/>
      <c r="K366" s="2"/>
      <c r="L366" s="2"/>
      <c r="Q366" s="2"/>
      <c r="T366" s="2"/>
      <c r="U366" s="2"/>
      <c r="V366" s="2"/>
      <c r="W366" s="2"/>
      <c r="X366" s="2"/>
      <c r="Y366" s="2"/>
      <c r="AD366" s="2"/>
      <c r="AE366" s="2"/>
      <c r="AF366" s="2"/>
      <c r="AG366" s="2"/>
      <c r="AH366" s="2"/>
      <c r="AI366" s="2"/>
    </row>
    <row r="367" spans="1:35">
      <c r="A367" s="2"/>
      <c r="B367" s="2"/>
      <c r="C367" s="2"/>
      <c r="D367" s="2"/>
      <c r="K367" s="2"/>
      <c r="L367" s="2"/>
      <c r="Q367" s="2"/>
      <c r="T367" s="2"/>
      <c r="U367" s="2"/>
      <c r="V367" s="2"/>
      <c r="W367" s="2"/>
      <c r="X367" s="2"/>
      <c r="Y367" s="2"/>
      <c r="AD367" s="2"/>
      <c r="AE367" s="2"/>
      <c r="AF367" s="2"/>
      <c r="AG367" s="2"/>
      <c r="AH367" s="2"/>
      <c r="AI367" s="2"/>
    </row>
    <row r="368" spans="1:35">
      <c r="A368" s="2"/>
      <c r="B368" s="2"/>
      <c r="C368" s="2"/>
      <c r="D368" s="2"/>
      <c r="K368" s="2"/>
      <c r="L368" s="2"/>
      <c r="Q368" s="2"/>
      <c r="T368" s="2"/>
      <c r="U368" s="2"/>
      <c r="V368" s="2"/>
      <c r="W368" s="2"/>
      <c r="X368" s="2"/>
      <c r="Y368" s="2"/>
      <c r="AD368" s="2"/>
      <c r="AE368" s="2"/>
      <c r="AF368" s="2"/>
      <c r="AG368" s="2"/>
      <c r="AH368" s="2"/>
      <c r="AI368" s="2"/>
    </row>
    <row r="369" spans="1:35">
      <c r="A369" s="2"/>
      <c r="B369" s="2"/>
      <c r="C369" s="2"/>
      <c r="D369" s="2"/>
      <c r="K369" s="2"/>
      <c r="L369" s="2"/>
      <c r="Q369" s="2"/>
      <c r="T369" s="2"/>
      <c r="U369" s="2"/>
      <c r="V369" s="2"/>
      <c r="W369" s="2"/>
      <c r="X369" s="2"/>
      <c r="Y369" s="2"/>
      <c r="AD369" s="2"/>
      <c r="AE369" s="2"/>
      <c r="AF369" s="2"/>
      <c r="AG369" s="2"/>
      <c r="AH369" s="2"/>
      <c r="AI369" s="2"/>
    </row>
    <row r="370" spans="1:35">
      <c r="A370" s="2"/>
      <c r="B370" s="2"/>
      <c r="C370" s="2"/>
      <c r="D370" s="2"/>
      <c r="K370" s="2"/>
      <c r="L370" s="2"/>
      <c r="Q370" s="2"/>
      <c r="T370" s="2"/>
      <c r="U370" s="2"/>
      <c r="V370" s="2"/>
      <c r="W370" s="2"/>
      <c r="X370" s="2"/>
      <c r="Y370" s="2"/>
      <c r="AD370" s="2"/>
      <c r="AE370" s="2"/>
      <c r="AF370" s="2"/>
      <c r="AG370" s="2"/>
      <c r="AH370" s="2"/>
      <c r="AI370" s="2"/>
    </row>
    <row r="371" spans="1:35">
      <c r="A371" s="2"/>
      <c r="B371" s="2"/>
      <c r="C371" s="2"/>
      <c r="D371" s="2"/>
      <c r="K371" s="2"/>
      <c r="L371" s="2"/>
      <c r="Q371" s="2"/>
      <c r="T371" s="2"/>
      <c r="U371" s="2"/>
      <c r="V371" s="2"/>
      <c r="W371" s="2"/>
      <c r="X371" s="2"/>
      <c r="Y371" s="2"/>
      <c r="AD371" s="2"/>
      <c r="AE371" s="2"/>
      <c r="AF371" s="2"/>
      <c r="AG371" s="2"/>
      <c r="AH371" s="2"/>
      <c r="AI371" s="2"/>
    </row>
    <row r="372" spans="1:35">
      <c r="A372" s="2"/>
      <c r="B372" s="2"/>
      <c r="C372" s="2"/>
      <c r="D372" s="2"/>
      <c r="K372" s="2"/>
      <c r="L372" s="2"/>
      <c r="Q372" s="2"/>
      <c r="T372" s="2"/>
      <c r="U372" s="2"/>
      <c r="V372" s="2"/>
      <c r="W372" s="2"/>
      <c r="X372" s="2"/>
      <c r="Y372" s="2"/>
      <c r="AD372" s="2"/>
      <c r="AE372" s="2"/>
      <c r="AF372" s="2"/>
      <c r="AG372" s="2"/>
      <c r="AH372" s="2"/>
      <c r="AI372" s="2"/>
    </row>
    <row r="373" spans="1:35">
      <c r="A373" s="2"/>
      <c r="B373" s="2"/>
      <c r="C373" s="2"/>
      <c r="D373" s="2"/>
      <c r="K373" s="2"/>
      <c r="L373" s="2"/>
      <c r="Q373" s="2"/>
      <c r="T373" s="2"/>
      <c r="U373" s="2"/>
      <c r="V373" s="2"/>
      <c r="W373" s="2"/>
      <c r="X373" s="2"/>
      <c r="Y373" s="2"/>
      <c r="AD373" s="2"/>
      <c r="AE373" s="2"/>
      <c r="AF373" s="2"/>
      <c r="AG373" s="2"/>
      <c r="AH373" s="2"/>
      <c r="AI373" s="2"/>
    </row>
    <row r="374" spans="1:35">
      <c r="A374" s="2"/>
      <c r="B374" s="2"/>
      <c r="C374" s="2"/>
      <c r="D374" s="2"/>
      <c r="K374" s="2"/>
      <c r="L374" s="2"/>
      <c r="Q374" s="2"/>
      <c r="T374" s="2"/>
      <c r="U374" s="2"/>
      <c r="V374" s="2"/>
      <c r="W374" s="2"/>
      <c r="X374" s="2"/>
      <c r="Y374" s="2"/>
      <c r="AD374" s="2"/>
      <c r="AE374" s="2"/>
      <c r="AF374" s="2"/>
      <c r="AG374" s="2"/>
      <c r="AH374" s="2"/>
      <c r="AI374" s="2"/>
    </row>
    <row r="375" spans="1:35">
      <c r="A375" s="2"/>
      <c r="B375" s="2"/>
      <c r="C375" s="2"/>
      <c r="D375" s="2"/>
      <c r="K375" s="2"/>
      <c r="L375" s="2"/>
      <c r="Q375" s="2"/>
      <c r="T375" s="2"/>
      <c r="U375" s="2"/>
      <c r="V375" s="2"/>
      <c r="W375" s="2"/>
      <c r="X375" s="2"/>
      <c r="Y375" s="2"/>
      <c r="AD375" s="2"/>
      <c r="AE375" s="2"/>
      <c r="AF375" s="2"/>
      <c r="AG375" s="2"/>
      <c r="AH375" s="2"/>
      <c r="AI375" s="2"/>
    </row>
    <row r="376" spans="1:35">
      <c r="A376" s="2"/>
      <c r="B376" s="2"/>
      <c r="C376" s="2"/>
      <c r="D376" s="2"/>
      <c r="K376" s="2"/>
      <c r="L376" s="2"/>
      <c r="Q376" s="2"/>
      <c r="T376" s="2"/>
      <c r="U376" s="2"/>
      <c r="V376" s="2"/>
      <c r="W376" s="2"/>
      <c r="X376" s="2"/>
      <c r="Y376" s="2"/>
      <c r="AD376" s="2"/>
      <c r="AE376" s="2"/>
      <c r="AF376" s="2"/>
      <c r="AG376" s="2"/>
      <c r="AH376" s="2"/>
      <c r="AI376" s="2"/>
    </row>
    <row r="377" spans="1:35">
      <c r="A377" s="2"/>
      <c r="B377" s="2"/>
      <c r="C377" s="2"/>
      <c r="D377" s="2"/>
      <c r="K377" s="2"/>
      <c r="L377" s="2"/>
      <c r="Q377" s="2"/>
      <c r="T377" s="2"/>
      <c r="U377" s="2"/>
      <c r="V377" s="2"/>
      <c r="W377" s="2"/>
      <c r="X377" s="2"/>
      <c r="Y377" s="2"/>
      <c r="AD377" s="2"/>
      <c r="AE377" s="2"/>
      <c r="AF377" s="2"/>
      <c r="AG377" s="2"/>
      <c r="AH377" s="2"/>
      <c r="AI377" s="2"/>
    </row>
    <row r="378" spans="1:35">
      <c r="A378" s="2"/>
      <c r="B378" s="2"/>
      <c r="C378" s="2"/>
      <c r="D378" s="2"/>
      <c r="K378" s="2"/>
      <c r="L378" s="2"/>
      <c r="Q378" s="2"/>
      <c r="T378" s="2"/>
      <c r="U378" s="2"/>
      <c r="V378" s="2"/>
      <c r="W378" s="2"/>
      <c r="X378" s="2"/>
      <c r="Y378" s="2"/>
      <c r="AD378" s="2"/>
      <c r="AE378" s="2"/>
      <c r="AF378" s="2"/>
      <c r="AG378" s="2"/>
      <c r="AH378" s="2"/>
      <c r="AI378" s="2"/>
    </row>
    <row r="379" spans="1:35">
      <c r="A379" s="2"/>
      <c r="B379" s="2"/>
      <c r="C379" s="2"/>
      <c r="D379" s="2"/>
      <c r="K379" s="2"/>
      <c r="L379" s="2"/>
      <c r="Q379" s="2"/>
      <c r="T379" s="2"/>
      <c r="U379" s="2"/>
      <c r="V379" s="2"/>
      <c r="W379" s="2"/>
      <c r="X379" s="2"/>
      <c r="Y379" s="2"/>
      <c r="AD379" s="2"/>
      <c r="AE379" s="2"/>
      <c r="AF379" s="2"/>
      <c r="AG379" s="2"/>
      <c r="AH379" s="2"/>
      <c r="AI379" s="2"/>
    </row>
    <row r="380" spans="1:35">
      <c r="A380" s="2"/>
      <c r="B380" s="2"/>
      <c r="C380" s="2"/>
      <c r="D380" s="2"/>
      <c r="K380" s="2"/>
      <c r="L380" s="2"/>
      <c r="Q380" s="2"/>
      <c r="T380" s="2"/>
      <c r="U380" s="2"/>
      <c r="V380" s="2"/>
      <c r="W380" s="2"/>
      <c r="X380" s="2"/>
      <c r="Y380" s="2"/>
      <c r="AD380" s="2"/>
      <c r="AE380" s="2"/>
      <c r="AF380" s="2"/>
      <c r="AG380" s="2"/>
      <c r="AH380" s="2"/>
      <c r="AI380" s="2"/>
    </row>
    <row r="381" spans="1:35">
      <c r="A381" s="2"/>
      <c r="B381" s="2"/>
      <c r="C381" s="2"/>
      <c r="D381" s="2"/>
      <c r="K381" s="2"/>
      <c r="L381" s="2"/>
      <c r="Q381" s="2"/>
      <c r="T381" s="2"/>
      <c r="U381" s="2"/>
      <c r="V381" s="2"/>
      <c r="W381" s="2"/>
      <c r="X381" s="2"/>
      <c r="Y381" s="2"/>
      <c r="AD381" s="2"/>
      <c r="AE381" s="2"/>
      <c r="AF381" s="2"/>
      <c r="AG381" s="2"/>
      <c r="AH381" s="2"/>
      <c r="AI381" s="2"/>
    </row>
    <row r="382" spans="1:35">
      <c r="A382" s="2"/>
      <c r="B382" s="2"/>
      <c r="C382" s="2"/>
      <c r="D382" s="2"/>
      <c r="K382" s="2"/>
      <c r="L382" s="2"/>
      <c r="Q382" s="2"/>
      <c r="T382" s="2"/>
      <c r="U382" s="2"/>
      <c r="V382" s="2"/>
      <c r="W382" s="2"/>
      <c r="X382" s="2"/>
      <c r="Y382" s="2"/>
      <c r="AD382" s="2"/>
      <c r="AE382" s="2"/>
      <c r="AF382" s="2"/>
      <c r="AG382" s="2"/>
      <c r="AH382" s="2"/>
      <c r="AI382" s="2"/>
    </row>
    <row r="383" spans="1:35">
      <c r="A383" s="2"/>
      <c r="B383" s="2"/>
      <c r="C383" s="2"/>
      <c r="D383" s="2"/>
      <c r="K383" s="2"/>
      <c r="L383" s="2"/>
      <c r="Q383" s="2"/>
      <c r="T383" s="2"/>
      <c r="U383" s="2"/>
      <c r="V383" s="2"/>
      <c r="W383" s="2"/>
      <c r="X383" s="2"/>
      <c r="Y383" s="2"/>
      <c r="AD383" s="2"/>
      <c r="AE383" s="2"/>
      <c r="AF383" s="2"/>
      <c r="AG383" s="2"/>
      <c r="AH383" s="2"/>
      <c r="AI383" s="2"/>
    </row>
    <row r="384" spans="1:35">
      <c r="A384" s="2"/>
      <c r="B384" s="2"/>
      <c r="C384" s="2"/>
      <c r="D384" s="2"/>
      <c r="K384" s="2"/>
      <c r="L384" s="2"/>
      <c r="Q384" s="2"/>
      <c r="T384" s="2"/>
      <c r="U384" s="2"/>
      <c r="V384" s="2"/>
      <c r="W384" s="2"/>
      <c r="X384" s="2"/>
      <c r="Y384" s="2"/>
      <c r="AD384" s="2"/>
      <c r="AE384" s="2"/>
      <c r="AF384" s="2"/>
      <c r="AG384" s="2"/>
      <c r="AH384" s="2"/>
      <c r="AI384" s="2"/>
    </row>
    <row r="385" spans="1:35">
      <c r="A385" s="2"/>
      <c r="B385" s="2"/>
      <c r="C385" s="2"/>
      <c r="D385" s="2"/>
      <c r="K385" s="2"/>
      <c r="L385" s="2"/>
      <c r="Q385" s="2"/>
      <c r="T385" s="2"/>
      <c r="U385" s="2"/>
      <c r="V385" s="2"/>
      <c r="W385" s="2"/>
      <c r="X385" s="2"/>
      <c r="Y385" s="2"/>
      <c r="AD385" s="2"/>
      <c r="AE385" s="2"/>
      <c r="AF385" s="2"/>
      <c r="AG385" s="2"/>
      <c r="AH385" s="2"/>
      <c r="AI385" s="2"/>
    </row>
    <row r="386" spans="1:35">
      <c r="A386" s="2"/>
      <c r="B386" s="2"/>
      <c r="C386" s="2"/>
      <c r="D386" s="2"/>
      <c r="K386" s="2"/>
      <c r="L386" s="2"/>
      <c r="Q386" s="2"/>
      <c r="T386" s="2"/>
      <c r="U386" s="2"/>
      <c r="V386" s="2"/>
      <c r="W386" s="2"/>
      <c r="X386" s="2"/>
      <c r="Y386" s="2"/>
      <c r="AD386" s="2"/>
      <c r="AE386" s="2"/>
      <c r="AF386" s="2"/>
      <c r="AG386" s="2"/>
      <c r="AH386" s="2"/>
      <c r="AI386" s="2"/>
    </row>
    <row r="387" spans="1:35">
      <c r="A387" s="2"/>
      <c r="B387" s="2"/>
      <c r="C387" s="2"/>
      <c r="D387" s="2"/>
      <c r="K387" s="2"/>
      <c r="L387" s="2"/>
      <c r="Q387" s="2"/>
      <c r="T387" s="2"/>
      <c r="U387" s="2"/>
      <c r="V387" s="2"/>
      <c r="W387" s="2"/>
      <c r="X387" s="2"/>
      <c r="Y387" s="2"/>
      <c r="AD387" s="2"/>
      <c r="AE387" s="2"/>
      <c r="AF387" s="2"/>
      <c r="AG387" s="2"/>
      <c r="AH387" s="2"/>
      <c r="AI387" s="2"/>
    </row>
    <row r="388" spans="1:35">
      <c r="A388" s="2"/>
      <c r="B388" s="2"/>
      <c r="C388" s="2"/>
      <c r="D388" s="2"/>
      <c r="K388" s="2"/>
      <c r="L388" s="2"/>
      <c r="Q388" s="2"/>
      <c r="T388" s="2"/>
      <c r="U388" s="2"/>
      <c r="V388" s="2"/>
      <c r="W388" s="2"/>
      <c r="X388" s="2"/>
      <c r="Y388" s="2"/>
      <c r="AD388" s="2"/>
      <c r="AE388" s="2"/>
      <c r="AF388" s="2"/>
      <c r="AG388" s="2"/>
      <c r="AH388" s="2"/>
      <c r="AI388" s="2"/>
    </row>
    <row r="389" spans="1:35">
      <c r="A389" s="2"/>
      <c r="B389" s="2"/>
      <c r="C389" s="2"/>
      <c r="D389" s="2"/>
      <c r="K389" s="2"/>
      <c r="L389" s="2"/>
      <c r="Q389" s="2"/>
      <c r="T389" s="2"/>
      <c r="U389" s="2"/>
      <c r="V389" s="2"/>
      <c r="W389" s="2"/>
      <c r="X389" s="2"/>
      <c r="Y389" s="2"/>
      <c r="AD389" s="2"/>
      <c r="AE389" s="2"/>
      <c r="AF389" s="2"/>
      <c r="AG389" s="2"/>
      <c r="AH389" s="2"/>
      <c r="AI389" s="2"/>
    </row>
    <row r="390" spans="1:35">
      <c r="A390" s="2"/>
      <c r="B390" s="2"/>
      <c r="C390" s="2"/>
      <c r="D390" s="2"/>
      <c r="K390" s="2"/>
      <c r="L390" s="2"/>
      <c r="Q390" s="2"/>
      <c r="T390" s="2"/>
      <c r="U390" s="2"/>
      <c r="V390" s="2"/>
      <c r="W390" s="2"/>
      <c r="X390" s="2"/>
      <c r="Y390" s="2"/>
      <c r="AD390" s="2"/>
      <c r="AE390" s="2"/>
      <c r="AF390" s="2"/>
      <c r="AG390" s="2"/>
      <c r="AH390" s="2"/>
      <c r="AI390" s="2"/>
    </row>
    <row r="391" spans="1:35">
      <c r="A391" s="2"/>
      <c r="B391" s="2"/>
      <c r="C391" s="2"/>
      <c r="D391" s="2"/>
      <c r="K391" s="2"/>
      <c r="L391" s="2"/>
      <c r="Q391" s="2"/>
      <c r="T391" s="2"/>
      <c r="U391" s="2"/>
      <c r="V391" s="2"/>
      <c r="W391" s="2"/>
      <c r="X391" s="2"/>
      <c r="Y391" s="2"/>
      <c r="AD391" s="2"/>
      <c r="AE391" s="2"/>
      <c r="AF391" s="2"/>
      <c r="AG391" s="2"/>
      <c r="AH391" s="2"/>
      <c r="AI391" s="2"/>
    </row>
    <row r="392" spans="1:35">
      <c r="A392" s="2"/>
      <c r="B392" s="2"/>
      <c r="C392" s="2"/>
      <c r="D392" s="2"/>
      <c r="K392" s="2"/>
      <c r="L392" s="2"/>
      <c r="Q392" s="2"/>
      <c r="T392" s="2"/>
      <c r="U392" s="2"/>
      <c r="V392" s="2"/>
      <c r="W392" s="2"/>
      <c r="X392" s="2"/>
      <c r="Y392" s="2"/>
      <c r="AD392" s="2"/>
      <c r="AE392" s="2"/>
      <c r="AF392" s="2"/>
      <c r="AG392" s="2"/>
      <c r="AH392" s="2"/>
      <c r="AI392" s="2"/>
    </row>
    <row r="393" spans="1:35">
      <c r="A393" s="2"/>
      <c r="B393" s="2"/>
      <c r="C393" s="2"/>
      <c r="D393" s="2"/>
      <c r="K393" s="2"/>
      <c r="L393" s="2"/>
      <c r="Q393" s="2"/>
      <c r="T393" s="2"/>
      <c r="U393" s="2"/>
      <c r="V393" s="2"/>
      <c r="W393" s="2"/>
      <c r="X393" s="2"/>
      <c r="Y393" s="2"/>
      <c r="AD393" s="2"/>
      <c r="AE393" s="2"/>
      <c r="AF393" s="2"/>
      <c r="AG393" s="2"/>
      <c r="AH393" s="2"/>
      <c r="AI393" s="2"/>
    </row>
    <row r="394" spans="1:35">
      <c r="A394" s="2"/>
      <c r="B394" s="2"/>
      <c r="C394" s="2"/>
      <c r="D394" s="2"/>
      <c r="K394" s="2"/>
      <c r="L394" s="2"/>
      <c r="Q394" s="2"/>
      <c r="T394" s="2"/>
      <c r="U394" s="2"/>
      <c r="V394" s="2"/>
      <c r="W394" s="2"/>
      <c r="X394" s="2"/>
      <c r="Y394" s="2"/>
      <c r="AD394" s="2"/>
      <c r="AE394" s="2"/>
      <c r="AF394" s="2"/>
      <c r="AG394" s="2"/>
      <c r="AH394" s="2"/>
      <c r="AI394" s="2"/>
    </row>
    <row r="395" spans="1:35">
      <c r="A395" s="2"/>
      <c r="B395" s="2"/>
      <c r="C395" s="2"/>
      <c r="D395" s="2"/>
      <c r="K395" s="2"/>
      <c r="L395" s="2"/>
      <c r="Q395" s="2"/>
      <c r="T395" s="2"/>
      <c r="U395" s="2"/>
      <c r="V395" s="2"/>
      <c r="W395" s="2"/>
      <c r="X395" s="2"/>
      <c r="Y395" s="2"/>
      <c r="AD395" s="2"/>
      <c r="AE395" s="2"/>
      <c r="AF395" s="2"/>
      <c r="AG395" s="2"/>
      <c r="AH395" s="2"/>
      <c r="AI395" s="2"/>
    </row>
    <row r="396" spans="1:35">
      <c r="A396" s="2"/>
      <c r="B396" s="2"/>
      <c r="C396" s="2"/>
      <c r="D396" s="2"/>
      <c r="K396" s="2"/>
      <c r="L396" s="2"/>
      <c r="Q396" s="2"/>
      <c r="T396" s="2"/>
      <c r="U396" s="2"/>
      <c r="V396" s="2"/>
      <c r="W396" s="2"/>
      <c r="X396" s="2"/>
      <c r="Y396" s="2"/>
      <c r="AD396" s="2"/>
      <c r="AE396" s="2"/>
      <c r="AF396" s="2"/>
      <c r="AG396" s="2"/>
      <c r="AH396" s="2"/>
      <c r="AI396" s="2"/>
    </row>
    <row r="397" spans="1:35">
      <c r="A397" s="2"/>
      <c r="B397" s="2"/>
      <c r="C397" s="2"/>
      <c r="D397" s="2"/>
      <c r="K397" s="2"/>
      <c r="L397" s="2"/>
      <c r="Q397" s="2"/>
      <c r="T397" s="2"/>
      <c r="U397" s="2"/>
      <c r="V397" s="2"/>
      <c r="W397" s="2"/>
      <c r="X397" s="2"/>
      <c r="Y397" s="2"/>
      <c r="AD397" s="2"/>
      <c r="AE397" s="2"/>
      <c r="AF397" s="2"/>
      <c r="AG397" s="2"/>
      <c r="AH397" s="2"/>
      <c r="AI397" s="2"/>
    </row>
    <row r="398" spans="1:35">
      <c r="A398" s="2"/>
      <c r="B398" s="2"/>
      <c r="C398" s="2"/>
      <c r="D398" s="2"/>
      <c r="K398" s="2"/>
      <c r="L398" s="2"/>
      <c r="Q398" s="2"/>
      <c r="T398" s="2"/>
      <c r="U398" s="2"/>
      <c r="V398" s="2"/>
      <c r="W398" s="2"/>
      <c r="X398" s="2"/>
      <c r="Y398" s="2"/>
      <c r="AD398" s="2"/>
      <c r="AE398" s="2"/>
      <c r="AF398" s="2"/>
      <c r="AG398" s="2"/>
      <c r="AH398" s="2"/>
      <c r="AI398" s="2"/>
    </row>
    <row r="399" spans="1:35">
      <c r="A399" s="2"/>
      <c r="B399" s="2"/>
      <c r="C399" s="2"/>
      <c r="D399" s="2"/>
      <c r="K399" s="2"/>
      <c r="L399" s="2"/>
      <c r="Q399" s="2"/>
      <c r="T399" s="2"/>
      <c r="U399" s="2"/>
      <c r="V399" s="2"/>
      <c r="W399" s="2"/>
      <c r="X399" s="2"/>
      <c r="Y399" s="2"/>
      <c r="AD399" s="2"/>
      <c r="AE399" s="2"/>
      <c r="AF399" s="2"/>
      <c r="AG399" s="2"/>
      <c r="AH399" s="2"/>
      <c r="AI399" s="2"/>
    </row>
    <row r="400" spans="1:35">
      <c r="A400" s="2"/>
      <c r="B400" s="2"/>
      <c r="C400" s="2"/>
      <c r="D400" s="2"/>
      <c r="K400" s="2"/>
      <c r="L400" s="2"/>
      <c r="Q400" s="2"/>
      <c r="T400" s="2"/>
      <c r="U400" s="2"/>
      <c r="V400" s="2"/>
      <c r="W400" s="2"/>
      <c r="X400" s="2"/>
      <c r="Y400" s="2"/>
      <c r="AD400" s="2"/>
      <c r="AE400" s="2"/>
      <c r="AF400" s="2"/>
      <c r="AG400" s="2"/>
      <c r="AH400" s="2"/>
      <c r="AI400" s="2"/>
    </row>
    <row r="401" spans="1:35">
      <c r="A401" s="2"/>
      <c r="B401" s="2"/>
      <c r="C401" s="2"/>
      <c r="D401" s="2"/>
      <c r="K401" s="2"/>
      <c r="L401" s="2"/>
      <c r="Q401" s="2"/>
      <c r="T401" s="2"/>
      <c r="U401" s="2"/>
      <c r="V401" s="2"/>
      <c r="W401" s="2"/>
      <c r="X401" s="2"/>
      <c r="Y401" s="2"/>
      <c r="AD401" s="2"/>
      <c r="AE401" s="2"/>
      <c r="AF401" s="2"/>
      <c r="AG401" s="2"/>
      <c r="AH401" s="2"/>
      <c r="AI401" s="2"/>
    </row>
    <row r="402" spans="1:35">
      <c r="A402" s="2"/>
      <c r="B402" s="2"/>
      <c r="C402" s="2"/>
      <c r="D402" s="2"/>
      <c r="K402" s="2"/>
      <c r="L402" s="2"/>
      <c r="Q402" s="2"/>
      <c r="T402" s="2"/>
      <c r="U402" s="2"/>
      <c r="V402" s="2"/>
      <c r="W402" s="2"/>
      <c r="X402" s="2"/>
      <c r="Y402" s="2"/>
      <c r="AD402" s="2"/>
      <c r="AE402" s="2"/>
      <c r="AF402" s="2"/>
      <c r="AG402" s="2"/>
      <c r="AH402" s="2"/>
      <c r="AI402" s="2"/>
    </row>
    <row r="403" spans="1:35">
      <c r="A403" s="2"/>
      <c r="B403" s="2"/>
      <c r="C403" s="2"/>
      <c r="D403" s="2"/>
      <c r="K403" s="2"/>
      <c r="L403" s="2"/>
      <c r="Q403" s="2"/>
      <c r="T403" s="2"/>
      <c r="U403" s="2"/>
      <c r="V403" s="2"/>
      <c r="W403" s="2"/>
      <c r="X403" s="2"/>
      <c r="Y403" s="2"/>
      <c r="AD403" s="2"/>
      <c r="AE403" s="2"/>
      <c r="AF403" s="2"/>
      <c r="AG403" s="2"/>
      <c r="AH403" s="2"/>
      <c r="AI403" s="2"/>
    </row>
    <row r="404" spans="1:35">
      <c r="A404" s="2"/>
      <c r="B404" s="2"/>
      <c r="C404" s="2"/>
      <c r="D404" s="2"/>
      <c r="K404" s="2"/>
      <c r="L404" s="2"/>
      <c r="Q404" s="2"/>
      <c r="T404" s="2"/>
      <c r="U404" s="2"/>
      <c r="V404" s="2"/>
      <c r="W404" s="2"/>
      <c r="X404" s="2"/>
      <c r="Y404" s="2"/>
      <c r="AD404" s="2"/>
      <c r="AE404" s="2"/>
      <c r="AF404" s="2"/>
      <c r="AG404" s="2"/>
      <c r="AH404" s="2"/>
      <c r="AI404" s="2"/>
    </row>
    <row r="405" spans="1:35">
      <c r="A405" s="2"/>
      <c r="B405" s="2"/>
      <c r="C405" s="2"/>
      <c r="D405" s="2"/>
      <c r="K405" s="2"/>
      <c r="L405" s="2"/>
      <c r="Q405" s="2"/>
      <c r="T405" s="2"/>
      <c r="U405" s="2"/>
      <c r="V405" s="2"/>
      <c r="W405" s="2"/>
      <c r="X405" s="2"/>
      <c r="Y405" s="2"/>
      <c r="AD405" s="2"/>
      <c r="AE405" s="2"/>
      <c r="AF405" s="2"/>
      <c r="AG405" s="2"/>
      <c r="AH405" s="2"/>
      <c r="AI405" s="2"/>
    </row>
    <row r="406" spans="1:35">
      <c r="A406" s="2"/>
      <c r="B406" s="2"/>
      <c r="C406" s="2"/>
      <c r="D406" s="2"/>
      <c r="K406" s="2"/>
      <c r="L406" s="2"/>
      <c r="Q406" s="2"/>
      <c r="T406" s="2"/>
      <c r="U406" s="2"/>
      <c r="V406" s="2"/>
      <c r="W406" s="2"/>
      <c r="X406" s="2"/>
      <c r="Y406" s="2"/>
      <c r="AD406" s="2"/>
      <c r="AE406" s="2"/>
      <c r="AF406" s="2"/>
      <c r="AG406" s="2"/>
      <c r="AH406" s="2"/>
      <c r="AI406" s="2"/>
    </row>
    <row r="407" spans="1:35">
      <c r="A407" s="2"/>
      <c r="B407" s="2"/>
      <c r="C407" s="2"/>
      <c r="D407" s="2"/>
      <c r="K407" s="2"/>
      <c r="L407" s="2"/>
      <c r="Q407" s="2"/>
      <c r="T407" s="2"/>
      <c r="U407" s="2"/>
      <c r="V407" s="2"/>
      <c r="W407" s="2"/>
      <c r="X407" s="2"/>
      <c r="Y407" s="2"/>
      <c r="AD407" s="2"/>
      <c r="AE407" s="2"/>
      <c r="AF407" s="2"/>
      <c r="AG407" s="2"/>
      <c r="AH407" s="2"/>
      <c r="AI407" s="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F0"/>
  </sheetPr>
  <dimension ref="A1:BB167"/>
  <sheetViews>
    <sheetView topLeftCell="A25" zoomScaleNormal="100" workbookViewId="0">
      <selection activeCell="D49" sqref="D49:AY49"/>
    </sheetView>
  </sheetViews>
  <sheetFormatPr defaultRowHeight="15"/>
  <cols>
    <col min="1" max="2" width="9.140625" style="163"/>
    <col min="3" max="3" width="30.140625" style="163" bestFit="1" customWidth="1"/>
    <col min="4" max="258" width="9.140625" style="163"/>
    <col min="259" max="259" width="30.140625" style="163" bestFit="1" customWidth="1"/>
    <col min="260" max="514" width="9.140625" style="163"/>
    <col min="515" max="515" width="30.140625" style="163" bestFit="1" customWidth="1"/>
    <col min="516" max="770" width="9.140625" style="163"/>
    <col min="771" max="771" width="30.140625" style="163" bestFit="1" customWidth="1"/>
    <col min="772" max="1026" width="9.140625" style="163"/>
    <col min="1027" max="1027" width="30.140625" style="163" bestFit="1" customWidth="1"/>
    <col min="1028" max="1282" width="9.140625" style="163"/>
    <col min="1283" max="1283" width="30.140625" style="163" bestFit="1" customWidth="1"/>
    <col min="1284" max="1538" width="9.140625" style="163"/>
    <col min="1539" max="1539" width="30.140625" style="163" bestFit="1" customWidth="1"/>
    <col min="1540" max="1794" width="9.140625" style="163"/>
    <col min="1795" max="1795" width="30.140625" style="163" bestFit="1" customWidth="1"/>
    <col min="1796" max="2050" width="9.140625" style="163"/>
    <col min="2051" max="2051" width="30.140625" style="163" bestFit="1" customWidth="1"/>
    <col min="2052" max="2306" width="9.140625" style="163"/>
    <col min="2307" max="2307" width="30.140625" style="163" bestFit="1" customWidth="1"/>
    <col min="2308" max="2562" width="9.140625" style="163"/>
    <col min="2563" max="2563" width="30.140625" style="163" bestFit="1" customWidth="1"/>
    <col min="2564" max="2818" width="9.140625" style="163"/>
    <col min="2819" max="2819" width="30.140625" style="163" bestFit="1" customWidth="1"/>
    <col min="2820" max="3074" width="9.140625" style="163"/>
    <col min="3075" max="3075" width="30.140625" style="163" bestFit="1" customWidth="1"/>
    <col min="3076" max="3330" width="9.140625" style="163"/>
    <col min="3331" max="3331" width="30.140625" style="163" bestFit="1" customWidth="1"/>
    <col min="3332" max="3586" width="9.140625" style="163"/>
    <col min="3587" max="3587" width="30.140625" style="163" bestFit="1" customWidth="1"/>
    <col min="3588" max="3842" width="9.140625" style="163"/>
    <col min="3843" max="3843" width="30.140625" style="163" bestFit="1" customWidth="1"/>
    <col min="3844" max="4098" width="9.140625" style="163"/>
    <col min="4099" max="4099" width="30.140625" style="163" bestFit="1" customWidth="1"/>
    <col min="4100" max="4354" width="9.140625" style="163"/>
    <col min="4355" max="4355" width="30.140625" style="163" bestFit="1" customWidth="1"/>
    <col min="4356" max="4610" width="9.140625" style="163"/>
    <col min="4611" max="4611" width="30.140625" style="163" bestFit="1" customWidth="1"/>
    <col min="4612" max="4866" width="9.140625" style="163"/>
    <col min="4867" max="4867" width="30.140625" style="163" bestFit="1" customWidth="1"/>
    <col min="4868" max="5122" width="9.140625" style="163"/>
    <col min="5123" max="5123" width="30.140625" style="163" bestFit="1" customWidth="1"/>
    <col min="5124" max="5378" width="9.140625" style="163"/>
    <col min="5379" max="5379" width="30.140625" style="163" bestFit="1" customWidth="1"/>
    <col min="5380" max="5634" width="9.140625" style="163"/>
    <col min="5635" max="5635" width="30.140625" style="163" bestFit="1" customWidth="1"/>
    <col min="5636" max="5890" width="9.140625" style="163"/>
    <col min="5891" max="5891" width="30.140625" style="163" bestFit="1" customWidth="1"/>
    <col min="5892" max="6146" width="9.140625" style="163"/>
    <col min="6147" max="6147" width="30.140625" style="163" bestFit="1" customWidth="1"/>
    <col min="6148" max="6402" width="9.140625" style="163"/>
    <col min="6403" max="6403" width="30.140625" style="163" bestFit="1" customWidth="1"/>
    <col min="6404" max="6658" width="9.140625" style="163"/>
    <col min="6659" max="6659" width="30.140625" style="163" bestFit="1" customWidth="1"/>
    <col min="6660" max="6914" width="9.140625" style="163"/>
    <col min="6915" max="6915" width="30.140625" style="163" bestFit="1" customWidth="1"/>
    <col min="6916" max="7170" width="9.140625" style="163"/>
    <col min="7171" max="7171" width="30.140625" style="163" bestFit="1" customWidth="1"/>
    <col min="7172" max="7426" width="9.140625" style="163"/>
    <col min="7427" max="7427" width="30.140625" style="163" bestFit="1" customWidth="1"/>
    <col min="7428" max="7682" width="9.140625" style="163"/>
    <col min="7683" max="7683" width="30.140625" style="163" bestFit="1" customWidth="1"/>
    <col min="7684" max="7938" width="9.140625" style="163"/>
    <col min="7939" max="7939" width="30.140625" style="163" bestFit="1" customWidth="1"/>
    <col min="7940" max="8194" width="9.140625" style="163"/>
    <col min="8195" max="8195" width="30.140625" style="163" bestFit="1" customWidth="1"/>
    <col min="8196" max="8450" width="9.140625" style="163"/>
    <col min="8451" max="8451" width="30.140625" style="163" bestFit="1" customWidth="1"/>
    <col min="8452" max="8706" width="9.140625" style="163"/>
    <col min="8707" max="8707" width="30.140625" style="163" bestFit="1" customWidth="1"/>
    <col min="8708" max="8962" width="9.140625" style="163"/>
    <col min="8963" max="8963" width="30.140625" style="163" bestFit="1" customWidth="1"/>
    <col min="8964" max="9218" width="9.140625" style="163"/>
    <col min="9219" max="9219" width="30.140625" style="163" bestFit="1" customWidth="1"/>
    <col min="9220" max="9474" width="9.140625" style="163"/>
    <col min="9475" max="9475" width="30.140625" style="163" bestFit="1" customWidth="1"/>
    <col min="9476" max="9730" width="9.140625" style="163"/>
    <col min="9731" max="9731" width="30.140625" style="163" bestFit="1" customWidth="1"/>
    <col min="9732" max="9986" width="9.140625" style="163"/>
    <col min="9987" max="9987" width="30.140625" style="163" bestFit="1" customWidth="1"/>
    <col min="9988" max="10242" width="9.140625" style="163"/>
    <col min="10243" max="10243" width="30.140625" style="163" bestFit="1" customWidth="1"/>
    <col min="10244" max="10498" width="9.140625" style="163"/>
    <col min="10499" max="10499" width="30.140625" style="163" bestFit="1" customWidth="1"/>
    <col min="10500" max="10754" width="9.140625" style="163"/>
    <col min="10755" max="10755" width="30.140625" style="163" bestFit="1" customWidth="1"/>
    <col min="10756" max="11010" width="9.140625" style="163"/>
    <col min="11011" max="11011" width="30.140625" style="163" bestFit="1" customWidth="1"/>
    <col min="11012" max="11266" width="9.140625" style="163"/>
    <col min="11267" max="11267" width="30.140625" style="163" bestFit="1" customWidth="1"/>
    <col min="11268" max="11522" width="9.140625" style="163"/>
    <col min="11523" max="11523" width="30.140625" style="163" bestFit="1" customWidth="1"/>
    <col min="11524" max="11778" width="9.140625" style="163"/>
    <col min="11779" max="11779" width="30.140625" style="163" bestFit="1" customWidth="1"/>
    <col min="11780" max="12034" width="9.140625" style="163"/>
    <col min="12035" max="12035" width="30.140625" style="163" bestFit="1" customWidth="1"/>
    <col min="12036" max="12290" width="9.140625" style="163"/>
    <col min="12291" max="12291" width="30.140625" style="163" bestFit="1" customWidth="1"/>
    <col min="12292" max="12546" width="9.140625" style="163"/>
    <col min="12547" max="12547" width="30.140625" style="163" bestFit="1" customWidth="1"/>
    <col min="12548" max="12802" width="9.140625" style="163"/>
    <col min="12803" max="12803" width="30.140625" style="163" bestFit="1" customWidth="1"/>
    <col min="12804" max="13058" width="9.140625" style="163"/>
    <col min="13059" max="13059" width="30.140625" style="163" bestFit="1" customWidth="1"/>
    <col min="13060" max="13314" width="9.140625" style="163"/>
    <col min="13315" max="13315" width="30.140625" style="163" bestFit="1" customWidth="1"/>
    <col min="13316" max="13570" width="9.140625" style="163"/>
    <col min="13571" max="13571" width="30.140625" style="163" bestFit="1" customWidth="1"/>
    <col min="13572" max="13826" width="9.140625" style="163"/>
    <col min="13827" max="13827" width="30.140625" style="163" bestFit="1" customWidth="1"/>
    <col min="13828" max="14082" width="9.140625" style="163"/>
    <col min="14083" max="14083" width="30.140625" style="163" bestFit="1" customWidth="1"/>
    <col min="14084" max="14338" width="9.140625" style="163"/>
    <col min="14339" max="14339" width="30.140625" style="163" bestFit="1" customWidth="1"/>
    <col min="14340" max="14594" width="9.140625" style="163"/>
    <col min="14595" max="14595" width="30.140625" style="163" bestFit="1" customWidth="1"/>
    <col min="14596" max="14850" width="9.140625" style="163"/>
    <col min="14851" max="14851" width="30.140625" style="163" bestFit="1" customWidth="1"/>
    <col min="14852" max="15106" width="9.140625" style="163"/>
    <col min="15107" max="15107" width="30.140625" style="163" bestFit="1" customWidth="1"/>
    <col min="15108" max="15362" width="9.140625" style="163"/>
    <col min="15363" max="15363" width="30.140625" style="163" bestFit="1" customWidth="1"/>
    <col min="15364" max="15618" width="9.140625" style="163"/>
    <col min="15619" max="15619" width="30.140625" style="163" bestFit="1" customWidth="1"/>
    <col min="15620" max="15874" width="9.140625" style="163"/>
    <col min="15875" max="15875" width="30.140625" style="163" bestFit="1" customWidth="1"/>
    <col min="15876" max="16130" width="9.140625" style="163"/>
    <col min="16131" max="16131" width="30.140625" style="163" bestFit="1" customWidth="1"/>
    <col min="16132" max="16384" width="9.140625" style="163"/>
  </cols>
  <sheetData>
    <row r="1" spans="1:54" s="185" customFormat="1">
      <c r="A1" s="163"/>
      <c r="B1" s="158" t="s">
        <v>282</v>
      </c>
      <c r="C1" s="163"/>
      <c r="D1" s="163">
        <v>3</v>
      </c>
      <c r="E1" s="163">
        <f>D1+1</f>
        <v>4</v>
      </c>
      <c r="F1" s="271">
        <f t="shared" ref="F1:AY1" si="0">E1+1</f>
        <v>5</v>
      </c>
      <c r="G1" s="271">
        <f t="shared" si="0"/>
        <v>6</v>
      </c>
      <c r="H1" s="271">
        <f t="shared" si="0"/>
        <v>7</v>
      </c>
      <c r="I1" s="271">
        <f t="shared" si="0"/>
        <v>8</v>
      </c>
      <c r="J1" s="271">
        <f t="shared" si="0"/>
        <v>9</v>
      </c>
      <c r="K1" s="271">
        <f t="shared" si="0"/>
        <v>10</v>
      </c>
      <c r="L1" s="271">
        <f t="shared" si="0"/>
        <v>11</v>
      </c>
      <c r="M1" s="271">
        <f t="shared" si="0"/>
        <v>12</v>
      </c>
      <c r="N1" s="271">
        <f t="shared" si="0"/>
        <v>13</v>
      </c>
      <c r="O1" s="271">
        <f t="shared" si="0"/>
        <v>14</v>
      </c>
      <c r="P1" s="271">
        <f t="shared" si="0"/>
        <v>15</v>
      </c>
      <c r="Q1" s="271">
        <f t="shared" si="0"/>
        <v>16</v>
      </c>
      <c r="R1" s="271">
        <f t="shared" si="0"/>
        <v>17</v>
      </c>
      <c r="S1" s="271">
        <f t="shared" si="0"/>
        <v>18</v>
      </c>
      <c r="T1" s="271">
        <f t="shared" si="0"/>
        <v>19</v>
      </c>
      <c r="U1" s="271">
        <f t="shared" si="0"/>
        <v>20</v>
      </c>
      <c r="V1" s="271">
        <f t="shared" si="0"/>
        <v>21</v>
      </c>
      <c r="W1" s="271">
        <f t="shared" si="0"/>
        <v>22</v>
      </c>
      <c r="X1" s="271">
        <f t="shared" si="0"/>
        <v>23</v>
      </c>
      <c r="Y1" s="271">
        <f t="shared" si="0"/>
        <v>24</v>
      </c>
      <c r="Z1" s="271">
        <f t="shared" si="0"/>
        <v>25</v>
      </c>
      <c r="AA1" s="271">
        <f t="shared" si="0"/>
        <v>26</v>
      </c>
      <c r="AB1" s="271">
        <f t="shared" si="0"/>
        <v>27</v>
      </c>
      <c r="AC1" s="271">
        <f t="shared" si="0"/>
        <v>28</v>
      </c>
      <c r="AD1" s="271">
        <f t="shared" si="0"/>
        <v>29</v>
      </c>
      <c r="AE1" s="271">
        <f t="shared" si="0"/>
        <v>30</v>
      </c>
      <c r="AF1" s="271">
        <f t="shared" si="0"/>
        <v>31</v>
      </c>
      <c r="AG1" s="271">
        <f t="shared" si="0"/>
        <v>32</v>
      </c>
      <c r="AH1" s="271">
        <f t="shared" si="0"/>
        <v>33</v>
      </c>
      <c r="AI1" s="271">
        <f t="shared" si="0"/>
        <v>34</v>
      </c>
      <c r="AJ1" s="271">
        <f t="shared" si="0"/>
        <v>35</v>
      </c>
      <c r="AK1" s="271">
        <f t="shared" si="0"/>
        <v>36</v>
      </c>
      <c r="AL1" s="271">
        <f t="shared" si="0"/>
        <v>37</v>
      </c>
      <c r="AM1" s="271">
        <f t="shared" si="0"/>
        <v>38</v>
      </c>
      <c r="AN1" s="271">
        <f t="shared" si="0"/>
        <v>39</v>
      </c>
      <c r="AO1" s="271">
        <f t="shared" si="0"/>
        <v>40</v>
      </c>
      <c r="AP1" s="271">
        <f t="shared" si="0"/>
        <v>41</v>
      </c>
      <c r="AQ1" s="271">
        <f t="shared" si="0"/>
        <v>42</v>
      </c>
      <c r="AR1" s="271">
        <f t="shared" si="0"/>
        <v>43</v>
      </c>
      <c r="AS1" s="271">
        <f t="shared" si="0"/>
        <v>44</v>
      </c>
      <c r="AT1" s="271">
        <f t="shared" si="0"/>
        <v>45</v>
      </c>
      <c r="AU1" s="271">
        <f t="shared" si="0"/>
        <v>46</v>
      </c>
      <c r="AV1" s="271">
        <f t="shared" si="0"/>
        <v>47</v>
      </c>
      <c r="AW1" s="271">
        <f t="shared" si="0"/>
        <v>48</v>
      </c>
      <c r="AX1" s="271">
        <f t="shared" si="0"/>
        <v>49</v>
      </c>
      <c r="AY1" s="271">
        <f t="shared" si="0"/>
        <v>50</v>
      </c>
    </row>
    <row r="2" spans="1:54" s="185" customFormat="1">
      <c r="A2" s="162"/>
      <c r="B2" s="288"/>
      <c r="C2" s="288"/>
      <c r="D2" s="291">
        <v>43009</v>
      </c>
      <c r="E2" s="292">
        <v>43009</v>
      </c>
      <c r="F2" s="291">
        <v>43040</v>
      </c>
      <c r="G2" s="292">
        <v>43040</v>
      </c>
      <c r="H2" s="291">
        <v>43070</v>
      </c>
      <c r="I2" s="292">
        <v>43070</v>
      </c>
      <c r="J2" s="291">
        <v>43101</v>
      </c>
      <c r="K2" s="292">
        <v>43101</v>
      </c>
      <c r="L2" s="291">
        <v>43132</v>
      </c>
      <c r="M2" s="292">
        <v>43132</v>
      </c>
      <c r="N2" s="291">
        <v>43160</v>
      </c>
      <c r="O2" s="292">
        <v>43160</v>
      </c>
      <c r="P2" s="291">
        <v>43191</v>
      </c>
      <c r="Q2" s="292">
        <v>43191</v>
      </c>
      <c r="R2" s="291">
        <v>43221</v>
      </c>
      <c r="S2" s="292">
        <v>43221</v>
      </c>
      <c r="T2" s="291">
        <v>43252</v>
      </c>
      <c r="U2" s="292">
        <v>43252</v>
      </c>
      <c r="V2" s="291">
        <v>43282</v>
      </c>
      <c r="W2" s="292">
        <v>43282</v>
      </c>
      <c r="X2" s="291">
        <v>43313</v>
      </c>
      <c r="Y2" s="292">
        <v>43313</v>
      </c>
      <c r="Z2" s="291">
        <v>43344</v>
      </c>
      <c r="AA2" s="292">
        <v>43344</v>
      </c>
      <c r="AB2" s="291">
        <v>43374</v>
      </c>
      <c r="AC2" s="292">
        <v>43374</v>
      </c>
      <c r="AD2" s="291">
        <v>43405</v>
      </c>
      <c r="AE2" s="292">
        <v>43405</v>
      </c>
      <c r="AF2" s="291">
        <v>43435</v>
      </c>
      <c r="AG2" s="292">
        <v>43435</v>
      </c>
      <c r="AH2" s="291">
        <v>43466</v>
      </c>
      <c r="AI2" s="292">
        <v>43466</v>
      </c>
      <c r="AJ2" s="291">
        <v>43497</v>
      </c>
      <c r="AK2" s="292">
        <v>43497</v>
      </c>
      <c r="AL2" s="291">
        <v>43525</v>
      </c>
      <c r="AM2" s="292">
        <v>43525</v>
      </c>
      <c r="AN2" s="291">
        <v>43556</v>
      </c>
      <c r="AO2" s="292">
        <v>43556</v>
      </c>
      <c r="AP2" s="291">
        <v>43586</v>
      </c>
      <c r="AQ2" s="292">
        <v>43586</v>
      </c>
      <c r="AR2" s="291">
        <v>43617</v>
      </c>
      <c r="AS2" s="292">
        <v>43617</v>
      </c>
      <c r="AT2" s="291">
        <v>43647</v>
      </c>
      <c r="AU2" s="292">
        <v>43647</v>
      </c>
      <c r="AV2" s="291">
        <v>43678</v>
      </c>
      <c r="AW2" s="292">
        <v>43678</v>
      </c>
      <c r="AX2" s="291">
        <v>43709</v>
      </c>
      <c r="AY2" s="292">
        <v>43709</v>
      </c>
      <c r="BA2" s="206"/>
    </row>
    <row r="3" spans="1:54" s="185" customFormat="1">
      <c r="A3" s="163"/>
      <c r="B3" s="289" t="s">
        <v>2</v>
      </c>
      <c r="C3" s="289" t="s">
        <v>147</v>
      </c>
      <c r="D3" s="293" t="s">
        <v>143</v>
      </c>
      <c r="E3" s="294" t="s">
        <v>144</v>
      </c>
      <c r="F3" s="293" t="s">
        <v>143</v>
      </c>
      <c r="G3" s="294" t="s">
        <v>144</v>
      </c>
      <c r="H3" s="293" t="s">
        <v>143</v>
      </c>
      <c r="I3" s="294" t="s">
        <v>144</v>
      </c>
      <c r="J3" s="293" t="s">
        <v>143</v>
      </c>
      <c r="K3" s="294" t="s">
        <v>144</v>
      </c>
      <c r="L3" s="293" t="s">
        <v>143</v>
      </c>
      <c r="M3" s="294" t="s">
        <v>144</v>
      </c>
      <c r="N3" s="293" t="s">
        <v>143</v>
      </c>
      <c r="O3" s="294" t="s">
        <v>144</v>
      </c>
      <c r="P3" s="293" t="s">
        <v>143</v>
      </c>
      <c r="Q3" s="294" t="s">
        <v>144</v>
      </c>
      <c r="R3" s="293" t="s">
        <v>143</v>
      </c>
      <c r="S3" s="294" t="s">
        <v>144</v>
      </c>
      <c r="T3" s="293" t="s">
        <v>143</v>
      </c>
      <c r="U3" s="294" t="s">
        <v>144</v>
      </c>
      <c r="V3" s="293" t="s">
        <v>143</v>
      </c>
      <c r="W3" s="294" t="s">
        <v>144</v>
      </c>
      <c r="X3" s="293" t="s">
        <v>143</v>
      </c>
      <c r="Y3" s="294" t="s">
        <v>144</v>
      </c>
      <c r="Z3" s="293" t="s">
        <v>143</v>
      </c>
      <c r="AA3" s="294" t="s">
        <v>144</v>
      </c>
      <c r="AB3" s="293" t="s">
        <v>143</v>
      </c>
      <c r="AC3" s="294" t="s">
        <v>144</v>
      </c>
      <c r="AD3" s="293" t="s">
        <v>143</v>
      </c>
      <c r="AE3" s="294" t="s">
        <v>144</v>
      </c>
      <c r="AF3" s="293" t="s">
        <v>143</v>
      </c>
      <c r="AG3" s="294" t="s">
        <v>144</v>
      </c>
      <c r="AH3" s="293" t="s">
        <v>143</v>
      </c>
      <c r="AI3" s="294" t="s">
        <v>144</v>
      </c>
      <c r="AJ3" s="293" t="s">
        <v>143</v>
      </c>
      <c r="AK3" s="294" t="s">
        <v>144</v>
      </c>
      <c r="AL3" s="293" t="s">
        <v>143</v>
      </c>
      <c r="AM3" s="294" t="s">
        <v>144</v>
      </c>
      <c r="AN3" s="293" t="s">
        <v>143</v>
      </c>
      <c r="AO3" s="294" t="s">
        <v>144</v>
      </c>
      <c r="AP3" s="293" t="s">
        <v>143</v>
      </c>
      <c r="AQ3" s="294" t="s">
        <v>144</v>
      </c>
      <c r="AR3" s="293" t="s">
        <v>143</v>
      </c>
      <c r="AS3" s="294" t="s">
        <v>144</v>
      </c>
      <c r="AT3" s="293" t="s">
        <v>143</v>
      </c>
      <c r="AU3" s="294" t="s">
        <v>144</v>
      </c>
      <c r="AV3" s="293" t="s">
        <v>143</v>
      </c>
      <c r="AW3" s="294" t="s">
        <v>144</v>
      </c>
      <c r="AX3" s="293" t="s">
        <v>143</v>
      </c>
      <c r="AY3" s="294" t="s">
        <v>144</v>
      </c>
      <c r="BA3" s="203"/>
      <c r="BB3" s="207"/>
    </row>
    <row r="4" spans="1:54" s="185" customFormat="1">
      <c r="A4" s="163"/>
      <c r="B4" s="288">
        <v>10005</v>
      </c>
      <c r="C4" s="288" t="s">
        <v>7</v>
      </c>
      <c r="D4" s="290">
        <v>6</v>
      </c>
      <c r="E4" s="297">
        <v>29</v>
      </c>
      <c r="F4" s="297">
        <v>50</v>
      </c>
      <c r="G4" s="297">
        <v>77</v>
      </c>
      <c r="H4" s="297">
        <v>76</v>
      </c>
      <c r="I4" s="297">
        <v>112</v>
      </c>
      <c r="J4" s="297">
        <v>134</v>
      </c>
      <c r="K4" s="297">
        <v>121</v>
      </c>
      <c r="L4" s="297">
        <v>145</v>
      </c>
      <c r="M4" s="297">
        <v>122</v>
      </c>
      <c r="N4" s="297">
        <v>71</v>
      </c>
      <c r="O4" s="297">
        <v>93</v>
      </c>
      <c r="P4" s="297">
        <v>51</v>
      </c>
      <c r="Q4" s="297">
        <v>66</v>
      </c>
      <c r="R4" s="297">
        <v>-134</v>
      </c>
      <c r="S4" s="297">
        <v>-29</v>
      </c>
      <c r="T4" s="297">
        <v>-76</v>
      </c>
      <c r="U4" s="297">
        <v>-16</v>
      </c>
      <c r="V4" s="297">
        <v>-53</v>
      </c>
      <c r="W4" s="297">
        <v>-3</v>
      </c>
      <c r="X4" s="297">
        <v>-83</v>
      </c>
      <c r="Y4" s="297">
        <v>-10</v>
      </c>
      <c r="Z4" s="297">
        <v>-42</v>
      </c>
      <c r="AA4" s="297">
        <v>3</v>
      </c>
      <c r="AB4" s="297">
        <v>7</v>
      </c>
      <c r="AC4" s="297">
        <v>30</v>
      </c>
      <c r="AD4" s="297">
        <v>34</v>
      </c>
      <c r="AE4" s="297">
        <v>93</v>
      </c>
      <c r="AF4" s="297">
        <v>93</v>
      </c>
      <c r="AG4" s="297">
        <v>96</v>
      </c>
      <c r="AH4" s="297">
        <v>118</v>
      </c>
      <c r="AI4" s="297">
        <v>139</v>
      </c>
      <c r="AJ4" s="297">
        <v>133</v>
      </c>
      <c r="AK4" s="297">
        <v>118</v>
      </c>
      <c r="AL4" s="297">
        <v>86</v>
      </c>
      <c r="AM4" s="297">
        <v>79</v>
      </c>
      <c r="AN4" s="297">
        <v>52</v>
      </c>
      <c r="AO4" s="297">
        <v>67</v>
      </c>
      <c r="AP4" s="297">
        <v>-134</v>
      </c>
      <c r="AQ4" s="297">
        <v>-28</v>
      </c>
      <c r="AR4" s="297">
        <v>-75</v>
      </c>
      <c r="AS4" s="297">
        <v>-15</v>
      </c>
      <c r="AT4" s="297">
        <v>-52</v>
      </c>
      <c r="AU4" s="297">
        <v>-2</v>
      </c>
      <c r="AV4" s="297">
        <v>-82</v>
      </c>
      <c r="AW4" s="297">
        <v>-10</v>
      </c>
      <c r="AX4" s="297">
        <v>-41</v>
      </c>
      <c r="AY4" s="297">
        <v>4</v>
      </c>
      <c r="BA4" s="204"/>
      <c r="BB4" s="204"/>
    </row>
    <row r="5" spans="1:54">
      <c r="B5" s="288">
        <v>10015</v>
      </c>
      <c r="C5" s="288" t="s">
        <v>8</v>
      </c>
      <c r="D5" s="297">
        <v>-69</v>
      </c>
      <c r="E5" s="297">
        <v>11</v>
      </c>
      <c r="F5" s="297">
        <v>-210</v>
      </c>
      <c r="G5" s="297">
        <v>-104</v>
      </c>
      <c r="H5" s="297">
        <v>-199</v>
      </c>
      <c r="I5" s="297">
        <v>-102</v>
      </c>
      <c r="J5" s="297">
        <v>-139</v>
      </c>
      <c r="K5" s="297">
        <v>-85</v>
      </c>
      <c r="L5" s="297">
        <v>-115</v>
      </c>
      <c r="M5" s="297">
        <v>-65</v>
      </c>
      <c r="N5" s="297">
        <v>-132</v>
      </c>
      <c r="O5" s="297">
        <v>-77</v>
      </c>
      <c r="P5" s="297">
        <v>-56</v>
      </c>
      <c r="Q5" s="297">
        <v>-18</v>
      </c>
      <c r="R5" s="297">
        <v>-38</v>
      </c>
      <c r="S5" s="297">
        <v>101</v>
      </c>
      <c r="T5" s="297">
        <v>121</v>
      </c>
      <c r="U5" s="297">
        <v>209</v>
      </c>
      <c r="V5" s="297">
        <v>313</v>
      </c>
      <c r="W5" s="297">
        <v>365</v>
      </c>
      <c r="X5" s="297">
        <v>242</v>
      </c>
      <c r="Y5" s="297">
        <v>303</v>
      </c>
      <c r="Z5" s="297">
        <v>59</v>
      </c>
      <c r="AA5" s="297">
        <v>190</v>
      </c>
      <c r="AB5" s="297">
        <v>-68</v>
      </c>
      <c r="AC5" s="297">
        <v>12</v>
      </c>
      <c r="AD5" s="297">
        <v>-210</v>
      </c>
      <c r="AE5" s="297">
        <v>-103</v>
      </c>
      <c r="AF5" s="297">
        <v>-198</v>
      </c>
      <c r="AG5" s="297">
        <v>-102</v>
      </c>
      <c r="AH5" s="297">
        <v>-138</v>
      </c>
      <c r="AI5" s="297">
        <v>-85</v>
      </c>
      <c r="AJ5" s="297">
        <v>-114</v>
      </c>
      <c r="AK5" s="297">
        <v>-65</v>
      </c>
      <c r="AL5" s="297">
        <v>-131</v>
      </c>
      <c r="AM5" s="297">
        <v>-76</v>
      </c>
      <c r="AN5" s="297">
        <v>-55</v>
      </c>
      <c r="AO5" s="297">
        <v>-17</v>
      </c>
      <c r="AP5" s="297">
        <v>-36</v>
      </c>
      <c r="AQ5" s="297">
        <v>103</v>
      </c>
      <c r="AR5" s="297">
        <v>124</v>
      </c>
      <c r="AS5" s="297">
        <v>211</v>
      </c>
      <c r="AT5" s="297">
        <v>317</v>
      </c>
      <c r="AU5" s="297">
        <v>368</v>
      </c>
      <c r="AV5" s="297">
        <v>245</v>
      </c>
      <c r="AW5" s="297">
        <v>306</v>
      </c>
      <c r="AX5" s="297">
        <v>61</v>
      </c>
      <c r="AY5" s="297">
        <v>193</v>
      </c>
      <c r="BA5" s="205"/>
      <c r="BB5" s="205"/>
    </row>
    <row r="6" spans="1:54">
      <c r="B6" s="288">
        <v>10024</v>
      </c>
      <c r="C6" s="288" t="s">
        <v>9</v>
      </c>
      <c r="D6" s="297">
        <v>-12782</v>
      </c>
      <c r="E6" s="297">
        <v>1274</v>
      </c>
      <c r="F6" s="297">
        <v>-20155</v>
      </c>
      <c r="G6" s="297">
        <v>-4505</v>
      </c>
      <c r="H6" s="297">
        <v>-14097</v>
      </c>
      <c r="I6" s="297">
        <v>1351</v>
      </c>
      <c r="J6" s="297">
        <v>-727</v>
      </c>
      <c r="K6" s="297">
        <v>7040</v>
      </c>
      <c r="L6" s="297">
        <v>-3779</v>
      </c>
      <c r="M6" s="297">
        <v>3437</v>
      </c>
      <c r="N6" s="297">
        <v>-10835</v>
      </c>
      <c r="O6" s="297">
        <v>-1630</v>
      </c>
      <c r="P6" s="297">
        <v>-8727</v>
      </c>
      <c r="Q6" s="297">
        <v>3684</v>
      </c>
      <c r="R6" s="297">
        <v>-19206</v>
      </c>
      <c r="S6" s="297">
        <v>-1250</v>
      </c>
      <c r="T6" s="297">
        <v>1985</v>
      </c>
      <c r="U6" s="297">
        <v>11814</v>
      </c>
      <c r="V6" s="297">
        <v>15015</v>
      </c>
      <c r="W6" s="297">
        <v>27777</v>
      </c>
      <c r="X6" s="297">
        <v>5177</v>
      </c>
      <c r="Y6" s="297">
        <v>15336</v>
      </c>
      <c r="Z6" s="297">
        <v>-9957</v>
      </c>
      <c r="AA6" s="297">
        <v>4997</v>
      </c>
      <c r="AB6" s="297">
        <v>-10670</v>
      </c>
      <c r="AC6" s="297">
        <v>650</v>
      </c>
      <c r="AD6" s="297">
        <v>-19355</v>
      </c>
      <c r="AE6" s="297">
        <v>-3863</v>
      </c>
      <c r="AF6" s="297">
        <v>-13297</v>
      </c>
      <c r="AG6" s="297">
        <v>2039</v>
      </c>
      <c r="AH6" s="297">
        <v>105</v>
      </c>
      <c r="AI6" s="297">
        <v>7696</v>
      </c>
      <c r="AJ6" s="297">
        <v>-3011</v>
      </c>
      <c r="AK6" s="297">
        <v>4013</v>
      </c>
      <c r="AL6" s="297">
        <v>-11251</v>
      </c>
      <c r="AM6" s="297">
        <v>272</v>
      </c>
      <c r="AN6" s="297">
        <v>-6503</v>
      </c>
      <c r="AO6" s="297">
        <v>2900</v>
      </c>
      <c r="AP6" s="297">
        <v>-18374</v>
      </c>
      <c r="AQ6" s="297">
        <v>-594</v>
      </c>
      <c r="AR6" s="297">
        <v>737</v>
      </c>
      <c r="AS6" s="297">
        <v>14502</v>
      </c>
      <c r="AT6" s="297">
        <v>18663</v>
      </c>
      <c r="AU6" s="297">
        <v>26361</v>
      </c>
      <c r="AV6" s="297">
        <v>6041</v>
      </c>
      <c r="AW6" s="297">
        <v>15960</v>
      </c>
      <c r="AX6" s="297">
        <v>-9189</v>
      </c>
      <c r="AY6" s="297">
        <v>5669</v>
      </c>
      <c r="BA6" s="205"/>
      <c r="BB6" s="205"/>
    </row>
    <row r="7" spans="1:54">
      <c r="B7" s="288">
        <v>10025</v>
      </c>
      <c r="C7" s="288" t="s">
        <v>10</v>
      </c>
      <c r="D7" s="297">
        <v>-1300</v>
      </c>
      <c r="E7" s="297">
        <v>1447</v>
      </c>
      <c r="F7" s="297">
        <v>-10170</v>
      </c>
      <c r="G7" s="297">
        <v>-2693</v>
      </c>
      <c r="H7" s="297">
        <v>-5308</v>
      </c>
      <c r="I7" s="297">
        <v>1934</v>
      </c>
      <c r="J7" s="297">
        <v>-294</v>
      </c>
      <c r="K7" s="297">
        <v>2426</v>
      </c>
      <c r="L7" s="297">
        <v>-670</v>
      </c>
      <c r="M7" s="297">
        <v>1636</v>
      </c>
      <c r="N7" s="297">
        <v>-7634</v>
      </c>
      <c r="O7" s="297">
        <v>-1800</v>
      </c>
      <c r="P7" s="297">
        <v>-2258</v>
      </c>
      <c r="Q7" s="297">
        <v>722</v>
      </c>
      <c r="R7" s="297">
        <v>-9109</v>
      </c>
      <c r="S7" s="297">
        <v>-2334</v>
      </c>
      <c r="T7" s="297">
        <v>-252</v>
      </c>
      <c r="U7" s="297">
        <v>4951</v>
      </c>
      <c r="V7" s="297">
        <v>13268</v>
      </c>
      <c r="W7" s="297">
        <v>12180</v>
      </c>
      <c r="X7" s="297">
        <v>8872</v>
      </c>
      <c r="Y7" s="297">
        <v>9748</v>
      </c>
      <c r="Z7" s="297">
        <v>1060</v>
      </c>
      <c r="AA7" s="297">
        <v>5794</v>
      </c>
      <c r="AB7" s="297">
        <v>-1188</v>
      </c>
      <c r="AC7" s="297">
        <v>1715</v>
      </c>
      <c r="AD7" s="297">
        <v>-9957</v>
      </c>
      <c r="AE7" s="297">
        <v>-2536</v>
      </c>
      <c r="AF7" s="297">
        <v>-5139</v>
      </c>
      <c r="AG7" s="297">
        <v>2173</v>
      </c>
      <c r="AH7" s="297">
        <v>-61</v>
      </c>
      <c r="AI7" s="297">
        <v>2594</v>
      </c>
      <c r="AJ7" s="297">
        <v>-1128</v>
      </c>
      <c r="AK7" s="297">
        <v>1321</v>
      </c>
      <c r="AL7" s="297">
        <v>-7348</v>
      </c>
      <c r="AM7" s="297">
        <v>-1823</v>
      </c>
      <c r="AN7" s="297">
        <v>-2221</v>
      </c>
      <c r="AO7" s="297">
        <v>952</v>
      </c>
      <c r="AP7" s="297">
        <v>-8943</v>
      </c>
      <c r="AQ7" s="297">
        <v>-2241</v>
      </c>
      <c r="AR7" s="297">
        <v>40</v>
      </c>
      <c r="AS7" s="297">
        <v>4914</v>
      </c>
      <c r="AT7" s="297">
        <v>13327</v>
      </c>
      <c r="AU7" s="297">
        <v>12404</v>
      </c>
      <c r="AV7" s="297">
        <v>9030</v>
      </c>
      <c r="AW7" s="297">
        <v>9823</v>
      </c>
      <c r="AX7" s="297">
        <v>1149</v>
      </c>
      <c r="AY7" s="297">
        <v>5835</v>
      </c>
      <c r="BA7" s="205"/>
      <c r="BB7" s="205"/>
    </row>
    <row r="8" spans="1:54">
      <c r="B8" s="288">
        <v>10027</v>
      </c>
      <c r="C8" s="288" t="s">
        <v>11</v>
      </c>
      <c r="D8" s="297">
        <v>-4121</v>
      </c>
      <c r="E8" s="297">
        <v>752</v>
      </c>
      <c r="F8" s="297">
        <v>-17445</v>
      </c>
      <c r="G8" s="297">
        <v>-8067</v>
      </c>
      <c r="H8" s="297">
        <v>-14078</v>
      </c>
      <c r="I8" s="297">
        <v>-6323</v>
      </c>
      <c r="J8" s="297">
        <v>-9918</v>
      </c>
      <c r="K8" s="297">
        <v>-4296</v>
      </c>
      <c r="L8" s="297">
        <v>-8085</v>
      </c>
      <c r="M8" s="297">
        <v>-3215</v>
      </c>
      <c r="N8" s="297">
        <v>-11871</v>
      </c>
      <c r="O8" s="297">
        <v>-5857</v>
      </c>
      <c r="P8" s="297">
        <v>-1061</v>
      </c>
      <c r="Q8" s="297">
        <v>2318</v>
      </c>
      <c r="R8" s="297">
        <v>-3056</v>
      </c>
      <c r="S8" s="297">
        <v>4172</v>
      </c>
      <c r="T8" s="297">
        <v>12791</v>
      </c>
      <c r="U8" s="297">
        <v>13415</v>
      </c>
      <c r="V8" s="297">
        <v>18019</v>
      </c>
      <c r="W8" s="297">
        <v>19535</v>
      </c>
      <c r="X8" s="297">
        <v>12507</v>
      </c>
      <c r="Y8" s="297">
        <v>14424</v>
      </c>
      <c r="Z8" s="297">
        <v>5331</v>
      </c>
      <c r="AA8" s="297">
        <v>8465</v>
      </c>
      <c r="AB8" s="297">
        <v>-4291</v>
      </c>
      <c r="AC8" s="297">
        <v>718</v>
      </c>
      <c r="AD8" s="297">
        <v>-17542</v>
      </c>
      <c r="AE8" s="297">
        <v>-8156</v>
      </c>
      <c r="AF8" s="297">
        <v>-14176</v>
      </c>
      <c r="AG8" s="297">
        <v>-6428</v>
      </c>
      <c r="AH8" s="297">
        <v>-10026</v>
      </c>
      <c r="AI8" s="297">
        <v>-4390</v>
      </c>
      <c r="AJ8" s="297">
        <v>-8433</v>
      </c>
      <c r="AK8" s="297">
        <v>-3471</v>
      </c>
      <c r="AL8" s="297">
        <v>-11914</v>
      </c>
      <c r="AM8" s="297">
        <v>-6016</v>
      </c>
      <c r="AN8" s="297">
        <v>-1220</v>
      </c>
      <c r="AO8" s="297">
        <v>2290</v>
      </c>
      <c r="AP8" s="297">
        <v>-3166</v>
      </c>
      <c r="AQ8" s="297">
        <v>4078</v>
      </c>
      <c r="AR8" s="297">
        <v>12756</v>
      </c>
      <c r="AS8" s="297">
        <v>13263</v>
      </c>
      <c r="AT8" s="297">
        <v>17851</v>
      </c>
      <c r="AU8" s="297">
        <v>19498</v>
      </c>
      <c r="AV8" s="297">
        <v>12392</v>
      </c>
      <c r="AW8" s="297">
        <v>14335</v>
      </c>
      <c r="AX8" s="297">
        <v>5244</v>
      </c>
      <c r="AY8" s="297">
        <v>8365</v>
      </c>
      <c r="BA8" s="205"/>
      <c r="BB8" s="205"/>
    </row>
    <row r="9" spans="1:54">
      <c r="B9" s="288">
        <v>10029</v>
      </c>
      <c r="C9" s="288" t="s">
        <v>12</v>
      </c>
      <c r="D9" s="297">
        <v>0</v>
      </c>
      <c r="E9" s="297">
        <v>0</v>
      </c>
      <c r="F9" s="297">
        <v>0</v>
      </c>
      <c r="G9" s="297">
        <v>0</v>
      </c>
      <c r="H9" s="297">
        <v>0</v>
      </c>
      <c r="I9" s="297">
        <v>0</v>
      </c>
      <c r="J9" s="297">
        <v>0</v>
      </c>
      <c r="K9" s="297">
        <v>0</v>
      </c>
      <c r="L9" s="297">
        <v>0</v>
      </c>
      <c r="M9" s="297">
        <v>0</v>
      </c>
      <c r="N9" s="297">
        <v>0</v>
      </c>
      <c r="O9" s="297">
        <v>0</v>
      </c>
      <c r="P9" s="297">
        <v>0</v>
      </c>
      <c r="Q9" s="297">
        <v>0</v>
      </c>
      <c r="R9" s="297">
        <v>0</v>
      </c>
      <c r="S9" s="297">
        <v>0</v>
      </c>
      <c r="T9" s="297">
        <v>0</v>
      </c>
      <c r="U9" s="297">
        <v>0</v>
      </c>
      <c r="V9" s="297">
        <v>0</v>
      </c>
      <c r="W9" s="297">
        <v>0</v>
      </c>
      <c r="X9" s="297">
        <v>0</v>
      </c>
      <c r="Y9" s="297">
        <v>0</v>
      </c>
      <c r="Z9" s="297">
        <v>0</v>
      </c>
      <c r="AA9" s="297">
        <v>0</v>
      </c>
      <c r="AB9" s="297">
        <v>0</v>
      </c>
      <c r="AC9" s="297">
        <v>0</v>
      </c>
      <c r="AD9" s="297">
        <v>0</v>
      </c>
      <c r="AE9" s="297">
        <v>0</v>
      </c>
      <c r="AF9" s="297">
        <v>0</v>
      </c>
      <c r="AG9" s="297">
        <v>0</v>
      </c>
      <c r="AH9" s="297">
        <v>0</v>
      </c>
      <c r="AI9" s="297">
        <v>0</v>
      </c>
      <c r="AJ9" s="297">
        <v>0</v>
      </c>
      <c r="AK9" s="297">
        <v>0</v>
      </c>
      <c r="AL9" s="297">
        <v>0</v>
      </c>
      <c r="AM9" s="297">
        <v>0</v>
      </c>
      <c r="AN9" s="297">
        <v>0</v>
      </c>
      <c r="AO9" s="297">
        <v>0</v>
      </c>
      <c r="AP9" s="297">
        <v>0</v>
      </c>
      <c r="AQ9" s="297">
        <v>0</v>
      </c>
      <c r="AR9" s="297">
        <v>0</v>
      </c>
      <c r="AS9" s="297">
        <v>0</v>
      </c>
      <c r="AT9" s="297">
        <v>0</v>
      </c>
      <c r="AU9" s="297">
        <v>0</v>
      </c>
      <c r="AV9" s="297">
        <v>0</v>
      </c>
      <c r="AW9" s="297">
        <v>0</v>
      </c>
      <c r="AX9" s="297">
        <v>0</v>
      </c>
      <c r="AY9" s="297">
        <v>0</v>
      </c>
      <c r="BA9" s="205"/>
      <c r="BB9" s="205"/>
    </row>
    <row r="10" spans="1:54">
      <c r="B10" s="288">
        <v>10044</v>
      </c>
      <c r="C10" s="288" t="s">
        <v>13</v>
      </c>
      <c r="D10" s="297">
        <v>355</v>
      </c>
      <c r="E10" s="297">
        <v>9</v>
      </c>
      <c r="F10" s="297">
        <v>-202</v>
      </c>
      <c r="G10" s="297">
        <v>-68</v>
      </c>
      <c r="H10" s="297">
        <v>1095</v>
      </c>
      <c r="I10" s="297">
        <v>1105</v>
      </c>
      <c r="J10" s="297">
        <v>2604</v>
      </c>
      <c r="K10" s="297">
        <v>1251</v>
      </c>
      <c r="L10" s="297">
        <v>2874</v>
      </c>
      <c r="M10" s="297">
        <v>1302</v>
      </c>
      <c r="N10" s="297">
        <v>847</v>
      </c>
      <c r="O10" s="297">
        <v>450</v>
      </c>
      <c r="P10" s="297">
        <v>674</v>
      </c>
      <c r="Q10" s="297">
        <v>154</v>
      </c>
      <c r="R10" s="297">
        <v>-3908</v>
      </c>
      <c r="S10" s="297">
        <v>-1895</v>
      </c>
      <c r="T10" s="297">
        <v>-1137</v>
      </c>
      <c r="U10" s="297">
        <v>-677</v>
      </c>
      <c r="V10" s="297">
        <v>971</v>
      </c>
      <c r="W10" s="297">
        <v>759</v>
      </c>
      <c r="X10" s="297">
        <v>-154</v>
      </c>
      <c r="Y10" s="297">
        <v>537</v>
      </c>
      <c r="Z10" s="297">
        <v>26</v>
      </c>
      <c r="AA10" s="297">
        <v>-57</v>
      </c>
      <c r="AB10" s="297">
        <v>417</v>
      </c>
      <c r="AC10" s="297">
        <v>42</v>
      </c>
      <c r="AD10" s="297">
        <v>-506</v>
      </c>
      <c r="AE10" s="297">
        <v>323</v>
      </c>
      <c r="AF10" s="297">
        <v>1539</v>
      </c>
      <c r="AG10" s="297">
        <v>742</v>
      </c>
      <c r="AH10" s="297">
        <v>2272</v>
      </c>
      <c r="AI10" s="297">
        <v>1658</v>
      </c>
      <c r="AJ10" s="297">
        <v>2672</v>
      </c>
      <c r="AK10" s="297">
        <v>1268</v>
      </c>
      <c r="AL10" s="297">
        <v>1203</v>
      </c>
      <c r="AM10" s="297">
        <v>157</v>
      </c>
      <c r="AN10" s="297">
        <v>711</v>
      </c>
      <c r="AO10" s="297">
        <v>174</v>
      </c>
      <c r="AP10" s="297">
        <v>-3868</v>
      </c>
      <c r="AQ10" s="297">
        <v>-1871</v>
      </c>
      <c r="AR10" s="297">
        <v>-1095</v>
      </c>
      <c r="AS10" s="297">
        <v>-655</v>
      </c>
      <c r="AT10" s="297">
        <v>1012</v>
      </c>
      <c r="AU10" s="297">
        <v>782</v>
      </c>
      <c r="AV10" s="297">
        <v>-113</v>
      </c>
      <c r="AW10" s="297">
        <v>560</v>
      </c>
      <c r="AX10" s="297">
        <v>67</v>
      </c>
      <c r="AY10" s="297">
        <v>-35</v>
      </c>
      <c r="BA10" s="205"/>
      <c r="BB10" s="205"/>
    </row>
    <row r="11" spans="1:54">
      <c r="B11" s="288">
        <v>10046</v>
      </c>
      <c r="C11" s="288" t="s">
        <v>14</v>
      </c>
      <c r="D11" s="297">
        <v>0</v>
      </c>
      <c r="E11" s="297">
        <v>0</v>
      </c>
      <c r="F11" s="297">
        <v>0</v>
      </c>
      <c r="G11" s="297">
        <v>0</v>
      </c>
      <c r="H11" s="297">
        <v>0</v>
      </c>
      <c r="I11" s="297">
        <v>0</v>
      </c>
      <c r="J11" s="297">
        <v>0</v>
      </c>
      <c r="K11" s="297">
        <v>0</v>
      </c>
      <c r="L11" s="297">
        <v>0</v>
      </c>
      <c r="M11" s="297">
        <v>0</v>
      </c>
      <c r="N11" s="297">
        <v>0</v>
      </c>
      <c r="O11" s="297">
        <v>0</v>
      </c>
      <c r="P11" s="297">
        <v>0</v>
      </c>
      <c r="Q11" s="297">
        <v>0</v>
      </c>
      <c r="R11" s="297">
        <v>0</v>
      </c>
      <c r="S11" s="297">
        <v>0</v>
      </c>
      <c r="T11" s="297">
        <v>0</v>
      </c>
      <c r="U11" s="297">
        <v>0</v>
      </c>
      <c r="V11" s="297">
        <v>0</v>
      </c>
      <c r="W11" s="297">
        <v>0</v>
      </c>
      <c r="X11" s="297">
        <v>0</v>
      </c>
      <c r="Y11" s="297">
        <v>0</v>
      </c>
      <c r="Z11" s="297">
        <v>0</v>
      </c>
      <c r="AA11" s="297">
        <v>0</v>
      </c>
      <c r="AB11" s="297">
        <v>0</v>
      </c>
      <c r="AC11" s="297">
        <v>0</v>
      </c>
      <c r="AD11" s="297">
        <v>0</v>
      </c>
      <c r="AE11" s="297">
        <v>0</v>
      </c>
      <c r="AF11" s="297">
        <v>0</v>
      </c>
      <c r="AG11" s="297">
        <v>0</v>
      </c>
      <c r="AH11" s="297">
        <v>0</v>
      </c>
      <c r="AI11" s="297">
        <v>0</v>
      </c>
      <c r="AJ11" s="297">
        <v>0</v>
      </c>
      <c r="AK11" s="297">
        <v>0</v>
      </c>
      <c r="AL11" s="297">
        <v>0</v>
      </c>
      <c r="AM11" s="297">
        <v>0</v>
      </c>
      <c r="AN11" s="297">
        <v>0</v>
      </c>
      <c r="AO11" s="297">
        <v>0</v>
      </c>
      <c r="AP11" s="297">
        <v>0</v>
      </c>
      <c r="AQ11" s="297">
        <v>0</v>
      </c>
      <c r="AR11" s="297">
        <v>0</v>
      </c>
      <c r="AS11" s="297">
        <v>0</v>
      </c>
      <c r="AT11" s="297">
        <v>0</v>
      </c>
      <c r="AU11" s="297">
        <v>0</v>
      </c>
      <c r="AV11" s="297">
        <v>0</v>
      </c>
      <c r="AW11" s="297">
        <v>0</v>
      </c>
      <c r="AX11" s="297">
        <v>0</v>
      </c>
      <c r="AY11" s="297">
        <v>0</v>
      </c>
      <c r="BA11" s="205"/>
      <c r="BB11" s="205"/>
    </row>
    <row r="12" spans="1:54">
      <c r="B12" s="288">
        <v>10047</v>
      </c>
      <c r="C12" s="288" t="s">
        <v>15</v>
      </c>
      <c r="D12" s="297">
        <v>773</v>
      </c>
      <c r="E12" s="297">
        <v>7455</v>
      </c>
      <c r="F12" s="297">
        <v>-8265</v>
      </c>
      <c r="G12" s="297">
        <v>5151</v>
      </c>
      <c r="H12" s="297">
        <v>-3374</v>
      </c>
      <c r="I12" s="297">
        <v>10136</v>
      </c>
      <c r="J12" s="297">
        <v>11069</v>
      </c>
      <c r="K12" s="297">
        <v>14239</v>
      </c>
      <c r="L12" s="297">
        <v>12836</v>
      </c>
      <c r="M12" s="297">
        <v>12824</v>
      </c>
      <c r="N12" s="297">
        <v>2619</v>
      </c>
      <c r="O12" s="297">
        <v>10058</v>
      </c>
      <c r="P12" s="297">
        <v>-1832</v>
      </c>
      <c r="Q12" s="297">
        <v>5695</v>
      </c>
      <c r="R12" s="297">
        <v>-37206</v>
      </c>
      <c r="S12" s="297">
        <v>-8916</v>
      </c>
      <c r="T12" s="297">
        <v>-17062</v>
      </c>
      <c r="U12" s="297">
        <v>-1169</v>
      </c>
      <c r="V12" s="297">
        <v>-8195</v>
      </c>
      <c r="W12" s="297">
        <v>6511</v>
      </c>
      <c r="X12" s="297">
        <v>-16552</v>
      </c>
      <c r="Y12" s="297">
        <v>4561</v>
      </c>
      <c r="Z12" s="297">
        <v>-5805</v>
      </c>
      <c r="AA12" s="297">
        <v>6268</v>
      </c>
      <c r="AB12" s="297">
        <v>776</v>
      </c>
      <c r="AC12" s="297">
        <v>7474</v>
      </c>
      <c r="AD12" s="297">
        <v>-11154</v>
      </c>
      <c r="AE12" s="297">
        <v>8033</v>
      </c>
      <c r="AF12" s="297">
        <v>-415</v>
      </c>
      <c r="AG12" s="297">
        <v>7195</v>
      </c>
      <c r="AH12" s="297">
        <v>8126</v>
      </c>
      <c r="AI12" s="297">
        <v>17246</v>
      </c>
      <c r="AJ12" s="297">
        <v>10153</v>
      </c>
      <c r="AK12" s="297">
        <v>11681</v>
      </c>
      <c r="AL12" s="297">
        <v>5248</v>
      </c>
      <c r="AM12" s="297">
        <v>7461</v>
      </c>
      <c r="AN12" s="297">
        <v>-1837</v>
      </c>
      <c r="AO12" s="297">
        <v>5709</v>
      </c>
      <c r="AP12" s="297">
        <v>-37297</v>
      </c>
      <c r="AQ12" s="297">
        <v>-8938</v>
      </c>
      <c r="AR12" s="297">
        <v>-17104</v>
      </c>
      <c r="AS12" s="297">
        <v>-1172</v>
      </c>
      <c r="AT12" s="297">
        <v>-8215</v>
      </c>
      <c r="AU12" s="297">
        <v>6527</v>
      </c>
      <c r="AV12" s="297">
        <v>-16593</v>
      </c>
      <c r="AW12" s="297">
        <v>4572</v>
      </c>
      <c r="AX12" s="297">
        <v>-5819</v>
      </c>
      <c r="AY12" s="297">
        <v>6283</v>
      </c>
      <c r="BA12" s="205"/>
      <c r="BB12" s="205"/>
    </row>
    <row r="13" spans="1:54">
      <c r="B13" s="288">
        <v>10055</v>
      </c>
      <c r="C13" s="288" t="s">
        <v>16</v>
      </c>
      <c r="D13" s="297">
        <v>-30</v>
      </c>
      <c r="E13" s="297">
        <v>-1</v>
      </c>
      <c r="F13" s="297">
        <v>-26</v>
      </c>
      <c r="G13" s="297">
        <v>17</v>
      </c>
      <c r="H13" s="297">
        <v>42</v>
      </c>
      <c r="I13" s="297">
        <v>79</v>
      </c>
      <c r="J13" s="297">
        <v>77</v>
      </c>
      <c r="K13" s="297">
        <v>88</v>
      </c>
      <c r="L13" s="297">
        <v>71</v>
      </c>
      <c r="M13" s="297">
        <v>71</v>
      </c>
      <c r="N13" s="297">
        <v>3</v>
      </c>
      <c r="O13" s="297">
        <v>33</v>
      </c>
      <c r="P13" s="297">
        <v>-15</v>
      </c>
      <c r="Q13" s="297">
        <v>12</v>
      </c>
      <c r="R13" s="297">
        <v>-119</v>
      </c>
      <c r="S13" s="297">
        <v>-43</v>
      </c>
      <c r="T13" s="297">
        <v>-69</v>
      </c>
      <c r="U13" s="297">
        <v>-31</v>
      </c>
      <c r="V13" s="297">
        <v>-30</v>
      </c>
      <c r="W13" s="297">
        <v>-8</v>
      </c>
      <c r="X13" s="297">
        <v>-63</v>
      </c>
      <c r="Y13" s="297">
        <v>-20</v>
      </c>
      <c r="Z13" s="297">
        <v>-52</v>
      </c>
      <c r="AA13" s="297">
        <v>-20</v>
      </c>
      <c r="AB13" s="297">
        <v>-30</v>
      </c>
      <c r="AC13" s="297">
        <v>-2</v>
      </c>
      <c r="AD13" s="297">
        <v>-34</v>
      </c>
      <c r="AE13" s="297">
        <v>24</v>
      </c>
      <c r="AF13" s="297">
        <v>52</v>
      </c>
      <c r="AG13" s="297">
        <v>69</v>
      </c>
      <c r="AH13" s="297">
        <v>67</v>
      </c>
      <c r="AI13" s="297">
        <v>98</v>
      </c>
      <c r="AJ13" s="297">
        <v>62</v>
      </c>
      <c r="AK13" s="297">
        <v>67</v>
      </c>
      <c r="AL13" s="297">
        <v>9</v>
      </c>
      <c r="AM13" s="297">
        <v>26</v>
      </c>
      <c r="AN13" s="297">
        <v>-15</v>
      </c>
      <c r="AO13" s="297">
        <v>12</v>
      </c>
      <c r="AP13" s="297">
        <v>-120</v>
      </c>
      <c r="AQ13" s="297">
        <v>-44</v>
      </c>
      <c r="AR13" s="297">
        <v>-69</v>
      </c>
      <c r="AS13" s="297">
        <v>-32</v>
      </c>
      <c r="AT13" s="297">
        <v>-30</v>
      </c>
      <c r="AU13" s="297">
        <v>-8</v>
      </c>
      <c r="AV13" s="297">
        <v>-64</v>
      </c>
      <c r="AW13" s="297">
        <v>-20</v>
      </c>
      <c r="AX13" s="297">
        <v>-52</v>
      </c>
      <c r="AY13" s="297">
        <v>-21</v>
      </c>
      <c r="BA13" s="205"/>
      <c r="BB13" s="205"/>
    </row>
    <row r="14" spans="1:54">
      <c r="B14" s="288">
        <v>10057</v>
      </c>
      <c r="C14" s="288" t="s">
        <v>17</v>
      </c>
      <c r="D14" s="297">
        <v>-394</v>
      </c>
      <c r="E14" s="297">
        <v>-367</v>
      </c>
      <c r="F14" s="297">
        <v>-834</v>
      </c>
      <c r="G14" s="297">
        <v>-290</v>
      </c>
      <c r="H14" s="297">
        <v>58</v>
      </c>
      <c r="I14" s="297">
        <v>672</v>
      </c>
      <c r="J14" s="297">
        <v>2300</v>
      </c>
      <c r="K14" s="297">
        <v>1237</v>
      </c>
      <c r="L14" s="297">
        <v>2295</v>
      </c>
      <c r="M14" s="297">
        <v>1147</v>
      </c>
      <c r="N14" s="297">
        <v>195</v>
      </c>
      <c r="O14" s="297">
        <v>309</v>
      </c>
      <c r="P14" s="297">
        <v>-1</v>
      </c>
      <c r="Q14" s="297">
        <v>-138</v>
      </c>
      <c r="R14" s="297">
        <v>-5097</v>
      </c>
      <c r="S14" s="297">
        <v>-2404</v>
      </c>
      <c r="T14" s="297">
        <v>-2391</v>
      </c>
      <c r="U14" s="297">
        <v>-1353</v>
      </c>
      <c r="V14" s="297">
        <v>788</v>
      </c>
      <c r="W14" s="297">
        <v>493</v>
      </c>
      <c r="X14" s="297">
        <v>-573</v>
      </c>
      <c r="Y14" s="297">
        <v>234</v>
      </c>
      <c r="Z14" s="297">
        <v>-1284</v>
      </c>
      <c r="AA14" s="297">
        <v>-726</v>
      </c>
      <c r="AB14" s="297">
        <v>-394</v>
      </c>
      <c r="AC14" s="297">
        <v>-367</v>
      </c>
      <c r="AD14" s="297">
        <v>-1231</v>
      </c>
      <c r="AE14" s="297">
        <v>107</v>
      </c>
      <c r="AF14" s="297">
        <v>481</v>
      </c>
      <c r="AG14" s="297">
        <v>248</v>
      </c>
      <c r="AH14" s="297">
        <v>1868</v>
      </c>
      <c r="AI14" s="297">
        <v>1668</v>
      </c>
      <c r="AJ14" s="297">
        <v>1908</v>
      </c>
      <c r="AK14" s="297">
        <v>1013</v>
      </c>
      <c r="AL14" s="297">
        <v>545</v>
      </c>
      <c r="AM14" s="297">
        <v>-41</v>
      </c>
      <c r="AN14" s="297">
        <v>-1</v>
      </c>
      <c r="AO14" s="297">
        <v>-138</v>
      </c>
      <c r="AP14" s="297">
        <v>-5097</v>
      </c>
      <c r="AQ14" s="297">
        <v>-2404</v>
      </c>
      <c r="AR14" s="297">
        <v>-2391</v>
      </c>
      <c r="AS14" s="297">
        <v>-1353</v>
      </c>
      <c r="AT14" s="297">
        <v>788</v>
      </c>
      <c r="AU14" s="297">
        <v>493</v>
      </c>
      <c r="AV14" s="297">
        <v>-573</v>
      </c>
      <c r="AW14" s="297">
        <v>234</v>
      </c>
      <c r="AX14" s="297">
        <v>-1284</v>
      </c>
      <c r="AY14" s="297">
        <v>-726</v>
      </c>
      <c r="BA14" s="205"/>
      <c r="BB14" s="205"/>
    </row>
    <row r="15" spans="1:54">
      <c r="B15" s="288">
        <v>10059</v>
      </c>
      <c r="C15" s="288" t="s">
        <v>18</v>
      </c>
      <c r="D15" s="297">
        <v>55</v>
      </c>
      <c r="E15" s="297">
        <v>35</v>
      </c>
      <c r="F15" s="297">
        <v>-23</v>
      </c>
      <c r="G15" s="297">
        <v>206</v>
      </c>
      <c r="H15" s="297">
        <v>232</v>
      </c>
      <c r="I15" s="297">
        <v>544</v>
      </c>
      <c r="J15" s="297">
        <v>1246</v>
      </c>
      <c r="K15" s="297">
        <v>900</v>
      </c>
      <c r="L15" s="297">
        <v>1212</v>
      </c>
      <c r="M15" s="297">
        <v>755</v>
      </c>
      <c r="N15" s="297">
        <v>486</v>
      </c>
      <c r="O15" s="297">
        <v>524</v>
      </c>
      <c r="P15" s="297">
        <v>372</v>
      </c>
      <c r="Q15" s="297">
        <v>354</v>
      </c>
      <c r="R15" s="297">
        <v>-1811</v>
      </c>
      <c r="S15" s="297">
        <v>-682</v>
      </c>
      <c r="T15" s="297">
        <v>-836</v>
      </c>
      <c r="U15" s="297">
        <v>-334</v>
      </c>
      <c r="V15" s="297">
        <v>-463</v>
      </c>
      <c r="W15" s="297">
        <v>-27</v>
      </c>
      <c r="X15" s="297">
        <v>-871</v>
      </c>
      <c r="Y15" s="297">
        <v>-125</v>
      </c>
      <c r="Z15" s="297">
        <v>-328</v>
      </c>
      <c r="AA15" s="297">
        <v>-66</v>
      </c>
      <c r="AB15" s="297">
        <v>56</v>
      </c>
      <c r="AC15" s="297">
        <v>35</v>
      </c>
      <c r="AD15" s="297">
        <v>-186</v>
      </c>
      <c r="AE15" s="297">
        <v>369</v>
      </c>
      <c r="AF15" s="297">
        <v>403</v>
      </c>
      <c r="AG15" s="297">
        <v>376</v>
      </c>
      <c r="AH15" s="297">
        <v>1067</v>
      </c>
      <c r="AI15" s="297">
        <v>1084</v>
      </c>
      <c r="AJ15" s="297">
        <v>1138</v>
      </c>
      <c r="AK15" s="297">
        <v>748</v>
      </c>
      <c r="AL15" s="297">
        <v>638</v>
      </c>
      <c r="AM15" s="297">
        <v>375</v>
      </c>
      <c r="AN15" s="297">
        <v>373</v>
      </c>
      <c r="AO15" s="297">
        <v>355</v>
      </c>
      <c r="AP15" s="297">
        <v>-1816</v>
      </c>
      <c r="AQ15" s="297">
        <v>-683</v>
      </c>
      <c r="AR15" s="297">
        <v>-837</v>
      </c>
      <c r="AS15" s="297">
        <v>-335</v>
      </c>
      <c r="AT15" s="297">
        <v>-464</v>
      </c>
      <c r="AU15" s="297">
        <v>-27</v>
      </c>
      <c r="AV15" s="297">
        <v>-873</v>
      </c>
      <c r="AW15" s="297">
        <v>-125</v>
      </c>
      <c r="AX15" s="297">
        <v>-328</v>
      </c>
      <c r="AY15" s="297">
        <v>-66</v>
      </c>
      <c r="BA15" s="205"/>
      <c r="BB15" s="205"/>
    </row>
    <row r="16" spans="1:54">
      <c r="B16" s="288">
        <v>10061</v>
      </c>
      <c r="C16" s="288" t="s">
        <v>19</v>
      </c>
      <c r="D16" s="297">
        <v>478</v>
      </c>
      <c r="E16" s="297">
        <v>441</v>
      </c>
      <c r="F16" s="297">
        <v>41</v>
      </c>
      <c r="G16" s="297">
        <v>397</v>
      </c>
      <c r="H16" s="297">
        <v>361</v>
      </c>
      <c r="I16" s="297">
        <v>746</v>
      </c>
      <c r="J16" s="297">
        <v>1354</v>
      </c>
      <c r="K16" s="297">
        <v>1043</v>
      </c>
      <c r="L16" s="297">
        <v>1523</v>
      </c>
      <c r="M16" s="297">
        <v>1089</v>
      </c>
      <c r="N16" s="297">
        <v>678</v>
      </c>
      <c r="O16" s="297">
        <v>776</v>
      </c>
      <c r="P16" s="297">
        <v>440</v>
      </c>
      <c r="Q16" s="297">
        <v>490</v>
      </c>
      <c r="R16" s="297">
        <v>-1690</v>
      </c>
      <c r="S16" s="297">
        <v>-427</v>
      </c>
      <c r="T16" s="297">
        <v>-644</v>
      </c>
      <c r="U16" s="297">
        <v>-57</v>
      </c>
      <c r="V16" s="297">
        <v>-33</v>
      </c>
      <c r="W16" s="297">
        <v>462</v>
      </c>
      <c r="X16" s="297">
        <v>-485</v>
      </c>
      <c r="Y16" s="297">
        <v>374</v>
      </c>
      <c r="Z16" s="297">
        <v>-10</v>
      </c>
      <c r="AA16" s="297">
        <v>299</v>
      </c>
      <c r="AB16" s="297">
        <v>478</v>
      </c>
      <c r="AC16" s="297">
        <v>441</v>
      </c>
      <c r="AD16" s="297">
        <v>-136</v>
      </c>
      <c r="AE16" s="297">
        <v>574</v>
      </c>
      <c r="AF16" s="297">
        <v>546</v>
      </c>
      <c r="AG16" s="297">
        <v>561</v>
      </c>
      <c r="AH16" s="297">
        <v>1163</v>
      </c>
      <c r="AI16" s="297">
        <v>1234</v>
      </c>
      <c r="AJ16" s="297">
        <v>1366</v>
      </c>
      <c r="AK16" s="297">
        <v>1032</v>
      </c>
      <c r="AL16" s="297">
        <v>843</v>
      </c>
      <c r="AM16" s="297">
        <v>611</v>
      </c>
      <c r="AN16" s="297">
        <v>440</v>
      </c>
      <c r="AO16" s="297">
        <v>490</v>
      </c>
      <c r="AP16" s="297">
        <v>-1690</v>
      </c>
      <c r="AQ16" s="297">
        <v>-427</v>
      </c>
      <c r="AR16" s="297">
        <v>-644</v>
      </c>
      <c r="AS16" s="297">
        <v>-57</v>
      </c>
      <c r="AT16" s="297">
        <v>-33</v>
      </c>
      <c r="AU16" s="297">
        <v>462</v>
      </c>
      <c r="AV16" s="297">
        <v>-485</v>
      </c>
      <c r="AW16" s="297">
        <v>374</v>
      </c>
      <c r="AX16" s="297">
        <v>-10</v>
      </c>
      <c r="AY16" s="297">
        <v>299</v>
      </c>
      <c r="BA16" s="205"/>
      <c r="BB16" s="205"/>
    </row>
    <row r="17" spans="2:54">
      <c r="B17" s="288">
        <v>10062</v>
      </c>
      <c r="C17" s="288" t="s">
        <v>20</v>
      </c>
      <c r="D17" s="297">
        <v>742</v>
      </c>
      <c r="E17" s="297">
        <v>77</v>
      </c>
      <c r="F17" s="297">
        <v>699</v>
      </c>
      <c r="G17" s="297">
        <v>257</v>
      </c>
      <c r="H17" s="297">
        <v>1701</v>
      </c>
      <c r="I17" s="297">
        <v>864</v>
      </c>
      <c r="J17" s="297">
        <v>2006</v>
      </c>
      <c r="K17" s="297">
        <v>1113</v>
      </c>
      <c r="L17" s="297">
        <v>2003</v>
      </c>
      <c r="M17" s="297">
        <v>991</v>
      </c>
      <c r="N17" s="297">
        <v>1144</v>
      </c>
      <c r="O17" s="297">
        <v>329</v>
      </c>
      <c r="P17" s="297">
        <v>132</v>
      </c>
      <c r="Q17" s="297">
        <v>-290</v>
      </c>
      <c r="R17" s="297">
        <v>-1820</v>
      </c>
      <c r="S17" s="297">
        <v>-1708</v>
      </c>
      <c r="T17" s="297">
        <v>-1217</v>
      </c>
      <c r="U17" s="297">
        <v>-1220</v>
      </c>
      <c r="V17" s="297">
        <v>-193</v>
      </c>
      <c r="W17" s="297">
        <v>-567</v>
      </c>
      <c r="X17" s="297">
        <v>407</v>
      </c>
      <c r="Y17" s="297">
        <v>-94</v>
      </c>
      <c r="Z17" s="297">
        <v>538</v>
      </c>
      <c r="AA17" s="297">
        <v>-23</v>
      </c>
      <c r="AB17" s="297">
        <v>764</v>
      </c>
      <c r="AC17" s="297">
        <v>112</v>
      </c>
      <c r="AD17" s="297">
        <v>751</v>
      </c>
      <c r="AE17" s="297">
        <v>252</v>
      </c>
      <c r="AF17" s="297">
        <v>1710</v>
      </c>
      <c r="AG17" s="297">
        <v>882</v>
      </c>
      <c r="AH17" s="297">
        <v>2033</v>
      </c>
      <c r="AI17" s="297">
        <v>1116</v>
      </c>
      <c r="AJ17" s="297">
        <v>1854</v>
      </c>
      <c r="AK17" s="297">
        <v>902</v>
      </c>
      <c r="AL17" s="297">
        <v>1168</v>
      </c>
      <c r="AM17" s="297">
        <v>351</v>
      </c>
      <c r="AN17" s="297">
        <v>150</v>
      </c>
      <c r="AO17" s="297">
        <v>-255</v>
      </c>
      <c r="AP17" s="297">
        <v>-1781</v>
      </c>
      <c r="AQ17" s="297">
        <v>-1690</v>
      </c>
      <c r="AR17" s="297">
        <v>-1156</v>
      </c>
      <c r="AS17" s="297">
        <v>-1221</v>
      </c>
      <c r="AT17" s="297">
        <v>-169</v>
      </c>
      <c r="AU17" s="297">
        <v>-531</v>
      </c>
      <c r="AV17" s="297">
        <v>451</v>
      </c>
      <c r="AW17" s="297">
        <v>-77</v>
      </c>
      <c r="AX17" s="297">
        <v>580</v>
      </c>
      <c r="AY17" s="297">
        <v>-5</v>
      </c>
      <c r="BA17" s="205"/>
      <c r="BB17" s="205"/>
    </row>
    <row r="18" spans="2:54">
      <c r="B18" s="288">
        <v>10064</v>
      </c>
      <c r="C18" s="288" t="s">
        <v>21</v>
      </c>
      <c r="D18" s="297">
        <v>-441</v>
      </c>
      <c r="E18" s="297">
        <v>-164</v>
      </c>
      <c r="F18" s="297">
        <v>-1117</v>
      </c>
      <c r="G18" s="297">
        <v>-287</v>
      </c>
      <c r="H18" s="297">
        <v>188</v>
      </c>
      <c r="I18" s="297">
        <v>892</v>
      </c>
      <c r="J18" s="297">
        <v>1653</v>
      </c>
      <c r="K18" s="297">
        <v>1305</v>
      </c>
      <c r="L18" s="297">
        <v>1802</v>
      </c>
      <c r="M18" s="297">
        <v>1233</v>
      </c>
      <c r="N18" s="297">
        <v>74</v>
      </c>
      <c r="O18" s="297">
        <v>403</v>
      </c>
      <c r="P18" s="297">
        <v>-181</v>
      </c>
      <c r="Q18" s="297">
        <v>-10</v>
      </c>
      <c r="R18" s="297">
        <v>-3243</v>
      </c>
      <c r="S18" s="297">
        <v>-1427</v>
      </c>
      <c r="T18" s="297">
        <v>-1231</v>
      </c>
      <c r="U18" s="297">
        <v>-640</v>
      </c>
      <c r="V18" s="297">
        <v>600</v>
      </c>
      <c r="W18" s="297">
        <v>530</v>
      </c>
      <c r="X18" s="297">
        <v>-448</v>
      </c>
      <c r="Y18" s="297">
        <v>218</v>
      </c>
      <c r="Z18" s="297">
        <v>-524</v>
      </c>
      <c r="AA18" s="297">
        <v>-206</v>
      </c>
      <c r="AB18" s="297">
        <v>-442</v>
      </c>
      <c r="AC18" s="297">
        <v>-167</v>
      </c>
      <c r="AD18" s="297">
        <v>-1347</v>
      </c>
      <c r="AE18" s="297">
        <v>-57</v>
      </c>
      <c r="AF18" s="297">
        <v>467</v>
      </c>
      <c r="AG18" s="297">
        <v>617</v>
      </c>
      <c r="AH18" s="297">
        <v>1377</v>
      </c>
      <c r="AI18" s="297">
        <v>1587</v>
      </c>
      <c r="AJ18" s="297">
        <v>1532</v>
      </c>
      <c r="AK18" s="297">
        <v>1124</v>
      </c>
      <c r="AL18" s="297">
        <v>295</v>
      </c>
      <c r="AM18" s="297">
        <v>182</v>
      </c>
      <c r="AN18" s="297">
        <v>-182</v>
      </c>
      <c r="AO18" s="297">
        <v>-11</v>
      </c>
      <c r="AP18" s="297">
        <v>-3245</v>
      </c>
      <c r="AQ18" s="297">
        <v>-1429</v>
      </c>
      <c r="AR18" s="297">
        <v>-1230</v>
      </c>
      <c r="AS18" s="297">
        <v>-643</v>
      </c>
      <c r="AT18" s="297">
        <v>602</v>
      </c>
      <c r="AU18" s="297">
        <v>528</v>
      </c>
      <c r="AV18" s="297">
        <v>-447</v>
      </c>
      <c r="AW18" s="297">
        <v>216</v>
      </c>
      <c r="AX18" s="297">
        <v>-524</v>
      </c>
      <c r="AY18" s="297">
        <v>-209</v>
      </c>
      <c r="BA18" s="205"/>
      <c r="BB18" s="205"/>
    </row>
    <row r="19" spans="2:54">
      <c r="B19" s="288">
        <v>10065</v>
      </c>
      <c r="C19" s="288" t="s">
        <v>22</v>
      </c>
      <c r="D19" s="297">
        <v>196</v>
      </c>
      <c r="E19" s="297">
        <v>178</v>
      </c>
      <c r="F19" s="297">
        <v>169</v>
      </c>
      <c r="G19" s="297">
        <v>229</v>
      </c>
      <c r="H19" s="297">
        <v>536</v>
      </c>
      <c r="I19" s="297">
        <v>521</v>
      </c>
      <c r="J19" s="297">
        <v>659</v>
      </c>
      <c r="K19" s="297">
        <v>527</v>
      </c>
      <c r="L19" s="297">
        <v>706</v>
      </c>
      <c r="M19" s="297">
        <v>499</v>
      </c>
      <c r="N19" s="297">
        <v>381</v>
      </c>
      <c r="O19" s="297">
        <v>360</v>
      </c>
      <c r="P19" s="297">
        <v>344</v>
      </c>
      <c r="Q19" s="297">
        <v>294</v>
      </c>
      <c r="R19" s="297">
        <v>-280</v>
      </c>
      <c r="S19" s="297">
        <v>11</v>
      </c>
      <c r="T19" s="297">
        <v>32</v>
      </c>
      <c r="U19" s="297">
        <v>125</v>
      </c>
      <c r="V19" s="297">
        <v>221</v>
      </c>
      <c r="W19" s="297">
        <v>256</v>
      </c>
      <c r="X19" s="297">
        <v>98</v>
      </c>
      <c r="Y19" s="297">
        <v>227</v>
      </c>
      <c r="Z19" s="297">
        <v>166</v>
      </c>
      <c r="AA19" s="297">
        <v>196</v>
      </c>
      <c r="AB19" s="297">
        <v>260</v>
      </c>
      <c r="AC19" s="297">
        <v>229</v>
      </c>
      <c r="AD19" s="297">
        <v>175</v>
      </c>
      <c r="AE19" s="297">
        <v>321</v>
      </c>
      <c r="AF19" s="297">
        <v>644</v>
      </c>
      <c r="AG19" s="297">
        <v>499</v>
      </c>
      <c r="AH19" s="297">
        <v>642</v>
      </c>
      <c r="AI19" s="297">
        <v>616</v>
      </c>
      <c r="AJ19" s="297">
        <v>679</v>
      </c>
      <c r="AK19" s="297">
        <v>499</v>
      </c>
      <c r="AL19" s="297">
        <v>450</v>
      </c>
      <c r="AM19" s="297">
        <v>333</v>
      </c>
      <c r="AN19" s="297">
        <v>359</v>
      </c>
      <c r="AO19" s="297">
        <v>306</v>
      </c>
      <c r="AP19" s="297">
        <v>-272</v>
      </c>
      <c r="AQ19" s="297">
        <v>18</v>
      </c>
      <c r="AR19" s="297">
        <v>32</v>
      </c>
      <c r="AS19" s="297">
        <v>125</v>
      </c>
      <c r="AT19" s="297">
        <v>221</v>
      </c>
      <c r="AU19" s="297">
        <v>256</v>
      </c>
      <c r="AV19" s="297">
        <v>98</v>
      </c>
      <c r="AW19" s="297">
        <v>227</v>
      </c>
      <c r="AX19" s="297">
        <v>166</v>
      </c>
      <c r="AY19" s="297">
        <v>196</v>
      </c>
      <c r="BA19" s="205"/>
      <c r="BB19" s="205"/>
    </row>
    <row r="20" spans="2:54">
      <c r="B20" s="288">
        <v>10066</v>
      </c>
      <c r="C20" s="288" t="s">
        <v>23</v>
      </c>
      <c r="D20" s="297">
        <v>-24</v>
      </c>
      <c r="E20" s="297">
        <v>-883</v>
      </c>
      <c r="F20" s="297">
        <v>1247</v>
      </c>
      <c r="G20" s="297">
        <v>755</v>
      </c>
      <c r="H20" s="297">
        <v>4144</v>
      </c>
      <c r="I20" s="297">
        <v>3403</v>
      </c>
      <c r="J20" s="297">
        <v>6596</v>
      </c>
      <c r="K20" s="297">
        <v>3848</v>
      </c>
      <c r="L20" s="297">
        <v>7177</v>
      </c>
      <c r="M20" s="297">
        <v>4011</v>
      </c>
      <c r="N20" s="297">
        <v>3745</v>
      </c>
      <c r="O20" s="297">
        <v>2223</v>
      </c>
      <c r="P20" s="297">
        <v>1948</v>
      </c>
      <c r="Q20" s="297">
        <v>696</v>
      </c>
      <c r="R20" s="297">
        <v>-4125</v>
      </c>
      <c r="S20" s="297">
        <v>-2455</v>
      </c>
      <c r="T20" s="297">
        <v>-1659</v>
      </c>
      <c r="U20" s="297">
        <v>-1528</v>
      </c>
      <c r="V20" s="297">
        <v>-743</v>
      </c>
      <c r="W20" s="297">
        <v>-723</v>
      </c>
      <c r="X20" s="297">
        <v>-2238</v>
      </c>
      <c r="Y20" s="297">
        <v>-1399</v>
      </c>
      <c r="Z20" s="297">
        <v>-433</v>
      </c>
      <c r="AA20" s="297">
        <v>-830</v>
      </c>
      <c r="AB20" s="297">
        <v>1220</v>
      </c>
      <c r="AC20" s="297">
        <v>-26</v>
      </c>
      <c r="AD20" s="297">
        <v>1950</v>
      </c>
      <c r="AE20" s="297">
        <v>2033</v>
      </c>
      <c r="AF20" s="297">
        <v>5781</v>
      </c>
      <c r="AG20" s="297">
        <v>3733</v>
      </c>
      <c r="AH20" s="297">
        <v>7458</v>
      </c>
      <c r="AI20" s="297">
        <v>5388</v>
      </c>
      <c r="AJ20" s="297">
        <v>7630</v>
      </c>
      <c r="AK20" s="297">
        <v>4488</v>
      </c>
      <c r="AL20" s="297">
        <v>5437</v>
      </c>
      <c r="AM20" s="297">
        <v>2630</v>
      </c>
      <c r="AN20" s="297">
        <v>3076</v>
      </c>
      <c r="AO20" s="297">
        <v>1529</v>
      </c>
      <c r="AP20" s="297">
        <v>-2962</v>
      </c>
      <c r="AQ20" s="297">
        <v>-1638</v>
      </c>
      <c r="AR20" s="297">
        <v>-556</v>
      </c>
      <c r="AS20" s="297">
        <v>-802</v>
      </c>
      <c r="AT20" s="297">
        <v>278</v>
      </c>
      <c r="AU20" s="297">
        <v>60</v>
      </c>
      <c r="AV20" s="297">
        <v>-1183</v>
      </c>
      <c r="AW20" s="297">
        <v>-718</v>
      </c>
      <c r="AX20" s="297">
        <v>503</v>
      </c>
      <c r="AY20" s="297">
        <v>-91</v>
      </c>
      <c r="BA20" s="205"/>
      <c r="BB20" s="205"/>
    </row>
    <row r="21" spans="2:54">
      <c r="B21" s="288">
        <v>10067</v>
      </c>
      <c r="C21" s="288" t="s">
        <v>24</v>
      </c>
      <c r="D21" s="297">
        <v>-572</v>
      </c>
      <c r="E21" s="297">
        <v>-345</v>
      </c>
      <c r="F21" s="297">
        <v>-1518</v>
      </c>
      <c r="G21" s="297">
        <v>-239</v>
      </c>
      <c r="H21" s="297">
        <v>-125</v>
      </c>
      <c r="I21" s="297">
        <v>562</v>
      </c>
      <c r="J21" s="297">
        <v>1759</v>
      </c>
      <c r="K21" s="297">
        <v>1481</v>
      </c>
      <c r="L21" s="297">
        <v>1708</v>
      </c>
      <c r="M21" s="297">
        <v>1326</v>
      </c>
      <c r="N21" s="297">
        <v>87</v>
      </c>
      <c r="O21" s="297">
        <v>400</v>
      </c>
      <c r="P21" s="297">
        <v>-494</v>
      </c>
      <c r="Q21" s="297">
        <v>-140</v>
      </c>
      <c r="R21" s="297">
        <v>-3686</v>
      </c>
      <c r="S21" s="297">
        <v>-1979</v>
      </c>
      <c r="T21" s="297">
        <v>-1907</v>
      </c>
      <c r="U21" s="297">
        <v>-783</v>
      </c>
      <c r="V21" s="297">
        <v>-615</v>
      </c>
      <c r="W21" s="297">
        <v>1</v>
      </c>
      <c r="X21" s="297">
        <v>-1491</v>
      </c>
      <c r="Y21" s="297">
        <v>-346</v>
      </c>
      <c r="Z21" s="297">
        <v>-1284</v>
      </c>
      <c r="AA21" s="297">
        <v>-510</v>
      </c>
      <c r="AB21" s="297">
        <v>-637</v>
      </c>
      <c r="AC21" s="297">
        <v>-349</v>
      </c>
      <c r="AD21" s="297">
        <v>-1541</v>
      </c>
      <c r="AE21" s="297">
        <v>-264</v>
      </c>
      <c r="AF21" s="297">
        <v>-137</v>
      </c>
      <c r="AG21" s="297">
        <v>539</v>
      </c>
      <c r="AH21" s="297">
        <v>1748</v>
      </c>
      <c r="AI21" s="297">
        <v>1464</v>
      </c>
      <c r="AJ21" s="297">
        <v>1694</v>
      </c>
      <c r="AK21" s="297">
        <v>1308</v>
      </c>
      <c r="AL21" s="297">
        <v>92</v>
      </c>
      <c r="AM21" s="297">
        <v>340</v>
      </c>
      <c r="AN21" s="297">
        <v>-557</v>
      </c>
      <c r="AO21" s="297">
        <v>-141</v>
      </c>
      <c r="AP21" s="297">
        <v>-3719</v>
      </c>
      <c r="AQ21" s="297">
        <v>-2016</v>
      </c>
      <c r="AR21" s="297">
        <v>-1904</v>
      </c>
      <c r="AS21" s="297">
        <v>-849</v>
      </c>
      <c r="AT21" s="297">
        <v>-678</v>
      </c>
      <c r="AU21" s="297">
        <v>-4</v>
      </c>
      <c r="AV21" s="297">
        <v>-1523</v>
      </c>
      <c r="AW21" s="297">
        <v>-378</v>
      </c>
      <c r="AX21" s="297">
        <v>-1314</v>
      </c>
      <c r="AY21" s="297">
        <v>-549</v>
      </c>
      <c r="BA21" s="205"/>
      <c r="BB21" s="205"/>
    </row>
    <row r="22" spans="2:54">
      <c r="B22" s="288">
        <v>10068</v>
      </c>
      <c r="C22" s="288" t="s">
        <v>25</v>
      </c>
      <c r="D22" s="297">
        <v>-85</v>
      </c>
      <c r="E22" s="297">
        <v>11</v>
      </c>
      <c r="F22" s="297">
        <v>-92</v>
      </c>
      <c r="G22" s="297">
        <v>59</v>
      </c>
      <c r="H22" s="297">
        <v>192</v>
      </c>
      <c r="I22" s="297">
        <v>233</v>
      </c>
      <c r="J22" s="297">
        <v>326</v>
      </c>
      <c r="K22" s="297">
        <v>302</v>
      </c>
      <c r="L22" s="297">
        <v>351</v>
      </c>
      <c r="M22" s="297">
        <v>255</v>
      </c>
      <c r="N22" s="297">
        <v>101</v>
      </c>
      <c r="O22" s="297">
        <v>98</v>
      </c>
      <c r="P22" s="297">
        <v>-68</v>
      </c>
      <c r="Q22" s="297">
        <v>23</v>
      </c>
      <c r="R22" s="297">
        <v>-668</v>
      </c>
      <c r="S22" s="297">
        <v>-320</v>
      </c>
      <c r="T22" s="297">
        <v>-350</v>
      </c>
      <c r="U22" s="297">
        <v>-145</v>
      </c>
      <c r="V22" s="297">
        <v>-95</v>
      </c>
      <c r="W22" s="297">
        <v>51</v>
      </c>
      <c r="X22" s="297">
        <v>-248</v>
      </c>
      <c r="Y22" s="297">
        <v>-54</v>
      </c>
      <c r="Z22" s="297">
        <v>-220</v>
      </c>
      <c r="AA22" s="297">
        <v>-70</v>
      </c>
      <c r="AB22" s="297">
        <v>-85</v>
      </c>
      <c r="AC22" s="297">
        <v>11</v>
      </c>
      <c r="AD22" s="297">
        <v>-92</v>
      </c>
      <c r="AE22" s="297">
        <v>59</v>
      </c>
      <c r="AF22" s="297">
        <v>192</v>
      </c>
      <c r="AG22" s="297">
        <v>234</v>
      </c>
      <c r="AH22" s="297">
        <v>327</v>
      </c>
      <c r="AI22" s="297">
        <v>303</v>
      </c>
      <c r="AJ22" s="297">
        <v>303</v>
      </c>
      <c r="AK22" s="297">
        <v>226</v>
      </c>
      <c r="AL22" s="297">
        <v>100</v>
      </c>
      <c r="AM22" s="297">
        <v>98</v>
      </c>
      <c r="AN22" s="297">
        <v>-69</v>
      </c>
      <c r="AO22" s="297">
        <v>23</v>
      </c>
      <c r="AP22" s="297">
        <v>-670</v>
      </c>
      <c r="AQ22" s="297">
        <v>-321</v>
      </c>
      <c r="AR22" s="297">
        <v>-351</v>
      </c>
      <c r="AS22" s="297">
        <v>-146</v>
      </c>
      <c r="AT22" s="297">
        <v>-96</v>
      </c>
      <c r="AU22" s="297">
        <v>51</v>
      </c>
      <c r="AV22" s="297">
        <v>-249</v>
      </c>
      <c r="AW22" s="297">
        <v>-54</v>
      </c>
      <c r="AX22" s="297">
        <v>-221</v>
      </c>
      <c r="AY22" s="297">
        <v>-71</v>
      </c>
      <c r="BA22" s="205"/>
      <c r="BB22" s="205"/>
    </row>
    <row r="23" spans="2:54">
      <c r="B23" s="288">
        <v>10070</v>
      </c>
      <c r="C23" s="288" t="s">
        <v>26</v>
      </c>
      <c r="D23" s="297">
        <v>-2</v>
      </c>
      <c r="E23" s="297">
        <v>3</v>
      </c>
      <c r="F23" s="297">
        <v>-11</v>
      </c>
      <c r="G23" s="297">
        <v>10</v>
      </c>
      <c r="H23" s="297">
        <v>26</v>
      </c>
      <c r="I23" s="297">
        <v>49</v>
      </c>
      <c r="J23" s="297">
        <v>69</v>
      </c>
      <c r="K23" s="297">
        <v>58</v>
      </c>
      <c r="L23" s="297">
        <v>64</v>
      </c>
      <c r="M23" s="297">
        <v>50</v>
      </c>
      <c r="N23" s="297">
        <v>13</v>
      </c>
      <c r="O23" s="297">
        <v>26</v>
      </c>
      <c r="P23" s="297">
        <v>8</v>
      </c>
      <c r="Q23" s="297">
        <v>12</v>
      </c>
      <c r="R23" s="297">
        <v>-76</v>
      </c>
      <c r="S23" s="297">
        <v>-25</v>
      </c>
      <c r="T23" s="297">
        <v>-36</v>
      </c>
      <c r="U23" s="297">
        <v>-8</v>
      </c>
      <c r="V23" s="297">
        <v>-1</v>
      </c>
      <c r="W23" s="297">
        <v>13</v>
      </c>
      <c r="X23" s="297">
        <v>-23</v>
      </c>
      <c r="Y23" s="297">
        <v>6</v>
      </c>
      <c r="Z23" s="297">
        <v>-10</v>
      </c>
      <c r="AA23" s="297">
        <v>0</v>
      </c>
      <c r="AB23" s="297">
        <v>-1</v>
      </c>
      <c r="AC23" s="297">
        <v>3</v>
      </c>
      <c r="AD23" s="297">
        <v>-17</v>
      </c>
      <c r="AE23" s="297">
        <v>16</v>
      </c>
      <c r="AF23" s="297">
        <v>35</v>
      </c>
      <c r="AG23" s="297">
        <v>41</v>
      </c>
      <c r="AH23" s="297">
        <v>61</v>
      </c>
      <c r="AI23" s="297">
        <v>67</v>
      </c>
      <c r="AJ23" s="297">
        <v>57</v>
      </c>
      <c r="AK23" s="297">
        <v>46</v>
      </c>
      <c r="AL23" s="297">
        <v>19</v>
      </c>
      <c r="AM23" s="297">
        <v>20</v>
      </c>
      <c r="AN23" s="297">
        <v>8</v>
      </c>
      <c r="AO23" s="297">
        <v>12</v>
      </c>
      <c r="AP23" s="297">
        <v>-76</v>
      </c>
      <c r="AQ23" s="297">
        <v>-25</v>
      </c>
      <c r="AR23" s="297">
        <v>-36</v>
      </c>
      <c r="AS23" s="297">
        <v>-8</v>
      </c>
      <c r="AT23" s="297">
        <v>-1</v>
      </c>
      <c r="AU23" s="297">
        <v>13</v>
      </c>
      <c r="AV23" s="297">
        <v>-23</v>
      </c>
      <c r="AW23" s="297">
        <v>6</v>
      </c>
      <c r="AX23" s="297">
        <v>-10</v>
      </c>
      <c r="AY23" s="297">
        <v>0</v>
      </c>
      <c r="BA23" s="205"/>
      <c r="BB23" s="205"/>
    </row>
    <row r="24" spans="2:54">
      <c r="B24" s="288">
        <v>10071</v>
      </c>
      <c r="C24" s="288" t="s">
        <v>27</v>
      </c>
      <c r="D24" s="297">
        <v>-15</v>
      </c>
      <c r="E24" s="297">
        <v>1</v>
      </c>
      <c r="F24" s="297">
        <v>-21</v>
      </c>
      <c r="G24" s="297">
        <v>35</v>
      </c>
      <c r="H24" s="297">
        <v>125</v>
      </c>
      <c r="I24" s="297">
        <v>173</v>
      </c>
      <c r="J24" s="297">
        <v>274</v>
      </c>
      <c r="K24" s="297">
        <v>196</v>
      </c>
      <c r="L24" s="297">
        <v>346</v>
      </c>
      <c r="M24" s="297">
        <v>214</v>
      </c>
      <c r="N24" s="297">
        <v>103</v>
      </c>
      <c r="O24" s="297">
        <v>109</v>
      </c>
      <c r="P24" s="297">
        <v>67</v>
      </c>
      <c r="Q24" s="297">
        <v>60</v>
      </c>
      <c r="R24" s="297">
        <v>-430</v>
      </c>
      <c r="S24" s="297">
        <v>-183</v>
      </c>
      <c r="T24" s="297">
        <v>-228</v>
      </c>
      <c r="U24" s="297">
        <v>-106</v>
      </c>
      <c r="V24" s="297">
        <v>-109</v>
      </c>
      <c r="W24" s="297">
        <v>-30</v>
      </c>
      <c r="X24" s="297">
        <v>-203</v>
      </c>
      <c r="Y24" s="297">
        <v>-45</v>
      </c>
      <c r="Z24" s="297">
        <v>-120</v>
      </c>
      <c r="AA24" s="297">
        <v>-56</v>
      </c>
      <c r="AB24" s="297">
        <v>-17</v>
      </c>
      <c r="AC24" s="297">
        <v>-1</v>
      </c>
      <c r="AD24" s="297">
        <v>-58</v>
      </c>
      <c r="AE24" s="297">
        <v>68</v>
      </c>
      <c r="AF24" s="297">
        <v>161</v>
      </c>
      <c r="AG24" s="297">
        <v>132</v>
      </c>
      <c r="AH24" s="297">
        <v>234</v>
      </c>
      <c r="AI24" s="297">
        <v>232</v>
      </c>
      <c r="AJ24" s="297">
        <v>304</v>
      </c>
      <c r="AK24" s="297">
        <v>197</v>
      </c>
      <c r="AL24" s="297">
        <v>132</v>
      </c>
      <c r="AM24" s="297">
        <v>76</v>
      </c>
      <c r="AN24" s="297">
        <v>65</v>
      </c>
      <c r="AO24" s="297">
        <v>59</v>
      </c>
      <c r="AP24" s="297">
        <v>-433</v>
      </c>
      <c r="AQ24" s="297">
        <v>-184</v>
      </c>
      <c r="AR24" s="297">
        <v>-230</v>
      </c>
      <c r="AS24" s="297">
        <v>-107</v>
      </c>
      <c r="AT24" s="297">
        <v>-111</v>
      </c>
      <c r="AU24" s="297">
        <v>-31</v>
      </c>
      <c r="AV24" s="297">
        <v>-206</v>
      </c>
      <c r="AW24" s="297">
        <v>-46</v>
      </c>
      <c r="AX24" s="297">
        <v>-122</v>
      </c>
      <c r="AY24" s="297">
        <v>-57</v>
      </c>
      <c r="BA24" s="205"/>
      <c r="BB24" s="205"/>
    </row>
    <row r="25" spans="2:54">
      <c r="B25" s="288">
        <v>10072</v>
      </c>
      <c r="C25" s="288" t="s">
        <v>28</v>
      </c>
      <c r="D25" s="297">
        <v>853</v>
      </c>
      <c r="E25" s="297">
        <v>948</v>
      </c>
      <c r="F25" s="297">
        <v>-946</v>
      </c>
      <c r="G25" s="297">
        <v>443</v>
      </c>
      <c r="H25" s="297">
        <v>1157</v>
      </c>
      <c r="I25" s="297">
        <v>1704</v>
      </c>
      <c r="J25" s="297">
        <v>3344</v>
      </c>
      <c r="K25" s="297">
        <v>2851</v>
      </c>
      <c r="L25" s="297">
        <v>3483</v>
      </c>
      <c r="M25" s="297">
        <v>2374</v>
      </c>
      <c r="N25" s="297">
        <v>715</v>
      </c>
      <c r="O25" s="297">
        <v>723</v>
      </c>
      <c r="P25" s="297">
        <v>47</v>
      </c>
      <c r="Q25" s="297">
        <v>394</v>
      </c>
      <c r="R25" s="297">
        <v>-5155</v>
      </c>
      <c r="S25" s="297">
        <v>-2388</v>
      </c>
      <c r="T25" s="297">
        <v>-2010</v>
      </c>
      <c r="U25" s="297">
        <v>-618</v>
      </c>
      <c r="V25" s="297">
        <v>-9</v>
      </c>
      <c r="W25" s="297">
        <v>972</v>
      </c>
      <c r="X25" s="297">
        <v>-985</v>
      </c>
      <c r="Y25" s="297">
        <v>265</v>
      </c>
      <c r="Z25" s="297">
        <v>-1348</v>
      </c>
      <c r="AA25" s="297">
        <v>-86</v>
      </c>
      <c r="AB25" s="297">
        <v>847</v>
      </c>
      <c r="AC25" s="297">
        <v>951</v>
      </c>
      <c r="AD25" s="297">
        <v>-942</v>
      </c>
      <c r="AE25" s="297">
        <v>443</v>
      </c>
      <c r="AF25" s="297">
        <v>1165</v>
      </c>
      <c r="AG25" s="297">
        <v>1705</v>
      </c>
      <c r="AH25" s="297">
        <v>3352</v>
      </c>
      <c r="AI25" s="297">
        <v>2853</v>
      </c>
      <c r="AJ25" s="297">
        <v>3070</v>
      </c>
      <c r="AK25" s="297">
        <v>2114</v>
      </c>
      <c r="AL25" s="297">
        <v>723</v>
      </c>
      <c r="AM25" s="297">
        <v>713</v>
      </c>
      <c r="AN25" s="297">
        <v>39</v>
      </c>
      <c r="AO25" s="297">
        <v>396</v>
      </c>
      <c r="AP25" s="297">
        <v>-5157</v>
      </c>
      <c r="AQ25" s="297">
        <v>-2394</v>
      </c>
      <c r="AR25" s="297">
        <v>-2001</v>
      </c>
      <c r="AS25" s="297">
        <v>-629</v>
      </c>
      <c r="AT25" s="297">
        <v>-7</v>
      </c>
      <c r="AU25" s="297">
        <v>980</v>
      </c>
      <c r="AV25" s="297">
        <v>-962</v>
      </c>
      <c r="AW25" s="297">
        <v>274</v>
      </c>
      <c r="AX25" s="297">
        <v>-1318</v>
      </c>
      <c r="AY25" s="297">
        <v>-72</v>
      </c>
      <c r="BA25" s="205"/>
      <c r="BB25" s="205"/>
    </row>
    <row r="26" spans="2:54">
      <c r="B26" s="288">
        <v>10074</v>
      </c>
      <c r="C26" s="288" t="s">
        <v>29</v>
      </c>
      <c r="D26" s="297">
        <v>743</v>
      </c>
      <c r="E26" s="297">
        <v>222</v>
      </c>
      <c r="F26" s="297">
        <v>221</v>
      </c>
      <c r="G26" s="297">
        <v>667</v>
      </c>
      <c r="H26" s="297">
        <v>1335</v>
      </c>
      <c r="I26" s="297">
        <v>1712</v>
      </c>
      <c r="J26" s="297">
        <v>3648</v>
      </c>
      <c r="K26" s="297">
        <v>2186</v>
      </c>
      <c r="L26" s="297">
        <v>4814</v>
      </c>
      <c r="M26" s="297">
        <v>2747</v>
      </c>
      <c r="N26" s="297">
        <v>2011</v>
      </c>
      <c r="O26" s="297">
        <v>1544</v>
      </c>
      <c r="P26" s="297">
        <v>1800</v>
      </c>
      <c r="Q26" s="297">
        <v>1054</v>
      </c>
      <c r="R26" s="297">
        <v>-5281</v>
      </c>
      <c r="S26" s="297">
        <v>-2465</v>
      </c>
      <c r="T26" s="297">
        <v>-2780</v>
      </c>
      <c r="U26" s="297">
        <v>-1518</v>
      </c>
      <c r="V26" s="297">
        <v>296</v>
      </c>
      <c r="W26" s="297">
        <v>435</v>
      </c>
      <c r="X26" s="297">
        <v>-1045</v>
      </c>
      <c r="Y26" s="297">
        <v>157</v>
      </c>
      <c r="Z26" s="297">
        <v>-420</v>
      </c>
      <c r="AA26" s="297">
        <v>-155</v>
      </c>
      <c r="AB26" s="297">
        <v>767</v>
      </c>
      <c r="AC26" s="297">
        <v>237</v>
      </c>
      <c r="AD26" s="297">
        <v>-248</v>
      </c>
      <c r="AE26" s="297">
        <v>1179</v>
      </c>
      <c r="AF26" s="297">
        <v>1895</v>
      </c>
      <c r="AG26" s="297">
        <v>1217</v>
      </c>
      <c r="AH26" s="297">
        <v>3167</v>
      </c>
      <c r="AI26" s="297">
        <v>2716</v>
      </c>
      <c r="AJ26" s="297">
        <v>4301</v>
      </c>
      <c r="AK26" s="297">
        <v>2548</v>
      </c>
      <c r="AL26" s="297">
        <v>2493</v>
      </c>
      <c r="AM26" s="297">
        <v>1117</v>
      </c>
      <c r="AN26" s="297">
        <v>1826</v>
      </c>
      <c r="AO26" s="297">
        <v>1069</v>
      </c>
      <c r="AP26" s="297">
        <v>-5258</v>
      </c>
      <c r="AQ26" s="297">
        <v>-2450</v>
      </c>
      <c r="AR26" s="297">
        <v>-2758</v>
      </c>
      <c r="AS26" s="297">
        <v>-1506</v>
      </c>
      <c r="AT26" s="297">
        <v>321</v>
      </c>
      <c r="AU26" s="297">
        <v>450</v>
      </c>
      <c r="AV26" s="297">
        <v>-1019</v>
      </c>
      <c r="AW26" s="297">
        <v>172</v>
      </c>
      <c r="AX26" s="297">
        <v>-398</v>
      </c>
      <c r="AY26" s="297">
        <v>-142</v>
      </c>
      <c r="BA26" s="205"/>
      <c r="BB26" s="205"/>
    </row>
    <row r="27" spans="2:54">
      <c r="B27" s="288">
        <v>10076</v>
      </c>
      <c r="C27" s="288" t="s">
        <v>30</v>
      </c>
      <c r="D27" s="297">
        <v>429</v>
      </c>
      <c r="E27" s="297">
        <v>364</v>
      </c>
      <c r="F27" s="297">
        <v>142</v>
      </c>
      <c r="G27" s="297">
        <v>417</v>
      </c>
      <c r="H27" s="297">
        <v>637</v>
      </c>
      <c r="I27" s="297">
        <v>881</v>
      </c>
      <c r="J27" s="297">
        <v>1150</v>
      </c>
      <c r="K27" s="297">
        <v>1018</v>
      </c>
      <c r="L27" s="297">
        <v>1187</v>
      </c>
      <c r="M27" s="297">
        <v>947</v>
      </c>
      <c r="N27" s="297">
        <v>536</v>
      </c>
      <c r="O27" s="297">
        <v>698</v>
      </c>
      <c r="P27" s="297">
        <v>471</v>
      </c>
      <c r="Q27" s="297">
        <v>407</v>
      </c>
      <c r="R27" s="297">
        <v>-626</v>
      </c>
      <c r="S27" s="297">
        <v>33</v>
      </c>
      <c r="T27" s="297">
        <v>219</v>
      </c>
      <c r="U27" s="297">
        <v>265</v>
      </c>
      <c r="V27" s="297">
        <v>687</v>
      </c>
      <c r="W27" s="297">
        <v>571</v>
      </c>
      <c r="X27" s="297">
        <v>157</v>
      </c>
      <c r="Y27" s="297">
        <v>419</v>
      </c>
      <c r="Z27" s="297">
        <v>253</v>
      </c>
      <c r="AA27" s="297">
        <v>269</v>
      </c>
      <c r="AB27" s="297">
        <v>389</v>
      </c>
      <c r="AC27" s="297">
        <v>381</v>
      </c>
      <c r="AD27" s="297">
        <v>-5</v>
      </c>
      <c r="AE27" s="297">
        <v>542</v>
      </c>
      <c r="AF27" s="297">
        <v>778</v>
      </c>
      <c r="AG27" s="297">
        <v>717</v>
      </c>
      <c r="AH27" s="297">
        <v>983</v>
      </c>
      <c r="AI27" s="297">
        <v>1161</v>
      </c>
      <c r="AJ27" s="297">
        <v>1053</v>
      </c>
      <c r="AK27" s="297">
        <v>889</v>
      </c>
      <c r="AL27" s="297">
        <v>682</v>
      </c>
      <c r="AM27" s="297">
        <v>529</v>
      </c>
      <c r="AN27" s="297">
        <v>432</v>
      </c>
      <c r="AO27" s="297">
        <v>424</v>
      </c>
      <c r="AP27" s="297">
        <v>-638</v>
      </c>
      <c r="AQ27" s="297">
        <v>23</v>
      </c>
      <c r="AR27" s="297">
        <v>236</v>
      </c>
      <c r="AS27" s="297">
        <v>226</v>
      </c>
      <c r="AT27" s="297">
        <v>648</v>
      </c>
      <c r="AU27" s="297">
        <v>587</v>
      </c>
      <c r="AV27" s="297">
        <v>144</v>
      </c>
      <c r="AW27" s="297">
        <v>409</v>
      </c>
      <c r="AX27" s="297">
        <v>243</v>
      </c>
      <c r="AY27" s="297">
        <v>257</v>
      </c>
      <c r="BA27" s="205"/>
      <c r="BB27" s="205"/>
    </row>
    <row r="28" spans="2:54">
      <c r="B28" s="288">
        <v>10078</v>
      </c>
      <c r="C28" s="288" t="s">
        <v>31</v>
      </c>
      <c r="D28" s="297">
        <v>220</v>
      </c>
      <c r="E28" s="297">
        <v>-47</v>
      </c>
      <c r="F28" s="297">
        <v>159</v>
      </c>
      <c r="G28" s="297">
        <v>30</v>
      </c>
      <c r="H28" s="297">
        <v>297</v>
      </c>
      <c r="I28" s="297">
        <v>250</v>
      </c>
      <c r="J28" s="297">
        <v>743</v>
      </c>
      <c r="K28" s="297">
        <v>330</v>
      </c>
      <c r="L28" s="297">
        <v>862</v>
      </c>
      <c r="M28" s="297">
        <v>399</v>
      </c>
      <c r="N28" s="297">
        <v>428</v>
      </c>
      <c r="O28" s="297">
        <v>201</v>
      </c>
      <c r="P28" s="297">
        <v>321</v>
      </c>
      <c r="Q28" s="297">
        <v>62</v>
      </c>
      <c r="R28" s="297">
        <v>-719</v>
      </c>
      <c r="S28" s="297">
        <v>-464</v>
      </c>
      <c r="T28" s="297">
        <v>-288</v>
      </c>
      <c r="U28" s="297">
        <v>-297</v>
      </c>
      <c r="V28" s="297">
        <v>-140</v>
      </c>
      <c r="W28" s="297">
        <v>-175</v>
      </c>
      <c r="X28" s="297">
        <v>-307</v>
      </c>
      <c r="Y28" s="297">
        <v>-205</v>
      </c>
      <c r="Z28" s="297">
        <v>-41</v>
      </c>
      <c r="AA28" s="297">
        <v>-179</v>
      </c>
      <c r="AB28" s="297">
        <v>239</v>
      </c>
      <c r="AC28" s="297">
        <v>-39</v>
      </c>
      <c r="AD28" s="297">
        <v>105</v>
      </c>
      <c r="AE28" s="297">
        <v>111</v>
      </c>
      <c r="AF28" s="297">
        <v>390</v>
      </c>
      <c r="AG28" s="297">
        <v>185</v>
      </c>
      <c r="AH28" s="297">
        <v>683</v>
      </c>
      <c r="AI28" s="297">
        <v>418</v>
      </c>
      <c r="AJ28" s="297">
        <v>782</v>
      </c>
      <c r="AK28" s="297">
        <v>372</v>
      </c>
      <c r="AL28" s="297">
        <v>513</v>
      </c>
      <c r="AM28" s="297">
        <v>144</v>
      </c>
      <c r="AN28" s="297">
        <v>340</v>
      </c>
      <c r="AO28" s="297">
        <v>71</v>
      </c>
      <c r="AP28" s="297">
        <v>-701</v>
      </c>
      <c r="AQ28" s="297">
        <v>-454</v>
      </c>
      <c r="AR28" s="297">
        <v>-269</v>
      </c>
      <c r="AS28" s="297">
        <v>-289</v>
      </c>
      <c r="AT28" s="297">
        <v>-120</v>
      </c>
      <c r="AU28" s="297">
        <v>-166</v>
      </c>
      <c r="AV28" s="297">
        <v>-287</v>
      </c>
      <c r="AW28" s="297">
        <v>-196</v>
      </c>
      <c r="AX28" s="297">
        <v>-22</v>
      </c>
      <c r="AY28" s="297">
        <v>-171</v>
      </c>
      <c r="BA28" s="205"/>
      <c r="BB28" s="205"/>
    </row>
    <row r="29" spans="2:54">
      <c r="B29" s="288">
        <v>10079</v>
      </c>
      <c r="C29" s="288" t="s">
        <v>32</v>
      </c>
      <c r="D29" s="297">
        <v>-478</v>
      </c>
      <c r="E29" s="297">
        <v>-147</v>
      </c>
      <c r="F29" s="297">
        <v>-7082</v>
      </c>
      <c r="G29" s="297">
        <v>-3238</v>
      </c>
      <c r="H29" s="297">
        <v>-1562</v>
      </c>
      <c r="I29" s="297">
        <v>1028</v>
      </c>
      <c r="J29" s="297">
        <v>6376</v>
      </c>
      <c r="K29" s="297">
        <v>4089</v>
      </c>
      <c r="L29" s="297">
        <v>8633</v>
      </c>
      <c r="M29" s="297">
        <v>4952</v>
      </c>
      <c r="N29" s="297">
        <v>2383</v>
      </c>
      <c r="O29" s="297">
        <v>2454</v>
      </c>
      <c r="P29" s="297">
        <v>3121</v>
      </c>
      <c r="Q29" s="297">
        <v>1948</v>
      </c>
      <c r="R29" s="297">
        <v>-16861</v>
      </c>
      <c r="S29" s="297">
        <v>-7843</v>
      </c>
      <c r="T29" s="297">
        <v>-6774</v>
      </c>
      <c r="U29" s="297">
        <v>-3198</v>
      </c>
      <c r="V29" s="297">
        <v>817</v>
      </c>
      <c r="W29" s="297">
        <v>1933</v>
      </c>
      <c r="X29" s="297">
        <v>-4127</v>
      </c>
      <c r="Y29" s="297">
        <v>780</v>
      </c>
      <c r="Z29" s="297">
        <v>1953</v>
      </c>
      <c r="AA29" s="297">
        <v>2028</v>
      </c>
      <c r="AB29" s="297">
        <v>689</v>
      </c>
      <c r="AC29" s="297">
        <v>354</v>
      </c>
      <c r="AD29" s="297">
        <v>-10742</v>
      </c>
      <c r="AE29" s="297">
        <v>-4008</v>
      </c>
      <c r="AF29" s="297">
        <v>-5511</v>
      </c>
      <c r="AG29" s="297">
        <v>-3537</v>
      </c>
      <c r="AH29" s="297">
        <v>4911</v>
      </c>
      <c r="AI29" s="297">
        <v>5004</v>
      </c>
      <c r="AJ29" s="297">
        <v>9982</v>
      </c>
      <c r="AK29" s="297">
        <v>5897</v>
      </c>
      <c r="AL29" s="297">
        <v>5823</v>
      </c>
      <c r="AM29" s="297">
        <v>2522</v>
      </c>
      <c r="AN29" s="297">
        <v>1654</v>
      </c>
      <c r="AO29" s="297">
        <v>986</v>
      </c>
      <c r="AP29" s="297">
        <v>-17284</v>
      </c>
      <c r="AQ29" s="297">
        <v>-8251</v>
      </c>
      <c r="AR29" s="297">
        <v>-5396</v>
      </c>
      <c r="AS29" s="297">
        <v>-2667</v>
      </c>
      <c r="AT29" s="297">
        <v>1028</v>
      </c>
      <c r="AU29" s="297">
        <v>1886</v>
      </c>
      <c r="AV29" s="297">
        <v>-4549</v>
      </c>
      <c r="AW29" s="297">
        <v>403</v>
      </c>
      <c r="AX29" s="297">
        <v>-848</v>
      </c>
      <c r="AY29" s="297">
        <v>126</v>
      </c>
      <c r="BA29" s="205"/>
      <c r="BB29" s="205"/>
    </row>
    <row r="30" spans="2:54">
      <c r="B30" s="288">
        <v>10080</v>
      </c>
      <c r="C30" s="288" t="s">
        <v>33</v>
      </c>
      <c r="D30" s="297">
        <v>-203</v>
      </c>
      <c r="E30" s="297">
        <v>8</v>
      </c>
      <c r="F30" s="297">
        <v>-234</v>
      </c>
      <c r="G30" s="297">
        <v>128</v>
      </c>
      <c r="H30" s="297">
        <v>21</v>
      </c>
      <c r="I30" s="297">
        <v>415</v>
      </c>
      <c r="J30" s="297">
        <v>849</v>
      </c>
      <c r="K30" s="297">
        <v>682</v>
      </c>
      <c r="L30" s="297">
        <v>996</v>
      </c>
      <c r="M30" s="297">
        <v>704</v>
      </c>
      <c r="N30" s="297">
        <v>82</v>
      </c>
      <c r="O30" s="297">
        <v>307</v>
      </c>
      <c r="P30" s="297">
        <v>-84</v>
      </c>
      <c r="Q30" s="297">
        <v>100</v>
      </c>
      <c r="R30" s="297">
        <v>-2045</v>
      </c>
      <c r="S30" s="297">
        <v>-841</v>
      </c>
      <c r="T30" s="297">
        <v>-1188</v>
      </c>
      <c r="U30" s="297">
        <v>-482</v>
      </c>
      <c r="V30" s="297">
        <v>-698</v>
      </c>
      <c r="W30" s="297">
        <v>-102</v>
      </c>
      <c r="X30" s="297">
        <v>-1114</v>
      </c>
      <c r="Y30" s="297">
        <v>-201</v>
      </c>
      <c r="Z30" s="297">
        <v>-736</v>
      </c>
      <c r="AA30" s="297">
        <v>-251</v>
      </c>
      <c r="AB30" s="297">
        <v>-198</v>
      </c>
      <c r="AC30" s="297">
        <v>11</v>
      </c>
      <c r="AD30" s="297">
        <v>-365</v>
      </c>
      <c r="AE30" s="297">
        <v>268</v>
      </c>
      <c r="AF30" s="297">
        <v>168</v>
      </c>
      <c r="AG30" s="297">
        <v>276</v>
      </c>
      <c r="AH30" s="297">
        <v>707</v>
      </c>
      <c r="AI30" s="297">
        <v>832</v>
      </c>
      <c r="AJ30" s="297">
        <v>868</v>
      </c>
      <c r="AK30" s="297">
        <v>656</v>
      </c>
      <c r="AL30" s="297">
        <v>206</v>
      </c>
      <c r="AM30" s="297">
        <v>192</v>
      </c>
      <c r="AN30" s="297">
        <v>-79</v>
      </c>
      <c r="AO30" s="297">
        <v>103</v>
      </c>
      <c r="AP30" s="297">
        <v>-2048</v>
      </c>
      <c r="AQ30" s="297">
        <v>-843</v>
      </c>
      <c r="AR30" s="297">
        <v>-1191</v>
      </c>
      <c r="AS30" s="297">
        <v>-484</v>
      </c>
      <c r="AT30" s="297">
        <v>-701</v>
      </c>
      <c r="AU30" s="297">
        <v>-104</v>
      </c>
      <c r="AV30" s="297">
        <v>-1117</v>
      </c>
      <c r="AW30" s="297">
        <v>-203</v>
      </c>
      <c r="AX30" s="297">
        <v>-739</v>
      </c>
      <c r="AY30" s="297">
        <v>-253</v>
      </c>
      <c r="BA30" s="205"/>
      <c r="BB30" s="205"/>
    </row>
    <row r="31" spans="2:54">
      <c r="B31" s="288">
        <v>10081</v>
      </c>
      <c r="C31" s="288" t="s">
        <v>34</v>
      </c>
      <c r="D31" s="297">
        <v>-703</v>
      </c>
      <c r="E31" s="297">
        <v>-521</v>
      </c>
      <c r="F31" s="297">
        <v>-286</v>
      </c>
      <c r="G31" s="297">
        <v>25</v>
      </c>
      <c r="H31" s="297">
        <v>956</v>
      </c>
      <c r="I31" s="297">
        <v>1196</v>
      </c>
      <c r="J31" s="297">
        <v>1871</v>
      </c>
      <c r="K31" s="297">
        <v>1369</v>
      </c>
      <c r="L31" s="297">
        <v>1579</v>
      </c>
      <c r="M31" s="297">
        <v>1016</v>
      </c>
      <c r="N31" s="297">
        <v>-149</v>
      </c>
      <c r="O31" s="297">
        <v>116</v>
      </c>
      <c r="P31" s="297">
        <v>-83</v>
      </c>
      <c r="Q31" s="297">
        <v>-49</v>
      </c>
      <c r="R31" s="297">
        <v>-2603</v>
      </c>
      <c r="S31" s="297">
        <v>-1415</v>
      </c>
      <c r="T31" s="297">
        <v>-1689</v>
      </c>
      <c r="U31" s="297">
        <v>-1211</v>
      </c>
      <c r="V31" s="297">
        <v>182</v>
      </c>
      <c r="W31" s="297">
        <v>10</v>
      </c>
      <c r="X31" s="297">
        <v>-360</v>
      </c>
      <c r="Y31" s="297">
        <v>-205</v>
      </c>
      <c r="Z31" s="297">
        <v>-417</v>
      </c>
      <c r="AA31" s="297">
        <v>-371</v>
      </c>
      <c r="AB31" s="297">
        <v>-705</v>
      </c>
      <c r="AC31" s="297">
        <v>-521</v>
      </c>
      <c r="AD31" s="297">
        <v>-481</v>
      </c>
      <c r="AE31" s="297">
        <v>213</v>
      </c>
      <c r="AF31" s="297">
        <v>1200</v>
      </c>
      <c r="AG31" s="297">
        <v>958</v>
      </c>
      <c r="AH31" s="297">
        <v>1632</v>
      </c>
      <c r="AI31" s="297">
        <v>1603</v>
      </c>
      <c r="AJ31" s="297">
        <v>1367</v>
      </c>
      <c r="AK31" s="297">
        <v>934</v>
      </c>
      <c r="AL31" s="297">
        <v>9</v>
      </c>
      <c r="AM31" s="297">
        <v>-33</v>
      </c>
      <c r="AN31" s="297">
        <v>-83</v>
      </c>
      <c r="AO31" s="297">
        <v>-49</v>
      </c>
      <c r="AP31" s="297">
        <v>-2603</v>
      </c>
      <c r="AQ31" s="297">
        <v>-1415</v>
      </c>
      <c r="AR31" s="297">
        <v>-1689</v>
      </c>
      <c r="AS31" s="297">
        <v>-1211</v>
      </c>
      <c r="AT31" s="297">
        <v>182</v>
      </c>
      <c r="AU31" s="297">
        <v>10</v>
      </c>
      <c r="AV31" s="297">
        <v>-360</v>
      </c>
      <c r="AW31" s="297">
        <v>-205</v>
      </c>
      <c r="AX31" s="297">
        <v>-417</v>
      </c>
      <c r="AY31" s="297">
        <v>-371</v>
      </c>
      <c r="BA31" s="205"/>
      <c r="BB31" s="205"/>
    </row>
    <row r="32" spans="2:54">
      <c r="B32" s="288">
        <v>10082</v>
      </c>
      <c r="C32" s="288" t="s">
        <v>35</v>
      </c>
      <c r="D32" s="297">
        <v>-11</v>
      </c>
      <c r="E32" s="297">
        <v>-1</v>
      </c>
      <c r="F32" s="297">
        <v>-7</v>
      </c>
      <c r="G32" s="297">
        <v>3</v>
      </c>
      <c r="H32" s="297">
        <v>9</v>
      </c>
      <c r="I32" s="297">
        <v>16</v>
      </c>
      <c r="J32" s="297">
        <v>20</v>
      </c>
      <c r="K32" s="297">
        <v>20</v>
      </c>
      <c r="L32" s="297">
        <v>19</v>
      </c>
      <c r="M32" s="297">
        <v>18</v>
      </c>
      <c r="N32" s="297">
        <v>0</v>
      </c>
      <c r="O32" s="297">
        <v>8</v>
      </c>
      <c r="P32" s="297">
        <v>-7</v>
      </c>
      <c r="Q32" s="297">
        <v>2</v>
      </c>
      <c r="R32" s="297">
        <v>-35</v>
      </c>
      <c r="S32" s="297">
        <v>-13</v>
      </c>
      <c r="T32" s="297">
        <v>-22</v>
      </c>
      <c r="U32" s="297">
        <v>-8</v>
      </c>
      <c r="V32" s="297">
        <v>-15</v>
      </c>
      <c r="W32" s="297">
        <v>-3</v>
      </c>
      <c r="X32" s="297">
        <v>-22</v>
      </c>
      <c r="Y32" s="297">
        <v>-5</v>
      </c>
      <c r="Z32" s="297">
        <v>-18</v>
      </c>
      <c r="AA32" s="297">
        <v>-6</v>
      </c>
      <c r="AB32" s="297">
        <v>-11</v>
      </c>
      <c r="AC32" s="297">
        <v>-1</v>
      </c>
      <c r="AD32" s="297">
        <v>-9</v>
      </c>
      <c r="AE32" s="297">
        <v>5</v>
      </c>
      <c r="AF32" s="297">
        <v>11</v>
      </c>
      <c r="AG32" s="297">
        <v>14</v>
      </c>
      <c r="AH32" s="297">
        <v>17</v>
      </c>
      <c r="AI32" s="297">
        <v>23</v>
      </c>
      <c r="AJ32" s="297">
        <v>17</v>
      </c>
      <c r="AK32" s="297">
        <v>16</v>
      </c>
      <c r="AL32" s="297">
        <v>2</v>
      </c>
      <c r="AM32" s="297">
        <v>6</v>
      </c>
      <c r="AN32" s="297">
        <v>-7</v>
      </c>
      <c r="AO32" s="297">
        <v>2</v>
      </c>
      <c r="AP32" s="297">
        <v>-35</v>
      </c>
      <c r="AQ32" s="297">
        <v>-13</v>
      </c>
      <c r="AR32" s="297">
        <v>-22</v>
      </c>
      <c r="AS32" s="297">
        <v>-8</v>
      </c>
      <c r="AT32" s="297">
        <v>-15</v>
      </c>
      <c r="AU32" s="297">
        <v>-3</v>
      </c>
      <c r="AV32" s="297">
        <v>-22</v>
      </c>
      <c r="AW32" s="297">
        <v>-5</v>
      </c>
      <c r="AX32" s="297">
        <v>-18</v>
      </c>
      <c r="AY32" s="297">
        <v>-6</v>
      </c>
      <c r="BA32" s="205"/>
      <c r="BB32" s="205"/>
    </row>
    <row r="33" spans="2:54">
      <c r="B33" s="288">
        <v>10083</v>
      </c>
      <c r="C33" s="288" t="s">
        <v>36</v>
      </c>
      <c r="D33" s="297">
        <v>226</v>
      </c>
      <c r="E33" s="297">
        <v>100</v>
      </c>
      <c r="F33" s="297">
        <v>184</v>
      </c>
      <c r="G33" s="297">
        <v>346</v>
      </c>
      <c r="H33" s="297">
        <v>608</v>
      </c>
      <c r="I33" s="297">
        <v>849</v>
      </c>
      <c r="J33" s="297">
        <v>1433</v>
      </c>
      <c r="K33" s="297">
        <v>972</v>
      </c>
      <c r="L33" s="297">
        <v>1726</v>
      </c>
      <c r="M33" s="297">
        <v>1080</v>
      </c>
      <c r="N33" s="297">
        <v>493</v>
      </c>
      <c r="O33" s="297">
        <v>513</v>
      </c>
      <c r="P33" s="297">
        <v>437</v>
      </c>
      <c r="Q33" s="297">
        <v>312</v>
      </c>
      <c r="R33" s="297">
        <v>-1715</v>
      </c>
      <c r="S33" s="297">
        <v>-669</v>
      </c>
      <c r="T33" s="297">
        <v>-785</v>
      </c>
      <c r="U33" s="297">
        <v>-358</v>
      </c>
      <c r="V33" s="297">
        <v>-136</v>
      </c>
      <c r="W33" s="297">
        <v>85</v>
      </c>
      <c r="X33" s="297">
        <v>-745</v>
      </c>
      <c r="Y33" s="297">
        <v>-89</v>
      </c>
      <c r="Z33" s="297">
        <v>-311</v>
      </c>
      <c r="AA33" s="297">
        <v>-97</v>
      </c>
      <c r="AB33" s="297">
        <v>256</v>
      </c>
      <c r="AC33" s="297">
        <v>116</v>
      </c>
      <c r="AD33" s="297">
        <v>25</v>
      </c>
      <c r="AE33" s="297">
        <v>551</v>
      </c>
      <c r="AF33" s="297">
        <v>837</v>
      </c>
      <c r="AG33" s="297">
        <v>666</v>
      </c>
      <c r="AH33" s="297">
        <v>1261</v>
      </c>
      <c r="AI33" s="297">
        <v>1191</v>
      </c>
      <c r="AJ33" s="297">
        <v>1599</v>
      </c>
      <c r="AK33" s="297">
        <v>1043</v>
      </c>
      <c r="AL33" s="297">
        <v>684</v>
      </c>
      <c r="AM33" s="297">
        <v>368</v>
      </c>
      <c r="AN33" s="297">
        <v>467</v>
      </c>
      <c r="AO33" s="297">
        <v>329</v>
      </c>
      <c r="AP33" s="297">
        <v>-1687</v>
      </c>
      <c r="AQ33" s="297">
        <v>-651</v>
      </c>
      <c r="AR33" s="297">
        <v>-755</v>
      </c>
      <c r="AS33" s="297">
        <v>-342</v>
      </c>
      <c r="AT33" s="297">
        <v>-106</v>
      </c>
      <c r="AU33" s="297">
        <v>101</v>
      </c>
      <c r="AV33" s="297">
        <v>-716</v>
      </c>
      <c r="AW33" s="297">
        <v>-72</v>
      </c>
      <c r="AX33" s="297">
        <v>-282</v>
      </c>
      <c r="AY33" s="297">
        <v>-80</v>
      </c>
      <c r="BA33" s="205"/>
      <c r="BB33" s="205"/>
    </row>
    <row r="34" spans="2:54">
      <c r="B34" s="288">
        <v>10086</v>
      </c>
      <c r="C34" s="288" t="s">
        <v>37</v>
      </c>
      <c r="D34" s="297">
        <v>-4</v>
      </c>
      <c r="E34" s="297">
        <v>72</v>
      </c>
      <c r="F34" s="297">
        <v>-135</v>
      </c>
      <c r="G34" s="297">
        <v>86</v>
      </c>
      <c r="H34" s="297">
        <v>154</v>
      </c>
      <c r="I34" s="297">
        <v>371</v>
      </c>
      <c r="J34" s="297">
        <v>485</v>
      </c>
      <c r="K34" s="297">
        <v>425</v>
      </c>
      <c r="L34" s="297">
        <v>571</v>
      </c>
      <c r="M34" s="297">
        <v>442</v>
      </c>
      <c r="N34" s="297">
        <v>236</v>
      </c>
      <c r="O34" s="297">
        <v>311</v>
      </c>
      <c r="P34" s="297">
        <v>-6</v>
      </c>
      <c r="Q34" s="297">
        <v>98</v>
      </c>
      <c r="R34" s="297">
        <v>-924</v>
      </c>
      <c r="S34" s="297">
        <v>-338</v>
      </c>
      <c r="T34" s="297">
        <v>-485</v>
      </c>
      <c r="U34" s="297">
        <v>-203</v>
      </c>
      <c r="V34" s="297">
        <v>-272</v>
      </c>
      <c r="W34" s="297">
        <v>-43</v>
      </c>
      <c r="X34" s="297">
        <v>-464</v>
      </c>
      <c r="Y34" s="297">
        <v>-86</v>
      </c>
      <c r="Z34" s="297">
        <v>-257</v>
      </c>
      <c r="AA34" s="297">
        <v>-77</v>
      </c>
      <c r="AB34" s="297">
        <v>0</v>
      </c>
      <c r="AC34" s="297">
        <v>74</v>
      </c>
      <c r="AD34" s="297">
        <v>-200</v>
      </c>
      <c r="AE34" s="297">
        <v>158</v>
      </c>
      <c r="AF34" s="297">
        <v>236</v>
      </c>
      <c r="AG34" s="297">
        <v>296</v>
      </c>
      <c r="AH34" s="297">
        <v>413</v>
      </c>
      <c r="AI34" s="297">
        <v>504</v>
      </c>
      <c r="AJ34" s="297">
        <v>496</v>
      </c>
      <c r="AK34" s="297">
        <v>410</v>
      </c>
      <c r="AL34" s="297">
        <v>306</v>
      </c>
      <c r="AM34" s="297">
        <v>247</v>
      </c>
      <c r="AN34" s="297">
        <v>-3</v>
      </c>
      <c r="AO34" s="297">
        <v>100</v>
      </c>
      <c r="AP34" s="297">
        <v>-921</v>
      </c>
      <c r="AQ34" s="297">
        <v>-336</v>
      </c>
      <c r="AR34" s="297">
        <v>-482</v>
      </c>
      <c r="AS34" s="297">
        <v>-201</v>
      </c>
      <c r="AT34" s="297">
        <v>-269</v>
      </c>
      <c r="AU34" s="297">
        <v>-41</v>
      </c>
      <c r="AV34" s="297">
        <v>-461</v>
      </c>
      <c r="AW34" s="297">
        <v>-84</v>
      </c>
      <c r="AX34" s="297">
        <v>-254</v>
      </c>
      <c r="AY34" s="297">
        <v>-75</v>
      </c>
      <c r="BA34" s="205"/>
      <c r="BB34" s="205"/>
    </row>
    <row r="35" spans="2:54">
      <c r="B35" s="288">
        <v>10087</v>
      </c>
      <c r="C35" s="288" t="s">
        <v>38</v>
      </c>
      <c r="D35" s="297">
        <v>-978</v>
      </c>
      <c r="E35" s="297">
        <v>2424</v>
      </c>
      <c r="F35" s="297">
        <v>-1089</v>
      </c>
      <c r="G35" s="297">
        <v>3916</v>
      </c>
      <c r="H35" s="297">
        <v>2318</v>
      </c>
      <c r="I35" s="297">
        <v>4000</v>
      </c>
      <c r="J35" s="297">
        <v>4017</v>
      </c>
      <c r="K35" s="297">
        <v>6903</v>
      </c>
      <c r="L35" s="297">
        <v>5256</v>
      </c>
      <c r="M35" s="297">
        <v>6549</v>
      </c>
      <c r="N35" s="297">
        <v>1752</v>
      </c>
      <c r="O35" s="297">
        <v>4111</v>
      </c>
      <c r="P35" s="297">
        <v>180</v>
      </c>
      <c r="Q35" s="297">
        <v>2911</v>
      </c>
      <c r="R35" s="297">
        <v>-8785</v>
      </c>
      <c r="S35" s="297">
        <v>-2104</v>
      </c>
      <c r="T35" s="297">
        <v>-5444</v>
      </c>
      <c r="U35" s="297">
        <v>-652</v>
      </c>
      <c r="V35" s="297">
        <v>-4209</v>
      </c>
      <c r="W35" s="297">
        <v>301</v>
      </c>
      <c r="X35" s="297">
        <v>-5763</v>
      </c>
      <c r="Y35" s="297">
        <v>-102</v>
      </c>
      <c r="Z35" s="297">
        <v>-3767</v>
      </c>
      <c r="AA35" s="297">
        <v>186</v>
      </c>
      <c r="AB35" s="297">
        <v>-1012</v>
      </c>
      <c r="AC35" s="297">
        <v>2406</v>
      </c>
      <c r="AD35" s="297">
        <v>-1130</v>
      </c>
      <c r="AE35" s="297">
        <v>3892</v>
      </c>
      <c r="AF35" s="297">
        <v>2278</v>
      </c>
      <c r="AG35" s="297">
        <v>3976</v>
      </c>
      <c r="AH35" s="297">
        <v>3983</v>
      </c>
      <c r="AI35" s="297">
        <v>6883</v>
      </c>
      <c r="AJ35" s="297">
        <v>4659</v>
      </c>
      <c r="AK35" s="297">
        <v>6081</v>
      </c>
      <c r="AL35" s="297">
        <v>1719</v>
      </c>
      <c r="AM35" s="297">
        <v>4092</v>
      </c>
      <c r="AN35" s="297">
        <v>147</v>
      </c>
      <c r="AO35" s="297">
        <v>2893</v>
      </c>
      <c r="AP35" s="297">
        <v>-8833</v>
      </c>
      <c r="AQ35" s="297">
        <v>-2131</v>
      </c>
      <c r="AR35" s="297">
        <v>-5482</v>
      </c>
      <c r="AS35" s="297">
        <v>-673</v>
      </c>
      <c r="AT35" s="297">
        <v>-4243</v>
      </c>
      <c r="AU35" s="297">
        <v>283</v>
      </c>
      <c r="AV35" s="297">
        <v>-5801</v>
      </c>
      <c r="AW35" s="297">
        <v>-121</v>
      </c>
      <c r="AX35" s="297">
        <v>-3800</v>
      </c>
      <c r="AY35" s="297">
        <v>167</v>
      </c>
      <c r="BA35" s="205"/>
      <c r="BB35" s="205"/>
    </row>
    <row r="36" spans="2:54">
      <c r="B36" s="288">
        <v>10089</v>
      </c>
      <c r="C36" s="288" t="s">
        <v>39</v>
      </c>
      <c r="D36" s="297">
        <v>-6323</v>
      </c>
      <c r="E36" s="297">
        <v>-2679</v>
      </c>
      <c r="F36" s="297">
        <v>-12089</v>
      </c>
      <c r="G36" s="297">
        <v>-3136</v>
      </c>
      <c r="H36" s="297">
        <v>-746</v>
      </c>
      <c r="I36" s="297">
        <v>6970</v>
      </c>
      <c r="J36" s="297">
        <v>9004</v>
      </c>
      <c r="K36" s="297">
        <v>8786</v>
      </c>
      <c r="L36" s="297">
        <v>8064</v>
      </c>
      <c r="M36" s="297">
        <v>7605</v>
      </c>
      <c r="N36" s="297">
        <v>-5661</v>
      </c>
      <c r="O36" s="297">
        <v>637</v>
      </c>
      <c r="P36" s="297">
        <v>-5494</v>
      </c>
      <c r="Q36" s="297">
        <v>-2103</v>
      </c>
      <c r="R36" s="297">
        <v>-24078</v>
      </c>
      <c r="S36" s="297">
        <v>-9622</v>
      </c>
      <c r="T36" s="297">
        <v>-7002</v>
      </c>
      <c r="U36" s="297">
        <v>-2903</v>
      </c>
      <c r="V36" s="297">
        <v>7097</v>
      </c>
      <c r="W36" s="297">
        <v>5681</v>
      </c>
      <c r="X36" s="297">
        <v>-585</v>
      </c>
      <c r="Y36" s="297">
        <v>4302</v>
      </c>
      <c r="Z36" s="297">
        <v>-4644</v>
      </c>
      <c r="AA36" s="297">
        <v>-1354</v>
      </c>
      <c r="AB36" s="297">
        <v>-6677</v>
      </c>
      <c r="AC36" s="297">
        <v>-2596</v>
      </c>
      <c r="AD36" s="297">
        <v>-14114</v>
      </c>
      <c r="AE36" s="297">
        <v>-1286</v>
      </c>
      <c r="AF36" s="297">
        <v>1625</v>
      </c>
      <c r="AG36" s="297">
        <v>4546</v>
      </c>
      <c r="AH36" s="297">
        <v>6640</v>
      </c>
      <c r="AI36" s="297">
        <v>11101</v>
      </c>
      <c r="AJ36" s="297">
        <v>6610</v>
      </c>
      <c r="AK36" s="297">
        <v>7102</v>
      </c>
      <c r="AL36" s="297">
        <v>-3778</v>
      </c>
      <c r="AM36" s="297">
        <v>-1482</v>
      </c>
      <c r="AN36" s="297">
        <v>-5841</v>
      </c>
      <c r="AO36" s="297">
        <v>-2010</v>
      </c>
      <c r="AP36" s="297">
        <v>-24193</v>
      </c>
      <c r="AQ36" s="297">
        <v>-9744</v>
      </c>
      <c r="AR36" s="297">
        <v>-6840</v>
      </c>
      <c r="AS36" s="297">
        <v>-3258</v>
      </c>
      <c r="AT36" s="297">
        <v>6854</v>
      </c>
      <c r="AU36" s="297">
        <v>5807</v>
      </c>
      <c r="AV36" s="297">
        <v>-631</v>
      </c>
      <c r="AW36" s="297">
        <v>4218</v>
      </c>
      <c r="AX36" s="297">
        <v>-4726</v>
      </c>
      <c r="AY36" s="297">
        <v>-1505</v>
      </c>
      <c r="BA36" s="205"/>
      <c r="BB36" s="205"/>
    </row>
    <row r="37" spans="2:54">
      <c r="B37" s="288">
        <v>10091</v>
      </c>
      <c r="C37" s="288" t="s">
        <v>40</v>
      </c>
      <c r="D37" s="297">
        <v>-402</v>
      </c>
      <c r="E37" s="297">
        <v>99</v>
      </c>
      <c r="F37" s="297">
        <v>-622</v>
      </c>
      <c r="G37" s="297">
        <v>206</v>
      </c>
      <c r="H37" s="297">
        <v>736</v>
      </c>
      <c r="I37" s="297">
        <v>1023</v>
      </c>
      <c r="J37" s="297">
        <v>1503</v>
      </c>
      <c r="K37" s="297">
        <v>1557</v>
      </c>
      <c r="L37" s="297">
        <v>1557</v>
      </c>
      <c r="M37" s="297">
        <v>1350</v>
      </c>
      <c r="N37" s="297">
        <v>477</v>
      </c>
      <c r="O37" s="297">
        <v>605</v>
      </c>
      <c r="P37" s="297">
        <v>-64</v>
      </c>
      <c r="Q37" s="297">
        <v>277</v>
      </c>
      <c r="R37" s="297">
        <v>-2140</v>
      </c>
      <c r="S37" s="297">
        <v>-904</v>
      </c>
      <c r="T37" s="297">
        <v>-986</v>
      </c>
      <c r="U37" s="297">
        <v>-313</v>
      </c>
      <c r="V37" s="297">
        <v>33</v>
      </c>
      <c r="W37" s="297">
        <v>443</v>
      </c>
      <c r="X37" s="297">
        <v>-655</v>
      </c>
      <c r="Y37" s="297">
        <v>-7</v>
      </c>
      <c r="Z37" s="297">
        <v>-533</v>
      </c>
      <c r="AA37" s="297">
        <v>-53</v>
      </c>
      <c r="AB37" s="297">
        <v>-325</v>
      </c>
      <c r="AC37" s="297">
        <v>125</v>
      </c>
      <c r="AD37" s="297">
        <v>-517</v>
      </c>
      <c r="AE37" s="297">
        <v>239</v>
      </c>
      <c r="AF37" s="297">
        <v>825</v>
      </c>
      <c r="AG37" s="297">
        <v>1053</v>
      </c>
      <c r="AH37" s="297">
        <v>1580</v>
      </c>
      <c r="AI37" s="297">
        <v>1578</v>
      </c>
      <c r="AJ37" s="297">
        <v>1487</v>
      </c>
      <c r="AK37" s="297">
        <v>1279</v>
      </c>
      <c r="AL37" s="297">
        <v>532</v>
      </c>
      <c r="AM37" s="297">
        <v>615</v>
      </c>
      <c r="AN37" s="297">
        <v>-24</v>
      </c>
      <c r="AO37" s="297">
        <v>283</v>
      </c>
      <c r="AP37" s="297">
        <v>-2108</v>
      </c>
      <c r="AQ37" s="297">
        <v>-906</v>
      </c>
      <c r="AR37" s="297">
        <v>-965</v>
      </c>
      <c r="AS37" s="297">
        <v>-322</v>
      </c>
      <c r="AT37" s="297">
        <v>41</v>
      </c>
      <c r="AU37" s="297">
        <v>428</v>
      </c>
      <c r="AV37" s="297">
        <v>-659</v>
      </c>
      <c r="AW37" s="297">
        <v>-29</v>
      </c>
      <c r="AX37" s="297">
        <v>-550</v>
      </c>
      <c r="AY37" s="297">
        <v>-82</v>
      </c>
      <c r="BA37" s="205"/>
      <c r="BB37" s="205"/>
    </row>
    <row r="38" spans="2:54">
      <c r="B38" s="288">
        <v>10094</v>
      </c>
      <c r="C38" s="288" t="s">
        <v>41</v>
      </c>
      <c r="D38" s="297">
        <v>37</v>
      </c>
      <c r="E38" s="297">
        <v>80</v>
      </c>
      <c r="F38" s="297">
        <v>-155</v>
      </c>
      <c r="G38" s="297">
        <v>16</v>
      </c>
      <c r="H38" s="297">
        <v>137</v>
      </c>
      <c r="I38" s="297">
        <v>166</v>
      </c>
      <c r="J38" s="297">
        <v>373</v>
      </c>
      <c r="K38" s="297">
        <v>304</v>
      </c>
      <c r="L38" s="297">
        <v>404</v>
      </c>
      <c r="M38" s="297">
        <v>297</v>
      </c>
      <c r="N38" s="297">
        <v>200</v>
      </c>
      <c r="O38" s="297">
        <v>159</v>
      </c>
      <c r="P38" s="297">
        <v>92</v>
      </c>
      <c r="Q38" s="297">
        <v>125</v>
      </c>
      <c r="R38" s="297">
        <v>-639</v>
      </c>
      <c r="S38" s="297">
        <v>-277</v>
      </c>
      <c r="T38" s="297">
        <v>-360</v>
      </c>
      <c r="U38" s="297">
        <v>-151</v>
      </c>
      <c r="V38" s="297">
        <v>-98</v>
      </c>
      <c r="W38" s="297">
        <v>40</v>
      </c>
      <c r="X38" s="297">
        <v>-194</v>
      </c>
      <c r="Y38" s="297">
        <v>-29</v>
      </c>
      <c r="Z38" s="297">
        <v>-79</v>
      </c>
      <c r="AA38" s="297">
        <v>19</v>
      </c>
      <c r="AB38" s="297">
        <v>37</v>
      </c>
      <c r="AC38" s="297">
        <v>80</v>
      </c>
      <c r="AD38" s="297">
        <v>-153</v>
      </c>
      <c r="AE38" s="297">
        <v>14</v>
      </c>
      <c r="AF38" s="297">
        <v>135</v>
      </c>
      <c r="AG38" s="297">
        <v>168</v>
      </c>
      <c r="AH38" s="297">
        <v>375</v>
      </c>
      <c r="AI38" s="297">
        <v>302</v>
      </c>
      <c r="AJ38" s="297">
        <v>353</v>
      </c>
      <c r="AK38" s="297">
        <v>265</v>
      </c>
      <c r="AL38" s="297">
        <v>199</v>
      </c>
      <c r="AM38" s="297">
        <v>161</v>
      </c>
      <c r="AN38" s="297">
        <v>92</v>
      </c>
      <c r="AO38" s="297">
        <v>125</v>
      </c>
      <c r="AP38" s="297">
        <v>-639</v>
      </c>
      <c r="AQ38" s="297">
        <v>-277</v>
      </c>
      <c r="AR38" s="297">
        <v>-360</v>
      </c>
      <c r="AS38" s="297">
        <v>-151</v>
      </c>
      <c r="AT38" s="297">
        <v>-98</v>
      </c>
      <c r="AU38" s="297">
        <v>40</v>
      </c>
      <c r="AV38" s="297">
        <v>-194</v>
      </c>
      <c r="AW38" s="297">
        <v>-29</v>
      </c>
      <c r="AX38" s="297">
        <v>-79</v>
      </c>
      <c r="AY38" s="297">
        <v>19</v>
      </c>
      <c r="BA38" s="205"/>
      <c r="BB38" s="205"/>
    </row>
    <row r="39" spans="2:54">
      <c r="B39" s="288">
        <v>10095</v>
      </c>
      <c r="C39" s="288" t="s">
        <v>42</v>
      </c>
      <c r="D39" s="297">
        <v>277</v>
      </c>
      <c r="E39" s="297">
        <v>120</v>
      </c>
      <c r="F39" s="297">
        <v>-95</v>
      </c>
      <c r="G39" s="297">
        <v>-40</v>
      </c>
      <c r="H39" s="297">
        <v>-19</v>
      </c>
      <c r="I39" s="297">
        <v>42</v>
      </c>
      <c r="J39" s="297">
        <v>389</v>
      </c>
      <c r="K39" s="297">
        <v>184</v>
      </c>
      <c r="L39" s="297">
        <v>617</v>
      </c>
      <c r="M39" s="297">
        <v>307</v>
      </c>
      <c r="N39" s="297">
        <v>411</v>
      </c>
      <c r="O39" s="297">
        <v>241</v>
      </c>
      <c r="P39" s="297">
        <v>345</v>
      </c>
      <c r="Q39" s="297">
        <v>171</v>
      </c>
      <c r="R39" s="297">
        <v>-469</v>
      </c>
      <c r="S39" s="297">
        <v>-193</v>
      </c>
      <c r="T39" s="297">
        <v>31</v>
      </c>
      <c r="U39" s="297">
        <v>27</v>
      </c>
      <c r="V39" s="297">
        <v>218</v>
      </c>
      <c r="W39" s="297">
        <v>193</v>
      </c>
      <c r="X39" s="297">
        <v>35</v>
      </c>
      <c r="Y39" s="297">
        <v>155</v>
      </c>
      <c r="Z39" s="297">
        <v>155</v>
      </c>
      <c r="AA39" s="297">
        <v>102</v>
      </c>
      <c r="AB39" s="297">
        <v>278</v>
      </c>
      <c r="AC39" s="297">
        <v>120</v>
      </c>
      <c r="AD39" s="297">
        <v>-149</v>
      </c>
      <c r="AE39" s="297">
        <v>13</v>
      </c>
      <c r="AF39" s="297">
        <v>34</v>
      </c>
      <c r="AG39" s="297">
        <v>-11</v>
      </c>
      <c r="AH39" s="297">
        <v>342</v>
      </c>
      <c r="AI39" s="297">
        <v>245</v>
      </c>
      <c r="AJ39" s="297">
        <v>557</v>
      </c>
      <c r="AK39" s="297">
        <v>283</v>
      </c>
      <c r="AL39" s="297">
        <v>477</v>
      </c>
      <c r="AM39" s="297">
        <v>190</v>
      </c>
      <c r="AN39" s="297">
        <v>355</v>
      </c>
      <c r="AO39" s="297">
        <v>176</v>
      </c>
      <c r="AP39" s="297">
        <v>-459</v>
      </c>
      <c r="AQ39" s="297">
        <v>-187</v>
      </c>
      <c r="AR39" s="297">
        <v>40</v>
      </c>
      <c r="AS39" s="297">
        <v>32</v>
      </c>
      <c r="AT39" s="297">
        <v>228</v>
      </c>
      <c r="AU39" s="297">
        <v>199</v>
      </c>
      <c r="AV39" s="297">
        <v>45</v>
      </c>
      <c r="AW39" s="297">
        <v>161</v>
      </c>
      <c r="AX39" s="297">
        <v>165</v>
      </c>
      <c r="AY39" s="297">
        <v>107</v>
      </c>
      <c r="BA39" s="205"/>
      <c r="BB39" s="205"/>
    </row>
    <row r="40" spans="2:54">
      <c r="B40" s="288">
        <v>10097</v>
      </c>
      <c r="C40" s="288" t="s">
        <v>43</v>
      </c>
      <c r="D40" s="297">
        <v>-31</v>
      </c>
      <c r="E40" s="297">
        <v>44</v>
      </c>
      <c r="F40" s="297">
        <v>-43</v>
      </c>
      <c r="G40" s="297">
        <v>117</v>
      </c>
      <c r="H40" s="297">
        <v>185</v>
      </c>
      <c r="I40" s="297">
        <v>234</v>
      </c>
      <c r="J40" s="297">
        <v>352</v>
      </c>
      <c r="K40" s="297">
        <v>346</v>
      </c>
      <c r="L40" s="297">
        <v>401</v>
      </c>
      <c r="M40" s="297">
        <v>355</v>
      </c>
      <c r="N40" s="297">
        <v>199</v>
      </c>
      <c r="O40" s="297">
        <v>217</v>
      </c>
      <c r="P40" s="297">
        <v>18</v>
      </c>
      <c r="Q40" s="297">
        <v>101</v>
      </c>
      <c r="R40" s="297">
        <v>-535</v>
      </c>
      <c r="S40" s="297">
        <v>-227</v>
      </c>
      <c r="T40" s="297">
        <v>-372</v>
      </c>
      <c r="U40" s="297">
        <v>-154</v>
      </c>
      <c r="V40" s="297">
        <v>-243</v>
      </c>
      <c r="W40" s="297">
        <v>-71</v>
      </c>
      <c r="X40" s="297">
        <v>-343</v>
      </c>
      <c r="Y40" s="297">
        <v>-128</v>
      </c>
      <c r="Z40" s="297">
        <v>-247</v>
      </c>
      <c r="AA40" s="297">
        <v>-79</v>
      </c>
      <c r="AB40" s="297">
        <v>-29</v>
      </c>
      <c r="AC40" s="297">
        <v>45</v>
      </c>
      <c r="AD40" s="297">
        <v>-40</v>
      </c>
      <c r="AE40" s="297">
        <v>119</v>
      </c>
      <c r="AF40" s="297">
        <v>188</v>
      </c>
      <c r="AG40" s="297">
        <v>236</v>
      </c>
      <c r="AH40" s="297">
        <v>355</v>
      </c>
      <c r="AI40" s="297">
        <v>348</v>
      </c>
      <c r="AJ40" s="297">
        <v>404</v>
      </c>
      <c r="AK40" s="297">
        <v>357</v>
      </c>
      <c r="AL40" s="297">
        <v>202</v>
      </c>
      <c r="AM40" s="297">
        <v>219</v>
      </c>
      <c r="AN40" s="297">
        <v>21</v>
      </c>
      <c r="AO40" s="297">
        <v>102</v>
      </c>
      <c r="AP40" s="297">
        <v>-533</v>
      </c>
      <c r="AQ40" s="297">
        <v>-226</v>
      </c>
      <c r="AR40" s="297">
        <v>-370</v>
      </c>
      <c r="AS40" s="297">
        <v>-153</v>
      </c>
      <c r="AT40" s="297">
        <v>-242</v>
      </c>
      <c r="AU40" s="297">
        <v>-70</v>
      </c>
      <c r="AV40" s="297">
        <v>-341</v>
      </c>
      <c r="AW40" s="297">
        <v>-127</v>
      </c>
      <c r="AX40" s="297">
        <v>-245</v>
      </c>
      <c r="AY40" s="297">
        <v>-78</v>
      </c>
      <c r="BA40" s="205"/>
      <c r="BB40" s="205"/>
    </row>
    <row r="41" spans="2:54">
      <c r="B41" s="288">
        <v>10101</v>
      </c>
      <c r="C41" s="288" t="s">
        <v>44</v>
      </c>
      <c r="D41" s="297">
        <v>49</v>
      </c>
      <c r="E41" s="297">
        <v>1430</v>
      </c>
      <c r="F41" s="297">
        <v>1203</v>
      </c>
      <c r="G41" s="297">
        <v>3043</v>
      </c>
      <c r="H41" s="297">
        <v>10072</v>
      </c>
      <c r="I41" s="297">
        <v>7924</v>
      </c>
      <c r="J41" s="297">
        <v>16075</v>
      </c>
      <c r="K41" s="297">
        <v>12072</v>
      </c>
      <c r="L41" s="297">
        <v>15099</v>
      </c>
      <c r="M41" s="297">
        <v>10249</v>
      </c>
      <c r="N41" s="297">
        <v>5559</v>
      </c>
      <c r="O41" s="297">
        <v>4137</v>
      </c>
      <c r="P41" s="297">
        <v>1103</v>
      </c>
      <c r="Q41" s="297">
        <v>2563</v>
      </c>
      <c r="R41" s="297">
        <v>-19411</v>
      </c>
      <c r="S41" s="297">
        <v>-8525</v>
      </c>
      <c r="T41" s="297">
        <v>-12149</v>
      </c>
      <c r="U41" s="297">
        <v>-5159</v>
      </c>
      <c r="V41" s="297">
        <v>-9041</v>
      </c>
      <c r="W41" s="297">
        <v>-2300</v>
      </c>
      <c r="X41" s="297">
        <v>-12208</v>
      </c>
      <c r="Y41" s="297">
        <v>-4391</v>
      </c>
      <c r="Z41" s="297">
        <v>-6701</v>
      </c>
      <c r="AA41" s="297">
        <v>-2569</v>
      </c>
      <c r="AB41" s="297">
        <v>21</v>
      </c>
      <c r="AC41" s="297">
        <v>1431</v>
      </c>
      <c r="AD41" s="297">
        <v>1211</v>
      </c>
      <c r="AE41" s="297">
        <v>3018</v>
      </c>
      <c r="AF41" s="297">
        <v>10090</v>
      </c>
      <c r="AG41" s="297">
        <v>7894</v>
      </c>
      <c r="AH41" s="297">
        <v>16087</v>
      </c>
      <c r="AI41" s="297">
        <v>12054</v>
      </c>
      <c r="AJ41" s="297">
        <v>14412</v>
      </c>
      <c r="AK41" s="297">
        <v>9799</v>
      </c>
      <c r="AL41" s="297">
        <v>5592</v>
      </c>
      <c r="AM41" s="297">
        <v>4073</v>
      </c>
      <c r="AN41" s="297">
        <v>1075</v>
      </c>
      <c r="AO41" s="297">
        <v>2570</v>
      </c>
      <c r="AP41" s="297">
        <v>-19416</v>
      </c>
      <c r="AQ41" s="297">
        <v>-8554</v>
      </c>
      <c r="AR41" s="297">
        <v>-12117</v>
      </c>
      <c r="AS41" s="297">
        <v>-5230</v>
      </c>
      <c r="AT41" s="297">
        <v>-9082</v>
      </c>
      <c r="AU41" s="297">
        <v>-2308</v>
      </c>
      <c r="AV41" s="297">
        <v>-12218</v>
      </c>
      <c r="AW41" s="297">
        <v>-4430</v>
      </c>
      <c r="AX41" s="297">
        <v>-6695</v>
      </c>
      <c r="AY41" s="297">
        <v>-2614</v>
      </c>
      <c r="BA41" s="205"/>
      <c r="BB41" s="205"/>
    </row>
    <row r="42" spans="2:54">
      <c r="B42" s="288">
        <v>10103</v>
      </c>
      <c r="C42" s="288" t="s">
        <v>45</v>
      </c>
      <c r="D42" s="297">
        <v>-14381</v>
      </c>
      <c r="E42" s="297">
        <v>5530</v>
      </c>
      <c r="F42" s="297">
        <v>-10477</v>
      </c>
      <c r="G42" s="297">
        <v>8934</v>
      </c>
      <c r="H42" s="297">
        <v>5393</v>
      </c>
      <c r="I42" s="297">
        <v>24662</v>
      </c>
      <c r="J42" s="297">
        <v>22416</v>
      </c>
      <c r="K42" s="297">
        <v>28988</v>
      </c>
      <c r="L42" s="297">
        <v>10217</v>
      </c>
      <c r="M42" s="297">
        <v>16982</v>
      </c>
      <c r="N42" s="297">
        <v>-3534</v>
      </c>
      <c r="O42" s="297">
        <v>6624</v>
      </c>
      <c r="P42" s="297">
        <v>-15483</v>
      </c>
      <c r="Q42" s="297">
        <v>3464</v>
      </c>
      <c r="R42" s="297">
        <v>-24597</v>
      </c>
      <c r="S42" s="297">
        <v>1252</v>
      </c>
      <c r="T42" s="297">
        <v>-26259</v>
      </c>
      <c r="U42" s="297">
        <v>-3788</v>
      </c>
      <c r="V42" s="297">
        <v>-16049</v>
      </c>
      <c r="W42" s="297">
        <v>8287</v>
      </c>
      <c r="X42" s="297">
        <v>-20466</v>
      </c>
      <c r="Y42" s="297">
        <v>2452</v>
      </c>
      <c r="Z42" s="297">
        <v>-23728</v>
      </c>
      <c r="AA42" s="297">
        <v>-389</v>
      </c>
      <c r="AB42" s="297">
        <v>-11499</v>
      </c>
      <c r="AC42" s="297">
        <v>4274</v>
      </c>
      <c r="AD42" s="297">
        <v>-9128</v>
      </c>
      <c r="AE42" s="297">
        <v>10242</v>
      </c>
      <c r="AF42" s="297">
        <v>7566</v>
      </c>
      <c r="AG42" s="297">
        <v>26792</v>
      </c>
      <c r="AH42" s="297">
        <v>24873</v>
      </c>
      <c r="AI42" s="297">
        <v>31073</v>
      </c>
      <c r="AJ42" s="297">
        <v>11791</v>
      </c>
      <c r="AK42" s="297">
        <v>18284</v>
      </c>
      <c r="AL42" s="297">
        <v>-4639</v>
      </c>
      <c r="AM42" s="297">
        <v>10077</v>
      </c>
      <c r="AN42" s="297">
        <v>-12280</v>
      </c>
      <c r="AO42" s="297">
        <v>2547</v>
      </c>
      <c r="AP42" s="297">
        <v>-22914</v>
      </c>
      <c r="AQ42" s="297">
        <v>2849</v>
      </c>
      <c r="AR42" s="297">
        <v>-27574</v>
      </c>
      <c r="AS42" s="297">
        <v>-1114</v>
      </c>
      <c r="AT42" s="297">
        <v>-13227</v>
      </c>
      <c r="AU42" s="297">
        <v>7104</v>
      </c>
      <c r="AV42" s="297">
        <v>-19296</v>
      </c>
      <c r="AW42" s="297">
        <v>3522</v>
      </c>
      <c r="AX42" s="297">
        <v>-23049</v>
      </c>
      <c r="AY42" s="297">
        <v>472</v>
      </c>
      <c r="BA42" s="205"/>
      <c r="BB42" s="205"/>
    </row>
    <row r="43" spans="2:54">
      <c r="B43" s="288">
        <v>10105</v>
      </c>
      <c r="C43" s="288" t="s">
        <v>46</v>
      </c>
      <c r="D43" s="297">
        <v>-1343</v>
      </c>
      <c r="E43" s="297">
        <v>3037</v>
      </c>
      <c r="F43" s="297">
        <v>-4740</v>
      </c>
      <c r="G43" s="297">
        <v>407</v>
      </c>
      <c r="H43" s="297">
        <v>-3086</v>
      </c>
      <c r="I43" s="297">
        <v>2208</v>
      </c>
      <c r="J43" s="297">
        <v>51</v>
      </c>
      <c r="K43" s="297">
        <v>2787</v>
      </c>
      <c r="L43" s="297">
        <v>1804</v>
      </c>
      <c r="M43" s="297">
        <v>3616</v>
      </c>
      <c r="N43" s="297">
        <v>781</v>
      </c>
      <c r="O43" s="297">
        <v>2788</v>
      </c>
      <c r="P43" s="297">
        <v>-505</v>
      </c>
      <c r="Q43" s="297">
        <v>3444</v>
      </c>
      <c r="R43" s="297">
        <v>-10776</v>
      </c>
      <c r="S43" s="297">
        <v>-3484</v>
      </c>
      <c r="T43" s="297">
        <v>-3104</v>
      </c>
      <c r="U43" s="297">
        <v>1471</v>
      </c>
      <c r="V43" s="297">
        <v>-2631</v>
      </c>
      <c r="W43" s="297">
        <v>3100</v>
      </c>
      <c r="X43" s="297">
        <v>-3275</v>
      </c>
      <c r="Y43" s="297">
        <v>1819</v>
      </c>
      <c r="Z43" s="297">
        <v>-2100</v>
      </c>
      <c r="AA43" s="297">
        <v>3109</v>
      </c>
      <c r="AB43" s="297">
        <v>-269</v>
      </c>
      <c r="AC43" s="297">
        <v>3127</v>
      </c>
      <c r="AD43" s="297">
        <v>-4730</v>
      </c>
      <c r="AE43" s="297">
        <v>844</v>
      </c>
      <c r="AF43" s="297">
        <v>-3029</v>
      </c>
      <c r="AG43" s="297">
        <v>2752</v>
      </c>
      <c r="AH43" s="297">
        <v>484</v>
      </c>
      <c r="AI43" s="297">
        <v>3409</v>
      </c>
      <c r="AJ43" s="297">
        <v>2344</v>
      </c>
      <c r="AK43" s="297">
        <v>4251</v>
      </c>
      <c r="AL43" s="297">
        <v>1016</v>
      </c>
      <c r="AM43" s="297">
        <v>4423</v>
      </c>
      <c r="AN43" s="297">
        <v>583</v>
      </c>
      <c r="AO43" s="297">
        <v>3469</v>
      </c>
      <c r="AP43" s="297">
        <v>-11438</v>
      </c>
      <c r="AQ43" s="297">
        <v>-3495</v>
      </c>
      <c r="AR43" s="297">
        <v>-3580</v>
      </c>
      <c r="AS43" s="297">
        <v>2667</v>
      </c>
      <c r="AT43" s="297">
        <v>-1660</v>
      </c>
      <c r="AU43" s="297">
        <v>3321</v>
      </c>
      <c r="AV43" s="297">
        <v>-2989</v>
      </c>
      <c r="AW43" s="297">
        <v>2452</v>
      </c>
      <c r="AX43" s="297">
        <v>-2185</v>
      </c>
      <c r="AY43" s="297">
        <v>3538</v>
      </c>
      <c r="BA43" s="205"/>
      <c r="BB43" s="205"/>
    </row>
    <row r="44" spans="2:54">
      <c r="B44" s="288">
        <v>10106</v>
      </c>
      <c r="C44" s="288" t="s">
        <v>47</v>
      </c>
      <c r="D44" s="297">
        <v>0</v>
      </c>
      <c r="E44" s="297">
        <v>0</v>
      </c>
      <c r="F44" s="297">
        <v>0</v>
      </c>
      <c r="G44" s="297">
        <v>0</v>
      </c>
      <c r="H44" s="297">
        <v>0</v>
      </c>
      <c r="I44" s="297">
        <v>0</v>
      </c>
      <c r="J44" s="297">
        <v>0</v>
      </c>
      <c r="K44" s="297">
        <v>0</v>
      </c>
      <c r="L44" s="297">
        <v>0</v>
      </c>
      <c r="M44" s="297">
        <v>0</v>
      </c>
      <c r="N44" s="297">
        <v>0</v>
      </c>
      <c r="O44" s="297">
        <v>0</v>
      </c>
      <c r="P44" s="297">
        <v>0</v>
      </c>
      <c r="Q44" s="297">
        <v>0</v>
      </c>
      <c r="R44" s="297">
        <v>0</v>
      </c>
      <c r="S44" s="297">
        <v>0</v>
      </c>
      <c r="T44" s="297">
        <v>0</v>
      </c>
      <c r="U44" s="297">
        <v>0</v>
      </c>
      <c r="V44" s="297">
        <v>0</v>
      </c>
      <c r="W44" s="297">
        <v>0</v>
      </c>
      <c r="X44" s="297">
        <v>0</v>
      </c>
      <c r="Y44" s="297">
        <v>0</v>
      </c>
      <c r="Z44" s="297">
        <v>0</v>
      </c>
      <c r="AA44" s="297">
        <v>0</v>
      </c>
      <c r="AB44" s="297">
        <v>0</v>
      </c>
      <c r="AC44" s="297">
        <v>0</v>
      </c>
      <c r="AD44" s="297">
        <v>0</v>
      </c>
      <c r="AE44" s="297">
        <v>0</v>
      </c>
      <c r="AF44" s="297">
        <v>0</v>
      </c>
      <c r="AG44" s="297">
        <v>0</v>
      </c>
      <c r="AH44" s="297">
        <v>0</v>
      </c>
      <c r="AI44" s="297">
        <v>0</v>
      </c>
      <c r="AJ44" s="297">
        <v>0</v>
      </c>
      <c r="AK44" s="297">
        <v>0</v>
      </c>
      <c r="AL44" s="297">
        <v>0</v>
      </c>
      <c r="AM44" s="297">
        <v>0</v>
      </c>
      <c r="AN44" s="297">
        <v>0</v>
      </c>
      <c r="AO44" s="297">
        <v>0</v>
      </c>
      <c r="AP44" s="297">
        <v>0</v>
      </c>
      <c r="AQ44" s="297">
        <v>0</v>
      </c>
      <c r="AR44" s="297">
        <v>0</v>
      </c>
      <c r="AS44" s="297">
        <v>0</v>
      </c>
      <c r="AT44" s="297">
        <v>0</v>
      </c>
      <c r="AU44" s="297">
        <v>0</v>
      </c>
      <c r="AV44" s="297">
        <v>0</v>
      </c>
      <c r="AW44" s="297">
        <v>0</v>
      </c>
      <c r="AX44" s="297">
        <v>0</v>
      </c>
      <c r="AY44" s="297">
        <v>0</v>
      </c>
      <c r="BA44" s="205"/>
      <c r="BB44" s="205"/>
    </row>
    <row r="45" spans="2:54">
      <c r="B45" s="288">
        <v>10109</v>
      </c>
      <c r="C45" s="288" t="s">
        <v>48</v>
      </c>
      <c r="D45" s="297">
        <v>-1188</v>
      </c>
      <c r="E45" s="297">
        <v>-397</v>
      </c>
      <c r="F45" s="297">
        <v>-2596</v>
      </c>
      <c r="G45" s="297">
        <v>-1158</v>
      </c>
      <c r="H45" s="297">
        <v>-1455</v>
      </c>
      <c r="I45" s="297">
        <v>-212</v>
      </c>
      <c r="J45" s="297">
        <v>-811</v>
      </c>
      <c r="K45" s="297">
        <v>-185</v>
      </c>
      <c r="L45" s="297">
        <v>-533</v>
      </c>
      <c r="M45" s="297">
        <v>-97</v>
      </c>
      <c r="N45" s="297">
        <v>-1476</v>
      </c>
      <c r="O45" s="297">
        <v>-432</v>
      </c>
      <c r="P45" s="297">
        <v>21</v>
      </c>
      <c r="Q45" s="297">
        <v>376</v>
      </c>
      <c r="R45" s="297">
        <v>-1690</v>
      </c>
      <c r="S45" s="297">
        <v>222</v>
      </c>
      <c r="T45" s="297">
        <v>278</v>
      </c>
      <c r="U45" s="297">
        <v>834</v>
      </c>
      <c r="V45" s="297">
        <v>1133</v>
      </c>
      <c r="W45" s="297">
        <v>1397</v>
      </c>
      <c r="X45" s="297">
        <v>175</v>
      </c>
      <c r="Y45" s="297">
        <v>1195</v>
      </c>
      <c r="Z45" s="297">
        <v>-248</v>
      </c>
      <c r="AA45" s="297">
        <v>462</v>
      </c>
      <c r="AB45" s="297">
        <v>-1271</v>
      </c>
      <c r="AC45" s="297">
        <v>-395</v>
      </c>
      <c r="AD45" s="297">
        <v>-2818</v>
      </c>
      <c r="AE45" s="297">
        <v>-1017</v>
      </c>
      <c r="AF45" s="297">
        <v>-1284</v>
      </c>
      <c r="AG45" s="297">
        <v>-466</v>
      </c>
      <c r="AH45" s="297">
        <v>-1056</v>
      </c>
      <c r="AI45" s="297">
        <v>-22</v>
      </c>
      <c r="AJ45" s="297">
        <v>-727</v>
      </c>
      <c r="AK45" s="297">
        <v>-187</v>
      </c>
      <c r="AL45" s="297">
        <v>-1313</v>
      </c>
      <c r="AM45" s="297">
        <v>-678</v>
      </c>
      <c r="AN45" s="297">
        <v>-61</v>
      </c>
      <c r="AO45" s="297">
        <v>378</v>
      </c>
      <c r="AP45" s="297">
        <v>-1737</v>
      </c>
      <c r="AQ45" s="297">
        <v>186</v>
      </c>
      <c r="AR45" s="297">
        <v>270</v>
      </c>
      <c r="AS45" s="297">
        <v>763</v>
      </c>
      <c r="AT45" s="297">
        <v>1051</v>
      </c>
      <c r="AU45" s="297">
        <v>1397</v>
      </c>
      <c r="AV45" s="297">
        <v>127</v>
      </c>
      <c r="AW45" s="297">
        <v>1161</v>
      </c>
      <c r="AX45" s="297">
        <v>-291</v>
      </c>
      <c r="AY45" s="297">
        <v>425</v>
      </c>
      <c r="BA45" s="205"/>
      <c r="BB45" s="205"/>
    </row>
    <row r="46" spans="2:54">
      <c r="B46" s="288">
        <v>10111</v>
      </c>
      <c r="C46" s="288" t="s">
        <v>49</v>
      </c>
      <c r="D46" s="297">
        <v>-328</v>
      </c>
      <c r="E46" s="297">
        <v>-94</v>
      </c>
      <c r="F46" s="297">
        <v>-345</v>
      </c>
      <c r="G46" s="297">
        <v>-20</v>
      </c>
      <c r="H46" s="297">
        <v>-22</v>
      </c>
      <c r="I46" s="297">
        <v>297</v>
      </c>
      <c r="J46" s="297">
        <v>153</v>
      </c>
      <c r="K46" s="297">
        <v>288</v>
      </c>
      <c r="L46" s="297">
        <v>152</v>
      </c>
      <c r="M46" s="297">
        <v>229</v>
      </c>
      <c r="N46" s="297">
        <v>-206</v>
      </c>
      <c r="O46" s="297">
        <v>56</v>
      </c>
      <c r="P46" s="297">
        <v>-133</v>
      </c>
      <c r="Q46" s="297">
        <v>50</v>
      </c>
      <c r="R46" s="297">
        <v>-597</v>
      </c>
      <c r="S46" s="297">
        <v>-87</v>
      </c>
      <c r="T46" s="297">
        <v>-191</v>
      </c>
      <c r="U46" s="297">
        <v>32</v>
      </c>
      <c r="V46" s="297">
        <v>415</v>
      </c>
      <c r="W46" s="297">
        <v>477</v>
      </c>
      <c r="X46" s="297">
        <v>191</v>
      </c>
      <c r="Y46" s="297">
        <v>413</v>
      </c>
      <c r="Z46" s="297">
        <v>3</v>
      </c>
      <c r="AA46" s="297">
        <v>180</v>
      </c>
      <c r="AB46" s="297">
        <v>-321</v>
      </c>
      <c r="AC46" s="297">
        <v>-90</v>
      </c>
      <c r="AD46" s="297">
        <v>-389</v>
      </c>
      <c r="AE46" s="297">
        <v>38</v>
      </c>
      <c r="AF46" s="297">
        <v>51</v>
      </c>
      <c r="AG46" s="297">
        <v>237</v>
      </c>
      <c r="AH46" s="297">
        <v>99</v>
      </c>
      <c r="AI46" s="297">
        <v>353</v>
      </c>
      <c r="AJ46" s="297">
        <v>120</v>
      </c>
      <c r="AK46" s="297">
        <v>220</v>
      </c>
      <c r="AL46" s="297">
        <v>-154</v>
      </c>
      <c r="AM46" s="297">
        <v>15</v>
      </c>
      <c r="AN46" s="297">
        <v>-127</v>
      </c>
      <c r="AO46" s="297">
        <v>53</v>
      </c>
      <c r="AP46" s="297">
        <v>-589</v>
      </c>
      <c r="AQ46" s="297">
        <v>-82</v>
      </c>
      <c r="AR46" s="297">
        <v>-184</v>
      </c>
      <c r="AS46" s="297">
        <v>36</v>
      </c>
      <c r="AT46" s="297">
        <v>421</v>
      </c>
      <c r="AU46" s="297">
        <v>481</v>
      </c>
      <c r="AV46" s="297">
        <v>198</v>
      </c>
      <c r="AW46" s="297">
        <v>416</v>
      </c>
      <c r="AX46" s="297">
        <v>9</v>
      </c>
      <c r="AY46" s="297">
        <v>183</v>
      </c>
      <c r="BA46" s="205"/>
      <c r="BB46" s="205"/>
    </row>
    <row r="47" spans="2:54">
      <c r="B47" s="288">
        <v>10112</v>
      </c>
      <c r="C47" s="288" t="s">
        <v>50</v>
      </c>
      <c r="D47" s="297">
        <v>-895</v>
      </c>
      <c r="E47" s="297">
        <v>1083</v>
      </c>
      <c r="F47" s="297">
        <v>-3844</v>
      </c>
      <c r="G47" s="297">
        <v>-163</v>
      </c>
      <c r="H47" s="297">
        <v>480</v>
      </c>
      <c r="I47" s="297">
        <v>2097</v>
      </c>
      <c r="J47" s="297">
        <v>4362</v>
      </c>
      <c r="K47" s="297">
        <v>4177</v>
      </c>
      <c r="L47" s="297">
        <v>5734</v>
      </c>
      <c r="M47" s="297">
        <v>4288</v>
      </c>
      <c r="N47" s="297">
        <v>1336</v>
      </c>
      <c r="O47" s="297">
        <v>1571</v>
      </c>
      <c r="P47" s="297">
        <v>-201</v>
      </c>
      <c r="Q47" s="297">
        <v>1322</v>
      </c>
      <c r="R47" s="297">
        <v>-12143</v>
      </c>
      <c r="S47" s="297">
        <v>-5010</v>
      </c>
      <c r="T47" s="297">
        <v>-6507</v>
      </c>
      <c r="U47" s="297">
        <v>-1905</v>
      </c>
      <c r="V47" s="297">
        <v>-2315</v>
      </c>
      <c r="W47" s="297">
        <v>1400</v>
      </c>
      <c r="X47" s="297">
        <v>-4424</v>
      </c>
      <c r="Y47" s="297">
        <v>-46</v>
      </c>
      <c r="Z47" s="297">
        <v>-2821</v>
      </c>
      <c r="AA47" s="297">
        <v>117</v>
      </c>
      <c r="AB47" s="297">
        <v>-896</v>
      </c>
      <c r="AC47" s="297">
        <v>1085</v>
      </c>
      <c r="AD47" s="297">
        <v>-3851</v>
      </c>
      <c r="AE47" s="297">
        <v>-163</v>
      </c>
      <c r="AF47" s="297">
        <v>481</v>
      </c>
      <c r="AG47" s="297">
        <v>2102</v>
      </c>
      <c r="AH47" s="297">
        <v>4371</v>
      </c>
      <c r="AI47" s="297">
        <v>4186</v>
      </c>
      <c r="AJ47" s="297">
        <v>4744</v>
      </c>
      <c r="AK47" s="297">
        <v>3676</v>
      </c>
      <c r="AL47" s="297">
        <v>1373</v>
      </c>
      <c r="AM47" s="297">
        <v>1596</v>
      </c>
      <c r="AN47" s="297">
        <v>-201</v>
      </c>
      <c r="AO47" s="297">
        <v>1325</v>
      </c>
      <c r="AP47" s="297">
        <v>-12166</v>
      </c>
      <c r="AQ47" s="297">
        <v>-5020</v>
      </c>
      <c r="AR47" s="297">
        <v>-6520</v>
      </c>
      <c r="AS47" s="297">
        <v>-1908</v>
      </c>
      <c r="AT47" s="297">
        <v>-2319</v>
      </c>
      <c r="AU47" s="297">
        <v>1403</v>
      </c>
      <c r="AV47" s="297">
        <v>-4433</v>
      </c>
      <c r="AW47" s="297">
        <v>-46</v>
      </c>
      <c r="AX47" s="297">
        <v>-2826</v>
      </c>
      <c r="AY47" s="297">
        <v>117</v>
      </c>
      <c r="BA47" s="205"/>
      <c r="BB47" s="205"/>
    </row>
    <row r="48" spans="2:54">
      <c r="B48" s="288">
        <v>10113</v>
      </c>
      <c r="C48" s="288" t="s">
        <v>51</v>
      </c>
      <c r="D48" s="297">
        <v>-2867</v>
      </c>
      <c r="E48" s="297">
        <v>-1126</v>
      </c>
      <c r="F48" s="297">
        <v>-10665</v>
      </c>
      <c r="G48" s="297">
        <v>-5500</v>
      </c>
      <c r="H48" s="297">
        <v>-10451</v>
      </c>
      <c r="I48" s="297">
        <v>-5319</v>
      </c>
      <c r="J48" s="297">
        <v>-7540</v>
      </c>
      <c r="K48" s="297">
        <v>-4290</v>
      </c>
      <c r="L48" s="297">
        <v>-5914</v>
      </c>
      <c r="M48" s="297">
        <v>-3246</v>
      </c>
      <c r="N48" s="297">
        <v>-6991</v>
      </c>
      <c r="O48" s="297">
        <v>-3418</v>
      </c>
      <c r="P48" s="297">
        <v>-1657</v>
      </c>
      <c r="Q48" s="297">
        <v>-675</v>
      </c>
      <c r="R48" s="297">
        <v>-2274</v>
      </c>
      <c r="S48" s="297">
        <v>2019</v>
      </c>
      <c r="T48" s="297">
        <v>7931</v>
      </c>
      <c r="U48" s="297">
        <v>6824</v>
      </c>
      <c r="V48" s="297">
        <v>14559</v>
      </c>
      <c r="W48" s="297">
        <v>12471</v>
      </c>
      <c r="X48" s="297">
        <v>9177</v>
      </c>
      <c r="Y48" s="297">
        <v>9573</v>
      </c>
      <c r="Z48" s="297">
        <v>1478</v>
      </c>
      <c r="AA48" s="297">
        <v>1934</v>
      </c>
      <c r="AB48" s="297">
        <v>-3109</v>
      </c>
      <c r="AC48" s="297">
        <v>-1174</v>
      </c>
      <c r="AD48" s="297">
        <v>-11244</v>
      </c>
      <c r="AE48" s="297">
        <v>-5258</v>
      </c>
      <c r="AF48" s="297">
        <v>-10245</v>
      </c>
      <c r="AG48" s="297">
        <v>-5877</v>
      </c>
      <c r="AH48" s="297">
        <v>-8112</v>
      </c>
      <c r="AI48" s="297">
        <v>-4075</v>
      </c>
      <c r="AJ48" s="297">
        <v>-6417</v>
      </c>
      <c r="AK48" s="297">
        <v>-3518</v>
      </c>
      <c r="AL48" s="297">
        <v>-6703</v>
      </c>
      <c r="AM48" s="297">
        <v>-4057</v>
      </c>
      <c r="AN48" s="297">
        <v>-1882</v>
      </c>
      <c r="AO48" s="297">
        <v>-713</v>
      </c>
      <c r="AP48" s="297">
        <v>-2350</v>
      </c>
      <c r="AQ48" s="297">
        <v>1948</v>
      </c>
      <c r="AR48" s="297">
        <v>8012</v>
      </c>
      <c r="AS48" s="297">
        <v>6690</v>
      </c>
      <c r="AT48" s="297">
        <v>14499</v>
      </c>
      <c r="AU48" s="297">
        <v>12545</v>
      </c>
      <c r="AV48" s="297">
        <v>9163</v>
      </c>
      <c r="AW48" s="297">
        <v>9550</v>
      </c>
      <c r="AX48" s="297">
        <v>1391</v>
      </c>
      <c r="AY48" s="297">
        <v>1816</v>
      </c>
      <c r="BA48" s="205"/>
      <c r="BB48" s="205"/>
    </row>
    <row r="49" spans="2:54">
      <c r="B49" s="288">
        <v>10116</v>
      </c>
      <c r="C49" s="288" t="s">
        <v>52</v>
      </c>
      <c r="D49" s="306">
        <v>8.3036922425344528</v>
      </c>
      <c r="E49" s="306">
        <v>27.829855844784689</v>
      </c>
      <c r="F49" s="306">
        <v>-16.169303507441668</v>
      </c>
      <c r="G49" s="306">
        <v>12.946282056074466</v>
      </c>
      <c r="H49" s="306">
        <v>-5.8925996032390913</v>
      </c>
      <c r="I49" s="306">
        <v>16.661386331383369</v>
      </c>
      <c r="J49" s="306">
        <v>13.826676033309596</v>
      </c>
      <c r="K49" s="306">
        <v>24.249374677022402</v>
      </c>
      <c r="L49" s="306">
        <v>18.221371293882157</v>
      </c>
      <c r="M49" s="306">
        <v>25.363579077922495</v>
      </c>
      <c r="N49" s="306">
        <v>9.4906680578814502</v>
      </c>
      <c r="O49" s="306">
        <v>21.532538332002254</v>
      </c>
      <c r="P49" s="306">
        <v>11.012907082615897</v>
      </c>
      <c r="Q49" s="306">
        <v>28.231017987828899</v>
      </c>
      <c r="R49" s="306">
        <v>-32.054214659030706</v>
      </c>
      <c r="S49" s="306">
        <v>2.3963240446181118</v>
      </c>
      <c r="T49" s="306">
        <v>7.3912992508191024</v>
      </c>
      <c r="U49" s="306">
        <v>31.928674936360693</v>
      </c>
      <c r="V49" s="306">
        <v>34.291026178234745</v>
      </c>
      <c r="W49" s="306">
        <v>49.166496682314602</v>
      </c>
      <c r="X49" s="306">
        <v>8.0017014037646845</v>
      </c>
      <c r="Y49" s="306">
        <v>36.009214947312394</v>
      </c>
      <c r="Z49" s="306">
        <v>9.6929828764236561</v>
      </c>
      <c r="AA49" s="306">
        <v>26.594498905212504</v>
      </c>
      <c r="AB49" s="306">
        <v>7.3056190369680536</v>
      </c>
      <c r="AC49" s="306">
        <v>27.894721237851101</v>
      </c>
      <c r="AD49" s="306">
        <v>-15.660303507441668</v>
      </c>
      <c r="AE49" s="306">
        <v>13.357282056074467</v>
      </c>
      <c r="AF49" s="306">
        <v>-5.346599603239099</v>
      </c>
      <c r="AG49" s="306">
        <v>17.093386331383371</v>
      </c>
      <c r="AH49" s="306">
        <v>14.384676033309603</v>
      </c>
      <c r="AI49" s="306">
        <v>24.673374677022409</v>
      </c>
      <c r="AJ49" s="306">
        <v>18.721371293882157</v>
      </c>
      <c r="AK49" s="306">
        <v>25.72857907792249</v>
      </c>
      <c r="AL49" s="306">
        <v>10.022668057881447</v>
      </c>
      <c r="AM49" s="306">
        <v>21.92153833200225</v>
      </c>
      <c r="AN49" s="306">
        <v>11.541907082615893</v>
      </c>
      <c r="AO49" s="306">
        <v>28.635217987828902</v>
      </c>
      <c r="AP49" s="306">
        <v>-31.525214659030709</v>
      </c>
      <c r="AQ49" s="306">
        <v>2.8005240446181148</v>
      </c>
      <c r="AR49" s="306">
        <v>7.9864242508190983</v>
      </c>
      <c r="AS49" s="306">
        <v>32.383399936360703</v>
      </c>
      <c r="AT49" s="306">
        <v>34.95227617823474</v>
      </c>
      <c r="AU49" s="306">
        <v>49.671746682314605</v>
      </c>
      <c r="AV49" s="306">
        <v>8.5968264037646804</v>
      </c>
      <c r="AW49" s="306">
        <v>36.463939947312404</v>
      </c>
      <c r="AX49" s="306">
        <v>10.221982876423652</v>
      </c>
      <c r="AY49" s="306">
        <v>26.998698905212507</v>
      </c>
      <c r="BA49" s="205"/>
      <c r="BB49" s="205"/>
    </row>
    <row r="50" spans="2:54">
      <c r="B50" s="288">
        <v>10118</v>
      </c>
      <c r="C50" s="288" t="s">
        <v>53</v>
      </c>
      <c r="D50" s="297">
        <v>0</v>
      </c>
      <c r="E50" s="297">
        <v>0</v>
      </c>
      <c r="F50" s="297">
        <v>0</v>
      </c>
      <c r="G50" s="297">
        <v>0</v>
      </c>
      <c r="H50" s="297">
        <v>0</v>
      </c>
      <c r="I50" s="297">
        <v>0</v>
      </c>
      <c r="J50" s="297">
        <v>0</v>
      </c>
      <c r="K50" s="297">
        <v>0</v>
      </c>
      <c r="L50" s="297">
        <v>0</v>
      </c>
      <c r="M50" s="297">
        <v>0</v>
      </c>
      <c r="N50" s="297">
        <v>0</v>
      </c>
      <c r="O50" s="297">
        <v>0</v>
      </c>
      <c r="P50" s="297">
        <v>0</v>
      </c>
      <c r="Q50" s="297">
        <v>0</v>
      </c>
      <c r="R50" s="297">
        <v>0</v>
      </c>
      <c r="S50" s="297">
        <v>0</v>
      </c>
      <c r="T50" s="297">
        <v>0</v>
      </c>
      <c r="U50" s="297">
        <v>0</v>
      </c>
      <c r="V50" s="297">
        <v>0</v>
      </c>
      <c r="W50" s="297">
        <v>0</v>
      </c>
      <c r="X50" s="297">
        <v>0</v>
      </c>
      <c r="Y50" s="297">
        <v>0</v>
      </c>
      <c r="Z50" s="297">
        <v>0</v>
      </c>
      <c r="AA50" s="297">
        <v>0</v>
      </c>
      <c r="AB50" s="297">
        <v>0</v>
      </c>
      <c r="AC50" s="297">
        <v>0</v>
      </c>
      <c r="AD50" s="297">
        <v>0</v>
      </c>
      <c r="AE50" s="297">
        <v>0</v>
      </c>
      <c r="AF50" s="297">
        <v>0</v>
      </c>
      <c r="AG50" s="297">
        <v>0</v>
      </c>
      <c r="AH50" s="297">
        <v>0</v>
      </c>
      <c r="AI50" s="297">
        <v>0</v>
      </c>
      <c r="AJ50" s="297">
        <v>0</v>
      </c>
      <c r="AK50" s="297">
        <v>0</v>
      </c>
      <c r="AL50" s="297">
        <v>0</v>
      </c>
      <c r="AM50" s="297">
        <v>0</v>
      </c>
      <c r="AN50" s="297">
        <v>0</v>
      </c>
      <c r="AO50" s="297">
        <v>0</v>
      </c>
      <c r="AP50" s="297">
        <v>0</v>
      </c>
      <c r="AQ50" s="297">
        <v>0</v>
      </c>
      <c r="AR50" s="297">
        <v>0</v>
      </c>
      <c r="AS50" s="297">
        <v>0</v>
      </c>
      <c r="AT50" s="297">
        <v>0</v>
      </c>
      <c r="AU50" s="297">
        <v>0</v>
      </c>
      <c r="AV50" s="297">
        <v>0</v>
      </c>
      <c r="AW50" s="297">
        <v>0</v>
      </c>
      <c r="AX50" s="297">
        <v>0</v>
      </c>
      <c r="AY50" s="297">
        <v>0</v>
      </c>
      <c r="BA50" s="205"/>
      <c r="BB50" s="205"/>
    </row>
    <row r="51" spans="2:54">
      <c r="B51" s="288">
        <v>10121</v>
      </c>
      <c r="C51" s="288" t="s">
        <v>54</v>
      </c>
      <c r="D51" s="297">
        <v>0</v>
      </c>
      <c r="E51" s="297">
        <v>0</v>
      </c>
      <c r="F51" s="297">
        <v>0</v>
      </c>
      <c r="G51" s="297">
        <v>0</v>
      </c>
      <c r="H51" s="297">
        <v>0</v>
      </c>
      <c r="I51" s="297">
        <v>0</v>
      </c>
      <c r="J51" s="297">
        <v>0</v>
      </c>
      <c r="K51" s="297">
        <v>0</v>
      </c>
      <c r="L51" s="297">
        <v>0</v>
      </c>
      <c r="M51" s="297">
        <v>0</v>
      </c>
      <c r="N51" s="297">
        <v>0</v>
      </c>
      <c r="O51" s="297">
        <v>0</v>
      </c>
      <c r="P51" s="297">
        <v>0</v>
      </c>
      <c r="Q51" s="297">
        <v>0</v>
      </c>
      <c r="R51" s="297">
        <v>0</v>
      </c>
      <c r="S51" s="297">
        <v>0</v>
      </c>
      <c r="T51" s="297">
        <v>0</v>
      </c>
      <c r="U51" s="297">
        <v>0</v>
      </c>
      <c r="V51" s="297">
        <v>0</v>
      </c>
      <c r="W51" s="297">
        <v>0</v>
      </c>
      <c r="X51" s="297">
        <v>0</v>
      </c>
      <c r="Y51" s="297">
        <v>0</v>
      </c>
      <c r="Z51" s="297">
        <v>0</v>
      </c>
      <c r="AA51" s="297">
        <v>0</v>
      </c>
      <c r="AB51" s="297">
        <v>0</v>
      </c>
      <c r="AC51" s="297">
        <v>0</v>
      </c>
      <c r="AD51" s="297">
        <v>0</v>
      </c>
      <c r="AE51" s="297">
        <v>0</v>
      </c>
      <c r="AF51" s="297">
        <v>0</v>
      </c>
      <c r="AG51" s="297">
        <v>0</v>
      </c>
      <c r="AH51" s="297">
        <v>0</v>
      </c>
      <c r="AI51" s="297">
        <v>0</v>
      </c>
      <c r="AJ51" s="297">
        <v>0</v>
      </c>
      <c r="AK51" s="297">
        <v>0</v>
      </c>
      <c r="AL51" s="297">
        <v>0</v>
      </c>
      <c r="AM51" s="297">
        <v>0</v>
      </c>
      <c r="AN51" s="297">
        <v>0</v>
      </c>
      <c r="AO51" s="297">
        <v>0</v>
      </c>
      <c r="AP51" s="297">
        <v>0</v>
      </c>
      <c r="AQ51" s="297">
        <v>0</v>
      </c>
      <c r="AR51" s="297">
        <v>0</v>
      </c>
      <c r="AS51" s="297">
        <v>0</v>
      </c>
      <c r="AT51" s="297">
        <v>0</v>
      </c>
      <c r="AU51" s="297">
        <v>0</v>
      </c>
      <c r="AV51" s="297">
        <v>0</v>
      </c>
      <c r="AW51" s="297">
        <v>0</v>
      </c>
      <c r="AX51" s="297">
        <v>0</v>
      </c>
      <c r="AY51" s="297">
        <v>0</v>
      </c>
      <c r="BA51" s="205"/>
      <c r="BB51" s="205"/>
    </row>
    <row r="52" spans="2:54">
      <c r="B52" s="288">
        <v>10123</v>
      </c>
      <c r="C52" s="288" t="s">
        <v>55</v>
      </c>
      <c r="D52" s="297">
        <v>-6021</v>
      </c>
      <c r="E52" s="297">
        <v>10963</v>
      </c>
      <c r="F52" s="297">
        <v>-16550</v>
      </c>
      <c r="G52" s="297">
        <v>2869</v>
      </c>
      <c r="H52" s="297">
        <v>-12808</v>
      </c>
      <c r="I52" s="297">
        <v>7634</v>
      </c>
      <c r="J52" s="297">
        <v>-50</v>
      </c>
      <c r="K52" s="297">
        <v>10498</v>
      </c>
      <c r="L52" s="297">
        <v>3299</v>
      </c>
      <c r="M52" s="297">
        <v>11154</v>
      </c>
      <c r="N52" s="297">
        <v>-2014</v>
      </c>
      <c r="O52" s="297">
        <v>7089</v>
      </c>
      <c r="P52" s="297">
        <v>-4641</v>
      </c>
      <c r="Q52" s="297">
        <v>11049</v>
      </c>
      <c r="R52" s="297">
        <v>-32280</v>
      </c>
      <c r="S52" s="297">
        <v>-6224</v>
      </c>
      <c r="T52" s="297">
        <v>-16035</v>
      </c>
      <c r="U52" s="297">
        <v>2625</v>
      </c>
      <c r="V52" s="297">
        <v>-8258</v>
      </c>
      <c r="W52" s="297">
        <v>13470</v>
      </c>
      <c r="X52" s="297">
        <v>-12239</v>
      </c>
      <c r="Y52" s="297">
        <v>7211</v>
      </c>
      <c r="Z52" s="297">
        <v>-8855</v>
      </c>
      <c r="AA52" s="297">
        <v>11225</v>
      </c>
      <c r="AB52" s="297">
        <v>-1337</v>
      </c>
      <c r="AC52" s="297">
        <v>11971</v>
      </c>
      <c r="AD52" s="297">
        <v>-15844</v>
      </c>
      <c r="AE52" s="297">
        <v>5352</v>
      </c>
      <c r="AF52" s="297">
        <v>-11495</v>
      </c>
      <c r="AG52" s="297">
        <v>10976</v>
      </c>
      <c r="AH52" s="297">
        <v>2989</v>
      </c>
      <c r="AI52" s="297">
        <v>14144</v>
      </c>
      <c r="AJ52" s="297">
        <v>5961</v>
      </c>
      <c r="AK52" s="297">
        <v>14180</v>
      </c>
      <c r="AL52" s="297">
        <v>-1967</v>
      </c>
      <c r="AM52" s="297">
        <v>12567</v>
      </c>
      <c r="AN52" s="297">
        <v>3</v>
      </c>
      <c r="AO52" s="297">
        <v>11850</v>
      </c>
      <c r="AP52" s="297">
        <v>-33525</v>
      </c>
      <c r="AQ52" s="297">
        <v>-4923</v>
      </c>
      <c r="AR52" s="297">
        <v>-17766</v>
      </c>
      <c r="AS52" s="297">
        <v>7327</v>
      </c>
      <c r="AT52" s="297">
        <v>-4334</v>
      </c>
      <c r="AU52" s="297">
        <v>14614</v>
      </c>
      <c r="AV52" s="297">
        <v>-11108</v>
      </c>
      <c r="AW52" s="297">
        <v>9932</v>
      </c>
      <c r="AX52" s="297">
        <v>-7656</v>
      </c>
      <c r="AY52" s="297">
        <v>14527</v>
      </c>
      <c r="BA52" s="205"/>
      <c r="BB52" s="205"/>
    </row>
    <row r="53" spans="2:54">
      <c r="B53" s="288">
        <v>10136</v>
      </c>
      <c r="C53" s="288" t="s">
        <v>56</v>
      </c>
      <c r="D53" s="297">
        <v>0</v>
      </c>
      <c r="E53" s="297">
        <v>0</v>
      </c>
      <c r="F53" s="297">
        <v>0</v>
      </c>
      <c r="G53" s="297">
        <v>0</v>
      </c>
      <c r="H53" s="297">
        <v>0</v>
      </c>
      <c r="I53" s="297">
        <v>0</v>
      </c>
      <c r="J53" s="297">
        <v>0</v>
      </c>
      <c r="K53" s="297">
        <v>0</v>
      </c>
      <c r="L53" s="297">
        <v>0</v>
      </c>
      <c r="M53" s="297">
        <v>0</v>
      </c>
      <c r="N53" s="297">
        <v>0</v>
      </c>
      <c r="O53" s="297">
        <v>0</v>
      </c>
      <c r="P53" s="297">
        <v>0</v>
      </c>
      <c r="Q53" s="297">
        <v>0</v>
      </c>
      <c r="R53" s="297">
        <v>0</v>
      </c>
      <c r="S53" s="297">
        <v>0</v>
      </c>
      <c r="T53" s="297">
        <v>0</v>
      </c>
      <c r="U53" s="297">
        <v>0</v>
      </c>
      <c r="V53" s="297">
        <v>0</v>
      </c>
      <c r="W53" s="297">
        <v>0</v>
      </c>
      <c r="X53" s="297">
        <v>0</v>
      </c>
      <c r="Y53" s="297">
        <v>0</v>
      </c>
      <c r="Z53" s="297">
        <v>0</v>
      </c>
      <c r="AA53" s="297">
        <v>0</v>
      </c>
      <c r="AB53" s="297">
        <v>0</v>
      </c>
      <c r="AC53" s="297">
        <v>0</v>
      </c>
      <c r="AD53" s="297">
        <v>0</v>
      </c>
      <c r="AE53" s="297">
        <v>0</v>
      </c>
      <c r="AF53" s="297">
        <v>0</v>
      </c>
      <c r="AG53" s="297">
        <v>0</v>
      </c>
      <c r="AH53" s="297">
        <v>0</v>
      </c>
      <c r="AI53" s="297">
        <v>0</v>
      </c>
      <c r="AJ53" s="297">
        <v>0</v>
      </c>
      <c r="AK53" s="297">
        <v>0</v>
      </c>
      <c r="AL53" s="297">
        <v>0</v>
      </c>
      <c r="AM53" s="297">
        <v>0</v>
      </c>
      <c r="AN53" s="297">
        <v>0</v>
      </c>
      <c r="AO53" s="297">
        <v>0</v>
      </c>
      <c r="AP53" s="297">
        <v>0</v>
      </c>
      <c r="AQ53" s="297">
        <v>0</v>
      </c>
      <c r="AR53" s="297">
        <v>0</v>
      </c>
      <c r="AS53" s="297">
        <v>0</v>
      </c>
      <c r="AT53" s="297">
        <v>0</v>
      </c>
      <c r="AU53" s="297">
        <v>0</v>
      </c>
      <c r="AV53" s="297">
        <v>0</v>
      </c>
      <c r="AW53" s="297">
        <v>0</v>
      </c>
      <c r="AX53" s="297">
        <v>0</v>
      </c>
      <c r="AY53" s="297">
        <v>0</v>
      </c>
      <c r="BA53" s="205"/>
      <c r="BB53" s="205"/>
    </row>
    <row r="54" spans="2:54">
      <c r="B54" s="288">
        <v>10142</v>
      </c>
      <c r="C54" s="288" t="s">
        <v>57</v>
      </c>
      <c r="D54" s="297">
        <v>-212</v>
      </c>
      <c r="E54" s="297">
        <v>-27</v>
      </c>
      <c r="F54" s="297">
        <v>-481</v>
      </c>
      <c r="G54" s="297">
        <v>-144</v>
      </c>
      <c r="H54" s="297">
        <v>-218</v>
      </c>
      <c r="I54" s="297">
        <v>77</v>
      </c>
      <c r="J54" s="297">
        <v>17</v>
      </c>
      <c r="K54" s="297">
        <v>146</v>
      </c>
      <c r="L54" s="297">
        <v>24</v>
      </c>
      <c r="M54" s="297">
        <v>110</v>
      </c>
      <c r="N54" s="297">
        <v>-339</v>
      </c>
      <c r="O54" s="297">
        <v>-88</v>
      </c>
      <c r="P54" s="297">
        <v>-161</v>
      </c>
      <c r="Q54" s="297">
        <v>-24</v>
      </c>
      <c r="R54" s="297">
        <v>-176</v>
      </c>
      <c r="S54" s="297">
        <v>62</v>
      </c>
      <c r="T54" s="297">
        <v>730</v>
      </c>
      <c r="U54" s="297">
        <v>492</v>
      </c>
      <c r="V54" s="297">
        <v>965</v>
      </c>
      <c r="W54" s="297">
        <v>752</v>
      </c>
      <c r="X54" s="297">
        <v>536</v>
      </c>
      <c r="Y54" s="297">
        <v>463</v>
      </c>
      <c r="Z54" s="297">
        <v>142</v>
      </c>
      <c r="AA54" s="297">
        <v>160</v>
      </c>
      <c r="AB54" s="297">
        <v>-211</v>
      </c>
      <c r="AC54" s="297">
        <v>-26</v>
      </c>
      <c r="AD54" s="297">
        <v>-514</v>
      </c>
      <c r="AE54" s="297">
        <v>-108</v>
      </c>
      <c r="AF54" s="297">
        <v>-172</v>
      </c>
      <c r="AG54" s="297">
        <v>35</v>
      </c>
      <c r="AH54" s="297">
        <v>-24</v>
      </c>
      <c r="AI54" s="297">
        <v>190</v>
      </c>
      <c r="AJ54" s="297">
        <v>-15</v>
      </c>
      <c r="AK54" s="297">
        <v>93</v>
      </c>
      <c r="AL54" s="297">
        <v>-308</v>
      </c>
      <c r="AM54" s="297">
        <v>-116</v>
      </c>
      <c r="AN54" s="297">
        <v>-159</v>
      </c>
      <c r="AO54" s="297">
        <v>-23</v>
      </c>
      <c r="AP54" s="297">
        <v>-174</v>
      </c>
      <c r="AQ54" s="297">
        <v>64</v>
      </c>
      <c r="AR54" s="297">
        <v>734</v>
      </c>
      <c r="AS54" s="297">
        <v>495</v>
      </c>
      <c r="AT54" s="297">
        <v>969</v>
      </c>
      <c r="AU54" s="297">
        <v>755</v>
      </c>
      <c r="AV54" s="297">
        <v>540</v>
      </c>
      <c r="AW54" s="297">
        <v>465</v>
      </c>
      <c r="AX54" s="297">
        <v>145</v>
      </c>
      <c r="AY54" s="297">
        <v>161</v>
      </c>
      <c r="BA54" s="205"/>
      <c r="BB54" s="205"/>
    </row>
    <row r="55" spans="2:54">
      <c r="B55" s="288">
        <v>10144</v>
      </c>
      <c r="C55" s="288" t="s">
        <v>58</v>
      </c>
      <c r="D55" s="297">
        <v>0</v>
      </c>
      <c r="E55" s="297">
        <v>20</v>
      </c>
      <c r="F55" s="297">
        <v>141</v>
      </c>
      <c r="G55" s="297">
        <v>214</v>
      </c>
      <c r="H55" s="297">
        <v>232</v>
      </c>
      <c r="I55" s="297">
        <v>362</v>
      </c>
      <c r="J55" s="297">
        <v>666</v>
      </c>
      <c r="K55" s="297">
        <v>505</v>
      </c>
      <c r="L55" s="297">
        <v>695</v>
      </c>
      <c r="M55" s="297">
        <v>475</v>
      </c>
      <c r="N55" s="297">
        <v>191</v>
      </c>
      <c r="O55" s="297">
        <v>236</v>
      </c>
      <c r="P55" s="297">
        <v>82</v>
      </c>
      <c r="Q55" s="297">
        <v>104</v>
      </c>
      <c r="R55" s="297">
        <v>-845</v>
      </c>
      <c r="S55" s="297">
        <v>-357</v>
      </c>
      <c r="T55" s="297">
        <v>-506</v>
      </c>
      <c r="U55" s="297">
        <v>-240</v>
      </c>
      <c r="V55" s="297">
        <v>-376</v>
      </c>
      <c r="W55" s="297">
        <v>-121</v>
      </c>
      <c r="X55" s="297">
        <v>-541</v>
      </c>
      <c r="Y55" s="297">
        <v>-158</v>
      </c>
      <c r="Z55" s="297">
        <v>-318</v>
      </c>
      <c r="AA55" s="297">
        <v>-152</v>
      </c>
      <c r="AB55" s="297">
        <v>-1</v>
      </c>
      <c r="AC55" s="297">
        <v>19</v>
      </c>
      <c r="AD55" s="297">
        <v>63</v>
      </c>
      <c r="AE55" s="297">
        <v>291</v>
      </c>
      <c r="AF55" s="297">
        <v>310</v>
      </c>
      <c r="AG55" s="297">
        <v>282</v>
      </c>
      <c r="AH55" s="297">
        <v>581</v>
      </c>
      <c r="AI55" s="297">
        <v>588</v>
      </c>
      <c r="AJ55" s="297">
        <v>619</v>
      </c>
      <c r="AK55" s="297">
        <v>446</v>
      </c>
      <c r="AL55" s="297">
        <v>255</v>
      </c>
      <c r="AM55" s="297">
        <v>172</v>
      </c>
      <c r="AN55" s="297">
        <v>81</v>
      </c>
      <c r="AO55" s="297">
        <v>104</v>
      </c>
      <c r="AP55" s="297">
        <v>-847</v>
      </c>
      <c r="AQ55" s="297">
        <v>-358</v>
      </c>
      <c r="AR55" s="297">
        <v>-508</v>
      </c>
      <c r="AS55" s="297">
        <v>-241</v>
      </c>
      <c r="AT55" s="297">
        <v>-377</v>
      </c>
      <c r="AU55" s="297">
        <v>-121</v>
      </c>
      <c r="AV55" s="297">
        <v>-542</v>
      </c>
      <c r="AW55" s="297">
        <v>-159</v>
      </c>
      <c r="AX55" s="297">
        <v>-319</v>
      </c>
      <c r="AY55" s="297">
        <v>-152</v>
      </c>
      <c r="BA55" s="205"/>
      <c r="BB55" s="205"/>
    </row>
    <row r="56" spans="2:54">
      <c r="B56" s="288">
        <v>10156</v>
      </c>
      <c r="C56" s="288" t="s">
        <v>59</v>
      </c>
      <c r="D56" s="297">
        <v>-159</v>
      </c>
      <c r="E56" s="297">
        <v>1128</v>
      </c>
      <c r="F56" s="297">
        <v>658</v>
      </c>
      <c r="G56" s="297">
        <v>2794</v>
      </c>
      <c r="H56" s="297">
        <v>3308</v>
      </c>
      <c r="I56" s="297">
        <v>4111</v>
      </c>
      <c r="J56" s="297">
        <v>6121</v>
      </c>
      <c r="K56" s="297">
        <v>5427</v>
      </c>
      <c r="L56" s="297">
        <v>6382</v>
      </c>
      <c r="M56" s="297">
        <v>5301</v>
      </c>
      <c r="N56" s="297">
        <v>2810</v>
      </c>
      <c r="O56" s="297">
        <v>2963</v>
      </c>
      <c r="P56" s="297">
        <v>684</v>
      </c>
      <c r="Q56" s="297">
        <v>1859</v>
      </c>
      <c r="R56" s="297">
        <v>-8066</v>
      </c>
      <c r="S56" s="297">
        <v>-3005</v>
      </c>
      <c r="T56" s="297">
        <v>-4964</v>
      </c>
      <c r="U56" s="297">
        <v>-1570</v>
      </c>
      <c r="V56" s="297">
        <v>-2943</v>
      </c>
      <c r="W56" s="297">
        <v>24</v>
      </c>
      <c r="X56" s="297">
        <v>-4498</v>
      </c>
      <c r="Y56" s="297">
        <v>-753</v>
      </c>
      <c r="Z56" s="297">
        <v>-2818</v>
      </c>
      <c r="AA56" s="297">
        <v>-468</v>
      </c>
      <c r="AB56" s="297">
        <v>-78</v>
      </c>
      <c r="AC56" s="297">
        <v>1183</v>
      </c>
      <c r="AD56" s="297">
        <v>727</v>
      </c>
      <c r="AE56" s="297">
        <v>2852</v>
      </c>
      <c r="AF56" s="297">
        <v>3380</v>
      </c>
      <c r="AG56" s="297">
        <v>4169</v>
      </c>
      <c r="AH56" s="297">
        <v>6201</v>
      </c>
      <c r="AI56" s="297">
        <v>5486</v>
      </c>
      <c r="AJ56" s="297">
        <v>5968</v>
      </c>
      <c r="AK56" s="297">
        <v>5026</v>
      </c>
      <c r="AL56" s="297">
        <v>2894</v>
      </c>
      <c r="AM56" s="297">
        <v>3022</v>
      </c>
      <c r="AN56" s="297">
        <v>764</v>
      </c>
      <c r="AO56" s="297">
        <v>1917</v>
      </c>
      <c r="AP56" s="297">
        <v>-8012</v>
      </c>
      <c r="AQ56" s="297">
        <v>-2958</v>
      </c>
      <c r="AR56" s="297">
        <v>-4889</v>
      </c>
      <c r="AS56" s="297">
        <v>-1518</v>
      </c>
      <c r="AT56" s="297">
        <v>-2860</v>
      </c>
      <c r="AU56" s="297">
        <v>86</v>
      </c>
      <c r="AV56" s="297">
        <v>-4419</v>
      </c>
      <c r="AW56" s="297">
        <v>-697</v>
      </c>
      <c r="AX56" s="297">
        <v>-2739</v>
      </c>
      <c r="AY56" s="297">
        <v>-411</v>
      </c>
      <c r="BA56" s="205"/>
      <c r="BB56" s="205"/>
    </row>
    <row r="57" spans="2:54">
      <c r="B57" s="288">
        <v>10157</v>
      </c>
      <c r="C57" s="288" t="s">
        <v>60</v>
      </c>
      <c r="D57" s="297">
        <v>-1566</v>
      </c>
      <c r="E57" s="297">
        <v>1351</v>
      </c>
      <c r="F57" s="297">
        <v>-1935</v>
      </c>
      <c r="G57" s="297">
        <v>1105</v>
      </c>
      <c r="H57" s="297">
        <v>351</v>
      </c>
      <c r="I57" s="297">
        <v>3371</v>
      </c>
      <c r="J57" s="297">
        <v>1854</v>
      </c>
      <c r="K57" s="297">
        <v>3196</v>
      </c>
      <c r="L57" s="297">
        <v>1810</v>
      </c>
      <c r="M57" s="297">
        <v>2786</v>
      </c>
      <c r="N57" s="297">
        <v>225</v>
      </c>
      <c r="O57" s="297">
        <v>1567</v>
      </c>
      <c r="P57" s="297">
        <v>-1114</v>
      </c>
      <c r="Q57" s="297">
        <v>1538</v>
      </c>
      <c r="R57" s="297">
        <v>-6515</v>
      </c>
      <c r="S57" s="297">
        <v>-1972</v>
      </c>
      <c r="T57" s="297">
        <v>-3772</v>
      </c>
      <c r="U57" s="297">
        <v>-396</v>
      </c>
      <c r="V57" s="297">
        <v>-1846</v>
      </c>
      <c r="W57" s="297">
        <v>1798</v>
      </c>
      <c r="X57" s="297">
        <v>-2973</v>
      </c>
      <c r="Y57" s="297">
        <v>495</v>
      </c>
      <c r="Z57" s="297">
        <v>-2756</v>
      </c>
      <c r="AA57" s="297">
        <v>711</v>
      </c>
      <c r="AB57" s="297">
        <v>-1230</v>
      </c>
      <c r="AC57" s="297">
        <v>1015</v>
      </c>
      <c r="AD57" s="297">
        <v>-1535</v>
      </c>
      <c r="AE57" s="297">
        <v>1426</v>
      </c>
      <c r="AF57" s="297">
        <v>751</v>
      </c>
      <c r="AG57" s="297">
        <v>3715</v>
      </c>
      <c r="AH57" s="297">
        <v>1854</v>
      </c>
      <c r="AI57" s="297">
        <v>3196</v>
      </c>
      <c r="AJ57" s="297">
        <v>2194</v>
      </c>
      <c r="AK57" s="297">
        <v>3074</v>
      </c>
      <c r="AL57" s="297">
        <v>-159</v>
      </c>
      <c r="AM57" s="297">
        <v>1951</v>
      </c>
      <c r="AN57" s="297">
        <v>-346</v>
      </c>
      <c r="AO57" s="297">
        <v>1490</v>
      </c>
      <c r="AP57" s="297">
        <v>-6099</v>
      </c>
      <c r="AQ57" s="297">
        <v>-1644</v>
      </c>
      <c r="AR57" s="297">
        <v>-4076</v>
      </c>
      <c r="AS57" s="297">
        <v>-92</v>
      </c>
      <c r="AT57" s="297">
        <v>-1510</v>
      </c>
      <c r="AU57" s="297">
        <v>1462</v>
      </c>
      <c r="AV57" s="297">
        <v>-2541</v>
      </c>
      <c r="AW57" s="297">
        <v>807</v>
      </c>
      <c r="AX57" s="297">
        <v>-2756</v>
      </c>
      <c r="AY57" s="297">
        <v>711</v>
      </c>
      <c r="BA57" s="205"/>
      <c r="BB57" s="205"/>
    </row>
    <row r="58" spans="2:54">
      <c r="B58" s="288">
        <v>10158</v>
      </c>
      <c r="C58" s="288" t="s">
        <v>61</v>
      </c>
      <c r="D58" s="297">
        <v>-337</v>
      </c>
      <c r="E58" s="297">
        <v>-56</v>
      </c>
      <c r="F58" s="297">
        <v>-344</v>
      </c>
      <c r="G58" s="297">
        <v>35</v>
      </c>
      <c r="H58" s="297">
        <v>-17</v>
      </c>
      <c r="I58" s="297">
        <v>337</v>
      </c>
      <c r="J58" s="297">
        <v>236</v>
      </c>
      <c r="K58" s="297">
        <v>381</v>
      </c>
      <c r="L58" s="297">
        <v>218</v>
      </c>
      <c r="M58" s="297">
        <v>352</v>
      </c>
      <c r="N58" s="297">
        <v>-176</v>
      </c>
      <c r="O58" s="297">
        <v>135</v>
      </c>
      <c r="P58" s="297">
        <v>-231</v>
      </c>
      <c r="Q58" s="297">
        <v>28</v>
      </c>
      <c r="R58" s="297">
        <v>-798</v>
      </c>
      <c r="S58" s="297">
        <v>-258</v>
      </c>
      <c r="T58" s="297">
        <v>-457</v>
      </c>
      <c r="U58" s="297">
        <v>-141</v>
      </c>
      <c r="V58" s="297">
        <v>-246</v>
      </c>
      <c r="W58" s="297">
        <v>-2</v>
      </c>
      <c r="X58" s="297">
        <v>-403</v>
      </c>
      <c r="Y58" s="297">
        <v>-40</v>
      </c>
      <c r="Z58" s="297">
        <v>-357</v>
      </c>
      <c r="AA58" s="297">
        <v>-93</v>
      </c>
      <c r="AB58" s="297">
        <v>-337</v>
      </c>
      <c r="AC58" s="297">
        <v>-56</v>
      </c>
      <c r="AD58" s="297">
        <v>-387</v>
      </c>
      <c r="AE58" s="297">
        <v>78</v>
      </c>
      <c r="AF58" s="297">
        <v>38</v>
      </c>
      <c r="AG58" s="297">
        <v>282</v>
      </c>
      <c r="AH58" s="297">
        <v>182</v>
      </c>
      <c r="AI58" s="297">
        <v>435</v>
      </c>
      <c r="AJ58" s="297">
        <v>166</v>
      </c>
      <c r="AK58" s="297">
        <v>324</v>
      </c>
      <c r="AL58" s="297">
        <v>-137</v>
      </c>
      <c r="AM58" s="297">
        <v>96</v>
      </c>
      <c r="AN58" s="297">
        <v>-231</v>
      </c>
      <c r="AO58" s="297">
        <v>28</v>
      </c>
      <c r="AP58" s="297">
        <v>-798</v>
      </c>
      <c r="AQ58" s="297">
        <v>-258</v>
      </c>
      <c r="AR58" s="297">
        <v>-457</v>
      </c>
      <c r="AS58" s="297">
        <v>-141</v>
      </c>
      <c r="AT58" s="297">
        <v>-246</v>
      </c>
      <c r="AU58" s="297">
        <v>-2</v>
      </c>
      <c r="AV58" s="297">
        <v>-403</v>
      </c>
      <c r="AW58" s="297">
        <v>-40</v>
      </c>
      <c r="AX58" s="297">
        <v>-357</v>
      </c>
      <c r="AY58" s="297">
        <v>-93</v>
      </c>
      <c r="BA58" s="205"/>
      <c r="BB58" s="205"/>
    </row>
    <row r="59" spans="2:54">
      <c r="B59" s="288">
        <v>10170</v>
      </c>
      <c r="C59" s="288" t="s">
        <v>62</v>
      </c>
      <c r="D59" s="297">
        <v>-5194</v>
      </c>
      <c r="E59" s="297">
        <v>8485</v>
      </c>
      <c r="F59" s="297">
        <v>-18013</v>
      </c>
      <c r="G59" s="297">
        <v>-1524</v>
      </c>
      <c r="H59" s="297">
        <v>-6218</v>
      </c>
      <c r="I59" s="297">
        <v>9584</v>
      </c>
      <c r="J59" s="297">
        <v>8153</v>
      </c>
      <c r="K59" s="297">
        <v>14865</v>
      </c>
      <c r="L59" s="297">
        <v>10974</v>
      </c>
      <c r="M59" s="297">
        <v>15180</v>
      </c>
      <c r="N59" s="297">
        <v>3357</v>
      </c>
      <c r="O59" s="297">
        <v>9254</v>
      </c>
      <c r="P59" s="297">
        <v>-3835</v>
      </c>
      <c r="Q59" s="297">
        <v>8752</v>
      </c>
      <c r="R59" s="297">
        <v>-33541</v>
      </c>
      <c r="S59" s="297">
        <v>-11050</v>
      </c>
      <c r="T59" s="297">
        <v>-18952</v>
      </c>
      <c r="U59" s="297">
        <v>-2365</v>
      </c>
      <c r="V59" s="297">
        <v>-6650</v>
      </c>
      <c r="W59" s="297">
        <v>10753</v>
      </c>
      <c r="X59" s="297">
        <v>-8977</v>
      </c>
      <c r="Y59" s="297">
        <v>6368</v>
      </c>
      <c r="Z59" s="297">
        <v>-8971</v>
      </c>
      <c r="AA59" s="297">
        <v>7343</v>
      </c>
      <c r="AB59" s="297">
        <v>-2474</v>
      </c>
      <c r="AC59" s="297">
        <v>7449</v>
      </c>
      <c r="AD59" s="297">
        <v>-16660</v>
      </c>
      <c r="AE59" s="297">
        <v>-471</v>
      </c>
      <c r="AF59" s="297">
        <v>-4869</v>
      </c>
      <c r="AG59" s="297">
        <v>10707</v>
      </c>
      <c r="AH59" s="297">
        <v>9527</v>
      </c>
      <c r="AI59" s="297">
        <v>15928</v>
      </c>
      <c r="AJ59" s="297">
        <v>12232</v>
      </c>
      <c r="AK59" s="297">
        <v>16106</v>
      </c>
      <c r="AL59" s="297">
        <v>2778</v>
      </c>
      <c r="AM59" s="297">
        <v>12260</v>
      </c>
      <c r="AN59" s="297">
        <v>-689</v>
      </c>
      <c r="AO59" s="297">
        <v>7956</v>
      </c>
      <c r="AP59" s="297">
        <v>-32530</v>
      </c>
      <c r="AQ59" s="297">
        <v>-10292</v>
      </c>
      <c r="AR59" s="297">
        <v>-19463</v>
      </c>
      <c r="AS59" s="297">
        <v>-192</v>
      </c>
      <c r="AT59" s="297">
        <v>-3964</v>
      </c>
      <c r="AU59" s="297">
        <v>9748</v>
      </c>
      <c r="AV59" s="297">
        <v>-7538</v>
      </c>
      <c r="AW59" s="297">
        <v>7375</v>
      </c>
      <c r="AX59" s="297">
        <v>-7694</v>
      </c>
      <c r="AY59" s="297">
        <v>8421</v>
      </c>
      <c r="BA59" s="205"/>
      <c r="BB59" s="205"/>
    </row>
    <row r="60" spans="2:54">
      <c r="B60" s="288">
        <v>10172</v>
      </c>
      <c r="C60" s="288" t="s">
        <v>63</v>
      </c>
      <c r="D60" s="297">
        <v>-50</v>
      </c>
      <c r="E60" s="297">
        <v>118</v>
      </c>
      <c r="F60" s="297">
        <v>-624</v>
      </c>
      <c r="G60" s="297">
        <v>-123</v>
      </c>
      <c r="H60" s="297">
        <v>-178</v>
      </c>
      <c r="I60" s="297">
        <v>113</v>
      </c>
      <c r="J60" s="297">
        <v>282</v>
      </c>
      <c r="K60" s="297">
        <v>341</v>
      </c>
      <c r="L60" s="297">
        <v>360</v>
      </c>
      <c r="M60" s="297">
        <v>367</v>
      </c>
      <c r="N60" s="297">
        <v>15</v>
      </c>
      <c r="O60" s="297">
        <v>134</v>
      </c>
      <c r="P60" s="297">
        <v>0</v>
      </c>
      <c r="Q60" s="297">
        <v>140</v>
      </c>
      <c r="R60" s="297">
        <v>-1114</v>
      </c>
      <c r="S60" s="297">
        <v>-440</v>
      </c>
      <c r="T60" s="297">
        <v>-458</v>
      </c>
      <c r="U60" s="297">
        <v>-80</v>
      </c>
      <c r="V60" s="297">
        <v>163</v>
      </c>
      <c r="W60" s="297">
        <v>341</v>
      </c>
      <c r="X60" s="297">
        <v>-122</v>
      </c>
      <c r="Y60" s="297">
        <v>155</v>
      </c>
      <c r="Z60" s="297">
        <v>-156</v>
      </c>
      <c r="AA60" s="297">
        <v>106</v>
      </c>
      <c r="AB60" s="297">
        <v>-56</v>
      </c>
      <c r="AC60" s="297">
        <v>115</v>
      </c>
      <c r="AD60" s="297">
        <v>-633</v>
      </c>
      <c r="AE60" s="297">
        <v>-127</v>
      </c>
      <c r="AF60" s="297">
        <v>-185</v>
      </c>
      <c r="AG60" s="297">
        <v>109</v>
      </c>
      <c r="AH60" s="297">
        <v>277</v>
      </c>
      <c r="AI60" s="297">
        <v>338</v>
      </c>
      <c r="AJ60" s="297">
        <v>356</v>
      </c>
      <c r="AK60" s="297">
        <v>365</v>
      </c>
      <c r="AL60" s="297">
        <v>9</v>
      </c>
      <c r="AM60" s="297">
        <v>131</v>
      </c>
      <c r="AN60" s="297">
        <v>-6</v>
      </c>
      <c r="AO60" s="297">
        <v>137</v>
      </c>
      <c r="AP60" s="297">
        <v>-1126</v>
      </c>
      <c r="AQ60" s="297">
        <v>-446</v>
      </c>
      <c r="AR60" s="297">
        <v>-466</v>
      </c>
      <c r="AS60" s="297">
        <v>-84</v>
      </c>
      <c r="AT60" s="297">
        <v>158</v>
      </c>
      <c r="AU60" s="297">
        <v>339</v>
      </c>
      <c r="AV60" s="297">
        <v>-129</v>
      </c>
      <c r="AW60" s="297">
        <v>152</v>
      </c>
      <c r="AX60" s="297">
        <v>-162</v>
      </c>
      <c r="AY60" s="297">
        <v>103</v>
      </c>
      <c r="BA60" s="205"/>
      <c r="BB60" s="205"/>
    </row>
    <row r="61" spans="2:54">
      <c r="B61" s="288">
        <v>10173</v>
      </c>
      <c r="C61" s="288" t="s">
        <v>64</v>
      </c>
      <c r="D61" s="297">
        <v>0</v>
      </c>
      <c r="E61" s="297">
        <v>0</v>
      </c>
      <c r="F61" s="297">
        <v>0</v>
      </c>
      <c r="G61" s="297">
        <v>0</v>
      </c>
      <c r="H61" s="297">
        <v>0</v>
      </c>
      <c r="I61" s="297">
        <v>0</v>
      </c>
      <c r="J61" s="297">
        <v>0</v>
      </c>
      <c r="K61" s="297">
        <v>0</v>
      </c>
      <c r="L61" s="297">
        <v>0</v>
      </c>
      <c r="M61" s="297">
        <v>0</v>
      </c>
      <c r="N61" s="297">
        <v>0</v>
      </c>
      <c r="O61" s="297">
        <v>0</v>
      </c>
      <c r="P61" s="297">
        <v>0</v>
      </c>
      <c r="Q61" s="297">
        <v>0</v>
      </c>
      <c r="R61" s="297">
        <v>0</v>
      </c>
      <c r="S61" s="297">
        <v>0</v>
      </c>
      <c r="T61" s="297">
        <v>0</v>
      </c>
      <c r="U61" s="297">
        <v>0</v>
      </c>
      <c r="V61" s="297">
        <v>0</v>
      </c>
      <c r="W61" s="297">
        <v>0</v>
      </c>
      <c r="X61" s="297">
        <v>0</v>
      </c>
      <c r="Y61" s="297">
        <v>0</v>
      </c>
      <c r="Z61" s="297">
        <v>0</v>
      </c>
      <c r="AA61" s="297">
        <v>0</v>
      </c>
      <c r="AB61" s="297">
        <v>0</v>
      </c>
      <c r="AC61" s="297">
        <v>0</v>
      </c>
      <c r="AD61" s="297">
        <v>0</v>
      </c>
      <c r="AE61" s="297">
        <v>0</v>
      </c>
      <c r="AF61" s="297">
        <v>0</v>
      </c>
      <c r="AG61" s="297">
        <v>0</v>
      </c>
      <c r="AH61" s="297">
        <v>0</v>
      </c>
      <c r="AI61" s="297">
        <v>0</v>
      </c>
      <c r="AJ61" s="297">
        <v>0</v>
      </c>
      <c r="AK61" s="297">
        <v>0</v>
      </c>
      <c r="AL61" s="297">
        <v>0</v>
      </c>
      <c r="AM61" s="297">
        <v>0</v>
      </c>
      <c r="AN61" s="297">
        <v>0</v>
      </c>
      <c r="AO61" s="297">
        <v>0</v>
      </c>
      <c r="AP61" s="297">
        <v>0</v>
      </c>
      <c r="AQ61" s="297">
        <v>0</v>
      </c>
      <c r="AR61" s="297">
        <v>0</v>
      </c>
      <c r="AS61" s="297">
        <v>0</v>
      </c>
      <c r="AT61" s="297">
        <v>0</v>
      </c>
      <c r="AU61" s="297">
        <v>0</v>
      </c>
      <c r="AV61" s="297">
        <v>0</v>
      </c>
      <c r="AW61" s="297">
        <v>0</v>
      </c>
      <c r="AX61" s="297">
        <v>0</v>
      </c>
      <c r="AY61" s="297">
        <v>0</v>
      </c>
      <c r="BA61" s="205"/>
      <c r="BB61" s="205"/>
    </row>
    <row r="62" spans="2:54">
      <c r="B62" s="288">
        <v>10174</v>
      </c>
      <c r="C62" s="288" t="s">
        <v>65</v>
      </c>
      <c r="D62" s="297">
        <v>-48</v>
      </c>
      <c r="E62" s="297">
        <v>-3</v>
      </c>
      <c r="F62" s="297">
        <v>-44</v>
      </c>
      <c r="G62" s="297">
        <v>16</v>
      </c>
      <c r="H62" s="297">
        <v>28</v>
      </c>
      <c r="I62" s="297">
        <v>83</v>
      </c>
      <c r="J62" s="297">
        <v>83</v>
      </c>
      <c r="K62" s="297">
        <v>102</v>
      </c>
      <c r="L62" s="297">
        <v>74</v>
      </c>
      <c r="M62" s="297">
        <v>85</v>
      </c>
      <c r="N62" s="297">
        <v>-12</v>
      </c>
      <c r="O62" s="297">
        <v>36</v>
      </c>
      <c r="P62" s="297">
        <v>-29</v>
      </c>
      <c r="Q62" s="297">
        <v>12</v>
      </c>
      <c r="R62" s="297">
        <v>-143</v>
      </c>
      <c r="S62" s="297">
        <v>-47</v>
      </c>
      <c r="T62" s="297">
        <v>-55</v>
      </c>
      <c r="U62" s="297">
        <v>-12</v>
      </c>
      <c r="V62" s="297">
        <v>-13</v>
      </c>
      <c r="W62" s="297">
        <v>16</v>
      </c>
      <c r="X62" s="297">
        <v>-61</v>
      </c>
      <c r="Y62" s="297">
        <v>-5</v>
      </c>
      <c r="Z62" s="297">
        <v>-57</v>
      </c>
      <c r="AA62" s="297">
        <v>-13</v>
      </c>
      <c r="AB62" s="297">
        <v>-48</v>
      </c>
      <c r="AC62" s="297">
        <v>-3</v>
      </c>
      <c r="AD62" s="297">
        <v>-54</v>
      </c>
      <c r="AE62" s="297">
        <v>25</v>
      </c>
      <c r="AF62" s="297">
        <v>40</v>
      </c>
      <c r="AG62" s="297">
        <v>71</v>
      </c>
      <c r="AH62" s="297">
        <v>71</v>
      </c>
      <c r="AI62" s="297">
        <v>115</v>
      </c>
      <c r="AJ62" s="297">
        <v>64</v>
      </c>
      <c r="AK62" s="297">
        <v>79</v>
      </c>
      <c r="AL62" s="297">
        <v>-4</v>
      </c>
      <c r="AM62" s="297">
        <v>28</v>
      </c>
      <c r="AN62" s="297">
        <v>-29</v>
      </c>
      <c r="AO62" s="297">
        <v>12</v>
      </c>
      <c r="AP62" s="297">
        <v>-143</v>
      </c>
      <c r="AQ62" s="297">
        <v>-47</v>
      </c>
      <c r="AR62" s="297">
        <v>-55</v>
      </c>
      <c r="AS62" s="297">
        <v>-12</v>
      </c>
      <c r="AT62" s="297">
        <v>-13</v>
      </c>
      <c r="AU62" s="297">
        <v>16</v>
      </c>
      <c r="AV62" s="297">
        <v>-61</v>
      </c>
      <c r="AW62" s="297">
        <v>-5</v>
      </c>
      <c r="AX62" s="297">
        <v>-57</v>
      </c>
      <c r="AY62" s="297">
        <v>-13</v>
      </c>
      <c r="BA62" s="205"/>
      <c r="BB62" s="205"/>
    </row>
    <row r="63" spans="2:54">
      <c r="B63" s="288">
        <v>10177</v>
      </c>
      <c r="C63" s="288" t="s">
        <v>66</v>
      </c>
      <c r="D63" s="297">
        <v>-708</v>
      </c>
      <c r="E63" s="297">
        <v>30</v>
      </c>
      <c r="F63" s="297">
        <v>-1053</v>
      </c>
      <c r="G63" s="297">
        <v>88</v>
      </c>
      <c r="H63" s="297">
        <v>267</v>
      </c>
      <c r="I63" s="297">
        <v>796</v>
      </c>
      <c r="J63" s="297">
        <v>737</v>
      </c>
      <c r="K63" s="297">
        <v>1125</v>
      </c>
      <c r="L63" s="297">
        <v>761</v>
      </c>
      <c r="M63" s="297">
        <v>1049</v>
      </c>
      <c r="N63" s="297">
        <v>-190</v>
      </c>
      <c r="O63" s="297">
        <v>403</v>
      </c>
      <c r="P63" s="297">
        <v>-659</v>
      </c>
      <c r="Q63" s="297">
        <v>91</v>
      </c>
      <c r="R63" s="297">
        <v>-3025</v>
      </c>
      <c r="S63" s="297">
        <v>-1212</v>
      </c>
      <c r="T63" s="297">
        <v>-1981</v>
      </c>
      <c r="U63" s="297">
        <v>-638</v>
      </c>
      <c r="V63" s="297">
        <v>-1133</v>
      </c>
      <c r="W63" s="297">
        <v>-89</v>
      </c>
      <c r="X63" s="297">
        <v>-1675</v>
      </c>
      <c r="Y63" s="297">
        <v>-322</v>
      </c>
      <c r="Z63" s="297">
        <v>-1307</v>
      </c>
      <c r="AA63" s="297">
        <v>-255</v>
      </c>
      <c r="AB63" s="297">
        <v>-538</v>
      </c>
      <c r="AC63" s="297">
        <v>122</v>
      </c>
      <c r="AD63" s="297">
        <v>-850</v>
      </c>
      <c r="AE63" s="297">
        <v>209</v>
      </c>
      <c r="AF63" s="297">
        <v>468</v>
      </c>
      <c r="AG63" s="297">
        <v>919</v>
      </c>
      <c r="AH63" s="297">
        <v>909</v>
      </c>
      <c r="AI63" s="297">
        <v>1233</v>
      </c>
      <c r="AJ63" s="297">
        <v>905</v>
      </c>
      <c r="AK63" s="297">
        <v>1134</v>
      </c>
      <c r="AL63" s="297">
        <v>-21</v>
      </c>
      <c r="AM63" s="297">
        <v>502</v>
      </c>
      <c r="AN63" s="297">
        <v>-496</v>
      </c>
      <c r="AO63" s="297">
        <v>183</v>
      </c>
      <c r="AP63" s="297">
        <v>-2793</v>
      </c>
      <c r="AQ63" s="297">
        <v>-1078</v>
      </c>
      <c r="AR63" s="297">
        <v>-1791</v>
      </c>
      <c r="AS63" s="297">
        <v>-537</v>
      </c>
      <c r="AT63" s="297">
        <v>-965</v>
      </c>
      <c r="AU63" s="297">
        <v>1</v>
      </c>
      <c r="AV63" s="297">
        <v>-1486</v>
      </c>
      <c r="AW63" s="297">
        <v>-227</v>
      </c>
      <c r="AX63" s="297">
        <v>-1143</v>
      </c>
      <c r="AY63" s="297">
        <v>-161</v>
      </c>
      <c r="BA63" s="205"/>
      <c r="BB63" s="205"/>
    </row>
    <row r="64" spans="2:54">
      <c r="B64" s="288">
        <v>10179</v>
      </c>
      <c r="C64" s="288" t="s">
        <v>67</v>
      </c>
      <c r="D64" s="297">
        <v>-5080</v>
      </c>
      <c r="E64" s="297">
        <v>487</v>
      </c>
      <c r="F64" s="297">
        <v>-10769</v>
      </c>
      <c r="G64" s="297">
        <v>1996</v>
      </c>
      <c r="H64" s="297">
        <v>14164</v>
      </c>
      <c r="I64" s="297">
        <v>15375</v>
      </c>
      <c r="J64" s="297">
        <v>27097</v>
      </c>
      <c r="K64" s="297">
        <v>23750</v>
      </c>
      <c r="L64" s="297">
        <v>24916</v>
      </c>
      <c r="M64" s="297">
        <v>21114</v>
      </c>
      <c r="N64" s="297">
        <v>10075</v>
      </c>
      <c r="O64" s="297">
        <v>10729</v>
      </c>
      <c r="P64" s="297">
        <v>301</v>
      </c>
      <c r="Q64" s="297">
        <v>4524</v>
      </c>
      <c r="R64" s="297">
        <v>-39058</v>
      </c>
      <c r="S64" s="297">
        <v>-16629</v>
      </c>
      <c r="T64" s="297">
        <v>-19494</v>
      </c>
      <c r="U64" s="297">
        <v>-7215</v>
      </c>
      <c r="V64" s="297">
        <v>-1722</v>
      </c>
      <c r="W64" s="297">
        <v>4207</v>
      </c>
      <c r="X64" s="297">
        <v>-11461</v>
      </c>
      <c r="Y64" s="297">
        <v>-1239</v>
      </c>
      <c r="Z64" s="297">
        <v>-12873</v>
      </c>
      <c r="AA64" s="297">
        <v>-3075</v>
      </c>
      <c r="AB64" s="297">
        <v>-5783</v>
      </c>
      <c r="AC64" s="297">
        <v>119</v>
      </c>
      <c r="AD64" s="297">
        <v>-11096</v>
      </c>
      <c r="AE64" s="297">
        <v>1623</v>
      </c>
      <c r="AF64" s="297">
        <v>14153</v>
      </c>
      <c r="AG64" s="297">
        <v>15111</v>
      </c>
      <c r="AH64" s="297">
        <v>27029</v>
      </c>
      <c r="AI64" s="297">
        <v>23561</v>
      </c>
      <c r="AJ64" s="297">
        <v>24611</v>
      </c>
      <c r="AK64" s="297">
        <v>20820</v>
      </c>
      <c r="AL64" s="297">
        <v>9926</v>
      </c>
      <c r="AM64" s="297">
        <v>10171</v>
      </c>
      <c r="AN64" s="297">
        <v>-313</v>
      </c>
      <c r="AO64" s="297">
        <v>4235</v>
      </c>
      <c r="AP64" s="297">
        <v>-39457</v>
      </c>
      <c r="AQ64" s="297">
        <v>-17342</v>
      </c>
      <c r="AR64" s="297">
        <v>-19997</v>
      </c>
      <c r="AS64" s="297">
        <v>-7804</v>
      </c>
      <c r="AT64" s="297">
        <v>-2328</v>
      </c>
      <c r="AU64" s="297">
        <v>3826</v>
      </c>
      <c r="AV64" s="297">
        <v>-11802</v>
      </c>
      <c r="AW64" s="297">
        <v>-1922</v>
      </c>
      <c r="AX64" s="297">
        <v>-13543</v>
      </c>
      <c r="AY64" s="297">
        <v>-3554</v>
      </c>
      <c r="BA64" s="205"/>
      <c r="BB64" s="205"/>
    </row>
    <row r="65" spans="2:54">
      <c r="B65" s="288">
        <v>10183</v>
      </c>
      <c r="C65" s="288" t="s">
        <v>68</v>
      </c>
      <c r="D65" s="297">
        <v>-4473</v>
      </c>
      <c r="E65" s="297">
        <v>3234</v>
      </c>
      <c r="F65" s="297">
        <v>-11453</v>
      </c>
      <c r="G65" s="297">
        <v>-2241</v>
      </c>
      <c r="H65" s="297">
        <v>-7903</v>
      </c>
      <c r="I65" s="297">
        <v>1228</v>
      </c>
      <c r="J65" s="297">
        <v>-71</v>
      </c>
      <c r="K65" s="297">
        <v>4479</v>
      </c>
      <c r="L65" s="297">
        <v>-1256</v>
      </c>
      <c r="M65" s="297">
        <v>2793</v>
      </c>
      <c r="N65" s="297">
        <v>-5353</v>
      </c>
      <c r="O65" s="297">
        <v>-179</v>
      </c>
      <c r="P65" s="297">
        <v>-5523</v>
      </c>
      <c r="Q65" s="297">
        <v>1934</v>
      </c>
      <c r="R65" s="297">
        <v>-14404</v>
      </c>
      <c r="S65" s="297">
        <v>-3083</v>
      </c>
      <c r="T65" s="297">
        <v>-2658</v>
      </c>
      <c r="U65" s="297">
        <v>4230</v>
      </c>
      <c r="V65" s="297">
        <v>5209</v>
      </c>
      <c r="W65" s="297">
        <v>13332</v>
      </c>
      <c r="X65" s="297">
        <v>2901</v>
      </c>
      <c r="Y65" s="297">
        <v>9002</v>
      </c>
      <c r="Z65" s="297">
        <v>-2092</v>
      </c>
      <c r="AA65" s="297">
        <v>6334</v>
      </c>
      <c r="AB65" s="297">
        <v>-3177</v>
      </c>
      <c r="AC65" s="297">
        <v>2682</v>
      </c>
      <c r="AD65" s="297">
        <v>-11053</v>
      </c>
      <c r="AE65" s="297">
        <v>-1920</v>
      </c>
      <c r="AF65" s="297">
        <v>-7103</v>
      </c>
      <c r="AG65" s="297">
        <v>1916</v>
      </c>
      <c r="AH65" s="297">
        <v>345</v>
      </c>
      <c r="AI65" s="297">
        <v>4807</v>
      </c>
      <c r="AJ65" s="297">
        <v>-488</v>
      </c>
      <c r="AK65" s="297">
        <v>3369</v>
      </c>
      <c r="AL65" s="297">
        <v>-5721</v>
      </c>
      <c r="AM65" s="297">
        <v>932</v>
      </c>
      <c r="AN65" s="297">
        <v>-4291</v>
      </c>
      <c r="AO65" s="297">
        <v>1422</v>
      </c>
      <c r="AP65" s="297">
        <v>-13572</v>
      </c>
      <c r="AQ65" s="297">
        <v>-2427</v>
      </c>
      <c r="AR65" s="297">
        <v>-2930</v>
      </c>
      <c r="AS65" s="297">
        <v>5942</v>
      </c>
      <c r="AT65" s="297">
        <v>7321</v>
      </c>
      <c r="AU65" s="297">
        <v>12708</v>
      </c>
      <c r="AV65" s="297">
        <v>3333</v>
      </c>
      <c r="AW65" s="297">
        <v>9314</v>
      </c>
      <c r="AX65" s="297">
        <v>-1708</v>
      </c>
      <c r="AY65" s="297">
        <v>6670</v>
      </c>
      <c r="BA65" s="205"/>
      <c r="BB65" s="205"/>
    </row>
    <row r="66" spans="2:54">
      <c r="B66" s="288">
        <v>10186</v>
      </c>
      <c r="C66" s="288" t="s">
        <v>69</v>
      </c>
      <c r="D66" s="297">
        <v>-787</v>
      </c>
      <c r="E66" s="297">
        <v>364</v>
      </c>
      <c r="F66" s="297">
        <v>-1907</v>
      </c>
      <c r="G66" s="297">
        <v>173</v>
      </c>
      <c r="H66" s="297">
        <v>-171</v>
      </c>
      <c r="I66" s="297">
        <v>1112</v>
      </c>
      <c r="J66" s="297">
        <v>1225</v>
      </c>
      <c r="K66" s="297">
        <v>1908</v>
      </c>
      <c r="L66" s="297">
        <v>1204</v>
      </c>
      <c r="M66" s="297">
        <v>1713</v>
      </c>
      <c r="N66" s="297">
        <v>505</v>
      </c>
      <c r="O66" s="297">
        <v>1224</v>
      </c>
      <c r="P66" s="297">
        <v>-644</v>
      </c>
      <c r="Q66" s="297">
        <v>566</v>
      </c>
      <c r="R66" s="297">
        <v>-4351</v>
      </c>
      <c r="S66" s="297">
        <v>-1467</v>
      </c>
      <c r="T66" s="297">
        <v>-2112</v>
      </c>
      <c r="U66" s="297">
        <v>-285</v>
      </c>
      <c r="V66" s="297">
        <v>-278</v>
      </c>
      <c r="W66" s="297">
        <v>926</v>
      </c>
      <c r="X66" s="297">
        <v>-1670</v>
      </c>
      <c r="Y66" s="297">
        <v>-100</v>
      </c>
      <c r="Z66" s="297">
        <v>-1060</v>
      </c>
      <c r="AA66" s="297">
        <v>416</v>
      </c>
      <c r="AB66" s="297">
        <v>-792</v>
      </c>
      <c r="AC66" s="297">
        <v>366</v>
      </c>
      <c r="AD66" s="297">
        <v>-1865</v>
      </c>
      <c r="AE66" s="297">
        <v>121</v>
      </c>
      <c r="AF66" s="297">
        <v>-232</v>
      </c>
      <c r="AG66" s="297">
        <v>1177</v>
      </c>
      <c r="AH66" s="297">
        <v>2792</v>
      </c>
      <c r="AI66" s="297">
        <v>3149</v>
      </c>
      <c r="AJ66" s="297">
        <v>2824</v>
      </c>
      <c r="AK66" s="297">
        <v>2917</v>
      </c>
      <c r="AL66" s="297">
        <v>1897</v>
      </c>
      <c r="AM66" s="297">
        <v>2322</v>
      </c>
      <c r="AN66" s="297">
        <v>732</v>
      </c>
      <c r="AO66" s="297">
        <v>1578</v>
      </c>
      <c r="AP66" s="297">
        <v>-3260</v>
      </c>
      <c r="AQ66" s="297">
        <v>-513</v>
      </c>
      <c r="AR66" s="297">
        <v>-827</v>
      </c>
      <c r="AS66" s="297">
        <v>662</v>
      </c>
      <c r="AT66" s="297">
        <v>1070</v>
      </c>
      <c r="AU66" s="297">
        <v>1996</v>
      </c>
      <c r="AV66" s="297">
        <v>-299</v>
      </c>
      <c r="AW66" s="297">
        <v>989</v>
      </c>
      <c r="AX66" s="297">
        <v>166</v>
      </c>
      <c r="AY66" s="297">
        <v>1404</v>
      </c>
      <c r="BA66" s="205"/>
      <c r="BB66" s="205"/>
    </row>
    <row r="67" spans="2:54">
      <c r="B67" s="288">
        <v>10190</v>
      </c>
      <c r="C67" s="288" t="s">
        <v>70</v>
      </c>
      <c r="D67" s="297">
        <v>-493</v>
      </c>
      <c r="E67" s="297">
        <v>-78</v>
      </c>
      <c r="F67" s="297">
        <v>171</v>
      </c>
      <c r="G67" s="297">
        <v>488</v>
      </c>
      <c r="H67" s="297">
        <v>1227</v>
      </c>
      <c r="I67" s="297">
        <v>1173</v>
      </c>
      <c r="J67" s="297">
        <v>1505</v>
      </c>
      <c r="K67" s="297">
        <v>1312</v>
      </c>
      <c r="L67" s="297">
        <v>970</v>
      </c>
      <c r="M67" s="297">
        <v>884</v>
      </c>
      <c r="N67" s="297">
        <v>81</v>
      </c>
      <c r="O67" s="297">
        <v>276</v>
      </c>
      <c r="P67" s="297">
        <v>-289</v>
      </c>
      <c r="Q67" s="297">
        <v>59</v>
      </c>
      <c r="R67" s="297">
        <v>-1490</v>
      </c>
      <c r="S67" s="297">
        <v>-667</v>
      </c>
      <c r="T67" s="297">
        <v>-827</v>
      </c>
      <c r="U67" s="297">
        <v>-369</v>
      </c>
      <c r="V67" s="297">
        <v>-151</v>
      </c>
      <c r="W67" s="297">
        <v>77</v>
      </c>
      <c r="X67" s="297">
        <v>-443</v>
      </c>
      <c r="Y67" s="297">
        <v>-108</v>
      </c>
      <c r="Z67" s="297">
        <v>-641</v>
      </c>
      <c r="AA67" s="297">
        <v>-231</v>
      </c>
      <c r="AB67" s="297">
        <v>-488</v>
      </c>
      <c r="AC67" s="297">
        <v>-75</v>
      </c>
      <c r="AD67" s="297">
        <v>175</v>
      </c>
      <c r="AE67" s="297">
        <v>491</v>
      </c>
      <c r="AF67" s="297">
        <v>1232</v>
      </c>
      <c r="AG67" s="297">
        <v>1177</v>
      </c>
      <c r="AH67" s="297">
        <v>1510</v>
      </c>
      <c r="AI67" s="297">
        <v>1315</v>
      </c>
      <c r="AJ67" s="297">
        <v>881</v>
      </c>
      <c r="AK67" s="297">
        <v>823</v>
      </c>
      <c r="AL67" s="297">
        <v>85</v>
      </c>
      <c r="AM67" s="297">
        <v>279</v>
      </c>
      <c r="AN67" s="297">
        <v>-285</v>
      </c>
      <c r="AO67" s="297">
        <v>62</v>
      </c>
      <c r="AP67" s="297">
        <v>-1485</v>
      </c>
      <c r="AQ67" s="297">
        <v>-664</v>
      </c>
      <c r="AR67" s="297">
        <v>-822</v>
      </c>
      <c r="AS67" s="297">
        <v>-367</v>
      </c>
      <c r="AT67" s="297">
        <v>-146</v>
      </c>
      <c r="AU67" s="297">
        <v>80</v>
      </c>
      <c r="AV67" s="297">
        <v>-438</v>
      </c>
      <c r="AW67" s="297">
        <v>-105</v>
      </c>
      <c r="AX67" s="297">
        <v>-636</v>
      </c>
      <c r="AY67" s="297">
        <v>-228</v>
      </c>
      <c r="BA67" s="205"/>
      <c r="BB67" s="205"/>
    </row>
    <row r="68" spans="2:54">
      <c r="B68" s="288">
        <v>10191</v>
      </c>
      <c r="C68" s="288" t="s">
        <v>71</v>
      </c>
      <c r="D68" s="297">
        <v>-3856</v>
      </c>
      <c r="E68" s="297">
        <v>3774</v>
      </c>
      <c r="F68" s="297">
        <v>-4910</v>
      </c>
      <c r="G68" s="297">
        <v>3065</v>
      </c>
      <c r="H68" s="297">
        <v>-954</v>
      </c>
      <c r="I68" s="297">
        <v>7268</v>
      </c>
      <c r="J68" s="297">
        <v>5124</v>
      </c>
      <c r="K68" s="297">
        <v>8611</v>
      </c>
      <c r="L68" s="297">
        <v>5094</v>
      </c>
      <c r="M68" s="297">
        <v>7585</v>
      </c>
      <c r="N68" s="297">
        <v>1348</v>
      </c>
      <c r="O68" s="297">
        <v>4674</v>
      </c>
      <c r="P68" s="297">
        <v>-2130</v>
      </c>
      <c r="Q68" s="297">
        <v>4699</v>
      </c>
      <c r="R68" s="297">
        <v>-15537</v>
      </c>
      <c r="S68" s="297">
        <v>-3910</v>
      </c>
      <c r="T68" s="297">
        <v>-9142</v>
      </c>
      <c r="U68" s="297">
        <v>-459</v>
      </c>
      <c r="V68" s="297">
        <v>-7005</v>
      </c>
      <c r="W68" s="297">
        <v>2899</v>
      </c>
      <c r="X68" s="297">
        <v>-9005</v>
      </c>
      <c r="Y68" s="297">
        <v>458</v>
      </c>
      <c r="Z68" s="297">
        <v>-6910</v>
      </c>
      <c r="AA68" s="297">
        <v>2184</v>
      </c>
      <c r="AB68" s="297">
        <v>-2528</v>
      </c>
      <c r="AC68" s="297">
        <v>3190</v>
      </c>
      <c r="AD68" s="297">
        <v>-4110</v>
      </c>
      <c r="AE68" s="297">
        <v>3707</v>
      </c>
      <c r="AF68" s="297">
        <v>-154</v>
      </c>
      <c r="AG68" s="297">
        <v>7956</v>
      </c>
      <c r="AH68" s="297">
        <v>5956</v>
      </c>
      <c r="AI68" s="297">
        <v>9267</v>
      </c>
      <c r="AJ68" s="297">
        <v>5862</v>
      </c>
      <c r="AK68" s="297">
        <v>8161</v>
      </c>
      <c r="AL68" s="297">
        <v>724</v>
      </c>
      <c r="AM68" s="297">
        <v>6041</v>
      </c>
      <c r="AN68" s="297">
        <v>-338</v>
      </c>
      <c r="AO68" s="297">
        <v>4347</v>
      </c>
      <c r="AP68" s="297">
        <v>-15121</v>
      </c>
      <c r="AQ68" s="297">
        <v>-3582</v>
      </c>
      <c r="AR68" s="297">
        <v>-9574</v>
      </c>
      <c r="AS68" s="297">
        <v>693</v>
      </c>
      <c r="AT68" s="297">
        <v>-5373</v>
      </c>
      <c r="AU68" s="297">
        <v>2755</v>
      </c>
      <c r="AV68" s="297">
        <v>-8573</v>
      </c>
      <c r="AW68" s="297">
        <v>770</v>
      </c>
      <c r="AX68" s="297">
        <v>-6142</v>
      </c>
      <c r="AY68" s="297">
        <v>2856</v>
      </c>
      <c r="BA68" s="205"/>
      <c r="BB68" s="205"/>
    </row>
    <row r="69" spans="2:54">
      <c r="B69" s="288">
        <v>10197</v>
      </c>
      <c r="C69" s="288" t="s">
        <v>72</v>
      </c>
      <c r="D69" s="297">
        <v>-4176</v>
      </c>
      <c r="E69" s="297">
        <v>-1469</v>
      </c>
      <c r="F69" s="297">
        <v>-8210</v>
      </c>
      <c r="G69" s="297">
        <v>-4113</v>
      </c>
      <c r="H69" s="297">
        <v>-7369</v>
      </c>
      <c r="I69" s="297">
        <v>-3429</v>
      </c>
      <c r="J69" s="297">
        <v>-5614</v>
      </c>
      <c r="K69" s="297">
        <v>-2727</v>
      </c>
      <c r="L69" s="297">
        <v>-4637</v>
      </c>
      <c r="M69" s="297">
        <v>-2128</v>
      </c>
      <c r="N69" s="297">
        <v>-5953</v>
      </c>
      <c r="O69" s="297">
        <v>-2724</v>
      </c>
      <c r="P69" s="297">
        <v>-219</v>
      </c>
      <c r="Q69" s="297">
        <v>846</v>
      </c>
      <c r="R69" s="297">
        <v>4102</v>
      </c>
      <c r="S69" s="297">
        <v>6316</v>
      </c>
      <c r="T69" s="297">
        <v>9241</v>
      </c>
      <c r="U69" s="297">
        <v>8380</v>
      </c>
      <c r="V69" s="297">
        <v>13733</v>
      </c>
      <c r="W69" s="297">
        <v>12841</v>
      </c>
      <c r="X69" s="297">
        <v>11872</v>
      </c>
      <c r="Y69" s="297">
        <v>12092</v>
      </c>
      <c r="Z69" s="297">
        <v>3714</v>
      </c>
      <c r="AA69" s="297">
        <v>5083</v>
      </c>
      <c r="AB69" s="297">
        <v>-4176</v>
      </c>
      <c r="AC69" s="297">
        <v>-1469</v>
      </c>
      <c r="AD69" s="297">
        <v>-8357</v>
      </c>
      <c r="AE69" s="297">
        <v>-3966</v>
      </c>
      <c r="AF69" s="297">
        <v>-7197</v>
      </c>
      <c r="AG69" s="297">
        <v>-3601</v>
      </c>
      <c r="AH69" s="297">
        <v>-5781</v>
      </c>
      <c r="AI69" s="297">
        <v>-2560</v>
      </c>
      <c r="AJ69" s="297">
        <v>-4749</v>
      </c>
      <c r="AK69" s="297">
        <v>-2175</v>
      </c>
      <c r="AL69" s="297">
        <v>-5804</v>
      </c>
      <c r="AM69" s="297">
        <v>-2873</v>
      </c>
      <c r="AN69" s="297">
        <v>-219</v>
      </c>
      <c r="AO69" s="297">
        <v>846</v>
      </c>
      <c r="AP69" s="297">
        <v>4102</v>
      </c>
      <c r="AQ69" s="297">
        <v>6316</v>
      </c>
      <c r="AR69" s="297">
        <v>9241</v>
      </c>
      <c r="AS69" s="297">
        <v>8380</v>
      </c>
      <c r="AT69" s="297">
        <v>13733</v>
      </c>
      <c r="AU69" s="297">
        <v>12841</v>
      </c>
      <c r="AV69" s="297">
        <v>11872</v>
      </c>
      <c r="AW69" s="297">
        <v>12092</v>
      </c>
      <c r="AX69" s="297">
        <v>3714</v>
      </c>
      <c r="AY69" s="297">
        <v>5083</v>
      </c>
      <c r="BA69" s="205"/>
      <c r="BB69" s="205"/>
    </row>
    <row r="70" spans="2:54">
      <c r="B70" s="288">
        <v>10202</v>
      </c>
      <c r="C70" s="288" t="s">
        <v>73</v>
      </c>
      <c r="D70" s="297">
        <v>1051</v>
      </c>
      <c r="E70" s="297">
        <v>545</v>
      </c>
      <c r="F70" s="297">
        <v>103</v>
      </c>
      <c r="G70" s="297">
        <v>354</v>
      </c>
      <c r="H70" s="297">
        <v>959</v>
      </c>
      <c r="I70" s="297">
        <v>1264</v>
      </c>
      <c r="J70" s="297">
        <v>1675</v>
      </c>
      <c r="K70" s="297">
        <v>1138</v>
      </c>
      <c r="L70" s="297">
        <v>1681</v>
      </c>
      <c r="M70" s="297">
        <v>992</v>
      </c>
      <c r="N70" s="297">
        <v>-21</v>
      </c>
      <c r="O70" s="297">
        <v>229</v>
      </c>
      <c r="P70" s="297">
        <v>-306</v>
      </c>
      <c r="Q70" s="297">
        <v>-219</v>
      </c>
      <c r="R70" s="297">
        <v>-3727</v>
      </c>
      <c r="S70" s="297">
        <v>-1915</v>
      </c>
      <c r="T70" s="297">
        <v>-2127</v>
      </c>
      <c r="U70" s="297">
        <v>-1267</v>
      </c>
      <c r="V70" s="297">
        <v>-944</v>
      </c>
      <c r="W70" s="297">
        <v>-508</v>
      </c>
      <c r="X70" s="297">
        <v>-589</v>
      </c>
      <c r="Y70" s="297">
        <v>147</v>
      </c>
      <c r="Z70" s="297">
        <v>794</v>
      </c>
      <c r="AA70" s="297">
        <v>569</v>
      </c>
      <c r="AB70" s="297">
        <v>1008</v>
      </c>
      <c r="AC70" s="297">
        <v>544</v>
      </c>
      <c r="AD70" s="297">
        <v>-202</v>
      </c>
      <c r="AE70" s="297">
        <v>620</v>
      </c>
      <c r="AF70" s="297">
        <v>1257</v>
      </c>
      <c r="AG70" s="297">
        <v>921</v>
      </c>
      <c r="AH70" s="297">
        <v>1359</v>
      </c>
      <c r="AI70" s="297">
        <v>1410</v>
      </c>
      <c r="AJ70" s="297">
        <v>1617</v>
      </c>
      <c r="AK70" s="297">
        <v>1004</v>
      </c>
      <c r="AL70" s="297">
        <v>214</v>
      </c>
      <c r="AM70" s="297">
        <v>-51</v>
      </c>
      <c r="AN70" s="297">
        <v>-348</v>
      </c>
      <c r="AO70" s="297">
        <v>-218</v>
      </c>
      <c r="AP70" s="297">
        <v>-3747</v>
      </c>
      <c r="AQ70" s="297">
        <v>-1940</v>
      </c>
      <c r="AR70" s="297">
        <v>-2116</v>
      </c>
      <c r="AS70" s="297">
        <v>-1319</v>
      </c>
      <c r="AT70" s="297">
        <v>-986</v>
      </c>
      <c r="AU70" s="297">
        <v>-512</v>
      </c>
      <c r="AV70" s="297">
        <v>-611</v>
      </c>
      <c r="AW70" s="297">
        <v>123</v>
      </c>
      <c r="AX70" s="297">
        <v>780</v>
      </c>
      <c r="AY70" s="297">
        <v>541</v>
      </c>
      <c r="BA70" s="205"/>
      <c r="BB70" s="205"/>
    </row>
    <row r="71" spans="2:54">
      <c r="B71" s="288">
        <v>10203</v>
      </c>
      <c r="C71" s="288" t="s">
        <v>74</v>
      </c>
      <c r="D71" s="297">
        <v>-68</v>
      </c>
      <c r="E71" s="297">
        <v>31</v>
      </c>
      <c r="F71" s="297">
        <v>-40</v>
      </c>
      <c r="G71" s="297">
        <v>355</v>
      </c>
      <c r="H71" s="297">
        <v>769</v>
      </c>
      <c r="I71" s="297">
        <v>802</v>
      </c>
      <c r="J71" s="297">
        <v>1108</v>
      </c>
      <c r="K71" s="297">
        <v>975</v>
      </c>
      <c r="L71" s="297">
        <v>1010</v>
      </c>
      <c r="M71" s="297">
        <v>809</v>
      </c>
      <c r="N71" s="297">
        <v>399</v>
      </c>
      <c r="O71" s="297">
        <v>440</v>
      </c>
      <c r="P71" s="297">
        <v>14</v>
      </c>
      <c r="Q71" s="297">
        <v>177</v>
      </c>
      <c r="R71" s="297">
        <v>-1489</v>
      </c>
      <c r="S71" s="297">
        <v>-668</v>
      </c>
      <c r="T71" s="297">
        <v>-762</v>
      </c>
      <c r="U71" s="297">
        <v>-287</v>
      </c>
      <c r="V71" s="297">
        <v>28</v>
      </c>
      <c r="W71" s="297">
        <v>144</v>
      </c>
      <c r="X71" s="297">
        <v>-376</v>
      </c>
      <c r="Y71" s="297">
        <v>-77</v>
      </c>
      <c r="Z71" s="297">
        <v>-504</v>
      </c>
      <c r="AA71" s="297">
        <v>-120</v>
      </c>
      <c r="AB71" s="297">
        <v>-58</v>
      </c>
      <c r="AC71" s="297">
        <v>37</v>
      </c>
      <c r="AD71" s="297">
        <v>-27</v>
      </c>
      <c r="AE71" s="297">
        <v>365</v>
      </c>
      <c r="AF71" s="297">
        <v>785</v>
      </c>
      <c r="AG71" s="297">
        <v>813</v>
      </c>
      <c r="AH71" s="297">
        <v>1124</v>
      </c>
      <c r="AI71" s="297">
        <v>986</v>
      </c>
      <c r="AJ71" s="297">
        <v>1023</v>
      </c>
      <c r="AK71" s="297">
        <v>818</v>
      </c>
      <c r="AL71" s="297">
        <v>412</v>
      </c>
      <c r="AM71" s="297">
        <v>448</v>
      </c>
      <c r="AN71" s="297">
        <v>25</v>
      </c>
      <c r="AO71" s="297">
        <v>184</v>
      </c>
      <c r="AP71" s="297">
        <v>-1479</v>
      </c>
      <c r="AQ71" s="297">
        <v>-662</v>
      </c>
      <c r="AR71" s="297">
        <v>-752</v>
      </c>
      <c r="AS71" s="297">
        <v>-281</v>
      </c>
      <c r="AT71" s="297">
        <v>40</v>
      </c>
      <c r="AU71" s="297">
        <v>151</v>
      </c>
      <c r="AV71" s="297">
        <v>-365</v>
      </c>
      <c r="AW71" s="297">
        <v>-71</v>
      </c>
      <c r="AX71" s="297">
        <v>-495</v>
      </c>
      <c r="AY71" s="297">
        <v>-114</v>
      </c>
      <c r="BA71" s="205"/>
      <c r="BB71" s="205"/>
    </row>
    <row r="72" spans="2:54">
      <c r="B72" s="288">
        <v>10204</v>
      </c>
      <c r="C72" s="288" t="s">
        <v>75</v>
      </c>
      <c r="D72" s="297">
        <v>-2118</v>
      </c>
      <c r="E72" s="297">
        <v>1054</v>
      </c>
      <c r="F72" s="297">
        <v>-2996</v>
      </c>
      <c r="G72" s="297">
        <v>396</v>
      </c>
      <c r="H72" s="297">
        <v>-694</v>
      </c>
      <c r="I72" s="297">
        <v>2637</v>
      </c>
      <c r="J72" s="297">
        <v>2140</v>
      </c>
      <c r="K72" s="297">
        <v>3514</v>
      </c>
      <c r="L72" s="297">
        <v>1736</v>
      </c>
      <c r="M72" s="297">
        <v>2807</v>
      </c>
      <c r="N72" s="297">
        <v>-318</v>
      </c>
      <c r="O72" s="297">
        <v>1252</v>
      </c>
      <c r="P72" s="297">
        <v>-2045</v>
      </c>
      <c r="Q72" s="297">
        <v>923</v>
      </c>
      <c r="R72" s="297">
        <v>-5623</v>
      </c>
      <c r="S72" s="297">
        <v>-1099</v>
      </c>
      <c r="T72" s="297">
        <v>-3150</v>
      </c>
      <c r="U72" s="297">
        <v>185</v>
      </c>
      <c r="V72" s="297">
        <v>-1195</v>
      </c>
      <c r="W72" s="297">
        <v>2539</v>
      </c>
      <c r="X72" s="297">
        <v>-2298</v>
      </c>
      <c r="Y72" s="297">
        <v>1123</v>
      </c>
      <c r="Z72" s="297">
        <v>-2911</v>
      </c>
      <c r="AA72" s="297">
        <v>743</v>
      </c>
      <c r="AB72" s="297">
        <v>-1239</v>
      </c>
      <c r="AC72" s="297">
        <v>1090</v>
      </c>
      <c r="AD72" s="297">
        <v>-2463</v>
      </c>
      <c r="AE72" s="297">
        <v>795</v>
      </c>
      <c r="AF72" s="297">
        <v>-164</v>
      </c>
      <c r="AG72" s="297">
        <v>3060</v>
      </c>
      <c r="AH72" s="297">
        <v>2666</v>
      </c>
      <c r="AI72" s="297">
        <v>3910</v>
      </c>
      <c r="AJ72" s="297">
        <v>2213</v>
      </c>
      <c r="AK72" s="297">
        <v>3149</v>
      </c>
      <c r="AL72" s="297">
        <v>-593</v>
      </c>
      <c r="AM72" s="297">
        <v>1699</v>
      </c>
      <c r="AN72" s="297">
        <v>-1186</v>
      </c>
      <c r="AO72" s="297">
        <v>951</v>
      </c>
      <c r="AP72" s="297">
        <v>-5467</v>
      </c>
      <c r="AQ72" s="297">
        <v>-1011</v>
      </c>
      <c r="AR72" s="297">
        <v>-3376</v>
      </c>
      <c r="AS72" s="297">
        <v>604</v>
      </c>
      <c r="AT72" s="297">
        <v>-700</v>
      </c>
      <c r="AU72" s="297">
        <v>2214</v>
      </c>
      <c r="AV72" s="297">
        <v>-1741</v>
      </c>
      <c r="AW72" s="297">
        <v>1497</v>
      </c>
      <c r="AX72" s="297">
        <v>-2802</v>
      </c>
      <c r="AY72" s="297">
        <v>804</v>
      </c>
      <c r="BA72" s="205"/>
      <c r="BB72" s="205"/>
    </row>
    <row r="73" spans="2:54">
      <c r="B73" s="288">
        <v>10209</v>
      </c>
      <c r="C73" s="288" t="s">
        <v>76</v>
      </c>
      <c r="D73" s="297">
        <v>-6382</v>
      </c>
      <c r="E73" s="297">
        <v>-199</v>
      </c>
      <c r="F73" s="297">
        <v>-9849</v>
      </c>
      <c r="G73" s="297">
        <v>984</v>
      </c>
      <c r="H73" s="297">
        <v>2909</v>
      </c>
      <c r="I73" s="297">
        <v>7475</v>
      </c>
      <c r="J73" s="297">
        <v>14165</v>
      </c>
      <c r="K73" s="297">
        <v>15338</v>
      </c>
      <c r="L73" s="297">
        <v>12342</v>
      </c>
      <c r="M73" s="297">
        <v>12935</v>
      </c>
      <c r="N73" s="297">
        <v>1162</v>
      </c>
      <c r="O73" s="297">
        <v>5501</v>
      </c>
      <c r="P73" s="297">
        <v>-2908</v>
      </c>
      <c r="Q73" s="297">
        <v>2829</v>
      </c>
      <c r="R73" s="297">
        <v>-23585</v>
      </c>
      <c r="S73" s="297">
        <v>-7808</v>
      </c>
      <c r="T73" s="297">
        <v>-9893</v>
      </c>
      <c r="U73" s="297">
        <v>-546</v>
      </c>
      <c r="V73" s="297">
        <v>1661</v>
      </c>
      <c r="W73" s="297">
        <v>6560</v>
      </c>
      <c r="X73" s="297">
        <v>-4090</v>
      </c>
      <c r="Y73" s="297">
        <v>2857</v>
      </c>
      <c r="Z73" s="297">
        <v>-6330</v>
      </c>
      <c r="AA73" s="297">
        <v>1511</v>
      </c>
      <c r="AB73" s="297">
        <v>-4852</v>
      </c>
      <c r="AC73" s="297">
        <v>874</v>
      </c>
      <c r="AD73" s="297">
        <v>-7876</v>
      </c>
      <c r="AE73" s="297">
        <v>2430</v>
      </c>
      <c r="AF73" s="297">
        <v>5351</v>
      </c>
      <c r="AG73" s="297">
        <v>9171</v>
      </c>
      <c r="AH73" s="297">
        <v>14277</v>
      </c>
      <c r="AI73" s="297">
        <v>15402</v>
      </c>
      <c r="AJ73" s="297">
        <v>12414</v>
      </c>
      <c r="AK73" s="297">
        <v>12971</v>
      </c>
      <c r="AL73" s="297">
        <v>1267</v>
      </c>
      <c r="AM73" s="297">
        <v>5395</v>
      </c>
      <c r="AN73" s="297">
        <v>-3017</v>
      </c>
      <c r="AO73" s="297">
        <v>2882</v>
      </c>
      <c r="AP73" s="297">
        <v>-23615</v>
      </c>
      <c r="AQ73" s="297">
        <v>-7853</v>
      </c>
      <c r="AR73" s="297">
        <v>-9813</v>
      </c>
      <c r="AS73" s="297">
        <v>-685</v>
      </c>
      <c r="AT73" s="297">
        <v>1593</v>
      </c>
      <c r="AU73" s="297">
        <v>6617</v>
      </c>
      <c r="AV73" s="297">
        <v>-4083</v>
      </c>
      <c r="AW73" s="297">
        <v>2821</v>
      </c>
      <c r="AX73" s="297">
        <v>-6352</v>
      </c>
      <c r="AY73" s="297">
        <v>1445</v>
      </c>
      <c r="BA73" s="205"/>
      <c r="BB73" s="205"/>
    </row>
    <row r="74" spans="2:54">
      <c r="B74" s="288">
        <v>10230</v>
      </c>
      <c r="C74" s="288" t="s">
        <v>77</v>
      </c>
      <c r="D74" s="297">
        <v>551</v>
      </c>
      <c r="E74" s="297">
        <v>447</v>
      </c>
      <c r="F74" s="297">
        <v>703</v>
      </c>
      <c r="G74" s="297">
        <v>960</v>
      </c>
      <c r="H74" s="297">
        <v>2281</v>
      </c>
      <c r="I74" s="297">
        <v>1889</v>
      </c>
      <c r="J74" s="297">
        <v>2537</v>
      </c>
      <c r="K74" s="297">
        <v>2173</v>
      </c>
      <c r="L74" s="297">
        <v>2594</v>
      </c>
      <c r="M74" s="297">
        <v>1941</v>
      </c>
      <c r="N74" s="297">
        <v>1476</v>
      </c>
      <c r="O74" s="297">
        <v>1088</v>
      </c>
      <c r="P74" s="297">
        <v>888</v>
      </c>
      <c r="Q74" s="297">
        <v>808</v>
      </c>
      <c r="R74" s="297">
        <v>-1290</v>
      </c>
      <c r="S74" s="297">
        <v>-407</v>
      </c>
      <c r="T74" s="297">
        <v>-601</v>
      </c>
      <c r="U74" s="297">
        <v>-188</v>
      </c>
      <c r="V74" s="297">
        <v>352</v>
      </c>
      <c r="W74" s="297">
        <v>523</v>
      </c>
      <c r="X74" s="297">
        <v>218</v>
      </c>
      <c r="Y74" s="297">
        <v>287</v>
      </c>
      <c r="Z74" s="297">
        <v>-24</v>
      </c>
      <c r="AA74" s="297">
        <v>150</v>
      </c>
      <c r="AB74" s="297">
        <v>575</v>
      </c>
      <c r="AC74" s="297">
        <v>462</v>
      </c>
      <c r="AD74" s="297">
        <v>749</v>
      </c>
      <c r="AE74" s="297">
        <v>963</v>
      </c>
      <c r="AF74" s="297">
        <v>2298</v>
      </c>
      <c r="AG74" s="297">
        <v>1938</v>
      </c>
      <c r="AH74" s="297">
        <v>2591</v>
      </c>
      <c r="AI74" s="297">
        <v>2178</v>
      </c>
      <c r="AJ74" s="297">
        <v>2433</v>
      </c>
      <c r="AK74" s="297">
        <v>1834</v>
      </c>
      <c r="AL74" s="297">
        <v>1495</v>
      </c>
      <c r="AM74" s="297">
        <v>1120</v>
      </c>
      <c r="AN74" s="297">
        <v>913</v>
      </c>
      <c r="AO74" s="297">
        <v>824</v>
      </c>
      <c r="AP74" s="297">
        <v>-1266</v>
      </c>
      <c r="AQ74" s="297">
        <v>-391</v>
      </c>
      <c r="AR74" s="297">
        <v>-578</v>
      </c>
      <c r="AS74" s="297">
        <v>-175</v>
      </c>
      <c r="AT74" s="297">
        <v>376</v>
      </c>
      <c r="AU74" s="297">
        <v>538</v>
      </c>
      <c r="AV74" s="297">
        <v>244</v>
      </c>
      <c r="AW74" s="297">
        <v>302</v>
      </c>
      <c r="AX74" s="297">
        <v>-2</v>
      </c>
      <c r="AY74" s="297">
        <v>163</v>
      </c>
      <c r="BA74" s="205"/>
      <c r="BB74" s="205"/>
    </row>
    <row r="75" spans="2:54">
      <c r="B75" s="288">
        <v>10231</v>
      </c>
      <c r="C75" s="288" t="s">
        <v>78</v>
      </c>
      <c r="D75" s="297">
        <v>522</v>
      </c>
      <c r="E75" s="297">
        <v>389</v>
      </c>
      <c r="F75" s="297">
        <v>-2118</v>
      </c>
      <c r="G75" s="297">
        <v>-208</v>
      </c>
      <c r="H75" s="297">
        <v>1503</v>
      </c>
      <c r="I75" s="297">
        <v>3131</v>
      </c>
      <c r="J75" s="297">
        <v>3318</v>
      </c>
      <c r="K75" s="297">
        <v>2891</v>
      </c>
      <c r="L75" s="297">
        <v>3491</v>
      </c>
      <c r="M75" s="297">
        <v>2466</v>
      </c>
      <c r="N75" s="297">
        <v>-2011</v>
      </c>
      <c r="O75" s="297">
        <v>-272</v>
      </c>
      <c r="P75" s="297">
        <v>-986</v>
      </c>
      <c r="Q75" s="297">
        <v>-446</v>
      </c>
      <c r="R75" s="297">
        <v>-8828</v>
      </c>
      <c r="S75" s="297">
        <v>-3754</v>
      </c>
      <c r="T75" s="297">
        <v>-3918</v>
      </c>
      <c r="U75" s="297">
        <v>-1943</v>
      </c>
      <c r="V75" s="297">
        <v>3717</v>
      </c>
      <c r="W75" s="297">
        <v>2762</v>
      </c>
      <c r="X75" s="297">
        <v>1804</v>
      </c>
      <c r="Y75" s="297">
        <v>3054</v>
      </c>
      <c r="Z75" s="297">
        <v>996</v>
      </c>
      <c r="AA75" s="297">
        <v>1103</v>
      </c>
      <c r="AB75" s="297">
        <v>402</v>
      </c>
      <c r="AC75" s="297">
        <v>489</v>
      </c>
      <c r="AD75" s="297">
        <v>-2826</v>
      </c>
      <c r="AE75" s="297">
        <v>489</v>
      </c>
      <c r="AF75" s="297">
        <v>2335</v>
      </c>
      <c r="AG75" s="297">
        <v>2278</v>
      </c>
      <c r="AH75" s="297">
        <v>2540</v>
      </c>
      <c r="AI75" s="297">
        <v>3647</v>
      </c>
      <c r="AJ75" s="297">
        <v>3332</v>
      </c>
      <c r="AK75" s="297">
        <v>2517</v>
      </c>
      <c r="AL75" s="297">
        <v>-1317</v>
      </c>
      <c r="AM75" s="297">
        <v>-989</v>
      </c>
      <c r="AN75" s="297">
        <v>-1104</v>
      </c>
      <c r="AO75" s="297">
        <v>-342</v>
      </c>
      <c r="AP75" s="297">
        <v>-8835</v>
      </c>
      <c r="AQ75" s="297">
        <v>-3772</v>
      </c>
      <c r="AR75" s="297">
        <v>-3786</v>
      </c>
      <c r="AS75" s="297">
        <v>-2091</v>
      </c>
      <c r="AT75" s="297">
        <v>3597</v>
      </c>
      <c r="AU75" s="297">
        <v>2856</v>
      </c>
      <c r="AV75" s="297">
        <v>1797</v>
      </c>
      <c r="AW75" s="297">
        <v>3035</v>
      </c>
      <c r="AX75" s="297">
        <v>1006</v>
      </c>
      <c r="AY75" s="297">
        <v>1075</v>
      </c>
      <c r="BA75" s="205"/>
      <c r="BB75" s="205"/>
    </row>
    <row r="76" spans="2:54">
      <c r="B76" s="288">
        <v>10234</v>
      </c>
      <c r="C76" s="288" t="s">
        <v>79</v>
      </c>
      <c r="D76" s="297">
        <v>-971</v>
      </c>
      <c r="E76" s="297">
        <v>811</v>
      </c>
      <c r="F76" s="297">
        <v>-950</v>
      </c>
      <c r="G76" s="297">
        <v>1416</v>
      </c>
      <c r="H76" s="297">
        <v>5287</v>
      </c>
      <c r="I76" s="297">
        <v>5492</v>
      </c>
      <c r="J76" s="297">
        <v>6695</v>
      </c>
      <c r="K76" s="297">
        <v>7190</v>
      </c>
      <c r="L76" s="297">
        <v>7641</v>
      </c>
      <c r="M76" s="297">
        <v>6053</v>
      </c>
      <c r="N76" s="297">
        <v>3366</v>
      </c>
      <c r="O76" s="297">
        <v>2475</v>
      </c>
      <c r="P76" s="297">
        <v>-321</v>
      </c>
      <c r="Q76" s="297">
        <v>1128</v>
      </c>
      <c r="R76" s="297">
        <v>-12069</v>
      </c>
      <c r="S76" s="297">
        <v>-4755</v>
      </c>
      <c r="T76" s="297">
        <v>-3380</v>
      </c>
      <c r="U76" s="297">
        <v>-1162</v>
      </c>
      <c r="V76" s="297">
        <v>2138</v>
      </c>
      <c r="W76" s="297">
        <v>3402</v>
      </c>
      <c r="X76" s="297">
        <v>-545</v>
      </c>
      <c r="Y76" s="297">
        <v>961</v>
      </c>
      <c r="Z76" s="297">
        <v>-2148</v>
      </c>
      <c r="AA76" s="297">
        <v>112</v>
      </c>
      <c r="AB76" s="297">
        <v>-965</v>
      </c>
      <c r="AC76" s="297">
        <v>873</v>
      </c>
      <c r="AD76" s="297">
        <v>-891</v>
      </c>
      <c r="AE76" s="297">
        <v>1434</v>
      </c>
      <c r="AF76" s="297">
        <v>5345</v>
      </c>
      <c r="AG76" s="297">
        <v>5503</v>
      </c>
      <c r="AH76" s="297">
        <v>6741</v>
      </c>
      <c r="AI76" s="297">
        <v>7213</v>
      </c>
      <c r="AJ76" s="297">
        <v>7046</v>
      </c>
      <c r="AK76" s="297">
        <v>5651</v>
      </c>
      <c r="AL76" s="297">
        <v>3477</v>
      </c>
      <c r="AM76" s="297">
        <v>2433</v>
      </c>
      <c r="AN76" s="297">
        <v>-311</v>
      </c>
      <c r="AO76" s="297">
        <v>1196</v>
      </c>
      <c r="AP76" s="297">
        <v>-12018</v>
      </c>
      <c r="AQ76" s="297">
        <v>-4737</v>
      </c>
      <c r="AR76" s="297">
        <v>-3256</v>
      </c>
      <c r="AS76" s="297">
        <v>-1207</v>
      </c>
      <c r="AT76" s="297">
        <v>2147</v>
      </c>
      <c r="AU76" s="297">
        <v>3461</v>
      </c>
      <c r="AV76" s="297">
        <v>-482</v>
      </c>
      <c r="AW76" s="297">
        <v>966</v>
      </c>
      <c r="AX76" s="297">
        <v>-2078</v>
      </c>
      <c r="AY76" s="297">
        <v>121</v>
      </c>
      <c r="BA76" s="205"/>
      <c r="BB76" s="205"/>
    </row>
    <row r="77" spans="2:54">
      <c r="B77" s="288">
        <v>10235</v>
      </c>
      <c r="C77" s="288" t="s">
        <v>80</v>
      </c>
      <c r="D77" s="297">
        <v>199</v>
      </c>
      <c r="E77" s="297">
        <v>284</v>
      </c>
      <c r="F77" s="297">
        <v>-264</v>
      </c>
      <c r="G77" s="297">
        <v>369</v>
      </c>
      <c r="H77" s="297">
        <v>776</v>
      </c>
      <c r="I77" s="297">
        <v>1423</v>
      </c>
      <c r="J77" s="297">
        <v>4576</v>
      </c>
      <c r="K77" s="297">
        <v>2561</v>
      </c>
      <c r="L77" s="297">
        <v>5253</v>
      </c>
      <c r="M77" s="297">
        <v>2969</v>
      </c>
      <c r="N77" s="297">
        <v>1580</v>
      </c>
      <c r="O77" s="297">
        <v>1467</v>
      </c>
      <c r="P77" s="297">
        <v>764</v>
      </c>
      <c r="Q77" s="297">
        <v>696</v>
      </c>
      <c r="R77" s="297">
        <v>-7244</v>
      </c>
      <c r="S77" s="297">
        <v>-2925</v>
      </c>
      <c r="T77" s="297">
        <v>-3524</v>
      </c>
      <c r="U77" s="297">
        <v>-1502</v>
      </c>
      <c r="V77" s="297">
        <v>-1513</v>
      </c>
      <c r="W77" s="297">
        <v>-15</v>
      </c>
      <c r="X77" s="297">
        <v>-3172</v>
      </c>
      <c r="Y77" s="297">
        <v>-338</v>
      </c>
      <c r="Z77" s="297">
        <v>-1726</v>
      </c>
      <c r="AA77" s="297">
        <v>-514</v>
      </c>
      <c r="AB77" s="297">
        <v>200</v>
      </c>
      <c r="AC77" s="297">
        <v>286</v>
      </c>
      <c r="AD77" s="297">
        <v>-857</v>
      </c>
      <c r="AE77" s="297">
        <v>963</v>
      </c>
      <c r="AF77" s="297">
        <v>1392</v>
      </c>
      <c r="AG77" s="297">
        <v>818</v>
      </c>
      <c r="AH77" s="297">
        <v>3960</v>
      </c>
      <c r="AI77" s="297">
        <v>3213</v>
      </c>
      <c r="AJ77" s="297">
        <v>4598</v>
      </c>
      <c r="AK77" s="297">
        <v>2725</v>
      </c>
      <c r="AL77" s="297">
        <v>2124</v>
      </c>
      <c r="AM77" s="297">
        <v>939</v>
      </c>
      <c r="AN77" s="297">
        <v>768</v>
      </c>
      <c r="AO77" s="297">
        <v>700</v>
      </c>
      <c r="AP77" s="297">
        <v>-7280</v>
      </c>
      <c r="AQ77" s="297">
        <v>-2939</v>
      </c>
      <c r="AR77" s="297">
        <v>-3541</v>
      </c>
      <c r="AS77" s="297">
        <v>-1510</v>
      </c>
      <c r="AT77" s="297">
        <v>-1520</v>
      </c>
      <c r="AU77" s="297">
        <v>-15</v>
      </c>
      <c r="AV77" s="297">
        <v>-3188</v>
      </c>
      <c r="AW77" s="297">
        <v>-339</v>
      </c>
      <c r="AX77" s="297">
        <v>-1735</v>
      </c>
      <c r="AY77" s="297">
        <v>-516</v>
      </c>
      <c r="BA77" s="205"/>
      <c r="BB77" s="205"/>
    </row>
    <row r="78" spans="2:54">
      <c r="B78" s="288">
        <v>10236</v>
      </c>
      <c r="C78" s="288" t="s">
        <v>81</v>
      </c>
      <c r="D78" s="297">
        <v>0</v>
      </c>
      <c r="E78" s="297">
        <v>0</v>
      </c>
      <c r="F78" s="297">
        <v>0</v>
      </c>
      <c r="G78" s="297">
        <v>0</v>
      </c>
      <c r="H78" s="297">
        <v>0</v>
      </c>
      <c r="I78" s="297">
        <v>0</v>
      </c>
      <c r="J78" s="297">
        <v>0</v>
      </c>
      <c r="K78" s="297">
        <v>0</v>
      </c>
      <c r="L78" s="297">
        <v>0</v>
      </c>
      <c r="M78" s="297">
        <v>0</v>
      </c>
      <c r="N78" s="297">
        <v>0</v>
      </c>
      <c r="O78" s="297">
        <v>0</v>
      </c>
      <c r="P78" s="297">
        <v>0</v>
      </c>
      <c r="Q78" s="297">
        <v>0</v>
      </c>
      <c r="R78" s="297">
        <v>0</v>
      </c>
      <c r="S78" s="297">
        <v>0</v>
      </c>
      <c r="T78" s="297">
        <v>0</v>
      </c>
      <c r="U78" s="297">
        <v>0</v>
      </c>
      <c r="V78" s="297">
        <v>0</v>
      </c>
      <c r="W78" s="297">
        <v>0</v>
      </c>
      <c r="X78" s="297">
        <v>0</v>
      </c>
      <c r="Y78" s="297">
        <v>0</v>
      </c>
      <c r="Z78" s="297">
        <v>0</v>
      </c>
      <c r="AA78" s="297">
        <v>0</v>
      </c>
      <c r="AB78" s="297">
        <v>0</v>
      </c>
      <c r="AC78" s="297">
        <v>0</v>
      </c>
      <c r="AD78" s="297">
        <v>0</v>
      </c>
      <c r="AE78" s="297">
        <v>0</v>
      </c>
      <c r="AF78" s="297">
        <v>0</v>
      </c>
      <c r="AG78" s="297">
        <v>0</v>
      </c>
      <c r="AH78" s="297">
        <v>0</v>
      </c>
      <c r="AI78" s="297">
        <v>0</v>
      </c>
      <c r="AJ78" s="297">
        <v>0</v>
      </c>
      <c r="AK78" s="297">
        <v>0</v>
      </c>
      <c r="AL78" s="297">
        <v>0</v>
      </c>
      <c r="AM78" s="297">
        <v>0</v>
      </c>
      <c r="AN78" s="297">
        <v>0</v>
      </c>
      <c r="AO78" s="297">
        <v>0</v>
      </c>
      <c r="AP78" s="297">
        <v>0</v>
      </c>
      <c r="AQ78" s="297">
        <v>0</v>
      </c>
      <c r="AR78" s="297">
        <v>0</v>
      </c>
      <c r="AS78" s="297">
        <v>0</v>
      </c>
      <c r="AT78" s="297">
        <v>0</v>
      </c>
      <c r="AU78" s="297">
        <v>0</v>
      </c>
      <c r="AV78" s="297">
        <v>0</v>
      </c>
      <c r="AW78" s="297">
        <v>0</v>
      </c>
      <c r="AX78" s="297">
        <v>0</v>
      </c>
      <c r="AY78" s="297">
        <v>0</v>
      </c>
      <c r="BA78" s="205"/>
      <c r="BB78" s="205"/>
    </row>
    <row r="79" spans="2:54">
      <c r="B79" s="288">
        <v>10237</v>
      </c>
      <c r="C79" s="288" t="s">
        <v>82</v>
      </c>
      <c r="D79" s="297">
        <v>-2505</v>
      </c>
      <c r="E79" s="297">
        <v>2725</v>
      </c>
      <c r="F79" s="297">
        <v>-3225</v>
      </c>
      <c r="G79" s="297">
        <v>2244</v>
      </c>
      <c r="H79" s="297">
        <v>896</v>
      </c>
      <c r="I79" s="297">
        <v>6350</v>
      </c>
      <c r="J79" s="297">
        <v>2239</v>
      </c>
      <c r="K79" s="297">
        <v>4918</v>
      </c>
      <c r="L79" s="297">
        <v>3258</v>
      </c>
      <c r="M79" s="297">
        <v>5041</v>
      </c>
      <c r="N79" s="297">
        <v>568</v>
      </c>
      <c r="O79" s="297">
        <v>2964</v>
      </c>
      <c r="P79" s="297">
        <v>-824</v>
      </c>
      <c r="Q79" s="297">
        <v>3757</v>
      </c>
      <c r="R79" s="297">
        <v>-10821</v>
      </c>
      <c r="S79" s="297">
        <v>-2779</v>
      </c>
      <c r="T79" s="297">
        <v>-6667</v>
      </c>
      <c r="U79" s="297">
        <v>-581</v>
      </c>
      <c r="V79" s="297">
        <v>-5428</v>
      </c>
      <c r="W79" s="297">
        <v>1487</v>
      </c>
      <c r="X79" s="297">
        <v>-6423</v>
      </c>
      <c r="Y79" s="297">
        <v>163</v>
      </c>
      <c r="Z79" s="297">
        <v>-4835</v>
      </c>
      <c r="AA79" s="297">
        <v>1446</v>
      </c>
      <c r="AB79" s="297">
        <v>-972</v>
      </c>
      <c r="AC79" s="297">
        <v>2750</v>
      </c>
      <c r="AD79" s="297">
        <v>-2371</v>
      </c>
      <c r="AE79" s="297">
        <v>2918</v>
      </c>
      <c r="AF79" s="297">
        <v>1749</v>
      </c>
      <c r="AG79" s="297">
        <v>7070</v>
      </c>
      <c r="AH79" s="297">
        <v>2700</v>
      </c>
      <c r="AI79" s="297">
        <v>5274</v>
      </c>
      <c r="AJ79" s="297">
        <v>3680</v>
      </c>
      <c r="AK79" s="297">
        <v>5351</v>
      </c>
      <c r="AL79" s="297">
        <v>325</v>
      </c>
      <c r="AM79" s="297">
        <v>4021</v>
      </c>
      <c r="AN79" s="297">
        <v>324</v>
      </c>
      <c r="AO79" s="297">
        <v>3398</v>
      </c>
      <c r="AP79" s="297">
        <v>-10341</v>
      </c>
      <c r="AQ79" s="297">
        <v>-2414</v>
      </c>
      <c r="AR79" s="297">
        <v>-6776</v>
      </c>
      <c r="AS79" s="297">
        <v>326</v>
      </c>
      <c r="AT79" s="297">
        <v>-4439</v>
      </c>
      <c r="AU79" s="297">
        <v>1311</v>
      </c>
      <c r="AV79" s="297">
        <v>-5940</v>
      </c>
      <c r="AW79" s="297">
        <v>500</v>
      </c>
      <c r="AX79" s="297">
        <v>-4407</v>
      </c>
      <c r="AY79" s="297">
        <v>1807</v>
      </c>
      <c r="BA79" s="205"/>
      <c r="BB79" s="205"/>
    </row>
    <row r="80" spans="2:54">
      <c r="B80" s="288">
        <v>10239</v>
      </c>
      <c r="C80" s="288" t="s">
        <v>83</v>
      </c>
      <c r="D80" s="297">
        <v>0</v>
      </c>
      <c r="E80" s="297">
        <v>0</v>
      </c>
      <c r="F80" s="297">
        <v>0</v>
      </c>
      <c r="G80" s="297">
        <v>0</v>
      </c>
      <c r="H80" s="297">
        <v>0</v>
      </c>
      <c r="I80" s="297">
        <v>0</v>
      </c>
      <c r="J80" s="297">
        <v>0</v>
      </c>
      <c r="K80" s="297">
        <v>0</v>
      </c>
      <c r="L80" s="297">
        <v>0</v>
      </c>
      <c r="M80" s="297">
        <v>0</v>
      </c>
      <c r="N80" s="297">
        <v>0</v>
      </c>
      <c r="O80" s="297">
        <v>0</v>
      </c>
      <c r="P80" s="297">
        <v>0</v>
      </c>
      <c r="Q80" s="297">
        <v>0</v>
      </c>
      <c r="R80" s="297">
        <v>0</v>
      </c>
      <c r="S80" s="297">
        <v>0</v>
      </c>
      <c r="T80" s="297">
        <v>0</v>
      </c>
      <c r="U80" s="297">
        <v>0</v>
      </c>
      <c r="V80" s="297">
        <v>0</v>
      </c>
      <c r="W80" s="297">
        <v>0</v>
      </c>
      <c r="X80" s="297">
        <v>0</v>
      </c>
      <c r="Y80" s="297">
        <v>0</v>
      </c>
      <c r="Z80" s="297">
        <v>0</v>
      </c>
      <c r="AA80" s="297">
        <v>0</v>
      </c>
      <c r="AB80" s="297">
        <v>0</v>
      </c>
      <c r="AC80" s="297">
        <v>0</v>
      </c>
      <c r="AD80" s="297">
        <v>0</v>
      </c>
      <c r="AE80" s="297">
        <v>0</v>
      </c>
      <c r="AF80" s="297">
        <v>0</v>
      </c>
      <c r="AG80" s="297">
        <v>0</v>
      </c>
      <c r="AH80" s="297">
        <v>0</v>
      </c>
      <c r="AI80" s="297">
        <v>0</v>
      </c>
      <c r="AJ80" s="297">
        <v>0</v>
      </c>
      <c r="AK80" s="297">
        <v>0</v>
      </c>
      <c r="AL80" s="297">
        <v>0</v>
      </c>
      <c r="AM80" s="297">
        <v>0</v>
      </c>
      <c r="AN80" s="297">
        <v>0</v>
      </c>
      <c r="AO80" s="297">
        <v>0</v>
      </c>
      <c r="AP80" s="297">
        <v>0</v>
      </c>
      <c r="AQ80" s="297">
        <v>0</v>
      </c>
      <c r="AR80" s="297">
        <v>0</v>
      </c>
      <c r="AS80" s="297">
        <v>0</v>
      </c>
      <c r="AT80" s="297">
        <v>0</v>
      </c>
      <c r="AU80" s="297">
        <v>0</v>
      </c>
      <c r="AV80" s="297">
        <v>0</v>
      </c>
      <c r="AW80" s="297">
        <v>0</v>
      </c>
      <c r="AX80" s="297">
        <v>0</v>
      </c>
      <c r="AY80" s="297">
        <v>0</v>
      </c>
      <c r="BA80" s="205"/>
      <c r="BB80" s="205"/>
    </row>
    <row r="81" spans="2:54">
      <c r="B81" s="288">
        <v>10242</v>
      </c>
      <c r="C81" s="288" t="s">
        <v>84</v>
      </c>
      <c r="D81" s="297">
        <v>-1964</v>
      </c>
      <c r="E81" s="297">
        <v>-792</v>
      </c>
      <c r="F81" s="297">
        <v>-2766</v>
      </c>
      <c r="G81" s="297">
        <v>-1214</v>
      </c>
      <c r="H81" s="297">
        <v>-2039</v>
      </c>
      <c r="I81" s="297">
        <v>-750</v>
      </c>
      <c r="J81" s="297">
        <v>-1328</v>
      </c>
      <c r="K81" s="297">
        <v>-350</v>
      </c>
      <c r="L81" s="297">
        <v>-1014</v>
      </c>
      <c r="M81" s="297">
        <v>-168</v>
      </c>
      <c r="N81" s="297">
        <v>-1939</v>
      </c>
      <c r="O81" s="297">
        <v>-791</v>
      </c>
      <c r="P81" s="297">
        <v>-2034</v>
      </c>
      <c r="Q81" s="297">
        <v>-862</v>
      </c>
      <c r="R81" s="297">
        <v>-1089</v>
      </c>
      <c r="S81" s="297">
        <v>381</v>
      </c>
      <c r="T81" s="297">
        <v>2427</v>
      </c>
      <c r="U81" s="297">
        <v>2546</v>
      </c>
      <c r="V81" s="297">
        <v>4391</v>
      </c>
      <c r="W81" s="297">
        <v>4423</v>
      </c>
      <c r="X81" s="297">
        <v>2714</v>
      </c>
      <c r="Y81" s="297">
        <v>2949</v>
      </c>
      <c r="Z81" s="297">
        <v>310</v>
      </c>
      <c r="AA81" s="297">
        <v>1033</v>
      </c>
      <c r="AB81" s="297">
        <v>-1986</v>
      </c>
      <c r="AC81" s="297">
        <v>-803</v>
      </c>
      <c r="AD81" s="297">
        <v>-2796</v>
      </c>
      <c r="AE81" s="297">
        <v>-1229</v>
      </c>
      <c r="AF81" s="297">
        <v>-2067</v>
      </c>
      <c r="AG81" s="297">
        <v>-765</v>
      </c>
      <c r="AH81" s="297">
        <v>-1351</v>
      </c>
      <c r="AI81" s="297">
        <v>-362</v>
      </c>
      <c r="AJ81" s="297">
        <v>-1102</v>
      </c>
      <c r="AK81" s="297">
        <v>-231</v>
      </c>
      <c r="AL81" s="297">
        <v>-1962</v>
      </c>
      <c r="AM81" s="297">
        <v>-802</v>
      </c>
      <c r="AN81" s="297">
        <v>-2055</v>
      </c>
      <c r="AO81" s="297">
        <v>-872</v>
      </c>
      <c r="AP81" s="297">
        <v>-1090</v>
      </c>
      <c r="AQ81" s="297">
        <v>390</v>
      </c>
      <c r="AR81" s="297">
        <v>2437</v>
      </c>
      <c r="AS81" s="297">
        <v>2559</v>
      </c>
      <c r="AT81" s="297">
        <v>4403</v>
      </c>
      <c r="AU81" s="297">
        <v>4441</v>
      </c>
      <c r="AV81" s="297">
        <v>2723</v>
      </c>
      <c r="AW81" s="297">
        <v>2964</v>
      </c>
      <c r="AX81" s="297">
        <v>323</v>
      </c>
      <c r="AY81" s="297">
        <v>1050</v>
      </c>
      <c r="BA81" s="205"/>
      <c r="BB81" s="205"/>
    </row>
    <row r="82" spans="2:54">
      <c r="B82" s="288">
        <v>10244</v>
      </c>
      <c r="C82" s="288" t="s">
        <v>85</v>
      </c>
      <c r="D82" s="297">
        <v>-2873</v>
      </c>
      <c r="E82" s="297">
        <v>2061</v>
      </c>
      <c r="F82" s="297">
        <v>-1062</v>
      </c>
      <c r="G82" s="297">
        <v>6901</v>
      </c>
      <c r="H82" s="297">
        <v>17014</v>
      </c>
      <c r="I82" s="297">
        <v>18985</v>
      </c>
      <c r="J82" s="297">
        <v>18859</v>
      </c>
      <c r="K82" s="297">
        <v>18882</v>
      </c>
      <c r="L82" s="297">
        <v>24002</v>
      </c>
      <c r="M82" s="297">
        <v>22217</v>
      </c>
      <c r="N82" s="297">
        <v>10301</v>
      </c>
      <c r="O82" s="297">
        <v>11524</v>
      </c>
      <c r="P82" s="297">
        <v>-175</v>
      </c>
      <c r="Q82" s="297">
        <v>4751</v>
      </c>
      <c r="R82" s="297">
        <v>-25982</v>
      </c>
      <c r="S82" s="297">
        <v>-11259</v>
      </c>
      <c r="T82" s="297">
        <v>-13926</v>
      </c>
      <c r="U82" s="297">
        <v>-6065</v>
      </c>
      <c r="V82" s="297">
        <v>-9800</v>
      </c>
      <c r="W82" s="297">
        <v>-2608</v>
      </c>
      <c r="X82" s="297">
        <v>-13743</v>
      </c>
      <c r="Y82" s="297">
        <v>-4920</v>
      </c>
      <c r="Z82" s="297">
        <v>-9051</v>
      </c>
      <c r="AA82" s="297">
        <v>-2738</v>
      </c>
      <c r="AB82" s="297">
        <v>-2224</v>
      </c>
      <c r="AC82" s="297">
        <v>2627</v>
      </c>
      <c r="AD82" s="297">
        <v>-330</v>
      </c>
      <c r="AE82" s="297">
        <v>7404</v>
      </c>
      <c r="AF82" s="297">
        <v>17707</v>
      </c>
      <c r="AG82" s="297">
        <v>19507</v>
      </c>
      <c r="AH82" s="297">
        <v>19578</v>
      </c>
      <c r="AI82" s="297">
        <v>19378</v>
      </c>
      <c r="AJ82" s="297">
        <v>23906</v>
      </c>
      <c r="AK82" s="297">
        <v>22137</v>
      </c>
      <c r="AL82" s="297">
        <v>11120</v>
      </c>
      <c r="AM82" s="297">
        <v>11922</v>
      </c>
      <c r="AN82" s="297">
        <v>459</v>
      </c>
      <c r="AO82" s="297">
        <v>5353</v>
      </c>
      <c r="AP82" s="297">
        <v>-26079</v>
      </c>
      <c r="AQ82" s="297">
        <v>-11355</v>
      </c>
      <c r="AR82" s="297">
        <v>-13889</v>
      </c>
      <c r="AS82" s="297">
        <v>-6276</v>
      </c>
      <c r="AT82" s="297">
        <v>-9989</v>
      </c>
      <c r="AU82" s="297">
        <v>-2613</v>
      </c>
      <c r="AV82" s="297">
        <v>-13833</v>
      </c>
      <c r="AW82" s="297">
        <v>-5024</v>
      </c>
      <c r="AX82" s="297">
        <v>-9116</v>
      </c>
      <c r="AY82" s="297">
        <v>-2848</v>
      </c>
      <c r="BA82" s="205"/>
      <c r="BB82" s="205"/>
    </row>
    <row r="83" spans="2:54">
      <c r="B83" s="288">
        <v>10246</v>
      </c>
      <c r="C83" s="288" t="s">
        <v>86</v>
      </c>
      <c r="D83" s="297">
        <v>-126</v>
      </c>
      <c r="E83" s="297">
        <v>189</v>
      </c>
      <c r="F83" s="297">
        <v>-31</v>
      </c>
      <c r="G83" s="297">
        <v>471</v>
      </c>
      <c r="H83" s="297">
        <v>677</v>
      </c>
      <c r="I83" s="297">
        <v>1163</v>
      </c>
      <c r="J83" s="297">
        <v>1200</v>
      </c>
      <c r="K83" s="297">
        <v>1105</v>
      </c>
      <c r="L83" s="297">
        <v>1546</v>
      </c>
      <c r="M83" s="297">
        <v>1222</v>
      </c>
      <c r="N83" s="297">
        <v>147</v>
      </c>
      <c r="O83" s="297">
        <v>576</v>
      </c>
      <c r="P83" s="297">
        <v>-110</v>
      </c>
      <c r="Q83" s="297">
        <v>250</v>
      </c>
      <c r="R83" s="297">
        <v>-2699</v>
      </c>
      <c r="S83" s="297">
        <v>-1006</v>
      </c>
      <c r="T83" s="297">
        <v>-1555</v>
      </c>
      <c r="U83" s="297">
        <v>-574</v>
      </c>
      <c r="V83" s="297">
        <v>-920</v>
      </c>
      <c r="W83" s="297">
        <v>-107</v>
      </c>
      <c r="X83" s="297">
        <v>-1421</v>
      </c>
      <c r="Y83" s="297">
        <v>-249</v>
      </c>
      <c r="Z83" s="297">
        <v>-805</v>
      </c>
      <c r="AA83" s="297">
        <v>-115</v>
      </c>
      <c r="AB83" s="297">
        <v>-109</v>
      </c>
      <c r="AC83" s="297">
        <v>199</v>
      </c>
      <c r="AD83" s="297">
        <v>-219</v>
      </c>
      <c r="AE83" s="297">
        <v>685</v>
      </c>
      <c r="AF83" s="297">
        <v>925</v>
      </c>
      <c r="AG83" s="297">
        <v>942</v>
      </c>
      <c r="AH83" s="297">
        <v>990</v>
      </c>
      <c r="AI83" s="297">
        <v>1341</v>
      </c>
      <c r="AJ83" s="297">
        <v>1370</v>
      </c>
      <c r="AK83" s="297">
        <v>1156</v>
      </c>
      <c r="AL83" s="297">
        <v>340</v>
      </c>
      <c r="AM83" s="297">
        <v>409</v>
      </c>
      <c r="AN83" s="297">
        <v>-93</v>
      </c>
      <c r="AO83" s="297">
        <v>261</v>
      </c>
      <c r="AP83" s="297">
        <v>-2684</v>
      </c>
      <c r="AQ83" s="297">
        <v>-995</v>
      </c>
      <c r="AR83" s="297">
        <v>-1539</v>
      </c>
      <c r="AS83" s="297">
        <v>-563</v>
      </c>
      <c r="AT83" s="297">
        <v>-904</v>
      </c>
      <c r="AU83" s="297">
        <v>-97</v>
      </c>
      <c r="AV83" s="297">
        <v>-1405</v>
      </c>
      <c r="AW83" s="297">
        <v>-238</v>
      </c>
      <c r="AX83" s="297">
        <v>-789</v>
      </c>
      <c r="AY83" s="297">
        <v>-104</v>
      </c>
      <c r="BA83" s="205"/>
      <c r="BB83" s="205"/>
    </row>
    <row r="84" spans="2:54">
      <c r="B84" s="288">
        <v>10247</v>
      </c>
      <c r="C84" s="288" t="s">
        <v>87</v>
      </c>
      <c r="D84" s="297">
        <v>-2540</v>
      </c>
      <c r="E84" s="297">
        <v>165</v>
      </c>
      <c r="F84" s="297">
        <v>-2807</v>
      </c>
      <c r="G84" s="297">
        <v>1875</v>
      </c>
      <c r="H84" s="297">
        <v>3954</v>
      </c>
      <c r="I84" s="297">
        <v>5049</v>
      </c>
      <c r="J84" s="297">
        <v>10697</v>
      </c>
      <c r="K84" s="297">
        <v>9648</v>
      </c>
      <c r="L84" s="297">
        <v>12869</v>
      </c>
      <c r="M84" s="297">
        <v>9141</v>
      </c>
      <c r="N84" s="297">
        <v>3519</v>
      </c>
      <c r="O84" s="297">
        <v>3601</v>
      </c>
      <c r="P84" s="297">
        <v>259</v>
      </c>
      <c r="Q84" s="297">
        <v>2313</v>
      </c>
      <c r="R84" s="297">
        <v>-22448</v>
      </c>
      <c r="S84" s="297">
        <v>-10668</v>
      </c>
      <c r="T84" s="297">
        <v>-14464</v>
      </c>
      <c r="U84" s="297">
        <v>-6387</v>
      </c>
      <c r="V84" s="297">
        <v>-10074</v>
      </c>
      <c r="W84" s="297">
        <v>-2835</v>
      </c>
      <c r="X84" s="297">
        <v>-13519</v>
      </c>
      <c r="Y84" s="297">
        <v>-4883</v>
      </c>
      <c r="Z84" s="297">
        <v>-8504</v>
      </c>
      <c r="AA84" s="297">
        <v>-3279</v>
      </c>
      <c r="AB84" s="297">
        <v>-3451</v>
      </c>
      <c r="AC84" s="297">
        <v>-500</v>
      </c>
      <c r="AD84" s="297">
        <v>-3604</v>
      </c>
      <c r="AE84" s="297">
        <v>1170</v>
      </c>
      <c r="AF84" s="297">
        <v>3161</v>
      </c>
      <c r="AG84" s="297">
        <v>4304</v>
      </c>
      <c r="AH84" s="297">
        <v>9877</v>
      </c>
      <c r="AI84" s="297">
        <v>8938</v>
      </c>
      <c r="AJ84" s="297">
        <v>11119</v>
      </c>
      <c r="AK84" s="297">
        <v>7896</v>
      </c>
      <c r="AL84" s="297">
        <v>2722</v>
      </c>
      <c r="AM84" s="297">
        <v>2856</v>
      </c>
      <c r="AN84" s="297">
        <v>-616</v>
      </c>
      <c r="AO84" s="297">
        <v>1680</v>
      </c>
      <c r="AP84" s="297">
        <v>-23400</v>
      </c>
      <c r="AQ84" s="297">
        <v>-11464</v>
      </c>
      <c r="AR84" s="297">
        <v>-15341</v>
      </c>
      <c r="AS84" s="297">
        <v>-7219</v>
      </c>
      <c r="AT84" s="297">
        <v>-11078</v>
      </c>
      <c r="AU84" s="297">
        <v>-3619</v>
      </c>
      <c r="AV84" s="297">
        <v>-14541</v>
      </c>
      <c r="AW84" s="297">
        <v>-5668</v>
      </c>
      <c r="AX84" s="297">
        <v>-9408</v>
      </c>
      <c r="AY84" s="297">
        <v>-4143</v>
      </c>
      <c r="BA84" s="205"/>
      <c r="BB84" s="205"/>
    </row>
    <row r="85" spans="2:54">
      <c r="B85" s="288">
        <v>10256</v>
      </c>
      <c r="C85" s="288" t="s">
        <v>88</v>
      </c>
      <c r="D85" s="297">
        <v>-1319</v>
      </c>
      <c r="E85" s="297">
        <v>1015</v>
      </c>
      <c r="F85" s="297">
        <v>-2328</v>
      </c>
      <c r="G85" s="297">
        <v>2016</v>
      </c>
      <c r="H85" s="297">
        <v>3880</v>
      </c>
      <c r="I85" s="297">
        <v>5548</v>
      </c>
      <c r="J85" s="297">
        <v>5132</v>
      </c>
      <c r="K85" s="297">
        <v>6386</v>
      </c>
      <c r="L85" s="297">
        <v>6033</v>
      </c>
      <c r="M85" s="297">
        <v>5549</v>
      </c>
      <c r="N85" s="297">
        <v>1964</v>
      </c>
      <c r="O85" s="297">
        <v>3122</v>
      </c>
      <c r="P85" s="297">
        <v>404</v>
      </c>
      <c r="Q85" s="297">
        <v>2281</v>
      </c>
      <c r="R85" s="297">
        <v>-6274</v>
      </c>
      <c r="S85" s="297">
        <v>-1193</v>
      </c>
      <c r="T85" s="297">
        <v>-1801</v>
      </c>
      <c r="U85" s="297">
        <v>806</v>
      </c>
      <c r="V85" s="297">
        <v>2402</v>
      </c>
      <c r="W85" s="297">
        <v>4834</v>
      </c>
      <c r="X85" s="297">
        <v>76</v>
      </c>
      <c r="Y85" s="297">
        <v>2774</v>
      </c>
      <c r="Z85" s="297">
        <v>-1451</v>
      </c>
      <c r="AA85" s="297">
        <v>1295</v>
      </c>
      <c r="AB85" s="297">
        <v>-1287</v>
      </c>
      <c r="AC85" s="297">
        <v>1036</v>
      </c>
      <c r="AD85" s="297">
        <v>-2310</v>
      </c>
      <c r="AE85" s="297">
        <v>2015</v>
      </c>
      <c r="AF85" s="297">
        <v>3864</v>
      </c>
      <c r="AG85" s="297">
        <v>5551</v>
      </c>
      <c r="AH85" s="297">
        <v>5133</v>
      </c>
      <c r="AI85" s="297">
        <v>6374</v>
      </c>
      <c r="AJ85" s="297">
        <v>5472</v>
      </c>
      <c r="AK85" s="297">
        <v>5169</v>
      </c>
      <c r="AL85" s="297">
        <v>1948</v>
      </c>
      <c r="AM85" s="297">
        <v>3127</v>
      </c>
      <c r="AN85" s="297">
        <v>397</v>
      </c>
      <c r="AO85" s="297">
        <v>2278</v>
      </c>
      <c r="AP85" s="297">
        <v>-6284</v>
      </c>
      <c r="AQ85" s="297">
        <v>-1199</v>
      </c>
      <c r="AR85" s="297">
        <v>-1808</v>
      </c>
      <c r="AS85" s="297">
        <v>802</v>
      </c>
      <c r="AT85" s="297">
        <v>2395</v>
      </c>
      <c r="AU85" s="297">
        <v>4830</v>
      </c>
      <c r="AV85" s="297">
        <v>68</v>
      </c>
      <c r="AW85" s="297">
        <v>2770</v>
      </c>
      <c r="AX85" s="297">
        <v>-1458</v>
      </c>
      <c r="AY85" s="297">
        <v>1291</v>
      </c>
      <c r="BA85" s="205"/>
      <c r="BB85" s="205"/>
    </row>
    <row r="86" spans="2:54">
      <c r="B86" s="288">
        <v>10258</v>
      </c>
      <c r="C86" s="288" t="s">
        <v>89</v>
      </c>
      <c r="D86" s="297">
        <v>-4008</v>
      </c>
      <c r="E86" s="297">
        <v>-1738</v>
      </c>
      <c r="F86" s="297">
        <v>-1690</v>
      </c>
      <c r="G86" s="297">
        <v>1662</v>
      </c>
      <c r="H86" s="297">
        <v>4959</v>
      </c>
      <c r="I86" s="297">
        <v>5438</v>
      </c>
      <c r="J86" s="297">
        <v>7932</v>
      </c>
      <c r="K86" s="297">
        <v>7683</v>
      </c>
      <c r="L86" s="297">
        <v>6528</v>
      </c>
      <c r="M86" s="297">
        <v>6164</v>
      </c>
      <c r="N86" s="297">
        <v>1450</v>
      </c>
      <c r="O86" s="297">
        <v>2563</v>
      </c>
      <c r="P86" s="297">
        <v>-3894</v>
      </c>
      <c r="Q86" s="297">
        <v>-1207</v>
      </c>
      <c r="R86" s="297">
        <v>-12321</v>
      </c>
      <c r="S86" s="297">
        <v>-6277</v>
      </c>
      <c r="T86" s="297">
        <v>-7212</v>
      </c>
      <c r="U86" s="297">
        <v>-3285</v>
      </c>
      <c r="V86" s="297">
        <v>-9</v>
      </c>
      <c r="W86" s="297">
        <v>1488</v>
      </c>
      <c r="X86" s="297">
        <v>-2484</v>
      </c>
      <c r="Y86" s="297">
        <v>-212</v>
      </c>
      <c r="Z86" s="297">
        <v>-4912</v>
      </c>
      <c r="AA86" s="297">
        <v>-1731</v>
      </c>
      <c r="AB86" s="297">
        <v>-4239</v>
      </c>
      <c r="AC86" s="297">
        <v>-1865</v>
      </c>
      <c r="AD86" s="297">
        <v>-1737</v>
      </c>
      <c r="AE86" s="297">
        <v>1393</v>
      </c>
      <c r="AF86" s="297">
        <v>4681</v>
      </c>
      <c r="AG86" s="297">
        <v>5419</v>
      </c>
      <c r="AH86" s="297">
        <v>7895</v>
      </c>
      <c r="AI86" s="297">
        <v>7425</v>
      </c>
      <c r="AJ86" s="297">
        <v>6493</v>
      </c>
      <c r="AK86" s="297">
        <v>6099</v>
      </c>
      <c r="AL86" s="297">
        <v>1166</v>
      </c>
      <c r="AM86" s="297">
        <v>2508</v>
      </c>
      <c r="AN86" s="297">
        <v>-4117</v>
      </c>
      <c r="AO86" s="297">
        <v>-1326</v>
      </c>
      <c r="AP86" s="297">
        <v>-12522</v>
      </c>
      <c r="AQ86" s="297">
        <v>-6438</v>
      </c>
      <c r="AR86" s="297">
        <v>-7372</v>
      </c>
      <c r="AS86" s="297">
        <v>-3473</v>
      </c>
      <c r="AT86" s="297">
        <v>-218</v>
      </c>
      <c r="AU86" s="297">
        <v>1361</v>
      </c>
      <c r="AV86" s="297">
        <v>-2679</v>
      </c>
      <c r="AW86" s="297">
        <v>-359</v>
      </c>
      <c r="AX86" s="297">
        <v>-5094</v>
      </c>
      <c r="AY86" s="297">
        <v>-1899</v>
      </c>
      <c r="BA86" s="205"/>
      <c r="BB86" s="205"/>
    </row>
    <row r="87" spans="2:54">
      <c r="B87" s="288">
        <v>10259</v>
      </c>
      <c r="C87" s="288" t="s">
        <v>90</v>
      </c>
      <c r="D87" s="297">
        <v>-699</v>
      </c>
      <c r="E87" s="297">
        <v>198</v>
      </c>
      <c r="F87" s="297">
        <v>-1411</v>
      </c>
      <c r="G87" s="297">
        <v>677</v>
      </c>
      <c r="H87" s="297">
        <v>1947</v>
      </c>
      <c r="I87" s="297">
        <v>2536</v>
      </c>
      <c r="J87" s="297">
        <v>3795</v>
      </c>
      <c r="K87" s="297">
        <v>3704</v>
      </c>
      <c r="L87" s="297">
        <v>3487</v>
      </c>
      <c r="M87" s="297">
        <v>3133</v>
      </c>
      <c r="N87" s="297">
        <v>954</v>
      </c>
      <c r="O87" s="297">
        <v>1464</v>
      </c>
      <c r="P87" s="297">
        <v>-644</v>
      </c>
      <c r="Q87" s="297">
        <v>421</v>
      </c>
      <c r="R87" s="297">
        <v>-6193</v>
      </c>
      <c r="S87" s="297">
        <v>-2411</v>
      </c>
      <c r="T87" s="297">
        <v>-1988</v>
      </c>
      <c r="U87" s="297">
        <v>-190</v>
      </c>
      <c r="V87" s="297">
        <v>1065</v>
      </c>
      <c r="W87" s="297">
        <v>1859</v>
      </c>
      <c r="X87" s="297">
        <v>-911</v>
      </c>
      <c r="Y87" s="297">
        <v>587</v>
      </c>
      <c r="Z87" s="297">
        <v>-1698</v>
      </c>
      <c r="AA87" s="297">
        <v>18</v>
      </c>
      <c r="AB87" s="297">
        <v>-646</v>
      </c>
      <c r="AC87" s="297">
        <v>229</v>
      </c>
      <c r="AD87" s="297">
        <v>-1351</v>
      </c>
      <c r="AE87" s="297">
        <v>720</v>
      </c>
      <c r="AF87" s="297">
        <v>2021</v>
      </c>
      <c r="AG87" s="297">
        <v>2588</v>
      </c>
      <c r="AH87" s="297">
        <v>3869</v>
      </c>
      <c r="AI87" s="297">
        <v>3756</v>
      </c>
      <c r="AJ87" s="297">
        <v>3550</v>
      </c>
      <c r="AK87" s="297">
        <v>3176</v>
      </c>
      <c r="AL87" s="297">
        <v>1014</v>
      </c>
      <c r="AM87" s="297">
        <v>1504</v>
      </c>
      <c r="AN87" s="297">
        <v>-593</v>
      </c>
      <c r="AO87" s="297">
        <v>453</v>
      </c>
      <c r="AP87" s="297">
        <v>-6142</v>
      </c>
      <c r="AQ87" s="297">
        <v>-2377</v>
      </c>
      <c r="AR87" s="297">
        <v>-1930</v>
      </c>
      <c r="AS87" s="297">
        <v>-155</v>
      </c>
      <c r="AT87" s="297">
        <v>1130</v>
      </c>
      <c r="AU87" s="297">
        <v>1900</v>
      </c>
      <c r="AV87" s="297">
        <v>-849</v>
      </c>
      <c r="AW87" s="297">
        <v>623</v>
      </c>
      <c r="AX87" s="297">
        <v>-1651</v>
      </c>
      <c r="AY87" s="297">
        <v>50</v>
      </c>
      <c r="BA87" s="205"/>
      <c r="BB87" s="205"/>
    </row>
    <row r="88" spans="2:54">
      <c r="B88" s="288">
        <v>10260</v>
      </c>
      <c r="C88" s="288" t="s">
        <v>91</v>
      </c>
      <c r="D88" s="297">
        <v>-101</v>
      </c>
      <c r="E88" s="297">
        <v>341</v>
      </c>
      <c r="F88" s="297">
        <v>-1464</v>
      </c>
      <c r="G88" s="297">
        <v>274</v>
      </c>
      <c r="H88" s="297">
        <v>1240</v>
      </c>
      <c r="I88" s="297">
        <v>1716</v>
      </c>
      <c r="J88" s="297">
        <v>3451</v>
      </c>
      <c r="K88" s="297">
        <v>2993</v>
      </c>
      <c r="L88" s="297">
        <v>3300</v>
      </c>
      <c r="M88" s="297">
        <v>2636</v>
      </c>
      <c r="N88" s="297">
        <v>1320</v>
      </c>
      <c r="O88" s="297">
        <v>1280</v>
      </c>
      <c r="P88" s="297">
        <v>-47</v>
      </c>
      <c r="Q88" s="297">
        <v>439</v>
      </c>
      <c r="R88" s="297">
        <v>-5516</v>
      </c>
      <c r="S88" s="297">
        <v>-2485</v>
      </c>
      <c r="T88" s="297">
        <v>-1582</v>
      </c>
      <c r="U88" s="297">
        <v>-320</v>
      </c>
      <c r="V88" s="297">
        <v>1651</v>
      </c>
      <c r="W88" s="297">
        <v>1755</v>
      </c>
      <c r="X88" s="297">
        <v>284</v>
      </c>
      <c r="Y88" s="297">
        <v>866</v>
      </c>
      <c r="Z88" s="297">
        <v>-726</v>
      </c>
      <c r="AA88" s="297">
        <v>295</v>
      </c>
      <c r="AB88" s="297">
        <v>-54</v>
      </c>
      <c r="AC88" s="297">
        <v>368</v>
      </c>
      <c r="AD88" s="297">
        <v>-1414</v>
      </c>
      <c r="AE88" s="297">
        <v>308</v>
      </c>
      <c r="AF88" s="297">
        <v>1300</v>
      </c>
      <c r="AG88" s="297">
        <v>1757</v>
      </c>
      <c r="AH88" s="297">
        <v>3512</v>
      </c>
      <c r="AI88" s="297">
        <v>3035</v>
      </c>
      <c r="AJ88" s="297">
        <v>3353</v>
      </c>
      <c r="AK88" s="297">
        <v>2670</v>
      </c>
      <c r="AL88" s="297">
        <v>1372</v>
      </c>
      <c r="AM88" s="297">
        <v>1313</v>
      </c>
      <c r="AN88" s="297">
        <v>-1</v>
      </c>
      <c r="AO88" s="297">
        <v>467</v>
      </c>
      <c r="AP88" s="297">
        <v>-5472</v>
      </c>
      <c r="AQ88" s="297">
        <v>-2457</v>
      </c>
      <c r="AR88" s="297">
        <v>-1534</v>
      </c>
      <c r="AS88" s="297">
        <v>-293</v>
      </c>
      <c r="AT88" s="297">
        <v>1706</v>
      </c>
      <c r="AU88" s="297">
        <v>1787</v>
      </c>
      <c r="AV88" s="297">
        <v>339</v>
      </c>
      <c r="AW88" s="297">
        <v>896</v>
      </c>
      <c r="AX88" s="297">
        <v>-682</v>
      </c>
      <c r="AY88" s="297">
        <v>323</v>
      </c>
      <c r="BA88" s="205"/>
      <c r="BB88" s="205"/>
    </row>
    <row r="89" spans="2:54">
      <c r="B89" s="288">
        <v>10273</v>
      </c>
      <c r="C89" s="288" t="s">
        <v>92</v>
      </c>
      <c r="D89" s="297">
        <v>-424</v>
      </c>
      <c r="E89" s="297">
        <v>-173</v>
      </c>
      <c r="F89" s="297">
        <v>-1457</v>
      </c>
      <c r="G89" s="297">
        <v>-526</v>
      </c>
      <c r="H89" s="297">
        <v>-970</v>
      </c>
      <c r="I89" s="297">
        <v>-377</v>
      </c>
      <c r="J89" s="297">
        <v>-522</v>
      </c>
      <c r="K89" s="297">
        <v>-131</v>
      </c>
      <c r="L89" s="297">
        <v>-568</v>
      </c>
      <c r="M89" s="297">
        <v>-124</v>
      </c>
      <c r="N89" s="297">
        <v>-1323</v>
      </c>
      <c r="O89" s="297">
        <v>-504</v>
      </c>
      <c r="P89" s="297">
        <v>-791</v>
      </c>
      <c r="Q89" s="297">
        <v>-328</v>
      </c>
      <c r="R89" s="297">
        <v>-900</v>
      </c>
      <c r="S89" s="297">
        <v>-305</v>
      </c>
      <c r="T89" s="297">
        <v>568</v>
      </c>
      <c r="U89" s="297">
        <v>820</v>
      </c>
      <c r="V89" s="297">
        <v>1846</v>
      </c>
      <c r="W89" s="297">
        <v>1659</v>
      </c>
      <c r="X89" s="297">
        <v>1605</v>
      </c>
      <c r="Y89" s="297">
        <v>1386</v>
      </c>
      <c r="Z89" s="297">
        <v>685</v>
      </c>
      <c r="AA89" s="297">
        <v>916</v>
      </c>
      <c r="AB89" s="297">
        <v>-625</v>
      </c>
      <c r="AC89" s="297">
        <v>-244</v>
      </c>
      <c r="AD89" s="297">
        <v>-1712</v>
      </c>
      <c r="AE89" s="297">
        <v>-731</v>
      </c>
      <c r="AF89" s="297">
        <v>-1225</v>
      </c>
      <c r="AG89" s="297">
        <v>-597</v>
      </c>
      <c r="AH89" s="297">
        <v>-787</v>
      </c>
      <c r="AI89" s="297">
        <v>-340</v>
      </c>
      <c r="AJ89" s="297">
        <v>-891</v>
      </c>
      <c r="AK89" s="297">
        <v>-364</v>
      </c>
      <c r="AL89" s="297">
        <v>-1553</v>
      </c>
      <c r="AM89" s="297">
        <v>-747</v>
      </c>
      <c r="AN89" s="297">
        <v>-968</v>
      </c>
      <c r="AO89" s="297">
        <v>-382</v>
      </c>
      <c r="AP89" s="297">
        <v>-914</v>
      </c>
      <c r="AQ89" s="297">
        <v>-328</v>
      </c>
      <c r="AR89" s="297">
        <v>631</v>
      </c>
      <c r="AS89" s="297">
        <v>785</v>
      </c>
      <c r="AT89" s="297">
        <v>1863</v>
      </c>
      <c r="AU89" s="297">
        <v>1738</v>
      </c>
      <c r="AV89" s="297">
        <v>1592</v>
      </c>
      <c r="AW89" s="297">
        <v>1394</v>
      </c>
      <c r="AX89" s="297">
        <v>666</v>
      </c>
      <c r="AY89" s="297">
        <v>867</v>
      </c>
      <c r="BA89" s="205"/>
      <c r="BB89" s="205"/>
    </row>
    <row r="90" spans="2:54">
      <c r="B90" s="288">
        <v>10278</v>
      </c>
      <c r="C90" s="288" t="s">
        <v>93</v>
      </c>
      <c r="D90" s="297">
        <v>0</v>
      </c>
      <c r="E90" s="297">
        <v>0</v>
      </c>
      <c r="F90" s="297">
        <v>0</v>
      </c>
      <c r="G90" s="297">
        <v>0</v>
      </c>
      <c r="H90" s="297">
        <v>0</v>
      </c>
      <c r="I90" s="297">
        <v>0</v>
      </c>
      <c r="J90" s="297">
        <v>0</v>
      </c>
      <c r="K90" s="297">
        <v>0</v>
      </c>
      <c r="L90" s="297">
        <v>0</v>
      </c>
      <c r="M90" s="297">
        <v>0</v>
      </c>
      <c r="N90" s="297">
        <v>0</v>
      </c>
      <c r="O90" s="297">
        <v>0</v>
      </c>
      <c r="P90" s="297">
        <v>0</v>
      </c>
      <c r="Q90" s="297">
        <v>0</v>
      </c>
      <c r="R90" s="297">
        <v>0</v>
      </c>
      <c r="S90" s="297">
        <v>0</v>
      </c>
      <c r="T90" s="297">
        <v>0</v>
      </c>
      <c r="U90" s="297">
        <v>0</v>
      </c>
      <c r="V90" s="297">
        <v>0</v>
      </c>
      <c r="W90" s="297">
        <v>0</v>
      </c>
      <c r="X90" s="297">
        <v>0</v>
      </c>
      <c r="Y90" s="297">
        <v>0</v>
      </c>
      <c r="Z90" s="297">
        <v>0</v>
      </c>
      <c r="AA90" s="297">
        <v>0</v>
      </c>
      <c r="AB90" s="297">
        <v>0</v>
      </c>
      <c r="AC90" s="297">
        <v>0</v>
      </c>
      <c r="AD90" s="297">
        <v>0</v>
      </c>
      <c r="AE90" s="297">
        <v>0</v>
      </c>
      <c r="AF90" s="297">
        <v>0</v>
      </c>
      <c r="AG90" s="297">
        <v>0</v>
      </c>
      <c r="AH90" s="297">
        <v>0</v>
      </c>
      <c r="AI90" s="297">
        <v>0</v>
      </c>
      <c r="AJ90" s="297">
        <v>0</v>
      </c>
      <c r="AK90" s="297">
        <v>0</v>
      </c>
      <c r="AL90" s="297">
        <v>0</v>
      </c>
      <c r="AM90" s="297">
        <v>0</v>
      </c>
      <c r="AN90" s="297">
        <v>0</v>
      </c>
      <c r="AO90" s="297">
        <v>0</v>
      </c>
      <c r="AP90" s="297">
        <v>0</v>
      </c>
      <c r="AQ90" s="297">
        <v>0</v>
      </c>
      <c r="AR90" s="297">
        <v>0</v>
      </c>
      <c r="AS90" s="297">
        <v>0</v>
      </c>
      <c r="AT90" s="297">
        <v>0</v>
      </c>
      <c r="AU90" s="297">
        <v>0</v>
      </c>
      <c r="AV90" s="297">
        <v>0</v>
      </c>
      <c r="AW90" s="297">
        <v>0</v>
      </c>
      <c r="AX90" s="297">
        <v>0</v>
      </c>
      <c r="AY90" s="297">
        <v>0</v>
      </c>
      <c r="BA90" s="205"/>
      <c r="BB90" s="205"/>
    </row>
    <row r="91" spans="2:54">
      <c r="B91" s="288">
        <v>10279</v>
      </c>
      <c r="C91" s="288" t="s">
        <v>94</v>
      </c>
      <c r="D91" s="297">
        <v>5566</v>
      </c>
      <c r="E91" s="297">
        <v>6016</v>
      </c>
      <c r="F91" s="297">
        <v>1103</v>
      </c>
      <c r="G91" s="297">
        <v>5321</v>
      </c>
      <c r="H91" s="297">
        <v>6125</v>
      </c>
      <c r="I91" s="297">
        <v>10128</v>
      </c>
      <c r="J91" s="297">
        <v>12201</v>
      </c>
      <c r="K91" s="297">
        <v>11299</v>
      </c>
      <c r="L91" s="297">
        <v>13074</v>
      </c>
      <c r="M91" s="297">
        <v>10755</v>
      </c>
      <c r="N91" s="297">
        <v>6941</v>
      </c>
      <c r="O91" s="297">
        <v>8897</v>
      </c>
      <c r="P91" s="297">
        <v>7384</v>
      </c>
      <c r="Q91" s="297">
        <v>7412</v>
      </c>
      <c r="R91" s="297">
        <v>-6632</v>
      </c>
      <c r="S91" s="297">
        <v>2261</v>
      </c>
      <c r="T91" s="297">
        <v>2675</v>
      </c>
      <c r="U91" s="297">
        <v>5243</v>
      </c>
      <c r="V91" s="297">
        <v>9941</v>
      </c>
      <c r="W91" s="297">
        <v>10275</v>
      </c>
      <c r="X91" s="297">
        <v>5472</v>
      </c>
      <c r="Y91" s="297">
        <v>9507</v>
      </c>
      <c r="Z91" s="297">
        <v>6337</v>
      </c>
      <c r="AA91" s="297">
        <v>7886</v>
      </c>
      <c r="AB91" s="297">
        <v>6535</v>
      </c>
      <c r="AC91" s="297">
        <v>6860</v>
      </c>
      <c r="AD91" s="297">
        <v>570</v>
      </c>
      <c r="AE91" s="297">
        <v>7621</v>
      </c>
      <c r="AF91" s="297">
        <v>8894</v>
      </c>
      <c r="AG91" s="297">
        <v>9198</v>
      </c>
      <c r="AH91" s="297">
        <v>11769</v>
      </c>
      <c r="AI91" s="297">
        <v>13727</v>
      </c>
      <c r="AJ91" s="297">
        <v>12720</v>
      </c>
      <c r="AK91" s="297">
        <v>10864</v>
      </c>
      <c r="AL91" s="297">
        <v>9529</v>
      </c>
      <c r="AM91" s="297">
        <v>8139</v>
      </c>
      <c r="AN91" s="297">
        <v>8266</v>
      </c>
      <c r="AO91" s="297">
        <v>8248</v>
      </c>
      <c r="AP91" s="297">
        <v>-5605</v>
      </c>
      <c r="AQ91" s="297">
        <v>2948</v>
      </c>
      <c r="AR91" s="297">
        <v>3738</v>
      </c>
      <c r="AS91" s="297">
        <v>5805</v>
      </c>
      <c r="AT91" s="297">
        <v>10807</v>
      </c>
      <c r="AU91" s="297">
        <v>11086</v>
      </c>
      <c r="AV91" s="297">
        <v>6401</v>
      </c>
      <c r="AW91" s="297">
        <v>10209</v>
      </c>
      <c r="AX91" s="297">
        <v>7312</v>
      </c>
      <c r="AY91" s="297">
        <v>8417</v>
      </c>
      <c r="BA91" s="205"/>
      <c r="BB91" s="205"/>
    </row>
    <row r="92" spans="2:54">
      <c r="B92" s="288">
        <v>10284</v>
      </c>
      <c r="C92" s="288" t="s">
        <v>95</v>
      </c>
      <c r="D92" s="297">
        <v>-219</v>
      </c>
      <c r="E92" s="297">
        <v>216</v>
      </c>
      <c r="F92" s="297">
        <v>155</v>
      </c>
      <c r="G92" s="297">
        <v>727</v>
      </c>
      <c r="H92" s="297">
        <v>713</v>
      </c>
      <c r="I92" s="297">
        <v>1305</v>
      </c>
      <c r="J92" s="297">
        <v>1881</v>
      </c>
      <c r="K92" s="297">
        <v>1652</v>
      </c>
      <c r="L92" s="297">
        <v>1980</v>
      </c>
      <c r="M92" s="297">
        <v>1601</v>
      </c>
      <c r="N92" s="297">
        <v>445</v>
      </c>
      <c r="O92" s="297">
        <v>888</v>
      </c>
      <c r="P92" s="297">
        <v>3</v>
      </c>
      <c r="Q92" s="297">
        <v>447</v>
      </c>
      <c r="R92" s="297">
        <v>-2898</v>
      </c>
      <c r="S92" s="297">
        <v>-1045</v>
      </c>
      <c r="T92" s="297">
        <v>-1770</v>
      </c>
      <c r="U92" s="297">
        <v>-651</v>
      </c>
      <c r="V92" s="297">
        <v>-1197</v>
      </c>
      <c r="W92" s="297">
        <v>-266</v>
      </c>
      <c r="X92" s="297">
        <v>-1779</v>
      </c>
      <c r="Y92" s="297">
        <v>-425</v>
      </c>
      <c r="Z92" s="297">
        <v>-1138</v>
      </c>
      <c r="AA92" s="297">
        <v>-313</v>
      </c>
      <c r="AB92" s="297">
        <v>-227</v>
      </c>
      <c r="AC92" s="297">
        <v>212</v>
      </c>
      <c r="AD92" s="297">
        <v>-81</v>
      </c>
      <c r="AE92" s="297">
        <v>948</v>
      </c>
      <c r="AF92" s="297">
        <v>947</v>
      </c>
      <c r="AG92" s="297">
        <v>1055</v>
      </c>
      <c r="AH92" s="297">
        <v>1620</v>
      </c>
      <c r="AI92" s="297">
        <v>1899</v>
      </c>
      <c r="AJ92" s="297">
        <v>1749</v>
      </c>
      <c r="AK92" s="297">
        <v>1503</v>
      </c>
      <c r="AL92" s="297">
        <v>632</v>
      </c>
      <c r="AM92" s="297">
        <v>689</v>
      </c>
      <c r="AN92" s="297">
        <v>-5</v>
      </c>
      <c r="AO92" s="297">
        <v>442</v>
      </c>
      <c r="AP92" s="297">
        <v>-2910</v>
      </c>
      <c r="AQ92" s="297">
        <v>-1051</v>
      </c>
      <c r="AR92" s="297">
        <v>-1780</v>
      </c>
      <c r="AS92" s="297">
        <v>-656</v>
      </c>
      <c r="AT92" s="297">
        <v>-1205</v>
      </c>
      <c r="AU92" s="297">
        <v>-271</v>
      </c>
      <c r="AV92" s="297">
        <v>-1788</v>
      </c>
      <c r="AW92" s="297">
        <v>-430</v>
      </c>
      <c r="AX92" s="297">
        <v>-1146</v>
      </c>
      <c r="AY92" s="297">
        <v>-317</v>
      </c>
      <c r="BA92" s="205"/>
      <c r="BB92" s="205"/>
    </row>
    <row r="93" spans="2:54">
      <c r="B93" s="288">
        <v>10285</v>
      </c>
      <c r="C93" s="288" t="s">
        <v>96</v>
      </c>
      <c r="D93" s="297">
        <v>0</v>
      </c>
      <c r="E93" s="297">
        <v>0</v>
      </c>
      <c r="F93" s="297">
        <v>0</v>
      </c>
      <c r="G93" s="297">
        <v>0</v>
      </c>
      <c r="H93" s="297">
        <v>0</v>
      </c>
      <c r="I93" s="297">
        <v>0</v>
      </c>
      <c r="J93" s="297">
        <v>0</v>
      </c>
      <c r="K93" s="297">
        <v>0</v>
      </c>
      <c r="L93" s="297">
        <v>0</v>
      </c>
      <c r="M93" s="297">
        <v>0</v>
      </c>
      <c r="N93" s="297">
        <v>0</v>
      </c>
      <c r="O93" s="297">
        <v>0</v>
      </c>
      <c r="P93" s="297">
        <v>0</v>
      </c>
      <c r="Q93" s="297">
        <v>0</v>
      </c>
      <c r="R93" s="297">
        <v>0</v>
      </c>
      <c r="S93" s="297">
        <v>0</v>
      </c>
      <c r="T93" s="297">
        <v>0</v>
      </c>
      <c r="U93" s="297">
        <v>0</v>
      </c>
      <c r="V93" s="297">
        <v>0</v>
      </c>
      <c r="W93" s="297">
        <v>0</v>
      </c>
      <c r="X93" s="297">
        <v>0</v>
      </c>
      <c r="Y93" s="297">
        <v>0</v>
      </c>
      <c r="Z93" s="297">
        <v>0</v>
      </c>
      <c r="AA93" s="297">
        <v>0</v>
      </c>
      <c r="AB93" s="297">
        <v>0</v>
      </c>
      <c r="AC93" s="297">
        <v>0</v>
      </c>
      <c r="AD93" s="297">
        <v>0</v>
      </c>
      <c r="AE93" s="297">
        <v>0</v>
      </c>
      <c r="AF93" s="297">
        <v>0</v>
      </c>
      <c r="AG93" s="297">
        <v>0</v>
      </c>
      <c r="AH93" s="297">
        <v>0</v>
      </c>
      <c r="AI93" s="297">
        <v>0</v>
      </c>
      <c r="AJ93" s="297">
        <v>0</v>
      </c>
      <c r="AK93" s="297">
        <v>0</v>
      </c>
      <c r="AL93" s="297">
        <v>0</v>
      </c>
      <c r="AM93" s="297">
        <v>0</v>
      </c>
      <c r="AN93" s="297">
        <v>0</v>
      </c>
      <c r="AO93" s="297">
        <v>0</v>
      </c>
      <c r="AP93" s="297">
        <v>0</v>
      </c>
      <c r="AQ93" s="297">
        <v>0</v>
      </c>
      <c r="AR93" s="297">
        <v>0</v>
      </c>
      <c r="AS93" s="297">
        <v>0</v>
      </c>
      <c r="AT93" s="297">
        <v>0</v>
      </c>
      <c r="AU93" s="297">
        <v>0</v>
      </c>
      <c r="AV93" s="297">
        <v>0</v>
      </c>
      <c r="AW93" s="297">
        <v>0</v>
      </c>
      <c r="AX93" s="297">
        <v>0</v>
      </c>
      <c r="AY93" s="297">
        <v>0</v>
      </c>
      <c r="BA93" s="205"/>
      <c r="BB93" s="205"/>
    </row>
    <row r="94" spans="2:54">
      <c r="B94" s="288">
        <v>10286</v>
      </c>
      <c r="C94" s="288" t="s">
        <v>97</v>
      </c>
      <c r="D94" s="297">
        <v>-2781</v>
      </c>
      <c r="E94" s="297">
        <v>2786</v>
      </c>
      <c r="F94" s="297">
        <v>-4952</v>
      </c>
      <c r="G94" s="297">
        <v>1144</v>
      </c>
      <c r="H94" s="297">
        <v>2000</v>
      </c>
      <c r="I94" s="297">
        <v>7630</v>
      </c>
      <c r="J94" s="297">
        <v>9461</v>
      </c>
      <c r="K94" s="297">
        <v>10799</v>
      </c>
      <c r="L94" s="297">
        <v>8098</v>
      </c>
      <c r="M94" s="297">
        <v>8824</v>
      </c>
      <c r="N94" s="297">
        <v>5093</v>
      </c>
      <c r="O94" s="297">
        <v>6373</v>
      </c>
      <c r="P94" s="297">
        <v>-3491</v>
      </c>
      <c r="Q94" s="297">
        <v>1886</v>
      </c>
      <c r="R94" s="297">
        <v>-15700</v>
      </c>
      <c r="S94" s="297">
        <v>-6285</v>
      </c>
      <c r="T94" s="297">
        <v>-13748</v>
      </c>
      <c r="U94" s="297">
        <v>-5501</v>
      </c>
      <c r="V94" s="297">
        <v>-2530</v>
      </c>
      <c r="W94" s="297">
        <v>4344</v>
      </c>
      <c r="X94" s="297">
        <v>-8537</v>
      </c>
      <c r="Y94" s="297">
        <v>-1079</v>
      </c>
      <c r="Z94" s="297">
        <v>-5149</v>
      </c>
      <c r="AA94" s="297">
        <v>1508</v>
      </c>
      <c r="AB94" s="297">
        <v>-2125</v>
      </c>
      <c r="AC94" s="297">
        <v>2130</v>
      </c>
      <c r="AD94" s="297">
        <v>-4952</v>
      </c>
      <c r="AE94" s="297">
        <v>1144</v>
      </c>
      <c r="AF94" s="297">
        <v>2000</v>
      </c>
      <c r="AG94" s="297">
        <v>7630</v>
      </c>
      <c r="AH94" s="297">
        <v>9461</v>
      </c>
      <c r="AI94" s="297">
        <v>10799</v>
      </c>
      <c r="AJ94" s="297">
        <v>8098</v>
      </c>
      <c r="AK94" s="297">
        <v>8824</v>
      </c>
      <c r="AL94" s="297">
        <v>4181</v>
      </c>
      <c r="AM94" s="297">
        <v>7285</v>
      </c>
      <c r="AN94" s="297">
        <v>-2867</v>
      </c>
      <c r="AO94" s="297">
        <v>1262</v>
      </c>
      <c r="AP94" s="297">
        <v>-15700</v>
      </c>
      <c r="AQ94" s="297">
        <v>-6285</v>
      </c>
      <c r="AR94" s="297">
        <v>-14084</v>
      </c>
      <c r="AS94" s="297">
        <v>-5165</v>
      </c>
      <c r="AT94" s="297">
        <v>-1842</v>
      </c>
      <c r="AU94" s="297">
        <v>3656</v>
      </c>
      <c r="AV94" s="297">
        <v>-8537</v>
      </c>
      <c r="AW94" s="297">
        <v>-1079</v>
      </c>
      <c r="AX94" s="297">
        <v>-5149</v>
      </c>
      <c r="AY94" s="297">
        <v>1508</v>
      </c>
      <c r="BA94" s="205"/>
      <c r="BB94" s="205"/>
    </row>
    <row r="95" spans="2:54">
      <c r="B95" s="288">
        <v>10288</v>
      </c>
      <c r="C95" s="288" t="s">
        <v>98</v>
      </c>
      <c r="D95" s="297">
        <v>0</v>
      </c>
      <c r="E95" s="297">
        <v>0</v>
      </c>
      <c r="F95" s="297">
        <v>0</v>
      </c>
      <c r="G95" s="297">
        <v>0</v>
      </c>
      <c r="H95" s="297">
        <v>0</v>
      </c>
      <c r="I95" s="297">
        <v>0</v>
      </c>
      <c r="J95" s="297">
        <v>0</v>
      </c>
      <c r="K95" s="297">
        <v>0</v>
      </c>
      <c r="L95" s="297">
        <v>0</v>
      </c>
      <c r="M95" s="297">
        <v>0</v>
      </c>
      <c r="N95" s="297">
        <v>0</v>
      </c>
      <c r="O95" s="297">
        <v>0</v>
      </c>
      <c r="P95" s="297">
        <v>0</v>
      </c>
      <c r="Q95" s="297">
        <v>0</v>
      </c>
      <c r="R95" s="297">
        <v>0</v>
      </c>
      <c r="S95" s="297">
        <v>0</v>
      </c>
      <c r="T95" s="297">
        <v>0</v>
      </c>
      <c r="U95" s="297">
        <v>0</v>
      </c>
      <c r="V95" s="297">
        <v>0</v>
      </c>
      <c r="W95" s="297">
        <v>0</v>
      </c>
      <c r="X95" s="297">
        <v>0</v>
      </c>
      <c r="Y95" s="297">
        <v>0</v>
      </c>
      <c r="Z95" s="297">
        <v>0</v>
      </c>
      <c r="AA95" s="297">
        <v>0</v>
      </c>
      <c r="AB95" s="297">
        <v>0</v>
      </c>
      <c r="AC95" s="297">
        <v>0</v>
      </c>
      <c r="AD95" s="297">
        <v>0</v>
      </c>
      <c r="AE95" s="297">
        <v>0</v>
      </c>
      <c r="AF95" s="297">
        <v>0</v>
      </c>
      <c r="AG95" s="297">
        <v>0</v>
      </c>
      <c r="AH95" s="297">
        <v>0</v>
      </c>
      <c r="AI95" s="297">
        <v>0</v>
      </c>
      <c r="AJ95" s="297">
        <v>0</v>
      </c>
      <c r="AK95" s="297">
        <v>0</v>
      </c>
      <c r="AL95" s="297">
        <v>0</v>
      </c>
      <c r="AM95" s="297">
        <v>0</v>
      </c>
      <c r="AN95" s="297">
        <v>0</v>
      </c>
      <c r="AO95" s="297">
        <v>0</v>
      </c>
      <c r="AP95" s="297">
        <v>0</v>
      </c>
      <c r="AQ95" s="297">
        <v>0</v>
      </c>
      <c r="AR95" s="297">
        <v>0</v>
      </c>
      <c r="AS95" s="297">
        <v>0</v>
      </c>
      <c r="AT95" s="297">
        <v>0</v>
      </c>
      <c r="AU95" s="297">
        <v>0</v>
      </c>
      <c r="AV95" s="297">
        <v>0</v>
      </c>
      <c r="AW95" s="297">
        <v>0</v>
      </c>
      <c r="AX95" s="297">
        <v>0</v>
      </c>
      <c r="AY95" s="297">
        <v>0</v>
      </c>
      <c r="BA95" s="205"/>
      <c r="BB95" s="205"/>
    </row>
    <row r="96" spans="2:54">
      <c r="B96" s="288">
        <v>10291</v>
      </c>
      <c r="C96" s="288" t="s">
        <v>99</v>
      </c>
      <c r="D96" s="297">
        <v>-1306</v>
      </c>
      <c r="E96" s="297">
        <v>8</v>
      </c>
      <c r="F96" s="297">
        <v>-5103</v>
      </c>
      <c r="G96" s="297">
        <v>-895</v>
      </c>
      <c r="H96" s="297">
        <v>877</v>
      </c>
      <c r="I96" s="297">
        <v>5057</v>
      </c>
      <c r="J96" s="297">
        <v>6987</v>
      </c>
      <c r="K96" s="297">
        <v>5853</v>
      </c>
      <c r="L96" s="297">
        <v>8046</v>
      </c>
      <c r="M96" s="297">
        <v>5511</v>
      </c>
      <c r="N96" s="297">
        <v>1031</v>
      </c>
      <c r="O96" s="297">
        <v>2697</v>
      </c>
      <c r="P96" s="297">
        <v>-54</v>
      </c>
      <c r="Q96" s="297">
        <v>886</v>
      </c>
      <c r="R96" s="297">
        <v>-15938</v>
      </c>
      <c r="S96" s="297">
        <v>-5389</v>
      </c>
      <c r="T96" s="297">
        <v>-3477</v>
      </c>
      <c r="U96" s="297">
        <v>-544</v>
      </c>
      <c r="V96" s="297">
        <v>5923</v>
      </c>
      <c r="W96" s="297">
        <v>6062</v>
      </c>
      <c r="X96" s="297">
        <v>1217</v>
      </c>
      <c r="Y96" s="297">
        <v>4735</v>
      </c>
      <c r="Z96" s="297">
        <v>-591</v>
      </c>
      <c r="AA96" s="297">
        <v>1292</v>
      </c>
      <c r="AB96" s="297">
        <v>-1594</v>
      </c>
      <c r="AC96" s="297">
        <v>-149</v>
      </c>
      <c r="AD96" s="297">
        <v>-6848</v>
      </c>
      <c r="AE96" s="297">
        <v>239</v>
      </c>
      <c r="AF96" s="297">
        <v>2047</v>
      </c>
      <c r="AG96" s="297">
        <v>3223</v>
      </c>
      <c r="AH96" s="297">
        <v>5117</v>
      </c>
      <c r="AI96" s="297">
        <v>7152</v>
      </c>
      <c r="AJ96" s="297">
        <v>7068</v>
      </c>
      <c r="AK96" s="297">
        <v>5241</v>
      </c>
      <c r="AL96" s="297">
        <v>2008</v>
      </c>
      <c r="AM96" s="297">
        <v>1233</v>
      </c>
      <c r="AN96" s="297">
        <v>-334</v>
      </c>
      <c r="AO96" s="297">
        <v>729</v>
      </c>
      <c r="AP96" s="297">
        <v>-16287</v>
      </c>
      <c r="AQ96" s="297">
        <v>-5593</v>
      </c>
      <c r="AR96" s="297">
        <v>-3770</v>
      </c>
      <c r="AS96" s="297">
        <v>-700</v>
      </c>
      <c r="AT96" s="297">
        <v>5649</v>
      </c>
      <c r="AU96" s="297">
        <v>5913</v>
      </c>
      <c r="AV96" s="297">
        <v>916</v>
      </c>
      <c r="AW96" s="297">
        <v>4581</v>
      </c>
      <c r="AX96" s="297">
        <v>-853</v>
      </c>
      <c r="AY96" s="297">
        <v>1141</v>
      </c>
      <c r="BA96" s="205"/>
      <c r="BB96" s="205"/>
    </row>
    <row r="97" spans="2:54">
      <c r="B97" s="288">
        <v>10294</v>
      </c>
      <c r="C97" s="288" t="s">
        <v>100</v>
      </c>
      <c r="D97" s="297">
        <v>-1024</v>
      </c>
      <c r="E97" s="297">
        <v>911</v>
      </c>
      <c r="F97" s="297">
        <v>-1000</v>
      </c>
      <c r="G97" s="297">
        <v>965</v>
      </c>
      <c r="H97" s="297">
        <v>391</v>
      </c>
      <c r="I97" s="297">
        <v>2376</v>
      </c>
      <c r="J97" s="297">
        <v>1949</v>
      </c>
      <c r="K97" s="297">
        <v>2690</v>
      </c>
      <c r="L97" s="297">
        <v>1607</v>
      </c>
      <c r="M97" s="297">
        <v>2155</v>
      </c>
      <c r="N97" s="297">
        <v>601</v>
      </c>
      <c r="O97" s="297">
        <v>1367</v>
      </c>
      <c r="P97" s="297">
        <v>-591</v>
      </c>
      <c r="Q97" s="297">
        <v>1142</v>
      </c>
      <c r="R97" s="297">
        <v>-4177</v>
      </c>
      <c r="S97" s="297">
        <v>-1190</v>
      </c>
      <c r="T97" s="297">
        <v>-2770</v>
      </c>
      <c r="U97" s="297">
        <v>-455</v>
      </c>
      <c r="V97" s="297">
        <v>-2411</v>
      </c>
      <c r="W97" s="297">
        <v>177</v>
      </c>
      <c r="X97" s="297">
        <v>-2536</v>
      </c>
      <c r="Y97" s="297">
        <v>-75</v>
      </c>
      <c r="Z97" s="297">
        <v>-2074</v>
      </c>
      <c r="AA97" s="297">
        <v>261</v>
      </c>
      <c r="AB97" s="297">
        <v>-735</v>
      </c>
      <c r="AC97" s="297">
        <v>722</v>
      </c>
      <c r="AD97" s="297">
        <v>-522</v>
      </c>
      <c r="AE97" s="297">
        <v>1331</v>
      </c>
      <c r="AF97" s="297">
        <v>467</v>
      </c>
      <c r="AG97" s="297">
        <v>2422</v>
      </c>
      <c r="AH97" s="297">
        <v>2430</v>
      </c>
      <c r="AI97" s="297">
        <v>3058</v>
      </c>
      <c r="AJ97" s="297">
        <v>1662</v>
      </c>
      <c r="AK97" s="297">
        <v>2187</v>
      </c>
      <c r="AL97" s="297">
        <v>394</v>
      </c>
      <c r="AM97" s="297">
        <v>1677</v>
      </c>
      <c r="AN97" s="297">
        <v>-288</v>
      </c>
      <c r="AO97" s="297">
        <v>937</v>
      </c>
      <c r="AP97" s="297">
        <v>-4085</v>
      </c>
      <c r="AQ97" s="297">
        <v>-1138</v>
      </c>
      <c r="AR97" s="297">
        <v>-2888</v>
      </c>
      <c r="AS97" s="297">
        <v>-224</v>
      </c>
      <c r="AT97" s="297">
        <v>-1754</v>
      </c>
      <c r="AU97" s="297">
        <v>363</v>
      </c>
      <c r="AV97" s="297">
        <v>-2462</v>
      </c>
      <c r="AW97" s="297">
        <v>-39</v>
      </c>
      <c r="AX97" s="297">
        <v>-2011</v>
      </c>
      <c r="AY97" s="297">
        <v>297</v>
      </c>
      <c r="BA97" s="205"/>
      <c r="BB97" s="205"/>
    </row>
    <row r="98" spans="2:54">
      <c r="B98" s="288">
        <v>10304</v>
      </c>
      <c r="C98" s="288" t="s">
        <v>101</v>
      </c>
      <c r="D98" s="297">
        <v>-135</v>
      </c>
      <c r="E98" s="297">
        <v>385</v>
      </c>
      <c r="F98" s="297">
        <v>124</v>
      </c>
      <c r="G98" s="297">
        <v>769</v>
      </c>
      <c r="H98" s="297">
        <v>1053</v>
      </c>
      <c r="I98" s="297">
        <v>1391</v>
      </c>
      <c r="J98" s="297">
        <v>2132</v>
      </c>
      <c r="K98" s="297">
        <v>1844</v>
      </c>
      <c r="L98" s="297">
        <v>2235</v>
      </c>
      <c r="M98" s="297">
        <v>1839</v>
      </c>
      <c r="N98" s="297">
        <v>848</v>
      </c>
      <c r="O98" s="297">
        <v>817</v>
      </c>
      <c r="P98" s="297">
        <v>191</v>
      </c>
      <c r="Q98" s="297">
        <v>605</v>
      </c>
      <c r="R98" s="297">
        <v>-3294</v>
      </c>
      <c r="S98" s="297">
        <v>-1370</v>
      </c>
      <c r="T98" s="297">
        <v>-2141</v>
      </c>
      <c r="U98" s="297">
        <v>-763</v>
      </c>
      <c r="V98" s="297">
        <v>-1466</v>
      </c>
      <c r="W98" s="297">
        <v>-123</v>
      </c>
      <c r="X98" s="297">
        <v>-2049</v>
      </c>
      <c r="Y98" s="297">
        <v>-498</v>
      </c>
      <c r="Z98" s="297">
        <v>-1164</v>
      </c>
      <c r="AA98" s="297">
        <v>-255</v>
      </c>
      <c r="AB98" s="297">
        <v>-136</v>
      </c>
      <c r="AC98" s="297">
        <v>385</v>
      </c>
      <c r="AD98" s="297">
        <v>120</v>
      </c>
      <c r="AE98" s="297">
        <v>768</v>
      </c>
      <c r="AF98" s="297">
        <v>1050</v>
      </c>
      <c r="AG98" s="297">
        <v>1390</v>
      </c>
      <c r="AH98" s="297">
        <v>2131</v>
      </c>
      <c r="AI98" s="297">
        <v>1844</v>
      </c>
      <c r="AJ98" s="297">
        <v>2040</v>
      </c>
      <c r="AK98" s="297">
        <v>1712</v>
      </c>
      <c r="AL98" s="297">
        <v>848</v>
      </c>
      <c r="AM98" s="297">
        <v>817</v>
      </c>
      <c r="AN98" s="297">
        <v>191</v>
      </c>
      <c r="AO98" s="297">
        <v>606</v>
      </c>
      <c r="AP98" s="297">
        <v>-3302</v>
      </c>
      <c r="AQ98" s="297">
        <v>-1373</v>
      </c>
      <c r="AR98" s="297">
        <v>-2144</v>
      </c>
      <c r="AS98" s="297">
        <v>-763</v>
      </c>
      <c r="AT98" s="297">
        <v>-1468</v>
      </c>
      <c r="AU98" s="297">
        <v>-122</v>
      </c>
      <c r="AV98" s="297">
        <v>-2053</v>
      </c>
      <c r="AW98" s="297">
        <v>-498</v>
      </c>
      <c r="AX98" s="297">
        <v>-1165</v>
      </c>
      <c r="AY98" s="297">
        <v>-254</v>
      </c>
      <c r="BA98" s="205"/>
      <c r="BB98" s="205"/>
    </row>
    <row r="99" spans="2:54">
      <c r="B99" s="288">
        <v>10306</v>
      </c>
      <c r="C99" s="288" t="s">
        <v>102</v>
      </c>
      <c r="D99" s="297">
        <v>-5995</v>
      </c>
      <c r="E99" s="297">
        <v>-2282</v>
      </c>
      <c r="F99" s="297">
        <v>4339</v>
      </c>
      <c r="G99" s="297">
        <v>5995</v>
      </c>
      <c r="H99" s="297">
        <v>2610</v>
      </c>
      <c r="I99" s="297">
        <v>5146</v>
      </c>
      <c r="J99" s="297">
        <v>11149</v>
      </c>
      <c r="K99" s="297">
        <v>10430</v>
      </c>
      <c r="L99" s="297">
        <v>10726</v>
      </c>
      <c r="M99" s="297">
        <v>9395</v>
      </c>
      <c r="N99" s="297">
        <v>8556</v>
      </c>
      <c r="O99" s="297">
        <v>7488</v>
      </c>
      <c r="P99" s="297">
        <v>-8172</v>
      </c>
      <c r="Q99" s="297">
        <v>-4241</v>
      </c>
      <c r="R99" s="297">
        <v>-13630</v>
      </c>
      <c r="S99" s="297">
        <v>-7755</v>
      </c>
      <c r="T99" s="297">
        <v>-11038</v>
      </c>
      <c r="U99" s="297">
        <v>-5835</v>
      </c>
      <c r="V99" s="297">
        <v>-5686</v>
      </c>
      <c r="W99" s="297">
        <v>-1689</v>
      </c>
      <c r="X99" s="297">
        <v>-6658</v>
      </c>
      <c r="Y99" s="297">
        <v>-2311</v>
      </c>
      <c r="Z99" s="297">
        <v>-1439</v>
      </c>
      <c r="AA99" s="297">
        <v>1693</v>
      </c>
      <c r="AB99" s="297">
        <v>-5853</v>
      </c>
      <c r="AC99" s="297">
        <v>-2507</v>
      </c>
      <c r="AD99" s="297">
        <v>4054</v>
      </c>
      <c r="AE99" s="297">
        <v>5655</v>
      </c>
      <c r="AF99" s="297">
        <v>2713</v>
      </c>
      <c r="AG99" s="297">
        <v>5107</v>
      </c>
      <c r="AH99" s="297">
        <v>10327</v>
      </c>
      <c r="AI99" s="297">
        <v>9709</v>
      </c>
      <c r="AJ99" s="297">
        <v>9932</v>
      </c>
      <c r="AK99" s="297">
        <v>8739</v>
      </c>
      <c r="AL99" s="297">
        <v>7475</v>
      </c>
      <c r="AM99" s="297">
        <v>7752</v>
      </c>
      <c r="AN99" s="297">
        <v>-7710</v>
      </c>
      <c r="AO99" s="297">
        <v>-4059</v>
      </c>
      <c r="AP99" s="297">
        <v>-13028</v>
      </c>
      <c r="AQ99" s="297">
        <v>-7413</v>
      </c>
      <c r="AR99" s="297">
        <v>-10550</v>
      </c>
      <c r="AS99" s="297">
        <v>-5577</v>
      </c>
      <c r="AT99" s="297">
        <v>-5514</v>
      </c>
      <c r="AU99" s="297">
        <v>-1951</v>
      </c>
      <c r="AV99" s="297">
        <v>-6173</v>
      </c>
      <c r="AW99" s="297">
        <v>-2071</v>
      </c>
      <c r="AX99" s="297">
        <v>-1403</v>
      </c>
      <c r="AY99" s="297">
        <v>1594</v>
      </c>
      <c r="BA99" s="205"/>
      <c r="BB99" s="205"/>
    </row>
    <row r="100" spans="2:54">
      <c r="B100" s="288">
        <v>10307</v>
      </c>
      <c r="C100" s="288" t="s">
        <v>103</v>
      </c>
      <c r="D100" s="297">
        <v>-35</v>
      </c>
      <c r="E100" s="297">
        <v>478</v>
      </c>
      <c r="F100" s="297">
        <v>1379</v>
      </c>
      <c r="G100" s="297">
        <v>2685</v>
      </c>
      <c r="H100" s="297">
        <v>4204</v>
      </c>
      <c r="I100" s="297">
        <v>5824</v>
      </c>
      <c r="J100" s="297">
        <v>11335</v>
      </c>
      <c r="K100" s="297">
        <v>7591</v>
      </c>
      <c r="L100" s="297">
        <v>12667</v>
      </c>
      <c r="M100" s="297">
        <v>7846</v>
      </c>
      <c r="N100" s="297">
        <v>3767</v>
      </c>
      <c r="O100" s="297">
        <v>4310</v>
      </c>
      <c r="P100" s="297">
        <v>1313</v>
      </c>
      <c r="Q100" s="297">
        <v>1840</v>
      </c>
      <c r="R100" s="297">
        <v>-17440</v>
      </c>
      <c r="S100" s="297">
        <v>-6947</v>
      </c>
      <c r="T100" s="297">
        <v>-9825</v>
      </c>
      <c r="U100" s="297">
        <v>-4061</v>
      </c>
      <c r="V100" s="297">
        <v>-5281</v>
      </c>
      <c r="W100" s="297">
        <v>-408</v>
      </c>
      <c r="X100" s="297">
        <v>-8891</v>
      </c>
      <c r="Y100" s="297">
        <v>-1298</v>
      </c>
      <c r="Z100" s="297">
        <v>-5366</v>
      </c>
      <c r="AA100" s="297">
        <v>-1777</v>
      </c>
      <c r="AB100" s="297">
        <v>-36</v>
      </c>
      <c r="AC100" s="297">
        <v>478</v>
      </c>
      <c r="AD100" s="297">
        <v>-56</v>
      </c>
      <c r="AE100" s="297">
        <v>4106</v>
      </c>
      <c r="AF100" s="297">
        <v>5697</v>
      </c>
      <c r="AG100" s="297">
        <v>4319</v>
      </c>
      <c r="AH100" s="297">
        <v>9811</v>
      </c>
      <c r="AI100" s="297">
        <v>9112</v>
      </c>
      <c r="AJ100" s="297">
        <v>11314</v>
      </c>
      <c r="AK100" s="297">
        <v>7362</v>
      </c>
      <c r="AL100" s="297">
        <v>5007</v>
      </c>
      <c r="AM100" s="297">
        <v>3068</v>
      </c>
      <c r="AN100" s="297">
        <v>1312</v>
      </c>
      <c r="AO100" s="297">
        <v>1841</v>
      </c>
      <c r="AP100" s="297">
        <v>-17460</v>
      </c>
      <c r="AQ100" s="297">
        <v>-6954</v>
      </c>
      <c r="AR100" s="297">
        <v>-9832</v>
      </c>
      <c r="AS100" s="297">
        <v>-4063</v>
      </c>
      <c r="AT100" s="297">
        <v>-5283</v>
      </c>
      <c r="AU100" s="297">
        <v>-405</v>
      </c>
      <c r="AV100" s="297">
        <v>-8898</v>
      </c>
      <c r="AW100" s="297">
        <v>-1297</v>
      </c>
      <c r="AX100" s="297">
        <v>-5368</v>
      </c>
      <c r="AY100" s="297">
        <v>-1777</v>
      </c>
      <c r="BA100" s="205"/>
      <c r="BB100" s="205"/>
    </row>
    <row r="101" spans="2:54">
      <c r="B101" s="288">
        <v>10326</v>
      </c>
      <c r="C101" s="288" t="s">
        <v>104</v>
      </c>
      <c r="D101" s="297">
        <v>306</v>
      </c>
      <c r="E101" s="297">
        <v>1647</v>
      </c>
      <c r="F101" s="297">
        <v>-3459</v>
      </c>
      <c r="G101" s="297">
        <v>-332</v>
      </c>
      <c r="H101" s="297">
        <v>-736</v>
      </c>
      <c r="I101" s="297">
        <v>2195</v>
      </c>
      <c r="J101" s="297">
        <v>2521</v>
      </c>
      <c r="K101" s="297">
        <v>3094</v>
      </c>
      <c r="L101" s="297">
        <v>4024</v>
      </c>
      <c r="M101" s="297">
        <v>3675</v>
      </c>
      <c r="N101" s="297">
        <v>1986</v>
      </c>
      <c r="O101" s="297">
        <v>3079</v>
      </c>
      <c r="P101" s="297">
        <v>1701</v>
      </c>
      <c r="Q101" s="297">
        <v>2490</v>
      </c>
      <c r="R101" s="297">
        <v>-4725</v>
      </c>
      <c r="S101" s="297">
        <v>-21</v>
      </c>
      <c r="T101" s="297">
        <v>-1206</v>
      </c>
      <c r="U101" s="297">
        <v>924</v>
      </c>
      <c r="V101" s="297">
        <v>1040</v>
      </c>
      <c r="W101" s="297">
        <v>2893</v>
      </c>
      <c r="X101" s="297">
        <v>-938</v>
      </c>
      <c r="Y101" s="297">
        <v>2228</v>
      </c>
      <c r="Z101" s="297">
        <v>59</v>
      </c>
      <c r="AA101" s="297">
        <v>1934</v>
      </c>
      <c r="AB101" s="297">
        <v>306</v>
      </c>
      <c r="AC101" s="297">
        <v>1647</v>
      </c>
      <c r="AD101" s="297">
        <v>-3881</v>
      </c>
      <c r="AE101" s="297">
        <v>90</v>
      </c>
      <c r="AF101" s="297">
        <v>-227</v>
      </c>
      <c r="AG101" s="297">
        <v>1685</v>
      </c>
      <c r="AH101" s="297">
        <v>1997</v>
      </c>
      <c r="AI101" s="297">
        <v>3618</v>
      </c>
      <c r="AJ101" s="297">
        <v>3452</v>
      </c>
      <c r="AK101" s="297">
        <v>3411</v>
      </c>
      <c r="AL101" s="297">
        <v>2488</v>
      </c>
      <c r="AM101" s="297">
        <v>2577</v>
      </c>
      <c r="AN101" s="297">
        <v>1701</v>
      </c>
      <c r="AO101" s="297">
        <v>2490</v>
      </c>
      <c r="AP101" s="297">
        <v>-4725</v>
      </c>
      <c r="AQ101" s="297">
        <v>-21</v>
      </c>
      <c r="AR101" s="297">
        <v>-1206</v>
      </c>
      <c r="AS101" s="297">
        <v>924</v>
      </c>
      <c r="AT101" s="297">
        <v>1040</v>
      </c>
      <c r="AU101" s="297">
        <v>2893</v>
      </c>
      <c r="AV101" s="297">
        <v>-938</v>
      </c>
      <c r="AW101" s="297">
        <v>2228</v>
      </c>
      <c r="AX101" s="297">
        <v>59</v>
      </c>
      <c r="AY101" s="297">
        <v>1934</v>
      </c>
      <c r="BA101" s="205"/>
      <c r="BB101" s="205"/>
    </row>
    <row r="102" spans="2:54">
      <c r="B102" s="288">
        <v>10331</v>
      </c>
      <c r="C102" s="288" t="s">
        <v>105</v>
      </c>
      <c r="D102" s="297">
        <v>0</v>
      </c>
      <c r="E102" s="297">
        <v>0</v>
      </c>
      <c r="F102" s="297">
        <v>0</v>
      </c>
      <c r="G102" s="297">
        <v>0</v>
      </c>
      <c r="H102" s="297">
        <v>0</v>
      </c>
      <c r="I102" s="297">
        <v>0</v>
      </c>
      <c r="J102" s="297">
        <v>0</v>
      </c>
      <c r="K102" s="297">
        <v>0</v>
      </c>
      <c r="L102" s="297">
        <v>0</v>
      </c>
      <c r="M102" s="297">
        <v>0</v>
      </c>
      <c r="N102" s="297">
        <v>0</v>
      </c>
      <c r="O102" s="297">
        <v>0</v>
      </c>
      <c r="P102" s="297">
        <v>0</v>
      </c>
      <c r="Q102" s="297">
        <v>0</v>
      </c>
      <c r="R102" s="297">
        <v>0</v>
      </c>
      <c r="S102" s="297">
        <v>0</v>
      </c>
      <c r="T102" s="297">
        <v>0</v>
      </c>
      <c r="U102" s="297">
        <v>0</v>
      </c>
      <c r="V102" s="297">
        <v>0</v>
      </c>
      <c r="W102" s="297">
        <v>0</v>
      </c>
      <c r="X102" s="297">
        <v>0</v>
      </c>
      <c r="Y102" s="297">
        <v>0</v>
      </c>
      <c r="Z102" s="297">
        <v>0</v>
      </c>
      <c r="AA102" s="297">
        <v>0</v>
      </c>
      <c r="AB102" s="297">
        <v>0</v>
      </c>
      <c r="AC102" s="297">
        <v>0</v>
      </c>
      <c r="AD102" s="297">
        <v>0</v>
      </c>
      <c r="AE102" s="297">
        <v>0</v>
      </c>
      <c r="AF102" s="297">
        <v>0</v>
      </c>
      <c r="AG102" s="297">
        <v>0</v>
      </c>
      <c r="AH102" s="297">
        <v>0</v>
      </c>
      <c r="AI102" s="297">
        <v>0</v>
      </c>
      <c r="AJ102" s="297">
        <v>0</v>
      </c>
      <c r="AK102" s="297">
        <v>0</v>
      </c>
      <c r="AL102" s="297">
        <v>0</v>
      </c>
      <c r="AM102" s="297">
        <v>0</v>
      </c>
      <c r="AN102" s="297">
        <v>0</v>
      </c>
      <c r="AO102" s="297">
        <v>0</v>
      </c>
      <c r="AP102" s="297">
        <v>0</v>
      </c>
      <c r="AQ102" s="297">
        <v>0</v>
      </c>
      <c r="AR102" s="297">
        <v>0</v>
      </c>
      <c r="AS102" s="297">
        <v>0</v>
      </c>
      <c r="AT102" s="297">
        <v>0</v>
      </c>
      <c r="AU102" s="297">
        <v>0</v>
      </c>
      <c r="AV102" s="297">
        <v>0</v>
      </c>
      <c r="AW102" s="297">
        <v>0</v>
      </c>
      <c r="AX102" s="297">
        <v>0</v>
      </c>
      <c r="AY102" s="297">
        <v>0</v>
      </c>
      <c r="BA102" s="205"/>
      <c r="BB102" s="205"/>
    </row>
    <row r="103" spans="2:54">
      <c r="B103" s="288">
        <v>10333</v>
      </c>
      <c r="C103" s="288" t="s">
        <v>106</v>
      </c>
      <c r="D103" s="297">
        <v>-1035</v>
      </c>
      <c r="E103" s="297">
        <v>-181</v>
      </c>
      <c r="F103" s="297">
        <v>-1336</v>
      </c>
      <c r="G103" s="297">
        <v>323</v>
      </c>
      <c r="H103" s="297">
        <v>1319</v>
      </c>
      <c r="I103" s="297">
        <v>1876</v>
      </c>
      <c r="J103" s="297">
        <v>2660</v>
      </c>
      <c r="K103" s="297">
        <v>2789</v>
      </c>
      <c r="L103" s="297">
        <v>2051</v>
      </c>
      <c r="M103" s="297">
        <v>2039</v>
      </c>
      <c r="N103" s="297">
        <v>67</v>
      </c>
      <c r="O103" s="297">
        <v>732</v>
      </c>
      <c r="P103" s="297">
        <v>-869</v>
      </c>
      <c r="Q103" s="297">
        <v>107</v>
      </c>
      <c r="R103" s="297">
        <v>-4227</v>
      </c>
      <c r="S103" s="297">
        <v>-1477</v>
      </c>
      <c r="T103" s="297">
        <v>-1628</v>
      </c>
      <c r="U103" s="297">
        <v>-155</v>
      </c>
      <c r="V103" s="297">
        <v>743</v>
      </c>
      <c r="W103" s="297">
        <v>1514</v>
      </c>
      <c r="X103" s="297">
        <v>-831</v>
      </c>
      <c r="Y103" s="297">
        <v>436</v>
      </c>
      <c r="Z103" s="297">
        <v>-1500</v>
      </c>
      <c r="AA103" s="297">
        <v>-83</v>
      </c>
      <c r="AB103" s="297">
        <v>-998</v>
      </c>
      <c r="AC103" s="297">
        <v>-159</v>
      </c>
      <c r="AD103" s="297">
        <v>-1291</v>
      </c>
      <c r="AE103" s="297">
        <v>355</v>
      </c>
      <c r="AF103" s="297">
        <v>1376</v>
      </c>
      <c r="AG103" s="297">
        <v>1916</v>
      </c>
      <c r="AH103" s="297">
        <v>2717</v>
      </c>
      <c r="AI103" s="297">
        <v>2831</v>
      </c>
      <c r="AJ103" s="297">
        <v>2097</v>
      </c>
      <c r="AK103" s="297">
        <v>2071</v>
      </c>
      <c r="AL103" s="297">
        <v>110</v>
      </c>
      <c r="AM103" s="297">
        <v>761</v>
      </c>
      <c r="AN103" s="297">
        <v>-832</v>
      </c>
      <c r="AO103" s="297">
        <v>131</v>
      </c>
      <c r="AP103" s="297">
        <v>-4189</v>
      </c>
      <c r="AQ103" s="297">
        <v>-1450</v>
      </c>
      <c r="AR103" s="297">
        <v>-1587</v>
      </c>
      <c r="AS103" s="297">
        <v>-130</v>
      </c>
      <c r="AT103" s="297">
        <v>791</v>
      </c>
      <c r="AU103" s="297">
        <v>1546</v>
      </c>
      <c r="AV103" s="297">
        <v>-786</v>
      </c>
      <c r="AW103" s="297">
        <v>463</v>
      </c>
      <c r="AX103" s="297">
        <v>-1465</v>
      </c>
      <c r="AY103" s="297">
        <v>-60</v>
      </c>
      <c r="BA103" s="205"/>
      <c r="BB103" s="205"/>
    </row>
    <row r="104" spans="2:54">
      <c r="B104" s="288">
        <v>10338</v>
      </c>
      <c r="C104" s="288" t="s">
        <v>107</v>
      </c>
      <c r="D104" s="297">
        <v>-334</v>
      </c>
      <c r="E104" s="297">
        <v>-101</v>
      </c>
      <c r="F104" s="297">
        <v>-406</v>
      </c>
      <c r="G104" s="297">
        <v>-82</v>
      </c>
      <c r="H104" s="297">
        <v>-78</v>
      </c>
      <c r="I104" s="297">
        <v>203</v>
      </c>
      <c r="J104" s="297">
        <v>156</v>
      </c>
      <c r="K104" s="297">
        <v>289</v>
      </c>
      <c r="L104" s="297">
        <v>132</v>
      </c>
      <c r="M104" s="297">
        <v>224</v>
      </c>
      <c r="N104" s="297">
        <v>-221</v>
      </c>
      <c r="O104" s="297">
        <v>23</v>
      </c>
      <c r="P104" s="297">
        <v>-91</v>
      </c>
      <c r="Q104" s="297">
        <v>58</v>
      </c>
      <c r="R104" s="297">
        <v>-326</v>
      </c>
      <c r="S104" s="297">
        <v>13</v>
      </c>
      <c r="T104" s="297">
        <v>307</v>
      </c>
      <c r="U104" s="297">
        <v>283</v>
      </c>
      <c r="V104" s="297">
        <v>515</v>
      </c>
      <c r="W104" s="297">
        <v>477</v>
      </c>
      <c r="X104" s="297">
        <v>176</v>
      </c>
      <c r="Y104" s="297">
        <v>293</v>
      </c>
      <c r="Z104" s="297">
        <v>-127</v>
      </c>
      <c r="AA104" s="297">
        <v>34</v>
      </c>
      <c r="AB104" s="297">
        <v>-332</v>
      </c>
      <c r="AC104" s="297">
        <v>-100</v>
      </c>
      <c r="AD104" s="297">
        <v>-438</v>
      </c>
      <c r="AE104" s="297">
        <v>-47</v>
      </c>
      <c r="AF104" s="297">
        <v>-28</v>
      </c>
      <c r="AG104" s="297">
        <v>160</v>
      </c>
      <c r="AH104" s="297">
        <v>112</v>
      </c>
      <c r="AI104" s="297">
        <v>338</v>
      </c>
      <c r="AJ104" s="297">
        <v>97</v>
      </c>
      <c r="AK104" s="297">
        <v>207</v>
      </c>
      <c r="AL104" s="297">
        <v>-187</v>
      </c>
      <c r="AM104" s="297">
        <v>-6</v>
      </c>
      <c r="AN104" s="297">
        <v>-88</v>
      </c>
      <c r="AO104" s="297">
        <v>60</v>
      </c>
      <c r="AP104" s="297">
        <v>-323</v>
      </c>
      <c r="AQ104" s="297">
        <v>16</v>
      </c>
      <c r="AR104" s="297">
        <v>311</v>
      </c>
      <c r="AS104" s="297">
        <v>286</v>
      </c>
      <c r="AT104" s="297">
        <v>519</v>
      </c>
      <c r="AU104" s="297">
        <v>480</v>
      </c>
      <c r="AV104" s="297">
        <v>180</v>
      </c>
      <c r="AW104" s="297">
        <v>296</v>
      </c>
      <c r="AX104" s="297">
        <v>-125</v>
      </c>
      <c r="AY104" s="297">
        <v>36</v>
      </c>
      <c r="BA104" s="205"/>
      <c r="BB104" s="205"/>
    </row>
    <row r="105" spans="2:54">
      <c r="B105" s="288">
        <v>10342</v>
      </c>
      <c r="C105" s="288" t="s">
        <v>108</v>
      </c>
      <c r="D105" s="297">
        <v>124</v>
      </c>
      <c r="E105" s="297">
        <v>-246</v>
      </c>
      <c r="F105" s="297">
        <v>-868</v>
      </c>
      <c r="G105" s="297">
        <v>-136</v>
      </c>
      <c r="H105" s="297">
        <v>1762</v>
      </c>
      <c r="I105" s="297">
        <v>2380</v>
      </c>
      <c r="J105" s="297">
        <v>4279</v>
      </c>
      <c r="K105" s="297">
        <v>2440</v>
      </c>
      <c r="L105" s="297">
        <v>5477</v>
      </c>
      <c r="M105" s="297">
        <v>2836</v>
      </c>
      <c r="N105" s="297">
        <v>1339</v>
      </c>
      <c r="O105" s="297">
        <v>1252</v>
      </c>
      <c r="P105" s="297">
        <v>712</v>
      </c>
      <c r="Q105" s="297">
        <v>311</v>
      </c>
      <c r="R105" s="297">
        <v>-8203</v>
      </c>
      <c r="S105" s="297">
        <v>-3606</v>
      </c>
      <c r="T105" s="297">
        <v>-3307</v>
      </c>
      <c r="U105" s="297">
        <v>-1643</v>
      </c>
      <c r="V105" s="297">
        <v>1112</v>
      </c>
      <c r="W105" s="297">
        <v>1124</v>
      </c>
      <c r="X105" s="297">
        <v>-1255</v>
      </c>
      <c r="Y105" s="297">
        <v>558</v>
      </c>
      <c r="Z105" s="297">
        <v>-1012</v>
      </c>
      <c r="AA105" s="297">
        <v>-438</v>
      </c>
      <c r="AB105" s="297">
        <v>104</v>
      </c>
      <c r="AC105" s="297">
        <v>-257</v>
      </c>
      <c r="AD105" s="297">
        <v>-1644</v>
      </c>
      <c r="AE105" s="297">
        <v>583</v>
      </c>
      <c r="AF105" s="297">
        <v>2554</v>
      </c>
      <c r="AG105" s="297">
        <v>1527</v>
      </c>
      <c r="AH105" s="297">
        <v>3469</v>
      </c>
      <c r="AI105" s="297">
        <v>3210</v>
      </c>
      <c r="AJ105" s="297">
        <v>5034</v>
      </c>
      <c r="AK105" s="297">
        <v>2752</v>
      </c>
      <c r="AL105" s="297">
        <v>1991</v>
      </c>
      <c r="AM105" s="297">
        <v>573</v>
      </c>
      <c r="AN105" s="297">
        <v>697</v>
      </c>
      <c r="AO105" s="297">
        <v>303</v>
      </c>
      <c r="AP105" s="297">
        <v>-8234</v>
      </c>
      <c r="AQ105" s="297">
        <v>-3621</v>
      </c>
      <c r="AR105" s="297">
        <v>-3324</v>
      </c>
      <c r="AS105" s="297">
        <v>-1652</v>
      </c>
      <c r="AT105" s="297">
        <v>1108</v>
      </c>
      <c r="AU105" s="297">
        <v>1123</v>
      </c>
      <c r="AV105" s="297">
        <v>-1267</v>
      </c>
      <c r="AW105" s="297">
        <v>554</v>
      </c>
      <c r="AX105" s="297">
        <v>-1024</v>
      </c>
      <c r="AY105" s="297">
        <v>-445</v>
      </c>
      <c r="BA105" s="205"/>
      <c r="BB105" s="205"/>
    </row>
    <row r="106" spans="2:54">
      <c r="B106" s="288">
        <v>10343</v>
      </c>
      <c r="C106" s="288" t="s">
        <v>109</v>
      </c>
      <c r="D106" s="297">
        <v>-1292</v>
      </c>
      <c r="E106" s="297">
        <v>-67</v>
      </c>
      <c r="F106" s="297">
        <v>-1533</v>
      </c>
      <c r="G106" s="297">
        <v>-94</v>
      </c>
      <c r="H106" s="297">
        <v>126</v>
      </c>
      <c r="I106" s="297">
        <v>1067</v>
      </c>
      <c r="J106" s="297">
        <v>1283</v>
      </c>
      <c r="K106" s="297">
        <v>1966</v>
      </c>
      <c r="L106" s="297">
        <v>900</v>
      </c>
      <c r="M106" s="297">
        <v>1404</v>
      </c>
      <c r="N106" s="297">
        <v>-52</v>
      </c>
      <c r="O106" s="297">
        <v>750</v>
      </c>
      <c r="P106" s="297">
        <v>-309</v>
      </c>
      <c r="Q106" s="297">
        <v>650</v>
      </c>
      <c r="R106" s="297">
        <v>-1671</v>
      </c>
      <c r="S106" s="297">
        <v>214</v>
      </c>
      <c r="T106" s="297">
        <v>-274</v>
      </c>
      <c r="U106" s="297">
        <v>886</v>
      </c>
      <c r="V106" s="297">
        <v>450</v>
      </c>
      <c r="W106" s="297">
        <v>1527</v>
      </c>
      <c r="X106" s="297">
        <v>-222</v>
      </c>
      <c r="Y106" s="297">
        <v>1030</v>
      </c>
      <c r="Z106" s="297">
        <v>-693</v>
      </c>
      <c r="AA106" s="297">
        <v>472</v>
      </c>
      <c r="AB106" s="297">
        <v>-1292</v>
      </c>
      <c r="AC106" s="297">
        <v>-67</v>
      </c>
      <c r="AD106" s="297">
        <v>-1533</v>
      </c>
      <c r="AE106" s="297">
        <v>-94</v>
      </c>
      <c r="AF106" s="297">
        <v>126</v>
      </c>
      <c r="AG106" s="297">
        <v>1067</v>
      </c>
      <c r="AH106" s="297">
        <v>1283</v>
      </c>
      <c r="AI106" s="297">
        <v>1966</v>
      </c>
      <c r="AJ106" s="297">
        <v>726</v>
      </c>
      <c r="AK106" s="297">
        <v>1272</v>
      </c>
      <c r="AL106" s="297">
        <v>-52</v>
      </c>
      <c r="AM106" s="297">
        <v>750</v>
      </c>
      <c r="AN106" s="297">
        <v>-309</v>
      </c>
      <c r="AO106" s="297">
        <v>650</v>
      </c>
      <c r="AP106" s="297">
        <v>-1671</v>
      </c>
      <c r="AQ106" s="297">
        <v>214</v>
      </c>
      <c r="AR106" s="297">
        <v>-274</v>
      </c>
      <c r="AS106" s="297">
        <v>886</v>
      </c>
      <c r="AT106" s="297">
        <v>450</v>
      </c>
      <c r="AU106" s="297">
        <v>1527</v>
      </c>
      <c r="AV106" s="297">
        <v>-222</v>
      </c>
      <c r="AW106" s="297">
        <v>1030</v>
      </c>
      <c r="AX106" s="297">
        <v>-693</v>
      </c>
      <c r="AY106" s="297">
        <v>472</v>
      </c>
      <c r="BA106" s="205"/>
      <c r="BB106" s="205"/>
    </row>
    <row r="107" spans="2:54">
      <c r="B107" s="288">
        <v>10349</v>
      </c>
      <c r="C107" s="288" t="s">
        <v>110</v>
      </c>
      <c r="D107" s="297">
        <v>-9500</v>
      </c>
      <c r="E107" s="297">
        <v>22542</v>
      </c>
      <c r="F107" s="297">
        <v>71902</v>
      </c>
      <c r="G107" s="297">
        <v>69309</v>
      </c>
      <c r="H107" s="297">
        <v>83304</v>
      </c>
      <c r="I107" s="297">
        <v>71658</v>
      </c>
      <c r="J107" s="297">
        <v>152663</v>
      </c>
      <c r="K107" s="297">
        <v>112300</v>
      </c>
      <c r="L107" s="297">
        <v>132405</v>
      </c>
      <c r="M107" s="297">
        <v>103715</v>
      </c>
      <c r="N107" s="297">
        <v>116631</v>
      </c>
      <c r="O107" s="297">
        <v>96644</v>
      </c>
      <c r="P107" s="297">
        <v>-51719</v>
      </c>
      <c r="Q107" s="297">
        <v>-10569</v>
      </c>
      <c r="R107" s="297">
        <v>-258729</v>
      </c>
      <c r="S107" s="297">
        <v>-142086</v>
      </c>
      <c r="T107" s="297">
        <v>-252645</v>
      </c>
      <c r="U107" s="297">
        <v>-133548</v>
      </c>
      <c r="V107" s="297">
        <v>-93703</v>
      </c>
      <c r="W107" s="297">
        <v>-32094</v>
      </c>
      <c r="X107" s="297">
        <v>-99199</v>
      </c>
      <c r="Y107" s="297">
        <v>-22914</v>
      </c>
      <c r="Z107" s="297">
        <v>30558</v>
      </c>
      <c r="AA107" s="297">
        <v>42560</v>
      </c>
      <c r="AB107" s="297">
        <v>-9221</v>
      </c>
      <c r="AC107" s="297">
        <v>22453</v>
      </c>
      <c r="AD107" s="297">
        <v>71670</v>
      </c>
      <c r="AE107" s="297">
        <v>68829</v>
      </c>
      <c r="AF107" s="297">
        <v>83041</v>
      </c>
      <c r="AG107" s="297">
        <v>71435</v>
      </c>
      <c r="AH107" s="297">
        <v>151716</v>
      </c>
      <c r="AI107" s="297">
        <v>111689</v>
      </c>
      <c r="AJ107" s="297">
        <v>131819</v>
      </c>
      <c r="AK107" s="297">
        <v>103117</v>
      </c>
      <c r="AL107" s="297">
        <v>116124</v>
      </c>
      <c r="AM107" s="297">
        <v>96082</v>
      </c>
      <c r="AN107" s="297">
        <v>-51595</v>
      </c>
      <c r="AO107" s="297">
        <v>-10518</v>
      </c>
      <c r="AP107" s="297">
        <v>-257128</v>
      </c>
      <c r="AQ107" s="297">
        <v>-141176</v>
      </c>
      <c r="AR107" s="297">
        <v>-251349</v>
      </c>
      <c r="AS107" s="297">
        <v>-132863</v>
      </c>
      <c r="AT107" s="297">
        <v>-93270</v>
      </c>
      <c r="AU107" s="297">
        <v>-31852</v>
      </c>
      <c r="AV107" s="297">
        <v>-98775</v>
      </c>
      <c r="AW107" s="297">
        <v>-22900</v>
      </c>
      <c r="AX107" s="297">
        <v>30522</v>
      </c>
      <c r="AY107" s="297">
        <v>42518</v>
      </c>
      <c r="BA107" s="205"/>
      <c r="BB107" s="205"/>
    </row>
    <row r="108" spans="2:54">
      <c r="B108" s="288">
        <v>10352</v>
      </c>
      <c r="C108" s="288" t="s">
        <v>111</v>
      </c>
      <c r="D108" s="297">
        <v>-129</v>
      </c>
      <c r="E108" s="297">
        <v>-166</v>
      </c>
      <c r="F108" s="297">
        <v>-324</v>
      </c>
      <c r="G108" s="297">
        <v>99</v>
      </c>
      <c r="H108" s="297">
        <v>1477</v>
      </c>
      <c r="I108" s="297">
        <v>1763</v>
      </c>
      <c r="J108" s="297">
        <v>2778</v>
      </c>
      <c r="K108" s="297">
        <v>1865</v>
      </c>
      <c r="L108" s="297">
        <v>2831</v>
      </c>
      <c r="M108" s="297">
        <v>1680</v>
      </c>
      <c r="N108" s="297">
        <v>849</v>
      </c>
      <c r="O108" s="297">
        <v>813</v>
      </c>
      <c r="P108" s="297">
        <v>340</v>
      </c>
      <c r="Q108" s="297">
        <v>239</v>
      </c>
      <c r="R108" s="297">
        <v>-3572</v>
      </c>
      <c r="S108" s="297">
        <v>-1650</v>
      </c>
      <c r="T108" s="297">
        <v>-1998</v>
      </c>
      <c r="U108" s="297">
        <v>-1104</v>
      </c>
      <c r="V108" s="297">
        <v>-924</v>
      </c>
      <c r="W108" s="297">
        <v>-293</v>
      </c>
      <c r="X108" s="297">
        <v>-1643</v>
      </c>
      <c r="Y108" s="297">
        <v>-434</v>
      </c>
      <c r="Z108" s="297">
        <v>-1017</v>
      </c>
      <c r="AA108" s="297">
        <v>-544</v>
      </c>
      <c r="AB108" s="297">
        <v>-142</v>
      </c>
      <c r="AC108" s="297">
        <v>-173</v>
      </c>
      <c r="AD108" s="297">
        <v>-637</v>
      </c>
      <c r="AE108" s="297">
        <v>387</v>
      </c>
      <c r="AF108" s="297">
        <v>1826</v>
      </c>
      <c r="AG108" s="297">
        <v>1389</v>
      </c>
      <c r="AH108" s="297">
        <v>2410</v>
      </c>
      <c r="AI108" s="297">
        <v>2212</v>
      </c>
      <c r="AJ108" s="297">
        <v>2485</v>
      </c>
      <c r="AK108" s="297">
        <v>1549</v>
      </c>
      <c r="AL108" s="297">
        <v>1115</v>
      </c>
      <c r="AM108" s="297">
        <v>526</v>
      </c>
      <c r="AN108" s="297">
        <v>328</v>
      </c>
      <c r="AO108" s="297">
        <v>232</v>
      </c>
      <c r="AP108" s="297">
        <v>-3590</v>
      </c>
      <c r="AQ108" s="297">
        <v>-1661</v>
      </c>
      <c r="AR108" s="297">
        <v>-2012</v>
      </c>
      <c r="AS108" s="297">
        <v>-1112</v>
      </c>
      <c r="AT108" s="297">
        <v>-937</v>
      </c>
      <c r="AU108" s="297">
        <v>-300</v>
      </c>
      <c r="AV108" s="297">
        <v>-1658</v>
      </c>
      <c r="AW108" s="297">
        <v>-441</v>
      </c>
      <c r="AX108" s="297">
        <v>-1030</v>
      </c>
      <c r="AY108" s="297">
        <v>-551</v>
      </c>
      <c r="BA108" s="205"/>
      <c r="BB108" s="205"/>
    </row>
    <row r="109" spans="2:54">
      <c r="B109" s="288">
        <v>10354</v>
      </c>
      <c r="C109" s="288" t="s">
        <v>112</v>
      </c>
      <c r="D109" s="297">
        <v>-14946</v>
      </c>
      <c r="E109" s="297">
        <v>26734</v>
      </c>
      <c r="F109" s="297">
        <v>-29362</v>
      </c>
      <c r="G109" s="297">
        <v>16034</v>
      </c>
      <c r="H109" s="297">
        <v>-5492</v>
      </c>
      <c r="I109" s="297">
        <v>41000</v>
      </c>
      <c r="J109" s="297">
        <v>25537</v>
      </c>
      <c r="K109" s="297">
        <v>45970</v>
      </c>
      <c r="L109" s="297">
        <v>24578</v>
      </c>
      <c r="M109" s="297">
        <v>39713</v>
      </c>
      <c r="N109" s="297">
        <v>5280</v>
      </c>
      <c r="O109" s="297">
        <v>24737</v>
      </c>
      <c r="P109" s="297">
        <v>-16498</v>
      </c>
      <c r="Q109" s="297">
        <v>22994</v>
      </c>
      <c r="R109" s="297">
        <v>-89583</v>
      </c>
      <c r="S109" s="297">
        <v>-23489</v>
      </c>
      <c r="T109" s="297">
        <v>-49980</v>
      </c>
      <c r="U109" s="297">
        <v>-1357</v>
      </c>
      <c r="V109" s="297">
        <v>-37044</v>
      </c>
      <c r="W109" s="297">
        <v>18581</v>
      </c>
      <c r="X109" s="297">
        <v>-48149</v>
      </c>
      <c r="Y109" s="297">
        <v>4577</v>
      </c>
      <c r="Z109" s="297">
        <v>-33787</v>
      </c>
      <c r="AA109" s="297">
        <v>16956</v>
      </c>
      <c r="AB109" s="297">
        <v>-5743</v>
      </c>
      <c r="AC109" s="297">
        <v>23968</v>
      </c>
      <c r="AD109" s="297">
        <v>-25425</v>
      </c>
      <c r="AE109" s="297">
        <v>18862</v>
      </c>
      <c r="AF109" s="297">
        <v>-1191</v>
      </c>
      <c r="AG109" s="297">
        <v>44317</v>
      </c>
      <c r="AH109" s="297">
        <v>29721</v>
      </c>
      <c r="AI109" s="297">
        <v>49053</v>
      </c>
      <c r="AJ109" s="297">
        <v>27948</v>
      </c>
      <c r="AK109" s="297">
        <v>42063</v>
      </c>
      <c r="AL109" s="297">
        <v>3248</v>
      </c>
      <c r="AM109" s="297">
        <v>33226</v>
      </c>
      <c r="AN109" s="297">
        <v>-7935</v>
      </c>
      <c r="AO109" s="297">
        <v>19952</v>
      </c>
      <c r="AP109" s="297">
        <v>-85706</v>
      </c>
      <c r="AQ109" s="297">
        <v>-20827</v>
      </c>
      <c r="AR109" s="297">
        <v>-51293</v>
      </c>
      <c r="AS109" s="297">
        <v>5780</v>
      </c>
      <c r="AT109" s="297">
        <v>-29480</v>
      </c>
      <c r="AU109" s="297">
        <v>15945</v>
      </c>
      <c r="AV109" s="297">
        <v>-44974</v>
      </c>
      <c r="AW109" s="297">
        <v>6541</v>
      </c>
      <c r="AX109" s="297">
        <v>-30614</v>
      </c>
      <c r="AY109" s="297">
        <v>19343</v>
      </c>
      <c r="BA109" s="205"/>
      <c r="BB109" s="205"/>
    </row>
    <row r="110" spans="2:54">
      <c r="B110" s="288">
        <v>10360</v>
      </c>
      <c r="C110" s="288" t="s">
        <v>113</v>
      </c>
      <c r="D110" s="297">
        <v>-1241</v>
      </c>
      <c r="E110" s="297">
        <v>-448</v>
      </c>
      <c r="F110" s="297">
        <v>-1826</v>
      </c>
      <c r="G110" s="297">
        <v>-743</v>
      </c>
      <c r="H110" s="297">
        <v>-1254</v>
      </c>
      <c r="I110" s="297">
        <v>-263</v>
      </c>
      <c r="J110" s="297">
        <v>-625</v>
      </c>
      <c r="K110" s="297">
        <v>-6</v>
      </c>
      <c r="L110" s="297">
        <v>-489</v>
      </c>
      <c r="M110" s="297">
        <v>2</v>
      </c>
      <c r="N110" s="297">
        <v>-1311</v>
      </c>
      <c r="O110" s="297">
        <v>-444</v>
      </c>
      <c r="P110" s="297">
        <v>-707</v>
      </c>
      <c r="Q110" s="297">
        <v>-120</v>
      </c>
      <c r="R110" s="297">
        <v>-678</v>
      </c>
      <c r="S110" s="297">
        <v>360</v>
      </c>
      <c r="T110" s="297">
        <v>2355</v>
      </c>
      <c r="U110" s="297">
        <v>2112</v>
      </c>
      <c r="V110" s="297">
        <v>2803</v>
      </c>
      <c r="W110" s="297">
        <v>2694</v>
      </c>
      <c r="X110" s="297">
        <v>1840</v>
      </c>
      <c r="Y110" s="297">
        <v>2125</v>
      </c>
      <c r="Z110" s="297">
        <v>-42</v>
      </c>
      <c r="AA110" s="297">
        <v>528</v>
      </c>
      <c r="AB110" s="297">
        <v>-1235</v>
      </c>
      <c r="AC110" s="297">
        <v>-445</v>
      </c>
      <c r="AD110" s="297">
        <v>-1888</v>
      </c>
      <c r="AE110" s="297">
        <v>-672</v>
      </c>
      <c r="AF110" s="297">
        <v>-1161</v>
      </c>
      <c r="AG110" s="297">
        <v>-344</v>
      </c>
      <c r="AH110" s="297">
        <v>-707</v>
      </c>
      <c r="AI110" s="297">
        <v>88</v>
      </c>
      <c r="AJ110" s="297">
        <v>-561</v>
      </c>
      <c r="AK110" s="297">
        <v>-32</v>
      </c>
      <c r="AL110" s="297">
        <v>-1245</v>
      </c>
      <c r="AM110" s="297">
        <v>-501</v>
      </c>
      <c r="AN110" s="297">
        <v>-700</v>
      </c>
      <c r="AO110" s="297">
        <v>-116</v>
      </c>
      <c r="AP110" s="297">
        <v>-667</v>
      </c>
      <c r="AQ110" s="297">
        <v>369</v>
      </c>
      <c r="AR110" s="297">
        <v>2372</v>
      </c>
      <c r="AS110" s="297">
        <v>2124</v>
      </c>
      <c r="AT110" s="297">
        <v>2820</v>
      </c>
      <c r="AU110" s="297">
        <v>2707</v>
      </c>
      <c r="AV110" s="297">
        <v>1856</v>
      </c>
      <c r="AW110" s="297">
        <v>2137</v>
      </c>
      <c r="AX110" s="297">
        <v>-34</v>
      </c>
      <c r="AY110" s="297">
        <v>534</v>
      </c>
      <c r="BA110" s="205"/>
      <c r="BB110" s="205"/>
    </row>
    <row r="111" spans="2:54">
      <c r="B111" s="288">
        <v>10363</v>
      </c>
      <c r="C111" s="288" t="s">
        <v>114</v>
      </c>
      <c r="D111" s="297">
        <v>-605</v>
      </c>
      <c r="E111" s="297">
        <v>292</v>
      </c>
      <c r="F111" s="297">
        <v>-2804</v>
      </c>
      <c r="G111" s="297">
        <v>1398</v>
      </c>
      <c r="H111" s="297">
        <v>3141</v>
      </c>
      <c r="I111" s="297">
        <v>7330</v>
      </c>
      <c r="J111" s="297">
        <v>10227</v>
      </c>
      <c r="K111" s="297">
        <v>8217</v>
      </c>
      <c r="L111" s="297">
        <v>14016</v>
      </c>
      <c r="M111" s="297">
        <v>9351</v>
      </c>
      <c r="N111" s="297">
        <v>2287</v>
      </c>
      <c r="O111" s="297">
        <v>4113</v>
      </c>
      <c r="P111" s="297">
        <v>1307</v>
      </c>
      <c r="Q111" s="297">
        <v>1947</v>
      </c>
      <c r="R111" s="297">
        <v>-21451</v>
      </c>
      <c r="S111" s="297">
        <v>-8534</v>
      </c>
      <c r="T111" s="297">
        <v>-9081</v>
      </c>
      <c r="U111" s="297">
        <v>-3780</v>
      </c>
      <c r="V111" s="297">
        <v>-1145</v>
      </c>
      <c r="W111" s="297">
        <v>1729</v>
      </c>
      <c r="X111" s="297">
        <v>-6494</v>
      </c>
      <c r="Y111" s="297">
        <v>655</v>
      </c>
      <c r="Z111" s="297">
        <v>-4891</v>
      </c>
      <c r="AA111" s="297">
        <v>-1527</v>
      </c>
      <c r="AB111" s="297">
        <v>-611</v>
      </c>
      <c r="AC111" s="297">
        <v>290</v>
      </c>
      <c r="AD111" s="297">
        <v>-4656</v>
      </c>
      <c r="AE111" s="297">
        <v>3238</v>
      </c>
      <c r="AF111" s="297">
        <v>5179</v>
      </c>
      <c r="AG111" s="297">
        <v>5310</v>
      </c>
      <c r="AH111" s="297">
        <v>8290</v>
      </c>
      <c r="AI111" s="297">
        <v>10192</v>
      </c>
      <c r="AJ111" s="297">
        <v>12171</v>
      </c>
      <c r="AK111" s="297">
        <v>8658</v>
      </c>
      <c r="AL111" s="297">
        <v>3924</v>
      </c>
      <c r="AM111" s="297">
        <v>2482</v>
      </c>
      <c r="AN111" s="297">
        <v>1305</v>
      </c>
      <c r="AO111" s="297">
        <v>1949</v>
      </c>
      <c r="AP111" s="297">
        <v>-21510</v>
      </c>
      <c r="AQ111" s="297">
        <v>-8559</v>
      </c>
      <c r="AR111" s="297">
        <v>-9109</v>
      </c>
      <c r="AS111" s="297">
        <v>-3793</v>
      </c>
      <c r="AT111" s="297">
        <v>-1154</v>
      </c>
      <c r="AU111" s="297">
        <v>1730</v>
      </c>
      <c r="AV111" s="297">
        <v>-6516</v>
      </c>
      <c r="AW111" s="297">
        <v>653</v>
      </c>
      <c r="AX111" s="297">
        <v>-4909</v>
      </c>
      <c r="AY111" s="297">
        <v>-1534</v>
      </c>
      <c r="BA111" s="205"/>
      <c r="BB111" s="205"/>
    </row>
    <row r="112" spans="2:54">
      <c r="B112" s="288">
        <v>10369</v>
      </c>
      <c r="C112" s="288" t="s">
        <v>115</v>
      </c>
      <c r="D112" s="297">
        <v>-2031</v>
      </c>
      <c r="E112" s="297">
        <v>-690</v>
      </c>
      <c r="F112" s="297">
        <v>-4303</v>
      </c>
      <c r="G112" s="297">
        <v>-1970</v>
      </c>
      <c r="H112" s="297">
        <v>-3161</v>
      </c>
      <c r="I112" s="297">
        <v>-1029</v>
      </c>
      <c r="J112" s="297">
        <v>-1376</v>
      </c>
      <c r="K112" s="297">
        <v>-274</v>
      </c>
      <c r="L112" s="297">
        <v>-1513</v>
      </c>
      <c r="M112" s="297">
        <v>-470</v>
      </c>
      <c r="N112" s="297">
        <v>-2684</v>
      </c>
      <c r="O112" s="297">
        <v>-951</v>
      </c>
      <c r="P112" s="297">
        <v>-1269</v>
      </c>
      <c r="Q112" s="297">
        <v>-211</v>
      </c>
      <c r="R112" s="297">
        <v>-1771</v>
      </c>
      <c r="S112" s="297">
        <v>719</v>
      </c>
      <c r="T112" s="297">
        <v>2340</v>
      </c>
      <c r="U112" s="297">
        <v>2537</v>
      </c>
      <c r="V112" s="297">
        <v>6178</v>
      </c>
      <c r="W112" s="297">
        <v>5781</v>
      </c>
      <c r="X112" s="297">
        <v>5086</v>
      </c>
      <c r="Y112" s="297">
        <v>5513</v>
      </c>
      <c r="Z112" s="297">
        <v>1850</v>
      </c>
      <c r="AA112" s="297">
        <v>2429</v>
      </c>
      <c r="AB112" s="297">
        <v>-2031</v>
      </c>
      <c r="AC112" s="297">
        <v>-690</v>
      </c>
      <c r="AD112" s="297">
        <v>-4472</v>
      </c>
      <c r="AE112" s="297">
        <v>-1801</v>
      </c>
      <c r="AF112" s="297">
        <v>-2953</v>
      </c>
      <c r="AG112" s="297">
        <v>-1237</v>
      </c>
      <c r="AH112" s="297">
        <v>-1597</v>
      </c>
      <c r="AI112" s="297">
        <v>-53</v>
      </c>
      <c r="AJ112" s="297">
        <v>-1625</v>
      </c>
      <c r="AK112" s="297">
        <v>-504</v>
      </c>
      <c r="AL112" s="297">
        <v>-2515</v>
      </c>
      <c r="AM112" s="297">
        <v>-1120</v>
      </c>
      <c r="AN112" s="297">
        <v>-1269</v>
      </c>
      <c r="AO112" s="297">
        <v>-211</v>
      </c>
      <c r="AP112" s="297">
        <v>-1771</v>
      </c>
      <c r="AQ112" s="297">
        <v>719</v>
      </c>
      <c r="AR112" s="297">
        <v>2340</v>
      </c>
      <c r="AS112" s="297">
        <v>2537</v>
      </c>
      <c r="AT112" s="297">
        <v>6178</v>
      </c>
      <c r="AU112" s="297">
        <v>5781</v>
      </c>
      <c r="AV112" s="297">
        <v>5086</v>
      </c>
      <c r="AW112" s="297">
        <v>5513</v>
      </c>
      <c r="AX112" s="297">
        <v>1850</v>
      </c>
      <c r="AY112" s="297">
        <v>2429</v>
      </c>
      <c r="BA112" s="205"/>
      <c r="BB112" s="205"/>
    </row>
    <row r="113" spans="2:54">
      <c r="B113" s="288">
        <v>10370</v>
      </c>
      <c r="C113" s="288" t="s">
        <v>116</v>
      </c>
      <c r="D113" s="297">
        <v>-19907</v>
      </c>
      <c r="E113" s="297">
        <v>4022</v>
      </c>
      <c r="F113" s="297">
        <v>-18467</v>
      </c>
      <c r="G113" s="297">
        <v>5450</v>
      </c>
      <c r="H113" s="297">
        <v>-1081</v>
      </c>
      <c r="I113" s="297">
        <v>22476</v>
      </c>
      <c r="J113" s="297">
        <v>11168</v>
      </c>
      <c r="K113" s="297">
        <v>22030</v>
      </c>
      <c r="L113" s="297">
        <v>12693</v>
      </c>
      <c r="M113" s="297">
        <v>20413</v>
      </c>
      <c r="N113" s="297">
        <v>13371</v>
      </c>
      <c r="O113" s="297">
        <v>20343</v>
      </c>
      <c r="P113" s="297">
        <v>-2406</v>
      </c>
      <c r="Q113" s="297">
        <v>16602</v>
      </c>
      <c r="R113" s="297">
        <v>-44226</v>
      </c>
      <c r="S113" s="297">
        <v>-10738</v>
      </c>
      <c r="T113" s="297">
        <v>-28307</v>
      </c>
      <c r="U113" s="297">
        <v>-2684</v>
      </c>
      <c r="V113" s="297">
        <v>-17338</v>
      </c>
      <c r="W113" s="297">
        <v>10909</v>
      </c>
      <c r="X113" s="297">
        <v>-26780</v>
      </c>
      <c r="Y113" s="297">
        <v>802</v>
      </c>
      <c r="Z113" s="297">
        <v>-17139</v>
      </c>
      <c r="AA113" s="297">
        <v>8817</v>
      </c>
      <c r="AB113" s="297">
        <v>-15500</v>
      </c>
      <c r="AC113" s="297">
        <v>3161</v>
      </c>
      <c r="AD113" s="297">
        <v>-16243</v>
      </c>
      <c r="AE113" s="297">
        <v>7014</v>
      </c>
      <c r="AF113" s="297">
        <v>1119</v>
      </c>
      <c r="AG113" s="297">
        <v>24113</v>
      </c>
      <c r="AH113" s="297">
        <v>13263</v>
      </c>
      <c r="AI113" s="297">
        <v>23538</v>
      </c>
      <c r="AJ113" s="297">
        <v>14555</v>
      </c>
      <c r="AK113" s="297">
        <v>21691</v>
      </c>
      <c r="AL113" s="297">
        <v>12516</v>
      </c>
      <c r="AM113" s="297">
        <v>25500</v>
      </c>
      <c r="AN113" s="297">
        <v>2177</v>
      </c>
      <c r="AO113" s="297">
        <v>14739</v>
      </c>
      <c r="AP113" s="297">
        <v>-42198</v>
      </c>
      <c r="AQ113" s="297">
        <v>-9402</v>
      </c>
      <c r="AR113" s="297">
        <v>-28874</v>
      </c>
      <c r="AS113" s="297">
        <v>804</v>
      </c>
      <c r="AT113" s="297">
        <v>-13223</v>
      </c>
      <c r="AU113" s="297">
        <v>9583</v>
      </c>
      <c r="AV113" s="297">
        <v>-24521</v>
      </c>
      <c r="AW113" s="297">
        <v>2215</v>
      </c>
      <c r="AX113" s="297">
        <v>-15536</v>
      </c>
      <c r="AY113" s="297">
        <v>9960</v>
      </c>
      <c r="BA113" s="205"/>
      <c r="BB113" s="205"/>
    </row>
    <row r="114" spans="2:54">
      <c r="B114" s="288">
        <v>10371</v>
      </c>
      <c r="C114" s="288" t="s">
        <v>117</v>
      </c>
      <c r="D114" s="297">
        <v>-133</v>
      </c>
      <c r="E114" s="297">
        <v>115</v>
      </c>
      <c r="F114" s="297">
        <v>-445</v>
      </c>
      <c r="G114" s="297">
        <v>124</v>
      </c>
      <c r="H114" s="297">
        <v>287</v>
      </c>
      <c r="I114" s="297">
        <v>350</v>
      </c>
      <c r="J114" s="297">
        <v>931</v>
      </c>
      <c r="K114" s="297">
        <v>881</v>
      </c>
      <c r="L114" s="297">
        <v>1224</v>
      </c>
      <c r="M114" s="297">
        <v>935</v>
      </c>
      <c r="N114" s="297">
        <v>441</v>
      </c>
      <c r="O114" s="297">
        <v>390</v>
      </c>
      <c r="P114" s="297">
        <v>21</v>
      </c>
      <c r="Q114" s="297">
        <v>245</v>
      </c>
      <c r="R114" s="297">
        <v>-2778</v>
      </c>
      <c r="S114" s="297">
        <v>-1166</v>
      </c>
      <c r="T114" s="297">
        <v>-1578</v>
      </c>
      <c r="U114" s="297">
        <v>-544</v>
      </c>
      <c r="V114" s="297">
        <v>-681</v>
      </c>
      <c r="W114" s="297">
        <v>104</v>
      </c>
      <c r="X114" s="297">
        <v>-1166</v>
      </c>
      <c r="Y114" s="297">
        <v>-166</v>
      </c>
      <c r="Z114" s="297">
        <v>-949</v>
      </c>
      <c r="AA114" s="297">
        <v>-252</v>
      </c>
      <c r="AB114" s="297">
        <v>-182</v>
      </c>
      <c r="AC114" s="297">
        <v>98</v>
      </c>
      <c r="AD114" s="297">
        <v>-475</v>
      </c>
      <c r="AE114" s="297">
        <v>93</v>
      </c>
      <c r="AF114" s="297">
        <v>256</v>
      </c>
      <c r="AG114" s="297">
        <v>314</v>
      </c>
      <c r="AH114" s="297">
        <v>897</v>
      </c>
      <c r="AI114" s="297">
        <v>849</v>
      </c>
      <c r="AJ114" s="297">
        <v>1184</v>
      </c>
      <c r="AK114" s="297">
        <v>901</v>
      </c>
      <c r="AL114" s="297">
        <v>422</v>
      </c>
      <c r="AM114" s="297">
        <v>341</v>
      </c>
      <c r="AN114" s="297">
        <v>-27</v>
      </c>
      <c r="AO114" s="297">
        <v>230</v>
      </c>
      <c r="AP114" s="297">
        <v>-2815</v>
      </c>
      <c r="AQ114" s="297">
        <v>-1200</v>
      </c>
      <c r="AR114" s="297">
        <v>-1596</v>
      </c>
      <c r="AS114" s="297">
        <v>-592</v>
      </c>
      <c r="AT114" s="297">
        <v>-730</v>
      </c>
      <c r="AU114" s="297">
        <v>86</v>
      </c>
      <c r="AV114" s="297">
        <v>-1202</v>
      </c>
      <c r="AW114" s="297">
        <v>-198</v>
      </c>
      <c r="AX114" s="297">
        <v>-982</v>
      </c>
      <c r="AY114" s="297">
        <v>-289</v>
      </c>
      <c r="BA114" s="205"/>
      <c r="BB114" s="205"/>
    </row>
    <row r="115" spans="2:54">
      <c r="B115" s="288">
        <v>10376</v>
      </c>
      <c r="C115" s="288" t="s">
        <v>118</v>
      </c>
      <c r="D115" s="297">
        <v>415</v>
      </c>
      <c r="E115" s="297">
        <v>1165</v>
      </c>
      <c r="F115" s="297">
        <v>-853</v>
      </c>
      <c r="G115" s="297">
        <v>2171</v>
      </c>
      <c r="H115" s="297">
        <v>1865</v>
      </c>
      <c r="I115" s="297">
        <v>4989</v>
      </c>
      <c r="J115" s="297">
        <v>7467</v>
      </c>
      <c r="K115" s="297">
        <v>6672</v>
      </c>
      <c r="L115" s="297">
        <v>7541</v>
      </c>
      <c r="M115" s="297">
        <v>5679</v>
      </c>
      <c r="N115" s="297">
        <v>3843</v>
      </c>
      <c r="O115" s="297">
        <v>4659</v>
      </c>
      <c r="P115" s="297">
        <v>1156</v>
      </c>
      <c r="Q115" s="297">
        <v>2049</v>
      </c>
      <c r="R115" s="297">
        <v>-13590</v>
      </c>
      <c r="S115" s="297">
        <v>-4711</v>
      </c>
      <c r="T115" s="297">
        <v>-6535</v>
      </c>
      <c r="U115" s="297">
        <v>-2054</v>
      </c>
      <c r="V115" s="297">
        <v>-3194</v>
      </c>
      <c r="W115" s="297">
        <v>617</v>
      </c>
      <c r="X115" s="297">
        <v>-6230</v>
      </c>
      <c r="Y115" s="297">
        <v>-226</v>
      </c>
      <c r="Z115" s="297">
        <v>-2572</v>
      </c>
      <c r="AA115" s="297">
        <v>279</v>
      </c>
      <c r="AB115" s="297">
        <v>417</v>
      </c>
      <c r="AC115" s="297">
        <v>1168</v>
      </c>
      <c r="AD115" s="297">
        <v>-1988</v>
      </c>
      <c r="AE115" s="297">
        <v>3310</v>
      </c>
      <c r="AF115" s="297">
        <v>3086</v>
      </c>
      <c r="AG115" s="297">
        <v>3786</v>
      </c>
      <c r="AH115" s="297">
        <v>6252</v>
      </c>
      <c r="AI115" s="297">
        <v>7923</v>
      </c>
      <c r="AJ115" s="297">
        <v>6503</v>
      </c>
      <c r="AK115" s="297">
        <v>5269</v>
      </c>
      <c r="AL115" s="297">
        <v>4930</v>
      </c>
      <c r="AM115" s="297">
        <v>3595</v>
      </c>
      <c r="AN115" s="297">
        <v>1159</v>
      </c>
      <c r="AO115" s="297">
        <v>2055</v>
      </c>
      <c r="AP115" s="297">
        <v>-13623</v>
      </c>
      <c r="AQ115" s="297">
        <v>-4722</v>
      </c>
      <c r="AR115" s="297">
        <v>-6551</v>
      </c>
      <c r="AS115" s="297">
        <v>-2058</v>
      </c>
      <c r="AT115" s="297">
        <v>-3202</v>
      </c>
      <c r="AU115" s="297">
        <v>619</v>
      </c>
      <c r="AV115" s="297">
        <v>-6245</v>
      </c>
      <c r="AW115" s="297">
        <v>-226</v>
      </c>
      <c r="AX115" s="297">
        <v>-2578</v>
      </c>
      <c r="AY115" s="297">
        <v>280</v>
      </c>
      <c r="BA115" s="205"/>
      <c r="BB115" s="205"/>
    </row>
    <row r="116" spans="2:54">
      <c r="B116" s="288">
        <v>10378</v>
      </c>
      <c r="C116" s="288" t="s">
        <v>119</v>
      </c>
      <c r="D116" s="297">
        <v>-188</v>
      </c>
      <c r="E116" s="297">
        <v>-71</v>
      </c>
      <c r="F116" s="297">
        <v>13</v>
      </c>
      <c r="G116" s="297">
        <v>147</v>
      </c>
      <c r="H116" s="297">
        <v>331</v>
      </c>
      <c r="I116" s="297">
        <v>342</v>
      </c>
      <c r="J116" s="297">
        <v>504</v>
      </c>
      <c r="K116" s="297">
        <v>460</v>
      </c>
      <c r="L116" s="297">
        <v>275</v>
      </c>
      <c r="M116" s="297">
        <v>271</v>
      </c>
      <c r="N116" s="297">
        <v>40</v>
      </c>
      <c r="O116" s="297">
        <v>107</v>
      </c>
      <c r="P116" s="297">
        <v>-106</v>
      </c>
      <c r="Q116" s="297">
        <v>1</v>
      </c>
      <c r="R116" s="297">
        <v>-568</v>
      </c>
      <c r="S116" s="297">
        <v>-283</v>
      </c>
      <c r="T116" s="297">
        <v>-255</v>
      </c>
      <c r="U116" s="297">
        <v>-99</v>
      </c>
      <c r="V116" s="297">
        <v>-87</v>
      </c>
      <c r="W116" s="297">
        <v>23</v>
      </c>
      <c r="X116" s="297">
        <v>-216</v>
      </c>
      <c r="Y116" s="297">
        <v>-53</v>
      </c>
      <c r="Z116" s="297">
        <v>-258</v>
      </c>
      <c r="AA116" s="297">
        <v>-111</v>
      </c>
      <c r="AB116" s="297">
        <v>-190</v>
      </c>
      <c r="AC116" s="297">
        <v>-71</v>
      </c>
      <c r="AD116" s="297">
        <v>13</v>
      </c>
      <c r="AE116" s="297">
        <v>148</v>
      </c>
      <c r="AF116" s="297">
        <v>333</v>
      </c>
      <c r="AG116" s="297">
        <v>344</v>
      </c>
      <c r="AH116" s="297">
        <v>507</v>
      </c>
      <c r="AI116" s="297">
        <v>463</v>
      </c>
      <c r="AJ116" s="297">
        <v>277</v>
      </c>
      <c r="AK116" s="297">
        <v>273</v>
      </c>
      <c r="AL116" s="297">
        <v>40</v>
      </c>
      <c r="AM116" s="297">
        <v>108</v>
      </c>
      <c r="AN116" s="297">
        <v>-107</v>
      </c>
      <c r="AO116" s="297">
        <v>1</v>
      </c>
      <c r="AP116" s="297">
        <v>-572</v>
      </c>
      <c r="AQ116" s="297">
        <v>-285</v>
      </c>
      <c r="AR116" s="297">
        <v>-257</v>
      </c>
      <c r="AS116" s="297">
        <v>-99</v>
      </c>
      <c r="AT116" s="297">
        <v>-88</v>
      </c>
      <c r="AU116" s="297">
        <v>23</v>
      </c>
      <c r="AV116" s="297">
        <v>-218</v>
      </c>
      <c r="AW116" s="297">
        <v>-54</v>
      </c>
      <c r="AX116" s="297">
        <v>-261</v>
      </c>
      <c r="AY116" s="297">
        <v>-112</v>
      </c>
      <c r="BA116" s="205"/>
      <c r="BB116" s="205"/>
    </row>
    <row r="117" spans="2:54">
      <c r="B117" s="288">
        <v>10379</v>
      </c>
      <c r="C117" s="288" t="s">
        <v>120</v>
      </c>
      <c r="D117" s="297">
        <v>-76</v>
      </c>
      <c r="E117" s="297">
        <v>80</v>
      </c>
      <c r="F117" s="297">
        <v>-29</v>
      </c>
      <c r="G117" s="297">
        <v>230</v>
      </c>
      <c r="H117" s="297">
        <v>376</v>
      </c>
      <c r="I117" s="297">
        <v>357</v>
      </c>
      <c r="J117" s="297">
        <v>738</v>
      </c>
      <c r="K117" s="297">
        <v>649</v>
      </c>
      <c r="L117" s="297">
        <v>811</v>
      </c>
      <c r="M117" s="297">
        <v>618</v>
      </c>
      <c r="N117" s="297">
        <v>265</v>
      </c>
      <c r="O117" s="297">
        <v>257</v>
      </c>
      <c r="P117" s="297">
        <v>42</v>
      </c>
      <c r="Q117" s="297">
        <v>179</v>
      </c>
      <c r="R117" s="297">
        <v>-1269</v>
      </c>
      <c r="S117" s="297">
        <v>-525</v>
      </c>
      <c r="T117" s="297">
        <v>-828</v>
      </c>
      <c r="U117" s="297">
        <v>-312</v>
      </c>
      <c r="V117" s="297">
        <v>-528</v>
      </c>
      <c r="W117" s="297">
        <v>-34</v>
      </c>
      <c r="X117" s="297">
        <v>-729</v>
      </c>
      <c r="Y117" s="297">
        <v>-155</v>
      </c>
      <c r="Z117" s="297">
        <v>-501</v>
      </c>
      <c r="AA117" s="297">
        <v>-157</v>
      </c>
      <c r="AB117" s="297">
        <v>-76</v>
      </c>
      <c r="AC117" s="297">
        <v>80</v>
      </c>
      <c r="AD117" s="297">
        <v>-32</v>
      </c>
      <c r="AE117" s="297">
        <v>229</v>
      </c>
      <c r="AF117" s="297">
        <v>373</v>
      </c>
      <c r="AG117" s="297">
        <v>356</v>
      </c>
      <c r="AH117" s="297">
        <v>737</v>
      </c>
      <c r="AI117" s="297">
        <v>650</v>
      </c>
      <c r="AJ117" s="297">
        <v>736</v>
      </c>
      <c r="AK117" s="297">
        <v>571</v>
      </c>
      <c r="AL117" s="297">
        <v>265</v>
      </c>
      <c r="AM117" s="297">
        <v>257</v>
      </c>
      <c r="AN117" s="297">
        <v>42</v>
      </c>
      <c r="AO117" s="297">
        <v>180</v>
      </c>
      <c r="AP117" s="297">
        <v>-1275</v>
      </c>
      <c r="AQ117" s="297">
        <v>-527</v>
      </c>
      <c r="AR117" s="297">
        <v>-831</v>
      </c>
      <c r="AS117" s="297">
        <v>-313</v>
      </c>
      <c r="AT117" s="297">
        <v>-529</v>
      </c>
      <c r="AU117" s="297">
        <v>-33</v>
      </c>
      <c r="AV117" s="297">
        <v>-731</v>
      </c>
      <c r="AW117" s="297">
        <v>-154</v>
      </c>
      <c r="AX117" s="297">
        <v>-501</v>
      </c>
      <c r="AY117" s="297">
        <v>-157</v>
      </c>
      <c r="BA117" s="205"/>
      <c r="BB117" s="205"/>
    </row>
    <row r="118" spans="2:54">
      <c r="B118" s="288">
        <v>10388</v>
      </c>
      <c r="C118" s="288" t="s">
        <v>121</v>
      </c>
      <c r="D118" s="297">
        <v>0</v>
      </c>
      <c r="E118" s="297">
        <v>0</v>
      </c>
      <c r="F118" s="297">
        <v>0</v>
      </c>
      <c r="G118" s="297">
        <v>0</v>
      </c>
      <c r="H118" s="297">
        <v>0</v>
      </c>
      <c r="I118" s="297">
        <v>0</v>
      </c>
      <c r="J118" s="297">
        <v>0</v>
      </c>
      <c r="K118" s="297">
        <v>0</v>
      </c>
      <c r="L118" s="297">
        <v>0</v>
      </c>
      <c r="M118" s="297">
        <v>0</v>
      </c>
      <c r="N118" s="297">
        <v>0</v>
      </c>
      <c r="O118" s="297">
        <v>0</v>
      </c>
      <c r="P118" s="297">
        <v>0</v>
      </c>
      <c r="Q118" s="297">
        <v>0</v>
      </c>
      <c r="R118" s="297">
        <v>0</v>
      </c>
      <c r="S118" s="297">
        <v>0</v>
      </c>
      <c r="T118" s="297">
        <v>0</v>
      </c>
      <c r="U118" s="297">
        <v>0</v>
      </c>
      <c r="V118" s="297">
        <v>0</v>
      </c>
      <c r="W118" s="297">
        <v>0</v>
      </c>
      <c r="X118" s="297">
        <v>0</v>
      </c>
      <c r="Y118" s="297">
        <v>0</v>
      </c>
      <c r="Z118" s="297">
        <v>0</v>
      </c>
      <c r="AA118" s="297">
        <v>0</v>
      </c>
      <c r="AB118" s="297">
        <v>0</v>
      </c>
      <c r="AC118" s="297">
        <v>0</v>
      </c>
      <c r="AD118" s="297">
        <v>0</v>
      </c>
      <c r="AE118" s="297">
        <v>0</v>
      </c>
      <c r="AF118" s="297">
        <v>0</v>
      </c>
      <c r="AG118" s="297">
        <v>0</v>
      </c>
      <c r="AH118" s="297">
        <v>0</v>
      </c>
      <c r="AI118" s="297">
        <v>0</v>
      </c>
      <c r="AJ118" s="297">
        <v>0</v>
      </c>
      <c r="AK118" s="297">
        <v>0</v>
      </c>
      <c r="AL118" s="297">
        <v>0</v>
      </c>
      <c r="AM118" s="297">
        <v>0</v>
      </c>
      <c r="AN118" s="297">
        <v>0</v>
      </c>
      <c r="AO118" s="297">
        <v>0</v>
      </c>
      <c r="AP118" s="297">
        <v>0</v>
      </c>
      <c r="AQ118" s="297">
        <v>0</v>
      </c>
      <c r="AR118" s="297">
        <v>0</v>
      </c>
      <c r="AS118" s="297">
        <v>0</v>
      </c>
      <c r="AT118" s="297">
        <v>0</v>
      </c>
      <c r="AU118" s="297">
        <v>0</v>
      </c>
      <c r="AV118" s="297">
        <v>0</v>
      </c>
      <c r="AW118" s="297">
        <v>0</v>
      </c>
      <c r="AX118" s="297">
        <v>0</v>
      </c>
      <c r="AY118" s="297">
        <v>0</v>
      </c>
      <c r="BA118" s="205"/>
      <c r="BB118" s="205"/>
    </row>
    <row r="119" spans="2:54">
      <c r="B119" s="288">
        <v>10391</v>
      </c>
      <c r="C119" s="288" t="s">
        <v>122</v>
      </c>
      <c r="D119" s="297">
        <v>-2558</v>
      </c>
      <c r="E119" s="297">
        <v>-597</v>
      </c>
      <c r="F119" s="297">
        <v>-5173</v>
      </c>
      <c r="G119" s="297">
        <v>-1537</v>
      </c>
      <c r="H119" s="297">
        <v>-2158</v>
      </c>
      <c r="I119" s="297">
        <v>183</v>
      </c>
      <c r="J119" s="297">
        <v>268</v>
      </c>
      <c r="K119" s="297">
        <v>1722</v>
      </c>
      <c r="L119" s="297">
        <v>728</v>
      </c>
      <c r="M119" s="297">
        <v>1661</v>
      </c>
      <c r="N119" s="297">
        <v>-2295</v>
      </c>
      <c r="O119" s="297">
        <v>-412</v>
      </c>
      <c r="P119" s="297">
        <v>-2068</v>
      </c>
      <c r="Q119" s="297">
        <v>-487</v>
      </c>
      <c r="R119" s="297">
        <v>-4354</v>
      </c>
      <c r="S119" s="297">
        <v>-753</v>
      </c>
      <c r="T119" s="297">
        <v>4381</v>
      </c>
      <c r="U119" s="297">
        <v>4438</v>
      </c>
      <c r="V119" s="297">
        <v>5045</v>
      </c>
      <c r="W119" s="297">
        <v>5841</v>
      </c>
      <c r="X119" s="297">
        <v>1945</v>
      </c>
      <c r="Y119" s="297">
        <v>3035</v>
      </c>
      <c r="Z119" s="297">
        <v>-556</v>
      </c>
      <c r="AA119" s="297">
        <v>907</v>
      </c>
      <c r="AB119" s="297">
        <v>-2627</v>
      </c>
      <c r="AC119" s="297">
        <v>-511</v>
      </c>
      <c r="AD119" s="297">
        <v>-5150</v>
      </c>
      <c r="AE119" s="297">
        <v>-1531</v>
      </c>
      <c r="AF119" s="297">
        <v>-2135</v>
      </c>
      <c r="AG119" s="297">
        <v>178</v>
      </c>
      <c r="AH119" s="297">
        <v>282</v>
      </c>
      <c r="AI119" s="297">
        <v>1724</v>
      </c>
      <c r="AJ119" s="297">
        <v>526</v>
      </c>
      <c r="AK119" s="297">
        <v>1510</v>
      </c>
      <c r="AL119" s="297">
        <v>-2183</v>
      </c>
      <c r="AM119" s="297">
        <v>-507</v>
      </c>
      <c r="AN119" s="297">
        <v>-2131</v>
      </c>
      <c r="AO119" s="297">
        <v>-396</v>
      </c>
      <c r="AP119" s="297">
        <v>-4334</v>
      </c>
      <c r="AQ119" s="297">
        <v>-755</v>
      </c>
      <c r="AR119" s="297">
        <v>4504</v>
      </c>
      <c r="AS119" s="297">
        <v>4343</v>
      </c>
      <c r="AT119" s="297">
        <v>4974</v>
      </c>
      <c r="AU119" s="297">
        <v>5930</v>
      </c>
      <c r="AV119" s="297">
        <v>1967</v>
      </c>
      <c r="AW119" s="297">
        <v>3030</v>
      </c>
      <c r="AX119" s="297">
        <v>-521</v>
      </c>
      <c r="AY119" s="297">
        <v>899</v>
      </c>
      <c r="BA119" s="205"/>
      <c r="BB119" s="205"/>
    </row>
    <row r="120" spans="2:54">
      <c r="B120" s="288">
        <v>10406</v>
      </c>
      <c r="C120" s="288" t="s">
        <v>123</v>
      </c>
      <c r="D120" s="297">
        <v>36</v>
      </c>
      <c r="E120" s="297">
        <v>51</v>
      </c>
      <c r="F120" s="297">
        <v>75</v>
      </c>
      <c r="G120" s="297">
        <v>110</v>
      </c>
      <c r="H120" s="297">
        <v>137</v>
      </c>
      <c r="I120" s="297">
        <v>170</v>
      </c>
      <c r="J120" s="297">
        <v>177</v>
      </c>
      <c r="K120" s="297">
        <v>171</v>
      </c>
      <c r="L120" s="297">
        <v>188</v>
      </c>
      <c r="M120" s="297">
        <v>167</v>
      </c>
      <c r="N120" s="297">
        <v>105</v>
      </c>
      <c r="O120" s="297">
        <v>125</v>
      </c>
      <c r="P120" s="297">
        <v>85</v>
      </c>
      <c r="Q120" s="297">
        <v>96</v>
      </c>
      <c r="R120" s="297">
        <v>-65</v>
      </c>
      <c r="S120" s="297">
        <v>17</v>
      </c>
      <c r="T120" s="297">
        <v>-25</v>
      </c>
      <c r="U120" s="297">
        <v>15</v>
      </c>
      <c r="V120" s="297">
        <v>-5</v>
      </c>
      <c r="W120" s="297">
        <v>28</v>
      </c>
      <c r="X120" s="297">
        <v>-30</v>
      </c>
      <c r="Y120" s="297">
        <v>22</v>
      </c>
      <c r="Z120" s="297">
        <v>-3</v>
      </c>
      <c r="AA120" s="297">
        <v>27</v>
      </c>
      <c r="AB120" s="297">
        <v>36</v>
      </c>
      <c r="AC120" s="297">
        <v>51</v>
      </c>
      <c r="AD120" s="297">
        <v>62</v>
      </c>
      <c r="AE120" s="297">
        <v>123</v>
      </c>
      <c r="AF120" s="297">
        <v>152</v>
      </c>
      <c r="AG120" s="297">
        <v>155</v>
      </c>
      <c r="AH120" s="297">
        <v>163</v>
      </c>
      <c r="AI120" s="297">
        <v>185</v>
      </c>
      <c r="AJ120" s="297">
        <v>175</v>
      </c>
      <c r="AK120" s="297">
        <v>161</v>
      </c>
      <c r="AL120" s="297">
        <v>116</v>
      </c>
      <c r="AM120" s="297">
        <v>113</v>
      </c>
      <c r="AN120" s="297">
        <v>85</v>
      </c>
      <c r="AO120" s="297">
        <v>96</v>
      </c>
      <c r="AP120" s="297">
        <v>-65</v>
      </c>
      <c r="AQ120" s="297">
        <v>17</v>
      </c>
      <c r="AR120" s="297">
        <v>-25</v>
      </c>
      <c r="AS120" s="297">
        <v>15</v>
      </c>
      <c r="AT120" s="297">
        <v>-5</v>
      </c>
      <c r="AU120" s="297">
        <v>28</v>
      </c>
      <c r="AV120" s="297">
        <v>-30</v>
      </c>
      <c r="AW120" s="297">
        <v>22</v>
      </c>
      <c r="AX120" s="297">
        <v>-3</v>
      </c>
      <c r="AY120" s="297">
        <v>27</v>
      </c>
      <c r="BA120" s="205"/>
      <c r="BB120" s="205"/>
    </row>
    <row r="121" spans="2:54">
      <c r="B121" s="288">
        <v>10408</v>
      </c>
      <c r="C121" s="288" t="s">
        <v>124</v>
      </c>
      <c r="D121" s="297">
        <v>81</v>
      </c>
      <c r="E121" s="297">
        <v>212</v>
      </c>
      <c r="F121" s="297">
        <v>-77</v>
      </c>
      <c r="G121" s="297">
        <v>134</v>
      </c>
      <c r="H121" s="297">
        <v>-4</v>
      </c>
      <c r="I121" s="297">
        <v>174</v>
      </c>
      <c r="J121" s="297">
        <v>121</v>
      </c>
      <c r="K121" s="297">
        <v>246</v>
      </c>
      <c r="L121" s="297">
        <v>188</v>
      </c>
      <c r="M121" s="297">
        <v>254</v>
      </c>
      <c r="N121" s="297">
        <v>90</v>
      </c>
      <c r="O121" s="297">
        <v>200</v>
      </c>
      <c r="P121" s="297">
        <v>78</v>
      </c>
      <c r="Q121" s="297">
        <v>209</v>
      </c>
      <c r="R121" s="297">
        <v>-254</v>
      </c>
      <c r="S121" s="297">
        <v>40</v>
      </c>
      <c r="T121" s="297">
        <v>-113</v>
      </c>
      <c r="U121" s="297">
        <v>99</v>
      </c>
      <c r="V121" s="297">
        <v>-20</v>
      </c>
      <c r="W121" s="297">
        <v>218</v>
      </c>
      <c r="X121" s="297">
        <v>-255</v>
      </c>
      <c r="Y121" s="297">
        <v>3</v>
      </c>
      <c r="Z121" s="297">
        <v>-165</v>
      </c>
      <c r="AA121" s="297">
        <v>48</v>
      </c>
      <c r="AB121" s="297">
        <v>81</v>
      </c>
      <c r="AC121" s="297">
        <v>212</v>
      </c>
      <c r="AD121" s="297">
        <v>-77</v>
      </c>
      <c r="AE121" s="297">
        <v>134</v>
      </c>
      <c r="AF121" s="297">
        <v>-4</v>
      </c>
      <c r="AG121" s="297">
        <v>174</v>
      </c>
      <c r="AH121" s="297">
        <v>121</v>
      </c>
      <c r="AI121" s="297">
        <v>246</v>
      </c>
      <c r="AJ121" s="297">
        <v>166</v>
      </c>
      <c r="AK121" s="297">
        <v>236</v>
      </c>
      <c r="AL121" s="297">
        <v>90</v>
      </c>
      <c r="AM121" s="297">
        <v>200</v>
      </c>
      <c r="AN121" s="297">
        <v>78</v>
      </c>
      <c r="AO121" s="297">
        <v>209</v>
      </c>
      <c r="AP121" s="297">
        <v>-254</v>
      </c>
      <c r="AQ121" s="297">
        <v>40</v>
      </c>
      <c r="AR121" s="297">
        <v>-113</v>
      </c>
      <c r="AS121" s="297">
        <v>99</v>
      </c>
      <c r="AT121" s="297">
        <v>-20</v>
      </c>
      <c r="AU121" s="297">
        <v>218</v>
      </c>
      <c r="AV121" s="297">
        <v>-255</v>
      </c>
      <c r="AW121" s="297">
        <v>3</v>
      </c>
      <c r="AX121" s="297">
        <v>-165</v>
      </c>
      <c r="AY121" s="297">
        <v>48</v>
      </c>
      <c r="BA121" s="205"/>
      <c r="BB121" s="205"/>
    </row>
    <row r="122" spans="2:54">
      <c r="B122" s="288">
        <v>10409</v>
      </c>
      <c r="C122" s="288" t="s">
        <v>125</v>
      </c>
      <c r="D122" s="297">
        <v>-260</v>
      </c>
      <c r="E122" s="297">
        <v>903</v>
      </c>
      <c r="F122" s="297">
        <v>-1289</v>
      </c>
      <c r="G122" s="297">
        <v>682</v>
      </c>
      <c r="H122" s="297">
        <v>192</v>
      </c>
      <c r="I122" s="297">
        <v>2149</v>
      </c>
      <c r="J122" s="297">
        <v>1369</v>
      </c>
      <c r="K122" s="297">
        <v>1969</v>
      </c>
      <c r="L122" s="297">
        <v>1879</v>
      </c>
      <c r="M122" s="297">
        <v>2063</v>
      </c>
      <c r="N122" s="297">
        <v>26</v>
      </c>
      <c r="O122" s="297">
        <v>1315</v>
      </c>
      <c r="P122" s="297">
        <v>-187</v>
      </c>
      <c r="Q122" s="297">
        <v>927</v>
      </c>
      <c r="R122" s="297">
        <v>-4559</v>
      </c>
      <c r="S122" s="297">
        <v>-880</v>
      </c>
      <c r="T122" s="297">
        <v>-2221</v>
      </c>
      <c r="U122" s="297">
        <v>-115</v>
      </c>
      <c r="V122" s="297">
        <v>-1151</v>
      </c>
      <c r="W122" s="297">
        <v>758</v>
      </c>
      <c r="X122" s="297">
        <v>-2122</v>
      </c>
      <c r="Y122" s="297">
        <v>580</v>
      </c>
      <c r="Z122" s="297">
        <v>-1011</v>
      </c>
      <c r="AA122" s="297">
        <v>597</v>
      </c>
      <c r="AB122" s="297">
        <v>-272</v>
      </c>
      <c r="AC122" s="297">
        <v>896</v>
      </c>
      <c r="AD122" s="297">
        <v>-1647</v>
      </c>
      <c r="AE122" s="297">
        <v>1017</v>
      </c>
      <c r="AF122" s="297">
        <v>570</v>
      </c>
      <c r="AG122" s="297">
        <v>1749</v>
      </c>
      <c r="AH122" s="297">
        <v>1532</v>
      </c>
      <c r="AI122" s="297">
        <v>2717</v>
      </c>
      <c r="AJ122" s="297">
        <v>2044</v>
      </c>
      <c r="AK122" s="297">
        <v>2259</v>
      </c>
      <c r="AL122" s="297">
        <v>879</v>
      </c>
      <c r="AM122" s="297">
        <v>1372</v>
      </c>
      <c r="AN122" s="297">
        <v>1244</v>
      </c>
      <c r="AO122" s="297">
        <v>1999</v>
      </c>
      <c r="AP122" s="297">
        <v>-2077</v>
      </c>
      <c r="AQ122" s="297">
        <v>952</v>
      </c>
      <c r="AR122" s="297">
        <v>263</v>
      </c>
      <c r="AS122" s="297">
        <v>1581</v>
      </c>
      <c r="AT122" s="297">
        <v>1263</v>
      </c>
      <c r="AU122" s="297">
        <v>2667</v>
      </c>
      <c r="AV122" s="297">
        <v>499</v>
      </c>
      <c r="AW122" s="297">
        <v>2280</v>
      </c>
      <c r="AX122" s="297">
        <v>1322</v>
      </c>
      <c r="AY122" s="297">
        <v>2447</v>
      </c>
      <c r="BA122" s="205"/>
      <c r="BB122" s="205"/>
    </row>
    <row r="123" spans="2:54">
      <c r="B123" s="288">
        <v>10426</v>
      </c>
      <c r="C123" s="288" t="s">
        <v>126</v>
      </c>
      <c r="D123" s="297">
        <v>3338</v>
      </c>
      <c r="E123" s="297">
        <v>4087</v>
      </c>
      <c r="F123" s="297">
        <v>3263</v>
      </c>
      <c r="G123" s="297">
        <v>5317</v>
      </c>
      <c r="H123" s="297">
        <v>6353</v>
      </c>
      <c r="I123" s="297">
        <v>7227</v>
      </c>
      <c r="J123" s="297">
        <v>7252</v>
      </c>
      <c r="K123" s="297">
        <v>7908</v>
      </c>
      <c r="L123" s="297">
        <v>7336</v>
      </c>
      <c r="M123" s="297">
        <v>7291</v>
      </c>
      <c r="N123" s="297">
        <v>4480</v>
      </c>
      <c r="O123" s="297">
        <v>5358</v>
      </c>
      <c r="P123" s="297">
        <v>3836</v>
      </c>
      <c r="Q123" s="297">
        <v>4659</v>
      </c>
      <c r="R123" s="297">
        <v>-216</v>
      </c>
      <c r="S123" s="297">
        <v>2449</v>
      </c>
      <c r="T123" s="297">
        <v>2483</v>
      </c>
      <c r="U123" s="297">
        <v>3285</v>
      </c>
      <c r="V123" s="297">
        <v>4228</v>
      </c>
      <c r="W123" s="297">
        <v>4498</v>
      </c>
      <c r="X123" s="297">
        <v>3330</v>
      </c>
      <c r="Y123" s="297">
        <v>3762</v>
      </c>
      <c r="Z123" s="297">
        <v>3217</v>
      </c>
      <c r="AA123" s="297">
        <v>3949</v>
      </c>
      <c r="AB123" s="297">
        <v>-140</v>
      </c>
      <c r="AC123" s="297">
        <v>2643</v>
      </c>
      <c r="AD123" s="297">
        <v>-1441</v>
      </c>
      <c r="AE123" s="297">
        <v>3078</v>
      </c>
      <c r="AF123" s="297">
        <v>1838</v>
      </c>
      <c r="AG123" s="297">
        <v>4926</v>
      </c>
      <c r="AH123" s="297">
        <v>3705</v>
      </c>
      <c r="AI123" s="297">
        <v>6160</v>
      </c>
      <c r="AJ123" s="297">
        <v>4351</v>
      </c>
      <c r="AK123" s="297">
        <v>5905</v>
      </c>
      <c r="AL123" s="297">
        <v>1012</v>
      </c>
      <c r="AM123" s="297">
        <v>3793</v>
      </c>
      <c r="AN123" s="297">
        <v>527</v>
      </c>
      <c r="AO123" s="297">
        <v>3273</v>
      </c>
      <c r="AP123" s="297">
        <v>-5993</v>
      </c>
      <c r="AQ123" s="297">
        <v>-363</v>
      </c>
      <c r="AR123" s="297">
        <v>-1688</v>
      </c>
      <c r="AS123" s="297">
        <v>1448</v>
      </c>
      <c r="AT123" s="297">
        <v>811</v>
      </c>
      <c r="AU123" s="297">
        <v>3083</v>
      </c>
      <c r="AV123" s="297">
        <v>-764</v>
      </c>
      <c r="AW123" s="297">
        <v>2112</v>
      </c>
      <c r="AX123" s="297">
        <v>-147</v>
      </c>
      <c r="AY123" s="297">
        <v>2452</v>
      </c>
      <c r="BA123" s="205"/>
      <c r="BB123" s="205"/>
    </row>
    <row r="124" spans="2:54">
      <c r="B124" s="288">
        <v>10434</v>
      </c>
      <c r="C124" s="288" t="s">
        <v>127</v>
      </c>
      <c r="D124" s="297">
        <v>-1466</v>
      </c>
      <c r="E124" s="297">
        <v>-647</v>
      </c>
      <c r="F124" s="297">
        <v>-1927</v>
      </c>
      <c r="G124" s="297">
        <v>-113</v>
      </c>
      <c r="H124" s="297">
        <v>1142</v>
      </c>
      <c r="I124" s="297">
        <v>1413</v>
      </c>
      <c r="J124" s="297">
        <v>3138</v>
      </c>
      <c r="K124" s="297">
        <v>2630</v>
      </c>
      <c r="L124" s="297">
        <v>2061</v>
      </c>
      <c r="M124" s="297">
        <v>1717</v>
      </c>
      <c r="N124" s="297">
        <v>-67</v>
      </c>
      <c r="O124" s="297">
        <v>336</v>
      </c>
      <c r="P124" s="297">
        <v>-931</v>
      </c>
      <c r="Q124" s="297">
        <v>-209</v>
      </c>
      <c r="R124" s="297">
        <v>-6628</v>
      </c>
      <c r="S124" s="297">
        <v>-3248</v>
      </c>
      <c r="T124" s="297">
        <v>-1456</v>
      </c>
      <c r="U124" s="297">
        <v>-355</v>
      </c>
      <c r="V124" s="297">
        <v>720</v>
      </c>
      <c r="W124" s="297">
        <v>901</v>
      </c>
      <c r="X124" s="297">
        <v>-343</v>
      </c>
      <c r="Y124" s="297">
        <v>318</v>
      </c>
      <c r="Z124" s="297">
        <v>-1850</v>
      </c>
      <c r="AA124" s="297">
        <v>-512</v>
      </c>
      <c r="AB124" s="297">
        <v>-1559</v>
      </c>
      <c r="AC124" s="297">
        <v>-661</v>
      </c>
      <c r="AD124" s="297">
        <v>-1967</v>
      </c>
      <c r="AE124" s="297">
        <v>-153</v>
      </c>
      <c r="AF124" s="297">
        <v>1116</v>
      </c>
      <c r="AG124" s="297">
        <v>1376</v>
      </c>
      <c r="AH124" s="297">
        <v>3107</v>
      </c>
      <c r="AI124" s="297">
        <v>2597</v>
      </c>
      <c r="AJ124" s="297">
        <v>2024</v>
      </c>
      <c r="AK124" s="297">
        <v>1682</v>
      </c>
      <c r="AL124" s="297">
        <v>-78</v>
      </c>
      <c r="AM124" s="297">
        <v>252</v>
      </c>
      <c r="AN124" s="297">
        <v>-1020</v>
      </c>
      <c r="AO124" s="297">
        <v>-219</v>
      </c>
      <c r="AP124" s="297">
        <v>-6684</v>
      </c>
      <c r="AQ124" s="297">
        <v>-3300</v>
      </c>
      <c r="AR124" s="297">
        <v>-1460</v>
      </c>
      <c r="AS124" s="297">
        <v>-438</v>
      </c>
      <c r="AT124" s="297">
        <v>642</v>
      </c>
      <c r="AU124" s="297">
        <v>891</v>
      </c>
      <c r="AV124" s="297">
        <v>-387</v>
      </c>
      <c r="AW124" s="297">
        <v>274</v>
      </c>
      <c r="AX124" s="297">
        <v>-1899</v>
      </c>
      <c r="AY124" s="297">
        <v>-567</v>
      </c>
      <c r="BA124" s="205"/>
      <c r="BB124" s="205"/>
    </row>
    <row r="125" spans="2:54">
      <c r="B125" s="288">
        <v>10436</v>
      </c>
      <c r="C125" s="288" t="s">
        <v>128</v>
      </c>
      <c r="D125" s="297">
        <v>-2793</v>
      </c>
      <c r="E125" s="297">
        <v>-904</v>
      </c>
      <c r="F125" s="297">
        <v>-3541</v>
      </c>
      <c r="G125" s="297">
        <v>-862</v>
      </c>
      <c r="H125" s="297">
        <v>-1513</v>
      </c>
      <c r="I125" s="297">
        <v>316</v>
      </c>
      <c r="J125" s="297">
        <v>-292</v>
      </c>
      <c r="K125" s="297">
        <v>1107</v>
      </c>
      <c r="L125" s="297">
        <v>-89</v>
      </c>
      <c r="M125" s="297">
        <v>1002</v>
      </c>
      <c r="N125" s="297">
        <v>-1959</v>
      </c>
      <c r="O125" s="297">
        <v>-238</v>
      </c>
      <c r="P125" s="297">
        <v>-2245</v>
      </c>
      <c r="Q125" s="297">
        <v>-480</v>
      </c>
      <c r="R125" s="297">
        <v>-3247</v>
      </c>
      <c r="S125" s="297">
        <v>-327</v>
      </c>
      <c r="T125" s="297">
        <v>2534</v>
      </c>
      <c r="U125" s="297">
        <v>3351</v>
      </c>
      <c r="V125" s="297">
        <v>5222</v>
      </c>
      <c r="W125" s="297">
        <v>5702</v>
      </c>
      <c r="X125" s="297">
        <v>1844</v>
      </c>
      <c r="Y125" s="297">
        <v>2929</v>
      </c>
      <c r="Z125" s="297">
        <v>-478</v>
      </c>
      <c r="AA125" s="297">
        <v>1162</v>
      </c>
      <c r="AB125" s="297">
        <v>-2847</v>
      </c>
      <c r="AC125" s="297">
        <v>-911</v>
      </c>
      <c r="AD125" s="297">
        <v>-3559</v>
      </c>
      <c r="AE125" s="297">
        <v>-878</v>
      </c>
      <c r="AF125" s="297">
        <v>-1515</v>
      </c>
      <c r="AG125" s="297">
        <v>307</v>
      </c>
      <c r="AH125" s="297">
        <v>-299</v>
      </c>
      <c r="AI125" s="297">
        <v>1101</v>
      </c>
      <c r="AJ125" s="297">
        <v>-100</v>
      </c>
      <c r="AK125" s="297">
        <v>992</v>
      </c>
      <c r="AL125" s="297">
        <v>-1961</v>
      </c>
      <c r="AM125" s="297">
        <v>-280</v>
      </c>
      <c r="AN125" s="297">
        <v>-2293</v>
      </c>
      <c r="AO125" s="297">
        <v>-481</v>
      </c>
      <c r="AP125" s="297">
        <v>-3253</v>
      </c>
      <c r="AQ125" s="297">
        <v>-334</v>
      </c>
      <c r="AR125" s="297">
        <v>2585</v>
      </c>
      <c r="AS125" s="297">
        <v>3344</v>
      </c>
      <c r="AT125" s="297">
        <v>5242</v>
      </c>
      <c r="AU125" s="297">
        <v>5751</v>
      </c>
      <c r="AV125" s="297">
        <v>1862</v>
      </c>
      <c r="AW125" s="297">
        <v>2938</v>
      </c>
      <c r="AX125" s="297">
        <v>-483</v>
      </c>
      <c r="AY125" s="297">
        <v>1150</v>
      </c>
      <c r="BA125" s="205"/>
      <c r="BB125" s="205"/>
    </row>
    <row r="126" spans="2:54">
      <c r="B126" s="288">
        <v>10440</v>
      </c>
      <c r="C126" s="288" t="s">
        <v>129</v>
      </c>
      <c r="D126" s="297">
        <v>-114</v>
      </c>
      <c r="E126" s="297">
        <v>5</v>
      </c>
      <c r="F126" s="297">
        <v>97</v>
      </c>
      <c r="G126" s="297">
        <v>319</v>
      </c>
      <c r="H126" s="297">
        <v>539</v>
      </c>
      <c r="I126" s="297">
        <v>717</v>
      </c>
      <c r="J126" s="297">
        <v>903</v>
      </c>
      <c r="K126" s="297">
        <v>744</v>
      </c>
      <c r="L126" s="297">
        <v>903</v>
      </c>
      <c r="M126" s="297">
        <v>672</v>
      </c>
      <c r="N126" s="297">
        <v>314</v>
      </c>
      <c r="O126" s="297">
        <v>426</v>
      </c>
      <c r="P126" s="297">
        <v>100</v>
      </c>
      <c r="Q126" s="297">
        <v>197</v>
      </c>
      <c r="R126" s="297">
        <v>-1362</v>
      </c>
      <c r="S126" s="297">
        <v>-528</v>
      </c>
      <c r="T126" s="297">
        <v>-823</v>
      </c>
      <c r="U126" s="297">
        <v>-346</v>
      </c>
      <c r="V126" s="297">
        <v>-603</v>
      </c>
      <c r="W126" s="297">
        <v>-183</v>
      </c>
      <c r="X126" s="297">
        <v>-881</v>
      </c>
      <c r="Y126" s="297">
        <v>-261</v>
      </c>
      <c r="Z126" s="297">
        <v>-442</v>
      </c>
      <c r="AA126" s="297">
        <v>-146</v>
      </c>
      <c r="AB126" s="297">
        <v>-114</v>
      </c>
      <c r="AC126" s="297">
        <v>5</v>
      </c>
      <c r="AD126" s="297">
        <v>-18</v>
      </c>
      <c r="AE126" s="297">
        <v>434</v>
      </c>
      <c r="AF126" s="297">
        <v>670</v>
      </c>
      <c r="AG126" s="297">
        <v>586</v>
      </c>
      <c r="AH126" s="297">
        <v>777</v>
      </c>
      <c r="AI126" s="297">
        <v>870</v>
      </c>
      <c r="AJ126" s="297">
        <v>795</v>
      </c>
      <c r="AK126" s="297">
        <v>628</v>
      </c>
      <c r="AL126" s="297">
        <v>415</v>
      </c>
      <c r="AM126" s="297">
        <v>325</v>
      </c>
      <c r="AN126" s="297">
        <v>100</v>
      </c>
      <c r="AO126" s="297">
        <v>197</v>
      </c>
      <c r="AP126" s="297">
        <v>-1362</v>
      </c>
      <c r="AQ126" s="297">
        <v>-528</v>
      </c>
      <c r="AR126" s="297">
        <v>-823</v>
      </c>
      <c r="AS126" s="297">
        <v>-346</v>
      </c>
      <c r="AT126" s="297">
        <v>-603</v>
      </c>
      <c r="AU126" s="297">
        <v>-183</v>
      </c>
      <c r="AV126" s="297">
        <v>-881</v>
      </c>
      <c r="AW126" s="297">
        <v>-261</v>
      </c>
      <c r="AX126" s="297">
        <v>-442</v>
      </c>
      <c r="AY126" s="297">
        <v>-146</v>
      </c>
      <c r="BA126" s="205"/>
      <c r="BB126" s="205"/>
    </row>
    <row r="127" spans="2:54">
      <c r="B127" s="288">
        <v>10442</v>
      </c>
      <c r="C127" s="288" t="s">
        <v>130</v>
      </c>
      <c r="D127" s="297">
        <v>-1312</v>
      </c>
      <c r="E127" s="297">
        <v>-227</v>
      </c>
      <c r="F127" s="297">
        <v>-1590</v>
      </c>
      <c r="G127" s="297">
        <v>-90</v>
      </c>
      <c r="H127" s="297">
        <v>278</v>
      </c>
      <c r="I127" s="297">
        <v>1501</v>
      </c>
      <c r="J127" s="297">
        <v>947</v>
      </c>
      <c r="K127" s="297">
        <v>1404</v>
      </c>
      <c r="L127" s="297">
        <v>675</v>
      </c>
      <c r="M127" s="297">
        <v>1049</v>
      </c>
      <c r="N127" s="297">
        <v>-1230</v>
      </c>
      <c r="O127" s="297">
        <v>23</v>
      </c>
      <c r="P127" s="297">
        <v>-1058</v>
      </c>
      <c r="Q127" s="297">
        <v>-105</v>
      </c>
      <c r="R127" s="297">
        <v>-3310</v>
      </c>
      <c r="S127" s="297">
        <v>-899</v>
      </c>
      <c r="T127" s="297">
        <v>-1124</v>
      </c>
      <c r="U127" s="297">
        <v>-78</v>
      </c>
      <c r="V127" s="297">
        <v>780</v>
      </c>
      <c r="W127" s="297">
        <v>1155</v>
      </c>
      <c r="X127" s="297">
        <v>-486</v>
      </c>
      <c r="Y127" s="297">
        <v>685</v>
      </c>
      <c r="Z127" s="297">
        <v>-961</v>
      </c>
      <c r="AA127" s="297">
        <v>89</v>
      </c>
      <c r="AB127" s="297">
        <v>-1331</v>
      </c>
      <c r="AC127" s="297">
        <v>-237</v>
      </c>
      <c r="AD127" s="297">
        <v>-1834</v>
      </c>
      <c r="AE127" s="297">
        <v>110</v>
      </c>
      <c r="AF127" s="297">
        <v>542</v>
      </c>
      <c r="AG127" s="297">
        <v>1201</v>
      </c>
      <c r="AH127" s="297">
        <v>665</v>
      </c>
      <c r="AI127" s="297">
        <v>1656</v>
      </c>
      <c r="AJ127" s="297">
        <v>753</v>
      </c>
      <c r="AK127" s="297">
        <v>1159</v>
      </c>
      <c r="AL127" s="297">
        <v>-1072</v>
      </c>
      <c r="AM127" s="297">
        <v>-165</v>
      </c>
      <c r="AN127" s="297">
        <v>-1077</v>
      </c>
      <c r="AO127" s="297">
        <v>-115</v>
      </c>
      <c r="AP127" s="297">
        <v>-3337</v>
      </c>
      <c r="AQ127" s="297">
        <v>-914</v>
      </c>
      <c r="AR127" s="297">
        <v>-1146</v>
      </c>
      <c r="AS127" s="297">
        <v>-89</v>
      </c>
      <c r="AT127" s="297">
        <v>761</v>
      </c>
      <c r="AU127" s="297">
        <v>1145</v>
      </c>
      <c r="AV127" s="297">
        <v>-508</v>
      </c>
      <c r="AW127" s="297">
        <v>674</v>
      </c>
      <c r="AX127" s="297">
        <v>-980</v>
      </c>
      <c r="AY127" s="297">
        <v>78</v>
      </c>
      <c r="BA127" s="205"/>
      <c r="BB127" s="205"/>
    </row>
    <row r="128" spans="2:54">
      <c r="B128" s="288">
        <v>10446</v>
      </c>
      <c r="C128" s="288" t="s">
        <v>131</v>
      </c>
      <c r="D128" s="297">
        <v>-3798</v>
      </c>
      <c r="E128" s="297">
        <v>5119</v>
      </c>
      <c r="F128" s="297">
        <v>-13042</v>
      </c>
      <c r="G128" s="297">
        <v>852</v>
      </c>
      <c r="H128" s="297">
        <v>-9531</v>
      </c>
      <c r="I128" s="297">
        <v>4639</v>
      </c>
      <c r="J128" s="297">
        <v>-675</v>
      </c>
      <c r="K128" s="297">
        <v>7184</v>
      </c>
      <c r="L128" s="297">
        <v>3137</v>
      </c>
      <c r="M128" s="297">
        <v>8396</v>
      </c>
      <c r="N128" s="297">
        <v>-3631</v>
      </c>
      <c r="O128" s="297">
        <v>6182</v>
      </c>
      <c r="P128" s="297">
        <v>-6138</v>
      </c>
      <c r="Q128" s="297">
        <v>2795</v>
      </c>
      <c r="R128" s="297">
        <v>-29598</v>
      </c>
      <c r="S128" s="297">
        <v>-7795</v>
      </c>
      <c r="T128" s="297">
        <v>-9528</v>
      </c>
      <c r="U128" s="297">
        <v>2584</v>
      </c>
      <c r="V128" s="297">
        <v>-2707</v>
      </c>
      <c r="W128" s="297">
        <v>8283</v>
      </c>
      <c r="X128" s="297">
        <v>-8118</v>
      </c>
      <c r="Y128" s="297">
        <v>7153</v>
      </c>
      <c r="Z128" s="297">
        <v>-4778</v>
      </c>
      <c r="AA128" s="297">
        <v>5734</v>
      </c>
      <c r="AB128" s="297">
        <v>-4073</v>
      </c>
      <c r="AC128" s="297">
        <v>4985</v>
      </c>
      <c r="AD128" s="297">
        <v>-14754</v>
      </c>
      <c r="AE128" s="297">
        <v>2172</v>
      </c>
      <c r="AF128" s="297">
        <v>-8165</v>
      </c>
      <c r="AG128" s="297">
        <v>2865</v>
      </c>
      <c r="AH128" s="297">
        <v>-2486</v>
      </c>
      <c r="AI128" s="297">
        <v>8594</v>
      </c>
      <c r="AJ128" s="297">
        <v>1356</v>
      </c>
      <c r="AK128" s="297">
        <v>7420</v>
      </c>
      <c r="AL128" s="297">
        <v>-2359</v>
      </c>
      <c r="AM128" s="297">
        <v>4504</v>
      </c>
      <c r="AN128" s="297">
        <v>-6403</v>
      </c>
      <c r="AO128" s="297">
        <v>2667</v>
      </c>
      <c r="AP128" s="297">
        <v>-29822</v>
      </c>
      <c r="AQ128" s="297">
        <v>-7972</v>
      </c>
      <c r="AR128" s="297">
        <v>-9357</v>
      </c>
      <c r="AS128" s="297">
        <v>2630</v>
      </c>
      <c r="AT128" s="297">
        <v>-2633</v>
      </c>
      <c r="AU128" s="297">
        <v>8437</v>
      </c>
      <c r="AV128" s="297">
        <v>-7988</v>
      </c>
      <c r="AW128" s="297">
        <v>7252</v>
      </c>
      <c r="AX128" s="297">
        <v>-4667</v>
      </c>
      <c r="AY128" s="297">
        <v>5839</v>
      </c>
      <c r="BA128" s="205"/>
      <c r="BB128" s="205"/>
    </row>
    <row r="129" spans="2:54">
      <c r="B129" s="288">
        <v>10448</v>
      </c>
      <c r="C129" s="288" t="s">
        <v>132</v>
      </c>
      <c r="D129" s="297">
        <v>0</v>
      </c>
      <c r="E129" s="297">
        <v>0</v>
      </c>
      <c r="F129" s="297">
        <v>0</v>
      </c>
      <c r="G129" s="297">
        <v>0</v>
      </c>
      <c r="H129" s="297">
        <v>0</v>
      </c>
      <c r="I129" s="297">
        <v>0</v>
      </c>
      <c r="J129" s="297">
        <v>0</v>
      </c>
      <c r="K129" s="297">
        <v>0</v>
      </c>
      <c r="L129" s="297">
        <v>0</v>
      </c>
      <c r="M129" s="297">
        <v>0</v>
      </c>
      <c r="N129" s="297">
        <v>0</v>
      </c>
      <c r="O129" s="297">
        <v>0</v>
      </c>
      <c r="P129" s="297">
        <v>0</v>
      </c>
      <c r="Q129" s="297">
        <v>0</v>
      </c>
      <c r="R129" s="297">
        <v>0</v>
      </c>
      <c r="S129" s="297">
        <v>0</v>
      </c>
      <c r="T129" s="297">
        <v>0</v>
      </c>
      <c r="U129" s="297">
        <v>0</v>
      </c>
      <c r="V129" s="297">
        <v>0</v>
      </c>
      <c r="W129" s="297">
        <v>0</v>
      </c>
      <c r="X129" s="297">
        <v>0</v>
      </c>
      <c r="Y129" s="297">
        <v>0</v>
      </c>
      <c r="Z129" s="297">
        <v>0</v>
      </c>
      <c r="AA129" s="297">
        <v>0</v>
      </c>
      <c r="AB129" s="297">
        <v>0</v>
      </c>
      <c r="AC129" s="297">
        <v>0</v>
      </c>
      <c r="AD129" s="297">
        <v>0</v>
      </c>
      <c r="AE129" s="297">
        <v>0</v>
      </c>
      <c r="AF129" s="297">
        <v>0</v>
      </c>
      <c r="AG129" s="297">
        <v>0</v>
      </c>
      <c r="AH129" s="297">
        <v>0</v>
      </c>
      <c r="AI129" s="297">
        <v>0</v>
      </c>
      <c r="AJ129" s="297">
        <v>0</v>
      </c>
      <c r="AK129" s="297">
        <v>0</v>
      </c>
      <c r="AL129" s="297">
        <v>0</v>
      </c>
      <c r="AM129" s="297">
        <v>0</v>
      </c>
      <c r="AN129" s="297">
        <v>0</v>
      </c>
      <c r="AO129" s="297">
        <v>0</v>
      </c>
      <c r="AP129" s="297">
        <v>0</v>
      </c>
      <c r="AQ129" s="297">
        <v>0</v>
      </c>
      <c r="AR129" s="297">
        <v>0</v>
      </c>
      <c r="AS129" s="297">
        <v>0</v>
      </c>
      <c r="AT129" s="297">
        <v>0</v>
      </c>
      <c r="AU129" s="297">
        <v>0</v>
      </c>
      <c r="AV129" s="297">
        <v>0</v>
      </c>
      <c r="AW129" s="297">
        <v>0</v>
      </c>
      <c r="AX129" s="297">
        <v>0</v>
      </c>
      <c r="AY129" s="297">
        <v>0</v>
      </c>
      <c r="BA129" s="205"/>
      <c r="BB129" s="205"/>
    </row>
    <row r="130" spans="2:54">
      <c r="B130" s="288">
        <v>10451</v>
      </c>
      <c r="C130" s="288" t="s">
        <v>133</v>
      </c>
      <c r="D130" s="297">
        <v>-34</v>
      </c>
      <c r="E130" s="297">
        <v>2021</v>
      </c>
      <c r="F130" s="297">
        <v>-3197</v>
      </c>
      <c r="G130" s="297">
        <v>341</v>
      </c>
      <c r="H130" s="297">
        <v>-2907</v>
      </c>
      <c r="I130" s="297">
        <v>873</v>
      </c>
      <c r="J130" s="297">
        <v>-313</v>
      </c>
      <c r="K130" s="297">
        <v>1617</v>
      </c>
      <c r="L130" s="297">
        <v>1090</v>
      </c>
      <c r="M130" s="297">
        <v>2264</v>
      </c>
      <c r="N130" s="297">
        <v>-273</v>
      </c>
      <c r="O130" s="297">
        <v>2006</v>
      </c>
      <c r="P130" s="297">
        <v>-45</v>
      </c>
      <c r="Q130" s="297">
        <v>1869</v>
      </c>
      <c r="R130" s="297">
        <v>-5711</v>
      </c>
      <c r="S130" s="297">
        <v>-257</v>
      </c>
      <c r="T130" s="297">
        <v>-2063</v>
      </c>
      <c r="U130" s="297">
        <v>1056</v>
      </c>
      <c r="V130" s="297">
        <v>-408</v>
      </c>
      <c r="W130" s="297">
        <v>2532</v>
      </c>
      <c r="X130" s="297">
        <v>-1966</v>
      </c>
      <c r="Y130" s="297">
        <v>2151</v>
      </c>
      <c r="Z130" s="297">
        <v>-648</v>
      </c>
      <c r="AA130" s="297">
        <v>2035</v>
      </c>
      <c r="AB130" s="297">
        <v>-34</v>
      </c>
      <c r="AC130" s="297">
        <v>2021</v>
      </c>
      <c r="AD130" s="297">
        <v>-3635</v>
      </c>
      <c r="AE130" s="297">
        <v>780</v>
      </c>
      <c r="AF130" s="297">
        <v>-2470</v>
      </c>
      <c r="AG130" s="297">
        <v>436</v>
      </c>
      <c r="AH130" s="297">
        <v>-755</v>
      </c>
      <c r="AI130" s="297">
        <v>2058</v>
      </c>
      <c r="AJ130" s="297">
        <v>-5204</v>
      </c>
      <c r="AK130" s="297">
        <v>-2324</v>
      </c>
      <c r="AL130" s="297">
        <v>-8255</v>
      </c>
      <c r="AM130" s="297">
        <v>-4407</v>
      </c>
      <c r="AN130" s="297">
        <v>-45</v>
      </c>
      <c r="AO130" s="297">
        <v>1869</v>
      </c>
      <c r="AP130" s="297">
        <v>-5711</v>
      </c>
      <c r="AQ130" s="297">
        <v>-257</v>
      </c>
      <c r="AR130" s="297">
        <v>-2063</v>
      </c>
      <c r="AS130" s="297">
        <v>1056</v>
      </c>
      <c r="AT130" s="297">
        <v>-408</v>
      </c>
      <c r="AU130" s="297">
        <v>2532</v>
      </c>
      <c r="AV130" s="297">
        <v>-1966</v>
      </c>
      <c r="AW130" s="297">
        <v>2151</v>
      </c>
      <c r="AX130" s="297">
        <v>-648</v>
      </c>
      <c r="AY130" s="297">
        <v>2035</v>
      </c>
      <c r="BA130" s="205"/>
      <c r="BB130" s="205"/>
    </row>
    <row r="131" spans="2:54">
      <c r="B131" s="288">
        <v>10482</v>
      </c>
      <c r="C131" s="288" t="s">
        <v>134</v>
      </c>
      <c r="D131" s="297">
        <v>-24</v>
      </c>
      <c r="E131" s="297">
        <v>164</v>
      </c>
      <c r="F131" s="297">
        <v>-289</v>
      </c>
      <c r="G131" s="297">
        <v>34</v>
      </c>
      <c r="H131" s="297">
        <v>-227</v>
      </c>
      <c r="I131" s="297">
        <v>118</v>
      </c>
      <c r="J131" s="297">
        <v>45</v>
      </c>
      <c r="K131" s="297">
        <v>204</v>
      </c>
      <c r="L131" s="297">
        <v>154</v>
      </c>
      <c r="M131" s="297">
        <v>243</v>
      </c>
      <c r="N131" s="297">
        <v>6</v>
      </c>
      <c r="O131" s="297">
        <v>229</v>
      </c>
      <c r="P131" s="297">
        <v>20</v>
      </c>
      <c r="Q131" s="297">
        <v>190</v>
      </c>
      <c r="R131" s="297">
        <v>-574</v>
      </c>
      <c r="S131" s="297">
        <v>-44</v>
      </c>
      <c r="T131" s="297">
        <v>-176</v>
      </c>
      <c r="U131" s="297">
        <v>69</v>
      </c>
      <c r="V131" s="297">
        <v>24</v>
      </c>
      <c r="W131" s="297">
        <v>202</v>
      </c>
      <c r="X131" s="297">
        <v>-157</v>
      </c>
      <c r="Y131" s="297">
        <v>147</v>
      </c>
      <c r="Z131" s="297">
        <v>-73</v>
      </c>
      <c r="AA131" s="297">
        <v>145</v>
      </c>
      <c r="AB131" s="297">
        <v>-24</v>
      </c>
      <c r="AC131" s="297">
        <v>164</v>
      </c>
      <c r="AD131" s="297">
        <v>-339</v>
      </c>
      <c r="AE131" s="297">
        <v>84</v>
      </c>
      <c r="AF131" s="297">
        <v>-175</v>
      </c>
      <c r="AG131" s="297">
        <v>66</v>
      </c>
      <c r="AH131" s="297">
        <v>-7</v>
      </c>
      <c r="AI131" s="297">
        <v>257</v>
      </c>
      <c r="AJ131" s="297">
        <v>124</v>
      </c>
      <c r="AK131" s="297">
        <v>234</v>
      </c>
      <c r="AL131" s="297">
        <v>57</v>
      </c>
      <c r="AM131" s="297">
        <v>178</v>
      </c>
      <c r="AN131" s="297">
        <v>20</v>
      </c>
      <c r="AO131" s="297">
        <v>190</v>
      </c>
      <c r="AP131" s="297">
        <v>-574</v>
      </c>
      <c r="AQ131" s="297">
        <v>-44</v>
      </c>
      <c r="AR131" s="297">
        <v>-176</v>
      </c>
      <c r="AS131" s="297">
        <v>69</v>
      </c>
      <c r="AT131" s="297">
        <v>24</v>
      </c>
      <c r="AU131" s="297">
        <v>202</v>
      </c>
      <c r="AV131" s="297">
        <v>-157</v>
      </c>
      <c r="AW131" s="297">
        <v>147</v>
      </c>
      <c r="AX131" s="297">
        <v>-73</v>
      </c>
      <c r="AY131" s="297">
        <v>145</v>
      </c>
      <c r="BA131" s="205"/>
      <c r="BB131" s="205"/>
    </row>
    <row r="132" spans="2:54">
      <c r="B132" s="288">
        <v>10502</v>
      </c>
      <c r="C132" s="288" t="s">
        <v>135</v>
      </c>
      <c r="D132" s="297">
        <v>-1145</v>
      </c>
      <c r="E132" s="297">
        <v>-75</v>
      </c>
      <c r="F132" s="297">
        <v>-3634</v>
      </c>
      <c r="G132" s="297">
        <v>-1509</v>
      </c>
      <c r="H132" s="297">
        <v>-2041</v>
      </c>
      <c r="I132" s="297">
        <v>-510</v>
      </c>
      <c r="J132" s="297">
        <v>-1145</v>
      </c>
      <c r="K132" s="297">
        <v>-110</v>
      </c>
      <c r="L132" s="297">
        <v>-406</v>
      </c>
      <c r="M132" s="297">
        <v>187</v>
      </c>
      <c r="N132" s="297">
        <v>-1984</v>
      </c>
      <c r="O132" s="297">
        <v>-811</v>
      </c>
      <c r="P132" s="297">
        <v>-811</v>
      </c>
      <c r="Q132" s="297">
        <v>4</v>
      </c>
      <c r="R132" s="297">
        <v>-1841</v>
      </c>
      <c r="S132" s="297">
        <v>-82</v>
      </c>
      <c r="T132" s="297">
        <v>2196</v>
      </c>
      <c r="U132" s="297">
        <v>2107</v>
      </c>
      <c r="V132" s="297">
        <v>5283</v>
      </c>
      <c r="W132" s="297">
        <v>4819</v>
      </c>
      <c r="X132" s="297">
        <v>4961</v>
      </c>
      <c r="Y132" s="297">
        <v>4144</v>
      </c>
      <c r="Z132" s="297">
        <v>1492</v>
      </c>
      <c r="AA132" s="297">
        <v>1933</v>
      </c>
      <c r="AB132" s="297">
        <v>-1162</v>
      </c>
      <c r="AC132" s="297">
        <v>-66</v>
      </c>
      <c r="AD132" s="297">
        <v>-3535</v>
      </c>
      <c r="AE132" s="297">
        <v>-1393</v>
      </c>
      <c r="AF132" s="297">
        <v>-1950</v>
      </c>
      <c r="AG132" s="297">
        <v>-401</v>
      </c>
      <c r="AH132" s="297">
        <v>-1016</v>
      </c>
      <c r="AI132" s="297">
        <v>17</v>
      </c>
      <c r="AJ132" s="297">
        <v>-449</v>
      </c>
      <c r="AK132" s="297">
        <v>180</v>
      </c>
      <c r="AL132" s="297">
        <v>-1892</v>
      </c>
      <c r="AM132" s="297">
        <v>-721</v>
      </c>
      <c r="AN132" s="297">
        <v>-747</v>
      </c>
      <c r="AO132" s="297">
        <v>84</v>
      </c>
      <c r="AP132" s="297">
        <v>-1942</v>
      </c>
      <c r="AQ132" s="297">
        <v>-102</v>
      </c>
      <c r="AR132" s="297">
        <v>2161</v>
      </c>
      <c r="AS132" s="297">
        <v>2126</v>
      </c>
      <c r="AT132" s="297">
        <v>5274</v>
      </c>
      <c r="AU132" s="297">
        <v>4871</v>
      </c>
      <c r="AV132" s="297">
        <v>4905</v>
      </c>
      <c r="AW132" s="297">
        <v>4155</v>
      </c>
      <c r="AX132" s="297">
        <v>1425</v>
      </c>
      <c r="AY132" s="297">
        <v>1949</v>
      </c>
      <c r="BA132" s="205"/>
      <c r="BB132" s="205"/>
    </row>
    <row r="133" spans="2:54">
      <c r="B133" s="288">
        <v>13927</v>
      </c>
      <c r="C133" s="288" t="s">
        <v>269</v>
      </c>
      <c r="D133" s="297">
        <v>-611</v>
      </c>
      <c r="E133" s="297">
        <v>-76</v>
      </c>
      <c r="F133" s="297">
        <v>-983</v>
      </c>
      <c r="G133" s="297">
        <v>-375</v>
      </c>
      <c r="H133" s="297">
        <v>-805</v>
      </c>
      <c r="I133" s="297">
        <v>-208</v>
      </c>
      <c r="J133" s="297">
        <v>-428</v>
      </c>
      <c r="K133" s="297">
        <v>-19</v>
      </c>
      <c r="L133" s="297">
        <v>-252</v>
      </c>
      <c r="M133" s="297">
        <v>34</v>
      </c>
      <c r="N133" s="297">
        <v>-460</v>
      </c>
      <c r="O133" s="297">
        <v>-117</v>
      </c>
      <c r="P133" s="297">
        <v>-506</v>
      </c>
      <c r="Q133" s="297">
        <v>-35</v>
      </c>
      <c r="R133" s="297">
        <v>-1199</v>
      </c>
      <c r="S133" s="297">
        <v>-466</v>
      </c>
      <c r="T133" s="297">
        <v>-646</v>
      </c>
      <c r="U133" s="297">
        <v>-153</v>
      </c>
      <c r="V133" s="297">
        <v>-411</v>
      </c>
      <c r="W133" s="297">
        <v>131</v>
      </c>
      <c r="X133" s="297">
        <v>-490</v>
      </c>
      <c r="Y133" s="297">
        <v>-27</v>
      </c>
      <c r="Z133" s="297">
        <v>-540</v>
      </c>
      <c r="AA133" s="297">
        <v>-85</v>
      </c>
      <c r="AB133" s="297">
        <v>-554</v>
      </c>
      <c r="AC133" s="297">
        <v>-32</v>
      </c>
      <c r="AD133" s="297">
        <v>-927</v>
      </c>
      <c r="AE133" s="297">
        <v>-332</v>
      </c>
      <c r="AF133" s="297">
        <v>-743</v>
      </c>
      <c r="AG133" s="297">
        <v>-156</v>
      </c>
      <c r="AH133" s="297">
        <v>-255</v>
      </c>
      <c r="AI133" s="297">
        <v>121</v>
      </c>
      <c r="AJ133" s="297">
        <v>-93</v>
      </c>
      <c r="AK133" s="297">
        <v>150</v>
      </c>
      <c r="AL133" s="297">
        <v>-293</v>
      </c>
      <c r="AM133" s="297">
        <v>0</v>
      </c>
      <c r="AN133" s="297">
        <v>-349</v>
      </c>
      <c r="AO133" s="297">
        <v>84</v>
      </c>
      <c r="AP133" s="297">
        <v>-1032</v>
      </c>
      <c r="AQ133" s="297">
        <v>-343</v>
      </c>
      <c r="AR133" s="297">
        <v>-469</v>
      </c>
      <c r="AS133" s="297">
        <v>-34</v>
      </c>
      <c r="AT133" s="297">
        <v>-234</v>
      </c>
      <c r="AU133" s="297">
        <v>270</v>
      </c>
      <c r="AV133" s="297">
        <v>-294</v>
      </c>
      <c r="AW133" s="297">
        <v>99</v>
      </c>
      <c r="AX133" s="297">
        <v>-385</v>
      </c>
      <c r="AY133" s="297">
        <v>31</v>
      </c>
      <c r="BA133" s="205"/>
      <c r="BB133" s="205"/>
    </row>
    <row r="134" spans="2:54">
      <c r="B134" s="288">
        <v>10597</v>
      </c>
      <c r="C134" s="288" t="s">
        <v>136</v>
      </c>
      <c r="D134" s="297">
        <v>-541</v>
      </c>
      <c r="E134" s="297">
        <v>-104</v>
      </c>
      <c r="F134" s="297">
        <v>-1159</v>
      </c>
      <c r="G134" s="297">
        <v>-173</v>
      </c>
      <c r="H134" s="297">
        <v>-42</v>
      </c>
      <c r="I134" s="297">
        <v>553</v>
      </c>
      <c r="J134" s="297">
        <v>1101</v>
      </c>
      <c r="K134" s="297">
        <v>1086</v>
      </c>
      <c r="L134" s="297">
        <v>1166</v>
      </c>
      <c r="M134" s="297">
        <v>1029</v>
      </c>
      <c r="N134" s="297">
        <v>-309</v>
      </c>
      <c r="O134" s="297">
        <v>-30</v>
      </c>
      <c r="P134" s="297">
        <v>-550</v>
      </c>
      <c r="Q134" s="297">
        <v>-188</v>
      </c>
      <c r="R134" s="297">
        <v>-2753</v>
      </c>
      <c r="S134" s="297">
        <v>-1356</v>
      </c>
      <c r="T134" s="297">
        <v>-808</v>
      </c>
      <c r="U134" s="297">
        <v>-333</v>
      </c>
      <c r="V134" s="297">
        <v>1076</v>
      </c>
      <c r="W134" s="297">
        <v>951</v>
      </c>
      <c r="X134" s="297">
        <v>391</v>
      </c>
      <c r="Y134" s="297">
        <v>425</v>
      </c>
      <c r="Z134" s="297">
        <v>-342</v>
      </c>
      <c r="AA134" s="297">
        <v>-28</v>
      </c>
      <c r="AB134" s="297">
        <v>-541</v>
      </c>
      <c r="AC134" s="297">
        <v>-104</v>
      </c>
      <c r="AD134" s="297">
        <v>-1155</v>
      </c>
      <c r="AE134" s="297">
        <v>-170</v>
      </c>
      <c r="AF134" s="297">
        <v>-35</v>
      </c>
      <c r="AG134" s="297">
        <v>558</v>
      </c>
      <c r="AH134" s="297">
        <v>1107</v>
      </c>
      <c r="AI134" s="297">
        <v>1090</v>
      </c>
      <c r="AJ134" s="297">
        <v>1006</v>
      </c>
      <c r="AK134" s="297">
        <v>926</v>
      </c>
      <c r="AL134" s="297">
        <v>-307</v>
      </c>
      <c r="AM134" s="297">
        <v>-30</v>
      </c>
      <c r="AN134" s="297">
        <v>-549</v>
      </c>
      <c r="AO134" s="297">
        <v>-188</v>
      </c>
      <c r="AP134" s="297">
        <v>-2753</v>
      </c>
      <c r="AQ134" s="297">
        <v>-1357</v>
      </c>
      <c r="AR134" s="297">
        <v>-809</v>
      </c>
      <c r="AS134" s="297">
        <v>-333</v>
      </c>
      <c r="AT134" s="297">
        <v>1073</v>
      </c>
      <c r="AU134" s="297">
        <v>950</v>
      </c>
      <c r="AV134" s="297">
        <v>389</v>
      </c>
      <c r="AW134" s="297">
        <v>424</v>
      </c>
      <c r="AX134" s="297">
        <v>-342</v>
      </c>
      <c r="AY134" s="297">
        <v>-28</v>
      </c>
      <c r="BA134" s="205"/>
      <c r="BB134" s="205"/>
    </row>
    <row r="135" spans="2:54">
      <c r="B135" s="288">
        <v>10706</v>
      </c>
      <c r="C135" s="288" t="s">
        <v>137</v>
      </c>
      <c r="D135" s="297">
        <v>-867</v>
      </c>
      <c r="E135" s="297">
        <v>694</v>
      </c>
      <c r="F135" s="297">
        <v>-2852</v>
      </c>
      <c r="G135" s="297">
        <v>-448</v>
      </c>
      <c r="H135" s="297">
        <v>-2324</v>
      </c>
      <c r="I135" s="297">
        <v>-399</v>
      </c>
      <c r="J135" s="297">
        <v>-1040</v>
      </c>
      <c r="K135" s="297">
        <v>479</v>
      </c>
      <c r="L135" s="297">
        <v>-82</v>
      </c>
      <c r="M135" s="297">
        <v>852</v>
      </c>
      <c r="N135" s="297">
        <v>-353</v>
      </c>
      <c r="O135" s="297">
        <v>731</v>
      </c>
      <c r="P135" s="297">
        <v>-264</v>
      </c>
      <c r="Q135" s="297">
        <v>986</v>
      </c>
      <c r="R135" s="297">
        <v>-3447</v>
      </c>
      <c r="S135" s="297">
        <v>-415</v>
      </c>
      <c r="T135" s="297">
        <v>-1189</v>
      </c>
      <c r="U135" s="297">
        <v>678</v>
      </c>
      <c r="V135" s="297">
        <v>1137</v>
      </c>
      <c r="W135" s="297">
        <v>2776</v>
      </c>
      <c r="X135" s="297">
        <v>1000</v>
      </c>
      <c r="Y135" s="297">
        <v>2532</v>
      </c>
      <c r="Z135" s="297">
        <v>1154</v>
      </c>
      <c r="AA135" s="297">
        <v>2435</v>
      </c>
      <c r="AB135" s="297">
        <v>672</v>
      </c>
      <c r="AC135" s="297">
        <v>1917</v>
      </c>
      <c r="AD135" s="297">
        <v>-1339</v>
      </c>
      <c r="AE135" s="297">
        <v>716</v>
      </c>
      <c r="AF135" s="297">
        <v>-743</v>
      </c>
      <c r="AG135" s="297">
        <v>876</v>
      </c>
      <c r="AH135" s="297">
        <v>482</v>
      </c>
      <c r="AI135" s="297">
        <v>1765</v>
      </c>
      <c r="AJ135" s="297">
        <v>1165</v>
      </c>
      <c r="AK135" s="297">
        <v>1742</v>
      </c>
      <c r="AL135" s="297">
        <v>820</v>
      </c>
      <c r="AM135" s="297">
        <v>1482</v>
      </c>
      <c r="AN135" s="297">
        <v>612</v>
      </c>
      <c r="AO135" s="297">
        <v>1744</v>
      </c>
      <c r="AP135" s="297">
        <v>-2498</v>
      </c>
      <c r="AQ135" s="297">
        <v>323</v>
      </c>
      <c r="AR135" s="297">
        <v>-198</v>
      </c>
      <c r="AS135" s="297">
        <v>1320</v>
      </c>
      <c r="AT135" s="297">
        <v>1093</v>
      </c>
      <c r="AU135" s="297">
        <v>2793</v>
      </c>
      <c r="AV135" s="297">
        <v>638</v>
      </c>
      <c r="AW135" s="297">
        <v>2268</v>
      </c>
      <c r="AX135" s="297">
        <v>834</v>
      </c>
      <c r="AY135" s="297">
        <v>2149</v>
      </c>
      <c r="BA135" s="205"/>
      <c r="BB135" s="205"/>
    </row>
    <row r="136" spans="2:54">
      <c r="B136" s="288">
        <v>11680</v>
      </c>
      <c r="C136" s="288" t="s">
        <v>138</v>
      </c>
      <c r="D136" s="297">
        <v>-46</v>
      </c>
      <c r="E136" s="297">
        <v>-28</v>
      </c>
      <c r="F136" s="297">
        <v>-302</v>
      </c>
      <c r="G136" s="297">
        <v>-36</v>
      </c>
      <c r="H136" s="297">
        <v>247</v>
      </c>
      <c r="I136" s="297">
        <v>464</v>
      </c>
      <c r="J136" s="297">
        <v>679</v>
      </c>
      <c r="K136" s="297">
        <v>504</v>
      </c>
      <c r="L136" s="297">
        <v>764</v>
      </c>
      <c r="M136" s="297">
        <v>480</v>
      </c>
      <c r="N136" s="297">
        <v>32</v>
      </c>
      <c r="O136" s="297">
        <v>118</v>
      </c>
      <c r="P136" s="297">
        <v>-105</v>
      </c>
      <c r="Q136" s="297">
        <v>-60</v>
      </c>
      <c r="R136" s="297">
        <v>-1441</v>
      </c>
      <c r="S136" s="297">
        <v>-671</v>
      </c>
      <c r="T136" s="297">
        <v>-478</v>
      </c>
      <c r="U136" s="297">
        <v>-280</v>
      </c>
      <c r="V136" s="297">
        <v>566</v>
      </c>
      <c r="W136" s="297">
        <v>369</v>
      </c>
      <c r="X136" s="297">
        <v>99</v>
      </c>
      <c r="Y136" s="297">
        <v>214</v>
      </c>
      <c r="Z136" s="297">
        <v>-124</v>
      </c>
      <c r="AA136" s="297">
        <v>-76</v>
      </c>
      <c r="AB136" s="297">
        <v>-38</v>
      </c>
      <c r="AC136" s="297">
        <v>-24</v>
      </c>
      <c r="AD136" s="297">
        <v>-406</v>
      </c>
      <c r="AE136" s="297">
        <v>80</v>
      </c>
      <c r="AF136" s="297">
        <v>384</v>
      </c>
      <c r="AG136" s="297">
        <v>339</v>
      </c>
      <c r="AH136" s="297">
        <v>563</v>
      </c>
      <c r="AI136" s="297">
        <v>633</v>
      </c>
      <c r="AJ136" s="297">
        <v>658</v>
      </c>
      <c r="AK136" s="297">
        <v>442</v>
      </c>
      <c r="AL136" s="297">
        <v>138</v>
      </c>
      <c r="AM136" s="297">
        <v>25</v>
      </c>
      <c r="AN136" s="297">
        <v>-97</v>
      </c>
      <c r="AO136" s="297">
        <v>-55</v>
      </c>
      <c r="AP136" s="297">
        <v>-1434</v>
      </c>
      <c r="AQ136" s="297">
        <v>-666</v>
      </c>
      <c r="AR136" s="297">
        <v>-470</v>
      </c>
      <c r="AS136" s="297">
        <v>-275</v>
      </c>
      <c r="AT136" s="297">
        <v>574</v>
      </c>
      <c r="AU136" s="297">
        <v>373</v>
      </c>
      <c r="AV136" s="297">
        <v>107</v>
      </c>
      <c r="AW136" s="297">
        <v>219</v>
      </c>
      <c r="AX136" s="297">
        <v>-116</v>
      </c>
      <c r="AY136" s="297">
        <v>-71</v>
      </c>
      <c r="BA136" s="205"/>
      <c r="BB136" s="205"/>
    </row>
    <row r="137" spans="2:54">
      <c r="B137" s="288">
        <v>12026</v>
      </c>
      <c r="C137" s="288" t="s">
        <v>139</v>
      </c>
      <c r="D137" s="297">
        <v>-257</v>
      </c>
      <c r="E137" s="297">
        <v>871</v>
      </c>
      <c r="F137" s="297">
        <v>105</v>
      </c>
      <c r="G137" s="297">
        <v>1863</v>
      </c>
      <c r="H137" s="297">
        <v>4064</v>
      </c>
      <c r="I137" s="297">
        <v>5101</v>
      </c>
      <c r="J137" s="297">
        <v>8825</v>
      </c>
      <c r="K137" s="297">
        <v>6709</v>
      </c>
      <c r="L137" s="297">
        <v>9507</v>
      </c>
      <c r="M137" s="297">
        <v>6697</v>
      </c>
      <c r="N137" s="297">
        <v>3882</v>
      </c>
      <c r="O137" s="297">
        <v>4337</v>
      </c>
      <c r="P137" s="297">
        <v>702</v>
      </c>
      <c r="Q137" s="297">
        <v>1745</v>
      </c>
      <c r="R137" s="297">
        <v>-11408</v>
      </c>
      <c r="S137" s="297">
        <v>-4271</v>
      </c>
      <c r="T137" s="297">
        <v>-6170</v>
      </c>
      <c r="U137" s="297">
        <v>-2406</v>
      </c>
      <c r="V137" s="297">
        <v>-4223</v>
      </c>
      <c r="W137" s="297">
        <v>-1072</v>
      </c>
      <c r="X137" s="297">
        <v>-6716</v>
      </c>
      <c r="Y137" s="297">
        <v>-1650</v>
      </c>
      <c r="Z137" s="297">
        <v>-3636</v>
      </c>
      <c r="AA137" s="297">
        <v>-953</v>
      </c>
      <c r="AB137" s="297">
        <v>-254</v>
      </c>
      <c r="AC137" s="297">
        <v>876</v>
      </c>
      <c r="AD137" s="297">
        <v>-728</v>
      </c>
      <c r="AE137" s="297">
        <v>2682</v>
      </c>
      <c r="AF137" s="297">
        <v>4990</v>
      </c>
      <c r="AG137" s="297">
        <v>4166</v>
      </c>
      <c r="AH137" s="297">
        <v>7867</v>
      </c>
      <c r="AI137" s="297">
        <v>7669</v>
      </c>
      <c r="AJ137" s="297">
        <v>8725</v>
      </c>
      <c r="AK137" s="297">
        <v>6415</v>
      </c>
      <c r="AL137" s="297">
        <v>4672</v>
      </c>
      <c r="AM137" s="297">
        <v>3552</v>
      </c>
      <c r="AN137" s="297">
        <v>701</v>
      </c>
      <c r="AO137" s="297">
        <v>1748</v>
      </c>
      <c r="AP137" s="297">
        <v>-11434</v>
      </c>
      <c r="AQ137" s="297">
        <v>-4278</v>
      </c>
      <c r="AR137" s="297">
        <v>-6175</v>
      </c>
      <c r="AS137" s="297">
        <v>-2406</v>
      </c>
      <c r="AT137" s="297">
        <v>-4220</v>
      </c>
      <c r="AU137" s="297">
        <v>-1066</v>
      </c>
      <c r="AV137" s="297">
        <v>-6721</v>
      </c>
      <c r="AW137" s="297">
        <v>-1646</v>
      </c>
      <c r="AX137" s="297">
        <v>-3632</v>
      </c>
      <c r="AY137" s="297">
        <v>-946</v>
      </c>
      <c r="BA137" s="205"/>
      <c r="BB137" s="205"/>
    </row>
    <row r="138" spans="2:54">
      <c r="B138" s="288">
        <v>10298</v>
      </c>
      <c r="C138" s="288" t="s">
        <v>140</v>
      </c>
      <c r="D138" s="297">
        <v>-4566</v>
      </c>
      <c r="E138" s="297">
        <v>9550</v>
      </c>
      <c r="F138" s="297">
        <v>-23933</v>
      </c>
      <c r="G138" s="297">
        <v>6537</v>
      </c>
      <c r="H138" s="297">
        <v>21444</v>
      </c>
      <c r="I138" s="297">
        <v>38347</v>
      </c>
      <c r="J138" s="297">
        <v>52823</v>
      </c>
      <c r="K138" s="297">
        <v>50202</v>
      </c>
      <c r="L138" s="297">
        <v>66144</v>
      </c>
      <c r="M138" s="297">
        <v>55622</v>
      </c>
      <c r="N138" s="297">
        <v>12506</v>
      </c>
      <c r="O138" s="297">
        <v>24505</v>
      </c>
      <c r="P138" s="297">
        <v>15589</v>
      </c>
      <c r="Q138" s="297">
        <v>23580</v>
      </c>
      <c r="R138" s="297">
        <v>-84344</v>
      </c>
      <c r="S138" s="297">
        <v>-12711</v>
      </c>
      <c r="T138" s="297">
        <v>12378</v>
      </c>
      <c r="U138" s="297">
        <v>33575</v>
      </c>
      <c r="V138" s="297">
        <v>59798</v>
      </c>
      <c r="W138" s="297">
        <v>74623</v>
      </c>
      <c r="X138" s="297">
        <v>20509</v>
      </c>
      <c r="Y138" s="297">
        <v>51989</v>
      </c>
      <c r="Z138" s="297">
        <v>10867</v>
      </c>
      <c r="AA138" s="297">
        <v>25146</v>
      </c>
      <c r="AB138" s="297">
        <v>-1622</v>
      </c>
      <c r="AC138" s="297">
        <v>11658</v>
      </c>
      <c r="AD138" s="297">
        <v>-24764</v>
      </c>
      <c r="AE138" s="297">
        <v>12299</v>
      </c>
      <c r="AF138" s="297">
        <v>28566</v>
      </c>
      <c r="AG138" s="297">
        <v>36136</v>
      </c>
      <c r="AH138" s="297">
        <v>51704</v>
      </c>
      <c r="AI138" s="297">
        <v>56256</v>
      </c>
      <c r="AJ138" s="297">
        <v>60858</v>
      </c>
      <c r="AK138" s="297">
        <v>52461</v>
      </c>
      <c r="AL138" s="297">
        <v>20273</v>
      </c>
      <c r="AM138" s="297">
        <v>20629</v>
      </c>
      <c r="AN138" s="297">
        <v>17126</v>
      </c>
      <c r="AO138" s="297">
        <v>25396</v>
      </c>
      <c r="AP138" s="297">
        <v>-83166</v>
      </c>
      <c r="AQ138" s="297">
        <v>-11136</v>
      </c>
      <c r="AR138" s="297">
        <v>15811</v>
      </c>
      <c r="AS138" s="297">
        <v>32434</v>
      </c>
      <c r="AT138" s="297">
        <v>59835</v>
      </c>
      <c r="AU138" s="297">
        <v>76894</v>
      </c>
      <c r="AV138" s="297">
        <v>22678</v>
      </c>
      <c r="AW138" s="297">
        <v>52111</v>
      </c>
      <c r="AX138" s="297">
        <v>12472</v>
      </c>
      <c r="AY138" s="297">
        <v>25849</v>
      </c>
      <c r="BA138" s="205"/>
      <c r="BB138" s="205"/>
    </row>
    <row r="139" spans="2:54">
      <c r="B139" s="186" t="s">
        <v>141</v>
      </c>
      <c r="C139" s="187" t="s">
        <v>141</v>
      </c>
      <c r="D139" s="188" t="s">
        <v>141</v>
      </c>
      <c r="E139" s="189" t="s">
        <v>141</v>
      </c>
      <c r="F139" s="188" t="s">
        <v>141</v>
      </c>
      <c r="G139" s="189" t="s">
        <v>141</v>
      </c>
      <c r="H139" s="188" t="s">
        <v>141</v>
      </c>
      <c r="I139" s="189" t="s">
        <v>141</v>
      </c>
      <c r="J139" s="188" t="s">
        <v>141</v>
      </c>
      <c r="K139" s="189" t="s">
        <v>141</v>
      </c>
      <c r="L139" s="188" t="s">
        <v>141</v>
      </c>
      <c r="M139" s="189" t="s">
        <v>141</v>
      </c>
      <c r="N139" s="188" t="s">
        <v>141</v>
      </c>
      <c r="O139" s="189" t="s">
        <v>141</v>
      </c>
      <c r="P139" s="188" t="s">
        <v>141</v>
      </c>
      <c r="Q139" s="189" t="s">
        <v>141</v>
      </c>
      <c r="R139" s="188" t="s">
        <v>141</v>
      </c>
      <c r="S139" s="189" t="s">
        <v>141</v>
      </c>
      <c r="T139" s="188" t="s">
        <v>141</v>
      </c>
      <c r="U139" s="189" t="s">
        <v>141</v>
      </c>
      <c r="V139" s="188" t="s">
        <v>141</v>
      </c>
      <c r="W139" s="189" t="s">
        <v>141</v>
      </c>
      <c r="X139" s="188" t="s">
        <v>141</v>
      </c>
      <c r="Y139" s="189" t="s">
        <v>141</v>
      </c>
      <c r="Z139" s="188" t="s">
        <v>141</v>
      </c>
      <c r="AA139" s="189" t="s">
        <v>141</v>
      </c>
      <c r="AB139" s="188" t="s">
        <v>141</v>
      </c>
      <c r="AC139" s="189" t="s">
        <v>141</v>
      </c>
      <c r="AD139" s="188" t="s">
        <v>141</v>
      </c>
      <c r="AE139" s="189" t="s">
        <v>141</v>
      </c>
      <c r="AF139" s="188" t="s">
        <v>141</v>
      </c>
      <c r="AG139" s="189" t="s">
        <v>141</v>
      </c>
      <c r="AH139" s="188" t="s">
        <v>141</v>
      </c>
      <c r="AI139" s="189" t="s">
        <v>141</v>
      </c>
      <c r="AJ139" s="188" t="s">
        <v>141</v>
      </c>
      <c r="AK139" s="189" t="s">
        <v>141</v>
      </c>
      <c r="AL139" s="188" t="s">
        <v>141</v>
      </c>
      <c r="AM139" s="189" t="s">
        <v>141</v>
      </c>
      <c r="AN139" s="188" t="s">
        <v>141</v>
      </c>
      <c r="AO139" s="189" t="s">
        <v>141</v>
      </c>
      <c r="AP139" s="188" t="s">
        <v>141</v>
      </c>
      <c r="AQ139" s="189" t="s">
        <v>141</v>
      </c>
      <c r="AR139" s="188" t="s">
        <v>141</v>
      </c>
      <c r="AS139" s="189" t="s">
        <v>141</v>
      </c>
      <c r="AT139" s="188" t="s">
        <v>141</v>
      </c>
      <c r="AU139" s="189" t="s">
        <v>141</v>
      </c>
      <c r="AV139" s="188" t="s">
        <v>141</v>
      </c>
      <c r="AW139" s="189" t="s">
        <v>141</v>
      </c>
      <c r="AX139" s="188" t="s">
        <v>141</v>
      </c>
      <c r="AY139" s="189" t="s">
        <v>141</v>
      </c>
      <c r="BA139" s="205"/>
      <c r="BB139" s="205"/>
    </row>
    <row r="140" spans="2:54">
      <c r="B140" s="186" t="s">
        <v>141</v>
      </c>
      <c r="C140" s="187" t="s">
        <v>141</v>
      </c>
      <c r="D140" s="188"/>
      <c r="E140" s="189"/>
      <c r="F140" s="188"/>
      <c r="G140" s="189"/>
      <c r="H140" s="188"/>
      <c r="I140" s="189" t="s">
        <v>141</v>
      </c>
      <c r="J140" s="188" t="s">
        <v>141</v>
      </c>
      <c r="K140" s="189" t="s">
        <v>141</v>
      </c>
      <c r="L140" s="188" t="s">
        <v>141</v>
      </c>
      <c r="M140" s="189" t="s">
        <v>141</v>
      </c>
      <c r="N140" s="188" t="s">
        <v>141</v>
      </c>
      <c r="O140" s="189" t="s">
        <v>141</v>
      </c>
      <c r="P140" s="188" t="s">
        <v>141</v>
      </c>
      <c r="Q140" s="189" t="s">
        <v>141</v>
      </c>
      <c r="R140" s="188" t="s">
        <v>141</v>
      </c>
      <c r="S140" s="189" t="s">
        <v>141</v>
      </c>
      <c r="T140" s="188" t="s">
        <v>141</v>
      </c>
      <c r="U140" s="189" t="s">
        <v>141</v>
      </c>
      <c r="V140" s="188" t="s">
        <v>141</v>
      </c>
      <c r="W140" s="189" t="s">
        <v>141</v>
      </c>
      <c r="X140" s="188" t="s">
        <v>141</v>
      </c>
      <c r="Y140" s="189" t="s">
        <v>141</v>
      </c>
      <c r="Z140" s="188" t="s">
        <v>141</v>
      </c>
      <c r="AA140" s="189" t="s">
        <v>141</v>
      </c>
      <c r="AB140" s="188" t="s">
        <v>141</v>
      </c>
      <c r="AC140" s="189" t="s">
        <v>141</v>
      </c>
      <c r="AD140" s="188" t="s">
        <v>141</v>
      </c>
      <c r="AE140" s="189" t="s">
        <v>141</v>
      </c>
      <c r="AF140" s="188" t="s">
        <v>141</v>
      </c>
      <c r="AG140" s="189" t="s">
        <v>141</v>
      </c>
      <c r="AH140" s="188" t="s">
        <v>141</v>
      </c>
      <c r="AI140" s="189" t="s">
        <v>141</v>
      </c>
      <c r="AJ140" s="188" t="s">
        <v>141</v>
      </c>
      <c r="AK140" s="189" t="s">
        <v>141</v>
      </c>
      <c r="AL140" s="188" t="s">
        <v>141</v>
      </c>
      <c r="AM140" s="189" t="s">
        <v>141</v>
      </c>
      <c r="AN140" s="188" t="s">
        <v>141</v>
      </c>
      <c r="AO140" s="189" t="s">
        <v>141</v>
      </c>
      <c r="AP140" s="188" t="s">
        <v>141</v>
      </c>
      <c r="AQ140" s="189" t="s">
        <v>141</v>
      </c>
      <c r="AR140" s="188" t="s">
        <v>141</v>
      </c>
      <c r="AS140" s="189" t="s">
        <v>141</v>
      </c>
      <c r="AT140" s="188" t="s">
        <v>141</v>
      </c>
      <c r="AU140" s="189" t="s">
        <v>141</v>
      </c>
      <c r="AV140" s="188" t="s">
        <v>141</v>
      </c>
      <c r="AW140" s="189" t="s">
        <v>141</v>
      </c>
      <c r="AX140" s="188" t="s">
        <v>141</v>
      </c>
      <c r="AY140" s="189" t="s">
        <v>141</v>
      </c>
    </row>
    <row r="141" spans="2:54">
      <c r="B141" s="186" t="s">
        <v>141</v>
      </c>
      <c r="C141" s="187" t="s">
        <v>141</v>
      </c>
      <c r="D141" s="188" t="s">
        <v>141</v>
      </c>
      <c r="E141" s="189" t="s">
        <v>141</v>
      </c>
      <c r="F141" s="188" t="s">
        <v>141</v>
      </c>
      <c r="G141" s="189" t="s">
        <v>141</v>
      </c>
      <c r="H141" s="188" t="s">
        <v>141</v>
      </c>
      <c r="I141" s="189" t="s">
        <v>141</v>
      </c>
      <c r="J141" s="188" t="s">
        <v>141</v>
      </c>
      <c r="K141" s="189" t="s">
        <v>141</v>
      </c>
      <c r="L141" s="188" t="s">
        <v>141</v>
      </c>
      <c r="M141" s="189" t="s">
        <v>141</v>
      </c>
      <c r="N141" s="188" t="s">
        <v>141</v>
      </c>
      <c r="O141" s="189" t="s">
        <v>141</v>
      </c>
      <c r="P141" s="188" t="s">
        <v>141</v>
      </c>
      <c r="Q141" s="189" t="s">
        <v>141</v>
      </c>
      <c r="R141" s="188" t="s">
        <v>141</v>
      </c>
      <c r="S141" s="189" t="s">
        <v>141</v>
      </c>
      <c r="T141" s="188" t="s">
        <v>141</v>
      </c>
      <c r="U141" s="189" t="s">
        <v>141</v>
      </c>
      <c r="V141" s="188" t="s">
        <v>141</v>
      </c>
      <c r="W141" s="189" t="s">
        <v>141</v>
      </c>
      <c r="X141" s="188" t="s">
        <v>141</v>
      </c>
      <c r="Y141" s="189" t="s">
        <v>141</v>
      </c>
      <c r="Z141" s="188" t="s">
        <v>141</v>
      </c>
      <c r="AA141" s="189" t="s">
        <v>141</v>
      </c>
      <c r="AB141" s="188" t="s">
        <v>141</v>
      </c>
      <c r="AC141" s="189" t="s">
        <v>141</v>
      </c>
      <c r="AD141" s="188" t="s">
        <v>141</v>
      </c>
      <c r="AE141" s="189" t="s">
        <v>141</v>
      </c>
      <c r="AF141" s="188" t="s">
        <v>141</v>
      </c>
      <c r="AG141" s="189" t="s">
        <v>141</v>
      </c>
      <c r="AH141" s="188" t="s">
        <v>141</v>
      </c>
      <c r="AI141" s="189" t="s">
        <v>141</v>
      </c>
      <c r="AJ141" s="188" t="s">
        <v>141</v>
      </c>
      <c r="AK141" s="189" t="s">
        <v>141</v>
      </c>
      <c r="AL141" s="188" t="s">
        <v>141</v>
      </c>
      <c r="AM141" s="189" t="s">
        <v>141</v>
      </c>
      <c r="AN141" s="188" t="s">
        <v>141</v>
      </c>
      <c r="AO141" s="189" t="s">
        <v>141</v>
      </c>
      <c r="AP141" s="188" t="s">
        <v>141</v>
      </c>
      <c r="AQ141" s="189" t="s">
        <v>141</v>
      </c>
      <c r="AR141" s="188" t="s">
        <v>141</v>
      </c>
      <c r="AS141" s="189" t="s">
        <v>141</v>
      </c>
      <c r="AT141" s="188" t="s">
        <v>141</v>
      </c>
      <c r="AU141" s="189" t="s">
        <v>141</v>
      </c>
      <c r="AV141" s="188" t="s">
        <v>141</v>
      </c>
      <c r="AW141" s="189" t="s">
        <v>141</v>
      </c>
      <c r="AX141" s="188" t="s">
        <v>141</v>
      </c>
      <c r="AY141" s="189" t="s">
        <v>141</v>
      </c>
    </row>
    <row r="142" spans="2:54">
      <c r="B142" s="186"/>
      <c r="C142" s="187"/>
      <c r="D142" s="188"/>
      <c r="E142" s="189"/>
      <c r="F142" s="188" t="s">
        <v>141</v>
      </c>
      <c r="G142" s="189" t="s">
        <v>141</v>
      </c>
      <c r="H142" s="188" t="s">
        <v>141</v>
      </c>
      <c r="I142" s="189" t="s">
        <v>141</v>
      </c>
      <c r="J142" s="188" t="s">
        <v>141</v>
      </c>
      <c r="K142" s="189" t="s">
        <v>141</v>
      </c>
      <c r="L142" s="188" t="s">
        <v>141</v>
      </c>
      <c r="M142" s="189" t="s">
        <v>141</v>
      </c>
      <c r="N142" s="188" t="s">
        <v>141</v>
      </c>
      <c r="O142" s="189" t="s">
        <v>141</v>
      </c>
      <c r="P142" s="188" t="s">
        <v>141</v>
      </c>
      <c r="Q142" s="189" t="s">
        <v>141</v>
      </c>
      <c r="R142" s="188" t="s">
        <v>141</v>
      </c>
      <c r="S142" s="189" t="s">
        <v>141</v>
      </c>
      <c r="T142" s="188" t="s">
        <v>141</v>
      </c>
      <c r="U142" s="189" t="s">
        <v>141</v>
      </c>
      <c r="V142" s="188" t="s">
        <v>141</v>
      </c>
      <c r="W142" s="189" t="s">
        <v>141</v>
      </c>
      <c r="X142" s="188" t="s">
        <v>141</v>
      </c>
      <c r="Y142" s="189" t="s">
        <v>141</v>
      </c>
      <c r="Z142" s="188" t="s">
        <v>141</v>
      </c>
      <c r="AA142" s="189" t="s">
        <v>141</v>
      </c>
      <c r="AB142" s="188" t="s">
        <v>141</v>
      </c>
      <c r="AC142" s="189" t="s">
        <v>141</v>
      </c>
      <c r="AD142" s="188" t="s">
        <v>141</v>
      </c>
      <c r="AE142" s="189" t="s">
        <v>141</v>
      </c>
      <c r="AF142" s="188" t="s">
        <v>141</v>
      </c>
      <c r="AG142" s="189" t="s">
        <v>141</v>
      </c>
      <c r="AH142" s="188" t="s">
        <v>141</v>
      </c>
      <c r="AI142" s="189" t="s">
        <v>141</v>
      </c>
      <c r="AJ142" s="188" t="s">
        <v>141</v>
      </c>
      <c r="AK142" s="189" t="s">
        <v>141</v>
      </c>
      <c r="AL142" s="188" t="s">
        <v>141</v>
      </c>
      <c r="AM142" s="189" t="s">
        <v>141</v>
      </c>
      <c r="AN142" s="188" t="s">
        <v>141</v>
      </c>
      <c r="AO142" s="189" t="s">
        <v>141</v>
      </c>
      <c r="AP142" s="188" t="s">
        <v>141</v>
      </c>
      <c r="AQ142" s="189" t="s">
        <v>141</v>
      </c>
      <c r="AR142" s="188" t="s">
        <v>141</v>
      </c>
      <c r="AS142" s="189" t="s">
        <v>141</v>
      </c>
      <c r="AT142" s="188" t="s">
        <v>141</v>
      </c>
      <c r="AU142" s="189" t="s">
        <v>141</v>
      </c>
      <c r="AV142" s="188" t="s">
        <v>141</v>
      </c>
      <c r="AW142" s="189" t="s">
        <v>141</v>
      </c>
      <c r="AX142" s="188" t="s">
        <v>141</v>
      </c>
      <c r="AY142" s="189" t="s">
        <v>141</v>
      </c>
    </row>
    <row r="143" spans="2:54">
      <c r="B143" s="186" t="s">
        <v>141</v>
      </c>
      <c r="C143" s="187" t="s">
        <v>141</v>
      </c>
      <c r="D143" s="188" t="s">
        <v>141</v>
      </c>
      <c r="E143" s="189" t="s">
        <v>141</v>
      </c>
      <c r="F143" s="188" t="s">
        <v>141</v>
      </c>
      <c r="G143" s="189" t="s">
        <v>141</v>
      </c>
      <c r="H143" s="188" t="s">
        <v>141</v>
      </c>
      <c r="I143" s="189" t="s">
        <v>141</v>
      </c>
      <c r="J143" s="188" t="s">
        <v>141</v>
      </c>
      <c r="K143" s="189" t="s">
        <v>141</v>
      </c>
      <c r="L143" s="188" t="s">
        <v>141</v>
      </c>
      <c r="M143" s="189" t="s">
        <v>141</v>
      </c>
      <c r="N143" s="188" t="s">
        <v>141</v>
      </c>
      <c r="O143" s="189" t="s">
        <v>141</v>
      </c>
      <c r="P143" s="188" t="s">
        <v>141</v>
      </c>
      <c r="Q143" s="189" t="s">
        <v>141</v>
      </c>
      <c r="R143" s="188" t="s">
        <v>141</v>
      </c>
      <c r="S143" s="189" t="s">
        <v>141</v>
      </c>
      <c r="T143" s="188" t="s">
        <v>141</v>
      </c>
      <c r="U143" s="189" t="s">
        <v>141</v>
      </c>
      <c r="V143" s="188" t="s">
        <v>141</v>
      </c>
      <c r="W143" s="189" t="s">
        <v>141</v>
      </c>
      <c r="X143" s="188" t="s">
        <v>141</v>
      </c>
      <c r="Y143" s="189" t="s">
        <v>141</v>
      </c>
      <c r="Z143" s="188" t="s">
        <v>141</v>
      </c>
      <c r="AA143" s="189" t="s">
        <v>141</v>
      </c>
      <c r="AB143" s="188" t="s">
        <v>141</v>
      </c>
      <c r="AC143" s="189" t="s">
        <v>141</v>
      </c>
      <c r="AD143" s="188" t="s">
        <v>141</v>
      </c>
      <c r="AE143" s="189" t="s">
        <v>141</v>
      </c>
      <c r="AF143" s="188" t="s">
        <v>141</v>
      </c>
      <c r="AG143" s="189" t="s">
        <v>141</v>
      </c>
      <c r="AH143" s="188" t="s">
        <v>141</v>
      </c>
      <c r="AI143" s="189" t="s">
        <v>141</v>
      </c>
      <c r="AJ143" s="188" t="s">
        <v>141</v>
      </c>
      <c r="AK143" s="189" t="s">
        <v>141</v>
      </c>
      <c r="AL143" s="188" t="s">
        <v>141</v>
      </c>
      <c r="AM143" s="189" t="s">
        <v>141</v>
      </c>
      <c r="AN143" s="188" t="s">
        <v>141</v>
      </c>
      <c r="AO143" s="189" t="s">
        <v>141</v>
      </c>
      <c r="AP143" s="188" t="s">
        <v>141</v>
      </c>
      <c r="AQ143" s="189" t="s">
        <v>141</v>
      </c>
      <c r="AR143" s="188" t="s">
        <v>141</v>
      </c>
      <c r="AS143" s="189" t="s">
        <v>141</v>
      </c>
      <c r="AT143" s="188" t="s">
        <v>141</v>
      </c>
      <c r="AU143" s="189" t="s">
        <v>141</v>
      </c>
      <c r="AV143" s="188" t="s">
        <v>141</v>
      </c>
      <c r="AW143" s="189" t="s">
        <v>141</v>
      </c>
      <c r="AX143" s="188" t="s">
        <v>141</v>
      </c>
      <c r="AY143" s="189" t="s">
        <v>141</v>
      </c>
    </row>
    <row r="144" spans="2:54">
      <c r="B144" s="186" t="s">
        <v>141</v>
      </c>
      <c r="C144" s="187" t="s">
        <v>141</v>
      </c>
      <c r="D144" s="188" t="s">
        <v>141</v>
      </c>
      <c r="E144" s="189" t="s">
        <v>141</v>
      </c>
      <c r="F144" s="188" t="s">
        <v>141</v>
      </c>
      <c r="G144" s="189" t="s">
        <v>141</v>
      </c>
      <c r="H144" s="188" t="s">
        <v>141</v>
      </c>
      <c r="I144" s="189" t="s">
        <v>141</v>
      </c>
      <c r="J144" s="188" t="s">
        <v>141</v>
      </c>
      <c r="K144" s="189" t="s">
        <v>141</v>
      </c>
      <c r="L144" s="188" t="s">
        <v>141</v>
      </c>
      <c r="M144" s="189" t="s">
        <v>141</v>
      </c>
      <c r="N144" s="188" t="s">
        <v>141</v>
      </c>
      <c r="O144" s="189" t="s">
        <v>141</v>
      </c>
      <c r="P144" s="188" t="s">
        <v>141</v>
      </c>
      <c r="Q144" s="189" t="s">
        <v>141</v>
      </c>
      <c r="R144" s="188" t="s">
        <v>141</v>
      </c>
      <c r="S144" s="189" t="s">
        <v>141</v>
      </c>
      <c r="T144" s="188" t="s">
        <v>141</v>
      </c>
      <c r="U144" s="189" t="s">
        <v>141</v>
      </c>
      <c r="V144" s="188" t="s">
        <v>141</v>
      </c>
      <c r="W144" s="189" t="s">
        <v>141</v>
      </c>
      <c r="X144" s="188" t="s">
        <v>141</v>
      </c>
      <c r="Y144" s="189" t="s">
        <v>141</v>
      </c>
      <c r="Z144" s="188" t="s">
        <v>141</v>
      </c>
      <c r="AA144" s="189" t="s">
        <v>141</v>
      </c>
      <c r="AB144" s="188" t="s">
        <v>141</v>
      </c>
      <c r="AC144" s="189" t="s">
        <v>141</v>
      </c>
      <c r="AD144" s="188" t="s">
        <v>141</v>
      </c>
      <c r="AE144" s="189" t="s">
        <v>141</v>
      </c>
      <c r="AF144" s="188" t="s">
        <v>141</v>
      </c>
      <c r="AG144" s="189" t="s">
        <v>141</v>
      </c>
      <c r="AH144" s="188" t="s">
        <v>141</v>
      </c>
      <c r="AI144" s="189" t="s">
        <v>141</v>
      </c>
      <c r="AJ144" s="188" t="s">
        <v>141</v>
      </c>
      <c r="AK144" s="189" t="s">
        <v>141</v>
      </c>
      <c r="AL144" s="188" t="s">
        <v>141</v>
      </c>
      <c r="AM144" s="189" t="s">
        <v>141</v>
      </c>
      <c r="AN144" s="188" t="s">
        <v>141</v>
      </c>
      <c r="AO144" s="189" t="s">
        <v>141</v>
      </c>
      <c r="AP144" s="188" t="s">
        <v>141</v>
      </c>
      <c r="AQ144" s="189" t="s">
        <v>141</v>
      </c>
      <c r="AR144" s="188" t="s">
        <v>141</v>
      </c>
      <c r="AS144" s="189" t="s">
        <v>141</v>
      </c>
      <c r="AT144" s="188" t="s">
        <v>141</v>
      </c>
      <c r="AU144" s="189" t="s">
        <v>141</v>
      </c>
      <c r="AV144" s="188" t="s">
        <v>141</v>
      </c>
      <c r="AW144" s="189" t="s">
        <v>141</v>
      </c>
      <c r="AX144" s="188" t="s">
        <v>141</v>
      </c>
      <c r="AY144" s="189" t="s">
        <v>141</v>
      </c>
    </row>
    <row r="145" spans="2:51">
      <c r="B145" s="186" t="s">
        <v>141</v>
      </c>
      <c r="C145" s="187" t="s">
        <v>141</v>
      </c>
      <c r="D145" s="188" t="s">
        <v>141</v>
      </c>
      <c r="E145" s="189" t="s">
        <v>141</v>
      </c>
      <c r="F145" s="188" t="s">
        <v>141</v>
      </c>
      <c r="G145" s="189" t="s">
        <v>141</v>
      </c>
      <c r="H145" s="188" t="s">
        <v>141</v>
      </c>
      <c r="I145" s="189" t="s">
        <v>141</v>
      </c>
      <c r="J145" s="188" t="s">
        <v>141</v>
      </c>
      <c r="K145" s="189" t="s">
        <v>141</v>
      </c>
      <c r="L145" s="188" t="s">
        <v>141</v>
      </c>
      <c r="M145" s="189" t="s">
        <v>141</v>
      </c>
      <c r="N145" s="188" t="s">
        <v>141</v>
      </c>
      <c r="O145" s="189" t="s">
        <v>141</v>
      </c>
      <c r="P145" s="188" t="s">
        <v>141</v>
      </c>
      <c r="Q145" s="189" t="s">
        <v>141</v>
      </c>
      <c r="R145" s="188" t="s">
        <v>141</v>
      </c>
      <c r="S145" s="189" t="s">
        <v>141</v>
      </c>
      <c r="T145" s="188" t="s">
        <v>141</v>
      </c>
      <c r="U145" s="189" t="s">
        <v>141</v>
      </c>
      <c r="V145" s="188" t="s">
        <v>141</v>
      </c>
      <c r="W145" s="189" t="s">
        <v>141</v>
      </c>
      <c r="X145" s="188" t="s">
        <v>141</v>
      </c>
      <c r="Y145" s="189" t="s">
        <v>141</v>
      </c>
      <c r="Z145" s="188" t="s">
        <v>141</v>
      </c>
      <c r="AA145" s="189" t="s">
        <v>141</v>
      </c>
      <c r="AB145" s="188" t="s">
        <v>141</v>
      </c>
      <c r="AC145" s="189" t="s">
        <v>141</v>
      </c>
      <c r="AD145" s="188" t="s">
        <v>141</v>
      </c>
      <c r="AE145" s="189" t="s">
        <v>141</v>
      </c>
      <c r="AF145" s="188" t="s">
        <v>141</v>
      </c>
      <c r="AG145" s="189" t="s">
        <v>141</v>
      </c>
      <c r="AH145" s="188" t="s">
        <v>141</v>
      </c>
      <c r="AI145" s="189" t="s">
        <v>141</v>
      </c>
      <c r="AJ145" s="188" t="s">
        <v>141</v>
      </c>
      <c r="AK145" s="189" t="s">
        <v>141</v>
      </c>
      <c r="AL145" s="188" t="s">
        <v>141</v>
      </c>
      <c r="AM145" s="189" t="s">
        <v>141</v>
      </c>
      <c r="AN145" s="188" t="s">
        <v>141</v>
      </c>
      <c r="AO145" s="189" t="s">
        <v>141</v>
      </c>
      <c r="AP145" s="188" t="s">
        <v>141</v>
      </c>
      <c r="AQ145" s="189" t="s">
        <v>141</v>
      </c>
      <c r="AR145" s="188" t="s">
        <v>141</v>
      </c>
      <c r="AS145" s="189" t="s">
        <v>141</v>
      </c>
      <c r="AT145" s="188" t="s">
        <v>141</v>
      </c>
      <c r="AU145" s="189" t="s">
        <v>141</v>
      </c>
      <c r="AV145" s="188" t="s">
        <v>141</v>
      </c>
      <c r="AW145" s="189" t="s">
        <v>141</v>
      </c>
      <c r="AX145" s="188" t="s">
        <v>141</v>
      </c>
      <c r="AY145" s="189" t="s">
        <v>141</v>
      </c>
    </row>
    <row r="146" spans="2:51">
      <c r="B146" s="186" t="s">
        <v>141</v>
      </c>
      <c r="C146" s="187" t="s">
        <v>141</v>
      </c>
      <c r="D146" s="188" t="s">
        <v>141</v>
      </c>
      <c r="E146" s="189" t="s">
        <v>141</v>
      </c>
      <c r="F146" s="188" t="s">
        <v>141</v>
      </c>
      <c r="G146" s="189" t="s">
        <v>141</v>
      </c>
      <c r="H146" s="188" t="s">
        <v>141</v>
      </c>
      <c r="I146" s="189" t="s">
        <v>141</v>
      </c>
      <c r="J146" s="188" t="s">
        <v>141</v>
      </c>
      <c r="K146" s="189" t="s">
        <v>141</v>
      </c>
      <c r="L146" s="188" t="s">
        <v>141</v>
      </c>
      <c r="M146" s="189" t="s">
        <v>141</v>
      </c>
      <c r="N146" s="188" t="s">
        <v>141</v>
      </c>
      <c r="O146" s="189" t="s">
        <v>141</v>
      </c>
      <c r="P146" s="188" t="s">
        <v>141</v>
      </c>
      <c r="Q146" s="189" t="s">
        <v>141</v>
      </c>
      <c r="R146" s="188" t="s">
        <v>141</v>
      </c>
      <c r="S146" s="189" t="s">
        <v>141</v>
      </c>
      <c r="T146" s="188" t="s">
        <v>141</v>
      </c>
      <c r="U146" s="189" t="s">
        <v>141</v>
      </c>
      <c r="V146" s="188" t="s">
        <v>141</v>
      </c>
      <c r="W146" s="189" t="s">
        <v>141</v>
      </c>
      <c r="X146" s="188" t="s">
        <v>141</v>
      </c>
      <c r="Y146" s="189" t="s">
        <v>141</v>
      </c>
      <c r="Z146" s="188" t="s">
        <v>141</v>
      </c>
      <c r="AA146" s="189" t="s">
        <v>141</v>
      </c>
      <c r="AB146" s="188" t="s">
        <v>141</v>
      </c>
      <c r="AC146" s="189" t="s">
        <v>141</v>
      </c>
      <c r="AD146" s="188" t="s">
        <v>141</v>
      </c>
      <c r="AE146" s="189" t="s">
        <v>141</v>
      </c>
      <c r="AF146" s="188" t="s">
        <v>141</v>
      </c>
      <c r="AG146" s="189" t="s">
        <v>141</v>
      </c>
      <c r="AH146" s="188" t="s">
        <v>141</v>
      </c>
      <c r="AI146" s="189" t="s">
        <v>141</v>
      </c>
      <c r="AJ146" s="188" t="s">
        <v>141</v>
      </c>
      <c r="AK146" s="189" t="s">
        <v>141</v>
      </c>
      <c r="AL146" s="188" t="s">
        <v>141</v>
      </c>
      <c r="AM146" s="189" t="s">
        <v>141</v>
      </c>
      <c r="AN146" s="188" t="s">
        <v>141</v>
      </c>
      <c r="AO146" s="189" t="s">
        <v>141</v>
      </c>
      <c r="AP146" s="188" t="s">
        <v>141</v>
      </c>
      <c r="AQ146" s="189" t="s">
        <v>141</v>
      </c>
      <c r="AR146" s="188" t="s">
        <v>141</v>
      </c>
      <c r="AS146" s="189" t="s">
        <v>141</v>
      </c>
      <c r="AT146" s="188" t="s">
        <v>141</v>
      </c>
      <c r="AU146" s="189" t="s">
        <v>141</v>
      </c>
      <c r="AV146" s="188" t="s">
        <v>141</v>
      </c>
      <c r="AW146" s="189" t="s">
        <v>141</v>
      </c>
      <c r="AX146" s="188" t="s">
        <v>141</v>
      </c>
      <c r="AY146" s="189" t="s">
        <v>141</v>
      </c>
    </row>
    <row r="147" spans="2:51">
      <c r="B147" s="186" t="s">
        <v>141</v>
      </c>
      <c r="C147" s="187" t="s">
        <v>141</v>
      </c>
      <c r="D147" s="188" t="s">
        <v>141</v>
      </c>
      <c r="E147" s="189" t="s">
        <v>141</v>
      </c>
      <c r="F147" s="188" t="s">
        <v>141</v>
      </c>
      <c r="G147" s="189" t="s">
        <v>141</v>
      </c>
      <c r="H147" s="188" t="s">
        <v>141</v>
      </c>
      <c r="I147" s="189" t="s">
        <v>141</v>
      </c>
      <c r="J147" s="188" t="s">
        <v>141</v>
      </c>
      <c r="K147" s="189" t="s">
        <v>141</v>
      </c>
      <c r="L147" s="188" t="s">
        <v>141</v>
      </c>
      <c r="M147" s="189" t="s">
        <v>141</v>
      </c>
      <c r="N147" s="188" t="s">
        <v>141</v>
      </c>
      <c r="O147" s="189" t="s">
        <v>141</v>
      </c>
      <c r="P147" s="188" t="s">
        <v>141</v>
      </c>
      <c r="Q147" s="189" t="s">
        <v>141</v>
      </c>
      <c r="R147" s="188" t="s">
        <v>141</v>
      </c>
      <c r="S147" s="189" t="s">
        <v>141</v>
      </c>
      <c r="T147" s="188" t="s">
        <v>141</v>
      </c>
      <c r="U147" s="189" t="s">
        <v>141</v>
      </c>
      <c r="V147" s="188" t="s">
        <v>141</v>
      </c>
      <c r="W147" s="189" t="s">
        <v>141</v>
      </c>
      <c r="X147" s="188" t="s">
        <v>141</v>
      </c>
      <c r="Y147" s="189" t="s">
        <v>141</v>
      </c>
      <c r="Z147" s="188" t="s">
        <v>141</v>
      </c>
      <c r="AA147" s="189" t="s">
        <v>141</v>
      </c>
      <c r="AB147" s="188" t="s">
        <v>141</v>
      </c>
      <c r="AC147" s="189" t="s">
        <v>141</v>
      </c>
      <c r="AD147" s="188" t="s">
        <v>141</v>
      </c>
      <c r="AE147" s="189" t="s">
        <v>141</v>
      </c>
      <c r="AF147" s="188" t="s">
        <v>141</v>
      </c>
      <c r="AG147" s="189" t="s">
        <v>141</v>
      </c>
      <c r="AH147" s="188" t="s">
        <v>141</v>
      </c>
      <c r="AI147" s="189" t="s">
        <v>141</v>
      </c>
      <c r="AJ147" s="188" t="s">
        <v>141</v>
      </c>
      <c r="AK147" s="189" t="s">
        <v>141</v>
      </c>
      <c r="AL147" s="188" t="s">
        <v>141</v>
      </c>
      <c r="AM147" s="189" t="s">
        <v>141</v>
      </c>
      <c r="AN147" s="188" t="s">
        <v>141</v>
      </c>
      <c r="AO147" s="189" t="s">
        <v>141</v>
      </c>
      <c r="AP147" s="188" t="s">
        <v>141</v>
      </c>
      <c r="AQ147" s="189" t="s">
        <v>141</v>
      </c>
      <c r="AR147" s="188" t="s">
        <v>141</v>
      </c>
      <c r="AS147" s="189" t="s">
        <v>141</v>
      </c>
      <c r="AT147" s="188" t="s">
        <v>141</v>
      </c>
      <c r="AU147" s="189" t="s">
        <v>141</v>
      </c>
      <c r="AV147" s="188" t="s">
        <v>141</v>
      </c>
      <c r="AW147" s="189" t="s">
        <v>141</v>
      </c>
      <c r="AX147" s="188" t="s">
        <v>141</v>
      </c>
      <c r="AY147" s="189" t="s">
        <v>141</v>
      </c>
    </row>
    <row r="148" spans="2:51">
      <c r="B148" s="186" t="s">
        <v>141</v>
      </c>
      <c r="C148" s="187" t="s">
        <v>141</v>
      </c>
      <c r="D148" s="188" t="s">
        <v>141</v>
      </c>
      <c r="E148" s="189" t="s">
        <v>141</v>
      </c>
      <c r="F148" s="188" t="s">
        <v>141</v>
      </c>
      <c r="G148" s="189" t="s">
        <v>141</v>
      </c>
      <c r="H148" s="188" t="s">
        <v>141</v>
      </c>
      <c r="I148" s="189" t="s">
        <v>141</v>
      </c>
      <c r="J148" s="188" t="s">
        <v>141</v>
      </c>
      <c r="K148" s="189" t="s">
        <v>141</v>
      </c>
      <c r="L148" s="188" t="s">
        <v>141</v>
      </c>
      <c r="M148" s="189" t="s">
        <v>141</v>
      </c>
      <c r="N148" s="188" t="s">
        <v>141</v>
      </c>
      <c r="O148" s="189" t="s">
        <v>141</v>
      </c>
      <c r="P148" s="188" t="s">
        <v>141</v>
      </c>
      <c r="Q148" s="189" t="s">
        <v>141</v>
      </c>
      <c r="R148" s="188" t="s">
        <v>141</v>
      </c>
      <c r="S148" s="189" t="s">
        <v>141</v>
      </c>
      <c r="T148" s="188" t="s">
        <v>141</v>
      </c>
      <c r="U148" s="189" t="s">
        <v>141</v>
      </c>
      <c r="V148" s="188" t="s">
        <v>141</v>
      </c>
      <c r="W148" s="189" t="s">
        <v>141</v>
      </c>
      <c r="X148" s="188" t="s">
        <v>141</v>
      </c>
      <c r="Y148" s="189" t="s">
        <v>141</v>
      </c>
      <c r="Z148" s="188" t="s">
        <v>141</v>
      </c>
      <c r="AA148" s="189" t="s">
        <v>141</v>
      </c>
      <c r="AB148" s="188" t="s">
        <v>141</v>
      </c>
      <c r="AC148" s="189" t="s">
        <v>141</v>
      </c>
      <c r="AD148" s="188" t="s">
        <v>141</v>
      </c>
      <c r="AE148" s="189" t="s">
        <v>141</v>
      </c>
      <c r="AF148" s="188" t="s">
        <v>141</v>
      </c>
      <c r="AG148" s="189" t="s">
        <v>141</v>
      </c>
      <c r="AH148" s="188" t="s">
        <v>141</v>
      </c>
      <c r="AI148" s="189" t="s">
        <v>141</v>
      </c>
      <c r="AJ148" s="188" t="s">
        <v>141</v>
      </c>
      <c r="AK148" s="189" t="s">
        <v>141</v>
      </c>
      <c r="AL148" s="188" t="s">
        <v>141</v>
      </c>
      <c r="AM148" s="189" t="s">
        <v>141</v>
      </c>
      <c r="AN148" s="188" t="s">
        <v>141</v>
      </c>
      <c r="AO148" s="189" t="s">
        <v>141</v>
      </c>
      <c r="AP148" s="188" t="s">
        <v>141</v>
      </c>
      <c r="AQ148" s="189" t="s">
        <v>141</v>
      </c>
      <c r="AR148" s="188" t="s">
        <v>141</v>
      </c>
      <c r="AS148" s="189" t="s">
        <v>141</v>
      </c>
      <c r="AT148" s="188" t="s">
        <v>141</v>
      </c>
      <c r="AU148" s="189" t="s">
        <v>141</v>
      </c>
      <c r="AV148" s="188" t="s">
        <v>141</v>
      </c>
      <c r="AW148" s="189" t="s">
        <v>141</v>
      </c>
      <c r="AX148" s="188" t="s">
        <v>141</v>
      </c>
      <c r="AY148" s="189" t="s">
        <v>141</v>
      </c>
    </row>
    <row r="149" spans="2:51">
      <c r="B149" s="186">
        <v>1</v>
      </c>
      <c r="C149" s="187">
        <v>2</v>
      </c>
      <c r="D149" s="188">
        <v>3</v>
      </c>
      <c r="E149" s="189">
        <v>4</v>
      </c>
      <c r="F149" s="188">
        <v>5</v>
      </c>
      <c r="G149" s="189">
        <v>6</v>
      </c>
      <c r="H149" s="188">
        <v>7</v>
      </c>
      <c r="I149" s="189">
        <v>8</v>
      </c>
      <c r="J149" s="188">
        <v>9</v>
      </c>
      <c r="K149" s="189">
        <v>10</v>
      </c>
      <c r="L149" s="188">
        <v>11</v>
      </c>
      <c r="M149" s="189">
        <v>12</v>
      </c>
      <c r="N149" s="188">
        <v>13</v>
      </c>
      <c r="O149" s="189">
        <v>14</v>
      </c>
      <c r="P149" s="188">
        <v>15</v>
      </c>
      <c r="Q149" s="189">
        <v>16</v>
      </c>
      <c r="R149" s="188">
        <v>17</v>
      </c>
      <c r="S149" s="189">
        <v>18</v>
      </c>
      <c r="T149" s="188">
        <v>19</v>
      </c>
      <c r="U149" s="189">
        <v>20</v>
      </c>
      <c r="V149" s="188">
        <v>21</v>
      </c>
      <c r="W149" s="189">
        <v>22</v>
      </c>
      <c r="X149" s="188">
        <v>23</v>
      </c>
      <c r="Y149" s="189">
        <v>24</v>
      </c>
      <c r="Z149" s="188">
        <v>25</v>
      </c>
      <c r="AA149" s="189">
        <v>26</v>
      </c>
      <c r="AB149" s="188">
        <v>27</v>
      </c>
      <c r="AC149" s="189">
        <v>28</v>
      </c>
      <c r="AD149" s="188">
        <v>29</v>
      </c>
      <c r="AE149" s="189">
        <v>30</v>
      </c>
      <c r="AF149" s="188">
        <v>31</v>
      </c>
      <c r="AG149" s="189">
        <v>32</v>
      </c>
      <c r="AH149" s="188">
        <v>33</v>
      </c>
      <c r="AI149" s="189">
        <v>34</v>
      </c>
      <c r="AJ149" s="188">
        <v>35</v>
      </c>
      <c r="AK149" s="189">
        <v>36</v>
      </c>
      <c r="AL149" s="188">
        <v>37</v>
      </c>
      <c r="AM149" s="189">
        <v>38</v>
      </c>
      <c r="AN149" s="188">
        <v>39</v>
      </c>
      <c r="AO149" s="189">
        <v>40</v>
      </c>
      <c r="AP149" s="188">
        <v>41</v>
      </c>
      <c r="AQ149" s="189">
        <v>42</v>
      </c>
      <c r="AR149" s="188">
        <v>43</v>
      </c>
      <c r="AS149" s="189">
        <v>44</v>
      </c>
      <c r="AT149" s="188">
        <v>45</v>
      </c>
      <c r="AU149" s="189">
        <v>46</v>
      </c>
      <c r="AV149" s="188">
        <v>47</v>
      </c>
      <c r="AW149" s="189">
        <v>48</v>
      </c>
      <c r="AX149" s="188">
        <v>49</v>
      </c>
      <c r="AY149" s="189">
        <v>50</v>
      </c>
    </row>
    <row r="150" spans="2:51">
      <c r="B150" s="186" t="s">
        <v>141</v>
      </c>
      <c r="C150" s="187" t="s">
        <v>141</v>
      </c>
      <c r="D150" s="188" t="s">
        <v>141</v>
      </c>
      <c r="E150" s="189" t="s">
        <v>141</v>
      </c>
      <c r="F150" s="188" t="s">
        <v>141</v>
      </c>
      <c r="G150" s="189" t="s">
        <v>141</v>
      </c>
      <c r="H150" s="188" t="s">
        <v>141</v>
      </c>
      <c r="I150" s="189" t="s">
        <v>141</v>
      </c>
      <c r="J150" s="188" t="s">
        <v>141</v>
      </c>
      <c r="K150" s="189" t="s">
        <v>141</v>
      </c>
      <c r="L150" s="188" t="s">
        <v>141</v>
      </c>
      <c r="M150" s="189" t="s">
        <v>141</v>
      </c>
      <c r="N150" s="188" t="s">
        <v>141</v>
      </c>
      <c r="O150" s="189" t="s">
        <v>141</v>
      </c>
      <c r="P150" s="188" t="s">
        <v>141</v>
      </c>
      <c r="Q150" s="189" t="s">
        <v>141</v>
      </c>
      <c r="R150" s="188" t="s">
        <v>141</v>
      </c>
      <c r="S150" s="189" t="s">
        <v>141</v>
      </c>
      <c r="T150" s="188" t="s">
        <v>141</v>
      </c>
      <c r="U150" s="189" t="s">
        <v>141</v>
      </c>
      <c r="V150" s="188" t="s">
        <v>141</v>
      </c>
      <c r="W150" s="189" t="s">
        <v>141</v>
      </c>
      <c r="X150" s="188" t="s">
        <v>141</v>
      </c>
      <c r="Y150" s="189" t="s">
        <v>141</v>
      </c>
      <c r="Z150" s="188" t="s">
        <v>141</v>
      </c>
      <c r="AA150" s="189" t="s">
        <v>141</v>
      </c>
      <c r="AB150" s="188" t="s">
        <v>141</v>
      </c>
      <c r="AC150" s="189" t="s">
        <v>141</v>
      </c>
      <c r="AD150" s="188" t="s">
        <v>141</v>
      </c>
      <c r="AE150" s="189" t="s">
        <v>141</v>
      </c>
      <c r="AF150" s="188" t="s">
        <v>141</v>
      </c>
      <c r="AG150" s="189" t="s">
        <v>141</v>
      </c>
      <c r="AH150" s="188" t="s">
        <v>141</v>
      </c>
      <c r="AI150" s="189" t="s">
        <v>141</v>
      </c>
      <c r="AJ150" s="188" t="s">
        <v>141</v>
      </c>
      <c r="AK150" s="189" t="s">
        <v>141</v>
      </c>
      <c r="AL150" s="188" t="s">
        <v>141</v>
      </c>
      <c r="AM150" s="189" t="s">
        <v>141</v>
      </c>
      <c r="AN150" s="188" t="s">
        <v>141</v>
      </c>
      <c r="AO150" s="189" t="s">
        <v>141</v>
      </c>
      <c r="AP150" s="188" t="s">
        <v>141</v>
      </c>
      <c r="AQ150" s="189" t="s">
        <v>141</v>
      </c>
      <c r="AR150" s="188" t="s">
        <v>141</v>
      </c>
      <c r="AS150" s="189" t="s">
        <v>141</v>
      </c>
      <c r="AT150" s="188" t="s">
        <v>141</v>
      </c>
      <c r="AU150" s="189" t="s">
        <v>141</v>
      </c>
      <c r="AV150" s="188" t="s">
        <v>141</v>
      </c>
      <c r="AW150" s="189" t="s">
        <v>141</v>
      </c>
      <c r="AX150" s="188" t="s">
        <v>141</v>
      </c>
      <c r="AY150" s="189" t="s">
        <v>141</v>
      </c>
    </row>
    <row r="151" spans="2:51">
      <c r="B151" s="186" t="s">
        <v>141</v>
      </c>
      <c r="C151" s="187" t="s">
        <v>141</v>
      </c>
      <c r="D151" s="188" t="s">
        <v>141</v>
      </c>
      <c r="E151" s="189" t="s">
        <v>141</v>
      </c>
      <c r="F151" s="188" t="s">
        <v>141</v>
      </c>
      <c r="G151" s="189" t="s">
        <v>141</v>
      </c>
      <c r="H151" s="188" t="s">
        <v>141</v>
      </c>
      <c r="I151" s="189" t="s">
        <v>141</v>
      </c>
      <c r="J151" s="188" t="s">
        <v>141</v>
      </c>
      <c r="K151" s="189" t="s">
        <v>141</v>
      </c>
      <c r="L151" s="188" t="s">
        <v>141</v>
      </c>
      <c r="M151" s="189" t="s">
        <v>141</v>
      </c>
      <c r="N151" s="188" t="s">
        <v>141</v>
      </c>
      <c r="O151" s="189" t="s">
        <v>141</v>
      </c>
      <c r="P151" s="188" t="s">
        <v>141</v>
      </c>
      <c r="Q151" s="189" t="s">
        <v>141</v>
      </c>
      <c r="R151" s="188" t="s">
        <v>141</v>
      </c>
      <c r="S151" s="189" t="s">
        <v>141</v>
      </c>
      <c r="T151" s="188" t="s">
        <v>141</v>
      </c>
      <c r="U151" s="189" t="s">
        <v>141</v>
      </c>
      <c r="V151" s="188" t="s">
        <v>141</v>
      </c>
      <c r="W151" s="189" t="s">
        <v>141</v>
      </c>
      <c r="X151" s="188" t="s">
        <v>141</v>
      </c>
      <c r="Y151" s="189" t="s">
        <v>141</v>
      </c>
      <c r="Z151" s="188" t="s">
        <v>141</v>
      </c>
      <c r="AA151" s="189" t="s">
        <v>141</v>
      </c>
      <c r="AB151" s="188" t="s">
        <v>141</v>
      </c>
      <c r="AC151" s="189" t="s">
        <v>141</v>
      </c>
      <c r="AD151" s="188" t="s">
        <v>141</v>
      </c>
      <c r="AE151" s="189" t="s">
        <v>141</v>
      </c>
      <c r="AF151" s="188" t="s">
        <v>141</v>
      </c>
      <c r="AG151" s="189" t="s">
        <v>141</v>
      </c>
      <c r="AH151" s="188" t="s">
        <v>141</v>
      </c>
      <c r="AI151" s="189" t="s">
        <v>141</v>
      </c>
      <c r="AJ151" s="188" t="s">
        <v>141</v>
      </c>
      <c r="AK151" s="189" t="s">
        <v>141</v>
      </c>
      <c r="AL151" s="188" t="s">
        <v>141</v>
      </c>
      <c r="AM151" s="189" t="s">
        <v>141</v>
      </c>
      <c r="AN151" s="188" t="s">
        <v>141</v>
      </c>
      <c r="AO151" s="189" t="s">
        <v>141</v>
      </c>
      <c r="AP151" s="188" t="s">
        <v>141</v>
      </c>
      <c r="AQ151" s="189" t="s">
        <v>141</v>
      </c>
      <c r="AR151" s="188" t="s">
        <v>141</v>
      </c>
      <c r="AS151" s="189" t="s">
        <v>141</v>
      </c>
      <c r="AT151" s="188" t="s">
        <v>141</v>
      </c>
      <c r="AU151" s="189" t="s">
        <v>141</v>
      </c>
      <c r="AV151" s="188" t="s">
        <v>141</v>
      </c>
      <c r="AW151" s="189" t="s">
        <v>141</v>
      </c>
      <c r="AX151" s="188" t="s">
        <v>141</v>
      </c>
      <c r="AY151" s="189" t="s">
        <v>141</v>
      </c>
    </row>
    <row r="152" spans="2:51">
      <c r="B152" s="186" t="s">
        <v>141</v>
      </c>
      <c r="C152" s="187" t="s">
        <v>141</v>
      </c>
      <c r="D152" s="188" t="s">
        <v>141</v>
      </c>
      <c r="E152" s="189" t="s">
        <v>141</v>
      </c>
      <c r="F152" s="188" t="s">
        <v>141</v>
      </c>
      <c r="G152" s="189" t="s">
        <v>141</v>
      </c>
      <c r="H152" s="188" t="s">
        <v>141</v>
      </c>
      <c r="I152" s="189" t="s">
        <v>141</v>
      </c>
      <c r="J152" s="188" t="s">
        <v>141</v>
      </c>
      <c r="K152" s="189" t="s">
        <v>141</v>
      </c>
      <c r="L152" s="188" t="s">
        <v>141</v>
      </c>
      <c r="M152" s="189" t="s">
        <v>141</v>
      </c>
      <c r="N152" s="188" t="s">
        <v>141</v>
      </c>
      <c r="O152" s="189" t="s">
        <v>141</v>
      </c>
      <c r="P152" s="188" t="s">
        <v>141</v>
      </c>
      <c r="Q152" s="189" t="s">
        <v>141</v>
      </c>
      <c r="R152" s="188" t="s">
        <v>141</v>
      </c>
      <c r="S152" s="189" t="s">
        <v>141</v>
      </c>
      <c r="T152" s="188" t="s">
        <v>141</v>
      </c>
      <c r="U152" s="189" t="s">
        <v>141</v>
      </c>
      <c r="V152" s="188" t="s">
        <v>141</v>
      </c>
      <c r="W152" s="189" t="s">
        <v>141</v>
      </c>
      <c r="X152" s="188" t="s">
        <v>141</v>
      </c>
      <c r="Y152" s="189" t="s">
        <v>141</v>
      </c>
      <c r="Z152" s="188" t="s">
        <v>141</v>
      </c>
      <c r="AA152" s="189" t="s">
        <v>141</v>
      </c>
      <c r="AB152" s="188" t="s">
        <v>141</v>
      </c>
      <c r="AC152" s="189" t="s">
        <v>141</v>
      </c>
      <c r="AD152" s="188" t="s">
        <v>141</v>
      </c>
      <c r="AE152" s="189" t="s">
        <v>141</v>
      </c>
      <c r="AF152" s="188" t="s">
        <v>141</v>
      </c>
      <c r="AG152" s="189" t="s">
        <v>141</v>
      </c>
      <c r="AH152" s="188" t="s">
        <v>141</v>
      </c>
      <c r="AI152" s="189" t="s">
        <v>141</v>
      </c>
      <c r="AJ152" s="188" t="s">
        <v>141</v>
      </c>
      <c r="AK152" s="189" t="s">
        <v>141</v>
      </c>
      <c r="AL152" s="188" t="s">
        <v>141</v>
      </c>
      <c r="AM152" s="189" t="s">
        <v>141</v>
      </c>
      <c r="AN152" s="188" t="s">
        <v>141</v>
      </c>
      <c r="AO152" s="189" t="s">
        <v>141</v>
      </c>
      <c r="AP152" s="188" t="s">
        <v>141</v>
      </c>
      <c r="AQ152" s="189" t="s">
        <v>141</v>
      </c>
      <c r="AR152" s="188" t="s">
        <v>141</v>
      </c>
      <c r="AS152" s="189" t="s">
        <v>141</v>
      </c>
      <c r="AT152" s="188" t="s">
        <v>141</v>
      </c>
      <c r="AU152" s="189" t="s">
        <v>141</v>
      </c>
      <c r="AV152" s="188" t="s">
        <v>141</v>
      </c>
      <c r="AW152" s="189" t="s">
        <v>141</v>
      </c>
      <c r="AX152" s="188" t="s">
        <v>141</v>
      </c>
      <c r="AY152" s="189" t="s">
        <v>141</v>
      </c>
    </row>
    <row r="153" spans="2:51">
      <c r="B153" s="186" t="s">
        <v>141</v>
      </c>
      <c r="C153" s="187" t="s">
        <v>141</v>
      </c>
      <c r="D153" s="188" t="s">
        <v>141</v>
      </c>
      <c r="E153" s="189" t="s">
        <v>141</v>
      </c>
      <c r="F153" s="188" t="s">
        <v>141</v>
      </c>
      <c r="G153" s="189" t="s">
        <v>141</v>
      </c>
      <c r="H153" s="188" t="s">
        <v>141</v>
      </c>
      <c r="I153" s="189" t="s">
        <v>141</v>
      </c>
      <c r="J153" s="188" t="s">
        <v>141</v>
      </c>
      <c r="K153" s="189" t="s">
        <v>141</v>
      </c>
      <c r="L153" s="188" t="s">
        <v>141</v>
      </c>
      <c r="M153" s="189" t="s">
        <v>141</v>
      </c>
      <c r="N153" s="188" t="s">
        <v>141</v>
      </c>
      <c r="O153" s="189" t="s">
        <v>141</v>
      </c>
      <c r="P153" s="188" t="s">
        <v>141</v>
      </c>
      <c r="Q153" s="189" t="s">
        <v>141</v>
      </c>
      <c r="R153" s="188" t="s">
        <v>141</v>
      </c>
      <c r="S153" s="189" t="s">
        <v>141</v>
      </c>
      <c r="T153" s="188" t="s">
        <v>141</v>
      </c>
      <c r="U153" s="189" t="s">
        <v>141</v>
      </c>
      <c r="V153" s="188" t="s">
        <v>141</v>
      </c>
      <c r="W153" s="189" t="s">
        <v>141</v>
      </c>
      <c r="X153" s="188" t="s">
        <v>141</v>
      </c>
      <c r="Y153" s="189" t="s">
        <v>141</v>
      </c>
      <c r="Z153" s="188" t="s">
        <v>141</v>
      </c>
      <c r="AA153" s="189" t="s">
        <v>141</v>
      </c>
      <c r="AB153" s="188" t="s">
        <v>141</v>
      </c>
      <c r="AC153" s="189" t="s">
        <v>141</v>
      </c>
      <c r="AD153" s="188" t="s">
        <v>141</v>
      </c>
      <c r="AE153" s="189" t="s">
        <v>141</v>
      </c>
      <c r="AF153" s="188" t="s">
        <v>141</v>
      </c>
      <c r="AG153" s="189" t="s">
        <v>141</v>
      </c>
      <c r="AH153" s="188" t="s">
        <v>141</v>
      </c>
      <c r="AI153" s="189" t="s">
        <v>141</v>
      </c>
      <c r="AJ153" s="188" t="s">
        <v>141</v>
      </c>
      <c r="AK153" s="189" t="s">
        <v>141</v>
      </c>
      <c r="AL153" s="188" t="s">
        <v>141</v>
      </c>
      <c r="AM153" s="189" t="s">
        <v>141</v>
      </c>
      <c r="AN153" s="188" t="s">
        <v>141</v>
      </c>
      <c r="AO153" s="189" t="s">
        <v>141</v>
      </c>
      <c r="AP153" s="188" t="s">
        <v>141</v>
      </c>
      <c r="AQ153" s="189" t="s">
        <v>141</v>
      </c>
      <c r="AR153" s="188" t="s">
        <v>141</v>
      </c>
      <c r="AS153" s="189" t="s">
        <v>141</v>
      </c>
      <c r="AT153" s="188" t="s">
        <v>141</v>
      </c>
      <c r="AU153" s="189" t="s">
        <v>141</v>
      </c>
      <c r="AV153" s="188" t="s">
        <v>141</v>
      </c>
      <c r="AW153" s="189" t="s">
        <v>141</v>
      </c>
      <c r="AX153" s="188" t="s">
        <v>141</v>
      </c>
      <c r="AY153" s="189" t="s">
        <v>141</v>
      </c>
    </row>
    <row r="154" spans="2:51">
      <c r="B154" s="186" t="s">
        <v>141</v>
      </c>
      <c r="C154" s="187" t="s">
        <v>141</v>
      </c>
      <c r="D154" s="188" t="s">
        <v>141</v>
      </c>
      <c r="E154" s="189" t="s">
        <v>141</v>
      </c>
      <c r="F154" s="188" t="s">
        <v>141</v>
      </c>
      <c r="G154" s="189" t="s">
        <v>141</v>
      </c>
      <c r="H154" s="188" t="s">
        <v>141</v>
      </c>
      <c r="I154" s="189" t="s">
        <v>141</v>
      </c>
      <c r="J154" s="188" t="s">
        <v>141</v>
      </c>
      <c r="K154" s="189" t="s">
        <v>141</v>
      </c>
      <c r="L154" s="188" t="s">
        <v>141</v>
      </c>
      <c r="M154" s="189" t="s">
        <v>141</v>
      </c>
      <c r="N154" s="188" t="s">
        <v>141</v>
      </c>
      <c r="O154" s="189" t="s">
        <v>141</v>
      </c>
      <c r="P154" s="188" t="s">
        <v>141</v>
      </c>
      <c r="Q154" s="189" t="s">
        <v>141</v>
      </c>
      <c r="R154" s="188" t="s">
        <v>141</v>
      </c>
      <c r="S154" s="189" t="s">
        <v>141</v>
      </c>
      <c r="T154" s="188" t="s">
        <v>141</v>
      </c>
      <c r="U154" s="189" t="s">
        <v>141</v>
      </c>
      <c r="V154" s="188" t="s">
        <v>141</v>
      </c>
      <c r="W154" s="189" t="s">
        <v>141</v>
      </c>
      <c r="X154" s="188" t="s">
        <v>141</v>
      </c>
      <c r="Y154" s="189" t="s">
        <v>141</v>
      </c>
      <c r="Z154" s="188" t="s">
        <v>141</v>
      </c>
      <c r="AA154" s="189" t="s">
        <v>141</v>
      </c>
      <c r="AB154" s="188" t="s">
        <v>141</v>
      </c>
      <c r="AC154" s="189" t="s">
        <v>141</v>
      </c>
      <c r="AD154" s="188" t="s">
        <v>141</v>
      </c>
      <c r="AE154" s="189" t="s">
        <v>141</v>
      </c>
      <c r="AF154" s="188" t="s">
        <v>141</v>
      </c>
      <c r="AG154" s="189" t="s">
        <v>141</v>
      </c>
      <c r="AH154" s="188" t="s">
        <v>141</v>
      </c>
      <c r="AI154" s="189" t="s">
        <v>141</v>
      </c>
      <c r="AJ154" s="188" t="s">
        <v>141</v>
      </c>
      <c r="AK154" s="189" t="s">
        <v>141</v>
      </c>
      <c r="AL154" s="188" t="s">
        <v>141</v>
      </c>
      <c r="AM154" s="189" t="s">
        <v>141</v>
      </c>
      <c r="AN154" s="188" t="s">
        <v>141</v>
      </c>
      <c r="AO154" s="189" t="s">
        <v>141</v>
      </c>
      <c r="AP154" s="188" t="s">
        <v>141</v>
      </c>
      <c r="AQ154" s="189" t="s">
        <v>141</v>
      </c>
      <c r="AR154" s="188" t="s">
        <v>141</v>
      </c>
      <c r="AS154" s="189" t="s">
        <v>141</v>
      </c>
      <c r="AT154" s="188" t="s">
        <v>141</v>
      </c>
      <c r="AU154" s="189" t="s">
        <v>141</v>
      </c>
      <c r="AV154" s="188" t="s">
        <v>141</v>
      </c>
      <c r="AW154" s="189" t="s">
        <v>141</v>
      </c>
      <c r="AX154" s="188" t="s">
        <v>141</v>
      </c>
      <c r="AY154" s="189" t="s">
        <v>141</v>
      </c>
    </row>
    <row r="155" spans="2:51">
      <c r="B155" s="186" t="s">
        <v>141</v>
      </c>
      <c r="C155" s="187" t="s">
        <v>141</v>
      </c>
      <c r="D155" s="188" t="s">
        <v>141</v>
      </c>
      <c r="E155" s="189" t="s">
        <v>141</v>
      </c>
      <c r="F155" s="188" t="s">
        <v>141</v>
      </c>
      <c r="G155" s="189" t="s">
        <v>141</v>
      </c>
      <c r="H155" s="188" t="s">
        <v>141</v>
      </c>
      <c r="I155" s="189" t="s">
        <v>141</v>
      </c>
      <c r="J155" s="188" t="s">
        <v>141</v>
      </c>
      <c r="K155" s="189" t="s">
        <v>141</v>
      </c>
      <c r="L155" s="188" t="s">
        <v>141</v>
      </c>
      <c r="M155" s="189" t="s">
        <v>141</v>
      </c>
      <c r="N155" s="188" t="s">
        <v>141</v>
      </c>
      <c r="O155" s="189" t="s">
        <v>141</v>
      </c>
      <c r="P155" s="188" t="s">
        <v>141</v>
      </c>
      <c r="Q155" s="189" t="s">
        <v>141</v>
      </c>
      <c r="R155" s="188" t="s">
        <v>141</v>
      </c>
      <c r="S155" s="189" t="s">
        <v>141</v>
      </c>
      <c r="T155" s="188" t="s">
        <v>141</v>
      </c>
      <c r="U155" s="189" t="s">
        <v>141</v>
      </c>
      <c r="V155" s="188" t="s">
        <v>141</v>
      </c>
      <c r="W155" s="189" t="s">
        <v>141</v>
      </c>
      <c r="X155" s="188" t="s">
        <v>141</v>
      </c>
      <c r="Y155" s="189" t="s">
        <v>141</v>
      </c>
      <c r="Z155" s="188" t="s">
        <v>141</v>
      </c>
      <c r="AA155" s="189" t="s">
        <v>141</v>
      </c>
      <c r="AB155" s="188" t="s">
        <v>141</v>
      </c>
      <c r="AC155" s="189" t="s">
        <v>141</v>
      </c>
      <c r="AD155" s="188" t="s">
        <v>141</v>
      </c>
      <c r="AE155" s="189" t="s">
        <v>141</v>
      </c>
      <c r="AF155" s="188" t="s">
        <v>141</v>
      </c>
      <c r="AG155" s="189" t="s">
        <v>141</v>
      </c>
      <c r="AH155" s="188" t="s">
        <v>141</v>
      </c>
      <c r="AI155" s="189" t="s">
        <v>141</v>
      </c>
      <c r="AJ155" s="188" t="s">
        <v>141</v>
      </c>
      <c r="AK155" s="189" t="s">
        <v>141</v>
      </c>
      <c r="AL155" s="188" t="s">
        <v>141</v>
      </c>
      <c r="AM155" s="189" t="s">
        <v>141</v>
      </c>
      <c r="AN155" s="188" t="s">
        <v>141</v>
      </c>
      <c r="AO155" s="189" t="s">
        <v>141</v>
      </c>
      <c r="AP155" s="188" t="s">
        <v>141</v>
      </c>
      <c r="AQ155" s="189" t="s">
        <v>141</v>
      </c>
      <c r="AR155" s="188" t="s">
        <v>141</v>
      </c>
      <c r="AS155" s="189" t="s">
        <v>141</v>
      </c>
      <c r="AT155" s="188" t="s">
        <v>141</v>
      </c>
      <c r="AU155" s="189" t="s">
        <v>141</v>
      </c>
      <c r="AV155" s="188" t="s">
        <v>141</v>
      </c>
      <c r="AW155" s="189" t="s">
        <v>141</v>
      </c>
      <c r="AX155" s="188" t="s">
        <v>141</v>
      </c>
      <c r="AY155" s="189" t="s">
        <v>141</v>
      </c>
    </row>
    <row r="156" spans="2:51">
      <c r="B156" s="186" t="s">
        <v>141</v>
      </c>
      <c r="C156" s="187" t="s">
        <v>141</v>
      </c>
      <c r="D156" s="188" t="s">
        <v>141</v>
      </c>
      <c r="E156" s="189" t="s">
        <v>141</v>
      </c>
      <c r="F156" s="188" t="s">
        <v>141</v>
      </c>
      <c r="G156" s="189" t="s">
        <v>141</v>
      </c>
      <c r="H156" s="188" t="s">
        <v>141</v>
      </c>
      <c r="I156" s="189" t="s">
        <v>141</v>
      </c>
      <c r="J156" s="188" t="s">
        <v>141</v>
      </c>
      <c r="K156" s="189" t="s">
        <v>141</v>
      </c>
      <c r="L156" s="188" t="s">
        <v>141</v>
      </c>
      <c r="M156" s="189" t="s">
        <v>141</v>
      </c>
      <c r="N156" s="188" t="s">
        <v>141</v>
      </c>
      <c r="O156" s="189" t="s">
        <v>141</v>
      </c>
      <c r="P156" s="188" t="s">
        <v>141</v>
      </c>
      <c r="Q156" s="189" t="s">
        <v>141</v>
      </c>
      <c r="R156" s="188" t="s">
        <v>141</v>
      </c>
      <c r="S156" s="189" t="s">
        <v>141</v>
      </c>
      <c r="T156" s="188" t="s">
        <v>141</v>
      </c>
      <c r="U156" s="189" t="s">
        <v>141</v>
      </c>
      <c r="V156" s="188" t="s">
        <v>141</v>
      </c>
      <c r="W156" s="189" t="s">
        <v>141</v>
      </c>
      <c r="X156" s="188" t="s">
        <v>141</v>
      </c>
      <c r="Y156" s="189" t="s">
        <v>141</v>
      </c>
      <c r="Z156" s="188" t="s">
        <v>141</v>
      </c>
      <c r="AA156" s="189" t="s">
        <v>141</v>
      </c>
      <c r="AB156" s="188" t="s">
        <v>141</v>
      </c>
      <c r="AC156" s="189" t="s">
        <v>141</v>
      </c>
      <c r="AD156" s="188" t="s">
        <v>141</v>
      </c>
      <c r="AE156" s="189" t="s">
        <v>141</v>
      </c>
      <c r="AF156" s="188" t="s">
        <v>141</v>
      </c>
      <c r="AG156" s="189" t="s">
        <v>141</v>
      </c>
      <c r="AH156" s="188" t="s">
        <v>141</v>
      </c>
      <c r="AI156" s="189" t="s">
        <v>141</v>
      </c>
      <c r="AJ156" s="188" t="s">
        <v>141</v>
      </c>
      <c r="AK156" s="189" t="s">
        <v>141</v>
      </c>
      <c r="AL156" s="188" t="s">
        <v>141</v>
      </c>
      <c r="AM156" s="189" t="s">
        <v>141</v>
      </c>
      <c r="AN156" s="188" t="s">
        <v>141</v>
      </c>
      <c r="AO156" s="189" t="s">
        <v>141</v>
      </c>
      <c r="AP156" s="188" t="s">
        <v>141</v>
      </c>
      <c r="AQ156" s="189" t="s">
        <v>141</v>
      </c>
      <c r="AR156" s="188" t="s">
        <v>141</v>
      </c>
      <c r="AS156" s="189" t="s">
        <v>141</v>
      </c>
      <c r="AT156" s="188" t="s">
        <v>141</v>
      </c>
      <c r="AU156" s="189" t="s">
        <v>141</v>
      </c>
      <c r="AV156" s="188" t="s">
        <v>141</v>
      </c>
      <c r="AW156" s="189" t="s">
        <v>141</v>
      </c>
      <c r="AX156" s="188" t="s">
        <v>141</v>
      </c>
      <c r="AY156" s="189" t="s">
        <v>141</v>
      </c>
    </row>
    <row r="157" spans="2:51">
      <c r="B157" s="186" t="s">
        <v>141</v>
      </c>
      <c r="C157" s="187" t="s">
        <v>141</v>
      </c>
      <c r="D157" s="188" t="s">
        <v>141</v>
      </c>
      <c r="E157" s="189" t="s">
        <v>141</v>
      </c>
      <c r="F157" s="188" t="s">
        <v>141</v>
      </c>
      <c r="G157" s="189" t="s">
        <v>141</v>
      </c>
      <c r="H157" s="188" t="s">
        <v>141</v>
      </c>
      <c r="I157" s="189" t="s">
        <v>141</v>
      </c>
      <c r="J157" s="188" t="s">
        <v>141</v>
      </c>
      <c r="K157" s="189" t="s">
        <v>141</v>
      </c>
      <c r="L157" s="188" t="s">
        <v>141</v>
      </c>
      <c r="M157" s="189" t="s">
        <v>141</v>
      </c>
      <c r="N157" s="188" t="s">
        <v>141</v>
      </c>
      <c r="O157" s="189" t="s">
        <v>141</v>
      </c>
      <c r="P157" s="188" t="s">
        <v>141</v>
      </c>
      <c r="Q157" s="189" t="s">
        <v>141</v>
      </c>
      <c r="R157" s="188" t="s">
        <v>141</v>
      </c>
      <c r="S157" s="189" t="s">
        <v>141</v>
      </c>
      <c r="T157" s="188" t="s">
        <v>141</v>
      </c>
      <c r="U157" s="189" t="s">
        <v>141</v>
      </c>
      <c r="V157" s="188" t="s">
        <v>141</v>
      </c>
      <c r="W157" s="189" t="s">
        <v>141</v>
      </c>
      <c r="X157" s="188" t="s">
        <v>141</v>
      </c>
      <c r="Y157" s="189" t="s">
        <v>141</v>
      </c>
      <c r="Z157" s="188" t="s">
        <v>141</v>
      </c>
      <c r="AA157" s="189" t="s">
        <v>141</v>
      </c>
      <c r="AB157" s="188" t="s">
        <v>141</v>
      </c>
      <c r="AC157" s="189" t="s">
        <v>141</v>
      </c>
      <c r="AD157" s="188" t="s">
        <v>141</v>
      </c>
      <c r="AE157" s="189" t="s">
        <v>141</v>
      </c>
      <c r="AF157" s="188" t="s">
        <v>141</v>
      </c>
      <c r="AG157" s="189" t="s">
        <v>141</v>
      </c>
      <c r="AH157" s="188" t="s">
        <v>141</v>
      </c>
      <c r="AI157" s="189" t="s">
        <v>141</v>
      </c>
      <c r="AJ157" s="188" t="s">
        <v>141</v>
      </c>
      <c r="AK157" s="189" t="s">
        <v>141</v>
      </c>
      <c r="AL157" s="188" t="s">
        <v>141</v>
      </c>
      <c r="AM157" s="189" t="s">
        <v>141</v>
      </c>
      <c r="AN157" s="188" t="s">
        <v>141</v>
      </c>
      <c r="AO157" s="189" t="s">
        <v>141</v>
      </c>
      <c r="AP157" s="188" t="s">
        <v>141</v>
      </c>
      <c r="AQ157" s="189" t="s">
        <v>141</v>
      </c>
      <c r="AR157" s="188" t="s">
        <v>141</v>
      </c>
      <c r="AS157" s="189" t="s">
        <v>141</v>
      </c>
      <c r="AT157" s="188" t="s">
        <v>141</v>
      </c>
      <c r="AU157" s="189" t="s">
        <v>141</v>
      </c>
      <c r="AV157" s="188" t="s">
        <v>141</v>
      </c>
      <c r="AW157" s="189" t="s">
        <v>141</v>
      </c>
      <c r="AX157" s="188" t="s">
        <v>141</v>
      </c>
      <c r="AY157" s="189" t="s">
        <v>141</v>
      </c>
    </row>
    <row r="158" spans="2:51">
      <c r="B158" s="186" t="s">
        <v>141</v>
      </c>
      <c r="C158" s="187" t="s">
        <v>141</v>
      </c>
      <c r="D158" s="188" t="s">
        <v>141</v>
      </c>
      <c r="E158" s="189" t="s">
        <v>141</v>
      </c>
      <c r="F158" s="188" t="s">
        <v>141</v>
      </c>
      <c r="G158" s="189" t="s">
        <v>141</v>
      </c>
      <c r="H158" s="188" t="s">
        <v>141</v>
      </c>
      <c r="I158" s="189" t="s">
        <v>141</v>
      </c>
      <c r="J158" s="188" t="s">
        <v>141</v>
      </c>
      <c r="K158" s="189" t="s">
        <v>141</v>
      </c>
      <c r="L158" s="188" t="s">
        <v>141</v>
      </c>
      <c r="M158" s="189" t="s">
        <v>141</v>
      </c>
      <c r="N158" s="188" t="s">
        <v>141</v>
      </c>
      <c r="O158" s="189" t="s">
        <v>141</v>
      </c>
      <c r="P158" s="188" t="s">
        <v>141</v>
      </c>
      <c r="Q158" s="189" t="s">
        <v>141</v>
      </c>
      <c r="R158" s="188" t="s">
        <v>141</v>
      </c>
      <c r="S158" s="189" t="s">
        <v>141</v>
      </c>
      <c r="T158" s="188" t="s">
        <v>141</v>
      </c>
      <c r="U158" s="189" t="s">
        <v>141</v>
      </c>
      <c r="V158" s="188" t="s">
        <v>141</v>
      </c>
      <c r="W158" s="189" t="s">
        <v>141</v>
      </c>
      <c r="X158" s="188" t="s">
        <v>141</v>
      </c>
      <c r="Y158" s="189" t="s">
        <v>141</v>
      </c>
      <c r="Z158" s="188" t="s">
        <v>141</v>
      </c>
      <c r="AA158" s="189" t="s">
        <v>141</v>
      </c>
      <c r="AB158" s="188" t="s">
        <v>141</v>
      </c>
      <c r="AC158" s="189" t="s">
        <v>141</v>
      </c>
      <c r="AD158" s="188" t="s">
        <v>141</v>
      </c>
      <c r="AE158" s="189" t="s">
        <v>141</v>
      </c>
      <c r="AF158" s="188" t="s">
        <v>141</v>
      </c>
      <c r="AG158" s="189" t="s">
        <v>141</v>
      </c>
      <c r="AH158" s="188" t="s">
        <v>141</v>
      </c>
      <c r="AI158" s="189" t="s">
        <v>141</v>
      </c>
      <c r="AJ158" s="188" t="s">
        <v>141</v>
      </c>
      <c r="AK158" s="189" t="s">
        <v>141</v>
      </c>
      <c r="AL158" s="188" t="s">
        <v>141</v>
      </c>
      <c r="AM158" s="189" t="s">
        <v>141</v>
      </c>
      <c r="AN158" s="188" t="s">
        <v>141</v>
      </c>
      <c r="AO158" s="189" t="s">
        <v>141</v>
      </c>
      <c r="AP158" s="188" t="s">
        <v>141</v>
      </c>
      <c r="AQ158" s="189" t="s">
        <v>141</v>
      </c>
      <c r="AR158" s="188" t="s">
        <v>141</v>
      </c>
      <c r="AS158" s="189" t="s">
        <v>141</v>
      </c>
      <c r="AT158" s="188" t="s">
        <v>141</v>
      </c>
      <c r="AU158" s="189" t="s">
        <v>141</v>
      </c>
      <c r="AV158" s="188" t="s">
        <v>141</v>
      </c>
      <c r="AW158" s="189" t="s">
        <v>141</v>
      </c>
      <c r="AX158" s="188" t="s">
        <v>141</v>
      </c>
      <c r="AY158" s="189" t="s">
        <v>141</v>
      </c>
    </row>
    <row r="159" spans="2:51">
      <c r="B159" s="186" t="s">
        <v>141</v>
      </c>
      <c r="C159" s="187" t="s">
        <v>141</v>
      </c>
      <c r="D159" s="188" t="s">
        <v>141</v>
      </c>
      <c r="E159" s="189" t="s">
        <v>141</v>
      </c>
      <c r="F159" s="188" t="s">
        <v>141</v>
      </c>
      <c r="G159" s="189" t="s">
        <v>141</v>
      </c>
      <c r="H159" s="188" t="s">
        <v>141</v>
      </c>
      <c r="I159" s="189" t="s">
        <v>141</v>
      </c>
      <c r="J159" s="188" t="s">
        <v>141</v>
      </c>
      <c r="K159" s="189" t="s">
        <v>141</v>
      </c>
      <c r="L159" s="188" t="s">
        <v>141</v>
      </c>
      <c r="M159" s="189" t="s">
        <v>141</v>
      </c>
      <c r="N159" s="188" t="s">
        <v>141</v>
      </c>
      <c r="O159" s="189" t="s">
        <v>141</v>
      </c>
      <c r="P159" s="188" t="s">
        <v>141</v>
      </c>
      <c r="Q159" s="189" t="s">
        <v>141</v>
      </c>
      <c r="R159" s="188" t="s">
        <v>141</v>
      </c>
      <c r="S159" s="189" t="s">
        <v>141</v>
      </c>
      <c r="T159" s="188" t="s">
        <v>141</v>
      </c>
      <c r="U159" s="189" t="s">
        <v>141</v>
      </c>
      <c r="V159" s="188" t="s">
        <v>141</v>
      </c>
      <c r="W159" s="189" t="s">
        <v>141</v>
      </c>
      <c r="X159" s="188" t="s">
        <v>141</v>
      </c>
      <c r="Y159" s="189" t="s">
        <v>141</v>
      </c>
      <c r="Z159" s="188" t="s">
        <v>141</v>
      </c>
      <c r="AA159" s="189" t="s">
        <v>141</v>
      </c>
      <c r="AB159" s="188" t="s">
        <v>141</v>
      </c>
      <c r="AC159" s="189" t="s">
        <v>141</v>
      </c>
      <c r="AD159" s="188" t="s">
        <v>141</v>
      </c>
      <c r="AE159" s="189" t="s">
        <v>141</v>
      </c>
      <c r="AF159" s="188" t="s">
        <v>141</v>
      </c>
      <c r="AG159" s="189" t="s">
        <v>141</v>
      </c>
      <c r="AH159" s="188" t="s">
        <v>141</v>
      </c>
      <c r="AI159" s="189" t="s">
        <v>141</v>
      </c>
      <c r="AJ159" s="188" t="s">
        <v>141</v>
      </c>
      <c r="AK159" s="189" t="s">
        <v>141</v>
      </c>
      <c r="AL159" s="188" t="s">
        <v>141</v>
      </c>
      <c r="AM159" s="189" t="s">
        <v>141</v>
      </c>
      <c r="AN159" s="188" t="s">
        <v>141</v>
      </c>
      <c r="AO159" s="189" t="s">
        <v>141</v>
      </c>
      <c r="AP159" s="188" t="s">
        <v>141</v>
      </c>
      <c r="AQ159" s="189" t="s">
        <v>141</v>
      </c>
      <c r="AR159" s="188" t="s">
        <v>141</v>
      </c>
      <c r="AS159" s="189" t="s">
        <v>141</v>
      </c>
      <c r="AT159" s="188" t="s">
        <v>141</v>
      </c>
      <c r="AU159" s="189" t="s">
        <v>141</v>
      </c>
      <c r="AV159" s="188" t="s">
        <v>141</v>
      </c>
      <c r="AW159" s="189" t="s">
        <v>141</v>
      </c>
      <c r="AX159" s="188" t="s">
        <v>141</v>
      </c>
      <c r="AY159" s="189" t="s">
        <v>141</v>
      </c>
    </row>
    <row r="160" spans="2:51">
      <c r="B160" s="186" t="s">
        <v>141</v>
      </c>
      <c r="C160" s="187" t="s">
        <v>141</v>
      </c>
      <c r="D160" s="188" t="s">
        <v>141</v>
      </c>
      <c r="E160" s="189" t="s">
        <v>141</v>
      </c>
      <c r="F160" s="188" t="s">
        <v>141</v>
      </c>
      <c r="G160" s="189" t="s">
        <v>141</v>
      </c>
      <c r="H160" s="188" t="s">
        <v>141</v>
      </c>
      <c r="I160" s="189" t="s">
        <v>141</v>
      </c>
      <c r="J160" s="188" t="s">
        <v>141</v>
      </c>
      <c r="K160" s="189" t="s">
        <v>141</v>
      </c>
      <c r="L160" s="188" t="s">
        <v>141</v>
      </c>
      <c r="M160" s="189" t="s">
        <v>141</v>
      </c>
      <c r="N160" s="188" t="s">
        <v>141</v>
      </c>
      <c r="O160" s="189" t="s">
        <v>141</v>
      </c>
      <c r="P160" s="188" t="s">
        <v>141</v>
      </c>
      <c r="Q160" s="189" t="s">
        <v>141</v>
      </c>
      <c r="R160" s="188" t="s">
        <v>141</v>
      </c>
      <c r="S160" s="189" t="s">
        <v>141</v>
      </c>
      <c r="T160" s="188" t="s">
        <v>141</v>
      </c>
      <c r="U160" s="189" t="s">
        <v>141</v>
      </c>
      <c r="V160" s="188" t="s">
        <v>141</v>
      </c>
      <c r="W160" s="189" t="s">
        <v>141</v>
      </c>
      <c r="X160" s="188" t="s">
        <v>141</v>
      </c>
      <c r="Y160" s="189" t="s">
        <v>141</v>
      </c>
      <c r="Z160" s="188" t="s">
        <v>141</v>
      </c>
      <c r="AA160" s="189" t="s">
        <v>141</v>
      </c>
      <c r="AB160" s="188" t="s">
        <v>141</v>
      </c>
      <c r="AC160" s="189" t="s">
        <v>141</v>
      </c>
      <c r="AD160" s="188" t="s">
        <v>141</v>
      </c>
      <c r="AE160" s="189" t="s">
        <v>141</v>
      </c>
      <c r="AF160" s="188" t="s">
        <v>141</v>
      </c>
      <c r="AG160" s="189" t="s">
        <v>141</v>
      </c>
      <c r="AH160" s="188" t="s">
        <v>141</v>
      </c>
      <c r="AI160" s="189" t="s">
        <v>141</v>
      </c>
      <c r="AJ160" s="188" t="s">
        <v>141</v>
      </c>
      <c r="AK160" s="189" t="s">
        <v>141</v>
      </c>
      <c r="AL160" s="188" t="s">
        <v>141</v>
      </c>
      <c r="AM160" s="189" t="s">
        <v>141</v>
      </c>
      <c r="AN160" s="188" t="s">
        <v>141</v>
      </c>
      <c r="AO160" s="189" t="s">
        <v>141</v>
      </c>
      <c r="AP160" s="188" t="s">
        <v>141</v>
      </c>
      <c r="AQ160" s="189" t="s">
        <v>141</v>
      </c>
      <c r="AR160" s="188" t="s">
        <v>141</v>
      </c>
      <c r="AS160" s="189" t="s">
        <v>141</v>
      </c>
      <c r="AT160" s="188" t="s">
        <v>141</v>
      </c>
      <c r="AU160" s="189" t="s">
        <v>141</v>
      </c>
      <c r="AV160" s="188" t="s">
        <v>141</v>
      </c>
      <c r="AW160" s="189" t="s">
        <v>141</v>
      </c>
      <c r="AX160" s="188" t="s">
        <v>141</v>
      </c>
      <c r="AY160" s="189" t="s">
        <v>141</v>
      </c>
    </row>
    <row r="161" spans="2:51">
      <c r="B161" s="186" t="s">
        <v>141</v>
      </c>
      <c r="C161" s="187" t="s">
        <v>141</v>
      </c>
      <c r="D161" s="188" t="s">
        <v>141</v>
      </c>
      <c r="E161" s="189" t="s">
        <v>141</v>
      </c>
      <c r="F161" s="188" t="s">
        <v>141</v>
      </c>
      <c r="G161" s="189" t="s">
        <v>141</v>
      </c>
      <c r="H161" s="188" t="s">
        <v>141</v>
      </c>
      <c r="I161" s="189" t="s">
        <v>141</v>
      </c>
      <c r="J161" s="188" t="s">
        <v>141</v>
      </c>
      <c r="K161" s="189" t="s">
        <v>141</v>
      </c>
      <c r="L161" s="188" t="s">
        <v>141</v>
      </c>
      <c r="M161" s="189" t="s">
        <v>141</v>
      </c>
      <c r="N161" s="188" t="s">
        <v>141</v>
      </c>
      <c r="O161" s="189" t="s">
        <v>141</v>
      </c>
      <c r="P161" s="188" t="s">
        <v>141</v>
      </c>
      <c r="Q161" s="189" t="s">
        <v>141</v>
      </c>
      <c r="R161" s="188" t="s">
        <v>141</v>
      </c>
      <c r="S161" s="189" t="s">
        <v>141</v>
      </c>
      <c r="T161" s="188" t="s">
        <v>141</v>
      </c>
      <c r="U161" s="189" t="s">
        <v>141</v>
      </c>
      <c r="V161" s="188" t="s">
        <v>141</v>
      </c>
      <c r="W161" s="189" t="s">
        <v>141</v>
      </c>
      <c r="X161" s="188" t="s">
        <v>141</v>
      </c>
      <c r="Y161" s="189" t="s">
        <v>141</v>
      </c>
      <c r="Z161" s="188" t="s">
        <v>141</v>
      </c>
      <c r="AA161" s="189" t="s">
        <v>141</v>
      </c>
      <c r="AB161" s="188" t="s">
        <v>141</v>
      </c>
      <c r="AC161" s="189" t="s">
        <v>141</v>
      </c>
      <c r="AD161" s="188" t="s">
        <v>141</v>
      </c>
      <c r="AE161" s="189" t="s">
        <v>141</v>
      </c>
      <c r="AF161" s="188" t="s">
        <v>141</v>
      </c>
      <c r="AG161" s="189" t="s">
        <v>141</v>
      </c>
      <c r="AH161" s="188" t="s">
        <v>141</v>
      </c>
      <c r="AI161" s="189" t="s">
        <v>141</v>
      </c>
      <c r="AJ161" s="188" t="s">
        <v>141</v>
      </c>
      <c r="AK161" s="189" t="s">
        <v>141</v>
      </c>
      <c r="AL161" s="188" t="s">
        <v>141</v>
      </c>
      <c r="AM161" s="189" t="s">
        <v>141</v>
      </c>
      <c r="AN161" s="188" t="s">
        <v>141</v>
      </c>
      <c r="AO161" s="189" t="s">
        <v>141</v>
      </c>
      <c r="AP161" s="188" t="s">
        <v>141</v>
      </c>
      <c r="AQ161" s="189" t="s">
        <v>141</v>
      </c>
      <c r="AR161" s="188" t="s">
        <v>141</v>
      </c>
      <c r="AS161" s="189" t="s">
        <v>141</v>
      </c>
      <c r="AT161" s="188" t="s">
        <v>141</v>
      </c>
      <c r="AU161" s="189" t="s">
        <v>141</v>
      </c>
      <c r="AV161" s="188" t="s">
        <v>141</v>
      </c>
      <c r="AW161" s="189" t="s">
        <v>141</v>
      </c>
      <c r="AX161" s="188" t="s">
        <v>141</v>
      </c>
      <c r="AY161" s="189" t="s">
        <v>141</v>
      </c>
    </row>
    <row r="162" spans="2:51">
      <c r="B162" s="186" t="s">
        <v>141</v>
      </c>
      <c r="C162" s="187" t="s">
        <v>141</v>
      </c>
      <c r="D162" s="188" t="s">
        <v>141</v>
      </c>
      <c r="E162" s="189" t="s">
        <v>141</v>
      </c>
      <c r="F162" s="188" t="s">
        <v>141</v>
      </c>
      <c r="G162" s="189" t="s">
        <v>141</v>
      </c>
      <c r="H162" s="188" t="s">
        <v>141</v>
      </c>
      <c r="I162" s="189" t="s">
        <v>141</v>
      </c>
      <c r="J162" s="188" t="s">
        <v>141</v>
      </c>
      <c r="K162" s="189" t="s">
        <v>141</v>
      </c>
      <c r="L162" s="188" t="s">
        <v>141</v>
      </c>
      <c r="M162" s="189" t="s">
        <v>141</v>
      </c>
      <c r="N162" s="188" t="s">
        <v>141</v>
      </c>
      <c r="O162" s="189" t="s">
        <v>141</v>
      </c>
      <c r="P162" s="188" t="s">
        <v>141</v>
      </c>
      <c r="Q162" s="189" t="s">
        <v>141</v>
      </c>
      <c r="R162" s="188" t="s">
        <v>141</v>
      </c>
      <c r="S162" s="189" t="s">
        <v>141</v>
      </c>
      <c r="T162" s="188" t="s">
        <v>141</v>
      </c>
      <c r="U162" s="189" t="s">
        <v>141</v>
      </c>
      <c r="V162" s="188" t="s">
        <v>141</v>
      </c>
      <c r="W162" s="189" t="s">
        <v>141</v>
      </c>
      <c r="X162" s="188" t="s">
        <v>141</v>
      </c>
      <c r="Y162" s="189" t="s">
        <v>141</v>
      </c>
      <c r="Z162" s="188" t="s">
        <v>141</v>
      </c>
      <c r="AA162" s="189" t="s">
        <v>141</v>
      </c>
      <c r="AB162" s="188" t="s">
        <v>141</v>
      </c>
      <c r="AC162" s="189" t="s">
        <v>141</v>
      </c>
      <c r="AD162" s="188" t="s">
        <v>141</v>
      </c>
      <c r="AE162" s="189" t="s">
        <v>141</v>
      </c>
      <c r="AF162" s="188" t="s">
        <v>141</v>
      </c>
      <c r="AG162" s="189" t="s">
        <v>141</v>
      </c>
      <c r="AH162" s="188" t="s">
        <v>141</v>
      </c>
      <c r="AI162" s="189" t="s">
        <v>141</v>
      </c>
      <c r="AJ162" s="188" t="s">
        <v>141</v>
      </c>
      <c r="AK162" s="189" t="s">
        <v>141</v>
      </c>
      <c r="AL162" s="188" t="s">
        <v>141</v>
      </c>
      <c r="AM162" s="189" t="s">
        <v>141</v>
      </c>
      <c r="AN162" s="188" t="s">
        <v>141</v>
      </c>
      <c r="AO162" s="189" t="s">
        <v>141</v>
      </c>
      <c r="AP162" s="188" t="s">
        <v>141</v>
      </c>
      <c r="AQ162" s="189" t="s">
        <v>141</v>
      </c>
      <c r="AR162" s="188" t="s">
        <v>141</v>
      </c>
      <c r="AS162" s="189" t="s">
        <v>141</v>
      </c>
      <c r="AT162" s="188" t="s">
        <v>141</v>
      </c>
      <c r="AU162" s="189" t="s">
        <v>141</v>
      </c>
      <c r="AV162" s="188" t="s">
        <v>141</v>
      </c>
      <c r="AW162" s="189" t="s">
        <v>141</v>
      </c>
      <c r="AX162" s="188" t="s">
        <v>141</v>
      </c>
      <c r="AY162" s="189" t="s">
        <v>141</v>
      </c>
    </row>
    <row r="163" spans="2:51">
      <c r="B163" s="186" t="s">
        <v>141</v>
      </c>
      <c r="C163" s="187" t="s">
        <v>141</v>
      </c>
      <c r="D163" s="188" t="s">
        <v>141</v>
      </c>
      <c r="E163" s="189" t="s">
        <v>141</v>
      </c>
      <c r="F163" s="188" t="s">
        <v>141</v>
      </c>
      <c r="G163" s="189" t="s">
        <v>141</v>
      </c>
      <c r="H163" s="188" t="s">
        <v>141</v>
      </c>
      <c r="I163" s="189" t="s">
        <v>141</v>
      </c>
      <c r="J163" s="188" t="s">
        <v>141</v>
      </c>
      <c r="K163" s="189" t="s">
        <v>141</v>
      </c>
      <c r="L163" s="188" t="s">
        <v>141</v>
      </c>
      <c r="M163" s="189" t="s">
        <v>141</v>
      </c>
      <c r="N163" s="188" t="s">
        <v>141</v>
      </c>
      <c r="O163" s="189" t="s">
        <v>141</v>
      </c>
      <c r="P163" s="188" t="s">
        <v>141</v>
      </c>
      <c r="Q163" s="189" t="s">
        <v>141</v>
      </c>
      <c r="R163" s="188" t="s">
        <v>141</v>
      </c>
      <c r="S163" s="189" t="s">
        <v>141</v>
      </c>
      <c r="T163" s="188" t="s">
        <v>141</v>
      </c>
      <c r="U163" s="189" t="s">
        <v>141</v>
      </c>
      <c r="V163" s="188" t="s">
        <v>141</v>
      </c>
      <c r="W163" s="189" t="s">
        <v>141</v>
      </c>
      <c r="X163" s="188" t="s">
        <v>141</v>
      </c>
      <c r="Y163" s="189" t="s">
        <v>141</v>
      </c>
      <c r="Z163" s="188" t="s">
        <v>141</v>
      </c>
      <c r="AA163" s="189" t="s">
        <v>141</v>
      </c>
      <c r="AB163" s="188" t="s">
        <v>141</v>
      </c>
      <c r="AC163" s="189" t="s">
        <v>141</v>
      </c>
      <c r="AD163" s="188" t="s">
        <v>141</v>
      </c>
      <c r="AE163" s="189" t="s">
        <v>141</v>
      </c>
      <c r="AF163" s="188" t="s">
        <v>141</v>
      </c>
      <c r="AG163" s="189" t="s">
        <v>141</v>
      </c>
      <c r="AH163" s="188" t="s">
        <v>141</v>
      </c>
      <c r="AI163" s="189" t="s">
        <v>141</v>
      </c>
      <c r="AJ163" s="188" t="s">
        <v>141</v>
      </c>
      <c r="AK163" s="189" t="s">
        <v>141</v>
      </c>
      <c r="AL163" s="188" t="s">
        <v>141</v>
      </c>
      <c r="AM163" s="189" t="s">
        <v>141</v>
      </c>
      <c r="AN163" s="188" t="s">
        <v>141</v>
      </c>
      <c r="AO163" s="189" t="s">
        <v>141</v>
      </c>
      <c r="AP163" s="188" t="s">
        <v>141</v>
      </c>
      <c r="AQ163" s="189" t="s">
        <v>141</v>
      </c>
      <c r="AR163" s="188" t="s">
        <v>141</v>
      </c>
      <c r="AS163" s="189" t="s">
        <v>141</v>
      </c>
      <c r="AT163" s="188" t="s">
        <v>141</v>
      </c>
      <c r="AU163" s="189" t="s">
        <v>141</v>
      </c>
      <c r="AV163" s="188" t="s">
        <v>141</v>
      </c>
      <c r="AW163" s="189" t="s">
        <v>141</v>
      </c>
      <c r="AX163" s="188" t="s">
        <v>141</v>
      </c>
      <c r="AY163" s="189" t="s">
        <v>141</v>
      </c>
    </row>
    <row r="164" spans="2:51">
      <c r="B164" s="186" t="s">
        <v>141</v>
      </c>
      <c r="C164" s="187" t="s">
        <v>141</v>
      </c>
      <c r="D164" s="188" t="s">
        <v>141</v>
      </c>
      <c r="E164" s="189" t="s">
        <v>141</v>
      </c>
      <c r="F164" s="188" t="s">
        <v>141</v>
      </c>
      <c r="G164" s="189" t="s">
        <v>141</v>
      </c>
      <c r="H164" s="188" t="s">
        <v>141</v>
      </c>
      <c r="I164" s="189" t="s">
        <v>141</v>
      </c>
      <c r="J164" s="188" t="s">
        <v>141</v>
      </c>
      <c r="K164" s="189" t="s">
        <v>141</v>
      </c>
      <c r="L164" s="188" t="s">
        <v>141</v>
      </c>
      <c r="M164" s="189" t="s">
        <v>141</v>
      </c>
      <c r="N164" s="188" t="s">
        <v>141</v>
      </c>
      <c r="O164" s="189" t="s">
        <v>141</v>
      </c>
      <c r="P164" s="188" t="s">
        <v>141</v>
      </c>
      <c r="Q164" s="189" t="s">
        <v>141</v>
      </c>
      <c r="R164" s="188" t="s">
        <v>141</v>
      </c>
      <c r="S164" s="189" t="s">
        <v>141</v>
      </c>
      <c r="T164" s="188" t="s">
        <v>141</v>
      </c>
      <c r="U164" s="189" t="s">
        <v>141</v>
      </c>
      <c r="V164" s="188" t="s">
        <v>141</v>
      </c>
      <c r="W164" s="189" t="s">
        <v>141</v>
      </c>
      <c r="X164" s="188" t="s">
        <v>141</v>
      </c>
      <c r="Y164" s="189" t="s">
        <v>141</v>
      </c>
      <c r="Z164" s="188" t="s">
        <v>141</v>
      </c>
      <c r="AA164" s="189" t="s">
        <v>141</v>
      </c>
      <c r="AB164" s="188" t="s">
        <v>141</v>
      </c>
      <c r="AC164" s="189" t="s">
        <v>141</v>
      </c>
      <c r="AD164" s="188" t="s">
        <v>141</v>
      </c>
      <c r="AE164" s="189" t="s">
        <v>141</v>
      </c>
      <c r="AF164" s="188" t="s">
        <v>141</v>
      </c>
      <c r="AG164" s="189" t="s">
        <v>141</v>
      </c>
      <c r="AH164" s="188" t="s">
        <v>141</v>
      </c>
      <c r="AI164" s="189" t="s">
        <v>141</v>
      </c>
      <c r="AJ164" s="188" t="s">
        <v>141</v>
      </c>
      <c r="AK164" s="189" t="s">
        <v>141</v>
      </c>
      <c r="AL164" s="188" t="s">
        <v>141</v>
      </c>
      <c r="AM164" s="189" t="s">
        <v>141</v>
      </c>
      <c r="AN164" s="188" t="s">
        <v>141</v>
      </c>
      <c r="AO164" s="189" t="s">
        <v>141</v>
      </c>
      <c r="AP164" s="188" t="s">
        <v>141</v>
      </c>
      <c r="AQ164" s="189" t="s">
        <v>141</v>
      </c>
      <c r="AR164" s="188" t="s">
        <v>141</v>
      </c>
      <c r="AS164" s="189" t="s">
        <v>141</v>
      </c>
      <c r="AT164" s="188" t="s">
        <v>141</v>
      </c>
      <c r="AU164" s="189" t="s">
        <v>141</v>
      </c>
      <c r="AV164" s="188" t="s">
        <v>141</v>
      </c>
      <c r="AW164" s="189" t="s">
        <v>141</v>
      </c>
      <c r="AX164" s="188" t="s">
        <v>141</v>
      </c>
      <c r="AY164" s="189" t="s">
        <v>141</v>
      </c>
    </row>
    <row r="165" spans="2:51">
      <c r="B165" s="186" t="s">
        <v>141</v>
      </c>
      <c r="C165" s="187" t="s">
        <v>141</v>
      </c>
      <c r="D165" s="188" t="s">
        <v>141</v>
      </c>
      <c r="E165" s="189" t="s">
        <v>141</v>
      </c>
      <c r="F165" s="188" t="s">
        <v>141</v>
      </c>
      <c r="G165" s="189" t="s">
        <v>141</v>
      </c>
      <c r="H165" s="188" t="s">
        <v>141</v>
      </c>
      <c r="I165" s="189" t="s">
        <v>141</v>
      </c>
      <c r="J165" s="188" t="s">
        <v>141</v>
      </c>
      <c r="K165" s="189" t="s">
        <v>141</v>
      </c>
      <c r="L165" s="188" t="s">
        <v>141</v>
      </c>
      <c r="M165" s="189" t="s">
        <v>141</v>
      </c>
      <c r="N165" s="188" t="s">
        <v>141</v>
      </c>
      <c r="O165" s="189" t="s">
        <v>141</v>
      </c>
      <c r="P165" s="188" t="s">
        <v>141</v>
      </c>
      <c r="Q165" s="189" t="s">
        <v>141</v>
      </c>
      <c r="R165" s="188" t="s">
        <v>141</v>
      </c>
      <c r="S165" s="189" t="s">
        <v>141</v>
      </c>
      <c r="T165" s="188" t="s">
        <v>141</v>
      </c>
      <c r="U165" s="189" t="s">
        <v>141</v>
      </c>
      <c r="V165" s="188" t="s">
        <v>141</v>
      </c>
      <c r="W165" s="189" t="s">
        <v>141</v>
      </c>
      <c r="X165" s="188" t="s">
        <v>141</v>
      </c>
      <c r="Y165" s="189" t="s">
        <v>141</v>
      </c>
      <c r="Z165" s="188" t="s">
        <v>141</v>
      </c>
      <c r="AA165" s="189" t="s">
        <v>141</v>
      </c>
      <c r="AB165" s="188" t="s">
        <v>141</v>
      </c>
      <c r="AC165" s="189" t="s">
        <v>141</v>
      </c>
      <c r="AD165" s="188" t="s">
        <v>141</v>
      </c>
      <c r="AE165" s="189" t="s">
        <v>141</v>
      </c>
      <c r="AF165" s="188" t="s">
        <v>141</v>
      </c>
      <c r="AG165" s="189" t="s">
        <v>141</v>
      </c>
      <c r="AH165" s="188" t="s">
        <v>141</v>
      </c>
      <c r="AI165" s="189" t="s">
        <v>141</v>
      </c>
      <c r="AJ165" s="188" t="s">
        <v>141</v>
      </c>
      <c r="AK165" s="189" t="s">
        <v>141</v>
      </c>
      <c r="AL165" s="188" t="s">
        <v>141</v>
      </c>
      <c r="AM165" s="189" t="s">
        <v>141</v>
      </c>
      <c r="AN165" s="188" t="s">
        <v>141</v>
      </c>
      <c r="AO165" s="189" t="s">
        <v>141</v>
      </c>
      <c r="AP165" s="188" t="s">
        <v>141</v>
      </c>
      <c r="AQ165" s="189" t="s">
        <v>141</v>
      </c>
      <c r="AR165" s="188" t="s">
        <v>141</v>
      </c>
      <c r="AS165" s="189" t="s">
        <v>141</v>
      </c>
      <c r="AT165" s="188" t="s">
        <v>141</v>
      </c>
      <c r="AU165" s="189" t="s">
        <v>141</v>
      </c>
      <c r="AV165" s="188" t="s">
        <v>141</v>
      </c>
      <c r="AW165" s="189" t="s">
        <v>141</v>
      </c>
      <c r="AX165" s="188" t="s">
        <v>141</v>
      </c>
      <c r="AY165" s="189" t="s">
        <v>141</v>
      </c>
    </row>
    <row r="166" spans="2:51">
      <c r="B166" s="186" t="s">
        <v>141</v>
      </c>
      <c r="C166" s="187" t="s">
        <v>141</v>
      </c>
      <c r="D166" s="188" t="s">
        <v>141</v>
      </c>
      <c r="E166" s="189" t="s">
        <v>141</v>
      </c>
      <c r="F166" s="188" t="s">
        <v>141</v>
      </c>
      <c r="G166" s="189" t="s">
        <v>141</v>
      </c>
      <c r="H166" s="188" t="s">
        <v>141</v>
      </c>
      <c r="I166" s="189" t="s">
        <v>141</v>
      </c>
      <c r="J166" s="188" t="s">
        <v>141</v>
      </c>
      <c r="K166" s="189" t="s">
        <v>141</v>
      </c>
      <c r="L166" s="188" t="s">
        <v>141</v>
      </c>
      <c r="M166" s="189" t="s">
        <v>141</v>
      </c>
      <c r="N166" s="188" t="s">
        <v>141</v>
      </c>
      <c r="O166" s="189" t="s">
        <v>141</v>
      </c>
      <c r="P166" s="188" t="s">
        <v>141</v>
      </c>
      <c r="Q166" s="189" t="s">
        <v>141</v>
      </c>
      <c r="R166" s="188" t="s">
        <v>141</v>
      </c>
      <c r="S166" s="189" t="s">
        <v>141</v>
      </c>
      <c r="T166" s="188" t="s">
        <v>141</v>
      </c>
      <c r="U166" s="189" t="s">
        <v>141</v>
      </c>
      <c r="V166" s="188" t="s">
        <v>141</v>
      </c>
      <c r="W166" s="189" t="s">
        <v>141</v>
      </c>
      <c r="X166" s="188" t="s">
        <v>141</v>
      </c>
      <c r="Y166" s="189" t="s">
        <v>141</v>
      </c>
      <c r="Z166" s="188" t="s">
        <v>141</v>
      </c>
      <c r="AA166" s="189" t="s">
        <v>141</v>
      </c>
      <c r="AB166" s="188" t="s">
        <v>141</v>
      </c>
      <c r="AC166" s="189" t="s">
        <v>141</v>
      </c>
      <c r="AD166" s="188" t="s">
        <v>141</v>
      </c>
      <c r="AE166" s="189" t="s">
        <v>141</v>
      </c>
      <c r="AF166" s="188" t="s">
        <v>141</v>
      </c>
      <c r="AG166" s="189" t="s">
        <v>141</v>
      </c>
      <c r="AH166" s="188" t="s">
        <v>141</v>
      </c>
      <c r="AI166" s="189" t="s">
        <v>141</v>
      </c>
      <c r="AJ166" s="188" t="s">
        <v>141</v>
      </c>
      <c r="AK166" s="189" t="s">
        <v>141</v>
      </c>
      <c r="AL166" s="188" t="s">
        <v>141</v>
      </c>
      <c r="AM166" s="189" t="s">
        <v>141</v>
      </c>
      <c r="AN166" s="188" t="s">
        <v>141</v>
      </c>
      <c r="AO166" s="189" t="s">
        <v>141</v>
      </c>
      <c r="AP166" s="188" t="s">
        <v>141</v>
      </c>
      <c r="AQ166" s="189" t="s">
        <v>141</v>
      </c>
      <c r="AR166" s="188" t="s">
        <v>141</v>
      </c>
      <c r="AS166" s="189" t="s">
        <v>141</v>
      </c>
      <c r="AT166" s="188" t="s">
        <v>141</v>
      </c>
      <c r="AU166" s="189" t="s">
        <v>141</v>
      </c>
      <c r="AV166" s="188" t="s">
        <v>141</v>
      </c>
      <c r="AW166" s="189" t="s">
        <v>141</v>
      </c>
      <c r="AX166" s="188" t="s">
        <v>141</v>
      </c>
      <c r="AY166" s="189" t="s">
        <v>141</v>
      </c>
    </row>
    <row r="167" spans="2:51">
      <c r="B167" s="186" t="s">
        <v>141</v>
      </c>
      <c r="C167" s="187" t="s">
        <v>141</v>
      </c>
      <c r="D167" s="188" t="s">
        <v>141</v>
      </c>
      <c r="E167" s="189" t="s">
        <v>141</v>
      </c>
      <c r="F167" s="188" t="s">
        <v>141</v>
      </c>
      <c r="G167" s="189" t="s">
        <v>141</v>
      </c>
      <c r="H167" s="188" t="s">
        <v>141</v>
      </c>
      <c r="I167" s="189" t="s">
        <v>141</v>
      </c>
      <c r="J167" s="188" t="s">
        <v>141</v>
      </c>
      <c r="K167" s="189" t="s">
        <v>141</v>
      </c>
      <c r="L167" s="188" t="s">
        <v>141</v>
      </c>
      <c r="M167" s="189" t="s">
        <v>141</v>
      </c>
      <c r="N167" s="188" t="s">
        <v>141</v>
      </c>
      <c r="O167" s="189" t="s">
        <v>141</v>
      </c>
      <c r="P167" s="188" t="s">
        <v>141</v>
      </c>
      <c r="Q167" s="189" t="s">
        <v>141</v>
      </c>
      <c r="R167" s="188" t="s">
        <v>141</v>
      </c>
      <c r="S167" s="189" t="s">
        <v>141</v>
      </c>
      <c r="T167" s="188" t="s">
        <v>141</v>
      </c>
      <c r="U167" s="189" t="s">
        <v>141</v>
      </c>
      <c r="V167" s="188" t="s">
        <v>141</v>
      </c>
      <c r="W167" s="189" t="s">
        <v>141</v>
      </c>
      <c r="X167" s="188" t="s">
        <v>141</v>
      </c>
      <c r="Y167" s="189" t="s">
        <v>141</v>
      </c>
      <c r="Z167" s="188" t="s">
        <v>141</v>
      </c>
      <c r="AA167" s="189" t="s">
        <v>141</v>
      </c>
      <c r="AB167" s="188" t="s">
        <v>141</v>
      </c>
      <c r="AC167" s="189" t="s">
        <v>141</v>
      </c>
      <c r="AD167" s="188" t="s">
        <v>141</v>
      </c>
      <c r="AE167" s="189" t="s">
        <v>141</v>
      </c>
      <c r="AF167" s="188" t="s">
        <v>141</v>
      </c>
      <c r="AG167" s="189" t="s">
        <v>141</v>
      </c>
      <c r="AH167" s="188" t="s">
        <v>141</v>
      </c>
      <c r="AI167" s="189" t="s">
        <v>141</v>
      </c>
      <c r="AJ167" s="188" t="s">
        <v>141</v>
      </c>
      <c r="AK167" s="189" t="s">
        <v>141</v>
      </c>
      <c r="AL167" s="188" t="s">
        <v>141</v>
      </c>
      <c r="AM167" s="189" t="s">
        <v>141</v>
      </c>
      <c r="AN167" s="188" t="s">
        <v>141</v>
      </c>
      <c r="AO167" s="189" t="s">
        <v>141</v>
      </c>
      <c r="AP167" s="188" t="s">
        <v>141</v>
      </c>
      <c r="AQ167" s="189" t="s">
        <v>141</v>
      </c>
      <c r="AR167" s="188" t="s">
        <v>141</v>
      </c>
      <c r="AS167" s="189" t="s">
        <v>141</v>
      </c>
      <c r="AT167" s="188" t="s">
        <v>141</v>
      </c>
      <c r="AU167" s="189" t="s">
        <v>141</v>
      </c>
      <c r="AV167" s="188" t="s">
        <v>141</v>
      </c>
      <c r="AW167" s="189" t="s">
        <v>141</v>
      </c>
      <c r="AX167" s="188" t="s">
        <v>141</v>
      </c>
      <c r="AY167" s="189" t="s">
        <v>141</v>
      </c>
    </row>
  </sheetData>
  <conditionalFormatting sqref="B2:M2">
    <cfRule type="expression" dxfId="8" priority="1" stopIfTrue="1">
      <formula>A1 &gt; 30</formula>
    </cfRule>
  </conditionalFormatting>
  <hyperlinks>
    <hyperlink ref="A2" location="TOC!A1" display="TOC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BB166"/>
  <sheetViews>
    <sheetView topLeftCell="A34" workbookViewId="0">
      <selection activeCell="D49" sqref="D49:AY49"/>
    </sheetView>
  </sheetViews>
  <sheetFormatPr defaultRowHeight="15"/>
  <cols>
    <col min="3" max="3" width="30.140625" bestFit="1" customWidth="1"/>
    <col min="259" max="259" width="30.140625" bestFit="1" customWidth="1"/>
    <col min="515" max="515" width="30.140625" bestFit="1" customWidth="1"/>
    <col min="771" max="771" width="30.140625" bestFit="1" customWidth="1"/>
    <col min="1027" max="1027" width="30.140625" bestFit="1" customWidth="1"/>
    <col min="1283" max="1283" width="30.140625" bestFit="1" customWidth="1"/>
    <col min="1539" max="1539" width="30.140625" bestFit="1" customWidth="1"/>
    <col min="1795" max="1795" width="30.140625" bestFit="1" customWidth="1"/>
    <col min="2051" max="2051" width="30.140625" bestFit="1" customWidth="1"/>
    <col min="2307" max="2307" width="30.140625" bestFit="1" customWidth="1"/>
    <col min="2563" max="2563" width="30.140625" bestFit="1" customWidth="1"/>
    <col min="2819" max="2819" width="30.140625" bestFit="1" customWidth="1"/>
    <col min="3075" max="3075" width="30.140625" bestFit="1" customWidth="1"/>
    <col min="3331" max="3331" width="30.140625" bestFit="1" customWidth="1"/>
    <col min="3587" max="3587" width="30.140625" bestFit="1" customWidth="1"/>
    <col min="3843" max="3843" width="30.140625" bestFit="1" customWidth="1"/>
    <col min="4099" max="4099" width="30.140625" bestFit="1" customWidth="1"/>
    <col min="4355" max="4355" width="30.140625" bestFit="1" customWidth="1"/>
    <col min="4611" max="4611" width="30.140625" bestFit="1" customWidth="1"/>
    <col min="4867" max="4867" width="30.140625" bestFit="1" customWidth="1"/>
    <col min="5123" max="5123" width="30.140625" bestFit="1" customWidth="1"/>
    <col min="5379" max="5379" width="30.140625" bestFit="1" customWidth="1"/>
    <col min="5635" max="5635" width="30.140625" bestFit="1" customWidth="1"/>
    <col min="5891" max="5891" width="30.140625" bestFit="1" customWidth="1"/>
    <col min="6147" max="6147" width="30.140625" bestFit="1" customWidth="1"/>
    <col min="6403" max="6403" width="30.140625" bestFit="1" customWidth="1"/>
    <col min="6659" max="6659" width="30.140625" bestFit="1" customWidth="1"/>
    <col min="6915" max="6915" width="30.140625" bestFit="1" customWidth="1"/>
    <col min="7171" max="7171" width="30.140625" bestFit="1" customWidth="1"/>
    <col min="7427" max="7427" width="30.140625" bestFit="1" customWidth="1"/>
    <col min="7683" max="7683" width="30.140625" bestFit="1" customWidth="1"/>
    <col min="7939" max="7939" width="30.140625" bestFit="1" customWidth="1"/>
    <col min="8195" max="8195" width="30.140625" bestFit="1" customWidth="1"/>
    <col min="8451" max="8451" width="30.140625" bestFit="1" customWidth="1"/>
    <col min="8707" max="8707" width="30.140625" bestFit="1" customWidth="1"/>
    <col min="8963" max="8963" width="30.140625" bestFit="1" customWidth="1"/>
    <col min="9219" max="9219" width="30.140625" bestFit="1" customWidth="1"/>
    <col min="9475" max="9475" width="30.140625" bestFit="1" customWidth="1"/>
    <col min="9731" max="9731" width="30.140625" bestFit="1" customWidth="1"/>
    <col min="9987" max="9987" width="30.140625" bestFit="1" customWidth="1"/>
    <col min="10243" max="10243" width="30.140625" bestFit="1" customWidth="1"/>
    <col min="10499" max="10499" width="30.140625" bestFit="1" customWidth="1"/>
    <col min="10755" max="10755" width="30.140625" bestFit="1" customWidth="1"/>
    <col min="11011" max="11011" width="30.140625" bestFit="1" customWidth="1"/>
    <col min="11267" max="11267" width="30.140625" bestFit="1" customWidth="1"/>
    <col min="11523" max="11523" width="30.140625" bestFit="1" customWidth="1"/>
    <col min="11779" max="11779" width="30.140625" bestFit="1" customWidth="1"/>
    <col min="12035" max="12035" width="30.140625" bestFit="1" customWidth="1"/>
    <col min="12291" max="12291" width="30.140625" bestFit="1" customWidth="1"/>
    <col min="12547" max="12547" width="30.140625" bestFit="1" customWidth="1"/>
    <col min="12803" max="12803" width="30.140625" bestFit="1" customWidth="1"/>
    <col min="13059" max="13059" width="30.140625" bestFit="1" customWidth="1"/>
    <col min="13315" max="13315" width="30.140625" bestFit="1" customWidth="1"/>
    <col min="13571" max="13571" width="30.140625" bestFit="1" customWidth="1"/>
    <col min="13827" max="13827" width="30.140625" bestFit="1" customWidth="1"/>
    <col min="14083" max="14083" width="30.140625" bestFit="1" customWidth="1"/>
    <col min="14339" max="14339" width="30.140625" bestFit="1" customWidth="1"/>
    <col min="14595" max="14595" width="30.140625" bestFit="1" customWidth="1"/>
    <col min="14851" max="14851" width="30.140625" bestFit="1" customWidth="1"/>
    <col min="15107" max="15107" width="30.140625" bestFit="1" customWidth="1"/>
    <col min="15363" max="15363" width="30.140625" bestFit="1" customWidth="1"/>
    <col min="15619" max="15619" width="30.140625" bestFit="1" customWidth="1"/>
    <col min="15875" max="15875" width="30.140625" bestFit="1" customWidth="1"/>
    <col min="16131" max="16131" width="30.140625" bestFit="1" customWidth="1"/>
  </cols>
  <sheetData>
    <row r="1" spans="1:54" s="23" customFormat="1">
      <c r="A1" s="144"/>
      <c r="B1" s="145" t="s">
        <v>282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</row>
    <row r="2" spans="1:54" s="23" customFormat="1">
      <c r="A2" s="146"/>
      <c r="B2" s="281"/>
      <c r="C2" s="281"/>
      <c r="D2" s="284">
        <v>43739</v>
      </c>
      <c r="E2" s="285">
        <v>43739</v>
      </c>
      <c r="F2" s="284">
        <v>43770</v>
      </c>
      <c r="G2" s="285">
        <v>43770</v>
      </c>
      <c r="H2" s="284">
        <v>43800</v>
      </c>
      <c r="I2" s="285">
        <v>43800</v>
      </c>
      <c r="J2" s="284">
        <v>43831</v>
      </c>
      <c r="K2" s="285">
        <v>43831</v>
      </c>
      <c r="L2" s="284">
        <v>43862</v>
      </c>
      <c r="M2" s="285">
        <v>43862</v>
      </c>
      <c r="N2" s="284">
        <v>43891</v>
      </c>
      <c r="O2" s="285">
        <v>43891</v>
      </c>
      <c r="P2" s="284">
        <v>43922</v>
      </c>
      <c r="Q2" s="285">
        <v>43922</v>
      </c>
      <c r="R2" s="284">
        <v>43952</v>
      </c>
      <c r="S2" s="285">
        <v>43952</v>
      </c>
      <c r="T2" s="284">
        <v>43983</v>
      </c>
      <c r="U2" s="285">
        <v>43983</v>
      </c>
      <c r="V2" s="284">
        <v>44013</v>
      </c>
      <c r="W2" s="285">
        <v>44013</v>
      </c>
      <c r="X2" s="284">
        <v>44044</v>
      </c>
      <c r="Y2" s="285">
        <v>44044</v>
      </c>
      <c r="Z2" s="284">
        <v>44075</v>
      </c>
      <c r="AA2" s="285">
        <v>44075</v>
      </c>
      <c r="AB2" s="284">
        <v>44105</v>
      </c>
      <c r="AC2" s="285">
        <v>44105</v>
      </c>
      <c r="AD2" s="284">
        <v>44136</v>
      </c>
      <c r="AE2" s="285">
        <v>44136</v>
      </c>
      <c r="AF2" s="284">
        <v>44166</v>
      </c>
      <c r="AG2" s="285">
        <v>44166</v>
      </c>
      <c r="AH2" s="284">
        <v>44197</v>
      </c>
      <c r="AI2" s="285">
        <v>44197</v>
      </c>
      <c r="AJ2" s="284">
        <v>44228</v>
      </c>
      <c r="AK2" s="285">
        <v>44228</v>
      </c>
      <c r="AL2" s="284">
        <v>44256</v>
      </c>
      <c r="AM2" s="285">
        <v>44256</v>
      </c>
      <c r="AN2" s="284">
        <v>44287</v>
      </c>
      <c r="AO2" s="285">
        <v>44287</v>
      </c>
      <c r="AP2" s="284">
        <v>44317</v>
      </c>
      <c r="AQ2" s="285">
        <v>44317</v>
      </c>
      <c r="AR2" s="284">
        <v>44348</v>
      </c>
      <c r="AS2" s="285">
        <v>44348</v>
      </c>
      <c r="AT2" s="284">
        <v>44378</v>
      </c>
      <c r="AU2" s="285">
        <v>44378</v>
      </c>
      <c r="AV2" s="284">
        <v>44409</v>
      </c>
      <c r="AW2" s="285">
        <v>44409</v>
      </c>
      <c r="AX2" s="284">
        <v>44440</v>
      </c>
      <c r="AY2" s="285">
        <v>44440</v>
      </c>
      <c r="BA2" s="124"/>
    </row>
    <row r="3" spans="1:54" s="23" customFormat="1">
      <c r="A3" s="144"/>
      <c r="B3" s="282" t="s">
        <v>2</v>
      </c>
      <c r="C3" s="282" t="s">
        <v>147</v>
      </c>
      <c r="D3" s="286" t="s">
        <v>143</v>
      </c>
      <c r="E3" s="287" t="s">
        <v>144</v>
      </c>
      <c r="F3" s="286" t="s">
        <v>143</v>
      </c>
      <c r="G3" s="287" t="s">
        <v>144</v>
      </c>
      <c r="H3" s="286" t="s">
        <v>143</v>
      </c>
      <c r="I3" s="287" t="s">
        <v>144</v>
      </c>
      <c r="J3" s="286" t="s">
        <v>143</v>
      </c>
      <c r="K3" s="287" t="s">
        <v>144</v>
      </c>
      <c r="L3" s="286" t="s">
        <v>143</v>
      </c>
      <c r="M3" s="287" t="s">
        <v>144</v>
      </c>
      <c r="N3" s="286" t="s">
        <v>143</v>
      </c>
      <c r="O3" s="287" t="s">
        <v>144</v>
      </c>
      <c r="P3" s="286" t="s">
        <v>143</v>
      </c>
      <c r="Q3" s="287" t="s">
        <v>144</v>
      </c>
      <c r="R3" s="286" t="s">
        <v>143</v>
      </c>
      <c r="S3" s="287" t="s">
        <v>144</v>
      </c>
      <c r="T3" s="286" t="s">
        <v>143</v>
      </c>
      <c r="U3" s="287" t="s">
        <v>144</v>
      </c>
      <c r="V3" s="286" t="s">
        <v>143</v>
      </c>
      <c r="W3" s="287" t="s">
        <v>144</v>
      </c>
      <c r="X3" s="286" t="s">
        <v>143</v>
      </c>
      <c r="Y3" s="287" t="s">
        <v>144</v>
      </c>
      <c r="Z3" s="286" t="s">
        <v>143</v>
      </c>
      <c r="AA3" s="287" t="s">
        <v>144</v>
      </c>
      <c r="AB3" s="286" t="s">
        <v>143</v>
      </c>
      <c r="AC3" s="287" t="s">
        <v>144</v>
      </c>
      <c r="AD3" s="286" t="s">
        <v>143</v>
      </c>
      <c r="AE3" s="287" t="s">
        <v>144</v>
      </c>
      <c r="AF3" s="286" t="s">
        <v>143</v>
      </c>
      <c r="AG3" s="287" t="s">
        <v>144</v>
      </c>
      <c r="AH3" s="286" t="s">
        <v>143</v>
      </c>
      <c r="AI3" s="287" t="s">
        <v>144</v>
      </c>
      <c r="AJ3" s="286" t="s">
        <v>143</v>
      </c>
      <c r="AK3" s="287" t="s">
        <v>144</v>
      </c>
      <c r="AL3" s="286" t="s">
        <v>143</v>
      </c>
      <c r="AM3" s="287" t="s">
        <v>144</v>
      </c>
      <c r="AN3" s="286" t="s">
        <v>143</v>
      </c>
      <c r="AO3" s="287" t="s">
        <v>144</v>
      </c>
      <c r="AP3" s="286" t="s">
        <v>143</v>
      </c>
      <c r="AQ3" s="287" t="s">
        <v>144</v>
      </c>
      <c r="AR3" s="286" t="s">
        <v>143</v>
      </c>
      <c r="AS3" s="287" t="s">
        <v>144</v>
      </c>
      <c r="AT3" s="286" t="s">
        <v>143</v>
      </c>
      <c r="AU3" s="287" t="s">
        <v>144</v>
      </c>
      <c r="AV3" s="286" t="s">
        <v>143</v>
      </c>
      <c r="AW3" s="287" t="s">
        <v>144</v>
      </c>
      <c r="AX3" s="286" t="s">
        <v>143</v>
      </c>
      <c r="AY3" s="287" t="s">
        <v>144</v>
      </c>
      <c r="BA3" s="121"/>
      <c r="BB3" s="125"/>
    </row>
    <row r="4" spans="1:54" s="23" customFormat="1">
      <c r="A4" s="144"/>
      <c r="B4" s="281">
        <v>10005</v>
      </c>
      <c r="C4" s="281" t="s">
        <v>7</v>
      </c>
      <c r="D4" s="283">
        <v>6</v>
      </c>
      <c r="E4" s="283">
        <v>30</v>
      </c>
      <c r="F4" s="283">
        <v>44</v>
      </c>
      <c r="G4" s="283">
        <v>71</v>
      </c>
      <c r="H4" s="283">
        <v>70</v>
      </c>
      <c r="I4" s="283">
        <v>107</v>
      </c>
      <c r="J4" s="283">
        <v>130</v>
      </c>
      <c r="K4" s="283">
        <v>125</v>
      </c>
      <c r="L4" s="283">
        <v>126</v>
      </c>
      <c r="M4" s="283">
        <v>110</v>
      </c>
      <c r="N4" s="283">
        <v>61</v>
      </c>
      <c r="O4" s="283">
        <v>89</v>
      </c>
      <c r="P4" s="283">
        <v>83</v>
      </c>
      <c r="Q4" s="283">
        <v>77</v>
      </c>
      <c r="R4" s="283">
        <v>-76</v>
      </c>
      <c r="S4" s="283">
        <v>11</v>
      </c>
      <c r="T4" s="283">
        <v>-154</v>
      </c>
      <c r="U4" s="283">
        <v>-61</v>
      </c>
      <c r="V4" s="283">
        <v>-106</v>
      </c>
      <c r="W4" s="283">
        <v>-9</v>
      </c>
      <c r="X4" s="283">
        <v>-96</v>
      </c>
      <c r="Y4" s="283">
        <v>-7</v>
      </c>
      <c r="Z4" s="283">
        <v>-46</v>
      </c>
      <c r="AA4" s="283">
        <v>1</v>
      </c>
      <c r="AB4" s="283">
        <v>8</v>
      </c>
      <c r="AC4" s="283">
        <v>31</v>
      </c>
      <c r="AD4" s="283">
        <v>30</v>
      </c>
      <c r="AE4" s="283">
        <v>88</v>
      </c>
      <c r="AF4" s="283">
        <v>89</v>
      </c>
      <c r="AG4" s="283">
        <v>92</v>
      </c>
      <c r="AH4" s="283">
        <v>115</v>
      </c>
      <c r="AI4" s="283">
        <v>144</v>
      </c>
      <c r="AJ4" s="283">
        <v>123</v>
      </c>
      <c r="AK4" s="283">
        <v>111</v>
      </c>
      <c r="AL4" s="283">
        <v>77</v>
      </c>
      <c r="AM4" s="283">
        <v>76</v>
      </c>
      <c r="AN4" s="283">
        <v>84</v>
      </c>
      <c r="AO4" s="283">
        <v>78</v>
      </c>
      <c r="AP4" s="283">
        <v>-74</v>
      </c>
      <c r="AQ4" s="283">
        <v>13</v>
      </c>
      <c r="AR4" s="283">
        <v>-152</v>
      </c>
      <c r="AS4" s="283">
        <v>-60</v>
      </c>
      <c r="AT4" s="283">
        <v>-104</v>
      </c>
      <c r="AU4" s="283">
        <v>-7</v>
      </c>
      <c r="AV4" s="283">
        <v>-94</v>
      </c>
      <c r="AW4" s="283">
        <v>-6</v>
      </c>
      <c r="AX4" s="283">
        <v>-45</v>
      </c>
      <c r="AY4" s="283">
        <v>3</v>
      </c>
      <c r="BA4" s="122"/>
      <c r="BB4" s="122"/>
    </row>
    <row r="5" spans="1:54">
      <c r="A5" s="144"/>
      <c r="B5" s="281">
        <v>10015</v>
      </c>
      <c r="C5" s="281" t="s">
        <v>8</v>
      </c>
      <c r="D5" s="283">
        <v>-66</v>
      </c>
      <c r="E5" s="283">
        <v>14</v>
      </c>
      <c r="F5" s="283">
        <v>-212</v>
      </c>
      <c r="G5" s="283">
        <v>-107</v>
      </c>
      <c r="H5" s="283">
        <v>-201</v>
      </c>
      <c r="I5" s="283">
        <v>-105</v>
      </c>
      <c r="J5" s="283">
        <v>-139</v>
      </c>
      <c r="K5" s="283">
        <v>-79</v>
      </c>
      <c r="L5" s="283">
        <v>-133</v>
      </c>
      <c r="M5" s="283">
        <v>-76</v>
      </c>
      <c r="N5" s="283">
        <v>-139</v>
      </c>
      <c r="O5" s="283">
        <v>-79</v>
      </c>
      <c r="P5" s="283">
        <v>-20</v>
      </c>
      <c r="Q5" s="283">
        <v>-5</v>
      </c>
      <c r="R5" s="283">
        <v>28</v>
      </c>
      <c r="S5" s="283">
        <v>146</v>
      </c>
      <c r="T5" s="283">
        <v>43</v>
      </c>
      <c r="U5" s="283">
        <v>163</v>
      </c>
      <c r="V5" s="283">
        <v>261</v>
      </c>
      <c r="W5" s="283">
        <v>360</v>
      </c>
      <c r="X5" s="283">
        <v>231</v>
      </c>
      <c r="Y5" s="283">
        <v>308</v>
      </c>
      <c r="Z5" s="283">
        <v>57</v>
      </c>
      <c r="AA5" s="283">
        <v>190</v>
      </c>
      <c r="AB5" s="283">
        <v>-65</v>
      </c>
      <c r="AC5" s="283">
        <v>15</v>
      </c>
      <c r="AD5" s="283">
        <v>-212</v>
      </c>
      <c r="AE5" s="283">
        <v>-107</v>
      </c>
      <c r="AF5" s="283">
        <v>-201</v>
      </c>
      <c r="AG5" s="283">
        <v>-105</v>
      </c>
      <c r="AH5" s="283">
        <v>-139</v>
      </c>
      <c r="AI5" s="283">
        <v>-78</v>
      </c>
      <c r="AJ5" s="283">
        <v>-123</v>
      </c>
      <c r="AK5" s="283">
        <v>-71</v>
      </c>
      <c r="AL5" s="283">
        <v>-138</v>
      </c>
      <c r="AM5" s="283">
        <v>-78</v>
      </c>
      <c r="AN5" s="283">
        <v>-18</v>
      </c>
      <c r="AO5" s="283">
        <v>-4</v>
      </c>
      <c r="AP5" s="283">
        <v>30</v>
      </c>
      <c r="AQ5" s="283">
        <v>148</v>
      </c>
      <c r="AR5" s="283">
        <v>46</v>
      </c>
      <c r="AS5" s="283">
        <v>165</v>
      </c>
      <c r="AT5" s="283">
        <v>264</v>
      </c>
      <c r="AU5" s="283">
        <v>363</v>
      </c>
      <c r="AV5" s="283">
        <v>235</v>
      </c>
      <c r="AW5" s="283">
        <v>311</v>
      </c>
      <c r="AX5" s="283">
        <v>60</v>
      </c>
      <c r="AY5" s="283">
        <v>193</v>
      </c>
      <c r="BA5" s="123"/>
      <c r="BB5" s="123"/>
    </row>
    <row r="6" spans="1:54">
      <c r="A6" s="144"/>
      <c r="B6" s="281">
        <v>10024</v>
      </c>
      <c r="C6" s="281" t="s">
        <v>9</v>
      </c>
      <c r="D6" s="283">
        <v>-10218</v>
      </c>
      <c r="E6" s="283">
        <v>995</v>
      </c>
      <c r="F6" s="283">
        <v>-19633</v>
      </c>
      <c r="G6" s="283">
        <v>-4446</v>
      </c>
      <c r="H6" s="283">
        <v>-13664</v>
      </c>
      <c r="I6" s="283">
        <v>1568</v>
      </c>
      <c r="J6" s="283">
        <v>-168</v>
      </c>
      <c r="K6" s="283">
        <v>8745</v>
      </c>
      <c r="L6" s="283">
        <v>-6362</v>
      </c>
      <c r="M6" s="283">
        <v>1634</v>
      </c>
      <c r="N6" s="283">
        <v>-12714</v>
      </c>
      <c r="O6" s="283">
        <v>-210</v>
      </c>
      <c r="P6" s="283">
        <v>-114</v>
      </c>
      <c r="Q6" s="283">
        <v>5149</v>
      </c>
      <c r="R6" s="283">
        <v>-8303</v>
      </c>
      <c r="S6" s="283">
        <v>9257</v>
      </c>
      <c r="T6" s="283">
        <v>-11382</v>
      </c>
      <c r="U6" s="283">
        <v>4143</v>
      </c>
      <c r="V6" s="283">
        <v>9124</v>
      </c>
      <c r="W6" s="283">
        <v>25511</v>
      </c>
      <c r="X6" s="283">
        <v>2132</v>
      </c>
      <c r="Y6" s="283">
        <v>19091</v>
      </c>
      <c r="Z6" s="283">
        <v>-7928</v>
      </c>
      <c r="AA6" s="283">
        <v>4240</v>
      </c>
      <c r="AB6" s="283">
        <v>-10044</v>
      </c>
      <c r="AC6" s="283">
        <v>1121</v>
      </c>
      <c r="AD6" s="283">
        <v>-20859</v>
      </c>
      <c r="AE6" s="283">
        <v>-2902</v>
      </c>
      <c r="AF6" s="283">
        <v>-11868</v>
      </c>
      <c r="AG6" s="283">
        <v>145</v>
      </c>
      <c r="AH6" s="283">
        <v>-1674</v>
      </c>
      <c r="AI6" s="283">
        <v>10656</v>
      </c>
      <c r="AJ6" s="283">
        <v>-4720</v>
      </c>
      <c r="AK6" s="283">
        <v>2794</v>
      </c>
      <c r="AL6" s="283">
        <v>-11265</v>
      </c>
      <c r="AM6" s="283">
        <v>-1360</v>
      </c>
      <c r="AN6" s="283">
        <v>72</v>
      </c>
      <c r="AO6" s="283">
        <v>5286</v>
      </c>
      <c r="AP6" s="283">
        <v>-8085</v>
      </c>
      <c r="AQ6" s="283">
        <v>9445</v>
      </c>
      <c r="AR6" s="283">
        <v>-11108</v>
      </c>
      <c r="AS6" s="283">
        <v>4343</v>
      </c>
      <c r="AT6" s="283">
        <v>9446</v>
      </c>
      <c r="AU6" s="283">
        <v>25765</v>
      </c>
      <c r="AV6" s="283">
        <v>2410</v>
      </c>
      <c r="AW6" s="283">
        <v>19310</v>
      </c>
      <c r="AX6" s="283">
        <v>-7744</v>
      </c>
      <c r="AY6" s="283">
        <v>4388</v>
      </c>
      <c r="BA6" s="123"/>
      <c r="BB6" s="123"/>
    </row>
    <row r="7" spans="1:54">
      <c r="A7" s="144"/>
      <c r="B7" s="281">
        <v>10025</v>
      </c>
      <c r="C7" s="281" t="s">
        <v>10</v>
      </c>
      <c r="D7" s="283">
        <v>-885</v>
      </c>
      <c r="E7" s="283">
        <v>1966</v>
      </c>
      <c r="F7" s="283">
        <v>-10206</v>
      </c>
      <c r="G7" s="283">
        <v>-2926</v>
      </c>
      <c r="H7" s="283">
        <v>-5395</v>
      </c>
      <c r="I7" s="283">
        <v>1771</v>
      </c>
      <c r="J7" s="283">
        <v>-220</v>
      </c>
      <c r="K7" s="283">
        <v>3204</v>
      </c>
      <c r="L7" s="283">
        <v>-2534</v>
      </c>
      <c r="M7" s="283">
        <v>540</v>
      </c>
      <c r="N7" s="283">
        <v>-8104</v>
      </c>
      <c r="O7" s="283">
        <v>-2006</v>
      </c>
      <c r="P7" s="283">
        <v>1535</v>
      </c>
      <c r="Q7" s="283">
        <v>2325</v>
      </c>
      <c r="R7" s="283">
        <v>-2043</v>
      </c>
      <c r="S7" s="283">
        <v>2364</v>
      </c>
      <c r="T7" s="283">
        <v>-8251</v>
      </c>
      <c r="U7" s="283">
        <v>300</v>
      </c>
      <c r="V7" s="283">
        <v>7866</v>
      </c>
      <c r="W7" s="283">
        <v>11940</v>
      </c>
      <c r="X7" s="283">
        <v>8081</v>
      </c>
      <c r="Y7" s="283">
        <v>10297</v>
      </c>
      <c r="Z7" s="283">
        <v>969</v>
      </c>
      <c r="AA7" s="283">
        <v>6044</v>
      </c>
      <c r="AB7" s="283">
        <v>-565</v>
      </c>
      <c r="AC7" s="283">
        <v>2175</v>
      </c>
      <c r="AD7" s="283">
        <v>-9784</v>
      </c>
      <c r="AE7" s="283">
        <v>-2834</v>
      </c>
      <c r="AF7" s="283">
        <v>-5274</v>
      </c>
      <c r="AG7" s="283">
        <v>2207</v>
      </c>
      <c r="AH7" s="283">
        <v>224</v>
      </c>
      <c r="AI7" s="283">
        <v>3309</v>
      </c>
      <c r="AJ7" s="283">
        <v>-1852</v>
      </c>
      <c r="AK7" s="283">
        <v>815</v>
      </c>
      <c r="AL7" s="283">
        <v>-7984</v>
      </c>
      <c r="AM7" s="283">
        <v>-1714</v>
      </c>
      <c r="AN7" s="283">
        <v>1776</v>
      </c>
      <c r="AO7" s="283">
        <v>2494</v>
      </c>
      <c r="AP7" s="283">
        <v>-1780</v>
      </c>
      <c r="AQ7" s="283">
        <v>2508</v>
      </c>
      <c r="AR7" s="283">
        <v>-8014</v>
      </c>
      <c r="AS7" s="283">
        <v>463</v>
      </c>
      <c r="AT7" s="283">
        <v>8130</v>
      </c>
      <c r="AU7" s="283">
        <v>12108</v>
      </c>
      <c r="AV7" s="283">
        <v>8340</v>
      </c>
      <c r="AW7" s="283">
        <v>10420</v>
      </c>
      <c r="AX7" s="283">
        <v>1122</v>
      </c>
      <c r="AY7" s="283">
        <v>6166</v>
      </c>
      <c r="BA7" s="123"/>
      <c r="BB7" s="123"/>
    </row>
    <row r="8" spans="1:54">
      <c r="A8" s="144"/>
      <c r="B8" s="281">
        <v>10027</v>
      </c>
      <c r="C8" s="281" t="s">
        <v>11</v>
      </c>
      <c r="D8" s="283">
        <v>-4157</v>
      </c>
      <c r="E8" s="283">
        <v>835</v>
      </c>
      <c r="F8" s="283">
        <v>-17972</v>
      </c>
      <c r="G8" s="283">
        <v>-8700</v>
      </c>
      <c r="H8" s="283">
        <v>-14657</v>
      </c>
      <c r="I8" s="283">
        <v>-6912</v>
      </c>
      <c r="J8" s="283">
        <v>-10352</v>
      </c>
      <c r="K8" s="283">
        <v>-3899</v>
      </c>
      <c r="L8" s="283">
        <v>-10420</v>
      </c>
      <c r="M8" s="283">
        <v>-4668</v>
      </c>
      <c r="N8" s="283">
        <v>-12931</v>
      </c>
      <c r="O8" s="283">
        <v>-6400</v>
      </c>
      <c r="P8" s="283">
        <v>2387</v>
      </c>
      <c r="Q8" s="283">
        <v>3521</v>
      </c>
      <c r="R8" s="283">
        <v>3633</v>
      </c>
      <c r="S8" s="283">
        <v>8637</v>
      </c>
      <c r="T8" s="283">
        <v>4077</v>
      </c>
      <c r="U8" s="283">
        <v>8272</v>
      </c>
      <c r="V8" s="283">
        <v>12036</v>
      </c>
      <c r="W8" s="283">
        <v>18818</v>
      </c>
      <c r="X8" s="283">
        <v>11119</v>
      </c>
      <c r="Y8" s="283">
        <v>14653</v>
      </c>
      <c r="Z8" s="283">
        <v>4815</v>
      </c>
      <c r="AA8" s="283">
        <v>8261</v>
      </c>
      <c r="AB8" s="283">
        <v>-4211</v>
      </c>
      <c r="AC8" s="283">
        <v>787</v>
      </c>
      <c r="AD8" s="283">
        <v>-17936</v>
      </c>
      <c r="AE8" s="283">
        <v>-8823</v>
      </c>
      <c r="AF8" s="283">
        <v>-14778</v>
      </c>
      <c r="AG8" s="283">
        <v>-6891</v>
      </c>
      <c r="AH8" s="283">
        <v>-10324</v>
      </c>
      <c r="AI8" s="283">
        <v>-4027</v>
      </c>
      <c r="AJ8" s="283">
        <v>-9671</v>
      </c>
      <c r="AK8" s="283">
        <v>-4363</v>
      </c>
      <c r="AL8" s="283">
        <v>-13051</v>
      </c>
      <c r="AM8" s="283">
        <v>-6380</v>
      </c>
      <c r="AN8" s="283">
        <v>2343</v>
      </c>
      <c r="AO8" s="283">
        <v>3478</v>
      </c>
      <c r="AP8" s="283">
        <v>3590</v>
      </c>
      <c r="AQ8" s="283">
        <v>8579</v>
      </c>
      <c r="AR8" s="283">
        <v>4031</v>
      </c>
      <c r="AS8" s="283">
        <v>8230</v>
      </c>
      <c r="AT8" s="283">
        <v>11982</v>
      </c>
      <c r="AU8" s="283">
        <v>18770</v>
      </c>
      <c r="AV8" s="283">
        <v>11073</v>
      </c>
      <c r="AW8" s="283">
        <v>14597</v>
      </c>
      <c r="AX8" s="283">
        <v>4773</v>
      </c>
      <c r="AY8" s="283">
        <v>8216</v>
      </c>
      <c r="BA8" s="123"/>
      <c r="BB8" s="123"/>
    </row>
    <row r="9" spans="1:54">
      <c r="A9" s="144"/>
      <c r="B9" s="281">
        <v>10029</v>
      </c>
      <c r="C9" s="281" t="s">
        <v>12</v>
      </c>
      <c r="D9" s="283">
        <v>0</v>
      </c>
      <c r="E9" s="283">
        <v>0</v>
      </c>
      <c r="F9" s="283">
        <v>0</v>
      </c>
      <c r="G9" s="283">
        <v>0</v>
      </c>
      <c r="H9" s="283">
        <v>0</v>
      </c>
      <c r="I9" s="283">
        <v>0</v>
      </c>
      <c r="J9" s="283">
        <v>0</v>
      </c>
      <c r="K9" s="283">
        <v>0</v>
      </c>
      <c r="L9" s="283">
        <v>0</v>
      </c>
      <c r="M9" s="283">
        <v>0</v>
      </c>
      <c r="N9" s="283">
        <v>0</v>
      </c>
      <c r="O9" s="283">
        <v>0</v>
      </c>
      <c r="P9" s="283">
        <v>0</v>
      </c>
      <c r="Q9" s="283">
        <v>0</v>
      </c>
      <c r="R9" s="283">
        <v>0</v>
      </c>
      <c r="S9" s="283">
        <v>0</v>
      </c>
      <c r="T9" s="283">
        <v>0</v>
      </c>
      <c r="U9" s="283">
        <v>0</v>
      </c>
      <c r="V9" s="283">
        <v>0</v>
      </c>
      <c r="W9" s="283">
        <v>0</v>
      </c>
      <c r="X9" s="283">
        <v>0</v>
      </c>
      <c r="Y9" s="283">
        <v>0</v>
      </c>
      <c r="Z9" s="283">
        <v>0</v>
      </c>
      <c r="AA9" s="283">
        <v>0</v>
      </c>
      <c r="AB9" s="283">
        <v>0</v>
      </c>
      <c r="AC9" s="283">
        <v>0</v>
      </c>
      <c r="AD9" s="283">
        <v>0</v>
      </c>
      <c r="AE9" s="283">
        <v>0</v>
      </c>
      <c r="AF9" s="283">
        <v>0</v>
      </c>
      <c r="AG9" s="283">
        <v>0</v>
      </c>
      <c r="AH9" s="283">
        <v>0</v>
      </c>
      <c r="AI9" s="283">
        <v>0</v>
      </c>
      <c r="AJ9" s="283">
        <v>0</v>
      </c>
      <c r="AK9" s="283">
        <v>0</v>
      </c>
      <c r="AL9" s="283">
        <v>0</v>
      </c>
      <c r="AM9" s="283">
        <v>0</v>
      </c>
      <c r="AN9" s="283">
        <v>0</v>
      </c>
      <c r="AO9" s="283">
        <v>0</v>
      </c>
      <c r="AP9" s="283">
        <v>0</v>
      </c>
      <c r="AQ9" s="283">
        <v>0</v>
      </c>
      <c r="AR9" s="283">
        <v>0</v>
      </c>
      <c r="AS9" s="283">
        <v>0</v>
      </c>
      <c r="AT9" s="283">
        <v>0</v>
      </c>
      <c r="AU9" s="283">
        <v>0</v>
      </c>
      <c r="AV9" s="283">
        <v>0</v>
      </c>
      <c r="AW9" s="283">
        <v>0</v>
      </c>
      <c r="AX9" s="283">
        <v>0</v>
      </c>
      <c r="AY9" s="283">
        <v>0</v>
      </c>
      <c r="BA9" s="123"/>
      <c r="BB9" s="123"/>
    </row>
    <row r="10" spans="1:54">
      <c r="A10" s="144"/>
      <c r="B10" s="281">
        <v>10044</v>
      </c>
      <c r="C10" s="281" t="s">
        <v>13</v>
      </c>
      <c r="D10" s="283">
        <v>477</v>
      </c>
      <c r="E10" s="283">
        <v>100</v>
      </c>
      <c r="F10" s="283">
        <v>-271</v>
      </c>
      <c r="G10" s="283">
        <v>-193</v>
      </c>
      <c r="H10" s="283">
        <v>1009</v>
      </c>
      <c r="I10" s="283">
        <v>1001</v>
      </c>
      <c r="J10" s="283">
        <v>2570</v>
      </c>
      <c r="K10" s="283">
        <v>1470</v>
      </c>
      <c r="L10" s="283">
        <v>2224</v>
      </c>
      <c r="M10" s="283">
        <v>908</v>
      </c>
      <c r="N10" s="283">
        <v>586</v>
      </c>
      <c r="O10" s="283">
        <v>375</v>
      </c>
      <c r="P10" s="283">
        <v>1947</v>
      </c>
      <c r="Q10" s="283">
        <v>616</v>
      </c>
      <c r="R10" s="283">
        <v>-1601</v>
      </c>
      <c r="S10" s="283">
        <v>-304</v>
      </c>
      <c r="T10" s="283">
        <v>-3919</v>
      </c>
      <c r="U10" s="283">
        <v>-2303</v>
      </c>
      <c r="V10" s="283">
        <v>-886</v>
      </c>
      <c r="W10" s="283">
        <v>589</v>
      </c>
      <c r="X10" s="283">
        <v>-523</v>
      </c>
      <c r="Y10" s="283">
        <v>719</v>
      </c>
      <c r="Z10" s="283">
        <v>-20</v>
      </c>
      <c r="AA10" s="283">
        <v>-59</v>
      </c>
      <c r="AB10" s="283">
        <v>538</v>
      </c>
      <c r="AC10" s="283">
        <v>133</v>
      </c>
      <c r="AD10" s="283">
        <v>-574</v>
      </c>
      <c r="AE10" s="283">
        <v>198</v>
      </c>
      <c r="AF10" s="283">
        <v>1453</v>
      </c>
      <c r="AG10" s="283">
        <v>637</v>
      </c>
      <c r="AH10" s="283">
        <v>2238</v>
      </c>
      <c r="AI10" s="283">
        <v>1877</v>
      </c>
      <c r="AJ10" s="283">
        <v>2345</v>
      </c>
      <c r="AK10" s="283">
        <v>1036</v>
      </c>
      <c r="AL10" s="283">
        <v>943</v>
      </c>
      <c r="AM10" s="283">
        <v>82</v>
      </c>
      <c r="AN10" s="283">
        <v>1985</v>
      </c>
      <c r="AO10" s="283">
        <v>636</v>
      </c>
      <c r="AP10" s="283">
        <v>-1561</v>
      </c>
      <c r="AQ10" s="283">
        <v>-279</v>
      </c>
      <c r="AR10" s="283">
        <v>-3877</v>
      </c>
      <c r="AS10" s="283">
        <v>-2281</v>
      </c>
      <c r="AT10" s="283">
        <v>-845</v>
      </c>
      <c r="AU10" s="283">
        <v>612</v>
      </c>
      <c r="AV10" s="283">
        <v>-482</v>
      </c>
      <c r="AW10" s="283">
        <v>742</v>
      </c>
      <c r="AX10" s="283">
        <v>21</v>
      </c>
      <c r="AY10" s="283">
        <v>-36</v>
      </c>
      <c r="BA10" s="123"/>
      <c r="BB10" s="123"/>
    </row>
    <row r="11" spans="1:54">
      <c r="A11" s="144"/>
      <c r="B11" s="281">
        <v>10046</v>
      </c>
      <c r="C11" s="281" t="s">
        <v>14</v>
      </c>
      <c r="D11" s="283">
        <v>0</v>
      </c>
      <c r="E11" s="283">
        <v>0</v>
      </c>
      <c r="F11" s="283">
        <v>0</v>
      </c>
      <c r="G11" s="283">
        <v>0</v>
      </c>
      <c r="H11" s="283">
        <v>0</v>
      </c>
      <c r="I11" s="283">
        <v>0</v>
      </c>
      <c r="J11" s="283">
        <v>0</v>
      </c>
      <c r="K11" s="283">
        <v>0</v>
      </c>
      <c r="L11" s="283">
        <v>0</v>
      </c>
      <c r="M11" s="283">
        <v>0</v>
      </c>
      <c r="N11" s="283">
        <v>0</v>
      </c>
      <c r="O11" s="283">
        <v>0</v>
      </c>
      <c r="P11" s="283">
        <v>0</v>
      </c>
      <c r="Q11" s="283">
        <v>0</v>
      </c>
      <c r="R11" s="283">
        <v>0</v>
      </c>
      <c r="S11" s="283">
        <v>0</v>
      </c>
      <c r="T11" s="283">
        <v>0</v>
      </c>
      <c r="U11" s="283">
        <v>0</v>
      </c>
      <c r="V11" s="283">
        <v>0</v>
      </c>
      <c r="W11" s="283">
        <v>0</v>
      </c>
      <c r="X11" s="283">
        <v>0</v>
      </c>
      <c r="Y11" s="283">
        <v>0</v>
      </c>
      <c r="Z11" s="283">
        <v>0</v>
      </c>
      <c r="AA11" s="283">
        <v>0</v>
      </c>
      <c r="AB11" s="283">
        <v>0</v>
      </c>
      <c r="AC11" s="283">
        <v>0</v>
      </c>
      <c r="AD11" s="283">
        <v>0</v>
      </c>
      <c r="AE11" s="283">
        <v>0</v>
      </c>
      <c r="AF11" s="283">
        <v>0</v>
      </c>
      <c r="AG11" s="283">
        <v>0</v>
      </c>
      <c r="AH11" s="283">
        <v>0</v>
      </c>
      <c r="AI11" s="283">
        <v>0</v>
      </c>
      <c r="AJ11" s="283">
        <v>0</v>
      </c>
      <c r="AK11" s="283">
        <v>0</v>
      </c>
      <c r="AL11" s="283">
        <v>0</v>
      </c>
      <c r="AM11" s="283">
        <v>0</v>
      </c>
      <c r="AN11" s="283">
        <v>0</v>
      </c>
      <c r="AO11" s="283">
        <v>0</v>
      </c>
      <c r="AP11" s="283">
        <v>0</v>
      </c>
      <c r="AQ11" s="283">
        <v>0</v>
      </c>
      <c r="AR11" s="283">
        <v>0</v>
      </c>
      <c r="AS11" s="283">
        <v>0</v>
      </c>
      <c r="AT11" s="283">
        <v>0</v>
      </c>
      <c r="AU11" s="283">
        <v>0</v>
      </c>
      <c r="AV11" s="283">
        <v>0</v>
      </c>
      <c r="AW11" s="283">
        <v>0</v>
      </c>
      <c r="AX11" s="283">
        <v>0</v>
      </c>
      <c r="AY11" s="283">
        <v>0</v>
      </c>
      <c r="BA11" s="123"/>
      <c r="BB11" s="123"/>
    </row>
    <row r="12" spans="1:54">
      <c r="A12" s="144"/>
      <c r="B12" s="281">
        <v>10047</v>
      </c>
      <c r="C12" s="281" t="s">
        <v>15</v>
      </c>
      <c r="D12" s="283">
        <v>1846</v>
      </c>
      <c r="E12" s="283">
        <v>8231</v>
      </c>
      <c r="F12" s="283">
        <v>-8616</v>
      </c>
      <c r="G12" s="283">
        <v>4301</v>
      </c>
      <c r="H12" s="283">
        <v>-3860</v>
      </c>
      <c r="I12" s="283">
        <v>9444</v>
      </c>
      <c r="J12" s="283">
        <v>10956</v>
      </c>
      <c r="K12" s="283">
        <v>15997</v>
      </c>
      <c r="L12" s="283">
        <v>7996</v>
      </c>
      <c r="M12" s="283">
        <v>9884</v>
      </c>
      <c r="N12" s="283">
        <v>777</v>
      </c>
      <c r="O12" s="283">
        <v>9570</v>
      </c>
      <c r="P12" s="283">
        <v>8030</v>
      </c>
      <c r="Q12" s="283">
        <v>9294</v>
      </c>
      <c r="R12" s="283">
        <v>-19387</v>
      </c>
      <c r="S12" s="283">
        <v>3351</v>
      </c>
      <c r="T12" s="283">
        <v>-38130</v>
      </c>
      <c r="U12" s="283">
        <v>-13494</v>
      </c>
      <c r="V12" s="283">
        <v>-22220</v>
      </c>
      <c r="W12" s="283">
        <v>5294</v>
      </c>
      <c r="X12" s="283">
        <v>-19205</v>
      </c>
      <c r="Y12" s="283">
        <v>6028</v>
      </c>
      <c r="Z12" s="283">
        <v>-6015</v>
      </c>
      <c r="AA12" s="283">
        <v>6337</v>
      </c>
      <c r="AB12" s="283">
        <v>1869</v>
      </c>
      <c r="AC12" s="283">
        <v>8261</v>
      </c>
      <c r="AD12" s="283">
        <v>-11483</v>
      </c>
      <c r="AE12" s="283">
        <v>7194</v>
      </c>
      <c r="AF12" s="283">
        <v>-880</v>
      </c>
      <c r="AG12" s="283">
        <v>6515</v>
      </c>
      <c r="AH12" s="283">
        <v>8032</v>
      </c>
      <c r="AI12" s="283">
        <v>19019</v>
      </c>
      <c r="AJ12" s="283">
        <v>7791</v>
      </c>
      <c r="AK12" s="283">
        <v>9980</v>
      </c>
      <c r="AL12" s="283">
        <v>3420</v>
      </c>
      <c r="AM12" s="283">
        <v>6983</v>
      </c>
      <c r="AN12" s="283">
        <v>8065</v>
      </c>
      <c r="AO12" s="283">
        <v>9325</v>
      </c>
      <c r="AP12" s="283">
        <v>-19414</v>
      </c>
      <c r="AQ12" s="283">
        <v>3371</v>
      </c>
      <c r="AR12" s="283">
        <v>-38197</v>
      </c>
      <c r="AS12" s="283">
        <v>-13512</v>
      </c>
      <c r="AT12" s="283">
        <v>-22252</v>
      </c>
      <c r="AU12" s="283">
        <v>5317</v>
      </c>
      <c r="AV12" s="283">
        <v>-19231</v>
      </c>
      <c r="AW12" s="283">
        <v>6053</v>
      </c>
      <c r="AX12" s="283">
        <v>-6012</v>
      </c>
      <c r="AY12" s="283">
        <v>6363</v>
      </c>
      <c r="BA12" s="123"/>
      <c r="BB12" s="123"/>
    </row>
    <row r="13" spans="1:54">
      <c r="A13" s="144"/>
      <c r="B13" s="281">
        <v>10055</v>
      </c>
      <c r="C13" s="281" t="s">
        <v>16</v>
      </c>
      <c r="D13" s="283">
        <v>-23</v>
      </c>
      <c r="E13" s="283">
        <v>3</v>
      </c>
      <c r="F13" s="283">
        <v>-22</v>
      </c>
      <c r="G13" s="283">
        <v>17</v>
      </c>
      <c r="H13" s="283">
        <v>46</v>
      </c>
      <c r="I13" s="283">
        <v>81</v>
      </c>
      <c r="J13" s="283">
        <v>81</v>
      </c>
      <c r="K13" s="283">
        <v>95</v>
      </c>
      <c r="L13" s="283">
        <v>62</v>
      </c>
      <c r="M13" s="283">
        <v>66</v>
      </c>
      <c r="N13" s="283">
        <v>2</v>
      </c>
      <c r="O13" s="283">
        <v>34</v>
      </c>
      <c r="P13" s="283">
        <v>14</v>
      </c>
      <c r="Q13" s="283">
        <v>23</v>
      </c>
      <c r="R13" s="283">
        <v>-69</v>
      </c>
      <c r="S13" s="283">
        <v>-10</v>
      </c>
      <c r="T13" s="283">
        <v>-117</v>
      </c>
      <c r="U13" s="283">
        <v>-60</v>
      </c>
      <c r="V13" s="283">
        <v>-61</v>
      </c>
      <c r="W13" s="283">
        <v>-9</v>
      </c>
      <c r="X13" s="283">
        <v>-65</v>
      </c>
      <c r="Y13" s="283">
        <v>-14</v>
      </c>
      <c r="Z13" s="283">
        <v>-48</v>
      </c>
      <c r="AA13" s="283">
        <v>-18</v>
      </c>
      <c r="AB13" s="283">
        <v>-23</v>
      </c>
      <c r="AC13" s="283">
        <v>3</v>
      </c>
      <c r="AD13" s="283">
        <v>-30</v>
      </c>
      <c r="AE13" s="283">
        <v>25</v>
      </c>
      <c r="AF13" s="283">
        <v>56</v>
      </c>
      <c r="AG13" s="283">
        <v>70</v>
      </c>
      <c r="AH13" s="283">
        <v>71</v>
      </c>
      <c r="AI13" s="283">
        <v>105</v>
      </c>
      <c r="AJ13" s="283">
        <v>60</v>
      </c>
      <c r="AK13" s="283">
        <v>65</v>
      </c>
      <c r="AL13" s="283">
        <v>9</v>
      </c>
      <c r="AM13" s="283">
        <v>28</v>
      </c>
      <c r="AN13" s="283">
        <v>14</v>
      </c>
      <c r="AO13" s="283">
        <v>23</v>
      </c>
      <c r="AP13" s="283">
        <v>-69</v>
      </c>
      <c r="AQ13" s="283">
        <v>-10</v>
      </c>
      <c r="AR13" s="283">
        <v>-117</v>
      </c>
      <c r="AS13" s="283">
        <v>-60</v>
      </c>
      <c r="AT13" s="283">
        <v>-61</v>
      </c>
      <c r="AU13" s="283">
        <v>-9</v>
      </c>
      <c r="AV13" s="283">
        <v>-65</v>
      </c>
      <c r="AW13" s="283">
        <v>-14</v>
      </c>
      <c r="AX13" s="283">
        <v>-48</v>
      </c>
      <c r="AY13" s="283">
        <v>-18</v>
      </c>
      <c r="BA13" s="123"/>
      <c r="BB13" s="123"/>
    </row>
    <row r="14" spans="1:54">
      <c r="A14" s="144"/>
      <c r="B14" s="281">
        <v>10057</v>
      </c>
      <c r="C14" s="281" t="s">
        <v>17</v>
      </c>
      <c r="D14" s="283">
        <v>147</v>
      </c>
      <c r="E14" s="283">
        <v>-51</v>
      </c>
      <c r="F14" s="283">
        <v>-399</v>
      </c>
      <c r="G14" s="283">
        <v>-119</v>
      </c>
      <c r="H14" s="283">
        <v>464</v>
      </c>
      <c r="I14" s="283">
        <v>866</v>
      </c>
      <c r="J14" s="283">
        <v>2682</v>
      </c>
      <c r="K14" s="283">
        <v>1711</v>
      </c>
      <c r="L14" s="283">
        <v>2000</v>
      </c>
      <c r="M14" s="283">
        <v>961</v>
      </c>
      <c r="N14" s="283">
        <v>351</v>
      </c>
      <c r="O14" s="283">
        <v>475</v>
      </c>
      <c r="P14" s="283">
        <v>1663</v>
      </c>
      <c r="Q14" s="283">
        <v>542</v>
      </c>
      <c r="R14" s="283">
        <v>-2226</v>
      </c>
      <c r="S14" s="283">
        <v>-494</v>
      </c>
      <c r="T14" s="283">
        <v>-4668</v>
      </c>
      <c r="U14" s="283">
        <v>-2710</v>
      </c>
      <c r="V14" s="283">
        <v>-632</v>
      </c>
      <c r="W14" s="283">
        <v>546</v>
      </c>
      <c r="X14" s="283">
        <v>-465</v>
      </c>
      <c r="Y14" s="283">
        <v>648</v>
      </c>
      <c r="Z14" s="283">
        <v>-919</v>
      </c>
      <c r="AA14" s="283">
        <v>-496</v>
      </c>
      <c r="AB14" s="283">
        <v>150</v>
      </c>
      <c r="AC14" s="283">
        <v>-50</v>
      </c>
      <c r="AD14" s="283">
        <v>-792</v>
      </c>
      <c r="AE14" s="283">
        <v>281</v>
      </c>
      <c r="AF14" s="283">
        <v>891</v>
      </c>
      <c r="AG14" s="283">
        <v>445</v>
      </c>
      <c r="AH14" s="283">
        <v>2254</v>
      </c>
      <c r="AI14" s="283">
        <v>2144</v>
      </c>
      <c r="AJ14" s="283">
        <v>1936</v>
      </c>
      <c r="AK14" s="283">
        <v>988</v>
      </c>
      <c r="AL14" s="283">
        <v>704</v>
      </c>
      <c r="AM14" s="283">
        <v>127</v>
      </c>
      <c r="AN14" s="283">
        <v>1666</v>
      </c>
      <c r="AO14" s="283">
        <v>544</v>
      </c>
      <c r="AP14" s="283">
        <v>-2222</v>
      </c>
      <c r="AQ14" s="283">
        <v>-492</v>
      </c>
      <c r="AR14" s="283">
        <v>-4663</v>
      </c>
      <c r="AS14" s="283">
        <v>-2708</v>
      </c>
      <c r="AT14" s="283">
        <v>-628</v>
      </c>
      <c r="AU14" s="283">
        <v>548</v>
      </c>
      <c r="AV14" s="283">
        <v>-461</v>
      </c>
      <c r="AW14" s="283">
        <v>649</v>
      </c>
      <c r="AX14" s="283">
        <v>-916</v>
      </c>
      <c r="AY14" s="283">
        <v>-495</v>
      </c>
      <c r="BA14" s="123"/>
      <c r="BB14" s="123"/>
    </row>
    <row r="15" spans="1:54">
      <c r="A15" s="144"/>
      <c r="B15" s="281">
        <v>10059</v>
      </c>
      <c r="C15" s="281" t="s">
        <v>18</v>
      </c>
      <c r="D15" s="283">
        <v>136</v>
      </c>
      <c r="E15" s="283">
        <v>88</v>
      </c>
      <c r="F15" s="283">
        <v>-6</v>
      </c>
      <c r="G15" s="283">
        <v>186</v>
      </c>
      <c r="H15" s="283">
        <v>243</v>
      </c>
      <c r="I15" s="283">
        <v>531</v>
      </c>
      <c r="J15" s="283">
        <v>1269</v>
      </c>
      <c r="K15" s="283">
        <v>1003</v>
      </c>
      <c r="L15" s="283">
        <v>1002</v>
      </c>
      <c r="M15" s="283">
        <v>627</v>
      </c>
      <c r="N15" s="283">
        <v>426</v>
      </c>
      <c r="O15" s="283">
        <v>517</v>
      </c>
      <c r="P15" s="283">
        <v>878</v>
      </c>
      <c r="Q15" s="283">
        <v>544</v>
      </c>
      <c r="R15" s="283">
        <v>-908</v>
      </c>
      <c r="S15" s="283">
        <v>-65</v>
      </c>
      <c r="T15" s="283">
        <v>-1823</v>
      </c>
      <c r="U15" s="283">
        <v>-913</v>
      </c>
      <c r="V15" s="283">
        <v>-1113</v>
      </c>
      <c r="W15" s="283">
        <v>-71</v>
      </c>
      <c r="X15" s="283">
        <v>-967</v>
      </c>
      <c r="Y15" s="283">
        <v>-38</v>
      </c>
      <c r="Z15" s="283">
        <v>-309</v>
      </c>
      <c r="AA15" s="283">
        <v>-47</v>
      </c>
      <c r="AB15" s="283">
        <v>138</v>
      </c>
      <c r="AC15" s="283">
        <v>89</v>
      </c>
      <c r="AD15" s="283">
        <v>-166</v>
      </c>
      <c r="AE15" s="283">
        <v>350</v>
      </c>
      <c r="AF15" s="283">
        <v>415</v>
      </c>
      <c r="AG15" s="283">
        <v>364</v>
      </c>
      <c r="AH15" s="283">
        <v>1092</v>
      </c>
      <c r="AI15" s="283">
        <v>1188</v>
      </c>
      <c r="AJ15" s="283">
        <v>1048</v>
      </c>
      <c r="AK15" s="283">
        <v>680</v>
      </c>
      <c r="AL15" s="283">
        <v>579</v>
      </c>
      <c r="AM15" s="283">
        <v>369</v>
      </c>
      <c r="AN15" s="283">
        <v>881</v>
      </c>
      <c r="AO15" s="283">
        <v>546</v>
      </c>
      <c r="AP15" s="283">
        <v>-909</v>
      </c>
      <c r="AQ15" s="283">
        <v>-64</v>
      </c>
      <c r="AR15" s="283">
        <v>-1825</v>
      </c>
      <c r="AS15" s="283">
        <v>-914</v>
      </c>
      <c r="AT15" s="283">
        <v>-1114</v>
      </c>
      <c r="AU15" s="283">
        <v>-70</v>
      </c>
      <c r="AV15" s="283">
        <v>-968</v>
      </c>
      <c r="AW15" s="283">
        <v>-37</v>
      </c>
      <c r="AX15" s="283">
        <v>-309</v>
      </c>
      <c r="AY15" s="283">
        <v>-46</v>
      </c>
      <c r="BA15" s="123"/>
      <c r="BB15" s="123"/>
    </row>
    <row r="16" spans="1:54">
      <c r="A16" s="144"/>
      <c r="B16" s="281">
        <v>10061</v>
      </c>
      <c r="C16" s="281" t="s">
        <v>19</v>
      </c>
      <c r="D16" s="283">
        <v>530</v>
      </c>
      <c r="E16" s="283">
        <v>480</v>
      </c>
      <c r="F16" s="283">
        <v>12</v>
      </c>
      <c r="G16" s="283">
        <v>344</v>
      </c>
      <c r="H16" s="283">
        <v>324</v>
      </c>
      <c r="I16" s="283">
        <v>701</v>
      </c>
      <c r="J16" s="283">
        <v>1339</v>
      </c>
      <c r="K16" s="283">
        <v>1137</v>
      </c>
      <c r="L16" s="283">
        <v>1243</v>
      </c>
      <c r="M16" s="283">
        <v>920</v>
      </c>
      <c r="N16" s="283">
        <v>566</v>
      </c>
      <c r="O16" s="283">
        <v>744</v>
      </c>
      <c r="P16" s="283">
        <v>988</v>
      </c>
      <c r="Q16" s="283">
        <v>689</v>
      </c>
      <c r="R16" s="283">
        <v>-696</v>
      </c>
      <c r="S16" s="283">
        <v>259</v>
      </c>
      <c r="T16" s="283">
        <v>-1842</v>
      </c>
      <c r="U16" s="283">
        <v>-757</v>
      </c>
      <c r="V16" s="283">
        <v>-832</v>
      </c>
      <c r="W16" s="283">
        <v>389</v>
      </c>
      <c r="X16" s="283">
        <v>-644</v>
      </c>
      <c r="Y16" s="283">
        <v>452</v>
      </c>
      <c r="Z16" s="283">
        <v>-29</v>
      </c>
      <c r="AA16" s="283">
        <v>299</v>
      </c>
      <c r="AB16" s="283">
        <v>530</v>
      </c>
      <c r="AC16" s="283">
        <v>480</v>
      </c>
      <c r="AD16" s="283">
        <v>-165</v>
      </c>
      <c r="AE16" s="283">
        <v>521</v>
      </c>
      <c r="AF16" s="283">
        <v>509</v>
      </c>
      <c r="AG16" s="283">
        <v>516</v>
      </c>
      <c r="AH16" s="283">
        <v>1149</v>
      </c>
      <c r="AI16" s="283">
        <v>1328</v>
      </c>
      <c r="AJ16" s="283">
        <v>1226</v>
      </c>
      <c r="AK16" s="283">
        <v>932</v>
      </c>
      <c r="AL16" s="283">
        <v>731</v>
      </c>
      <c r="AM16" s="283">
        <v>578</v>
      </c>
      <c r="AN16" s="283">
        <v>988</v>
      </c>
      <c r="AO16" s="283">
        <v>689</v>
      </c>
      <c r="AP16" s="283">
        <v>-696</v>
      </c>
      <c r="AQ16" s="283">
        <v>259</v>
      </c>
      <c r="AR16" s="283">
        <v>-1842</v>
      </c>
      <c r="AS16" s="283">
        <v>-757</v>
      </c>
      <c r="AT16" s="283">
        <v>-832</v>
      </c>
      <c r="AU16" s="283">
        <v>389</v>
      </c>
      <c r="AV16" s="283">
        <v>-644</v>
      </c>
      <c r="AW16" s="283">
        <v>452</v>
      </c>
      <c r="AX16" s="283">
        <v>-29</v>
      </c>
      <c r="AY16" s="283">
        <v>299</v>
      </c>
      <c r="BA16" s="123"/>
      <c r="BB16" s="123"/>
    </row>
    <row r="17" spans="2:54">
      <c r="B17" s="281">
        <v>10062</v>
      </c>
      <c r="C17" s="281" t="s">
        <v>20</v>
      </c>
      <c r="D17" s="283">
        <v>556</v>
      </c>
      <c r="E17" s="283">
        <v>-25</v>
      </c>
      <c r="F17" s="283">
        <v>496</v>
      </c>
      <c r="G17" s="283">
        <v>77</v>
      </c>
      <c r="H17" s="283">
        <v>1494</v>
      </c>
      <c r="I17" s="283">
        <v>678</v>
      </c>
      <c r="J17" s="283">
        <v>1805</v>
      </c>
      <c r="K17" s="283">
        <v>1019</v>
      </c>
      <c r="L17" s="283">
        <v>1630</v>
      </c>
      <c r="M17" s="283">
        <v>742</v>
      </c>
      <c r="N17" s="283">
        <v>902</v>
      </c>
      <c r="O17" s="283">
        <v>140</v>
      </c>
      <c r="P17" s="283">
        <v>256</v>
      </c>
      <c r="Q17" s="283">
        <v>-291</v>
      </c>
      <c r="R17" s="283">
        <v>-1382</v>
      </c>
      <c r="S17" s="283">
        <v>-1468</v>
      </c>
      <c r="T17" s="283">
        <v>-2137</v>
      </c>
      <c r="U17" s="283">
        <v>-1786</v>
      </c>
      <c r="V17" s="283">
        <v>-889</v>
      </c>
      <c r="W17" s="283">
        <v>-745</v>
      </c>
      <c r="X17" s="283">
        <v>137</v>
      </c>
      <c r="Y17" s="283">
        <v>-216</v>
      </c>
      <c r="Z17" s="283">
        <v>323</v>
      </c>
      <c r="AA17" s="283">
        <v>-153</v>
      </c>
      <c r="AB17" s="283">
        <v>590</v>
      </c>
      <c r="AC17" s="283">
        <v>-12</v>
      </c>
      <c r="AD17" s="283">
        <v>569</v>
      </c>
      <c r="AE17" s="283">
        <v>41</v>
      </c>
      <c r="AF17" s="283">
        <v>1471</v>
      </c>
      <c r="AG17" s="283">
        <v>718</v>
      </c>
      <c r="AH17" s="283">
        <v>1853</v>
      </c>
      <c r="AI17" s="283">
        <v>991</v>
      </c>
      <c r="AJ17" s="283">
        <v>1586</v>
      </c>
      <c r="AK17" s="283">
        <v>704</v>
      </c>
      <c r="AL17" s="283">
        <v>875</v>
      </c>
      <c r="AM17" s="283">
        <v>202</v>
      </c>
      <c r="AN17" s="283">
        <v>285</v>
      </c>
      <c r="AO17" s="283">
        <v>-279</v>
      </c>
      <c r="AP17" s="283">
        <v>-1348</v>
      </c>
      <c r="AQ17" s="283">
        <v>-1455</v>
      </c>
      <c r="AR17" s="283">
        <v>-2100</v>
      </c>
      <c r="AS17" s="283">
        <v>-1773</v>
      </c>
      <c r="AT17" s="283">
        <v>-853</v>
      </c>
      <c r="AU17" s="283">
        <v>-731</v>
      </c>
      <c r="AV17" s="283">
        <v>175</v>
      </c>
      <c r="AW17" s="283">
        <v>-204</v>
      </c>
      <c r="AX17" s="283">
        <v>359</v>
      </c>
      <c r="AY17" s="283">
        <v>-139</v>
      </c>
      <c r="BA17" s="123"/>
      <c r="BB17" s="123"/>
    </row>
    <row r="18" spans="2:54">
      <c r="B18" s="281">
        <v>10064</v>
      </c>
      <c r="C18" s="281" t="s">
        <v>21</v>
      </c>
      <c r="D18" s="283">
        <v>-317</v>
      </c>
      <c r="E18" s="283">
        <v>-79</v>
      </c>
      <c r="F18" s="283">
        <v>-1117</v>
      </c>
      <c r="G18" s="283">
        <v>-345</v>
      </c>
      <c r="H18" s="283">
        <v>175</v>
      </c>
      <c r="I18" s="283">
        <v>849</v>
      </c>
      <c r="J18" s="283">
        <v>1670</v>
      </c>
      <c r="K18" s="283">
        <v>1481</v>
      </c>
      <c r="L18" s="283">
        <v>1388</v>
      </c>
      <c r="M18" s="283">
        <v>981</v>
      </c>
      <c r="N18" s="283">
        <v>-65</v>
      </c>
      <c r="O18" s="283">
        <v>375</v>
      </c>
      <c r="P18" s="283">
        <v>734</v>
      </c>
      <c r="Q18" s="283">
        <v>330</v>
      </c>
      <c r="R18" s="283">
        <v>-1600</v>
      </c>
      <c r="S18" s="283">
        <v>-299</v>
      </c>
      <c r="T18" s="283">
        <v>-3100</v>
      </c>
      <c r="U18" s="283">
        <v>-1735</v>
      </c>
      <c r="V18" s="283">
        <v>-638</v>
      </c>
      <c r="W18" s="283">
        <v>435</v>
      </c>
      <c r="X18" s="283">
        <v>-657</v>
      </c>
      <c r="Y18" s="283">
        <v>366</v>
      </c>
      <c r="Z18" s="283">
        <v>-517</v>
      </c>
      <c r="AA18" s="283">
        <v>-184</v>
      </c>
      <c r="AB18" s="283">
        <v>-316</v>
      </c>
      <c r="AC18" s="283">
        <v>-78</v>
      </c>
      <c r="AD18" s="283">
        <v>-1349</v>
      </c>
      <c r="AE18" s="283">
        <v>-113</v>
      </c>
      <c r="AF18" s="283">
        <v>453</v>
      </c>
      <c r="AG18" s="283">
        <v>576</v>
      </c>
      <c r="AH18" s="283">
        <v>1395</v>
      </c>
      <c r="AI18" s="283">
        <v>1765</v>
      </c>
      <c r="AJ18" s="283">
        <v>1343</v>
      </c>
      <c r="AK18" s="283">
        <v>987</v>
      </c>
      <c r="AL18" s="283">
        <v>156</v>
      </c>
      <c r="AM18" s="283">
        <v>157</v>
      </c>
      <c r="AN18" s="283">
        <v>737</v>
      </c>
      <c r="AO18" s="283">
        <v>331</v>
      </c>
      <c r="AP18" s="283">
        <v>-1601</v>
      </c>
      <c r="AQ18" s="283">
        <v>-299</v>
      </c>
      <c r="AR18" s="283">
        <v>-3104</v>
      </c>
      <c r="AS18" s="283">
        <v>-1737</v>
      </c>
      <c r="AT18" s="283">
        <v>-637</v>
      </c>
      <c r="AU18" s="283">
        <v>437</v>
      </c>
      <c r="AV18" s="283">
        <v>-656</v>
      </c>
      <c r="AW18" s="283">
        <v>367</v>
      </c>
      <c r="AX18" s="283">
        <v>-516</v>
      </c>
      <c r="AY18" s="283">
        <v>-184</v>
      </c>
      <c r="BA18" s="123"/>
      <c r="BB18" s="123"/>
    </row>
    <row r="19" spans="2:54">
      <c r="B19" s="281">
        <v>10065</v>
      </c>
      <c r="C19" s="281" t="s">
        <v>22</v>
      </c>
      <c r="D19" s="283">
        <v>210</v>
      </c>
      <c r="E19" s="283">
        <v>188</v>
      </c>
      <c r="F19" s="283">
        <v>161</v>
      </c>
      <c r="G19" s="283">
        <v>214</v>
      </c>
      <c r="H19" s="283">
        <v>525</v>
      </c>
      <c r="I19" s="283">
        <v>508</v>
      </c>
      <c r="J19" s="283">
        <v>655</v>
      </c>
      <c r="K19" s="283">
        <v>552</v>
      </c>
      <c r="L19" s="283">
        <v>630</v>
      </c>
      <c r="M19" s="283">
        <v>453</v>
      </c>
      <c r="N19" s="283">
        <v>350</v>
      </c>
      <c r="O19" s="283">
        <v>351</v>
      </c>
      <c r="P19" s="283">
        <v>493</v>
      </c>
      <c r="Q19" s="283">
        <v>348</v>
      </c>
      <c r="R19" s="283">
        <v>-10</v>
      </c>
      <c r="S19" s="283">
        <v>197</v>
      </c>
      <c r="T19" s="283">
        <v>-294</v>
      </c>
      <c r="U19" s="283">
        <v>-66</v>
      </c>
      <c r="V19" s="283">
        <v>3</v>
      </c>
      <c r="W19" s="283">
        <v>236</v>
      </c>
      <c r="X19" s="283">
        <v>54</v>
      </c>
      <c r="Y19" s="283">
        <v>248</v>
      </c>
      <c r="Z19" s="283">
        <v>160</v>
      </c>
      <c r="AA19" s="283">
        <v>196</v>
      </c>
      <c r="AB19" s="283">
        <v>274</v>
      </c>
      <c r="AC19" s="283">
        <v>240</v>
      </c>
      <c r="AD19" s="283">
        <v>167</v>
      </c>
      <c r="AE19" s="283">
        <v>306</v>
      </c>
      <c r="AF19" s="283">
        <v>634</v>
      </c>
      <c r="AG19" s="283">
        <v>486</v>
      </c>
      <c r="AH19" s="283">
        <v>638</v>
      </c>
      <c r="AI19" s="283">
        <v>641</v>
      </c>
      <c r="AJ19" s="283">
        <v>641</v>
      </c>
      <c r="AK19" s="283">
        <v>472</v>
      </c>
      <c r="AL19" s="283">
        <v>420</v>
      </c>
      <c r="AM19" s="283">
        <v>325</v>
      </c>
      <c r="AN19" s="283">
        <v>508</v>
      </c>
      <c r="AO19" s="283">
        <v>360</v>
      </c>
      <c r="AP19" s="283">
        <v>-2</v>
      </c>
      <c r="AQ19" s="283">
        <v>204</v>
      </c>
      <c r="AR19" s="283">
        <v>-294</v>
      </c>
      <c r="AS19" s="283">
        <v>-66</v>
      </c>
      <c r="AT19" s="283">
        <v>3</v>
      </c>
      <c r="AU19" s="283">
        <v>236</v>
      </c>
      <c r="AV19" s="283">
        <v>54</v>
      </c>
      <c r="AW19" s="283">
        <v>248</v>
      </c>
      <c r="AX19" s="283">
        <v>160</v>
      </c>
      <c r="AY19" s="283">
        <v>196</v>
      </c>
      <c r="BA19" s="123"/>
      <c r="BB19" s="123"/>
    </row>
    <row r="20" spans="2:54">
      <c r="B20" s="281">
        <v>10066</v>
      </c>
      <c r="C20" s="281" t="s">
        <v>23</v>
      </c>
      <c r="D20" s="283">
        <v>-1317</v>
      </c>
      <c r="E20" s="283">
        <v>-1772</v>
      </c>
      <c r="F20" s="283">
        <v>-146</v>
      </c>
      <c r="G20" s="283">
        <v>-446</v>
      </c>
      <c r="H20" s="283">
        <v>2730</v>
      </c>
      <c r="I20" s="283">
        <v>2152</v>
      </c>
      <c r="J20" s="283">
        <v>5193</v>
      </c>
      <c r="K20" s="283">
        <v>3036</v>
      </c>
      <c r="L20" s="283">
        <v>5064</v>
      </c>
      <c r="M20" s="283">
        <v>2556</v>
      </c>
      <c r="N20" s="283">
        <v>2093</v>
      </c>
      <c r="O20" s="283">
        <v>1040</v>
      </c>
      <c r="P20" s="283">
        <v>2091</v>
      </c>
      <c r="Q20" s="283">
        <v>277</v>
      </c>
      <c r="R20" s="283">
        <v>-2643</v>
      </c>
      <c r="S20" s="283">
        <v>-1694</v>
      </c>
      <c r="T20" s="283">
        <v>-6360</v>
      </c>
      <c r="U20" s="283">
        <v>-4475</v>
      </c>
      <c r="V20" s="283">
        <v>-4356</v>
      </c>
      <c r="W20" s="283">
        <v>-1977</v>
      </c>
      <c r="X20" s="283">
        <v>-4020</v>
      </c>
      <c r="Y20" s="283">
        <v>-2279</v>
      </c>
      <c r="Z20" s="283">
        <v>-1821</v>
      </c>
      <c r="AA20" s="283">
        <v>-1857</v>
      </c>
      <c r="AB20" s="283">
        <v>-982</v>
      </c>
      <c r="AC20" s="283">
        <v>-1604</v>
      </c>
      <c r="AD20" s="283">
        <v>-232</v>
      </c>
      <c r="AE20" s="283">
        <v>55</v>
      </c>
      <c r="AF20" s="283">
        <v>3409</v>
      </c>
      <c r="AG20" s="283">
        <v>1828</v>
      </c>
      <c r="AH20" s="283">
        <v>5241</v>
      </c>
      <c r="AI20" s="283">
        <v>3788</v>
      </c>
      <c r="AJ20" s="283">
        <v>5153</v>
      </c>
      <c r="AK20" s="283">
        <v>2651</v>
      </c>
      <c r="AL20" s="283">
        <v>2778</v>
      </c>
      <c r="AM20" s="283">
        <v>857</v>
      </c>
      <c r="AN20" s="283">
        <v>2344</v>
      </c>
      <c r="AO20" s="283">
        <v>438</v>
      </c>
      <c r="AP20" s="283">
        <v>-2386</v>
      </c>
      <c r="AQ20" s="283">
        <v>-1597</v>
      </c>
      <c r="AR20" s="283">
        <v>-6162</v>
      </c>
      <c r="AS20" s="283">
        <v>-4401</v>
      </c>
      <c r="AT20" s="283">
        <v>-4212</v>
      </c>
      <c r="AU20" s="283">
        <v>-1916</v>
      </c>
      <c r="AV20" s="283">
        <v>-3894</v>
      </c>
      <c r="AW20" s="283">
        <v>-2274</v>
      </c>
      <c r="AX20" s="283">
        <v>-1728</v>
      </c>
      <c r="AY20" s="283">
        <v>-1824</v>
      </c>
      <c r="BA20" s="123"/>
      <c r="BB20" s="123"/>
    </row>
    <row r="21" spans="2:54">
      <c r="B21" s="281">
        <v>10067</v>
      </c>
      <c r="C21" s="281" t="s">
        <v>24</v>
      </c>
      <c r="D21" s="283">
        <v>-261</v>
      </c>
      <c r="E21" s="283">
        <v>-65</v>
      </c>
      <c r="F21" s="283">
        <v>-1343</v>
      </c>
      <c r="G21" s="283">
        <v>-152</v>
      </c>
      <c r="H21" s="283">
        <v>37</v>
      </c>
      <c r="I21" s="283">
        <v>678</v>
      </c>
      <c r="J21" s="283">
        <v>1971</v>
      </c>
      <c r="K21" s="283">
        <v>1839</v>
      </c>
      <c r="L21" s="283">
        <v>1400</v>
      </c>
      <c r="M21" s="283">
        <v>1173</v>
      </c>
      <c r="N21" s="283">
        <v>154</v>
      </c>
      <c r="O21" s="283">
        <v>499</v>
      </c>
      <c r="P21" s="283">
        <v>705</v>
      </c>
      <c r="Q21" s="283">
        <v>424</v>
      </c>
      <c r="R21" s="283">
        <v>-1629</v>
      </c>
      <c r="S21" s="283">
        <v>-573</v>
      </c>
      <c r="T21" s="283">
        <v>-3835</v>
      </c>
      <c r="U21" s="283">
        <v>-1876</v>
      </c>
      <c r="V21" s="283">
        <v>-1854</v>
      </c>
      <c r="W21" s="283">
        <v>87</v>
      </c>
      <c r="X21" s="283">
        <v>-1510</v>
      </c>
      <c r="Y21" s="283">
        <v>-48</v>
      </c>
      <c r="Z21" s="283">
        <v>-1121</v>
      </c>
      <c r="AA21" s="283">
        <v>-297</v>
      </c>
      <c r="AB21" s="283">
        <v>-315</v>
      </c>
      <c r="AC21" s="283">
        <v>-113</v>
      </c>
      <c r="AD21" s="283">
        <v>-1359</v>
      </c>
      <c r="AE21" s="283">
        <v>-218</v>
      </c>
      <c r="AF21" s="283">
        <v>-20</v>
      </c>
      <c r="AG21" s="283">
        <v>665</v>
      </c>
      <c r="AH21" s="283">
        <v>1967</v>
      </c>
      <c r="AI21" s="283">
        <v>1781</v>
      </c>
      <c r="AJ21" s="283">
        <v>1642</v>
      </c>
      <c r="AK21" s="283">
        <v>1278</v>
      </c>
      <c r="AL21" s="283">
        <v>82</v>
      </c>
      <c r="AM21" s="283">
        <v>479</v>
      </c>
      <c r="AN21" s="283">
        <v>654</v>
      </c>
      <c r="AO21" s="283">
        <v>379</v>
      </c>
      <c r="AP21" s="283">
        <v>-1677</v>
      </c>
      <c r="AQ21" s="283">
        <v>-629</v>
      </c>
      <c r="AR21" s="283">
        <v>-3886</v>
      </c>
      <c r="AS21" s="283">
        <v>-1921</v>
      </c>
      <c r="AT21" s="283">
        <v>-1905</v>
      </c>
      <c r="AU21" s="283">
        <v>37</v>
      </c>
      <c r="AV21" s="283">
        <v>-1558</v>
      </c>
      <c r="AW21" s="283">
        <v>-99</v>
      </c>
      <c r="AX21" s="283">
        <v>-1174</v>
      </c>
      <c r="AY21" s="283">
        <v>-348</v>
      </c>
      <c r="BA21" s="123"/>
      <c r="BB21" s="123"/>
    </row>
    <row r="22" spans="2:54">
      <c r="B22" s="281">
        <v>10068</v>
      </c>
      <c r="C22" s="281" t="s">
        <v>25</v>
      </c>
      <c r="D22" s="283">
        <v>-22</v>
      </c>
      <c r="E22" s="283">
        <v>48</v>
      </c>
      <c r="F22" s="283">
        <v>-44</v>
      </c>
      <c r="G22" s="283">
        <v>76</v>
      </c>
      <c r="H22" s="283">
        <v>237</v>
      </c>
      <c r="I22" s="283">
        <v>254</v>
      </c>
      <c r="J22" s="283">
        <v>369</v>
      </c>
      <c r="K22" s="283">
        <v>359</v>
      </c>
      <c r="L22" s="283">
        <v>308</v>
      </c>
      <c r="M22" s="283">
        <v>229</v>
      </c>
      <c r="N22" s="283">
        <v>114</v>
      </c>
      <c r="O22" s="283">
        <v>116</v>
      </c>
      <c r="P22" s="283">
        <v>138</v>
      </c>
      <c r="Q22" s="283">
        <v>107</v>
      </c>
      <c r="R22" s="283">
        <v>-310</v>
      </c>
      <c r="S22" s="283">
        <v>-81</v>
      </c>
      <c r="T22" s="283">
        <v>-648</v>
      </c>
      <c r="U22" s="283">
        <v>-322</v>
      </c>
      <c r="V22" s="283">
        <v>-283</v>
      </c>
      <c r="W22" s="283">
        <v>55</v>
      </c>
      <c r="X22" s="283">
        <v>-242</v>
      </c>
      <c r="Y22" s="283">
        <v>-4</v>
      </c>
      <c r="Z22" s="283">
        <v>-180</v>
      </c>
      <c r="AA22" s="283">
        <v>-44</v>
      </c>
      <c r="AB22" s="283">
        <v>-22</v>
      </c>
      <c r="AC22" s="283">
        <v>49</v>
      </c>
      <c r="AD22" s="283">
        <v>-43</v>
      </c>
      <c r="AE22" s="283">
        <v>77</v>
      </c>
      <c r="AF22" s="283">
        <v>238</v>
      </c>
      <c r="AG22" s="283">
        <v>255</v>
      </c>
      <c r="AH22" s="283">
        <v>370</v>
      </c>
      <c r="AI22" s="283">
        <v>360</v>
      </c>
      <c r="AJ22" s="283">
        <v>302</v>
      </c>
      <c r="AK22" s="283">
        <v>220</v>
      </c>
      <c r="AL22" s="283">
        <v>115</v>
      </c>
      <c r="AM22" s="283">
        <v>117</v>
      </c>
      <c r="AN22" s="283">
        <v>139</v>
      </c>
      <c r="AO22" s="283">
        <v>107</v>
      </c>
      <c r="AP22" s="283">
        <v>-310</v>
      </c>
      <c r="AQ22" s="283">
        <v>-81</v>
      </c>
      <c r="AR22" s="283">
        <v>-649</v>
      </c>
      <c r="AS22" s="283">
        <v>-322</v>
      </c>
      <c r="AT22" s="283">
        <v>-283</v>
      </c>
      <c r="AU22" s="283">
        <v>55</v>
      </c>
      <c r="AV22" s="283">
        <v>-241</v>
      </c>
      <c r="AW22" s="283">
        <v>-4</v>
      </c>
      <c r="AX22" s="283">
        <v>-179</v>
      </c>
      <c r="AY22" s="283">
        <v>-44</v>
      </c>
      <c r="BA22" s="123"/>
      <c r="BB22" s="123"/>
    </row>
    <row r="23" spans="2:54">
      <c r="B23" s="281">
        <v>10070</v>
      </c>
      <c r="C23" s="281" t="s">
        <v>26</v>
      </c>
      <c r="D23" s="283">
        <v>1</v>
      </c>
      <c r="E23" s="283">
        <v>4</v>
      </c>
      <c r="F23" s="283">
        <v>-12</v>
      </c>
      <c r="G23" s="283">
        <v>7</v>
      </c>
      <c r="H23" s="283">
        <v>25</v>
      </c>
      <c r="I23" s="283">
        <v>47</v>
      </c>
      <c r="J23" s="283">
        <v>69</v>
      </c>
      <c r="K23" s="283">
        <v>62</v>
      </c>
      <c r="L23" s="283">
        <v>53</v>
      </c>
      <c r="M23" s="283">
        <v>43</v>
      </c>
      <c r="N23" s="283">
        <v>8</v>
      </c>
      <c r="O23" s="283">
        <v>24</v>
      </c>
      <c r="P23" s="283">
        <v>30</v>
      </c>
      <c r="Q23" s="283">
        <v>20</v>
      </c>
      <c r="R23" s="283">
        <v>-36</v>
      </c>
      <c r="S23" s="283">
        <v>3</v>
      </c>
      <c r="T23" s="283">
        <v>-85</v>
      </c>
      <c r="U23" s="283">
        <v>-36</v>
      </c>
      <c r="V23" s="283">
        <v>-34</v>
      </c>
      <c r="W23" s="283">
        <v>10</v>
      </c>
      <c r="X23" s="283">
        <v>-29</v>
      </c>
      <c r="Y23" s="283">
        <v>9</v>
      </c>
      <c r="Z23" s="283">
        <v>-11</v>
      </c>
      <c r="AA23" s="283">
        <v>0</v>
      </c>
      <c r="AB23" s="283">
        <v>1</v>
      </c>
      <c r="AC23" s="283">
        <v>4</v>
      </c>
      <c r="AD23" s="283">
        <v>-19</v>
      </c>
      <c r="AE23" s="283">
        <v>14</v>
      </c>
      <c r="AF23" s="283">
        <v>33</v>
      </c>
      <c r="AG23" s="283">
        <v>39</v>
      </c>
      <c r="AH23" s="283">
        <v>60</v>
      </c>
      <c r="AI23" s="283">
        <v>71</v>
      </c>
      <c r="AJ23" s="283">
        <v>51</v>
      </c>
      <c r="AK23" s="283">
        <v>42</v>
      </c>
      <c r="AL23" s="283">
        <v>15</v>
      </c>
      <c r="AM23" s="283">
        <v>18</v>
      </c>
      <c r="AN23" s="283">
        <v>30</v>
      </c>
      <c r="AO23" s="283">
        <v>21</v>
      </c>
      <c r="AP23" s="283">
        <v>-36</v>
      </c>
      <c r="AQ23" s="283">
        <v>3</v>
      </c>
      <c r="AR23" s="283">
        <v>-85</v>
      </c>
      <c r="AS23" s="283">
        <v>-36</v>
      </c>
      <c r="AT23" s="283">
        <v>-34</v>
      </c>
      <c r="AU23" s="283">
        <v>10</v>
      </c>
      <c r="AV23" s="283">
        <v>-29</v>
      </c>
      <c r="AW23" s="283">
        <v>9</v>
      </c>
      <c r="AX23" s="283">
        <v>-11</v>
      </c>
      <c r="AY23" s="283">
        <v>0</v>
      </c>
      <c r="BA23" s="123"/>
      <c r="BB23" s="123"/>
    </row>
    <row r="24" spans="2:54">
      <c r="B24" s="281">
        <v>10071</v>
      </c>
      <c r="C24" s="281" t="s">
        <v>27</v>
      </c>
      <c r="D24" s="283">
        <v>7</v>
      </c>
      <c r="E24" s="283">
        <v>15</v>
      </c>
      <c r="F24" s="283">
        <v>-14</v>
      </c>
      <c r="G24" s="283">
        <v>32</v>
      </c>
      <c r="H24" s="283">
        <v>129</v>
      </c>
      <c r="I24" s="283">
        <v>171</v>
      </c>
      <c r="J24" s="283">
        <v>282</v>
      </c>
      <c r="K24" s="283">
        <v>222</v>
      </c>
      <c r="L24" s="283">
        <v>295</v>
      </c>
      <c r="M24" s="283">
        <v>183</v>
      </c>
      <c r="N24" s="283">
        <v>90</v>
      </c>
      <c r="O24" s="283">
        <v>108</v>
      </c>
      <c r="P24" s="283">
        <v>195</v>
      </c>
      <c r="Q24" s="283">
        <v>108</v>
      </c>
      <c r="R24" s="283">
        <v>-202</v>
      </c>
      <c r="S24" s="283">
        <v>-27</v>
      </c>
      <c r="T24" s="283">
        <v>-472</v>
      </c>
      <c r="U24" s="283">
        <v>-249</v>
      </c>
      <c r="V24" s="283">
        <v>-269</v>
      </c>
      <c r="W24" s="283">
        <v>-39</v>
      </c>
      <c r="X24" s="283">
        <v>-225</v>
      </c>
      <c r="Y24" s="283">
        <v>-22</v>
      </c>
      <c r="Z24" s="283">
        <v>-114</v>
      </c>
      <c r="AA24" s="283">
        <v>-50</v>
      </c>
      <c r="AB24" s="283">
        <v>6</v>
      </c>
      <c r="AC24" s="283">
        <v>14</v>
      </c>
      <c r="AD24" s="283">
        <v>-50</v>
      </c>
      <c r="AE24" s="283">
        <v>65</v>
      </c>
      <c r="AF24" s="283">
        <v>167</v>
      </c>
      <c r="AG24" s="283">
        <v>131</v>
      </c>
      <c r="AH24" s="283">
        <v>243</v>
      </c>
      <c r="AI24" s="283">
        <v>260</v>
      </c>
      <c r="AJ24" s="283">
        <v>284</v>
      </c>
      <c r="AK24" s="283">
        <v>182</v>
      </c>
      <c r="AL24" s="283">
        <v>120</v>
      </c>
      <c r="AM24" s="283">
        <v>76</v>
      </c>
      <c r="AN24" s="283">
        <v>194</v>
      </c>
      <c r="AO24" s="283">
        <v>108</v>
      </c>
      <c r="AP24" s="283">
        <v>-203</v>
      </c>
      <c r="AQ24" s="283">
        <v>-28</v>
      </c>
      <c r="AR24" s="283">
        <v>-473</v>
      </c>
      <c r="AS24" s="283">
        <v>-250</v>
      </c>
      <c r="AT24" s="283">
        <v>-271</v>
      </c>
      <c r="AU24" s="283">
        <v>-40</v>
      </c>
      <c r="AV24" s="283">
        <v>-226</v>
      </c>
      <c r="AW24" s="283">
        <v>-23</v>
      </c>
      <c r="AX24" s="283">
        <v>-115</v>
      </c>
      <c r="AY24" s="283">
        <v>-51</v>
      </c>
      <c r="BA24" s="123"/>
      <c r="BB24" s="123"/>
    </row>
    <row r="25" spans="2:54">
      <c r="B25" s="281">
        <v>10072</v>
      </c>
      <c r="C25" s="281" t="s">
        <v>28</v>
      </c>
      <c r="D25" s="283">
        <v>1170</v>
      </c>
      <c r="E25" s="283">
        <v>1193</v>
      </c>
      <c r="F25" s="283">
        <v>-860</v>
      </c>
      <c r="G25" s="283">
        <v>430</v>
      </c>
      <c r="H25" s="283">
        <v>1223</v>
      </c>
      <c r="I25" s="283">
        <v>1725</v>
      </c>
      <c r="J25" s="283">
        <v>3478</v>
      </c>
      <c r="K25" s="283">
        <v>3246</v>
      </c>
      <c r="L25" s="283">
        <v>2876</v>
      </c>
      <c r="M25" s="283">
        <v>2029</v>
      </c>
      <c r="N25" s="283">
        <v>589</v>
      </c>
      <c r="O25" s="283">
        <v>765</v>
      </c>
      <c r="P25" s="283">
        <v>1718</v>
      </c>
      <c r="Q25" s="283">
        <v>1072</v>
      </c>
      <c r="R25" s="283">
        <v>-2256</v>
      </c>
      <c r="S25" s="283">
        <v>-371</v>
      </c>
      <c r="T25" s="283">
        <v>-5120</v>
      </c>
      <c r="U25" s="283">
        <v>-2411</v>
      </c>
      <c r="V25" s="283">
        <v>-2034</v>
      </c>
      <c r="W25" s="283">
        <v>916</v>
      </c>
      <c r="X25" s="283">
        <v>-1240</v>
      </c>
      <c r="Y25" s="283">
        <v>610</v>
      </c>
      <c r="Z25" s="283">
        <v>-1242</v>
      </c>
      <c r="AA25" s="283">
        <v>53</v>
      </c>
      <c r="AB25" s="283">
        <v>1198</v>
      </c>
      <c r="AC25" s="283">
        <v>1209</v>
      </c>
      <c r="AD25" s="283">
        <v>-831</v>
      </c>
      <c r="AE25" s="283">
        <v>449</v>
      </c>
      <c r="AF25" s="283">
        <v>1255</v>
      </c>
      <c r="AG25" s="283">
        <v>1747</v>
      </c>
      <c r="AH25" s="283">
        <v>3512</v>
      </c>
      <c r="AI25" s="283">
        <v>3269</v>
      </c>
      <c r="AJ25" s="283">
        <v>2869</v>
      </c>
      <c r="AK25" s="283">
        <v>1977</v>
      </c>
      <c r="AL25" s="283">
        <v>616</v>
      </c>
      <c r="AM25" s="283">
        <v>781</v>
      </c>
      <c r="AN25" s="283">
        <v>1743</v>
      </c>
      <c r="AO25" s="283">
        <v>1087</v>
      </c>
      <c r="AP25" s="283">
        <v>-2233</v>
      </c>
      <c r="AQ25" s="283">
        <v>-357</v>
      </c>
      <c r="AR25" s="283">
        <v>-5094</v>
      </c>
      <c r="AS25" s="283">
        <v>-2396</v>
      </c>
      <c r="AT25" s="283">
        <v>-1999</v>
      </c>
      <c r="AU25" s="283">
        <v>937</v>
      </c>
      <c r="AV25" s="283">
        <v>-1190</v>
      </c>
      <c r="AW25" s="283">
        <v>639</v>
      </c>
      <c r="AX25" s="283">
        <v>-1188</v>
      </c>
      <c r="AY25" s="283">
        <v>87</v>
      </c>
      <c r="BA25" s="123"/>
      <c r="BB25" s="123"/>
    </row>
    <row r="26" spans="2:54">
      <c r="B26" s="281">
        <v>10074</v>
      </c>
      <c r="C26" s="281" t="s">
        <v>29</v>
      </c>
      <c r="D26" s="283">
        <v>70</v>
      </c>
      <c r="E26" s="283">
        <v>-259</v>
      </c>
      <c r="F26" s="283">
        <v>-639</v>
      </c>
      <c r="G26" s="283">
        <v>-115</v>
      </c>
      <c r="H26" s="283">
        <v>452</v>
      </c>
      <c r="I26" s="283">
        <v>913</v>
      </c>
      <c r="J26" s="283">
        <v>2802</v>
      </c>
      <c r="K26" s="283">
        <v>1841</v>
      </c>
      <c r="L26" s="283">
        <v>3189</v>
      </c>
      <c r="M26" s="283">
        <v>1659</v>
      </c>
      <c r="N26" s="283">
        <v>868</v>
      </c>
      <c r="O26" s="283">
        <v>815</v>
      </c>
      <c r="P26" s="283">
        <v>2672</v>
      </c>
      <c r="Q26" s="283">
        <v>1074</v>
      </c>
      <c r="R26" s="283">
        <v>-3020</v>
      </c>
      <c r="S26" s="283">
        <v>-1036</v>
      </c>
      <c r="T26" s="283">
        <v>-7236</v>
      </c>
      <c r="U26" s="283">
        <v>-4240</v>
      </c>
      <c r="V26" s="283">
        <v>-2944</v>
      </c>
      <c r="W26" s="283">
        <v>-420</v>
      </c>
      <c r="X26" s="283">
        <v>-2331</v>
      </c>
      <c r="Y26" s="283">
        <v>-236</v>
      </c>
      <c r="Z26" s="283">
        <v>-1251</v>
      </c>
      <c r="AA26" s="283">
        <v>-774</v>
      </c>
      <c r="AB26" s="283">
        <v>35</v>
      </c>
      <c r="AC26" s="283">
        <v>-287</v>
      </c>
      <c r="AD26" s="283">
        <v>-1130</v>
      </c>
      <c r="AE26" s="283">
        <v>320</v>
      </c>
      <c r="AF26" s="283">
        <v>924</v>
      </c>
      <c r="AG26" s="283">
        <v>404</v>
      </c>
      <c r="AH26" s="283">
        <v>2298</v>
      </c>
      <c r="AI26" s="283">
        <v>2293</v>
      </c>
      <c r="AJ26" s="283">
        <v>3080</v>
      </c>
      <c r="AK26" s="283">
        <v>1648</v>
      </c>
      <c r="AL26" s="283">
        <v>1260</v>
      </c>
      <c r="AM26" s="283">
        <v>377</v>
      </c>
      <c r="AN26" s="283">
        <v>2641</v>
      </c>
      <c r="AO26" s="283">
        <v>1048</v>
      </c>
      <c r="AP26" s="283">
        <v>-3051</v>
      </c>
      <c r="AQ26" s="283">
        <v>-1068</v>
      </c>
      <c r="AR26" s="283">
        <v>-7271</v>
      </c>
      <c r="AS26" s="283">
        <v>-4269</v>
      </c>
      <c r="AT26" s="283">
        <v>-2976</v>
      </c>
      <c r="AU26" s="283">
        <v>-450</v>
      </c>
      <c r="AV26" s="283">
        <v>-2362</v>
      </c>
      <c r="AW26" s="283">
        <v>-265</v>
      </c>
      <c r="AX26" s="283">
        <v>-1283</v>
      </c>
      <c r="AY26" s="283">
        <v>-804</v>
      </c>
      <c r="BA26" s="123"/>
      <c r="BB26" s="123"/>
    </row>
    <row r="27" spans="2:54">
      <c r="B27" s="281">
        <v>10076</v>
      </c>
      <c r="C27" s="281" t="s">
        <v>30</v>
      </c>
      <c r="D27" s="283">
        <v>-87</v>
      </c>
      <c r="E27" s="283">
        <v>40</v>
      </c>
      <c r="F27" s="283">
        <v>-353</v>
      </c>
      <c r="G27" s="283">
        <v>3</v>
      </c>
      <c r="H27" s="283">
        <v>138</v>
      </c>
      <c r="I27" s="283">
        <v>445</v>
      </c>
      <c r="J27" s="283">
        <v>643</v>
      </c>
      <c r="K27" s="283">
        <v>677</v>
      </c>
      <c r="L27" s="283">
        <v>526</v>
      </c>
      <c r="M27" s="283">
        <v>486</v>
      </c>
      <c r="N27" s="283">
        <v>4</v>
      </c>
      <c r="O27" s="283">
        <v>262</v>
      </c>
      <c r="P27" s="283">
        <v>248</v>
      </c>
      <c r="Q27" s="283">
        <v>179</v>
      </c>
      <c r="R27" s="283">
        <v>-530</v>
      </c>
      <c r="S27" s="283">
        <v>-28</v>
      </c>
      <c r="T27" s="283">
        <v>-939</v>
      </c>
      <c r="U27" s="283">
        <v>-485</v>
      </c>
      <c r="V27" s="283">
        <v>-279</v>
      </c>
      <c r="W27" s="283">
        <v>165</v>
      </c>
      <c r="X27" s="283">
        <v>-402</v>
      </c>
      <c r="Y27" s="283">
        <v>42</v>
      </c>
      <c r="Z27" s="283">
        <v>-264</v>
      </c>
      <c r="AA27" s="283">
        <v>-87</v>
      </c>
      <c r="AB27" s="283">
        <v>-87</v>
      </c>
      <c r="AC27" s="283">
        <v>39</v>
      </c>
      <c r="AD27" s="283">
        <v>-441</v>
      </c>
      <c r="AE27" s="283">
        <v>90</v>
      </c>
      <c r="AF27" s="283">
        <v>243</v>
      </c>
      <c r="AG27" s="283">
        <v>338</v>
      </c>
      <c r="AH27" s="283">
        <v>536</v>
      </c>
      <c r="AI27" s="283">
        <v>783</v>
      </c>
      <c r="AJ27" s="283">
        <v>527</v>
      </c>
      <c r="AK27" s="283">
        <v>497</v>
      </c>
      <c r="AL27" s="283">
        <v>88</v>
      </c>
      <c r="AM27" s="283">
        <v>176</v>
      </c>
      <c r="AN27" s="283">
        <v>249</v>
      </c>
      <c r="AO27" s="283">
        <v>179</v>
      </c>
      <c r="AP27" s="283">
        <v>-530</v>
      </c>
      <c r="AQ27" s="283">
        <v>-30</v>
      </c>
      <c r="AR27" s="283">
        <v>-938</v>
      </c>
      <c r="AS27" s="283">
        <v>-486</v>
      </c>
      <c r="AT27" s="283">
        <v>-278</v>
      </c>
      <c r="AU27" s="283">
        <v>164</v>
      </c>
      <c r="AV27" s="283">
        <v>-401</v>
      </c>
      <c r="AW27" s="283">
        <v>40</v>
      </c>
      <c r="AX27" s="283">
        <v>-263</v>
      </c>
      <c r="AY27" s="283">
        <v>-89</v>
      </c>
      <c r="BA27" s="123"/>
      <c r="BB27" s="123"/>
    </row>
    <row r="28" spans="2:54">
      <c r="B28" s="281">
        <v>10078</v>
      </c>
      <c r="C28" s="281" t="s">
        <v>31</v>
      </c>
      <c r="D28" s="283">
        <v>242</v>
      </c>
      <c r="E28" s="283">
        <v>-31</v>
      </c>
      <c r="F28" s="283">
        <v>147</v>
      </c>
      <c r="G28" s="283">
        <v>7</v>
      </c>
      <c r="H28" s="283">
        <v>281</v>
      </c>
      <c r="I28" s="283">
        <v>231</v>
      </c>
      <c r="J28" s="283">
        <v>736</v>
      </c>
      <c r="K28" s="283">
        <v>370</v>
      </c>
      <c r="L28" s="283">
        <v>743</v>
      </c>
      <c r="M28" s="283">
        <v>326</v>
      </c>
      <c r="N28" s="283">
        <v>380</v>
      </c>
      <c r="O28" s="283">
        <v>187</v>
      </c>
      <c r="P28" s="283">
        <v>555</v>
      </c>
      <c r="Q28" s="283">
        <v>147</v>
      </c>
      <c r="R28" s="283">
        <v>-297</v>
      </c>
      <c r="S28" s="283">
        <v>-173</v>
      </c>
      <c r="T28" s="283">
        <v>-797</v>
      </c>
      <c r="U28" s="283">
        <v>-595</v>
      </c>
      <c r="V28" s="283">
        <v>-480</v>
      </c>
      <c r="W28" s="283">
        <v>-206</v>
      </c>
      <c r="X28" s="283">
        <v>-374</v>
      </c>
      <c r="Y28" s="283">
        <v>-172</v>
      </c>
      <c r="Z28" s="283">
        <v>-49</v>
      </c>
      <c r="AA28" s="283">
        <v>-180</v>
      </c>
      <c r="AB28" s="283">
        <v>262</v>
      </c>
      <c r="AC28" s="283">
        <v>-22</v>
      </c>
      <c r="AD28" s="283">
        <v>93</v>
      </c>
      <c r="AE28" s="283">
        <v>88</v>
      </c>
      <c r="AF28" s="283">
        <v>375</v>
      </c>
      <c r="AG28" s="283">
        <v>166</v>
      </c>
      <c r="AH28" s="283">
        <v>677</v>
      </c>
      <c r="AI28" s="283">
        <v>458</v>
      </c>
      <c r="AJ28" s="283">
        <v>722</v>
      </c>
      <c r="AK28" s="283">
        <v>329</v>
      </c>
      <c r="AL28" s="283">
        <v>465</v>
      </c>
      <c r="AM28" s="283">
        <v>130</v>
      </c>
      <c r="AN28" s="283">
        <v>573</v>
      </c>
      <c r="AO28" s="283">
        <v>156</v>
      </c>
      <c r="AP28" s="283">
        <v>-278</v>
      </c>
      <c r="AQ28" s="283">
        <v>-163</v>
      </c>
      <c r="AR28" s="283">
        <v>-778</v>
      </c>
      <c r="AS28" s="283">
        <v>-587</v>
      </c>
      <c r="AT28" s="283">
        <v>-460</v>
      </c>
      <c r="AU28" s="283">
        <v>-197</v>
      </c>
      <c r="AV28" s="283">
        <v>-355</v>
      </c>
      <c r="AW28" s="283">
        <v>-163</v>
      </c>
      <c r="AX28" s="283">
        <v>-30</v>
      </c>
      <c r="AY28" s="283">
        <v>-171</v>
      </c>
      <c r="BA28" s="123"/>
      <c r="BB28" s="123"/>
    </row>
    <row r="29" spans="2:54">
      <c r="B29" s="281">
        <v>10079</v>
      </c>
      <c r="C29" s="281" t="s">
        <v>32</v>
      </c>
      <c r="D29" s="283">
        <v>783</v>
      </c>
      <c r="E29" s="283">
        <v>708</v>
      </c>
      <c r="F29" s="283">
        <v>-6553</v>
      </c>
      <c r="G29" s="283">
        <v>-3236</v>
      </c>
      <c r="H29" s="283">
        <v>-1119</v>
      </c>
      <c r="I29" s="283">
        <v>1136</v>
      </c>
      <c r="J29" s="283">
        <v>6968</v>
      </c>
      <c r="K29" s="283">
        <v>5525</v>
      </c>
      <c r="L29" s="283">
        <v>6486</v>
      </c>
      <c r="M29" s="283">
        <v>3674</v>
      </c>
      <c r="N29" s="283">
        <v>2011</v>
      </c>
      <c r="O29" s="283">
        <v>2602</v>
      </c>
      <c r="P29" s="283">
        <v>9294</v>
      </c>
      <c r="Q29" s="283">
        <v>4383</v>
      </c>
      <c r="R29" s="283">
        <v>-6036</v>
      </c>
      <c r="S29" s="283">
        <v>-430</v>
      </c>
      <c r="T29" s="283">
        <v>-17896</v>
      </c>
      <c r="U29" s="283">
        <v>-9692</v>
      </c>
      <c r="V29" s="283">
        <v>-6415</v>
      </c>
      <c r="W29" s="283">
        <v>1675</v>
      </c>
      <c r="X29" s="283">
        <v>-4898</v>
      </c>
      <c r="Y29" s="283">
        <v>2021</v>
      </c>
      <c r="Z29" s="283">
        <v>2463</v>
      </c>
      <c r="AA29" s="283">
        <v>2497</v>
      </c>
      <c r="AB29" s="283">
        <v>2271</v>
      </c>
      <c r="AC29" s="283">
        <v>1512</v>
      </c>
      <c r="AD29" s="283">
        <v>-10059</v>
      </c>
      <c r="AE29" s="283">
        <v>-3772</v>
      </c>
      <c r="AF29" s="283">
        <v>-4913</v>
      </c>
      <c r="AG29" s="283">
        <v>-3145</v>
      </c>
      <c r="AH29" s="283">
        <v>5786</v>
      </c>
      <c r="AI29" s="283">
        <v>6748</v>
      </c>
      <c r="AJ29" s="283">
        <v>9501</v>
      </c>
      <c r="AK29" s="283">
        <v>5589</v>
      </c>
      <c r="AL29" s="283">
        <v>5704</v>
      </c>
      <c r="AM29" s="283">
        <v>3001</v>
      </c>
      <c r="AN29" s="283">
        <v>8199</v>
      </c>
      <c r="AO29" s="283">
        <v>3731</v>
      </c>
      <c r="AP29" s="283">
        <v>-6244</v>
      </c>
      <c r="AQ29" s="283">
        <v>-544</v>
      </c>
      <c r="AR29" s="283">
        <v>-16502</v>
      </c>
      <c r="AS29" s="283">
        <v>-8940</v>
      </c>
      <c r="AT29" s="283">
        <v>-6017</v>
      </c>
      <c r="AU29" s="283">
        <v>1951</v>
      </c>
      <c r="AV29" s="283">
        <v>-5092</v>
      </c>
      <c r="AW29" s="283">
        <v>1947</v>
      </c>
      <c r="AX29" s="283">
        <v>-116</v>
      </c>
      <c r="AY29" s="283">
        <v>945</v>
      </c>
      <c r="BA29" s="123"/>
      <c r="BB29" s="123"/>
    </row>
    <row r="30" spans="2:54">
      <c r="B30" s="281">
        <v>10080</v>
      </c>
      <c r="C30" s="281" t="s">
        <v>33</v>
      </c>
      <c r="D30" s="283">
        <v>59</v>
      </c>
      <c r="E30" s="283">
        <v>158</v>
      </c>
      <c r="F30" s="283">
        <v>7</v>
      </c>
      <c r="G30" s="283">
        <v>241</v>
      </c>
      <c r="H30" s="283">
        <v>250</v>
      </c>
      <c r="I30" s="283">
        <v>536</v>
      </c>
      <c r="J30" s="283">
        <v>1057</v>
      </c>
      <c r="K30" s="283">
        <v>892</v>
      </c>
      <c r="L30" s="283">
        <v>958</v>
      </c>
      <c r="M30" s="283">
        <v>676</v>
      </c>
      <c r="N30" s="283">
        <v>211</v>
      </c>
      <c r="O30" s="283">
        <v>408</v>
      </c>
      <c r="P30" s="283">
        <v>563</v>
      </c>
      <c r="Q30" s="283">
        <v>375</v>
      </c>
      <c r="R30" s="283">
        <v>-949</v>
      </c>
      <c r="S30" s="283">
        <v>-123</v>
      </c>
      <c r="T30" s="283">
        <v>-1886</v>
      </c>
      <c r="U30" s="283">
        <v>-904</v>
      </c>
      <c r="V30" s="283">
        <v>-1111</v>
      </c>
      <c r="W30" s="283">
        <v>-43</v>
      </c>
      <c r="X30" s="283">
        <v>-990</v>
      </c>
      <c r="Y30" s="283">
        <v>-16</v>
      </c>
      <c r="Z30" s="283">
        <v>-536</v>
      </c>
      <c r="AA30" s="283">
        <v>-130</v>
      </c>
      <c r="AB30" s="283">
        <v>60</v>
      </c>
      <c r="AC30" s="283">
        <v>159</v>
      </c>
      <c r="AD30" s="283">
        <v>-129</v>
      </c>
      <c r="AE30" s="283">
        <v>377</v>
      </c>
      <c r="AF30" s="283">
        <v>392</v>
      </c>
      <c r="AG30" s="283">
        <v>394</v>
      </c>
      <c r="AH30" s="283">
        <v>910</v>
      </c>
      <c r="AI30" s="283">
        <v>1040</v>
      </c>
      <c r="AJ30" s="283">
        <v>937</v>
      </c>
      <c r="AK30" s="283">
        <v>682</v>
      </c>
      <c r="AL30" s="283">
        <v>330</v>
      </c>
      <c r="AM30" s="283">
        <v>290</v>
      </c>
      <c r="AN30" s="283">
        <v>565</v>
      </c>
      <c r="AO30" s="283">
        <v>376</v>
      </c>
      <c r="AP30" s="283">
        <v>-956</v>
      </c>
      <c r="AQ30" s="283">
        <v>-127</v>
      </c>
      <c r="AR30" s="283">
        <v>-1895</v>
      </c>
      <c r="AS30" s="283">
        <v>-909</v>
      </c>
      <c r="AT30" s="283">
        <v>-1119</v>
      </c>
      <c r="AU30" s="283">
        <v>-48</v>
      </c>
      <c r="AV30" s="283">
        <v>-998</v>
      </c>
      <c r="AW30" s="283">
        <v>-20</v>
      </c>
      <c r="AX30" s="283">
        <v>-543</v>
      </c>
      <c r="AY30" s="283">
        <v>-134</v>
      </c>
      <c r="BA30" s="123"/>
      <c r="BB30" s="123"/>
    </row>
    <row r="31" spans="2:54">
      <c r="B31" s="281">
        <v>10081</v>
      </c>
      <c r="C31" s="281" t="s">
        <v>34</v>
      </c>
      <c r="D31" s="283">
        <v>-900</v>
      </c>
      <c r="E31" s="283">
        <v>-614</v>
      </c>
      <c r="F31" s="283">
        <v>-632</v>
      </c>
      <c r="G31" s="283">
        <v>-222</v>
      </c>
      <c r="H31" s="283">
        <v>607</v>
      </c>
      <c r="I31" s="283">
        <v>958</v>
      </c>
      <c r="J31" s="283">
        <v>1596</v>
      </c>
      <c r="K31" s="283">
        <v>1322</v>
      </c>
      <c r="L31" s="283">
        <v>1028</v>
      </c>
      <c r="M31" s="283">
        <v>687</v>
      </c>
      <c r="N31" s="283">
        <v>-539</v>
      </c>
      <c r="O31" s="283">
        <v>-71</v>
      </c>
      <c r="P31" s="283">
        <v>322</v>
      </c>
      <c r="Q31" s="283">
        <v>50</v>
      </c>
      <c r="R31" s="283">
        <v>-1779</v>
      </c>
      <c r="S31" s="283">
        <v>-802</v>
      </c>
      <c r="T31" s="283">
        <v>-3416</v>
      </c>
      <c r="U31" s="283">
        <v>-2204</v>
      </c>
      <c r="V31" s="283">
        <v>-1032</v>
      </c>
      <c r="W31" s="283">
        <v>-214</v>
      </c>
      <c r="X31" s="283">
        <v>-844</v>
      </c>
      <c r="Y31" s="283">
        <v>-256</v>
      </c>
      <c r="Z31" s="283">
        <v>-695</v>
      </c>
      <c r="AA31" s="283">
        <v>-515</v>
      </c>
      <c r="AB31" s="283">
        <v>-902</v>
      </c>
      <c r="AC31" s="283">
        <v>-614</v>
      </c>
      <c r="AD31" s="283">
        <v>-828</v>
      </c>
      <c r="AE31" s="283">
        <v>-34</v>
      </c>
      <c r="AF31" s="283">
        <v>852</v>
      </c>
      <c r="AG31" s="283">
        <v>720</v>
      </c>
      <c r="AH31" s="283">
        <v>1357</v>
      </c>
      <c r="AI31" s="283">
        <v>1556</v>
      </c>
      <c r="AJ31" s="283">
        <v>983</v>
      </c>
      <c r="AK31" s="283">
        <v>688</v>
      </c>
      <c r="AL31" s="283">
        <v>-381</v>
      </c>
      <c r="AM31" s="283">
        <v>-221</v>
      </c>
      <c r="AN31" s="283">
        <v>322</v>
      </c>
      <c r="AO31" s="283">
        <v>50</v>
      </c>
      <c r="AP31" s="283">
        <v>-1779</v>
      </c>
      <c r="AQ31" s="283">
        <v>-802</v>
      </c>
      <c r="AR31" s="283">
        <v>-3416</v>
      </c>
      <c r="AS31" s="283">
        <v>-2204</v>
      </c>
      <c r="AT31" s="283">
        <v>-1032</v>
      </c>
      <c r="AU31" s="283">
        <v>-214</v>
      </c>
      <c r="AV31" s="283">
        <v>-844</v>
      </c>
      <c r="AW31" s="283">
        <v>-256</v>
      </c>
      <c r="AX31" s="283">
        <v>-695</v>
      </c>
      <c r="AY31" s="283">
        <v>-515</v>
      </c>
      <c r="BA31" s="123"/>
      <c r="BB31" s="123"/>
    </row>
    <row r="32" spans="2:54">
      <c r="B32" s="281">
        <v>10082</v>
      </c>
      <c r="C32" s="281" t="s">
        <v>35</v>
      </c>
      <c r="D32" s="283">
        <v>-7</v>
      </c>
      <c r="E32" s="283">
        <v>1</v>
      </c>
      <c r="F32" s="283">
        <v>-3</v>
      </c>
      <c r="G32" s="283">
        <v>5</v>
      </c>
      <c r="H32" s="283">
        <v>12</v>
      </c>
      <c r="I32" s="283">
        <v>18</v>
      </c>
      <c r="J32" s="283">
        <v>23</v>
      </c>
      <c r="K32" s="283">
        <v>23</v>
      </c>
      <c r="L32" s="283">
        <v>19</v>
      </c>
      <c r="M32" s="283">
        <v>17</v>
      </c>
      <c r="N32" s="283">
        <v>2</v>
      </c>
      <c r="O32" s="283">
        <v>9</v>
      </c>
      <c r="P32" s="283">
        <v>3</v>
      </c>
      <c r="Q32" s="283">
        <v>6</v>
      </c>
      <c r="R32" s="283">
        <v>-19</v>
      </c>
      <c r="S32" s="283">
        <v>-3</v>
      </c>
      <c r="T32" s="283">
        <v>-31</v>
      </c>
      <c r="U32" s="283">
        <v>-14</v>
      </c>
      <c r="V32" s="283">
        <v>-20</v>
      </c>
      <c r="W32" s="283">
        <v>-2</v>
      </c>
      <c r="X32" s="283">
        <v>-20</v>
      </c>
      <c r="Y32" s="283">
        <v>-3</v>
      </c>
      <c r="Z32" s="283">
        <v>-15</v>
      </c>
      <c r="AA32" s="283">
        <v>-4</v>
      </c>
      <c r="AB32" s="283">
        <v>-7</v>
      </c>
      <c r="AC32" s="283">
        <v>1</v>
      </c>
      <c r="AD32" s="283">
        <v>-5</v>
      </c>
      <c r="AE32" s="283">
        <v>7</v>
      </c>
      <c r="AF32" s="283">
        <v>15</v>
      </c>
      <c r="AG32" s="283">
        <v>16</v>
      </c>
      <c r="AH32" s="283">
        <v>20</v>
      </c>
      <c r="AI32" s="283">
        <v>26</v>
      </c>
      <c r="AJ32" s="283">
        <v>18</v>
      </c>
      <c r="AK32" s="283">
        <v>17</v>
      </c>
      <c r="AL32" s="283">
        <v>4</v>
      </c>
      <c r="AM32" s="283">
        <v>8</v>
      </c>
      <c r="AN32" s="283">
        <v>3</v>
      </c>
      <c r="AO32" s="283">
        <v>6</v>
      </c>
      <c r="AP32" s="283">
        <v>-19</v>
      </c>
      <c r="AQ32" s="283">
        <v>-3</v>
      </c>
      <c r="AR32" s="283">
        <v>-31</v>
      </c>
      <c r="AS32" s="283">
        <v>-14</v>
      </c>
      <c r="AT32" s="283">
        <v>-20</v>
      </c>
      <c r="AU32" s="283">
        <v>-2</v>
      </c>
      <c r="AV32" s="283">
        <v>-20</v>
      </c>
      <c r="AW32" s="283">
        <v>-3</v>
      </c>
      <c r="AX32" s="283">
        <v>-15</v>
      </c>
      <c r="AY32" s="283">
        <v>-4</v>
      </c>
      <c r="BA32" s="123"/>
      <c r="BB32" s="123"/>
    </row>
    <row r="33" spans="2:54">
      <c r="B33" s="281">
        <v>10083</v>
      </c>
      <c r="C33" s="281" t="s">
        <v>36</v>
      </c>
      <c r="D33" s="283">
        <v>276</v>
      </c>
      <c r="E33" s="283">
        <v>138</v>
      </c>
      <c r="F33" s="283">
        <v>156</v>
      </c>
      <c r="G33" s="283">
        <v>295</v>
      </c>
      <c r="H33" s="283">
        <v>572</v>
      </c>
      <c r="I33" s="283">
        <v>806</v>
      </c>
      <c r="J33" s="283">
        <v>1419</v>
      </c>
      <c r="K33" s="283">
        <v>1062</v>
      </c>
      <c r="L33" s="283">
        <v>1459</v>
      </c>
      <c r="M33" s="283">
        <v>918</v>
      </c>
      <c r="N33" s="283">
        <v>386</v>
      </c>
      <c r="O33" s="283">
        <v>482</v>
      </c>
      <c r="P33" s="283">
        <v>962</v>
      </c>
      <c r="Q33" s="283">
        <v>502</v>
      </c>
      <c r="R33" s="283">
        <v>-765</v>
      </c>
      <c r="S33" s="283">
        <v>-14</v>
      </c>
      <c r="T33" s="283">
        <v>-1930</v>
      </c>
      <c r="U33" s="283">
        <v>-1028</v>
      </c>
      <c r="V33" s="283">
        <v>-900</v>
      </c>
      <c r="W33" s="283">
        <v>15</v>
      </c>
      <c r="X33" s="283">
        <v>-897</v>
      </c>
      <c r="Y33" s="283">
        <v>-14</v>
      </c>
      <c r="Z33" s="283">
        <v>-330</v>
      </c>
      <c r="AA33" s="283">
        <v>-98</v>
      </c>
      <c r="AB33" s="283">
        <v>306</v>
      </c>
      <c r="AC33" s="283">
        <v>154</v>
      </c>
      <c r="AD33" s="283">
        <v>-3</v>
      </c>
      <c r="AE33" s="283">
        <v>500</v>
      </c>
      <c r="AF33" s="283">
        <v>801</v>
      </c>
      <c r="AG33" s="283">
        <v>623</v>
      </c>
      <c r="AH33" s="283">
        <v>1247</v>
      </c>
      <c r="AI33" s="283">
        <v>1281</v>
      </c>
      <c r="AJ33" s="283">
        <v>1464</v>
      </c>
      <c r="AK33" s="283">
        <v>947</v>
      </c>
      <c r="AL33" s="283">
        <v>577</v>
      </c>
      <c r="AM33" s="283">
        <v>337</v>
      </c>
      <c r="AN33" s="283">
        <v>991</v>
      </c>
      <c r="AO33" s="283">
        <v>519</v>
      </c>
      <c r="AP33" s="283">
        <v>-737</v>
      </c>
      <c r="AQ33" s="283">
        <v>5</v>
      </c>
      <c r="AR33" s="283">
        <v>-1900</v>
      </c>
      <c r="AS33" s="283">
        <v>-1012</v>
      </c>
      <c r="AT33" s="283">
        <v>-871</v>
      </c>
      <c r="AU33" s="283">
        <v>32</v>
      </c>
      <c r="AV33" s="283">
        <v>-868</v>
      </c>
      <c r="AW33" s="283">
        <v>3</v>
      </c>
      <c r="AX33" s="283">
        <v>-301</v>
      </c>
      <c r="AY33" s="283">
        <v>-80</v>
      </c>
      <c r="BA33" s="123"/>
      <c r="BB33" s="123"/>
    </row>
    <row r="34" spans="2:54">
      <c r="B34" s="281">
        <v>10086</v>
      </c>
      <c r="C34" s="281" t="s">
        <v>37</v>
      </c>
      <c r="D34" s="283">
        <v>42</v>
      </c>
      <c r="E34" s="283">
        <v>101</v>
      </c>
      <c r="F34" s="283">
        <v>-122</v>
      </c>
      <c r="G34" s="283">
        <v>78</v>
      </c>
      <c r="H34" s="283">
        <v>163</v>
      </c>
      <c r="I34" s="283">
        <v>366</v>
      </c>
      <c r="J34" s="283">
        <v>501</v>
      </c>
      <c r="K34" s="283">
        <v>480</v>
      </c>
      <c r="L34" s="283">
        <v>465</v>
      </c>
      <c r="M34" s="283">
        <v>377</v>
      </c>
      <c r="N34" s="283">
        <v>208</v>
      </c>
      <c r="O34" s="283">
        <v>310</v>
      </c>
      <c r="P34" s="283">
        <v>259</v>
      </c>
      <c r="Q34" s="283">
        <v>198</v>
      </c>
      <c r="R34" s="283">
        <v>-450</v>
      </c>
      <c r="S34" s="283">
        <v>-15</v>
      </c>
      <c r="T34" s="283">
        <v>-993</v>
      </c>
      <c r="U34" s="283">
        <v>-501</v>
      </c>
      <c r="V34" s="283">
        <v>-606</v>
      </c>
      <c r="W34" s="283">
        <v>-64</v>
      </c>
      <c r="X34" s="283">
        <v>-510</v>
      </c>
      <c r="Y34" s="283">
        <v>-39</v>
      </c>
      <c r="Z34" s="283">
        <v>-244</v>
      </c>
      <c r="AA34" s="283">
        <v>-65</v>
      </c>
      <c r="AB34" s="283">
        <v>42</v>
      </c>
      <c r="AC34" s="283">
        <v>101</v>
      </c>
      <c r="AD34" s="283">
        <v>-191</v>
      </c>
      <c r="AE34" s="283">
        <v>147</v>
      </c>
      <c r="AF34" s="283">
        <v>241</v>
      </c>
      <c r="AG34" s="283">
        <v>289</v>
      </c>
      <c r="AH34" s="283">
        <v>425</v>
      </c>
      <c r="AI34" s="283">
        <v>557</v>
      </c>
      <c r="AJ34" s="283">
        <v>448</v>
      </c>
      <c r="AK34" s="283">
        <v>374</v>
      </c>
      <c r="AL34" s="283">
        <v>275</v>
      </c>
      <c r="AM34" s="283">
        <v>243</v>
      </c>
      <c r="AN34" s="283">
        <v>259</v>
      </c>
      <c r="AO34" s="283">
        <v>199</v>
      </c>
      <c r="AP34" s="283">
        <v>-452</v>
      </c>
      <c r="AQ34" s="283">
        <v>-15</v>
      </c>
      <c r="AR34" s="283">
        <v>-996</v>
      </c>
      <c r="AS34" s="283">
        <v>-503</v>
      </c>
      <c r="AT34" s="283">
        <v>-607</v>
      </c>
      <c r="AU34" s="283">
        <v>-64</v>
      </c>
      <c r="AV34" s="283">
        <v>-511</v>
      </c>
      <c r="AW34" s="283">
        <v>-39</v>
      </c>
      <c r="AX34" s="283">
        <v>-245</v>
      </c>
      <c r="AY34" s="283">
        <v>-65</v>
      </c>
      <c r="BA34" s="123"/>
      <c r="BB34" s="123"/>
    </row>
    <row r="35" spans="2:54">
      <c r="B35" s="281">
        <v>10087</v>
      </c>
      <c r="C35" s="281" t="s">
        <v>38</v>
      </c>
      <c r="D35" s="283">
        <v>-582</v>
      </c>
      <c r="E35" s="283">
        <v>2676</v>
      </c>
      <c r="F35" s="283">
        <v>-940</v>
      </c>
      <c r="G35" s="283">
        <v>3876</v>
      </c>
      <c r="H35" s="283">
        <v>2434</v>
      </c>
      <c r="I35" s="283">
        <v>3992</v>
      </c>
      <c r="J35" s="283">
        <v>4175</v>
      </c>
      <c r="K35" s="283">
        <v>7365</v>
      </c>
      <c r="L35" s="283">
        <v>4445</v>
      </c>
      <c r="M35" s="283">
        <v>6053</v>
      </c>
      <c r="N35" s="283">
        <v>1566</v>
      </c>
      <c r="O35" s="283">
        <v>4119</v>
      </c>
      <c r="P35" s="283">
        <v>2317</v>
      </c>
      <c r="Q35" s="283">
        <v>3725</v>
      </c>
      <c r="R35" s="283">
        <v>-4986</v>
      </c>
      <c r="S35" s="283">
        <v>481</v>
      </c>
      <c r="T35" s="283">
        <v>-9427</v>
      </c>
      <c r="U35" s="283">
        <v>-2994</v>
      </c>
      <c r="V35" s="283">
        <v>-6817</v>
      </c>
      <c r="W35" s="283">
        <v>155</v>
      </c>
      <c r="X35" s="283">
        <v>-6084</v>
      </c>
      <c r="Y35" s="283">
        <v>291</v>
      </c>
      <c r="Z35" s="283">
        <v>-3630</v>
      </c>
      <c r="AA35" s="283">
        <v>300</v>
      </c>
      <c r="AB35" s="283">
        <v>-587</v>
      </c>
      <c r="AC35" s="283">
        <v>2674</v>
      </c>
      <c r="AD35" s="283">
        <v>-946</v>
      </c>
      <c r="AE35" s="283">
        <v>3872</v>
      </c>
      <c r="AF35" s="283">
        <v>2429</v>
      </c>
      <c r="AG35" s="283">
        <v>3988</v>
      </c>
      <c r="AH35" s="283">
        <v>4171</v>
      </c>
      <c r="AI35" s="283">
        <v>7362</v>
      </c>
      <c r="AJ35" s="283">
        <v>4363</v>
      </c>
      <c r="AK35" s="283">
        <v>5844</v>
      </c>
      <c r="AL35" s="283">
        <v>1561</v>
      </c>
      <c r="AM35" s="283">
        <v>4116</v>
      </c>
      <c r="AN35" s="283">
        <v>2313</v>
      </c>
      <c r="AO35" s="283">
        <v>3722</v>
      </c>
      <c r="AP35" s="283">
        <v>-4991</v>
      </c>
      <c r="AQ35" s="283">
        <v>478</v>
      </c>
      <c r="AR35" s="283">
        <v>-9434</v>
      </c>
      <c r="AS35" s="283">
        <v>-2998</v>
      </c>
      <c r="AT35" s="283">
        <v>-6822</v>
      </c>
      <c r="AU35" s="283">
        <v>152</v>
      </c>
      <c r="AV35" s="283">
        <v>-6090</v>
      </c>
      <c r="AW35" s="283">
        <v>289</v>
      </c>
      <c r="AX35" s="283">
        <v>-3635</v>
      </c>
      <c r="AY35" s="283">
        <v>297</v>
      </c>
      <c r="BA35" s="123"/>
      <c r="BB35" s="123"/>
    </row>
    <row r="36" spans="2:54">
      <c r="B36" s="281">
        <v>10089</v>
      </c>
      <c r="C36" s="281" t="s">
        <v>39</v>
      </c>
      <c r="D36" s="283">
        <v>-4647</v>
      </c>
      <c r="E36" s="283">
        <v>-1067</v>
      </c>
      <c r="F36" s="283">
        <v>-11259</v>
      </c>
      <c r="G36" s="283">
        <v>-2826</v>
      </c>
      <c r="H36" s="283">
        <v>-3</v>
      </c>
      <c r="I36" s="283">
        <v>7454</v>
      </c>
      <c r="J36" s="283">
        <v>10061</v>
      </c>
      <c r="K36" s="283">
        <v>10873</v>
      </c>
      <c r="L36" s="283">
        <v>5700</v>
      </c>
      <c r="M36" s="283">
        <v>6352</v>
      </c>
      <c r="N36" s="283">
        <v>-5539</v>
      </c>
      <c r="O36" s="283">
        <v>999</v>
      </c>
      <c r="P36" s="283">
        <v>2026</v>
      </c>
      <c r="Q36" s="283">
        <v>1377</v>
      </c>
      <c r="R36" s="283">
        <v>-10872</v>
      </c>
      <c r="S36" s="283">
        <v>-686</v>
      </c>
      <c r="T36" s="283">
        <v>-19997</v>
      </c>
      <c r="U36" s="283">
        <v>-10319</v>
      </c>
      <c r="V36" s="283">
        <v>-1389</v>
      </c>
      <c r="W36" s="283">
        <v>6006</v>
      </c>
      <c r="X36" s="283">
        <v>-1020</v>
      </c>
      <c r="Y36" s="283">
        <v>5977</v>
      </c>
      <c r="Z36" s="283">
        <v>-3920</v>
      </c>
      <c r="AA36" s="283">
        <v>-192</v>
      </c>
      <c r="AB36" s="283">
        <v>-4809</v>
      </c>
      <c r="AC36" s="283">
        <v>-1227</v>
      </c>
      <c r="AD36" s="283">
        <v>-13117</v>
      </c>
      <c r="AE36" s="283">
        <v>-1191</v>
      </c>
      <c r="AF36" s="283">
        <v>2148</v>
      </c>
      <c r="AG36" s="283">
        <v>5200</v>
      </c>
      <c r="AH36" s="283">
        <v>7863</v>
      </c>
      <c r="AI36" s="283">
        <v>12973</v>
      </c>
      <c r="AJ36" s="283">
        <v>6049</v>
      </c>
      <c r="AK36" s="283">
        <v>6743</v>
      </c>
      <c r="AL36" s="283">
        <v>-4100</v>
      </c>
      <c r="AM36" s="283">
        <v>-727</v>
      </c>
      <c r="AN36" s="283">
        <v>1874</v>
      </c>
      <c r="AO36" s="283">
        <v>1227</v>
      </c>
      <c r="AP36" s="283">
        <v>-10997</v>
      </c>
      <c r="AQ36" s="283">
        <v>-850</v>
      </c>
      <c r="AR36" s="283">
        <v>-20103</v>
      </c>
      <c r="AS36" s="283">
        <v>-10455</v>
      </c>
      <c r="AT36" s="283">
        <v>-1438</v>
      </c>
      <c r="AU36" s="283">
        <v>5887</v>
      </c>
      <c r="AV36" s="283">
        <v>-1078</v>
      </c>
      <c r="AW36" s="283">
        <v>5855</v>
      </c>
      <c r="AX36" s="283">
        <v>-4046</v>
      </c>
      <c r="AY36" s="283">
        <v>-348</v>
      </c>
      <c r="BA36" s="123"/>
      <c r="BB36" s="123"/>
    </row>
    <row r="37" spans="2:54">
      <c r="B37" s="281">
        <v>10091</v>
      </c>
      <c r="C37" s="281" t="s">
        <v>40</v>
      </c>
      <c r="D37" s="283">
        <v>-346</v>
      </c>
      <c r="E37" s="283">
        <v>141</v>
      </c>
      <c r="F37" s="283">
        <v>-655</v>
      </c>
      <c r="G37" s="283">
        <v>148</v>
      </c>
      <c r="H37" s="283">
        <v>696</v>
      </c>
      <c r="I37" s="283">
        <v>974</v>
      </c>
      <c r="J37" s="283">
        <v>1487</v>
      </c>
      <c r="K37" s="283">
        <v>1658</v>
      </c>
      <c r="L37" s="283">
        <v>1255</v>
      </c>
      <c r="M37" s="283">
        <v>1167</v>
      </c>
      <c r="N37" s="283">
        <v>356</v>
      </c>
      <c r="O37" s="283">
        <v>570</v>
      </c>
      <c r="P37" s="283">
        <v>526</v>
      </c>
      <c r="Q37" s="283">
        <v>491</v>
      </c>
      <c r="R37" s="283">
        <v>-1070</v>
      </c>
      <c r="S37" s="283">
        <v>-165</v>
      </c>
      <c r="T37" s="283">
        <v>-2277</v>
      </c>
      <c r="U37" s="283">
        <v>-1067</v>
      </c>
      <c r="V37" s="283">
        <v>-829</v>
      </c>
      <c r="W37" s="283">
        <v>364</v>
      </c>
      <c r="X37" s="283">
        <v>-827</v>
      </c>
      <c r="Y37" s="283">
        <v>77</v>
      </c>
      <c r="Z37" s="283">
        <v>-554</v>
      </c>
      <c r="AA37" s="283">
        <v>-54</v>
      </c>
      <c r="AB37" s="283">
        <v>-269</v>
      </c>
      <c r="AC37" s="283">
        <v>167</v>
      </c>
      <c r="AD37" s="283">
        <v>-549</v>
      </c>
      <c r="AE37" s="283">
        <v>181</v>
      </c>
      <c r="AF37" s="283">
        <v>784</v>
      </c>
      <c r="AG37" s="283">
        <v>1005</v>
      </c>
      <c r="AH37" s="283">
        <v>1564</v>
      </c>
      <c r="AI37" s="283">
        <v>1679</v>
      </c>
      <c r="AJ37" s="283">
        <v>1335</v>
      </c>
      <c r="AK37" s="283">
        <v>1171</v>
      </c>
      <c r="AL37" s="283">
        <v>411</v>
      </c>
      <c r="AM37" s="283">
        <v>580</v>
      </c>
      <c r="AN37" s="283">
        <v>566</v>
      </c>
      <c r="AO37" s="283">
        <v>497</v>
      </c>
      <c r="AP37" s="283">
        <v>-1038</v>
      </c>
      <c r="AQ37" s="283">
        <v>-167</v>
      </c>
      <c r="AR37" s="283">
        <v>-2256</v>
      </c>
      <c r="AS37" s="283">
        <v>-1076</v>
      </c>
      <c r="AT37" s="283">
        <v>-820</v>
      </c>
      <c r="AU37" s="283">
        <v>349</v>
      </c>
      <c r="AV37" s="283">
        <v>-831</v>
      </c>
      <c r="AW37" s="283">
        <v>55</v>
      </c>
      <c r="AX37" s="283">
        <v>-571</v>
      </c>
      <c r="AY37" s="283">
        <v>-82</v>
      </c>
      <c r="BA37" s="123"/>
      <c r="BB37" s="123"/>
    </row>
    <row r="38" spans="2:54">
      <c r="B38" s="281">
        <v>10094</v>
      </c>
      <c r="C38" s="281" t="s">
        <v>41</v>
      </c>
      <c r="D38" s="283">
        <v>54</v>
      </c>
      <c r="E38" s="283">
        <v>94</v>
      </c>
      <c r="F38" s="283">
        <v>-166</v>
      </c>
      <c r="G38" s="283">
        <v>-3</v>
      </c>
      <c r="H38" s="283">
        <v>124</v>
      </c>
      <c r="I38" s="283">
        <v>150</v>
      </c>
      <c r="J38" s="283">
        <v>368</v>
      </c>
      <c r="K38" s="283">
        <v>336</v>
      </c>
      <c r="L38" s="283">
        <v>307</v>
      </c>
      <c r="M38" s="283">
        <v>238</v>
      </c>
      <c r="N38" s="283">
        <v>160</v>
      </c>
      <c r="O38" s="283">
        <v>147</v>
      </c>
      <c r="P38" s="283">
        <v>282</v>
      </c>
      <c r="Q38" s="283">
        <v>194</v>
      </c>
      <c r="R38" s="283">
        <v>-294</v>
      </c>
      <c r="S38" s="283">
        <v>-39</v>
      </c>
      <c r="T38" s="283">
        <v>-777</v>
      </c>
      <c r="U38" s="283">
        <v>-394</v>
      </c>
      <c r="V38" s="283">
        <v>-376</v>
      </c>
      <c r="W38" s="283">
        <v>15</v>
      </c>
      <c r="X38" s="283">
        <v>-250</v>
      </c>
      <c r="Y38" s="283">
        <v>-2</v>
      </c>
      <c r="Z38" s="283">
        <v>-86</v>
      </c>
      <c r="AA38" s="283">
        <v>19</v>
      </c>
      <c r="AB38" s="283">
        <v>54</v>
      </c>
      <c r="AC38" s="283">
        <v>94</v>
      </c>
      <c r="AD38" s="283">
        <v>-164</v>
      </c>
      <c r="AE38" s="283">
        <v>-5</v>
      </c>
      <c r="AF38" s="283">
        <v>122</v>
      </c>
      <c r="AG38" s="283">
        <v>152</v>
      </c>
      <c r="AH38" s="283">
        <v>370</v>
      </c>
      <c r="AI38" s="283">
        <v>334</v>
      </c>
      <c r="AJ38" s="283">
        <v>304</v>
      </c>
      <c r="AK38" s="283">
        <v>230</v>
      </c>
      <c r="AL38" s="283">
        <v>159</v>
      </c>
      <c r="AM38" s="283">
        <v>149</v>
      </c>
      <c r="AN38" s="283">
        <v>282</v>
      </c>
      <c r="AO38" s="283">
        <v>194</v>
      </c>
      <c r="AP38" s="283">
        <v>-294</v>
      </c>
      <c r="AQ38" s="283">
        <v>-39</v>
      </c>
      <c r="AR38" s="283">
        <v>-777</v>
      </c>
      <c r="AS38" s="283">
        <v>-394</v>
      </c>
      <c r="AT38" s="283">
        <v>-376</v>
      </c>
      <c r="AU38" s="283">
        <v>15</v>
      </c>
      <c r="AV38" s="283">
        <v>-250</v>
      </c>
      <c r="AW38" s="283">
        <v>-2</v>
      </c>
      <c r="AX38" s="283">
        <v>-86</v>
      </c>
      <c r="AY38" s="283">
        <v>19</v>
      </c>
      <c r="BA38" s="123"/>
      <c r="BB38" s="123"/>
    </row>
    <row r="39" spans="2:54">
      <c r="B39" s="281">
        <v>10095</v>
      </c>
      <c r="C39" s="281" t="s">
        <v>42</v>
      </c>
      <c r="D39" s="283">
        <v>299</v>
      </c>
      <c r="E39" s="283">
        <v>136</v>
      </c>
      <c r="F39" s="283">
        <v>-108</v>
      </c>
      <c r="G39" s="283">
        <v>-63</v>
      </c>
      <c r="H39" s="283">
        <v>-35</v>
      </c>
      <c r="I39" s="283">
        <v>24</v>
      </c>
      <c r="J39" s="283">
        <v>383</v>
      </c>
      <c r="K39" s="283">
        <v>223</v>
      </c>
      <c r="L39" s="283">
        <v>501</v>
      </c>
      <c r="M39" s="283">
        <v>236</v>
      </c>
      <c r="N39" s="283">
        <v>365</v>
      </c>
      <c r="O39" s="283">
        <v>227</v>
      </c>
      <c r="P39" s="283">
        <v>574</v>
      </c>
      <c r="Q39" s="283">
        <v>254</v>
      </c>
      <c r="R39" s="283">
        <v>-55</v>
      </c>
      <c r="S39" s="283">
        <v>93</v>
      </c>
      <c r="T39" s="283">
        <v>-468</v>
      </c>
      <c r="U39" s="283">
        <v>-265</v>
      </c>
      <c r="V39" s="283">
        <v>-114</v>
      </c>
      <c r="W39" s="283">
        <v>163</v>
      </c>
      <c r="X39" s="283">
        <v>-31</v>
      </c>
      <c r="Y39" s="283">
        <v>188</v>
      </c>
      <c r="Z39" s="283">
        <v>147</v>
      </c>
      <c r="AA39" s="283">
        <v>102</v>
      </c>
      <c r="AB39" s="283">
        <v>300</v>
      </c>
      <c r="AC39" s="283">
        <v>136</v>
      </c>
      <c r="AD39" s="283">
        <v>-161</v>
      </c>
      <c r="AE39" s="283">
        <v>-10</v>
      </c>
      <c r="AF39" s="283">
        <v>19</v>
      </c>
      <c r="AG39" s="283">
        <v>-30</v>
      </c>
      <c r="AH39" s="283">
        <v>336</v>
      </c>
      <c r="AI39" s="283">
        <v>285</v>
      </c>
      <c r="AJ39" s="283">
        <v>499</v>
      </c>
      <c r="AK39" s="283">
        <v>241</v>
      </c>
      <c r="AL39" s="283">
        <v>431</v>
      </c>
      <c r="AM39" s="283">
        <v>177</v>
      </c>
      <c r="AN39" s="283">
        <v>583</v>
      </c>
      <c r="AO39" s="283">
        <v>259</v>
      </c>
      <c r="AP39" s="283">
        <v>-45</v>
      </c>
      <c r="AQ39" s="283">
        <v>99</v>
      </c>
      <c r="AR39" s="283">
        <v>-459</v>
      </c>
      <c r="AS39" s="283">
        <v>-259</v>
      </c>
      <c r="AT39" s="283">
        <v>-105</v>
      </c>
      <c r="AU39" s="283">
        <v>168</v>
      </c>
      <c r="AV39" s="283">
        <v>-22</v>
      </c>
      <c r="AW39" s="283">
        <v>194</v>
      </c>
      <c r="AX39" s="283">
        <v>157</v>
      </c>
      <c r="AY39" s="283">
        <v>107</v>
      </c>
      <c r="BA39" s="123"/>
      <c r="BB39" s="123"/>
    </row>
    <row r="40" spans="2:54">
      <c r="B40" s="281">
        <v>10097</v>
      </c>
      <c r="C40" s="281" t="s">
        <v>43</v>
      </c>
      <c r="D40" s="283">
        <v>-12</v>
      </c>
      <c r="E40" s="283">
        <v>57</v>
      </c>
      <c r="F40" s="283">
        <v>-41</v>
      </c>
      <c r="G40" s="283">
        <v>109</v>
      </c>
      <c r="H40" s="283">
        <v>184</v>
      </c>
      <c r="I40" s="283">
        <v>228</v>
      </c>
      <c r="J40" s="283">
        <v>356</v>
      </c>
      <c r="K40" s="283">
        <v>372</v>
      </c>
      <c r="L40" s="283">
        <v>342</v>
      </c>
      <c r="M40" s="283">
        <v>320</v>
      </c>
      <c r="N40" s="283">
        <v>180</v>
      </c>
      <c r="O40" s="283">
        <v>214</v>
      </c>
      <c r="P40" s="283">
        <v>152</v>
      </c>
      <c r="Q40" s="283">
        <v>151</v>
      </c>
      <c r="R40" s="283">
        <v>-295</v>
      </c>
      <c r="S40" s="283">
        <v>-63</v>
      </c>
      <c r="T40" s="283">
        <v>-641</v>
      </c>
      <c r="U40" s="283">
        <v>-311</v>
      </c>
      <c r="V40" s="283">
        <v>-421</v>
      </c>
      <c r="W40" s="283">
        <v>-84</v>
      </c>
      <c r="X40" s="283">
        <v>-372</v>
      </c>
      <c r="Y40" s="283">
        <v>-106</v>
      </c>
      <c r="Z40" s="283">
        <v>-244</v>
      </c>
      <c r="AA40" s="283">
        <v>-76</v>
      </c>
      <c r="AB40" s="283">
        <v>-14</v>
      </c>
      <c r="AC40" s="283">
        <v>56</v>
      </c>
      <c r="AD40" s="283">
        <v>-44</v>
      </c>
      <c r="AE40" s="283">
        <v>108</v>
      </c>
      <c r="AF40" s="283">
        <v>182</v>
      </c>
      <c r="AG40" s="283">
        <v>227</v>
      </c>
      <c r="AH40" s="283">
        <v>355</v>
      </c>
      <c r="AI40" s="283">
        <v>371</v>
      </c>
      <c r="AJ40" s="283">
        <v>373</v>
      </c>
      <c r="AK40" s="283">
        <v>335</v>
      </c>
      <c r="AL40" s="283">
        <v>178</v>
      </c>
      <c r="AM40" s="283">
        <v>213</v>
      </c>
      <c r="AN40" s="283">
        <v>150</v>
      </c>
      <c r="AO40" s="283">
        <v>150</v>
      </c>
      <c r="AP40" s="283">
        <v>-298</v>
      </c>
      <c r="AQ40" s="283">
        <v>-64</v>
      </c>
      <c r="AR40" s="283">
        <v>-645</v>
      </c>
      <c r="AS40" s="283">
        <v>-314</v>
      </c>
      <c r="AT40" s="283">
        <v>-425</v>
      </c>
      <c r="AU40" s="283">
        <v>-86</v>
      </c>
      <c r="AV40" s="283">
        <v>-375</v>
      </c>
      <c r="AW40" s="283">
        <v>-107</v>
      </c>
      <c r="AX40" s="283">
        <v>-247</v>
      </c>
      <c r="AY40" s="283">
        <v>-77</v>
      </c>
      <c r="BA40" s="123"/>
      <c r="BB40" s="123"/>
    </row>
    <row r="41" spans="2:54">
      <c r="B41" s="281">
        <v>10101</v>
      </c>
      <c r="C41" s="281" t="s">
        <v>44</v>
      </c>
      <c r="D41" s="283">
        <v>518</v>
      </c>
      <c r="E41" s="283">
        <v>1834</v>
      </c>
      <c r="F41" s="283">
        <v>986</v>
      </c>
      <c r="G41" s="283">
        <v>2609</v>
      </c>
      <c r="H41" s="283">
        <v>9791</v>
      </c>
      <c r="I41" s="283">
        <v>7570</v>
      </c>
      <c r="J41" s="283">
        <v>15992</v>
      </c>
      <c r="K41" s="283">
        <v>12924</v>
      </c>
      <c r="L41" s="283">
        <v>12677</v>
      </c>
      <c r="M41" s="283">
        <v>8789</v>
      </c>
      <c r="N41" s="283">
        <v>4657</v>
      </c>
      <c r="O41" s="283">
        <v>3861</v>
      </c>
      <c r="P41" s="283">
        <v>5884</v>
      </c>
      <c r="Q41" s="283">
        <v>4351</v>
      </c>
      <c r="R41" s="283">
        <v>-10701</v>
      </c>
      <c r="S41" s="283">
        <v>-2560</v>
      </c>
      <c r="T41" s="283">
        <v>-22520</v>
      </c>
      <c r="U41" s="283">
        <v>-11215</v>
      </c>
      <c r="V41" s="283">
        <v>-15978</v>
      </c>
      <c r="W41" s="283">
        <v>-2871</v>
      </c>
      <c r="X41" s="283">
        <v>-13517</v>
      </c>
      <c r="Y41" s="283">
        <v>-3707</v>
      </c>
      <c r="Z41" s="283">
        <v>-6863</v>
      </c>
      <c r="AA41" s="283">
        <v>-2512</v>
      </c>
      <c r="AB41" s="283">
        <v>500</v>
      </c>
      <c r="AC41" s="283">
        <v>1791</v>
      </c>
      <c r="AD41" s="283">
        <v>1013</v>
      </c>
      <c r="AE41" s="283">
        <v>2532</v>
      </c>
      <c r="AF41" s="283">
        <v>9755</v>
      </c>
      <c r="AG41" s="283">
        <v>7560</v>
      </c>
      <c r="AH41" s="283">
        <v>16021</v>
      </c>
      <c r="AI41" s="283">
        <v>12855</v>
      </c>
      <c r="AJ41" s="283">
        <v>13211</v>
      </c>
      <c r="AK41" s="283">
        <v>8944</v>
      </c>
      <c r="AL41" s="283">
        <v>4605</v>
      </c>
      <c r="AM41" s="283">
        <v>3848</v>
      </c>
      <c r="AN41" s="283">
        <v>5867</v>
      </c>
      <c r="AO41" s="283">
        <v>4315</v>
      </c>
      <c r="AP41" s="283">
        <v>-10716</v>
      </c>
      <c r="AQ41" s="283">
        <v>-2612</v>
      </c>
      <c r="AR41" s="283">
        <v>-22544</v>
      </c>
      <c r="AS41" s="283">
        <v>-11262</v>
      </c>
      <c r="AT41" s="283">
        <v>-16008</v>
      </c>
      <c r="AU41" s="283">
        <v>-2924</v>
      </c>
      <c r="AV41" s="283">
        <v>-13538</v>
      </c>
      <c r="AW41" s="283">
        <v>-3769</v>
      </c>
      <c r="AX41" s="283">
        <v>-6883</v>
      </c>
      <c r="AY41" s="283">
        <v>-2564</v>
      </c>
      <c r="BA41" s="123"/>
      <c r="BB41" s="123"/>
    </row>
    <row r="42" spans="2:54">
      <c r="B42" s="281">
        <v>10103</v>
      </c>
      <c r="C42" s="281" t="s">
        <v>45</v>
      </c>
      <c r="D42" s="283">
        <v>-10207</v>
      </c>
      <c r="E42" s="283">
        <v>4738</v>
      </c>
      <c r="F42" s="283">
        <v>-9415</v>
      </c>
      <c r="G42" s="283">
        <v>8800</v>
      </c>
      <c r="H42" s="283">
        <v>6415</v>
      </c>
      <c r="I42" s="283">
        <v>24777</v>
      </c>
      <c r="J42" s="283">
        <v>23295</v>
      </c>
      <c r="K42" s="283">
        <v>31204</v>
      </c>
      <c r="L42" s="283">
        <v>6674</v>
      </c>
      <c r="M42" s="283">
        <v>14109</v>
      </c>
      <c r="N42" s="283">
        <v>-6607</v>
      </c>
      <c r="O42" s="283">
        <v>8954</v>
      </c>
      <c r="P42" s="283">
        <v>-2469</v>
      </c>
      <c r="Q42" s="283">
        <v>5763</v>
      </c>
      <c r="R42" s="283">
        <v>-7783</v>
      </c>
      <c r="S42" s="283">
        <v>17019</v>
      </c>
      <c r="T42" s="283">
        <v>-45404</v>
      </c>
      <c r="U42" s="283">
        <v>-15161</v>
      </c>
      <c r="V42" s="283">
        <v>-26606</v>
      </c>
      <c r="W42" s="283">
        <v>5510</v>
      </c>
      <c r="X42" s="283">
        <v>-23457</v>
      </c>
      <c r="Y42" s="283">
        <v>6680</v>
      </c>
      <c r="Z42" s="283">
        <v>-20996</v>
      </c>
      <c r="AA42" s="283">
        <v>-1494</v>
      </c>
      <c r="AB42" s="283">
        <v>-10079</v>
      </c>
      <c r="AC42" s="283">
        <v>5058</v>
      </c>
      <c r="AD42" s="283">
        <v>-12028</v>
      </c>
      <c r="AE42" s="283">
        <v>12138</v>
      </c>
      <c r="AF42" s="283">
        <v>10453</v>
      </c>
      <c r="AG42" s="283">
        <v>22242</v>
      </c>
      <c r="AH42" s="283">
        <v>20771</v>
      </c>
      <c r="AI42" s="283">
        <v>35684</v>
      </c>
      <c r="AJ42" s="283">
        <v>9256</v>
      </c>
      <c r="AK42" s="283">
        <v>16274</v>
      </c>
      <c r="AL42" s="283">
        <v>-4026</v>
      </c>
      <c r="AM42" s="283">
        <v>7045</v>
      </c>
      <c r="AN42" s="283">
        <v>-2216</v>
      </c>
      <c r="AO42" s="283">
        <v>6091</v>
      </c>
      <c r="AP42" s="283">
        <v>-7537</v>
      </c>
      <c r="AQ42" s="283">
        <v>17676</v>
      </c>
      <c r="AR42" s="283">
        <v>-45967</v>
      </c>
      <c r="AS42" s="283">
        <v>-15234</v>
      </c>
      <c r="AT42" s="283">
        <v>-26798</v>
      </c>
      <c r="AU42" s="283">
        <v>5856</v>
      </c>
      <c r="AV42" s="283">
        <v>-23586</v>
      </c>
      <c r="AW42" s="283">
        <v>7052</v>
      </c>
      <c r="AX42" s="283">
        <v>-21137</v>
      </c>
      <c r="AY42" s="283">
        <v>-1319</v>
      </c>
      <c r="BA42" s="123"/>
      <c r="BB42" s="123"/>
    </row>
    <row r="43" spans="2:54">
      <c r="B43" s="281">
        <v>10105</v>
      </c>
      <c r="C43" s="281" t="s">
        <v>46</v>
      </c>
      <c r="D43" s="283">
        <v>-274</v>
      </c>
      <c r="E43" s="283">
        <v>2728</v>
      </c>
      <c r="F43" s="283">
        <v>-4416</v>
      </c>
      <c r="G43" s="283">
        <v>407</v>
      </c>
      <c r="H43" s="283">
        <v>-2923</v>
      </c>
      <c r="I43" s="283">
        <v>2139</v>
      </c>
      <c r="J43" s="283">
        <v>265</v>
      </c>
      <c r="K43" s="283">
        <v>3310</v>
      </c>
      <c r="L43" s="283">
        <v>856</v>
      </c>
      <c r="M43" s="283">
        <v>2849</v>
      </c>
      <c r="N43" s="283">
        <v>159</v>
      </c>
      <c r="O43" s="283">
        <v>3543</v>
      </c>
      <c r="P43" s="283">
        <v>2870</v>
      </c>
      <c r="Q43" s="283">
        <v>3926</v>
      </c>
      <c r="R43" s="283">
        <v>-6517</v>
      </c>
      <c r="S43" s="283">
        <v>124</v>
      </c>
      <c r="T43" s="283">
        <v>-7501</v>
      </c>
      <c r="U43" s="283">
        <v>-1129</v>
      </c>
      <c r="V43" s="283">
        <v>-4849</v>
      </c>
      <c r="W43" s="283">
        <v>2575</v>
      </c>
      <c r="X43" s="283">
        <v>-4089</v>
      </c>
      <c r="Y43" s="283">
        <v>2858</v>
      </c>
      <c r="Z43" s="283">
        <v>-1384</v>
      </c>
      <c r="AA43" s="283">
        <v>2590</v>
      </c>
      <c r="AB43" s="283">
        <v>-166</v>
      </c>
      <c r="AC43" s="283">
        <v>3210</v>
      </c>
      <c r="AD43" s="283">
        <v>-5558</v>
      </c>
      <c r="AE43" s="283">
        <v>1247</v>
      </c>
      <c r="AF43" s="283">
        <v>-2455</v>
      </c>
      <c r="AG43" s="283">
        <v>1842</v>
      </c>
      <c r="AH43" s="283">
        <v>-251</v>
      </c>
      <c r="AI43" s="283">
        <v>4593</v>
      </c>
      <c r="AJ43" s="283">
        <v>1682</v>
      </c>
      <c r="AK43" s="283">
        <v>3780</v>
      </c>
      <c r="AL43" s="283">
        <v>1050</v>
      </c>
      <c r="AM43" s="283">
        <v>3439</v>
      </c>
      <c r="AN43" s="283">
        <v>3417</v>
      </c>
      <c r="AO43" s="283">
        <v>4578</v>
      </c>
      <c r="AP43" s="283">
        <v>-7307</v>
      </c>
      <c r="AQ43" s="283">
        <v>235</v>
      </c>
      <c r="AR43" s="283">
        <v>-8389</v>
      </c>
      <c r="AS43" s="283">
        <v>-1177</v>
      </c>
      <c r="AT43" s="283">
        <v>-5383</v>
      </c>
      <c r="AU43" s="283">
        <v>3038</v>
      </c>
      <c r="AV43" s="283">
        <v>-4516</v>
      </c>
      <c r="AW43" s="283">
        <v>3360</v>
      </c>
      <c r="AX43" s="283">
        <v>-1440</v>
      </c>
      <c r="AY43" s="283">
        <v>3055</v>
      </c>
      <c r="BA43" s="123"/>
      <c r="BB43" s="123"/>
    </row>
    <row r="44" spans="2:54">
      <c r="B44" s="281">
        <v>10106</v>
      </c>
      <c r="C44" s="281" t="s">
        <v>47</v>
      </c>
      <c r="D44" s="283">
        <v>0</v>
      </c>
      <c r="E44" s="283">
        <v>0</v>
      </c>
      <c r="F44" s="283">
        <v>0</v>
      </c>
      <c r="G44" s="283">
        <v>0</v>
      </c>
      <c r="H44" s="283">
        <v>0</v>
      </c>
      <c r="I44" s="283">
        <v>0</v>
      </c>
      <c r="J44" s="283">
        <v>0</v>
      </c>
      <c r="K44" s="283">
        <v>0</v>
      </c>
      <c r="L44" s="283">
        <v>0</v>
      </c>
      <c r="M44" s="283">
        <v>0</v>
      </c>
      <c r="N44" s="283">
        <v>0</v>
      </c>
      <c r="O44" s="283">
        <v>0</v>
      </c>
      <c r="P44" s="283">
        <v>0</v>
      </c>
      <c r="Q44" s="283">
        <v>0</v>
      </c>
      <c r="R44" s="283">
        <v>0</v>
      </c>
      <c r="S44" s="283">
        <v>0</v>
      </c>
      <c r="T44" s="283">
        <v>0</v>
      </c>
      <c r="U44" s="283">
        <v>0</v>
      </c>
      <c r="V44" s="283">
        <v>0</v>
      </c>
      <c r="W44" s="283">
        <v>0</v>
      </c>
      <c r="X44" s="283">
        <v>0</v>
      </c>
      <c r="Y44" s="283">
        <v>0</v>
      </c>
      <c r="Z44" s="283">
        <v>0</v>
      </c>
      <c r="AA44" s="283">
        <v>0</v>
      </c>
      <c r="AB44" s="283">
        <v>0</v>
      </c>
      <c r="AC44" s="283">
        <v>0</v>
      </c>
      <c r="AD44" s="283">
        <v>0</v>
      </c>
      <c r="AE44" s="283">
        <v>0</v>
      </c>
      <c r="AF44" s="283">
        <v>0</v>
      </c>
      <c r="AG44" s="283">
        <v>0</v>
      </c>
      <c r="AH44" s="283">
        <v>0</v>
      </c>
      <c r="AI44" s="283">
        <v>0</v>
      </c>
      <c r="AJ44" s="283">
        <v>0</v>
      </c>
      <c r="AK44" s="283">
        <v>0</v>
      </c>
      <c r="AL44" s="283">
        <v>0</v>
      </c>
      <c r="AM44" s="283">
        <v>0</v>
      </c>
      <c r="AN44" s="283">
        <v>0</v>
      </c>
      <c r="AO44" s="283">
        <v>0</v>
      </c>
      <c r="AP44" s="283">
        <v>0</v>
      </c>
      <c r="AQ44" s="283">
        <v>0</v>
      </c>
      <c r="AR44" s="283">
        <v>0</v>
      </c>
      <c r="AS44" s="283">
        <v>0</v>
      </c>
      <c r="AT44" s="283">
        <v>0</v>
      </c>
      <c r="AU44" s="283">
        <v>0</v>
      </c>
      <c r="AV44" s="283">
        <v>0</v>
      </c>
      <c r="AW44" s="283">
        <v>0</v>
      </c>
      <c r="AX44" s="283">
        <v>0</v>
      </c>
      <c r="AY44" s="283">
        <v>0</v>
      </c>
      <c r="BA44" s="123"/>
      <c r="BB44" s="123"/>
    </row>
    <row r="45" spans="2:54">
      <c r="B45" s="281">
        <v>10109</v>
      </c>
      <c r="C45" s="281" t="s">
        <v>48</v>
      </c>
      <c r="D45" s="283">
        <v>-873</v>
      </c>
      <c r="E45" s="283">
        <v>-106</v>
      </c>
      <c r="F45" s="283">
        <v>-2380</v>
      </c>
      <c r="G45" s="283">
        <v>-1027</v>
      </c>
      <c r="H45" s="283">
        <v>-1250</v>
      </c>
      <c r="I45" s="283">
        <v>-53</v>
      </c>
      <c r="J45" s="283">
        <v>-564</v>
      </c>
      <c r="K45" s="283">
        <v>156</v>
      </c>
      <c r="L45" s="283">
        <v>-699</v>
      </c>
      <c r="M45" s="283">
        <v>-160</v>
      </c>
      <c r="N45" s="283">
        <v>-1328</v>
      </c>
      <c r="O45" s="283">
        <v>-302</v>
      </c>
      <c r="P45" s="283">
        <v>1013</v>
      </c>
      <c r="Q45" s="283">
        <v>883</v>
      </c>
      <c r="R45" s="283">
        <v>-20</v>
      </c>
      <c r="S45" s="283">
        <v>1357</v>
      </c>
      <c r="T45" s="283">
        <v>-1114</v>
      </c>
      <c r="U45" s="283">
        <v>59</v>
      </c>
      <c r="V45" s="283">
        <v>256</v>
      </c>
      <c r="W45" s="283">
        <v>1543</v>
      </c>
      <c r="X45" s="283">
        <v>258</v>
      </c>
      <c r="Y45" s="283">
        <v>1479</v>
      </c>
      <c r="Z45" s="283">
        <v>-54</v>
      </c>
      <c r="AA45" s="283">
        <v>703</v>
      </c>
      <c r="AB45" s="283">
        <v>-901</v>
      </c>
      <c r="AC45" s="283">
        <v>-126</v>
      </c>
      <c r="AD45" s="283">
        <v>-2556</v>
      </c>
      <c r="AE45" s="283">
        <v>-897</v>
      </c>
      <c r="AF45" s="283">
        <v>-1086</v>
      </c>
      <c r="AG45" s="283">
        <v>-264</v>
      </c>
      <c r="AH45" s="283">
        <v>-763</v>
      </c>
      <c r="AI45" s="283">
        <v>308</v>
      </c>
      <c r="AJ45" s="283">
        <v>-657</v>
      </c>
      <c r="AK45" s="283">
        <v>-127</v>
      </c>
      <c r="AL45" s="283">
        <v>-1208</v>
      </c>
      <c r="AM45" s="283">
        <v>-471</v>
      </c>
      <c r="AN45" s="283">
        <v>986</v>
      </c>
      <c r="AO45" s="283">
        <v>863</v>
      </c>
      <c r="AP45" s="283">
        <v>-46</v>
      </c>
      <c r="AQ45" s="283">
        <v>1335</v>
      </c>
      <c r="AR45" s="283">
        <v>-1141</v>
      </c>
      <c r="AS45" s="283">
        <v>40</v>
      </c>
      <c r="AT45" s="283">
        <v>230</v>
      </c>
      <c r="AU45" s="283">
        <v>1522</v>
      </c>
      <c r="AV45" s="283">
        <v>231</v>
      </c>
      <c r="AW45" s="283">
        <v>1458</v>
      </c>
      <c r="AX45" s="283">
        <v>-80</v>
      </c>
      <c r="AY45" s="283">
        <v>682</v>
      </c>
      <c r="BA45" s="123"/>
      <c r="BB45" s="123"/>
    </row>
    <row r="46" spans="2:54">
      <c r="B46" s="281">
        <v>10111</v>
      </c>
      <c r="C46" s="281" t="s">
        <v>49</v>
      </c>
      <c r="D46" s="283">
        <v>-337</v>
      </c>
      <c r="E46" s="283">
        <v>-95</v>
      </c>
      <c r="F46" s="283">
        <v>-389</v>
      </c>
      <c r="G46" s="283">
        <v>-58</v>
      </c>
      <c r="H46" s="283">
        <v>-67</v>
      </c>
      <c r="I46" s="283">
        <v>262</v>
      </c>
      <c r="J46" s="283">
        <v>121</v>
      </c>
      <c r="K46" s="283">
        <v>304</v>
      </c>
      <c r="L46" s="283">
        <v>31</v>
      </c>
      <c r="M46" s="283">
        <v>156</v>
      </c>
      <c r="N46" s="283">
        <v>-272</v>
      </c>
      <c r="O46" s="283">
        <v>29</v>
      </c>
      <c r="P46" s="283">
        <v>32</v>
      </c>
      <c r="Q46" s="283">
        <v>104</v>
      </c>
      <c r="R46" s="283">
        <v>-288</v>
      </c>
      <c r="S46" s="283">
        <v>131</v>
      </c>
      <c r="T46" s="283">
        <v>-642</v>
      </c>
      <c r="U46" s="283">
        <v>-229</v>
      </c>
      <c r="V46" s="283">
        <v>108</v>
      </c>
      <c r="W46" s="283">
        <v>437</v>
      </c>
      <c r="X46" s="283">
        <v>104</v>
      </c>
      <c r="Y46" s="283">
        <v>425</v>
      </c>
      <c r="Z46" s="283">
        <v>-30</v>
      </c>
      <c r="AA46" s="283">
        <v>164</v>
      </c>
      <c r="AB46" s="283">
        <v>-338</v>
      </c>
      <c r="AC46" s="283">
        <v>-95</v>
      </c>
      <c r="AD46" s="283">
        <v>-442</v>
      </c>
      <c r="AE46" s="283">
        <v>-6</v>
      </c>
      <c r="AF46" s="283">
        <v>-3</v>
      </c>
      <c r="AG46" s="283">
        <v>196</v>
      </c>
      <c r="AH46" s="283">
        <v>59</v>
      </c>
      <c r="AI46" s="283">
        <v>365</v>
      </c>
      <c r="AJ46" s="283">
        <v>41</v>
      </c>
      <c r="AK46" s="283">
        <v>167</v>
      </c>
      <c r="AL46" s="283">
        <v>-228</v>
      </c>
      <c r="AM46" s="283">
        <v>-17</v>
      </c>
      <c r="AN46" s="283">
        <v>31</v>
      </c>
      <c r="AO46" s="283">
        <v>104</v>
      </c>
      <c r="AP46" s="283">
        <v>-290</v>
      </c>
      <c r="AQ46" s="283">
        <v>130</v>
      </c>
      <c r="AR46" s="283">
        <v>-644</v>
      </c>
      <c r="AS46" s="283">
        <v>-231</v>
      </c>
      <c r="AT46" s="283">
        <v>105</v>
      </c>
      <c r="AU46" s="283">
        <v>436</v>
      </c>
      <c r="AV46" s="283">
        <v>102</v>
      </c>
      <c r="AW46" s="283">
        <v>424</v>
      </c>
      <c r="AX46" s="283">
        <v>-32</v>
      </c>
      <c r="AY46" s="283">
        <v>163</v>
      </c>
      <c r="BA46" s="123"/>
      <c r="BB46" s="123"/>
    </row>
    <row r="47" spans="2:54">
      <c r="B47" s="281">
        <v>10112</v>
      </c>
      <c r="C47" s="281" t="s">
        <v>50</v>
      </c>
      <c r="D47" s="283">
        <v>374</v>
      </c>
      <c r="E47" s="283">
        <v>1835</v>
      </c>
      <c r="F47" s="283">
        <v>-2902</v>
      </c>
      <c r="G47" s="283">
        <v>162</v>
      </c>
      <c r="H47" s="283">
        <v>1349</v>
      </c>
      <c r="I47" s="283">
        <v>2482</v>
      </c>
      <c r="J47" s="283">
        <v>5204</v>
      </c>
      <c r="K47" s="283">
        <v>5343</v>
      </c>
      <c r="L47" s="283">
        <v>4763</v>
      </c>
      <c r="M47" s="283">
        <v>3680</v>
      </c>
      <c r="N47" s="283">
        <v>1561</v>
      </c>
      <c r="O47" s="283">
        <v>1908</v>
      </c>
      <c r="P47" s="283">
        <v>4140</v>
      </c>
      <c r="Q47" s="283">
        <v>3069</v>
      </c>
      <c r="R47" s="283">
        <v>-4602</v>
      </c>
      <c r="S47" s="283">
        <v>32</v>
      </c>
      <c r="T47" s="283">
        <v>-12942</v>
      </c>
      <c r="U47" s="283">
        <v>-5726</v>
      </c>
      <c r="V47" s="283">
        <v>-6385</v>
      </c>
      <c r="W47" s="283">
        <v>1439</v>
      </c>
      <c r="X47" s="283">
        <v>-4359</v>
      </c>
      <c r="Y47" s="283">
        <v>969</v>
      </c>
      <c r="Z47" s="283">
        <v>-2027</v>
      </c>
      <c r="AA47" s="283">
        <v>632</v>
      </c>
      <c r="AB47" s="283">
        <v>387</v>
      </c>
      <c r="AC47" s="283">
        <v>1845</v>
      </c>
      <c r="AD47" s="283">
        <v>-2892</v>
      </c>
      <c r="AE47" s="283">
        <v>172</v>
      </c>
      <c r="AF47" s="283">
        <v>1367</v>
      </c>
      <c r="AG47" s="283">
        <v>2497</v>
      </c>
      <c r="AH47" s="283">
        <v>5227</v>
      </c>
      <c r="AI47" s="283">
        <v>5362</v>
      </c>
      <c r="AJ47" s="283">
        <v>4656</v>
      </c>
      <c r="AK47" s="283">
        <v>3510</v>
      </c>
      <c r="AL47" s="283">
        <v>1612</v>
      </c>
      <c r="AM47" s="283">
        <v>1941</v>
      </c>
      <c r="AN47" s="283">
        <v>4158</v>
      </c>
      <c r="AO47" s="283">
        <v>3081</v>
      </c>
      <c r="AP47" s="283">
        <v>-4597</v>
      </c>
      <c r="AQ47" s="283">
        <v>41</v>
      </c>
      <c r="AR47" s="283">
        <v>-12949</v>
      </c>
      <c r="AS47" s="283">
        <v>-5727</v>
      </c>
      <c r="AT47" s="283">
        <v>-6382</v>
      </c>
      <c r="AU47" s="283">
        <v>1449</v>
      </c>
      <c r="AV47" s="283">
        <v>-4352</v>
      </c>
      <c r="AW47" s="283">
        <v>978</v>
      </c>
      <c r="AX47" s="283">
        <v>-2018</v>
      </c>
      <c r="AY47" s="283">
        <v>640</v>
      </c>
      <c r="BA47" s="123"/>
      <c r="BB47" s="123"/>
    </row>
    <row r="48" spans="2:54">
      <c r="B48" s="281">
        <v>10113</v>
      </c>
      <c r="C48" s="281" t="s">
        <v>51</v>
      </c>
      <c r="D48" s="283">
        <v>-3149</v>
      </c>
      <c r="E48" s="283">
        <v>-1177</v>
      </c>
      <c r="F48" s="283">
        <v>-11183</v>
      </c>
      <c r="G48" s="283">
        <v>-6045</v>
      </c>
      <c r="H48" s="283">
        <v>-11001</v>
      </c>
      <c r="I48" s="283">
        <v>-5849</v>
      </c>
      <c r="J48" s="283">
        <v>-8009</v>
      </c>
      <c r="K48" s="283">
        <v>-4205</v>
      </c>
      <c r="L48" s="283">
        <v>-7595</v>
      </c>
      <c r="M48" s="283">
        <v>-4309</v>
      </c>
      <c r="N48" s="283">
        <v>-7795</v>
      </c>
      <c r="O48" s="283">
        <v>-3961</v>
      </c>
      <c r="P48" s="283">
        <v>216</v>
      </c>
      <c r="Q48" s="283">
        <v>-31</v>
      </c>
      <c r="R48" s="283">
        <v>1703</v>
      </c>
      <c r="S48" s="283">
        <v>4553</v>
      </c>
      <c r="T48" s="283">
        <v>2362</v>
      </c>
      <c r="U48" s="283">
        <v>3509</v>
      </c>
      <c r="V48" s="283">
        <v>10623</v>
      </c>
      <c r="W48" s="283">
        <v>11921</v>
      </c>
      <c r="X48" s="283">
        <v>8171</v>
      </c>
      <c r="Y48" s="283">
        <v>9505</v>
      </c>
      <c r="Z48" s="283">
        <v>917</v>
      </c>
      <c r="AA48" s="283">
        <v>1703</v>
      </c>
      <c r="AB48" s="283">
        <v>-3378</v>
      </c>
      <c r="AC48" s="283">
        <v>-1361</v>
      </c>
      <c r="AD48" s="283">
        <v>-11715</v>
      </c>
      <c r="AE48" s="283">
        <v>-5972</v>
      </c>
      <c r="AF48" s="283">
        <v>-10977</v>
      </c>
      <c r="AG48" s="283">
        <v>-6350</v>
      </c>
      <c r="AH48" s="283">
        <v>-8536</v>
      </c>
      <c r="AI48" s="283">
        <v>-4160</v>
      </c>
      <c r="AJ48" s="283">
        <v>-7462</v>
      </c>
      <c r="AK48" s="283">
        <v>-4279</v>
      </c>
      <c r="AL48" s="283">
        <v>-7776</v>
      </c>
      <c r="AM48" s="283">
        <v>-4455</v>
      </c>
      <c r="AN48" s="283">
        <v>6</v>
      </c>
      <c r="AO48" s="283">
        <v>-205</v>
      </c>
      <c r="AP48" s="283">
        <v>1572</v>
      </c>
      <c r="AQ48" s="283">
        <v>4413</v>
      </c>
      <c r="AR48" s="283">
        <v>2277</v>
      </c>
      <c r="AS48" s="283">
        <v>3420</v>
      </c>
      <c r="AT48" s="283">
        <v>10577</v>
      </c>
      <c r="AU48" s="283">
        <v>11855</v>
      </c>
      <c r="AV48" s="283">
        <v>8098</v>
      </c>
      <c r="AW48" s="283">
        <v>9416</v>
      </c>
      <c r="AX48" s="283">
        <v>751</v>
      </c>
      <c r="AY48" s="283">
        <v>1543</v>
      </c>
      <c r="BA48" s="123"/>
      <c r="BB48" s="123"/>
    </row>
    <row r="49" spans="2:54">
      <c r="B49" s="281">
        <v>10116</v>
      </c>
      <c r="C49" s="281" t="s">
        <v>52</v>
      </c>
      <c r="D49" s="306">
        <v>9.9165677119664224</v>
      </c>
      <c r="E49" s="306">
        <v>28.988826389333589</v>
      </c>
      <c r="F49" s="306">
        <v>-16.636234401599978</v>
      </c>
      <c r="G49" s="306">
        <v>11.726284105800005</v>
      </c>
      <c r="H49" s="306">
        <v>-6.5593048383999957</v>
      </c>
      <c r="I49" s="306">
        <v>15.674178527199999</v>
      </c>
      <c r="J49" s="306">
        <v>13.700302361599995</v>
      </c>
      <c r="K49" s="306">
        <v>26.851796927200006</v>
      </c>
      <c r="L49" s="306">
        <v>11.154772607200016</v>
      </c>
      <c r="M49" s="306">
        <v>21.070366432800007</v>
      </c>
      <c r="N49" s="306">
        <v>6.828079124800027</v>
      </c>
      <c r="O49" s="306">
        <v>20.840075703800004</v>
      </c>
      <c r="P49" s="306">
        <v>25.516971243200018</v>
      </c>
      <c r="Q49" s="306">
        <v>33.531361700800005</v>
      </c>
      <c r="R49" s="306">
        <v>-5.8620046199999933</v>
      </c>
      <c r="S49" s="306">
        <v>20.422198808800005</v>
      </c>
      <c r="T49" s="306">
        <v>-23.467885456799991</v>
      </c>
      <c r="U49" s="306">
        <v>13.874277500800005</v>
      </c>
      <c r="V49" s="306">
        <v>13.756913543200014</v>
      </c>
      <c r="W49" s="306">
        <v>47.401861945600004</v>
      </c>
      <c r="X49" s="306">
        <v>4.1547396432000028</v>
      </c>
      <c r="Y49" s="306">
        <v>38.183080945599997</v>
      </c>
      <c r="Z49" s="306">
        <v>9.4233836800000148</v>
      </c>
      <c r="AA49" s="306">
        <v>26.718481064000009</v>
      </c>
      <c r="AB49" s="306">
        <v>8.9184945064000232</v>
      </c>
      <c r="AC49" s="306">
        <v>29.053691782400001</v>
      </c>
      <c r="AD49" s="306">
        <v>-16.127234401599978</v>
      </c>
      <c r="AE49" s="306">
        <v>12.137284105800006</v>
      </c>
      <c r="AF49" s="306">
        <v>-6.0133048384000034</v>
      </c>
      <c r="AG49" s="306">
        <v>16.106178527200001</v>
      </c>
      <c r="AH49" s="306">
        <v>14.258302361600002</v>
      </c>
      <c r="AI49" s="306">
        <v>27.275796927200012</v>
      </c>
      <c r="AJ49" s="306">
        <v>15.273801189600007</v>
      </c>
      <c r="AK49" s="306">
        <v>23.244880723999998</v>
      </c>
      <c r="AL49" s="306">
        <v>7.3600791248000235</v>
      </c>
      <c r="AM49" s="306">
        <v>21.2290757038</v>
      </c>
      <c r="AN49" s="306">
        <v>26.045971243200015</v>
      </c>
      <c r="AO49" s="306">
        <v>33.935561700800008</v>
      </c>
      <c r="AP49" s="306">
        <v>-5.333004619999997</v>
      </c>
      <c r="AQ49" s="306">
        <v>20.826398808800008</v>
      </c>
      <c r="AR49" s="306">
        <v>-22.872760456799995</v>
      </c>
      <c r="AS49" s="306">
        <v>14.329002500800016</v>
      </c>
      <c r="AT49" s="306">
        <v>14.418163543200009</v>
      </c>
      <c r="AU49" s="306">
        <v>47.907111945600008</v>
      </c>
      <c r="AV49" s="306">
        <v>4.7498646431999987</v>
      </c>
      <c r="AW49" s="306">
        <v>38.637805945600007</v>
      </c>
      <c r="AX49" s="306">
        <v>9.9523836800000112</v>
      </c>
      <c r="AY49" s="306">
        <v>27.122681064000012</v>
      </c>
      <c r="BA49" s="123"/>
      <c r="BB49" s="123"/>
    </row>
    <row r="50" spans="2:54">
      <c r="B50" s="281">
        <v>10118</v>
      </c>
      <c r="C50" s="281" t="s">
        <v>53</v>
      </c>
      <c r="D50" s="283">
        <v>0</v>
      </c>
      <c r="E50" s="283">
        <v>0</v>
      </c>
      <c r="F50" s="283">
        <v>0</v>
      </c>
      <c r="G50" s="283">
        <v>0</v>
      </c>
      <c r="H50" s="283">
        <v>0</v>
      </c>
      <c r="I50" s="283">
        <v>0</v>
      </c>
      <c r="J50" s="283">
        <v>0</v>
      </c>
      <c r="K50" s="283">
        <v>0</v>
      </c>
      <c r="L50" s="283">
        <v>0</v>
      </c>
      <c r="M50" s="283">
        <v>0</v>
      </c>
      <c r="N50" s="283">
        <v>0</v>
      </c>
      <c r="O50" s="283">
        <v>0</v>
      </c>
      <c r="P50" s="283">
        <v>0</v>
      </c>
      <c r="Q50" s="283">
        <v>0</v>
      </c>
      <c r="R50" s="283">
        <v>0</v>
      </c>
      <c r="S50" s="283">
        <v>0</v>
      </c>
      <c r="T50" s="283">
        <v>0</v>
      </c>
      <c r="U50" s="283">
        <v>0</v>
      </c>
      <c r="V50" s="283">
        <v>0</v>
      </c>
      <c r="W50" s="283">
        <v>0</v>
      </c>
      <c r="X50" s="283">
        <v>0</v>
      </c>
      <c r="Y50" s="283">
        <v>0</v>
      </c>
      <c r="Z50" s="283">
        <v>0</v>
      </c>
      <c r="AA50" s="283">
        <v>0</v>
      </c>
      <c r="AB50" s="283">
        <v>0</v>
      </c>
      <c r="AC50" s="283">
        <v>0</v>
      </c>
      <c r="AD50" s="283">
        <v>0</v>
      </c>
      <c r="AE50" s="283">
        <v>0</v>
      </c>
      <c r="AF50" s="283">
        <v>0</v>
      </c>
      <c r="AG50" s="283">
        <v>0</v>
      </c>
      <c r="AH50" s="283">
        <v>0</v>
      </c>
      <c r="AI50" s="283">
        <v>0</v>
      </c>
      <c r="AJ50" s="283">
        <v>0</v>
      </c>
      <c r="AK50" s="283">
        <v>0</v>
      </c>
      <c r="AL50" s="283">
        <v>0</v>
      </c>
      <c r="AM50" s="283">
        <v>0</v>
      </c>
      <c r="AN50" s="283">
        <v>0</v>
      </c>
      <c r="AO50" s="283">
        <v>0</v>
      </c>
      <c r="AP50" s="283">
        <v>0</v>
      </c>
      <c r="AQ50" s="283">
        <v>0</v>
      </c>
      <c r="AR50" s="283">
        <v>0</v>
      </c>
      <c r="AS50" s="283">
        <v>0</v>
      </c>
      <c r="AT50" s="283">
        <v>0</v>
      </c>
      <c r="AU50" s="283">
        <v>0</v>
      </c>
      <c r="AV50" s="283">
        <v>0</v>
      </c>
      <c r="AW50" s="283">
        <v>0</v>
      </c>
      <c r="AX50" s="283">
        <v>0</v>
      </c>
      <c r="AY50" s="283">
        <v>0</v>
      </c>
      <c r="BA50" s="123"/>
      <c r="BB50" s="123"/>
    </row>
    <row r="51" spans="2:54">
      <c r="B51" s="281">
        <v>10121</v>
      </c>
      <c r="C51" s="281" t="s">
        <v>54</v>
      </c>
      <c r="D51" s="283">
        <v>0</v>
      </c>
      <c r="E51" s="283">
        <v>0</v>
      </c>
      <c r="F51" s="283">
        <v>0</v>
      </c>
      <c r="G51" s="283">
        <v>0</v>
      </c>
      <c r="H51" s="283">
        <v>0</v>
      </c>
      <c r="I51" s="283">
        <v>0</v>
      </c>
      <c r="J51" s="283">
        <v>0</v>
      </c>
      <c r="K51" s="283">
        <v>0</v>
      </c>
      <c r="L51" s="283">
        <v>0</v>
      </c>
      <c r="M51" s="283">
        <v>0</v>
      </c>
      <c r="N51" s="283">
        <v>0</v>
      </c>
      <c r="O51" s="283">
        <v>0</v>
      </c>
      <c r="P51" s="283">
        <v>0</v>
      </c>
      <c r="Q51" s="283">
        <v>0</v>
      </c>
      <c r="R51" s="283">
        <v>0</v>
      </c>
      <c r="S51" s="283">
        <v>0</v>
      </c>
      <c r="T51" s="283">
        <v>0</v>
      </c>
      <c r="U51" s="283">
        <v>0</v>
      </c>
      <c r="V51" s="283">
        <v>0</v>
      </c>
      <c r="W51" s="283">
        <v>0</v>
      </c>
      <c r="X51" s="283">
        <v>0</v>
      </c>
      <c r="Y51" s="283">
        <v>0</v>
      </c>
      <c r="Z51" s="283">
        <v>0</v>
      </c>
      <c r="AA51" s="283">
        <v>0</v>
      </c>
      <c r="AB51" s="283">
        <v>0</v>
      </c>
      <c r="AC51" s="283">
        <v>0</v>
      </c>
      <c r="AD51" s="283">
        <v>0</v>
      </c>
      <c r="AE51" s="283">
        <v>0</v>
      </c>
      <c r="AF51" s="283">
        <v>0</v>
      </c>
      <c r="AG51" s="283">
        <v>0</v>
      </c>
      <c r="AH51" s="283">
        <v>0</v>
      </c>
      <c r="AI51" s="283">
        <v>0</v>
      </c>
      <c r="AJ51" s="283">
        <v>0</v>
      </c>
      <c r="AK51" s="283">
        <v>0</v>
      </c>
      <c r="AL51" s="283">
        <v>0</v>
      </c>
      <c r="AM51" s="283">
        <v>0</v>
      </c>
      <c r="AN51" s="283">
        <v>0</v>
      </c>
      <c r="AO51" s="283">
        <v>0</v>
      </c>
      <c r="AP51" s="283">
        <v>0</v>
      </c>
      <c r="AQ51" s="283">
        <v>0</v>
      </c>
      <c r="AR51" s="283">
        <v>0</v>
      </c>
      <c r="AS51" s="283">
        <v>0</v>
      </c>
      <c r="AT51" s="283">
        <v>0</v>
      </c>
      <c r="AU51" s="283">
        <v>0</v>
      </c>
      <c r="AV51" s="283">
        <v>0</v>
      </c>
      <c r="AW51" s="283">
        <v>0</v>
      </c>
      <c r="AX51" s="283">
        <v>0</v>
      </c>
      <c r="AY51" s="283">
        <v>0</v>
      </c>
      <c r="BA51" s="123"/>
      <c r="BB51" s="123"/>
    </row>
    <row r="52" spans="2:54">
      <c r="B52" s="281">
        <v>10123</v>
      </c>
      <c r="C52" s="281" t="s">
        <v>55</v>
      </c>
      <c r="D52" s="283">
        <v>-1196</v>
      </c>
      <c r="E52" s="283">
        <v>10265</v>
      </c>
      <c r="F52" s="283">
        <v>-14941</v>
      </c>
      <c r="G52" s="283">
        <v>3040</v>
      </c>
      <c r="H52" s="283">
        <v>-11277</v>
      </c>
      <c r="I52" s="283">
        <v>8002</v>
      </c>
      <c r="J52" s="283">
        <v>1522</v>
      </c>
      <c r="K52" s="283">
        <v>12996</v>
      </c>
      <c r="L52" s="283">
        <v>335</v>
      </c>
      <c r="M52" s="283">
        <v>8675</v>
      </c>
      <c r="N52" s="283">
        <v>-4281</v>
      </c>
      <c r="O52" s="283">
        <v>9636</v>
      </c>
      <c r="P52" s="283">
        <v>7975</v>
      </c>
      <c r="Q52" s="283">
        <v>12782</v>
      </c>
      <c r="R52" s="283">
        <v>-15835</v>
      </c>
      <c r="S52" s="283">
        <v>8173</v>
      </c>
      <c r="T52" s="283">
        <v>-32867</v>
      </c>
      <c r="U52" s="283">
        <v>-7460</v>
      </c>
      <c r="V52" s="283">
        <v>-17243</v>
      </c>
      <c r="W52" s="283">
        <v>10746</v>
      </c>
      <c r="X52" s="283">
        <v>-15026</v>
      </c>
      <c r="Y52" s="283">
        <v>11288</v>
      </c>
      <c r="Z52" s="283">
        <v>-5405</v>
      </c>
      <c r="AA52" s="283">
        <v>9739</v>
      </c>
      <c r="AB52" s="283">
        <v>-469</v>
      </c>
      <c r="AC52" s="283">
        <v>12243</v>
      </c>
      <c r="AD52" s="283">
        <v>-18653</v>
      </c>
      <c r="AE52" s="283">
        <v>6773</v>
      </c>
      <c r="AF52" s="283">
        <v>-9111</v>
      </c>
      <c r="AG52" s="283">
        <v>7093</v>
      </c>
      <c r="AH52" s="283">
        <v>-50</v>
      </c>
      <c r="AI52" s="283">
        <v>18129</v>
      </c>
      <c r="AJ52" s="283">
        <v>3355</v>
      </c>
      <c r="AK52" s="283">
        <v>12033</v>
      </c>
      <c r="AL52" s="283">
        <v>-1482</v>
      </c>
      <c r="AM52" s="283">
        <v>9074</v>
      </c>
      <c r="AN52" s="283">
        <v>9884</v>
      </c>
      <c r="AO52" s="283">
        <v>15085</v>
      </c>
      <c r="AP52" s="283">
        <v>-17105</v>
      </c>
      <c r="AQ52" s="283">
        <v>9925</v>
      </c>
      <c r="AR52" s="283">
        <v>-36332</v>
      </c>
      <c r="AS52" s="283">
        <v>-7830</v>
      </c>
      <c r="AT52" s="283">
        <v>-18654</v>
      </c>
      <c r="AU52" s="283">
        <v>12811</v>
      </c>
      <c r="AV52" s="283">
        <v>-16148</v>
      </c>
      <c r="AW52" s="283">
        <v>13424</v>
      </c>
      <c r="AX52" s="283">
        <v>-5296</v>
      </c>
      <c r="AY52" s="283">
        <v>11662</v>
      </c>
      <c r="BA52" s="123"/>
      <c r="BB52" s="123"/>
    </row>
    <row r="53" spans="2:54">
      <c r="B53" s="281">
        <v>10136</v>
      </c>
      <c r="C53" s="281" t="s">
        <v>56</v>
      </c>
      <c r="D53" s="283">
        <v>0</v>
      </c>
      <c r="E53" s="283">
        <v>0</v>
      </c>
      <c r="F53" s="283">
        <v>0</v>
      </c>
      <c r="G53" s="283">
        <v>0</v>
      </c>
      <c r="H53" s="283">
        <v>0</v>
      </c>
      <c r="I53" s="283">
        <v>0</v>
      </c>
      <c r="J53" s="283">
        <v>0</v>
      </c>
      <c r="K53" s="283">
        <v>0</v>
      </c>
      <c r="L53" s="283">
        <v>0</v>
      </c>
      <c r="M53" s="283">
        <v>0</v>
      </c>
      <c r="N53" s="283">
        <v>0</v>
      </c>
      <c r="O53" s="283">
        <v>0</v>
      </c>
      <c r="P53" s="283">
        <v>0</v>
      </c>
      <c r="Q53" s="283">
        <v>0</v>
      </c>
      <c r="R53" s="283">
        <v>0</v>
      </c>
      <c r="S53" s="283">
        <v>0</v>
      </c>
      <c r="T53" s="283">
        <v>0</v>
      </c>
      <c r="U53" s="283">
        <v>0</v>
      </c>
      <c r="V53" s="283">
        <v>0</v>
      </c>
      <c r="W53" s="283">
        <v>0</v>
      </c>
      <c r="X53" s="283">
        <v>0</v>
      </c>
      <c r="Y53" s="283">
        <v>0</v>
      </c>
      <c r="Z53" s="283">
        <v>0</v>
      </c>
      <c r="AA53" s="283">
        <v>0</v>
      </c>
      <c r="AB53" s="283">
        <v>0</v>
      </c>
      <c r="AC53" s="283">
        <v>0</v>
      </c>
      <c r="AD53" s="283">
        <v>0</v>
      </c>
      <c r="AE53" s="283">
        <v>0</v>
      </c>
      <c r="AF53" s="283">
        <v>0</v>
      </c>
      <c r="AG53" s="283">
        <v>0</v>
      </c>
      <c r="AH53" s="283">
        <v>0</v>
      </c>
      <c r="AI53" s="283">
        <v>0</v>
      </c>
      <c r="AJ53" s="283">
        <v>0</v>
      </c>
      <c r="AK53" s="283">
        <v>0</v>
      </c>
      <c r="AL53" s="283">
        <v>0</v>
      </c>
      <c r="AM53" s="283">
        <v>0</v>
      </c>
      <c r="AN53" s="283">
        <v>0</v>
      </c>
      <c r="AO53" s="283">
        <v>0</v>
      </c>
      <c r="AP53" s="283">
        <v>0</v>
      </c>
      <c r="AQ53" s="283">
        <v>0</v>
      </c>
      <c r="AR53" s="283">
        <v>0</v>
      </c>
      <c r="AS53" s="283">
        <v>0</v>
      </c>
      <c r="AT53" s="283">
        <v>0</v>
      </c>
      <c r="AU53" s="283">
        <v>0</v>
      </c>
      <c r="AV53" s="283">
        <v>0</v>
      </c>
      <c r="AW53" s="283">
        <v>0</v>
      </c>
      <c r="AX53" s="283">
        <v>0</v>
      </c>
      <c r="AY53" s="283">
        <v>0</v>
      </c>
      <c r="BA53" s="123"/>
      <c r="BB53" s="123"/>
    </row>
    <row r="54" spans="2:54">
      <c r="B54" s="281">
        <v>10142</v>
      </c>
      <c r="C54" s="281" t="s">
        <v>57</v>
      </c>
      <c r="D54" s="283">
        <v>-196</v>
      </c>
      <c r="E54" s="283">
        <v>-15</v>
      </c>
      <c r="F54" s="283">
        <v>-490</v>
      </c>
      <c r="G54" s="283">
        <v>-161</v>
      </c>
      <c r="H54" s="283">
        <v>-229</v>
      </c>
      <c r="I54" s="283">
        <v>63</v>
      </c>
      <c r="J54" s="283">
        <v>12</v>
      </c>
      <c r="K54" s="283">
        <v>175</v>
      </c>
      <c r="L54" s="283">
        <v>-62</v>
      </c>
      <c r="M54" s="283">
        <v>58</v>
      </c>
      <c r="N54" s="283">
        <v>-373</v>
      </c>
      <c r="O54" s="283">
        <v>-98</v>
      </c>
      <c r="P54" s="283">
        <v>7</v>
      </c>
      <c r="Q54" s="283">
        <v>37</v>
      </c>
      <c r="R54" s="283">
        <v>129</v>
      </c>
      <c r="S54" s="283">
        <v>273</v>
      </c>
      <c r="T54" s="283">
        <v>362</v>
      </c>
      <c r="U54" s="283">
        <v>277</v>
      </c>
      <c r="V54" s="283">
        <v>719</v>
      </c>
      <c r="W54" s="283">
        <v>730</v>
      </c>
      <c r="X54" s="283">
        <v>487</v>
      </c>
      <c r="Y54" s="283">
        <v>487</v>
      </c>
      <c r="Z54" s="283">
        <v>136</v>
      </c>
      <c r="AA54" s="283">
        <v>160</v>
      </c>
      <c r="AB54" s="283">
        <v>-195</v>
      </c>
      <c r="AC54" s="283">
        <v>-14</v>
      </c>
      <c r="AD54" s="283">
        <v>-523</v>
      </c>
      <c r="AE54" s="283">
        <v>-125</v>
      </c>
      <c r="AF54" s="283">
        <v>-184</v>
      </c>
      <c r="AG54" s="283">
        <v>21</v>
      </c>
      <c r="AH54" s="283">
        <v>-28</v>
      </c>
      <c r="AI54" s="283">
        <v>219</v>
      </c>
      <c r="AJ54" s="283">
        <v>-58</v>
      </c>
      <c r="AK54" s="283">
        <v>62</v>
      </c>
      <c r="AL54" s="283">
        <v>-342</v>
      </c>
      <c r="AM54" s="283">
        <v>-126</v>
      </c>
      <c r="AN54" s="283">
        <v>9</v>
      </c>
      <c r="AO54" s="283">
        <v>38</v>
      </c>
      <c r="AP54" s="283">
        <v>132</v>
      </c>
      <c r="AQ54" s="283">
        <v>275</v>
      </c>
      <c r="AR54" s="283">
        <v>366</v>
      </c>
      <c r="AS54" s="283">
        <v>279</v>
      </c>
      <c r="AT54" s="283">
        <v>723</v>
      </c>
      <c r="AU54" s="283">
        <v>732</v>
      </c>
      <c r="AV54" s="283">
        <v>491</v>
      </c>
      <c r="AW54" s="283">
        <v>489</v>
      </c>
      <c r="AX54" s="283">
        <v>138</v>
      </c>
      <c r="AY54" s="283">
        <v>161</v>
      </c>
      <c r="BA54" s="123"/>
      <c r="BB54" s="123"/>
    </row>
    <row r="55" spans="2:54">
      <c r="B55" s="281">
        <v>10144</v>
      </c>
      <c r="C55" s="281" t="s">
        <v>58</v>
      </c>
      <c r="D55" s="283">
        <v>-2</v>
      </c>
      <c r="E55" s="283">
        <v>23</v>
      </c>
      <c r="F55" s="283">
        <v>103</v>
      </c>
      <c r="G55" s="283">
        <v>178</v>
      </c>
      <c r="H55" s="283">
        <v>191</v>
      </c>
      <c r="I55" s="283">
        <v>329</v>
      </c>
      <c r="J55" s="283">
        <v>638</v>
      </c>
      <c r="K55" s="283">
        <v>527</v>
      </c>
      <c r="L55" s="283">
        <v>568</v>
      </c>
      <c r="M55" s="283">
        <v>399</v>
      </c>
      <c r="N55" s="283">
        <v>126</v>
      </c>
      <c r="O55" s="283">
        <v>211</v>
      </c>
      <c r="P55" s="283">
        <v>271</v>
      </c>
      <c r="Q55" s="283">
        <v>168</v>
      </c>
      <c r="R55" s="283">
        <v>-494</v>
      </c>
      <c r="S55" s="283">
        <v>-111</v>
      </c>
      <c r="T55" s="283">
        <v>-993</v>
      </c>
      <c r="U55" s="283">
        <v>-524</v>
      </c>
      <c r="V55" s="283">
        <v>-707</v>
      </c>
      <c r="W55" s="283">
        <v>-161</v>
      </c>
      <c r="X55" s="283">
        <v>-627</v>
      </c>
      <c r="Y55" s="283">
        <v>-141</v>
      </c>
      <c r="Z55" s="283">
        <v>-348</v>
      </c>
      <c r="AA55" s="283">
        <v>-164</v>
      </c>
      <c r="AB55" s="283">
        <v>0</v>
      </c>
      <c r="AC55" s="283">
        <v>24</v>
      </c>
      <c r="AD55" s="283">
        <v>28</v>
      </c>
      <c r="AE55" s="283">
        <v>256</v>
      </c>
      <c r="AF55" s="283">
        <v>272</v>
      </c>
      <c r="AG55" s="283">
        <v>251</v>
      </c>
      <c r="AH55" s="283">
        <v>556</v>
      </c>
      <c r="AI55" s="283">
        <v>613</v>
      </c>
      <c r="AJ55" s="283">
        <v>549</v>
      </c>
      <c r="AK55" s="283">
        <v>398</v>
      </c>
      <c r="AL55" s="283">
        <v>192</v>
      </c>
      <c r="AM55" s="283">
        <v>148</v>
      </c>
      <c r="AN55" s="283">
        <v>273</v>
      </c>
      <c r="AO55" s="283">
        <v>170</v>
      </c>
      <c r="AP55" s="283">
        <v>-492</v>
      </c>
      <c r="AQ55" s="283">
        <v>-109</v>
      </c>
      <c r="AR55" s="283">
        <v>-991</v>
      </c>
      <c r="AS55" s="283">
        <v>-522</v>
      </c>
      <c r="AT55" s="283">
        <v>-705</v>
      </c>
      <c r="AU55" s="283">
        <v>-160</v>
      </c>
      <c r="AV55" s="283">
        <v>-625</v>
      </c>
      <c r="AW55" s="283">
        <v>-140</v>
      </c>
      <c r="AX55" s="283">
        <v>-346</v>
      </c>
      <c r="AY55" s="283">
        <v>-163</v>
      </c>
      <c r="BA55" s="123"/>
      <c r="BB55" s="123"/>
    </row>
    <row r="56" spans="2:54">
      <c r="B56" s="281">
        <v>10156</v>
      </c>
      <c r="C56" s="281" t="s">
        <v>59</v>
      </c>
      <c r="D56" s="283">
        <v>-9</v>
      </c>
      <c r="E56" s="283">
        <v>1250</v>
      </c>
      <c r="F56" s="283">
        <v>497</v>
      </c>
      <c r="G56" s="283">
        <v>2566</v>
      </c>
      <c r="H56" s="283">
        <v>3121</v>
      </c>
      <c r="I56" s="283">
        <v>3916</v>
      </c>
      <c r="J56" s="283">
        <v>6026</v>
      </c>
      <c r="K56" s="283">
        <v>5747</v>
      </c>
      <c r="L56" s="283">
        <v>5315</v>
      </c>
      <c r="M56" s="283">
        <v>4654</v>
      </c>
      <c r="N56" s="283">
        <v>2355</v>
      </c>
      <c r="O56" s="283">
        <v>2819</v>
      </c>
      <c r="P56" s="283">
        <v>2664</v>
      </c>
      <c r="Q56" s="283">
        <v>2569</v>
      </c>
      <c r="R56" s="283">
        <v>-4463</v>
      </c>
      <c r="S56" s="283">
        <v>-512</v>
      </c>
      <c r="T56" s="283">
        <v>-9428</v>
      </c>
      <c r="U56" s="283">
        <v>-4177</v>
      </c>
      <c r="V56" s="283">
        <v>-5932</v>
      </c>
      <c r="W56" s="283">
        <v>-268</v>
      </c>
      <c r="X56" s="283">
        <v>-5132</v>
      </c>
      <c r="Y56" s="283">
        <v>-489</v>
      </c>
      <c r="Z56" s="283">
        <v>-2933</v>
      </c>
      <c r="AA56" s="283">
        <v>-494</v>
      </c>
      <c r="AB56" s="283">
        <v>116</v>
      </c>
      <c r="AC56" s="283">
        <v>1328</v>
      </c>
      <c r="AD56" s="283">
        <v>618</v>
      </c>
      <c r="AE56" s="283">
        <v>2654</v>
      </c>
      <c r="AF56" s="283">
        <v>3244</v>
      </c>
      <c r="AG56" s="283">
        <v>4004</v>
      </c>
      <c r="AH56" s="283">
        <v>6148</v>
      </c>
      <c r="AI56" s="283">
        <v>5833</v>
      </c>
      <c r="AJ56" s="283">
        <v>5450</v>
      </c>
      <c r="AK56" s="283">
        <v>4657</v>
      </c>
      <c r="AL56" s="283">
        <v>2482</v>
      </c>
      <c r="AM56" s="283">
        <v>2903</v>
      </c>
      <c r="AN56" s="283">
        <v>2786</v>
      </c>
      <c r="AO56" s="283">
        <v>2649</v>
      </c>
      <c r="AP56" s="283">
        <v>-4348</v>
      </c>
      <c r="AQ56" s="283">
        <v>-430</v>
      </c>
      <c r="AR56" s="283">
        <v>-9304</v>
      </c>
      <c r="AS56" s="283">
        <v>-4099</v>
      </c>
      <c r="AT56" s="283">
        <v>-5806</v>
      </c>
      <c r="AU56" s="283">
        <v>-183</v>
      </c>
      <c r="AV56" s="283">
        <v>-5004</v>
      </c>
      <c r="AW56" s="283">
        <v>-408</v>
      </c>
      <c r="AX56" s="283">
        <v>-2811</v>
      </c>
      <c r="AY56" s="283">
        <v>-412</v>
      </c>
      <c r="BA56" s="123"/>
      <c r="BB56" s="123"/>
    </row>
    <row r="57" spans="2:54">
      <c r="B57" s="281">
        <v>10157</v>
      </c>
      <c r="C57" s="281" t="s">
        <v>60</v>
      </c>
      <c r="D57" s="283">
        <v>-1008</v>
      </c>
      <c r="E57" s="283">
        <v>1179</v>
      </c>
      <c r="F57" s="283">
        <v>-1717</v>
      </c>
      <c r="G57" s="283">
        <v>1199</v>
      </c>
      <c r="H57" s="283">
        <v>560</v>
      </c>
      <c r="I57" s="283">
        <v>3515</v>
      </c>
      <c r="J57" s="283">
        <v>1926</v>
      </c>
      <c r="K57" s="283">
        <v>3540</v>
      </c>
      <c r="L57" s="283">
        <v>1525</v>
      </c>
      <c r="M57" s="283">
        <v>2573</v>
      </c>
      <c r="N57" s="283">
        <v>-347</v>
      </c>
      <c r="O57" s="283">
        <v>1956</v>
      </c>
      <c r="P57" s="283">
        <v>1046</v>
      </c>
      <c r="Q57" s="283">
        <v>1956</v>
      </c>
      <c r="R57" s="283">
        <v>-3793</v>
      </c>
      <c r="S57" s="283">
        <v>473</v>
      </c>
      <c r="T57" s="283">
        <v>-7034</v>
      </c>
      <c r="U57" s="283">
        <v>-2302</v>
      </c>
      <c r="V57" s="283">
        <v>-3614</v>
      </c>
      <c r="W57" s="283">
        <v>1323</v>
      </c>
      <c r="X57" s="283">
        <v>-3350</v>
      </c>
      <c r="Y57" s="283">
        <v>1324</v>
      </c>
      <c r="Z57" s="283">
        <v>-2388</v>
      </c>
      <c r="AA57" s="283">
        <v>500</v>
      </c>
      <c r="AB57" s="283">
        <v>-949</v>
      </c>
      <c r="AC57" s="283">
        <v>1222</v>
      </c>
      <c r="AD57" s="283">
        <v>-2078</v>
      </c>
      <c r="AE57" s="283">
        <v>1685</v>
      </c>
      <c r="AF57" s="283">
        <v>1155</v>
      </c>
      <c r="AG57" s="283">
        <v>3075</v>
      </c>
      <c r="AH57" s="283">
        <v>1534</v>
      </c>
      <c r="AI57" s="283">
        <v>4074</v>
      </c>
      <c r="AJ57" s="283">
        <v>1912</v>
      </c>
      <c r="AK57" s="283">
        <v>2877</v>
      </c>
      <c r="AL57" s="283">
        <v>110</v>
      </c>
      <c r="AM57" s="283">
        <v>1616</v>
      </c>
      <c r="AN57" s="283">
        <v>1108</v>
      </c>
      <c r="AO57" s="283">
        <v>2002</v>
      </c>
      <c r="AP57" s="283">
        <v>-3742</v>
      </c>
      <c r="AQ57" s="283">
        <v>517</v>
      </c>
      <c r="AR57" s="283">
        <v>-6983</v>
      </c>
      <c r="AS57" s="283">
        <v>-2265</v>
      </c>
      <c r="AT57" s="283">
        <v>-3556</v>
      </c>
      <c r="AU57" s="283">
        <v>1368</v>
      </c>
      <c r="AV57" s="283">
        <v>-3293</v>
      </c>
      <c r="AW57" s="283">
        <v>1369</v>
      </c>
      <c r="AX57" s="283">
        <v>-2337</v>
      </c>
      <c r="AY57" s="283">
        <v>540</v>
      </c>
      <c r="BA57" s="123"/>
      <c r="BB57" s="123"/>
    </row>
    <row r="58" spans="2:54">
      <c r="B58" s="281">
        <v>10158</v>
      </c>
      <c r="C58" s="281" t="s">
        <v>61</v>
      </c>
      <c r="D58" s="283">
        <v>-214</v>
      </c>
      <c r="E58" s="283">
        <v>13</v>
      </c>
      <c r="F58" s="283">
        <v>-222</v>
      </c>
      <c r="G58" s="283">
        <v>97</v>
      </c>
      <c r="H58" s="283">
        <v>100</v>
      </c>
      <c r="I58" s="283">
        <v>401</v>
      </c>
      <c r="J58" s="283">
        <v>340</v>
      </c>
      <c r="K58" s="283">
        <v>473</v>
      </c>
      <c r="L58" s="283">
        <v>231</v>
      </c>
      <c r="M58" s="283">
        <v>358</v>
      </c>
      <c r="N58" s="283">
        <v>-100</v>
      </c>
      <c r="O58" s="283">
        <v>188</v>
      </c>
      <c r="P58" s="283">
        <v>26</v>
      </c>
      <c r="Q58" s="283">
        <v>141</v>
      </c>
      <c r="R58" s="283">
        <v>-370</v>
      </c>
      <c r="S58" s="283">
        <v>19</v>
      </c>
      <c r="T58" s="283">
        <v>-666</v>
      </c>
      <c r="U58" s="283">
        <v>-270</v>
      </c>
      <c r="V58" s="283">
        <v>-360</v>
      </c>
      <c r="W58" s="283">
        <v>35</v>
      </c>
      <c r="X58" s="283">
        <v>-325</v>
      </c>
      <c r="Y58" s="283">
        <v>42</v>
      </c>
      <c r="Z58" s="283">
        <v>-256</v>
      </c>
      <c r="AA58" s="283">
        <v>-33</v>
      </c>
      <c r="AB58" s="283">
        <v>-213</v>
      </c>
      <c r="AC58" s="283">
        <v>13</v>
      </c>
      <c r="AD58" s="283">
        <v>-264</v>
      </c>
      <c r="AE58" s="283">
        <v>140</v>
      </c>
      <c r="AF58" s="283">
        <v>155</v>
      </c>
      <c r="AG58" s="283">
        <v>347</v>
      </c>
      <c r="AH58" s="283">
        <v>286</v>
      </c>
      <c r="AI58" s="283">
        <v>528</v>
      </c>
      <c r="AJ58" s="283">
        <v>218</v>
      </c>
      <c r="AK58" s="283">
        <v>349</v>
      </c>
      <c r="AL58" s="283">
        <v>-61</v>
      </c>
      <c r="AM58" s="283">
        <v>149</v>
      </c>
      <c r="AN58" s="283">
        <v>26</v>
      </c>
      <c r="AO58" s="283">
        <v>142</v>
      </c>
      <c r="AP58" s="283">
        <v>-369</v>
      </c>
      <c r="AQ58" s="283">
        <v>19</v>
      </c>
      <c r="AR58" s="283">
        <v>-666</v>
      </c>
      <c r="AS58" s="283">
        <v>-270</v>
      </c>
      <c r="AT58" s="283">
        <v>-359</v>
      </c>
      <c r="AU58" s="283">
        <v>35</v>
      </c>
      <c r="AV58" s="283">
        <v>-324</v>
      </c>
      <c r="AW58" s="283">
        <v>43</v>
      </c>
      <c r="AX58" s="283">
        <v>-256</v>
      </c>
      <c r="AY58" s="283">
        <v>-33</v>
      </c>
      <c r="BA58" s="123"/>
      <c r="BB58" s="123"/>
    </row>
    <row r="59" spans="2:54">
      <c r="B59" s="281">
        <v>10170</v>
      </c>
      <c r="C59" s="281" t="s">
        <v>62</v>
      </c>
      <c r="D59" s="283">
        <v>-1927</v>
      </c>
      <c r="E59" s="283">
        <v>7626</v>
      </c>
      <c r="F59" s="283">
        <v>-16823</v>
      </c>
      <c r="G59" s="283">
        <v>-1321</v>
      </c>
      <c r="H59" s="283">
        <v>-5264</v>
      </c>
      <c r="I59" s="283">
        <v>9815</v>
      </c>
      <c r="J59" s="283">
        <v>9096</v>
      </c>
      <c r="K59" s="283">
        <v>16731</v>
      </c>
      <c r="L59" s="283">
        <v>8328</v>
      </c>
      <c r="M59" s="283">
        <v>12992</v>
      </c>
      <c r="N59" s="283">
        <v>1097</v>
      </c>
      <c r="O59" s="283">
        <v>11398</v>
      </c>
      <c r="P59" s="283">
        <v>6073</v>
      </c>
      <c r="Q59" s="283">
        <v>10073</v>
      </c>
      <c r="R59" s="283">
        <v>-20574</v>
      </c>
      <c r="S59" s="283">
        <v>-36</v>
      </c>
      <c r="T59" s="283">
        <v>-33261</v>
      </c>
      <c r="U59" s="283">
        <v>-10888</v>
      </c>
      <c r="V59" s="283">
        <v>-14349</v>
      </c>
      <c r="W59" s="283">
        <v>8411</v>
      </c>
      <c r="X59" s="283">
        <v>-11457</v>
      </c>
      <c r="Y59" s="283">
        <v>9714</v>
      </c>
      <c r="Z59" s="283">
        <v>-6392</v>
      </c>
      <c r="AA59" s="283">
        <v>6282</v>
      </c>
      <c r="AB59" s="283">
        <v>-1622</v>
      </c>
      <c r="AC59" s="283">
        <v>7876</v>
      </c>
      <c r="AD59" s="283">
        <v>-18286</v>
      </c>
      <c r="AE59" s="283">
        <v>593</v>
      </c>
      <c r="AF59" s="283">
        <v>-2820</v>
      </c>
      <c r="AG59" s="283">
        <v>8043</v>
      </c>
      <c r="AH59" s="283">
        <v>7279</v>
      </c>
      <c r="AI59" s="283">
        <v>19327</v>
      </c>
      <c r="AJ59" s="283">
        <v>10207</v>
      </c>
      <c r="AK59" s="283">
        <v>14498</v>
      </c>
      <c r="AL59" s="283">
        <v>3403</v>
      </c>
      <c r="AM59" s="283">
        <v>9742</v>
      </c>
      <c r="AN59" s="283">
        <v>6403</v>
      </c>
      <c r="AO59" s="283">
        <v>10332</v>
      </c>
      <c r="AP59" s="283">
        <v>-20406</v>
      </c>
      <c r="AQ59" s="283">
        <v>166</v>
      </c>
      <c r="AR59" s="283">
        <v>-33116</v>
      </c>
      <c r="AS59" s="283">
        <v>-10739</v>
      </c>
      <c r="AT59" s="283">
        <v>-14095</v>
      </c>
      <c r="AU59" s="283">
        <v>8674</v>
      </c>
      <c r="AV59" s="283">
        <v>-11186</v>
      </c>
      <c r="AW59" s="283">
        <v>9988</v>
      </c>
      <c r="AX59" s="283">
        <v>-6133</v>
      </c>
      <c r="AY59" s="283">
        <v>6526</v>
      </c>
      <c r="BA59" s="123"/>
      <c r="BB59" s="123"/>
    </row>
    <row r="60" spans="2:54">
      <c r="B60" s="281">
        <v>10172</v>
      </c>
      <c r="C60" s="281" t="s">
        <v>63</v>
      </c>
      <c r="D60" s="283">
        <v>63</v>
      </c>
      <c r="E60" s="283">
        <v>185</v>
      </c>
      <c r="F60" s="283">
        <v>-547</v>
      </c>
      <c r="G60" s="283">
        <v>-100</v>
      </c>
      <c r="H60" s="283">
        <v>-107</v>
      </c>
      <c r="I60" s="283">
        <v>142</v>
      </c>
      <c r="J60" s="283">
        <v>352</v>
      </c>
      <c r="K60" s="283">
        <v>448</v>
      </c>
      <c r="L60" s="283">
        <v>253</v>
      </c>
      <c r="M60" s="283">
        <v>300</v>
      </c>
      <c r="N60" s="283">
        <v>24</v>
      </c>
      <c r="O60" s="283">
        <v>159</v>
      </c>
      <c r="P60" s="283">
        <v>417</v>
      </c>
      <c r="Q60" s="283">
        <v>306</v>
      </c>
      <c r="R60" s="283">
        <v>-386</v>
      </c>
      <c r="S60" s="283">
        <v>49</v>
      </c>
      <c r="T60" s="283">
        <v>-1111</v>
      </c>
      <c r="U60" s="283">
        <v>-467</v>
      </c>
      <c r="V60" s="283">
        <v>-254</v>
      </c>
      <c r="W60" s="283">
        <v>338</v>
      </c>
      <c r="X60" s="283">
        <v>-130</v>
      </c>
      <c r="Y60" s="283">
        <v>248</v>
      </c>
      <c r="Z60" s="283">
        <v>-90</v>
      </c>
      <c r="AA60" s="283">
        <v>150</v>
      </c>
      <c r="AB60" s="283">
        <v>57</v>
      </c>
      <c r="AC60" s="283">
        <v>182</v>
      </c>
      <c r="AD60" s="283">
        <v>-556</v>
      </c>
      <c r="AE60" s="283">
        <v>-105</v>
      </c>
      <c r="AF60" s="283">
        <v>-115</v>
      </c>
      <c r="AG60" s="283">
        <v>138</v>
      </c>
      <c r="AH60" s="283">
        <v>347</v>
      </c>
      <c r="AI60" s="283">
        <v>446</v>
      </c>
      <c r="AJ60" s="283">
        <v>334</v>
      </c>
      <c r="AK60" s="283">
        <v>341</v>
      </c>
      <c r="AL60" s="283">
        <v>18</v>
      </c>
      <c r="AM60" s="283">
        <v>156</v>
      </c>
      <c r="AN60" s="283">
        <v>413</v>
      </c>
      <c r="AO60" s="283">
        <v>304</v>
      </c>
      <c r="AP60" s="283">
        <v>-394</v>
      </c>
      <c r="AQ60" s="283">
        <v>46</v>
      </c>
      <c r="AR60" s="283">
        <v>-1123</v>
      </c>
      <c r="AS60" s="283">
        <v>-473</v>
      </c>
      <c r="AT60" s="283">
        <v>-262</v>
      </c>
      <c r="AU60" s="283">
        <v>335</v>
      </c>
      <c r="AV60" s="283">
        <v>-138</v>
      </c>
      <c r="AW60" s="283">
        <v>245</v>
      </c>
      <c r="AX60" s="283">
        <v>-96</v>
      </c>
      <c r="AY60" s="283">
        <v>147</v>
      </c>
      <c r="BA60" s="123"/>
      <c r="BB60" s="123"/>
    </row>
    <row r="61" spans="2:54">
      <c r="B61" s="281">
        <v>10173</v>
      </c>
      <c r="C61" s="281" t="s">
        <v>64</v>
      </c>
      <c r="D61" s="283">
        <v>0</v>
      </c>
      <c r="E61" s="283">
        <v>0</v>
      </c>
      <c r="F61" s="283">
        <v>0</v>
      </c>
      <c r="G61" s="283">
        <v>0</v>
      </c>
      <c r="H61" s="283">
        <v>0</v>
      </c>
      <c r="I61" s="283">
        <v>0</v>
      </c>
      <c r="J61" s="283">
        <v>0</v>
      </c>
      <c r="K61" s="283">
        <v>0</v>
      </c>
      <c r="L61" s="283">
        <v>0</v>
      </c>
      <c r="M61" s="283">
        <v>0</v>
      </c>
      <c r="N61" s="283">
        <v>0</v>
      </c>
      <c r="O61" s="283">
        <v>0</v>
      </c>
      <c r="P61" s="283">
        <v>0</v>
      </c>
      <c r="Q61" s="283">
        <v>0</v>
      </c>
      <c r="R61" s="283">
        <v>0</v>
      </c>
      <c r="S61" s="283">
        <v>0</v>
      </c>
      <c r="T61" s="283">
        <v>0</v>
      </c>
      <c r="U61" s="283">
        <v>0</v>
      </c>
      <c r="V61" s="283">
        <v>0</v>
      </c>
      <c r="W61" s="283">
        <v>0</v>
      </c>
      <c r="X61" s="283">
        <v>0</v>
      </c>
      <c r="Y61" s="283">
        <v>0</v>
      </c>
      <c r="Z61" s="283">
        <v>0</v>
      </c>
      <c r="AA61" s="283">
        <v>0</v>
      </c>
      <c r="AB61" s="283">
        <v>0</v>
      </c>
      <c r="AC61" s="283">
        <v>0</v>
      </c>
      <c r="AD61" s="283">
        <v>0</v>
      </c>
      <c r="AE61" s="283">
        <v>0</v>
      </c>
      <c r="AF61" s="283">
        <v>0</v>
      </c>
      <c r="AG61" s="283">
        <v>0</v>
      </c>
      <c r="AH61" s="283">
        <v>0</v>
      </c>
      <c r="AI61" s="283">
        <v>0</v>
      </c>
      <c r="AJ61" s="283">
        <v>0</v>
      </c>
      <c r="AK61" s="283">
        <v>0</v>
      </c>
      <c r="AL61" s="283">
        <v>0</v>
      </c>
      <c r="AM61" s="283">
        <v>0</v>
      </c>
      <c r="AN61" s="283">
        <v>0</v>
      </c>
      <c r="AO61" s="283">
        <v>0</v>
      </c>
      <c r="AP61" s="283">
        <v>0</v>
      </c>
      <c r="AQ61" s="283">
        <v>0</v>
      </c>
      <c r="AR61" s="283">
        <v>0</v>
      </c>
      <c r="AS61" s="283">
        <v>0</v>
      </c>
      <c r="AT61" s="283">
        <v>0</v>
      </c>
      <c r="AU61" s="283">
        <v>0</v>
      </c>
      <c r="AV61" s="283">
        <v>0</v>
      </c>
      <c r="AW61" s="283">
        <v>0</v>
      </c>
      <c r="AX61" s="283">
        <v>0</v>
      </c>
      <c r="AY61" s="283">
        <v>0</v>
      </c>
      <c r="BA61" s="123"/>
      <c r="BB61" s="123"/>
    </row>
    <row r="62" spans="2:54">
      <c r="B62" s="281">
        <v>10174</v>
      </c>
      <c r="C62" s="281" t="s">
        <v>65</v>
      </c>
      <c r="D62" s="283">
        <v>-42</v>
      </c>
      <c r="E62" s="283">
        <v>1</v>
      </c>
      <c r="F62" s="283">
        <v>-42</v>
      </c>
      <c r="G62" s="283">
        <v>15</v>
      </c>
      <c r="H62" s="283">
        <v>29</v>
      </c>
      <c r="I62" s="283">
        <v>83</v>
      </c>
      <c r="J62" s="283">
        <v>85</v>
      </c>
      <c r="K62" s="283">
        <v>110</v>
      </c>
      <c r="L62" s="283">
        <v>61</v>
      </c>
      <c r="M62" s="283">
        <v>77</v>
      </c>
      <c r="N62" s="283">
        <v>-15</v>
      </c>
      <c r="O62" s="283">
        <v>36</v>
      </c>
      <c r="P62" s="283">
        <v>5</v>
      </c>
      <c r="Q62" s="283">
        <v>25</v>
      </c>
      <c r="R62" s="283">
        <v>-82</v>
      </c>
      <c r="S62" s="283">
        <v>-5</v>
      </c>
      <c r="T62" s="283">
        <v>-120</v>
      </c>
      <c r="U62" s="283">
        <v>-50</v>
      </c>
      <c r="V62" s="283">
        <v>-55</v>
      </c>
      <c r="W62" s="283">
        <v>13</v>
      </c>
      <c r="X62" s="283">
        <v>-66</v>
      </c>
      <c r="Y62" s="283">
        <v>2</v>
      </c>
      <c r="Z62" s="283">
        <v>-55</v>
      </c>
      <c r="AA62" s="283">
        <v>-11</v>
      </c>
      <c r="AB62" s="283">
        <v>-42</v>
      </c>
      <c r="AC62" s="283">
        <v>2</v>
      </c>
      <c r="AD62" s="283">
        <v>-51</v>
      </c>
      <c r="AE62" s="283">
        <v>25</v>
      </c>
      <c r="AF62" s="283">
        <v>42</v>
      </c>
      <c r="AG62" s="283">
        <v>72</v>
      </c>
      <c r="AH62" s="283">
        <v>74</v>
      </c>
      <c r="AI62" s="283">
        <v>122</v>
      </c>
      <c r="AJ62" s="283">
        <v>59</v>
      </c>
      <c r="AK62" s="283">
        <v>75</v>
      </c>
      <c r="AL62" s="283">
        <v>-6</v>
      </c>
      <c r="AM62" s="283">
        <v>28</v>
      </c>
      <c r="AN62" s="283">
        <v>6</v>
      </c>
      <c r="AO62" s="283">
        <v>25</v>
      </c>
      <c r="AP62" s="283">
        <v>-81</v>
      </c>
      <c r="AQ62" s="283">
        <v>-4</v>
      </c>
      <c r="AR62" s="283">
        <v>-119</v>
      </c>
      <c r="AS62" s="283">
        <v>-50</v>
      </c>
      <c r="AT62" s="283">
        <v>-55</v>
      </c>
      <c r="AU62" s="283">
        <v>14</v>
      </c>
      <c r="AV62" s="283">
        <v>-65</v>
      </c>
      <c r="AW62" s="283">
        <v>2</v>
      </c>
      <c r="AX62" s="283">
        <v>-54</v>
      </c>
      <c r="AY62" s="283">
        <v>-11</v>
      </c>
      <c r="BA62" s="123"/>
      <c r="BB62" s="123"/>
    </row>
    <row r="63" spans="2:54">
      <c r="B63" s="281">
        <v>10177</v>
      </c>
      <c r="C63" s="281" t="s">
        <v>66</v>
      </c>
      <c r="D63" s="283">
        <v>-308</v>
      </c>
      <c r="E63" s="283">
        <v>257</v>
      </c>
      <c r="F63" s="283">
        <v>-672</v>
      </c>
      <c r="G63" s="283">
        <v>273</v>
      </c>
      <c r="H63" s="283">
        <v>631</v>
      </c>
      <c r="I63" s="283">
        <v>992</v>
      </c>
      <c r="J63" s="283">
        <v>1063</v>
      </c>
      <c r="K63" s="283">
        <v>1436</v>
      </c>
      <c r="L63" s="283">
        <v>751</v>
      </c>
      <c r="M63" s="283">
        <v>1036</v>
      </c>
      <c r="N63" s="283">
        <v>31</v>
      </c>
      <c r="O63" s="283">
        <v>566</v>
      </c>
      <c r="P63" s="283">
        <v>252</v>
      </c>
      <c r="Q63" s="283">
        <v>485</v>
      </c>
      <c r="R63" s="283">
        <v>-1493</v>
      </c>
      <c r="S63" s="283">
        <v>-213</v>
      </c>
      <c r="T63" s="283">
        <v>-2857</v>
      </c>
      <c r="U63" s="283">
        <v>-1172</v>
      </c>
      <c r="V63" s="283">
        <v>-1635</v>
      </c>
      <c r="W63" s="283">
        <v>15</v>
      </c>
      <c r="X63" s="283">
        <v>-1455</v>
      </c>
      <c r="Y63" s="283">
        <v>-47</v>
      </c>
      <c r="Z63" s="283">
        <v>-992</v>
      </c>
      <c r="AA63" s="283">
        <v>-66</v>
      </c>
      <c r="AB63" s="283">
        <v>-320</v>
      </c>
      <c r="AC63" s="283">
        <v>251</v>
      </c>
      <c r="AD63" s="283">
        <v>-686</v>
      </c>
      <c r="AE63" s="283">
        <v>266</v>
      </c>
      <c r="AF63" s="283">
        <v>619</v>
      </c>
      <c r="AG63" s="283">
        <v>987</v>
      </c>
      <c r="AH63" s="283">
        <v>1055</v>
      </c>
      <c r="AI63" s="283">
        <v>1433</v>
      </c>
      <c r="AJ63" s="283">
        <v>891</v>
      </c>
      <c r="AK63" s="283">
        <v>1107</v>
      </c>
      <c r="AL63" s="283">
        <v>20</v>
      </c>
      <c r="AM63" s="283">
        <v>561</v>
      </c>
      <c r="AN63" s="283">
        <v>244</v>
      </c>
      <c r="AO63" s="283">
        <v>481</v>
      </c>
      <c r="AP63" s="283">
        <v>-1509</v>
      </c>
      <c r="AQ63" s="283">
        <v>-220</v>
      </c>
      <c r="AR63" s="283">
        <v>-2879</v>
      </c>
      <c r="AS63" s="283">
        <v>-1183</v>
      </c>
      <c r="AT63" s="283">
        <v>-1652</v>
      </c>
      <c r="AU63" s="283">
        <v>9</v>
      </c>
      <c r="AV63" s="283">
        <v>-1471</v>
      </c>
      <c r="AW63" s="283">
        <v>-53</v>
      </c>
      <c r="AX63" s="283">
        <v>-1005</v>
      </c>
      <c r="AY63" s="283">
        <v>-72</v>
      </c>
      <c r="BA63" s="123"/>
      <c r="BB63" s="123"/>
    </row>
    <row r="64" spans="2:54">
      <c r="B64" s="281">
        <v>10179</v>
      </c>
      <c r="C64" s="281" t="s">
        <v>67</v>
      </c>
      <c r="D64" s="283">
        <v>-2861.0418476463965</v>
      </c>
      <c r="E64" s="283">
        <v>2384.0841899775987</v>
      </c>
      <c r="F64" s="283">
        <v>-10060.208640438403</v>
      </c>
      <c r="G64" s="283">
        <v>1992.4573221891915</v>
      </c>
      <c r="H64" s="283">
        <v>14730.777728678397</v>
      </c>
      <c r="I64" s="283">
        <v>15613.663761252792</v>
      </c>
      <c r="J64" s="283">
        <v>28144.085901478378</v>
      </c>
      <c r="K64" s="283">
        <v>26588.826802852796</v>
      </c>
      <c r="L64" s="283">
        <v>20537.366259172799</v>
      </c>
      <c r="M64" s="283">
        <v>18659.185197787207</v>
      </c>
      <c r="N64" s="283">
        <v>9416.155203395203</v>
      </c>
      <c r="O64" s="283">
        <v>11001.496352041198</v>
      </c>
      <c r="P64" s="283">
        <v>11933.234309436797</v>
      </c>
      <c r="Q64" s="283">
        <v>9434.7242132192041</v>
      </c>
      <c r="R64" s="283">
        <v>-18515.105945880001</v>
      </c>
      <c r="S64" s="283">
        <v>-2770.9829471888006</v>
      </c>
      <c r="T64" s="283">
        <v>-41179.656426363203</v>
      </c>
      <c r="U64" s="283">
        <v>-19444.233107580796</v>
      </c>
      <c r="V64" s="283">
        <v>-15801.177700363201</v>
      </c>
      <c r="W64" s="283">
        <v>4012.2959834943977</v>
      </c>
      <c r="X64" s="283">
        <v>-12855.326748963198</v>
      </c>
      <c r="Y64" s="283">
        <v>982.88343949439877</v>
      </c>
      <c r="Z64" s="283">
        <v>-12292.257351679997</v>
      </c>
      <c r="AA64" s="283">
        <v>-1754.5012124639979</v>
      </c>
      <c r="AB64" s="283">
        <v>-2955.7688476463954</v>
      </c>
      <c r="AC64" s="283">
        <v>2191.0281899776091</v>
      </c>
      <c r="AD64" s="283">
        <v>-9661.0716404384002</v>
      </c>
      <c r="AE64" s="283">
        <v>1651.8703221891992</v>
      </c>
      <c r="AF64" s="283">
        <v>14835.337728678409</v>
      </c>
      <c r="AG64" s="283">
        <v>16017.849761252794</v>
      </c>
      <c r="AH64" s="283">
        <v>28820.059901478395</v>
      </c>
      <c r="AI64" s="283">
        <v>26440.722802852804</v>
      </c>
      <c r="AJ64" s="283">
        <v>23714.005532350391</v>
      </c>
      <c r="AK64" s="283">
        <v>20207.210334375995</v>
      </c>
      <c r="AL64" s="283">
        <v>9246.8422033952083</v>
      </c>
      <c r="AM64" s="283">
        <v>11246.806352041196</v>
      </c>
      <c r="AN64" s="283">
        <v>11911.045309436813</v>
      </c>
      <c r="AO64" s="283">
        <v>9311.9612132191978</v>
      </c>
      <c r="AP64" s="283">
        <v>-18593.952945879995</v>
      </c>
      <c r="AQ64" s="283">
        <v>-3021.6679471887983</v>
      </c>
      <c r="AR64" s="283">
        <v>-41297.032426363192</v>
      </c>
      <c r="AS64" s="283">
        <v>-19659.891107580806</v>
      </c>
      <c r="AT64" s="283">
        <v>-15814.663700363191</v>
      </c>
      <c r="AU64" s="283">
        <v>3823.1989834944034</v>
      </c>
      <c r="AV64" s="283">
        <v>-12858.725748963188</v>
      </c>
      <c r="AW64" s="283">
        <v>745.6504394943986</v>
      </c>
      <c r="AX64" s="283">
        <v>-12441.111351680003</v>
      </c>
      <c r="AY64" s="283">
        <v>-1997.4112124639942</v>
      </c>
      <c r="BA64" s="123"/>
      <c r="BB64" s="123"/>
    </row>
    <row r="65" spans="2:54">
      <c r="B65" s="281">
        <v>10183</v>
      </c>
      <c r="C65" s="281" t="s">
        <v>68</v>
      </c>
      <c r="D65" s="283">
        <v>-2931</v>
      </c>
      <c r="E65" s="283">
        <v>2871</v>
      </c>
      <c r="F65" s="283">
        <v>-11087</v>
      </c>
      <c r="G65" s="283">
        <v>-2161</v>
      </c>
      <c r="H65" s="283">
        <v>-7550</v>
      </c>
      <c r="I65" s="283">
        <v>1439</v>
      </c>
      <c r="J65" s="283">
        <v>208</v>
      </c>
      <c r="K65" s="283">
        <v>5451</v>
      </c>
      <c r="L65" s="283">
        <v>-2538</v>
      </c>
      <c r="M65" s="283">
        <v>1899</v>
      </c>
      <c r="N65" s="283">
        <v>-6353</v>
      </c>
      <c r="O65" s="283">
        <v>833</v>
      </c>
      <c r="P65" s="283">
        <v>-378</v>
      </c>
      <c r="Q65" s="283">
        <v>2840</v>
      </c>
      <c r="R65" s="283">
        <v>-7566</v>
      </c>
      <c r="S65" s="283">
        <v>3259</v>
      </c>
      <c r="T65" s="283">
        <v>-10536</v>
      </c>
      <c r="U65" s="283">
        <v>-278</v>
      </c>
      <c r="V65" s="283">
        <v>1496</v>
      </c>
      <c r="W65" s="283">
        <v>12088</v>
      </c>
      <c r="X65" s="283">
        <v>972</v>
      </c>
      <c r="Y65" s="283">
        <v>11135</v>
      </c>
      <c r="Z65" s="283">
        <v>-798</v>
      </c>
      <c r="AA65" s="283">
        <v>5664</v>
      </c>
      <c r="AB65" s="283">
        <v>-2819</v>
      </c>
      <c r="AC65" s="283">
        <v>2951</v>
      </c>
      <c r="AD65" s="283">
        <v>-11846</v>
      </c>
      <c r="AE65" s="283">
        <v>-1222</v>
      </c>
      <c r="AF65" s="283">
        <v>-6463</v>
      </c>
      <c r="AG65" s="283">
        <v>564</v>
      </c>
      <c r="AH65" s="283">
        <v>-708</v>
      </c>
      <c r="AI65" s="283">
        <v>6595</v>
      </c>
      <c r="AJ65" s="283">
        <v>-1568</v>
      </c>
      <c r="AK65" s="283">
        <v>2596</v>
      </c>
      <c r="AL65" s="283">
        <v>-5444</v>
      </c>
      <c r="AM65" s="283">
        <v>100</v>
      </c>
      <c r="AN65" s="283">
        <v>-276</v>
      </c>
      <c r="AO65" s="283">
        <v>2915</v>
      </c>
      <c r="AP65" s="283">
        <v>-7458</v>
      </c>
      <c r="AQ65" s="283">
        <v>3352</v>
      </c>
      <c r="AR65" s="283">
        <v>-10401</v>
      </c>
      <c r="AS65" s="283">
        <v>-180</v>
      </c>
      <c r="AT65" s="283">
        <v>1656</v>
      </c>
      <c r="AU65" s="283">
        <v>12215</v>
      </c>
      <c r="AV65" s="283">
        <v>1125</v>
      </c>
      <c r="AW65" s="283">
        <v>11256</v>
      </c>
      <c r="AX65" s="283">
        <v>-678</v>
      </c>
      <c r="AY65" s="283">
        <v>5761</v>
      </c>
      <c r="BA65" s="123"/>
      <c r="BB65" s="123"/>
    </row>
    <row r="66" spans="2:54">
      <c r="B66" s="281">
        <v>10186</v>
      </c>
      <c r="C66" s="281" t="s">
        <v>69</v>
      </c>
      <c r="D66" s="283">
        <v>-368</v>
      </c>
      <c r="E66" s="283">
        <v>613</v>
      </c>
      <c r="F66" s="283">
        <v>-1593</v>
      </c>
      <c r="G66" s="283">
        <v>282</v>
      </c>
      <c r="H66" s="283">
        <v>119</v>
      </c>
      <c r="I66" s="283">
        <v>1241</v>
      </c>
      <c r="J66" s="283">
        <v>1505</v>
      </c>
      <c r="K66" s="283">
        <v>2292</v>
      </c>
      <c r="L66" s="283">
        <v>890</v>
      </c>
      <c r="M66" s="283">
        <v>1517</v>
      </c>
      <c r="N66" s="283">
        <v>584</v>
      </c>
      <c r="O66" s="283">
        <v>1337</v>
      </c>
      <c r="P66" s="283">
        <v>780</v>
      </c>
      <c r="Q66" s="283">
        <v>1140</v>
      </c>
      <c r="R66" s="283">
        <v>-1880</v>
      </c>
      <c r="S66" s="283">
        <v>185</v>
      </c>
      <c r="T66" s="283">
        <v>-4210</v>
      </c>
      <c r="U66" s="283">
        <v>-1531</v>
      </c>
      <c r="V66" s="283">
        <v>-1604</v>
      </c>
      <c r="W66" s="283">
        <v>941</v>
      </c>
      <c r="X66" s="283">
        <v>-1643</v>
      </c>
      <c r="Y66" s="283">
        <v>235</v>
      </c>
      <c r="Z66" s="283">
        <v>-795</v>
      </c>
      <c r="AA66" s="283">
        <v>587</v>
      </c>
      <c r="AB66" s="283">
        <v>-1462</v>
      </c>
      <c r="AC66" s="283">
        <v>33</v>
      </c>
      <c r="AD66" s="283">
        <v>-2884</v>
      </c>
      <c r="AE66" s="283">
        <v>-563</v>
      </c>
      <c r="AF66" s="283">
        <v>-1246</v>
      </c>
      <c r="AG66" s="283">
        <v>511</v>
      </c>
      <c r="AH66" s="283">
        <v>1973</v>
      </c>
      <c r="AI66" s="283">
        <v>2885</v>
      </c>
      <c r="AJ66" s="283">
        <v>1835</v>
      </c>
      <c r="AK66" s="283">
        <v>2298</v>
      </c>
      <c r="AL66" s="283">
        <v>853</v>
      </c>
      <c r="AM66" s="283">
        <v>1793</v>
      </c>
      <c r="AN66" s="283">
        <v>1259</v>
      </c>
      <c r="AO66" s="283">
        <v>1622</v>
      </c>
      <c r="AP66" s="283">
        <v>-2032</v>
      </c>
      <c r="AQ66" s="283">
        <v>468</v>
      </c>
      <c r="AR66" s="283">
        <v>-4542</v>
      </c>
      <c r="AS66" s="283">
        <v>-1459</v>
      </c>
      <c r="AT66" s="283">
        <v>-1599</v>
      </c>
      <c r="AU66" s="283">
        <v>1407</v>
      </c>
      <c r="AV66" s="283">
        <v>-1566</v>
      </c>
      <c r="AW66" s="283">
        <v>731</v>
      </c>
      <c r="AX66" s="283">
        <v>-654</v>
      </c>
      <c r="AY66" s="283">
        <v>966</v>
      </c>
      <c r="BA66" s="123"/>
      <c r="BB66" s="123"/>
    </row>
    <row r="67" spans="2:54">
      <c r="B67" s="281">
        <v>10190</v>
      </c>
      <c r="C67" s="281" t="s">
        <v>70</v>
      </c>
      <c r="D67" s="283">
        <v>-462</v>
      </c>
      <c r="E67" s="283">
        <v>-55</v>
      </c>
      <c r="F67" s="283">
        <v>153</v>
      </c>
      <c r="G67" s="283">
        <v>456</v>
      </c>
      <c r="H67" s="283">
        <v>1206</v>
      </c>
      <c r="I67" s="283">
        <v>1147</v>
      </c>
      <c r="J67" s="283">
        <v>1497</v>
      </c>
      <c r="K67" s="283">
        <v>1368</v>
      </c>
      <c r="L67" s="283">
        <v>803</v>
      </c>
      <c r="M67" s="283">
        <v>783</v>
      </c>
      <c r="N67" s="283">
        <v>14</v>
      </c>
      <c r="O67" s="283">
        <v>257</v>
      </c>
      <c r="P67" s="283">
        <v>36</v>
      </c>
      <c r="Q67" s="283">
        <v>177</v>
      </c>
      <c r="R67" s="283">
        <v>-900</v>
      </c>
      <c r="S67" s="283">
        <v>-261</v>
      </c>
      <c r="T67" s="283">
        <v>-1538</v>
      </c>
      <c r="U67" s="283">
        <v>-785</v>
      </c>
      <c r="V67" s="283">
        <v>-625</v>
      </c>
      <c r="W67" s="283">
        <v>33</v>
      </c>
      <c r="X67" s="283">
        <v>-537</v>
      </c>
      <c r="Y67" s="283">
        <v>-61</v>
      </c>
      <c r="Z67" s="283">
        <v>-653</v>
      </c>
      <c r="AA67" s="283">
        <v>-232</v>
      </c>
      <c r="AB67" s="283">
        <v>-457</v>
      </c>
      <c r="AC67" s="283">
        <v>-52</v>
      </c>
      <c r="AD67" s="283">
        <v>157</v>
      </c>
      <c r="AE67" s="283">
        <v>459</v>
      </c>
      <c r="AF67" s="283">
        <v>1210</v>
      </c>
      <c r="AG67" s="283">
        <v>1150</v>
      </c>
      <c r="AH67" s="283">
        <v>1501</v>
      </c>
      <c r="AI67" s="283">
        <v>1371</v>
      </c>
      <c r="AJ67" s="283">
        <v>798</v>
      </c>
      <c r="AK67" s="283">
        <v>763</v>
      </c>
      <c r="AL67" s="283">
        <v>19</v>
      </c>
      <c r="AM67" s="283">
        <v>260</v>
      </c>
      <c r="AN67" s="283">
        <v>41</v>
      </c>
      <c r="AO67" s="283">
        <v>180</v>
      </c>
      <c r="AP67" s="283">
        <v>-895</v>
      </c>
      <c r="AQ67" s="283">
        <v>-257</v>
      </c>
      <c r="AR67" s="283">
        <v>-1533</v>
      </c>
      <c r="AS67" s="283">
        <v>-782</v>
      </c>
      <c r="AT67" s="283">
        <v>-620</v>
      </c>
      <c r="AU67" s="283">
        <v>36</v>
      </c>
      <c r="AV67" s="283">
        <v>-532</v>
      </c>
      <c r="AW67" s="283">
        <v>-59</v>
      </c>
      <c r="AX67" s="283">
        <v>-648</v>
      </c>
      <c r="AY67" s="283">
        <v>-229</v>
      </c>
      <c r="BA67" s="123"/>
      <c r="BB67" s="123"/>
    </row>
    <row r="68" spans="2:54">
      <c r="B68" s="281">
        <v>10191</v>
      </c>
      <c r="C68" s="281" t="s">
        <v>71</v>
      </c>
      <c r="D68" s="283">
        <v>-1985</v>
      </c>
      <c r="E68" s="283">
        <v>3494</v>
      </c>
      <c r="F68" s="283">
        <v>-4437</v>
      </c>
      <c r="G68" s="283">
        <v>3095</v>
      </c>
      <c r="H68" s="283">
        <v>-571</v>
      </c>
      <c r="I68" s="283">
        <v>7346</v>
      </c>
      <c r="J68" s="283">
        <v>5571</v>
      </c>
      <c r="K68" s="283">
        <v>9616</v>
      </c>
      <c r="L68" s="283">
        <v>3937</v>
      </c>
      <c r="M68" s="283">
        <v>6645</v>
      </c>
      <c r="N68" s="283">
        <v>1</v>
      </c>
      <c r="O68" s="283">
        <v>5758</v>
      </c>
      <c r="P68" s="283">
        <v>3320</v>
      </c>
      <c r="Q68" s="283">
        <v>5505</v>
      </c>
      <c r="R68" s="283">
        <v>-8649</v>
      </c>
      <c r="S68" s="283">
        <v>2210</v>
      </c>
      <c r="T68" s="283">
        <v>-16936</v>
      </c>
      <c r="U68" s="283">
        <v>-5044</v>
      </c>
      <c r="V68" s="283">
        <v>-11134</v>
      </c>
      <c r="W68" s="283">
        <v>1999</v>
      </c>
      <c r="X68" s="283">
        <v>-10452</v>
      </c>
      <c r="Y68" s="283">
        <v>2003</v>
      </c>
      <c r="Z68" s="283">
        <v>-5575</v>
      </c>
      <c r="AA68" s="283">
        <v>1767</v>
      </c>
      <c r="AB68" s="283">
        <v>-1820</v>
      </c>
      <c r="AC68" s="283">
        <v>3604</v>
      </c>
      <c r="AD68" s="283">
        <v>-5356</v>
      </c>
      <c r="AE68" s="283">
        <v>4347</v>
      </c>
      <c r="AF68" s="283">
        <v>873</v>
      </c>
      <c r="AG68" s="283">
        <v>6270</v>
      </c>
      <c r="AH68" s="283">
        <v>4535</v>
      </c>
      <c r="AI68" s="283">
        <v>11005</v>
      </c>
      <c r="AJ68" s="283">
        <v>4933</v>
      </c>
      <c r="AK68" s="283">
        <v>7420</v>
      </c>
      <c r="AL68" s="283">
        <v>1223</v>
      </c>
      <c r="AM68" s="283">
        <v>4845</v>
      </c>
      <c r="AN68" s="283">
        <v>3480</v>
      </c>
      <c r="AO68" s="283">
        <v>5617</v>
      </c>
      <c r="AP68" s="283">
        <v>-8490</v>
      </c>
      <c r="AQ68" s="283">
        <v>2329</v>
      </c>
      <c r="AR68" s="283">
        <v>-16761</v>
      </c>
      <c r="AS68" s="283">
        <v>-4930</v>
      </c>
      <c r="AT68" s="283">
        <v>-10975</v>
      </c>
      <c r="AU68" s="283">
        <v>2105</v>
      </c>
      <c r="AV68" s="283">
        <v>-10296</v>
      </c>
      <c r="AW68" s="283">
        <v>2108</v>
      </c>
      <c r="AX68" s="283">
        <v>-5428</v>
      </c>
      <c r="AY68" s="283">
        <v>1873</v>
      </c>
      <c r="BA68" s="123"/>
      <c r="BB68" s="123"/>
    </row>
    <row r="69" spans="2:54">
      <c r="B69" s="281">
        <v>10197</v>
      </c>
      <c r="C69" s="281" t="s">
        <v>72</v>
      </c>
      <c r="D69" s="283">
        <v>-5127</v>
      </c>
      <c r="E69" s="283">
        <v>-2152</v>
      </c>
      <c r="F69" s="283">
        <v>-9294</v>
      </c>
      <c r="G69" s="283">
        <v>-5061</v>
      </c>
      <c r="H69" s="283">
        <v>-8473</v>
      </c>
      <c r="I69" s="283">
        <v>-4412</v>
      </c>
      <c r="J69" s="283">
        <v>-6699</v>
      </c>
      <c r="K69" s="283">
        <v>-3308</v>
      </c>
      <c r="L69" s="283">
        <v>-6372</v>
      </c>
      <c r="M69" s="283">
        <v>-3315</v>
      </c>
      <c r="N69" s="283">
        <v>-7292</v>
      </c>
      <c r="O69" s="283">
        <v>-3631</v>
      </c>
      <c r="P69" s="283">
        <v>161</v>
      </c>
      <c r="Q69" s="283">
        <v>598</v>
      </c>
      <c r="R69" s="283">
        <v>5680</v>
      </c>
      <c r="S69" s="283">
        <v>7233</v>
      </c>
      <c r="T69" s="283">
        <v>5078</v>
      </c>
      <c r="U69" s="283">
        <v>5793</v>
      </c>
      <c r="V69" s="283">
        <v>10606</v>
      </c>
      <c r="W69" s="283">
        <v>11825</v>
      </c>
      <c r="X69" s="283">
        <v>10411</v>
      </c>
      <c r="Y69" s="283">
        <v>11470</v>
      </c>
      <c r="Z69" s="283">
        <v>2655</v>
      </c>
      <c r="AA69" s="283">
        <v>4276</v>
      </c>
      <c r="AB69" s="283">
        <v>-5147</v>
      </c>
      <c r="AC69" s="283">
        <v>-2166</v>
      </c>
      <c r="AD69" s="283">
        <v>-9419</v>
      </c>
      <c r="AE69" s="283">
        <v>-4970</v>
      </c>
      <c r="AF69" s="283">
        <v>-8360</v>
      </c>
      <c r="AG69" s="283">
        <v>-4559</v>
      </c>
      <c r="AH69" s="283">
        <v>-6844</v>
      </c>
      <c r="AI69" s="283">
        <v>-3197</v>
      </c>
      <c r="AJ69" s="283">
        <v>-6100</v>
      </c>
      <c r="AK69" s="283">
        <v>-3175</v>
      </c>
      <c r="AL69" s="283">
        <v>-7203</v>
      </c>
      <c r="AM69" s="283">
        <v>-3755</v>
      </c>
      <c r="AN69" s="283">
        <v>141</v>
      </c>
      <c r="AO69" s="283">
        <v>584</v>
      </c>
      <c r="AP69" s="283">
        <v>5661</v>
      </c>
      <c r="AQ69" s="283">
        <v>7217</v>
      </c>
      <c r="AR69" s="283">
        <v>5058</v>
      </c>
      <c r="AS69" s="283">
        <v>5779</v>
      </c>
      <c r="AT69" s="283">
        <v>10586</v>
      </c>
      <c r="AU69" s="283">
        <v>11810</v>
      </c>
      <c r="AV69" s="283">
        <v>10391</v>
      </c>
      <c r="AW69" s="283">
        <v>11454</v>
      </c>
      <c r="AX69" s="283">
        <v>2637</v>
      </c>
      <c r="AY69" s="283">
        <v>4261</v>
      </c>
      <c r="BA69" s="123"/>
      <c r="BB69" s="123"/>
    </row>
    <row r="70" spans="2:54">
      <c r="B70" s="281">
        <v>10202</v>
      </c>
      <c r="C70" s="281" t="s">
        <v>73</v>
      </c>
      <c r="D70" s="283">
        <v>1007</v>
      </c>
      <c r="E70" s="283">
        <v>557</v>
      </c>
      <c r="F70" s="283">
        <v>-33</v>
      </c>
      <c r="G70" s="283">
        <v>200</v>
      </c>
      <c r="H70" s="283">
        <v>812</v>
      </c>
      <c r="I70" s="283">
        <v>1118</v>
      </c>
      <c r="J70" s="283">
        <v>1558</v>
      </c>
      <c r="K70" s="283">
        <v>1204</v>
      </c>
      <c r="L70" s="283">
        <v>1147</v>
      </c>
      <c r="M70" s="283">
        <v>658</v>
      </c>
      <c r="N70" s="283">
        <v>-260</v>
      </c>
      <c r="O70" s="283">
        <v>82</v>
      </c>
      <c r="P70" s="283">
        <v>396</v>
      </c>
      <c r="Q70" s="283">
        <v>33</v>
      </c>
      <c r="R70" s="283">
        <v>-2306</v>
      </c>
      <c r="S70" s="283">
        <v>-991</v>
      </c>
      <c r="T70" s="283">
        <v>-4016</v>
      </c>
      <c r="U70" s="283">
        <v>-2385</v>
      </c>
      <c r="V70" s="283">
        <v>-2260</v>
      </c>
      <c r="W70" s="283">
        <v>-668</v>
      </c>
      <c r="X70" s="283">
        <v>-898</v>
      </c>
      <c r="Y70" s="283">
        <v>165</v>
      </c>
      <c r="Z70" s="283">
        <v>648</v>
      </c>
      <c r="AA70" s="283">
        <v>519</v>
      </c>
      <c r="AB70" s="283">
        <v>982</v>
      </c>
      <c r="AC70" s="283">
        <v>528</v>
      </c>
      <c r="AD70" s="283">
        <v>-312</v>
      </c>
      <c r="AE70" s="283">
        <v>431</v>
      </c>
      <c r="AF70" s="283">
        <v>1074</v>
      </c>
      <c r="AG70" s="283">
        <v>802</v>
      </c>
      <c r="AH70" s="283">
        <v>1268</v>
      </c>
      <c r="AI70" s="283">
        <v>1441</v>
      </c>
      <c r="AJ70" s="283">
        <v>1314</v>
      </c>
      <c r="AK70" s="283">
        <v>785</v>
      </c>
      <c r="AL70" s="283">
        <v>-85</v>
      </c>
      <c r="AM70" s="283">
        <v>-147</v>
      </c>
      <c r="AN70" s="283">
        <v>373</v>
      </c>
      <c r="AO70" s="283">
        <v>6</v>
      </c>
      <c r="AP70" s="283">
        <v>-2328</v>
      </c>
      <c r="AQ70" s="283">
        <v>-1023</v>
      </c>
      <c r="AR70" s="283">
        <v>-4037</v>
      </c>
      <c r="AS70" s="283">
        <v>-2414</v>
      </c>
      <c r="AT70" s="283">
        <v>-2284</v>
      </c>
      <c r="AU70" s="283">
        <v>-700</v>
      </c>
      <c r="AV70" s="283">
        <v>-922</v>
      </c>
      <c r="AW70" s="283">
        <v>134</v>
      </c>
      <c r="AX70" s="283">
        <v>626</v>
      </c>
      <c r="AY70" s="283">
        <v>490</v>
      </c>
      <c r="BA70" s="123"/>
      <c r="BB70" s="123"/>
    </row>
    <row r="71" spans="2:54">
      <c r="B71" s="281">
        <v>10203</v>
      </c>
      <c r="C71" s="281" t="s">
        <v>74</v>
      </c>
      <c r="D71" s="283">
        <v>-31</v>
      </c>
      <c r="E71" s="283">
        <v>59</v>
      </c>
      <c r="F71" s="283">
        <v>-61</v>
      </c>
      <c r="G71" s="283">
        <v>317</v>
      </c>
      <c r="H71" s="283">
        <v>743</v>
      </c>
      <c r="I71" s="283">
        <v>770</v>
      </c>
      <c r="J71" s="283">
        <v>1098</v>
      </c>
      <c r="K71" s="283">
        <v>1042</v>
      </c>
      <c r="L71" s="283">
        <v>811</v>
      </c>
      <c r="M71" s="283">
        <v>689</v>
      </c>
      <c r="N71" s="283">
        <v>320</v>
      </c>
      <c r="O71" s="283">
        <v>417</v>
      </c>
      <c r="P71" s="283">
        <v>404</v>
      </c>
      <c r="Q71" s="283">
        <v>319</v>
      </c>
      <c r="R71" s="283">
        <v>-782</v>
      </c>
      <c r="S71" s="283">
        <v>-181</v>
      </c>
      <c r="T71" s="283">
        <v>-1612</v>
      </c>
      <c r="U71" s="283">
        <v>-784</v>
      </c>
      <c r="V71" s="283">
        <v>-539</v>
      </c>
      <c r="W71" s="283">
        <v>93</v>
      </c>
      <c r="X71" s="283">
        <v>-489</v>
      </c>
      <c r="Y71" s="283">
        <v>-22</v>
      </c>
      <c r="Z71" s="283">
        <v>-518</v>
      </c>
      <c r="AA71" s="283">
        <v>-120</v>
      </c>
      <c r="AB71" s="283">
        <v>-20</v>
      </c>
      <c r="AC71" s="283">
        <v>65</v>
      </c>
      <c r="AD71" s="283">
        <v>-47</v>
      </c>
      <c r="AE71" s="283">
        <v>327</v>
      </c>
      <c r="AF71" s="283">
        <v>759</v>
      </c>
      <c r="AG71" s="283">
        <v>781</v>
      </c>
      <c r="AH71" s="283">
        <v>1114</v>
      </c>
      <c r="AI71" s="283">
        <v>1053</v>
      </c>
      <c r="AJ71" s="283">
        <v>923</v>
      </c>
      <c r="AK71" s="283">
        <v>747</v>
      </c>
      <c r="AL71" s="283">
        <v>332</v>
      </c>
      <c r="AM71" s="283">
        <v>426</v>
      </c>
      <c r="AN71" s="283">
        <v>415</v>
      </c>
      <c r="AO71" s="283">
        <v>325</v>
      </c>
      <c r="AP71" s="283">
        <v>-773</v>
      </c>
      <c r="AQ71" s="283">
        <v>-174</v>
      </c>
      <c r="AR71" s="283">
        <v>-1602</v>
      </c>
      <c r="AS71" s="283">
        <v>-779</v>
      </c>
      <c r="AT71" s="283">
        <v>-528</v>
      </c>
      <c r="AU71" s="283">
        <v>100</v>
      </c>
      <c r="AV71" s="283">
        <v>-477</v>
      </c>
      <c r="AW71" s="283">
        <v>-15</v>
      </c>
      <c r="AX71" s="283">
        <v>-509</v>
      </c>
      <c r="AY71" s="283">
        <v>-114</v>
      </c>
      <c r="BA71" s="123"/>
      <c r="BB71" s="123"/>
    </row>
    <row r="72" spans="2:54">
      <c r="B72" s="281">
        <v>10204</v>
      </c>
      <c r="C72" s="281" t="s">
        <v>75</v>
      </c>
      <c r="D72" s="283">
        <v>-1290</v>
      </c>
      <c r="E72" s="283">
        <v>1009</v>
      </c>
      <c r="F72" s="283">
        <v>-2704</v>
      </c>
      <c r="G72" s="283">
        <v>451</v>
      </c>
      <c r="H72" s="283">
        <v>-476</v>
      </c>
      <c r="I72" s="283">
        <v>2677</v>
      </c>
      <c r="J72" s="283">
        <v>2286</v>
      </c>
      <c r="K72" s="283">
        <v>3859</v>
      </c>
      <c r="L72" s="283">
        <v>1286</v>
      </c>
      <c r="M72" s="283">
        <v>2421</v>
      </c>
      <c r="N72" s="283">
        <v>-846</v>
      </c>
      <c r="O72" s="283">
        <v>1602</v>
      </c>
      <c r="P72" s="283">
        <v>192</v>
      </c>
      <c r="Q72" s="283">
        <v>1353</v>
      </c>
      <c r="R72" s="283">
        <v>-2971</v>
      </c>
      <c r="S72" s="283">
        <v>1245</v>
      </c>
      <c r="T72" s="283">
        <v>-6200</v>
      </c>
      <c r="U72" s="283">
        <v>-1644</v>
      </c>
      <c r="V72" s="283">
        <v>-2871</v>
      </c>
      <c r="W72" s="283">
        <v>1980</v>
      </c>
      <c r="X72" s="283">
        <v>-2720</v>
      </c>
      <c r="Y72" s="283">
        <v>1889</v>
      </c>
      <c r="Z72" s="283">
        <v>-2446</v>
      </c>
      <c r="AA72" s="283">
        <v>496</v>
      </c>
      <c r="AB72" s="283">
        <v>-1188</v>
      </c>
      <c r="AC72" s="283">
        <v>1076</v>
      </c>
      <c r="AD72" s="283">
        <v>-2988</v>
      </c>
      <c r="AE72" s="283">
        <v>935</v>
      </c>
      <c r="AF72" s="283">
        <v>132</v>
      </c>
      <c r="AG72" s="283">
        <v>2299</v>
      </c>
      <c r="AH72" s="283">
        <v>1922</v>
      </c>
      <c r="AI72" s="283">
        <v>4447</v>
      </c>
      <c r="AJ72" s="283">
        <v>1720</v>
      </c>
      <c r="AK72" s="283">
        <v>2753</v>
      </c>
      <c r="AL72" s="283">
        <v>-359</v>
      </c>
      <c r="AM72" s="283">
        <v>1300</v>
      </c>
      <c r="AN72" s="283">
        <v>286</v>
      </c>
      <c r="AO72" s="283">
        <v>1418</v>
      </c>
      <c r="AP72" s="283">
        <v>-2865</v>
      </c>
      <c r="AQ72" s="283">
        <v>1323</v>
      </c>
      <c r="AR72" s="283">
        <v>-6083</v>
      </c>
      <c r="AS72" s="283">
        <v>-1567</v>
      </c>
      <c r="AT72" s="283">
        <v>-2757</v>
      </c>
      <c r="AU72" s="283">
        <v>2057</v>
      </c>
      <c r="AV72" s="283">
        <v>-2608</v>
      </c>
      <c r="AW72" s="283">
        <v>1964</v>
      </c>
      <c r="AX72" s="283">
        <v>-2353</v>
      </c>
      <c r="AY72" s="283">
        <v>561</v>
      </c>
      <c r="BA72" s="123"/>
      <c r="BB72" s="123"/>
    </row>
    <row r="73" spans="2:54">
      <c r="B73" s="281">
        <v>10209</v>
      </c>
      <c r="C73" s="281" t="s">
        <v>76</v>
      </c>
      <c r="D73" s="283">
        <v>-6044</v>
      </c>
      <c r="E73" s="283">
        <v>213</v>
      </c>
      <c r="F73" s="283">
        <v>-10392</v>
      </c>
      <c r="G73" s="283">
        <v>189</v>
      </c>
      <c r="H73" s="283">
        <v>2278</v>
      </c>
      <c r="I73" s="283">
        <v>6776</v>
      </c>
      <c r="J73" s="283">
        <v>13796</v>
      </c>
      <c r="K73" s="283">
        <v>16313</v>
      </c>
      <c r="L73" s="283">
        <v>8711</v>
      </c>
      <c r="M73" s="283">
        <v>10716</v>
      </c>
      <c r="N73" s="283">
        <v>-290</v>
      </c>
      <c r="O73" s="283">
        <v>4875</v>
      </c>
      <c r="P73" s="283">
        <v>3388</v>
      </c>
      <c r="Q73" s="283">
        <v>5156</v>
      </c>
      <c r="R73" s="283">
        <v>-11768</v>
      </c>
      <c r="S73" s="283">
        <v>166</v>
      </c>
      <c r="T73" s="283">
        <v>-24455</v>
      </c>
      <c r="U73" s="283">
        <v>-9087</v>
      </c>
      <c r="V73" s="283">
        <v>-8209</v>
      </c>
      <c r="W73" s="283">
        <v>5618</v>
      </c>
      <c r="X73" s="283">
        <v>-6104</v>
      </c>
      <c r="Y73" s="283">
        <v>3554</v>
      </c>
      <c r="Z73" s="283">
        <v>-6843</v>
      </c>
      <c r="AA73" s="283">
        <v>1441</v>
      </c>
      <c r="AB73" s="283">
        <v>-5057</v>
      </c>
      <c r="AC73" s="283">
        <v>744</v>
      </c>
      <c r="AD73" s="283">
        <v>-8872</v>
      </c>
      <c r="AE73" s="283">
        <v>1036</v>
      </c>
      <c r="AF73" s="283">
        <v>4006</v>
      </c>
      <c r="AG73" s="283">
        <v>8100</v>
      </c>
      <c r="AH73" s="283">
        <v>13432</v>
      </c>
      <c r="AI73" s="283">
        <v>15768</v>
      </c>
      <c r="AJ73" s="283">
        <v>9987</v>
      </c>
      <c r="AK73" s="283">
        <v>11213</v>
      </c>
      <c r="AL73" s="283">
        <v>-1008</v>
      </c>
      <c r="AM73" s="283">
        <v>4509</v>
      </c>
      <c r="AN73" s="283">
        <v>2759</v>
      </c>
      <c r="AO73" s="283">
        <v>4678</v>
      </c>
      <c r="AP73" s="283">
        <v>-12368</v>
      </c>
      <c r="AQ73" s="283">
        <v>-394</v>
      </c>
      <c r="AR73" s="283">
        <v>-25080</v>
      </c>
      <c r="AS73" s="283">
        <v>-9570</v>
      </c>
      <c r="AT73" s="283">
        <v>-8797</v>
      </c>
      <c r="AU73" s="283">
        <v>5110</v>
      </c>
      <c r="AV73" s="283">
        <v>-6691</v>
      </c>
      <c r="AW73" s="283">
        <v>3027</v>
      </c>
      <c r="AX73" s="283">
        <v>-7460</v>
      </c>
      <c r="AY73" s="283">
        <v>921</v>
      </c>
      <c r="BA73" s="123"/>
      <c r="BB73" s="123"/>
    </row>
    <row r="74" spans="2:54">
      <c r="B74" s="281">
        <v>10230</v>
      </c>
      <c r="C74" s="281" t="s">
        <v>77</v>
      </c>
      <c r="D74" s="283">
        <v>-437</v>
      </c>
      <c r="E74" s="283">
        <v>-264</v>
      </c>
      <c r="F74" s="283">
        <v>-297</v>
      </c>
      <c r="G74" s="283">
        <v>124</v>
      </c>
      <c r="H74" s="283">
        <v>1272</v>
      </c>
      <c r="I74" s="283">
        <v>1007</v>
      </c>
      <c r="J74" s="283">
        <v>1514</v>
      </c>
      <c r="K74" s="283">
        <v>1484</v>
      </c>
      <c r="L74" s="283">
        <v>1316</v>
      </c>
      <c r="M74" s="283">
        <v>1036</v>
      </c>
      <c r="N74" s="283">
        <v>345</v>
      </c>
      <c r="O74" s="283">
        <v>261</v>
      </c>
      <c r="P74" s="283">
        <v>490</v>
      </c>
      <c r="Q74" s="283">
        <v>293</v>
      </c>
      <c r="R74" s="283">
        <v>-1156</v>
      </c>
      <c r="S74" s="283">
        <v>-479</v>
      </c>
      <c r="T74" s="283">
        <v>-2936</v>
      </c>
      <c r="U74" s="283">
        <v>-1701</v>
      </c>
      <c r="V74" s="283">
        <v>-1541</v>
      </c>
      <c r="W74" s="283">
        <v>-352</v>
      </c>
      <c r="X74" s="283">
        <v>-965</v>
      </c>
      <c r="Y74" s="283">
        <v>-420</v>
      </c>
      <c r="Z74" s="283">
        <v>-1014</v>
      </c>
      <c r="AA74" s="283">
        <v>-625</v>
      </c>
      <c r="AB74" s="283">
        <v>-440</v>
      </c>
      <c r="AC74" s="283">
        <v>-269</v>
      </c>
      <c r="AD74" s="283">
        <v>-237</v>
      </c>
      <c r="AE74" s="283">
        <v>67</v>
      </c>
      <c r="AF74" s="283">
        <v>1225</v>
      </c>
      <c r="AG74" s="283">
        <v>1074</v>
      </c>
      <c r="AH74" s="283">
        <v>1582</v>
      </c>
      <c r="AI74" s="283">
        <v>1429</v>
      </c>
      <c r="AJ74" s="283">
        <v>1324</v>
      </c>
      <c r="AK74" s="283">
        <v>1008</v>
      </c>
      <c r="AL74" s="283">
        <v>298</v>
      </c>
      <c r="AM74" s="283">
        <v>312</v>
      </c>
      <c r="AN74" s="283">
        <v>489</v>
      </c>
      <c r="AO74" s="283">
        <v>290</v>
      </c>
      <c r="AP74" s="283">
        <v>-1157</v>
      </c>
      <c r="AQ74" s="283">
        <v>-485</v>
      </c>
      <c r="AR74" s="283">
        <v>-2940</v>
      </c>
      <c r="AS74" s="283">
        <v>-1706</v>
      </c>
      <c r="AT74" s="283">
        <v>-1543</v>
      </c>
      <c r="AU74" s="283">
        <v>-357</v>
      </c>
      <c r="AV74" s="283">
        <v>-965</v>
      </c>
      <c r="AW74" s="283">
        <v>-426</v>
      </c>
      <c r="AX74" s="283">
        <v>-1017</v>
      </c>
      <c r="AY74" s="283">
        <v>-632</v>
      </c>
      <c r="BA74" s="123"/>
      <c r="BB74" s="123"/>
    </row>
    <row r="75" spans="2:54">
      <c r="B75" s="281">
        <v>10231</v>
      </c>
      <c r="C75" s="281" t="s">
        <v>78</v>
      </c>
      <c r="D75" s="283">
        <v>515</v>
      </c>
      <c r="E75" s="283">
        <v>598</v>
      </c>
      <c r="F75" s="283">
        <v>-2340</v>
      </c>
      <c r="G75" s="283">
        <v>-512</v>
      </c>
      <c r="H75" s="283">
        <v>1250</v>
      </c>
      <c r="I75" s="283">
        <v>2858</v>
      </c>
      <c r="J75" s="283">
        <v>3155</v>
      </c>
      <c r="K75" s="283">
        <v>3205</v>
      </c>
      <c r="L75" s="283">
        <v>2100</v>
      </c>
      <c r="M75" s="283">
        <v>1622</v>
      </c>
      <c r="N75" s="283">
        <v>-2462</v>
      </c>
      <c r="O75" s="283">
        <v>-608</v>
      </c>
      <c r="P75" s="283">
        <v>1091</v>
      </c>
      <c r="Q75" s="283">
        <v>433</v>
      </c>
      <c r="R75" s="283">
        <v>-4640</v>
      </c>
      <c r="S75" s="283">
        <v>-1085</v>
      </c>
      <c r="T75" s="283">
        <v>-9041</v>
      </c>
      <c r="U75" s="283">
        <v>-4953</v>
      </c>
      <c r="V75" s="283">
        <v>144</v>
      </c>
      <c r="W75" s="283">
        <v>2497</v>
      </c>
      <c r="X75" s="283">
        <v>1157</v>
      </c>
      <c r="Y75" s="283">
        <v>3181</v>
      </c>
      <c r="Z75" s="283">
        <v>695</v>
      </c>
      <c r="AA75" s="283">
        <v>1142</v>
      </c>
      <c r="AB75" s="283">
        <v>479</v>
      </c>
      <c r="AC75" s="283">
        <v>552</v>
      </c>
      <c r="AD75" s="283">
        <v>-2950</v>
      </c>
      <c r="AE75" s="283">
        <v>26</v>
      </c>
      <c r="AF75" s="283">
        <v>1917</v>
      </c>
      <c r="AG75" s="283">
        <v>2108</v>
      </c>
      <c r="AH75" s="283">
        <v>2474</v>
      </c>
      <c r="AI75" s="283">
        <v>3802</v>
      </c>
      <c r="AJ75" s="283">
        <v>2616</v>
      </c>
      <c r="AK75" s="283">
        <v>2002</v>
      </c>
      <c r="AL75" s="283">
        <v>-2055</v>
      </c>
      <c r="AM75" s="283">
        <v>-1099</v>
      </c>
      <c r="AN75" s="283">
        <v>1058</v>
      </c>
      <c r="AO75" s="283">
        <v>391</v>
      </c>
      <c r="AP75" s="283">
        <v>-4674</v>
      </c>
      <c r="AQ75" s="283">
        <v>-1138</v>
      </c>
      <c r="AR75" s="283">
        <v>-9070</v>
      </c>
      <c r="AS75" s="283">
        <v>-4999</v>
      </c>
      <c r="AT75" s="283">
        <v>110</v>
      </c>
      <c r="AU75" s="283">
        <v>2443</v>
      </c>
      <c r="AV75" s="283">
        <v>1121</v>
      </c>
      <c r="AW75" s="283">
        <v>3128</v>
      </c>
      <c r="AX75" s="283">
        <v>665</v>
      </c>
      <c r="AY75" s="283">
        <v>1094</v>
      </c>
      <c r="BA75" s="123"/>
      <c r="BB75" s="123"/>
    </row>
    <row r="76" spans="2:54">
      <c r="B76" s="281">
        <v>10234</v>
      </c>
      <c r="C76" s="281" t="s">
        <v>79</v>
      </c>
      <c r="D76" s="283">
        <v>-1226</v>
      </c>
      <c r="E76" s="283">
        <v>720</v>
      </c>
      <c r="F76" s="283">
        <v>-1596</v>
      </c>
      <c r="G76" s="283">
        <v>722</v>
      </c>
      <c r="H76" s="283">
        <v>4598</v>
      </c>
      <c r="I76" s="283">
        <v>4823</v>
      </c>
      <c r="J76" s="283">
        <v>6118</v>
      </c>
      <c r="K76" s="283">
        <v>7351</v>
      </c>
      <c r="L76" s="283">
        <v>5486</v>
      </c>
      <c r="M76" s="283">
        <v>4688</v>
      </c>
      <c r="N76" s="283">
        <v>2269</v>
      </c>
      <c r="O76" s="283">
        <v>1852</v>
      </c>
      <c r="P76" s="283">
        <v>2336</v>
      </c>
      <c r="Q76" s="283">
        <v>1975</v>
      </c>
      <c r="R76" s="283">
        <v>-6699</v>
      </c>
      <c r="S76" s="283">
        <v>-1213</v>
      </c>
      <c r="T76" s="283">
        <v>-10857</v>
      </c>
      <c r="U76" s="283">
        <v>-5605</v>
      </c>
      <c r="V76" s="283">
        <v>-3065</v>
      </c>
      <c r="W76" s="283">
        <v>2637</v>
      </c>
      <c r="X76" s="283">
        <v>-1915</v>
      </c>
      <c r="Y76" s="283">
        <v>980</v>
      </c>
      <c r="Z76" s="283">
        <v>-2786</v>
      </c>
      <c r="AA76" s="283">
        <v>-221</v>
      </c>
      <c r="AB76" s="283">
        <v>-1172</v>
      </c>
      <c r="AC76" s="283">
        <v>733</v>
      </c>
      <c r="AD76" s="283">
        <v>-1463</v>
      </c>
      <c r="AE76" s="283">
        <v>665</v>
      </c>
      <c r="AF76" s="283">
        <v>4581</v>
      </c>
      <c r="AG76" s="283">
        <v>4907</v>
      </c>
      <c r="AH76" s="283">
        <v>6237</v>
      </c>
      <c r="AI76" s="283">
        <v>7299</v>
      </c>
      <c r="AJ76" s="283">
        <v>5770</v>
      </c>
      <c r="AK76" s="283">
        <v>4724</v>
      </c>
      <c r="AL76" s="283">
        <v>2256</v>
      </c>
      <c r="AM76" s="283">
        <v>1932</v>
      </c>
      <c r="AN76" s="283">
        <v>2394</v>
      </c>
      <c r="AO76" s="283">
        <v>1993</v>
      </c>
      <c r="AP76" s="283">
        <v>-6642</v>
      </c>
      <c r="AQ76" s="283">
        <v>-1203</v>
      </c>
      <c r="AR76" s="283">
        <v>-10790</v>
      </c>
      <c r="AS76" s="283">
        <v>-5595</v>
      </c>
      <c r="AT76" s="283">
        <v>-3008</v>
      </c>
      <c r="AU76" s="283">
        <v>2646</v>
      </c>
      <c r="AV76" s="283">
        <v>-1847</v>
      </c>
      <c r="AW76" s="283">
        <v>977</v>
      </c>
      <c r="AX76" s="283">
        <v>-2724</v>
      </c>
      <c r="AY76" s="283">
        <v>-207</v>
      </c>
      <c r="BA76" s="123"/>
      <c r="BB76" s="123"/>
    </row>
    <row r="77" spans="2:54">
      <c r="B77" s="281">
        <v>10235</v>
      </c>
      <c r="C77" s="281" t="s">
        <v>80</v>
      </c>
      <c r="D77" s="283">
        <v>390</v>
      </c>
      <c r="E77" s="283">
        <v>428</v>
      </c>
      <c r="F77" s="283">
        <v>-368</v>
      </c>
      <c r="G77" s="283">
        <v>177</v>
      </c>
      <c r="H77" s="283">
        <v>645</v>
      </c>
      <c r="I77" s="283">
        <v>1262</v>
      </c>
      <c r="J77" s="283">
        <v>4526</v>
      </c>
      <c r="K77" s="283">
        <v>2902</v>
      </c>
      <c r="L77" s="283">
        <v>4243</v>
      </c>
      <c r="M77" s="283">
        <v>2357</v>
      </c>
      <c r="N77" s="283">
        <v>1178</v>
      </c>
      <c r="O77" s="283">
        <v>1352</v>
      </c>
      <c r="P77" s="283">
        <v>2748</v>
      </c>
      <c r="Q77" s="283">
        <v>1416</v>
      </c>
      <c r="R77" s="283">
        <v>-3650</v>
      </c>
      <c r="S77" s="283">
        <v>-446</v>
      </c>
      <c r="T77" s="283">
        <v>-7849</v>
      </c>
      <c r="U77" s="283">
        <v>-4031</v>
      </c>
      <c r="V77" s="283">
        <v>-4398</v>
      </c>
      <c r="W77" s="283">
        <v>-277</v>
      </c>
      <c r="X77" s="283">
        <v>-3743</v>
      </c>
      <c r="Y77" s="283">
        <v>-54</v>
      </c>
      <c r="Z77" s="283">
        <v>-1796</v>
      </c>
      <c r="AA77" s="283">
        <v>-514</v>
      </c>
      <c r="AB77" s="283">
        <v>402</v>
      </c>
      <c r="AC77" s="283">
        <v>435</v>
      </c>
      <c r="AD77" s="283">
        <v>-950</v>
      </c>
      <c r="AE77" s="283">
        <v>776</v>
      </c>
      <c r="AF77" s="283">
        <v>1272</v>
      </c>
      <c r="AG77" s="283">
        <v>663</v>
      </c>
      <c r="AH77" s="283">
        <v>3919</v>
      </c>
      <c r="AI77" s="283">
        <v>3561</v>
      </c>
      <c r="AJ77" s="283">
        <v>4097</v>
      </c>
      <c r="AK77" s="283">
        <v>2367</v>
      </c>
      <c r="AL77" s="283">
        <v>1729</v>
      </c>
      <c r="AM77" s="283">
        <v>829</v>
      </c>
      <c r="AN77" s="283">
        <v>2770</v>
      </c>
      <c r="AO77" s="283">
        <v>1427</v>
      </c>
      <c r="AP77" s="283">
        <v>-3658</v>
      </c>
      <c r="AQ77" s="283">
        <v>-442</v>
      </c>
      <c r="AR77" s="283">
        <v>-7874</v>
      </c>
      <c r="AS77" s="283">
        <v>-4043</v>
      </c>
      <c r="AT77" s="283">
        <v>-4409</v>
      </c>
      <c r="AU77" s="283">
        <v>-273</v>
      </c>
      <c r="AV77" s="283">
        <v>-3751</v>
      </c>
      <c r="AW77" s="283">
        <v>-49</v>
      </c>
      <c r="AX77" s="283">
        <v>-1795</v>
      </c>
      <c r="AY77" s="283">
        <v>-512</v>
      </c>
      <c r="BA77" s="123"/>
      <c r="BB77" s="123"/>
    </row>
    <row r="78" spans="2:54">
      <c r="B78" s="281">
        <v>10236</v>
      </c>
      <c r="C78" s="281" t="s">
        <v>81</v>
      </c>
      <c r="D78" s="283">
        <v>0</v>
      </c>
      <c r="E78" s="283">
        <v>0</v>
      </c>
      <c r="F78" s="283">
        <v>0</v>
      </c>
      <c r="G78" s="283">
        <v>0</v>
      </c>
      <c r="H78" s="283">
        <v>0</v>
      </c>
      <c r="I78" s="283">
        <v>0</v>
      </c>
      <c r="J78" s="283">
        <v>0</v>
      </c>
      <c r="K78" s="283">
        <v>0</v>
      </c>
      <c r="L78" s="283">
        <v>0</v>
      </c>
      <c r="M78" s="283">
        <v>0</v>
      </c>
      <c r="N78" s="283">
        <v>0</v>
      </c>
      <c r="O78" s="283">
        <v>0</v>
      </c>
      <c r="P78" s="283">
        <v>0</v>
      </c>
      <c r="Q78" s="283">
        <v>0</v>
      </c>
      <c r="R78" s="283">
        <v>0</v>
      </c>
      <c r="S78" s="283">
        <v>0</v>
      </c>
      <c r="T78" s="283">
        <v>0</v>
      </c>
      <c r="U78" s="283">
        <v>0</v>
      </c>
      <c r="V78" s="283">
        <v>0</v>
      </c>
      <c r="W78" s="283">
        <v>0</v>
      </c>
      <c r="X78" s="283">
        <v>0</v>
      </c>
      <c r="Y78" s="283">
        <v>0</v>
      </c>
      <c r="Z78" s="283">
        <v>0</v>
      </c>
      <c r="AA78" s="283">
        <v>0</v>
      </c>
      <c r="AB78" s="283">
        <v>0</v>
      </c>
      <c r="AC78" s="283">
        <v>0</v>
      </c>
      <c r="AD78" s="283">
        <v>0</v>
      </c>
      <c r="AE78" s="283">
        <v>0</v>
      </c>
      <c r="AF78" s="283">
        <v>0</v>
      </c>
      <c r="AG78" s="283">
        <v>0</v>
      </c>
      <c r="AH78" s="283">
        <v>0</v>
      </c>
      <c r="AI78" s="283">
        <v>0</v>
      </c>
      <c r="AJ78" s="283">
        <v>0</v>
      </c>
      <c r="AK78" s="283">
        <v>0</v>
      </c>
      <c r="AL78" s="283">
        <v>0</v>
      </c>
      <c r="AM78" s="283">
        <v>0</v>
      </c>
      <c r="AN78" s="283">
        <v>0</v>
      </c>
      <c r="AO78" s="283">
        <v>0</v>
      </c>
      <c r="AP78" s="283">
        <v>0</v>
      </c>
      <c r="AQ78" s="283">
        <v>0</v>
      </c>
      <c r="AR78" s="283">
        <v>0</v>
      </c>
      <c r="AS78" s="283">
        <v>0</v>
      </c>
      <c r="AT78" s="283">
        <v>0</v>
      </c>
      <c r="AU78" s="283">
        <v>0</v>
      </c>
      <c r="AV78" s="283">
        <v>0</v>
      </c>
      <c r="AW78" s="283">
        <v>0</v>
      </c>
      <c r="AX78" s="283">
        <v>0</v>
      </c>
      <c r="AY78" s="283">
        <v>0</v>
      </c>
      <c r="BA78" s="123"/>
      <c r="BB78" s="123"/>
    </row>
    <row r="79" spans="2:54">
      <c r="B79" s="281">
        <v>10237</v>
      </c>
      <c r="C79" s="281" t="s">
        <v>82</v>
      </c>
      <c r="D79" s="283">
        <v>-962</v>
      </c>
      <c r="E79" s="283">
        <v>2653</v>
      </c>
      <c r="F79" s="283">
        <v>-2651</v>
      </c>
      <c r="G79" s="283">
        <v>2393</v>
      </c>
      <c r="H79" s="283">
        <v>1129</v>
      </c>
      <c r="I79" s="283">
        <v>6295</v>
      </c>
      <c r="J79" s="283">
        <v>2520</v>
      </c>
      <c r="K79" s="283">
        <v>5535</v>
      </c>
      <c r="L79" s="283">
        <v>2216</v>
      </c>
      <c r="M79" s="283">
        <v>4175</v>
      </c>
      <c r="N79" s="283">
        <v>-242</v>
      </c>
      <c r="O79" s="283">
        <v>3721</v>
      </c>
      <c r="P79" s="283">
        <v>2848</v>
      </c>
      <c r="Q79" s="283">
        <v>4173</v>
      </c>
      <c r="R79" s="283">
        <v>-5907</v>
      </c>
      <c r="S79" s="283">
        <v>1474</v>
      </c>
      <c r="T79" s="283">
        <v>-11956</v>
      </c>
      <c r="U79" s="283">
        <v>-3756</v>
      </c>
      <c r="V79" s="283">
        <v>-8203</v>
      </c>
      <c r="W79" s="283">
        <v>854</v>
      </c>
      <c r="X79" s="283">
        <v>-7334</v>
      </c>
      <c r="Y79" s="283">
        <v>1177</v>
      </c>
      <c r="Z79" s="283">
        <v>-3817</v>
      </c>
      <c r="AA79" s="283">
        <v>1176</v>
      </c>
      <c r="AB79" s="283">
        <v>-781</v>
      </c>
      <c r="AC79" s="283">
        <v>2799</v>
      </c>
      <c r="AD79" s="283">
        <v>-3231</v>
      </c>
      <c r="AE79" s="283">
        <v>3351</v>
      </c>
      <c r="AF79" s="283">
        <v>2294</v>
      </c>
      <c r="AG79" s="283">
        <v>5625</v>
      </c>
      <c r="AH79" s="283">
        <v>1956</v>
      </c>
      <c r="AI79" s="283">
        <v>6540</v>
      </c>
      <c r="AJ79" s="283">
        <v>2992</v>
      </c>
      <c r="AK79" s="283">
        <v>4788</v>
      </c>
      <c r="AL79" s="283">
        <v>663</v>
      </c>
      <c r="AM79" s="283">
        <v>3188</v>
      </c>
      <c r="AN79" s="283">
        <v>3055</v>
      </c>
      <c r="AO79" s="283">
        <v>4335</v>
      </c>
      <c r="AP79" s="283">
        <v>-5774</v>
      </c>
      <c r="AQ79" s="283">
        <v>1620</v>
      </c>
      <c r="AR79" s="283">
        <v>-11856</v>
      </c>
      <c r="AS79" s="283">
        <v>-3659</v>
      </c>
      <c r="AT79" s="283">
        <v>-8092</v>
      </c>
      <c r="AU79" s="283">
        <v>976</v>
      </c>
      <c r="AV79" s="283">
        <v>-7216</v>
      </c>
      <c r="AW79" s="283">
        <v>1302</v>
      </c>
      <c r="AX79" s="283">
        <v>-3682</v>
      </c>
      <c r="AY79" s="283">
        <v>1305</v>
      </c>
      <c r="BA79" s="123"/>
      <c r="BB79" s="123"/>
    </row>
    <row r="80" spans="2:54">
      <c r="B80" s="281">
        <v>10239</v>
      </c>
      <c r="C80" s="281" t="s">
        <v>83</v>
      </c>
      <c r="D80" s="283">
        <v>0</v>
      </c>
      <c r="E80" s="283">
        <v>0</v>
      </c>
      <c r="F80" s="283">
        <v>0</v>
      </c>
      <c r="G80" s="283">
        <v>0</v>
      </c>
      <c r="H80" s="283">
        <v>0</v>
      </c>
      <c r="I80" s="283">
        <v>0</v>
      </c>
      <c r="J80" s="283">
        <v>0</v>
      </c>
      <c r="K80" s="283">
        <v>0</v>
      </c>
      <c r="L80" s="283">
        <v>0</v>
      </c>
      <c r="M80" s="283">
        <v>0</v>
      </c>
      <c r="N80" s="283">
        <v>0</v>
      </c>
      <c r="O80" s="283">
        <v>0</v>
      </c>
      <c r="P80" s="283">
        <v>0</v>
      </c>
      <c r="Q80" s="283">
        <v>0</v>
      </c>
      <c r="R80" s="283">
        <v>0</v>
      </c>
      <c r="S80" s="283">
        <v>0</v>
      </c>
      <c r="T80" s="283">
        <v>0</v>
      </c>
      <c r="U80" s="283">
        <v>0</v>
      </c>
      <c r="V80" s="283">
        <v>0</v>
      </c>
      <c r="W80" s="283">
        <v>0</v>
      </c>
      <c r="X80" s="283">
        <v>0</v>
      </c>
      <c r="Y80" s="283">
        <v>0</v>
      </c>
      <c r="Z80" s="283">
        <v>0</v>
      </c>
      <c r="AA80" s="283">
        <v>0</v>
      </c>
      <c r="AB80" s="283">
        <v>0</v>
      </c>
      <c r="AC80" s="283">
        <v>0</v>
      </c>
      <c r="AD80" s="283">
        <v>0</v>
      </c>
      <c r="AE80" s="283">
        <v>0</v>
      </c>
      <c r="AF80" s="283">
        <v>0</v>
      </c>
      <c r="AG80" s="283">
        <v>0</v>
      </c>
      <c r="AH80" s="283">
        <v>0</v>
      </c>
      <c r="AI80" s="283">
        <v>0</v>
      </c>
      <c r="AJ80" s="283">
        <v>0</v>
      </c>
      <c r="AK80" s="283">
        <v>0</v>
      </c>
      <c r="AL80" s="283">
        <v>0</v>
      </c>
      <c r="AM80" s="283">
        <v>0</v>
      </c>
      <c r="AN80" s="283">
        <v>0</v>
      </c>
      <c r="AO80" s="283">
        <v>0</v>
      </c>
      <c r="AP80" s="283">
        <v>0</v>
      </c>
      <c r="AQ80" s="283">
        <v>0</v>
      </c>
      <c r="AR80" s="283">
        <v>0</v>
      </c>
      <c r="AS80" s="283">
        <v>0</v>
      </c>
      <c r="AT80" s="283">
        <v>0</v>
      </c>
      <c r="AU80" s="283">
        <v>0</v>
      </c>
      <c r="AV80" s="283">
        <v>0</v>
      </c>
      <c r="AW80" s="283">
        <v>0</v>
      </c>
      <c r="AX80" s="283">
        <v>0</v>
      </c>
      <c r="AY80" s="283">
        <v>0</v>
      </c>
      <c r="BA80" s="123"/>
      <c r="BB80" s="123"/>
    </row>
    <row r="81" spans="2:54">
      <c r="B81" s="281">
        <v>10242</v>
      </c>
      <c r="C81" s="281" t="s">
        <v>84</v>
      </c>
      <c r="D81" s="283">
        <v>-1967</v>
      </c>
      <c r="E81" s="283">
        <v>-781</v>
      </c>
      <c r="F81" s="283">
        <v>-2870</v>
      </c>
      <c r="G81" s="283">
        <v>-1314</v>
      </c>
      <c r="H81" s="283">
        <v>-2149</v>
      </c>
      <c r="I81" s="283">
        <v>-841</v>
      </c>
      <c r="J81" s="283">
        <v>-1403</v>
      </c>
      <c r="K81" s="283">
        <v>-284</v>
      </c>
      <c r="L81" s="283">
        <v>-1369</v>
      </c>
      <c r="M81" s="283">
        <v>-382</v>
      </c>
      <c r="N81" s="283">
        <v>-2120</v>
      </c>
      <c r="O81" s="283">
        <v>-860</v>
      </c>
      <c r="P81" s="283">
        <v>-1494</v>
      </c>
      <c r="Q81" s="283">
        <v>-678</v>
      </c>
      <c r="R81" s="283">
        <v>-91</v>
      </c>
      <c r="S81" s="283">
        <v>1080</v>
      </c>
      <c r="T81" s="283">
        <v>1055</v>
      </c>
      <c r="U81" s="283">
        <v>1747</v>
      </c>
      <c r="V81" s="283">
        <v>3460</v>
      </c>
      <c r="W81" s="283">
        <v>4312</v>
      </c>
      <c r="X81" s="283">
        <v>2473</v>
      </c>
      <c r="Y81" s="283">
        <v>3001</v>
      </c>
      <c r="Z81" s="283">
        <v>230</v>
      </c>
      <c r="AA81" s="283">
        <v>1000</v>
      </c>
      <c r="AB81" s="283">
        <v>-1956</v>
      </c>
      <c r="AC81" s="283">
        <v>-774</v>
      </c>
      <c r="AD81" s="283">
        <v>-2861</v>
      </c>
      <c r="AE81" s="283">
        <v>-1307</v>
      </c>
      <c r="AF81" s="283">
        <v>-2139</v>
      </c>
      <c r="AG81" s="283">
        <v>-834</v>
      </c>
      <c r="AH81" s="283">
        <v>-1394</v>
      </c>
      <c r="AI81" s="283">
        <v>-277</v>
      </c>
      <c r="AJ81" s="283">
        <v>-1278</v>
      </c>
      <c r="AK81" s="283">
        <v>-353</v>
      </c>
      <c r="AL81" s="283">
        <v>-2111</v>
      </c>
      <c r="AM81" s="283">
        <v>-853</v>
      </c>
      <c r="AN81" s="283">
        <v>-1484</v>
      </c>
      <c r="AO81" s="283">
        <v>-671</v>
      </c>
      <c r="AP81" s="283">
        <v>-46</v>
      </c>
      <c r="AQ81" s="283">
        <v>1115</v>
      </c>
      <c r="AR81" s="283">
        <v>1102</v>
      </c>
      <c r="AS81" s="283">
        <v>1780</v>
      </c>
      <c r="AT81" s="283">
        <v>3505</v>
      </c>
      <c r="AU81" s="283">
        <v>4347</v>
      </c>
      <c r="AV81" s="283">
        <v>2519</v>
      </c>
      <c r="AW81" s="283">
        <v>3034</v>
      </c>
      <c r="AX81" s="283">
        <v>275</v>
      </c>
      <c r="AY81" s="283">
        <v>1034</v>
      </c>
      <c r="BA81" s="123"/>
      <c r="BB81" s="123"/>
    </row>
    <row r="82" spans="2:54">
      <c r="B82" s="281">
        <v>10244</v>
      </c>
      <c r="C82" s="281" t="s">
        <v>85</v>
      </c>
      <c r="D82" s="283">
        <v>-4476</v>
      </c>
      <c r="E82" s="283">
        <v>1094</v>
      </c>
      <c r="F82" s="283">
        <v>-3219</v>
      </c>
      <c r="G82" s="283">
        <v>4874</v>
      </c>
      <c r="H82" s="283">
        <v>14784</v>
      </c>
      <c r="I82" s="283">
        <v>16939</v>
      </c>
      <c r="J82" s="283">
        <v>16775</v>
      </c>
      <c r="K82" s="283">
        <v>18278</v>
      </c>
      <c r="L82" s="283">
        <v>19281</v>
      </c>
      <c r="M82" s="283">
        <v>19115</v>
      </c>
      <c r="N82" s="283">
        <v>7361</v>
      </c>
      <c r="O82" s="283">
        <v>9580</v>
      </c>
      <c r="P82" s="283">
        <v>3179</v>
      </c>
      <c r="Q82" s="283">
        <v>5389</v>
      </c>
      <c r="R82" s="283">
        <v>-17969</v>
      </c>
      <c r="S82" s="283">
        <v>-6221</v>
      </c>
      <c r="T82" s="283">
        <v>-27651</v>
      </c>
      <c r="U82" s="283">
        <v>-14372</v>
      </c>
      <c r="V82" s="283">
        <v>-19707</v>
      </c>
      <c r="W82" s="283">
        <v>-4755</v>
      </c>
      <c r="X82" s="283">
        <v>-17146</v>
      </c>
      <c r="Y82" s="283">
        <v>-5783</v>
      </c>
      <c r="Z82" s="283">
        <v>-11214</v>
      </c>
      <c r="AA82" s="283">
        <v>-4135</v>
      </c>
      <c r="AB82" s="283">
        <v>-4146</v>
      </c>
      <c r="AC82" s="283">
        <v>1254</v>
      </c>
      <c r="AD82" s="283">
        <v>-2672</v>
      </c>
      <c r="AE82" s="283">
        <v>4859</v>
      </c>
      <c r="AF82" s="283">
        <v>14882</v>
      </c>
      <c r="AG82" s="283">
        <v>17331</v>
      </c>
      <c r="AH82" s="283">
        <v>17294</v>
      </c>
      <c r="AI82" s="283">
        <v>18249</v>
      </c>
      <c r="AJ82" s="283">
        <v>20356</v>
      </c>
      <c r="AK82" s="283">
        <v>19526</v>
      </c>
      <c r="AL82" s="283">
        <v>7466</v>
      </c>
      <c r="AM82" s="283">
        <v>9966</v>
      </c>
      <c r="AN82" s="283">
        <v>3508</v>
      </c>
      <c r="AO82" s="283">
        <v>5593</v>
      </c>
      <c r="AP82" s="283">
        <v>-18444</v>
      </c>
      <c r="AQ82" s="283">
        <v>-6666</v>
      </c>
      <c r="AR82" s="283">
        <v>-28135</v>
      </c>
      <c r="AS82" s="283">
        <v>-14764</v>
      </c>
      <c r="AT82" s="283">
        <v>-20200</v>
      </c>
      <c r="AU82" s="283">
        <v>-5181</v>
      </c>
      <c r="AV82" s="283">
        <v>-17627</v>
      </c>
      <c r="AW82" s="283">
        <v>-6220</v>
      </c>
      <c r="AX82" s="283">
        <v>-11682</v>
      </c>
      <c r="AY82" s="283">
        <v>-4543</v>
      </c>
      <c r="BA82" s="123"/>
      <c r="BB82" s="123"/>
    </row>
    <row r="83" spans="2:54">
      <c r="B83" s="281">
        <v>10246</v>
      </c>
      <c r="C83" s="281" t="s">
        <v>86</v>
      </c>
      <c r="D83" s="283">
        <v>-6</v>
      </c>
      <c r="E83" s="283">
        <v>265</v>
      </c>
      <c r="F83" s="283">
        <v>20</v>
      </c>
      <c r="G83" s="283">
        <v>463</v>
      </c>
      <c r="H83" s="283">
        <v>718</v>
      </c>
      <c r="I83" s="283">
        <v>1165</v>
      </c>
      <c r="J83" s="283">
        <v>1252</v>
      </c>
      <c r="K83" s="283">
        <v>1241</v>
      </c>
      <c r="L83" s="283">
        <v>1319</v>
      </c>
      <c r="M83" s="283">
        <v>1083</v>
      </c>
      <c r="N83" s="283">
        <v>100</v>
      </c>
      <c r="O83" s="283">
        <v>582</v>
      </c>
      <c r="P83" s="283">
        <v>509</v>
      </c>
      <c r="Q83" s="283">
        <v>487</v>
      </c>
      <c r="R83" s="283">
        <v>-1601</v>
      </c>
      <c r="S83" s="283">
        <v>-261</v>
      </c>
      <c r="T83" s="283">
        <v>-2689</v>
      </c>
      <c r="U83" s="283">
        <v>-1240</v>
      </c>
      <c r="V83" s="283">
        <v>-1661</v>
      </c>
      <c r="W83" s="283">
        <v>-146</v>
      </c>
      <c r="X83" s="283">
        <v>-1506</v>
      </c>
      <c r="Y83" s="283">
        <v>-133</v>
      </c>
      <c r="Z83" s="283">
        <v>-759</v>
      </c>
      <c r="AA83" s="283">
        <v>-79</v>
      </c>
      <c r="AB83" s="283">
        <v>-17</v>
      </c>
      <c r="AC83" s="283">
        <v>260</v>
      </c>
      <c r="AD83" s="283">
        <v>-202</v>
      </c>
      <c r="AE83" s="283">
        <v>658</v>
      </c>
      <c r="AF83" s="283">
        <v>933</v>
      </c>
      <c r="AG83" s="283">
        <v>924</v>
      </c>
      <c r="AH83" s="283">
        <v>1014</v>
      </c>
      <c r="AI83" s="283">
        <v>1461</v>
      </c>
      <c r="AJ83" s="283">
        <v>1259</v>
      </c>
      <c r="AK83" s="283">
        <v>1073</v>
      </c>
      <c r="AL83" s="283">
        <v>265</v>
      </c>
      <c r="AM83" s="283">
        <v>399</v>
      </c>
      <c r="AN83" s="283">
        <v>502</v>
      </c>
      <c r="AO83" s="283">
        <v>484</v>
      </c>
      <c r="AP83" s="283">
        <v>-1618</v>
      </c>
      <c r="AQ83" s="283">
        <v>-266</v>
      </c>
      <c r="AR83" s="283">
        <v>-2713</v>
      </c>
      <c r="AS83" s="283">
        <v>-1252</v>
      </c>
      <c r="AT83" s="283">
        <v>-1679</v>
      </c>
      <c r="AU83" s="283">
        <v>-150</v>
      </c>
      <c r="AV83" s="283">
        <v>-1523</v>
      </c>
      <c r="AW83" s="283">
        <v>-137</v>
      </c>
      <c r="AX83" s="283">
        <v>-771</v>
      </c>
      <c r="AY83" s="283">
        <v>-83</v>
      </c>
      <c r="BA83" s="123"/>
      <c r="BB83" s="123"/>
    </row>
    <row r="84" spans="2:54">
      <c r="B84" s="281">
        <v>10247</v>
      </c>
      <c r="C84" s="281" t="s">
        <v>87</v>
      </c>
      <c r="D84" s="283">
        <v>-1119</v>
      </c>
      <c r="E84" s="283">
        <v>1237</v>
      </c>
      <c r="F84" s="283">
        <v>-2139</v>
      </c>
      <c r="G84" s="283">
        <v>2106</v>
      </c>
      <c r="H84" s="283">
        <v>4551</v>
      </c>
      <c r="I84" s="283">
        <v>5407</v>
      </c>
      <c r="J84" s="283">
        <v>11509</v>
      </c>
      <c r="K84" s="283">
        <v>11229</v>
      </c>
      <c r="L84" s="283">
        <v>11181</v>
      </c>
      <c r="M84" s="283">
        <v>8223</v>
      </c>
      <c r="N84" s="283">
        <v>3473</v>
      </c>
      <c r="O84" s="283">
        <v>3993</v>
      </c>
      <c r="P84" s="283">
        <v>6162</v>
      </c>
      <c r="Q84" s="283">
        <v>4820</v>
      </c>
      <c r="R84" s="283">
        <v>-12404</v>
      </c>
      <c r="S84" s="283">
        <v>-3679</v>
      </c>
      <c r="T84" s="283">
        <v>-24412</v>
      </c>
      <c r="U84" s="283">
        <v>-12089</v>
      </c>
      <c r="V84" s="283">
        <v>-16442</v>
      </c>
      <c r="W84" s="283">
        <v>-2756</v>
      </c>
      <c r="X84" s="283">
        <v>-13975</v>
      </c>
      <c r="Y84" s="283">
        <v>-3486</v>
      </c>
      <c r="Z84" s="283">
        <v>-7806</v>
      </c>
      <c r="AA84" s="283">
        <v>-2553</v>
      </c>
      <c r="AB84" s="283">
        <v>-606</v>
      </c>
      <c r="AC84" s="283">
        <v>1539</v>
      </c>
      <c r="AD84" s="283">
        <v>-1636</v>
      </c>
      <c r="AE84" s="283">
        <v>2435</v>
      </c>
      <c r="AF84" s="283">
        <v>5057</v>
      </c>
      <c r="AG84" s="283">
        <v>5769</v>
      </c>
      <c r="AH84" s="283">
        <v>12031</v>
      </c>
      <c r="AI84" s="283">
        <v>11569</v>
      </c>
      <c r="AJ84" s="283">
        <v>11936</v>
      </c>
      <c r="AK84" s="283">
        <v>8535</v>
      </c>
      <c r="AL84" s="283">
        <v>3989</v>
      </c>
      <c r="AM84" s="283">
        <v>4327</v>
      </c>
      <c r="AN84" s="283">
        <v>6655</v>
      </c>
      <c r="AO84" s="283">
        <v>5127</v>
      </c>
      <c r="AP84" s="283">
        <v>-12008</v>
      </c>
      <c r="AQ84" s="283">
        <v>-3422</v>
      </c>
      <c r="AR84" s="283">
        <v>-24012</v>
      </c>
      <c r="AS84" s="283">
        <v>-11857</v>
      </c>
      <c r="AT84" s="283">
        <v>-16064</v>
      </c>
      <c r="AU84" s="283">
        <v>-2521</v>
      </c>
      <c r="AV84" s="283">
        <v>-13597</v>
      </c>
      <c r="AW84" s="283">
        <v>-3272</v>
      </c>
      <c r="AX84" s="283">
        <v>-7468</v>
      </c>
      <c r="AY84" s="283">
        <v>-2342</v>
      </c>
      <c r="BA84" s="123"/>
      <c r="BB84" s="123"/>
    </row>
    <row r="85" spans="2:54">
      <c r="B85" s="281">
        <v>10256</v>
      </c>
      <c r="C85" s="281" t="s">
        <v>88</v>
      </c>
      <c r="D85" s="283">
        <v>-1531</v>
      </c>
      <c r="E85" s="283">
        <v>961</v>
      </c>
      <c r="F85" s="283">
        <v>-3073</v>
      </c>
      <c r="G85" s="283">
        <v>1385</v>
      </c>
      <c r="H85" s="283">
        <v>3109</v>
      </c>
      <c r="I85" s="283">
        <v>4962</v>
      </c>
      <c r="J85" s="283">
        <v>4568</v>
      </c>
      <c r="K85" s="283">
        <v>6587</v>
      </c>
      <c r="L85" s="283">
        <v>4135</v>
      </c>
      <c r="M85" s="283">
        <v>4407</v>
      </c>
      <c r="N85" s="283">
        <v>884</v>
      </c>
      <c r="O85" s="283">
        <v>2670</v>
      </c>
      <c r="P85" s="283">
        <v>2853</v>
      </c>
      <c r="Q85" s="283">
        <v>3077</v>
      </c>
      <c r="R85" s="283">
        <v>-1669</v>
      </c>
      <c r="S85" s="283">
        <v>2067</v>
      </c>
      <c r="T85" s="283">
        <v>-8736</v>
      </c>
      <c r="U85" s="283">
        <v>-3217</v>
      </c>
      <c r="V85" s="283">
        <v>-2343</v>
      </c>
      <c r="W85" s="283">
        <v>4187</v>
      </c>
      <c r="X85" s="283">
        <v>-1324</v>
      </c>
      <c r="Y85" s="283">
        <v>2916</v>
      </c>
      <c r="Z85" s="283">
        <v>-2036</v>
      </c>
      <c r="AA85" s="283">
        <v>1022</v>
      </c>
      <c r="AB85" s="283">
        <v>-1565</v>
      </c>
      <c r="AC85" s="283">
        <v>947</v>
      </c>
      <c r="AD85" s="283">
        <v>-3135</v>
      </c>
      <c r="AE85" s="283">
        <v>1336</v>
      </c>
      <c r="AF85" s="283">
        <v>3014</v>
      </c>
      <c r="AG85" s="283">
        <v>4917</v>
      </c>
      <c r="AH85" s="283">
        <v>4503</v>
      </c>
      <c r="AI85" s="283">
        <v>6536</v>
      </c>
      <c r="AJ85" s="283">
        <v>4257</v>
      </c>
      <c r="AK85" s="283">
        <v>4363</v>
      </c>
      <c r="AL85" s="283">
        <v>801</v>
      </c>
      <c r="AM85" s="283">
        <v>2636</v>
      </c>
      <c r="AN85" s="283">
        <v>2793</v>
      </c>
      <c r="AO85" s="283">
        <v>3042</v>
      </c>
      <c r="AP85" s="283">
        <v>-1752</v>
      </c>
      <c r="AQ85" s="283">
        <v>2022</v>
      </c>
      <c r="AR85" s="283">
        <v>-8843</v>
      </c>
      <c r="AS85" s="283">
        <v>-3275</v>
      </c>
      <c r="AT85" s="283">
        <v>-2432</v>
      </c>
      <c r="AU85" s="283">
        <v>4147</v>
      </c>
      <c r="AV85" s="283">
        <v>-1410</v>
      </c>
      <c r="AW85" s="283">
        <v>2877</v>
      </c>
      <c r="AX85" s="283">
        <v>-2108</v>
      </c>
      <c r="AY85" s="283">
        <v>981</v>
      </c>
      <c r="BA85" s="123"/>
      <c r="BB85" s="123"/>
    </row>
    <row r="86" spans="2:54">
      <c r="B86" s="281">
        <v>10258</v>
      </c>
      <c r="C86" s="281" t="s">
        <v>89</v>
      </c>
      <c r="D86" s="283">
        <v>-3060</v>
      </c>
      <c r="E86" s="283">
        <v>-999</v>
      </c>
      <c r="F86" s="283">
        <v>-1125</v>
      </c>
      <c r="G86" s="283">
        <v>1985</v>
      </c>
      <c r="H86" s="283">
        <v>5492</v>
      </c>
      <c r="I86" s="283">
        <v>5839</v>
      </c>
      <c r="J86" s="283">
        <v>8590</v>
      </c>
      <c r="K86" s="283">
        <v>8660</v>
      </c>
      <c r="L86" s="283">
        <v>5979</v>
      </c>
      <c r="M86" s="283">
        <v>5926</v>
      </c>
      <c r="N86" s="283">
        <v>1713</v>
      </c>
      <c r="O86" s="283">
        <v>2962</v>
      </c>
      <c r="P86" s="283">
        <v>-821</v>
      </c>
      <c r="Q86" s="283">
        <v>210</v>
      </c>
      <c r="R86" s="283">
        <v>-7288</v>
      </c>
      <c r="S86" s="283">
        <v>-2734</v>
      </c>
      <c r="T86" s="283">
        <v>-11689</v>
      </c>
      <c r="U86" s="283">
        <v>-5797</v>
      </c>
      <c r="V86" s="283">
        <v>-2784</v>
      </c>
      <c r="W86" s="283">
        <v>1767</v>
      </c>
      <c r="X86" s="283">
        <v>-2425</v>
      </c>
      <c r="Y86" s="283">
        <v>668</v>
      </c>
      <c r="Z86" s="283">
        <v>-4333</v>
      </c>
      <c r="AA86" s="283">
        <v>-1151</v>
      </c>
      <c r="AB86" s="283">
        <v>-3002</v>
      </c>
      <c r="AC86" s="283">
        <v>-965</v>
      </c>
      <c r="AD86" s="283">
        <v>-930</v>
      </c>
      <c r="AE86" s="283">
        <v>1910</v>
      </c>
      <c r="AF86" s="283">
        <v>5455</v>
      </c>
      <c r="AG86" s="283">
        <v>6028</v>
      </c>
      <c r="AH86" s="283">
        <v>8804</v>
      </c>
      <c r="AI86" s="283">
        <v>8600</v>
      </c>
      <c r="AJ86" s="283">
        <v>6780</v>
      </c>
      <c r="AK86" s="283">
        <v>6337</v>
      </c>
      <c r="AL86" s="283">
        <v>1653</v>
      </c>
      <c r="AM86" s="283">
        <v>3133</v>
      </c>
      <c r="AN86" s="283">
        <v>-765</v>
      </c>
      <c r="AO86" s="283">
        <v>247</v>
      </c>
      <c r="AP86" s="283">
        <v>-7237</v>
      </c>
      <c r="AQ86" s="283">
        <v>-2697</v>
      </c>
      <c r="AR86" s="283">
        <v>-11636</v>
      </c>
      <c r="AS86" s="283">
        <v>-5764</v>
      </c>
      <c r="AT86" s="283">
        <v>-2715</v>
      </c>
      <c r="AU86" s="283">
        <v>1811</v>
      </c>
      <c r="AV86" s="283">
        <v>-2359</v>
      </c>
      <c r="AW86" s="283">
        <v>709</v>
      </c>
      <c r="AX86" s="283">
        <v>-4283</v>
      </c>
      <c r="AY86" s="283">
        <v>-1116</v>
      </c>
      <c r="BA86" s="123"/>
      <c r="BB86" s="123"/>
    </row>
    <row r="87" spans="2:54">
      <c r="B87" s="281">
        <v>10259</v>
      </c>
      <c r="C87" s="281" t="s">
        <v>90</v>
      </c>
      <c r="D87" s="283">
        <v>-537</v>
      </c>
      <c r="E87" s="283">
        <v>319</v>
      </c>
      <c r="F87" s="283">
        <v>-1503</v>
      </c>
      <c r="G87" s="283">
        <v>511</v>
      </c>
      <c r="H87" s="283">
        <v>1832</v>
      </c>
      <c r="I87" s="283">
        <v>2398</v>
      </c>
      <c r="J87" s="283">
        <v>3750</v>
      </c>
      <c r="K87" s="283">
        <v>3994</v>
      </c>
      <c r="L87" s="283">
        <v>2623</v>
      </c>
      <c r="M87" s="283">
        <v>2609</v>
      </c>
      <c r="N87" s="283">
        <v>608</v>
      </c>
      <c r="O87" s="283">
        <v>1365</v>
      </c>
      <c r="P87" s="283">
        <v>1048</v>
      </c>
      <c r="Q87" s="283">
        <v>1034</v>
      </c>
      <c r="R87" s="283">
        <v>-3126</v>
      </c>
      <c r="S87" s="283">
        <v>-296</v>
      </c>
      <c r="T87" s="283">
        <v>-5684</v>
      </c>
      <c r="U87" s="283">
        <v>-2350</v>
      </c>
      <c r="V87" s="283">
        <v>-1402</v>
      </c>
      <c r="W87" s="283">
        <v>1633</v>
      </c>
      <c r="X87" s="283">
        <v>-1401</v>
      </c>
      <c r="Y87" s="283">
        <v>828</v>
      </c>
      <c r="Z87" s="283">
        <v>-1760</v>
      </c>
      <c r="AA87" s="283">
        <v>16</v>
      </c>
      <c r="AB87" s="283">
        <v>-484</v>
      </c>
      <c r="AC87" s="283">
        <v>350</v>
      </c>
      <c r="AD87" s="283">
        <v>-1443</v>
      </c>
      <c r="AE87" s="283">
        <v>554</v>
      </c>
      <c r="AF87" s="283">
        <v>1907</v>
      </c>
      <c r="AG87" s="283">
        <v>2449</v>
      </c>
      <c r="AH87" s="283">
        <v>3824</v>
      </c>
      <c r="AI87" s="283">
        <v>4046</v>
      </c>
      <c r="AJ87" s="283">
        <v>3116</v>
      </c>
      <c r="AK87" s="283">
        <v>2866</v>
      </c>
      <c r="AL87" s="283">
        <v>668</v>
      </c>
      <c r="AM87" s="283">
        <v>1404</v>
      </c>
      <c r="AN87" s="283">
        <v>1099</v>
      </c>
      <c r="AO87" s="283">
        <v>1066</v>
      </c>
      <c r="AP87" s="283">
        <v>-3076</v>
      </c>
      <c r="AQ87" s="283">
        <v>-261</v>
      </c>
      <c r="AR87" s="283">
        <v>-5627</v>
      </c>
      <c r="AS87" s="283">
        <v>-2316</v>
      </c>
      <c r="AT87" s="283">
        <v>-1337</v>
      </c>
      <c r="AU87" s="283">
        <v>1674</v>
      </c>
      <c r="AV87" s="283">
        <v>-1339</v>
      </c>
      <c r="AW87" s="283">
        <v>865</v>
      </c>
      <c r="AX87" s="283">
        <v>-1712</v>
      </c>
      <c r="AY87" s="283">
        <v>48</v>
      </c>
      <c r="BA87" s="123"/>
      <c r="BB87" s="123"/>
    </row>
    <row r="88" spans="2:54">
      <c r="B88" s="281">
        <v>10260</v>
      </c>
      <c r="C88" s="281" t="s">
        <v>91</v>
      </c>
      <c r="D88" s="283">
        <v>-662</v>
      </c>
      <c r="E88" s="283">
        <v>-60</v>
      </c>
      <c r="F88" s="283">
        <v>-2219</v>
      </c>
      <c r="G88" s="283">
        <v>-422</v>
      </c>
      <c r="H88" s="283">
        <v>463</v>
      </c>
      <c r="I88" s="283">
        <v>1009</v>
      </c>
      <c r="J88" s="283">
        <v>2715</v>
      </c>
      <c r="K88" s="283">
        <v>2731</v>
      </c>
      <c r="L88" s="283">
        <v>1793</v>
      </c>
      <c r="M88" s="283">
        <v>1633</v>
      </c>
      <c r="N88" s="283">
        <v>291</v>
      </c>
      <c r="O88" s="283">
        <v>639</v>
      </c>
      <c r="P88" s="283">
        <v>910</v>
      </c>
      <c r="Q88" s="283">
        <v>531</v>
      </c>
      <c r="R88" s="283">
        <v>-3195</v>
      </c>
      <c r="S88" s="283">
        <v>-997</v>
      </c>
      <c r="T88" s="283">
        <v>-5874</v>
      </c>
      <c r="U88" s="283">
        <v>-2931</v>
      </c>
      <c r="V88" s="283">
        <v>-1444</v>
      </c>
      <c r="W88" s="283">
        <v>989</v>
      </c>
      <c r="X88" s="283">
        <v>-886</v>
      </c>
      <c r="Y88" s="283">
        <v>555</v>
      </c>
      <c r="Z88" s="283">
        <v>-1451</v>
      </c>
      <c r="AA88" s="283">
        <v>-239</v>
      </c>
      <c r="AB88" s="283">
        <v>-700</v>
      </c>
      <c r="AC88" s="283">
        <v>-94</v>
      </c>
      <c r="AD88" s="283">
        <v>-2216</v>
      </c>
      <c r="AE88" s="283">
        <v>-479</v>
      </c>
      <c r="AF88" s="283">
        <v>416</v>
      </c>
      <c r="AG88" s="283">
        <v>1012</v>
      </c>
      <c r="AH88" s="283">
        <v>2726</v>
      </c>
      <c r="AI88" s="283">
        <v>2679</v>
      </c>
      <c r="AJ88" s="283">
        <v>2217</v>
      </c>
      <c r="AK88" s="283">
        <v>1834</v>
      </c>
      <c r="AL88" s="283">
        <v>233</v>
      </c>
      <c r="AM88" s="283">
        <v>638</v>
      </c>
      <c r="AN88" s="283">
        <v>875</v>
      </c>
      <c r="AO88" s="283">
        <v>499</v>
      </c>
      <c r="AP88" s="283">
        <v>-3228</v>
      </c>
      <c r="AQ88" s="283">
        <v>-1036</v>
      </c>
      <c r="AR88" s="283">
        <v>-5907</v>
      </c>
      <c r="AS88" s="283">
        <v>-2962</v>
      </c>
      <c r="AT88" s="283">
        <v>-1470</v>
      </c>
      <c r="AU88" s="283">
        <v>958</v>
      </c>
      <c r="AV88" s="283">
        <v>-911</v>
      </c>
      <c r="AW88" s="283">
        <v>522</v>
      </c>
      <c r="AX88" s="283">
        <v>-1485</v>
      </c>
      <c r="AY88" s="283">
        <v>-273</v>
      </c>
      <c r="BA88" s="123"/>
      <c r="BB88" s="123"/>
    </row>
    <row r="89" spans="2:54">
      <c r="B89" s="281">
        <v>10273</v>
      </c>
      <c r="C89" s="281" t="s">
        <v>92</v>
      </c>
      <c r="D89" s="283">
        <v>-443</v>
      </c>
      <c r="E89" s="283">
        <v>-126</v>
      </c>
      <c r="F89" s="283">
        <v>-1495</v>
      </c>
      <c r="G89" s="283">
        <v>-577</v>
      </c>
      <c r="H89" s="283">
        <v>-1013</v>
      </c>
      <c r="I89" s="283">
        <v>-423</v>
      </c>
      <c r="J89" s="283">
        <v>-550</v>
      </c>
      <c r="K89" s="283">
        <v>-82</v>
      </c>
      <c r="L89" s="283">
        <v>-810</v>
      </c>
      <c r="M89" s="283">
        <v>-269</v>
      </c>
      <c r="N89" s="283">
        <v>-1382</v>
      </c>
      <c r="O89" s="283">
        <v>-575</v>
      </c>
      <c r="P89" s="283">
        <v>-476</v>
      </c>
      <c r="Q89" s="283">
        <v>-173</v>
      </c>
      <c r="R89" s="283">
        <v>-215</v>
      </c>
      <c r="S89" s="283">
        <v>106</v>
      </c>
      <c r="T89" s="283">
        <v>-257</v>
      </c>
      <c r="U89" s="283">
        <v>335</v>
      </c>
      <c r="V89" s="283">
        <v>1255</v>
      </c>
      <c r="W89" s="283">
        <v>1629</v>
      </c>
      <c r="X89" s="283">
        <v>1514</v>
      </c>
      <c r="Y89" s="283">
        <v>1389</v>
      </c>
      <c r="Z89" s="283">
        <v>619</v>
      </c>
      <c r="AA89" s="283">
        <v>936</v>
      </c>
      <c r="AB89" s="283">
        <v>-481</v>
      </c>
      <c r="AC89" s="283">
        <v>-139</v>
      </c>
      <c r="AD89" s="283">
        <v>-1590</v>
      </c>
      <c r="AE89" s="283">
        <v>-727</v>
      </c>
      <c r="AF89" s="283">
        <v>-1190</v>
      </c>
      <c r="AG89" s="283">
        <v>-499</v>
      </c>
      <c r="AH89" s="283">
        <v>-651</v>
      </c>
      <c r="AI89" s="283">
        <v>-235</v>
      </c>
      <c r="AJ89" s="283">
        <v>-889</v>
      </c>
      <c r="AK89" s="283">
        <v>-359</v>
      </c>
      <c r="AL89" s="283">
        <v>-1565</v>
      </c>
      <c r="AM89" s="283">
        <v>-646</v>
      </c>
      <c r="AN89" s="283">
        <v>-494</v>
      </c>
      <c r="AO89" s="283">
        <v>-171</v>
      </c>
      <c r="AP89" s="283">
        <v>-100</v>
      </c>
      <c r="AQ89" s="283">
        <v>174</v>
      </c>
      <c r="AR89" s="283">
        <v>-114</v>
      </c>
      <c r="AS89" s="283">
        <v>436</v>
      </c>
      <c r="AT89" s="283">
        <v>1431</v>
      </c>
      <c r="AU89" s="283">
        <v>1772</v>
      </c>
      <c r="AV89" s="283">
        <v>1636</v>
      </c>
      <c r="AW89" s="283">
        <v>1484</v>
      </c>
      <c r="AX89" s="283">
        <v>708</v>
      </c>
      <c r="AY89" s="283">
        <v>992</v>
      </c>
      <c r="BA89" s="123"/>
      <c r="BB89" s="123"/>
    </row>
    <row r="90" spans="2:54">
      <c r="B90" s="281">
        <v>10278</v>
      </c>
      <c r="C90" s="281" t="s">
        <v>93</v>
      </c>
      <c r="D90" s="283">
        <v>0</v>
      </c>
      <c r="E90" s="283">
        <v>0</v>
      </c>
      <c r="F90" s="283">
        <v>0</v>
      </c>
      <c r="G90" s="283">
        <v>0</v>
      </c>
      <c r="H90" s="283">
        <v>0</v>
      </c>
      <c r="I90" s="283">
        <v>0</v>
      </c>
      <c r="J90" s="283">
        <v>0</v>
      </c>
      <c r="K90" s="283">
        <v>0</v>
      </c>
      <c r="L90" s="283">
        <v>0</v>
      </c>
      <c r="M90" s="283">
        <v>0</v>
      </c>
      <c r="N90" s="283">
        <v>0</v>
      </c>
      <c r="O90" s="283">
        <v>0</v>
      </c>
      <c r="P90" s="283">
        <v>0</v>
      </c>
      <c r="Q90" s="283">
        <v>0</v>
      </c>
      <c r="R90" s="283">
        <v>0</v>
      </c>
      <c r="S90" s="283">
        <v>0</v>
      </c>
      <c r="T90" s="283">
        <v>0</v>
      </c>
      <c r="U90" s="283">
        <v>0</v>
      </c>
      <c r="V90" s="283">
        <v>0</v>
      </c>
      <c r="W90" s="283">
        <v>0</v>
      </c>
      <c r="X90" s="283">
        <v>0</v>
      </c>
      <c r="Y90" s="283">
        <v>0</v>
      </c>
      <c r="Z90" s="283">
        <v>0</v>
      </c>
      <c r="AA90" s="283">
        <v>0</v>
      </c>
      <c r="AB90" s="283">
        <v>0</v>
      </c>
      <c r="AC90" s="283">
        <v>0</v>
      </c>
      <c r="AD90" s="283">
        <v>0</v>
      </c>
      <c r="AE90" s="283">
        <v>0</v>
      </c>
      <c r="AF90" s="283">
        <v>0</v>
      </c>
      <c r="AG90" s="283">
        <v>0</v>
      </c>
      <c r="AH90" s="283">
        <v>0</v>
      </c>
      <c r="AI90" s="283">
        <v>0</v>
      </c>
      <c r="AJ90" s="283">
        <v>0</v>
      </c>
      <c r="AK90" s="283">
        <v>0</v>
      </c>
      <c r="AL90" s="283">
        <v>0</v>
      </c>
      <c r="AM90" s="283">
        <v>0</v>
      </c>
      <c r="AN90" s="283">
        <v>0</v>
      </c>
      <c r="AO90" s="283">
        <v>0</v>
      </c>
      <c r="AP90" s="283">
        <v>0</v>
      </c>
      <c r="AQ90" s="283">
        <v>0</v>
      </c>
      <c r="AR90" s="283">
        <v>0</v>
      </c>
      <c r="AS90" s="283">
        <v>0</v>
      </c>
      <c r="AT90" s="283">
        <v>0</v>
      </c>
      <c r="AU90" s="283">
        <v>0</v>
      </c>
      <c r="AV90" s="283">
        <v>0</v>
      </c>
      <c r="AW90" s="283">
        <v>0</v>
      </c>
      <c r="AX90" s="283">
        <v>0</v>
      </c>
      <c r="AY90" s="283">
        <v>0</v>
      </c>
      <c r="BA90" s="123"/>
      <c r="BB90" s="123"/>
    </row>
    <row r="91" spans="2:54">
      <c r="B91" s="281">
        <v>10279</v>
      </c>
      <c r="C91" s="281" t="s">
        <v>94</v>
      </c>
      <c r="D91" s="283">
        <v>552</v>
      </c>
      <c r="E91" s="283">
        <v>2620</v>
      </c>
      <c r="F91" s="283">
        <v>-4003</v>
      </c>
      <c r="G91" s="283">
        <v>1002</v>
      </c>
      <c r="H91" s="283">
        <v>964</v>
      </c>
      <c r="I91" s="283">
        <v>5594</v>
      </c>
      <c r="J91" s="283">
        <v>7011</v>
      </c>
      <c r="K91" s="283">
        <v>7989</v>
      </c>
      <c r="L91" s="283">
        <v>5991</v>
      </c>
      <c r="M91" s="283">
        <v>5820</v>
      </c>
      <c r="N91" s="283">
        <v>1154</v>
      </c>
      <c r="O91" s="283">
        <v>4540</v>
      </c>
      <c r="P91" s="283">
        <v>6240</v>
      </c>
      <c r="Q91" s="283">
        <v>5293</v>
      </c>
      <c r="R91" s="283">
        <v>-4036</v>
      </c>
      <c r="S91" s="283">
        <v>3012</v>
      </c>
      <c r="T91" s="283">
        <v>-11277</v>
      </c>
      <c r="U91" s="283">
        <v>-3656</v>
      </c>
      <c r="V91" s="283">
        <v>-1185</v>
      </c>
      <c r="W91" s="283">
        <v>5851</v>
      </c>
      <c r="X91" s="283">
        <v>-663</v>
      </c>
      <c r="Y91" s="283">
        <v>5955</v>
      </c>
      <c r="Z91" s="283">
        <v>1180</v>
      </c>
      <c r="AA91" s="283">
        <v>4096</v>
      </c>
      <c r="AB91" s="283">
        <v>565</v>
      </c>
      <c r="AC91" s="283">
        <v>2560</v>
      </c>
      <c r="AD91" s="283">
        <v>-5109</v>
      </c>
      <c r="AE91" s="283">
        <v>2074</v>
      </c>
      <c r="AF91" s="283">
        <v>2308</v>
      </c>
      <c r="AG91" s="283">
        <v>4230</v>
      </c>
      <c r="AH91" s="283">
        <v>5966</v>
      </c>
      <c r="AI91" s="283">
        <v>9172</v>
      </c>
      <c r="AJ91" s="283">
        <v>6027</v>
      </c>
      <c r="AK91" s="283">
        <v>5883</v>
      </c>
      <c r="AL91" s="283">
        <v>2152</v>
      </c>
      <c r="AM91" s="283">
        <v>3514</v>
      </c>
      <c r="AN91" s="283">
        <v>6206</v>
      </c>
      <c r="AO91" s="283">
        <v>5245</v>
      </c>
      <c r="AP91" s="283">
        <v>-3942</v>
      </c>
      <c r="AQ91" s="283">
        <v>2772</v>
      </c>
      <c r="AR91" s="283">
        <v>-11444</v>
      </c>
      <c r="AS91" s="283">
        <v>-3664</v>
      </c>
      <c r="AT91" s="283">
        <v>-1235</v>
      </c>
      <c r="AU91" s="283">
        <v>5719</v>
      </c>
      <c r="AV91" s="283">
        <v>-708</v>
      </c>
      <c r="AW91" s="283">
        <v>5771</v>
      </c>
      <c r="AX91" s="283">
        <v>1089</v>
      </c>
      <c r="AY91" s="283">
        <v>3894</v>
      </c>
      <c r="BA91" s="123"/>
      <c r="BB91" s="123"/>
    </row>
    <row r="92" spans="2:54">
      <c r="B92" s="281">
        <v>10284</v>
      </c>
      <c r="C92" s="281" t="s">
        <v>95</v>
      </c>
      <c r="D92" s="283">
        <v>-134</v>
      </c>
      <c r="E92" s="283">
        <v>274</v>
      </c>
      <c r="F92" s="283">
        <v>152</v>
      </c>
      <c r="G92" s="283">
        <v>685</v>
      </c>
      <c r="H92" s="283">
        <v>701</v>
      </c>
      <c r="I92" s="283">
        <v>1273</v>
      </c>
      <c r="J92" s="283">
        <v>1890</v>
      </c>
      <c r="K92" s="283">
        <v>1774</v>
      </c>
      <c r="L92" s="283">
        <v>1685</v>
      </c>
      <c r="M92" s="283">
        <v>1422</v>
      </c>
      <c r="N92" s="283">
        <v>344</v>
      </c>
      <c r="O92" s="283">
        <v>867</v>
      </c>
      <c r="P92" s="283">
        <v>647</v>
      </c>
      <c r="Q92" s="283">
        <v>685</v>
      </c>
      <c r="R92" s="283">
        <v>-1740</v>
      </c>
      <c r="S92" s="283">
        <v>-250</v>
      </c>
      <c r="T92" s="283">
        <v>-3094</v>
      </c>
      <c r="U92" s="283">
        <v>-1426</v>
      </c>
      <c r="V92" s="283">
        <v>-2075</v>
      </c>
      <c r="W92" s="283">
        <v>-335</v>
      </c>
      <c r="X92" s="283">
        <v>-1929</v>
      </c>
      <c r="Y92" s="283">
        <v>-322</v>
      </c>
      <c r="Z92" s="283">
        <v>-1135</v>
      </c>
      <c r="AA92" s="283">
        <v>-299</v>
      </c>
      <c r="AB92" s="283">
        <v>-138</v>
      </c>
      <c r="AC92" s="283">
        <v>272</v>
      </c>
      <c r="AD92" s="283">
        <v>-79</v>
      </c>
      <c r="AE92" s="283">
        <v>908</v>
      </c>
      <c r="AF92" s="283">
        <v>940</v>
      </c>
      <c r="AG92" s="283">
        <v>1025</v>
      </c>
      <c r="AH92" s="283">
        <v>1633</v>
      </c>
      <c r="AI92" s="283">
        <v>2024</v>
      </c>
      <c r="AJ92" s="283">
        <v>1615</v>
      </c>
      <c r="AK92" s="283">
        <v>1404</v>
      </c>
      <c r="AL92" s="283">
        <v>534</v>
      </c>
      <c r="AM92" s="283">
        <v>670</v>
      </c>
      <c r="AN92" s="283">
        <v>643</v>
      </c>
      <c r="AO92" s="283">
        <v>683</v>
      </c>
      <c r="AP92" s="283">
        <v>-1744</v>
      </c>
      <c r="AQ92" s="283">
        <v>-253</v>
      </c>
      <c r="AR92" s="283">
        <v>-3100</v>
      </c>
      <c r="AS92" s="283">
        <v>-1430</v>
      </c>
      <c r="AT92" s="283">
        <v>-2080</v>
      </c>
      <c r="AU92" s="283">
        <v>-338</v>
      </c>
      <c r="AV92" s="283">
        <v>-1934</v>
      </c>
      <c r="AW92" s="283">
        <v>-325</v>
      </c>
      <c r="AX92" s="283">
        <v>-1139</v>
      </c>
      <c r="AY92" s="283">
        <v>-302</v>
      </c>
      <c r="BA92" s="123"/>
      <c r="BB92" s="123"/>
    </row>
    <row r="93" spans="2:54">
      <c r="B93" s="281">
        <v>10285</v>
      </c>
      <c r="C93" s="281" t="s">
        <v>96</v>
      </c>
      <c r="D93" s="283">
        <v>0</v>
      </c>
      <c r="E93" s="283">
        <v>0</v>
      </c>
      <c r="F93" s="283">
        <v>0</v>
      </c>
      <c r="G93" s="283">
        <v>0</v>
      </c>
      <c r="H93" s="283">
        <v>0</v>
      </c>
      <c r="I93" s="283">
        <v>0</v>
      </c>
      <c r="J93" s="283">
        <v>0</v>
      </c>
      <c r="K93" s="283">
        <v>0</v>
      </c>
      <c r="L93" s="283">
        <v>0</v>
      </c>
      <c r="M93" s="283">
        <v>0</v>
      </c>
      <c r="N93" s="283">
        <v>0</v>
      </c>
      <c r="O93" s="283">
        <v>0</v>
      </c>
      <c r="P93" s="283">
        <v>0</v>
      </c>
      <c r="Q93" s="283">
        <v>0</v>
      </c>
      <c r="R93" s="283">
        <v>0</v>
      </c>
      <c r="S93" s="283">
        <v>0</v>
      </c>
      <c r="T93" s="283">
        <v>0</v>
      </c>
      <c r="U93" s="283">
        <v>0</v>
      </c>
      <c r="V93" s="283">
        <v>0</v>
      </c>
      <c r="W93" s="283">
        <v>0</v>
      </c>
      <c r="X93" s="283">
        <v>0</v>
      </c>
      <c r="Y93" s="283">
        <v>0</v>
      </c>
      <c r="Z93" s="283">
        <v>0</v>
      </c>
      <c r="AA93" s="283">
        <v>0</v>
      </c>
      <c r="AB93" s="283">
        <v>0</v>
      </c>
      <c r="AC93" s="283">
        <v>0</v>
      </c>
      <c r="AD93" s="283">
        <v>0</v>
      </c>
      <c r="AE93" s="283">
        <v>0</v>
      </c>
      <c r="AF93" s="283">
        <v>0</v>
      </c>
      <c r="AG93" s="283">
        <v>0</v>
      </c>
      <c r="AH93" s="283">
        <v>0</v>
      </c>
      <c r="AI93" s="283">
        <v>0</v>
      </c>
      <c r="AJ93" s="283">
        <v>0</v>
      </c>
      <c r="AK93" s="283">
        <v>0</v>
      </c>
      <c r="AL93" s="283">
        <v>0</v>
      </c>
      <c r="AM93" s="283">
        <v>0</v>
      </c>
      <c r="AN93" s="283">
        <v>0</v>
      </c>
      <c r="AO93" s="283">
        <v>0</v>
      </c>
      <c r="AP93" s="283">
        <v>0</v>
      </c>
      <c r="AQ93" s="283">
        <v>0</v>
      </c>
      <c r="AR93" s="283">
        <v>0</v>
      </c>
      <c r="AS93" s="283">
        <v>0</v>
      </c>
      <c r="AT93" s="283">
        <v>0</v>
      </c>
      <c r="AU93" s="283">
        <v>0</v>
      </c>
      <c r="AV93" s="283">
        <v>0</v>
      </c>
      <c r="AW93" s="283">
        <v>0</v>
      </c>
      <c r="AX93" s="283">
        <v>0</v>
      </c>
      <c r="AY93" s="283">
        <v>0</v>
      </c>
      <c r="BA93" s="123"/>
      <c r="BB93" s="123"/>
    </row>
    <row r="94" spans="2:54">
      <c r="B94" s="281">
        <v>10286</v>
      </c>
      <c r="C94" s="281" t="s">
        <v>97</v>
      </c>
      <c r="D94" s="283">
        <v>-1627</v>
      </c>
      <c r="E94" s="283">
        <v>2498</v>
      </c>
      <c r="F94" s="283">
        <v>-4768</v>
      </c>
      <c r="G94" s="283">
        <v>1134</v>
      </c>
      <c r="H94" s="283">
        <v>2271</v>
      </c>
      <c r="I94" s="283">
        <v>7794</v>
      </c>
      <c r="J94" s="283">
        <v>9648</v>
      </c>
      <c r="K94" s="283">
        <v>11500</v>
      </c>
      <c r="L94" s="283">
        <v>6952</v>
      </c>
      <c r="M94" s="283">
        <v>7926</v>
      </c>
      <c r="N94" s="283">
        <v>3914</v>
      </c>
      <c r="O94" s="283">
        <v>7367</v>
      </c>
      <c r="P94" s="283">
        <v>245</v>
      </c>
      <c r="Q94" s="283">
        <v>2474</v>
      </c>
      <c r="R94" s="283">
        <v>-10685</v>
      </c>
      <c r="S94" s="283">
        <v>-1997</v>
      </c>
      <c r="T94" s="283">
        <v>-19964</v>
      </c>
      <c r="U94" s="283">
        <v>-9124</v>
      </c>
      <c r="V94" s="283">
        <v>-5983</v>
      </c>
      <c r="W94" s="283">
        <v>3317</v>
      </c>
      <c r="X94" s="283">
        <v>-9513</v>
      </c>
      <c r="Y94" s="283">
        <v>135</v>
      </c>
      <c r="Z94" s="283">
        <v>-4529</v>
      </c>
      <c r="AA94" s="283">
        <v>1018</v>
      </c>
      <c r="AB94" s="283">
        <v>-1676</v>
      </c>
      <c r="AC94" s="283">
        <v>2462</v>
      </c>
      <c r="AD94" s="283">
        <v>-5584</v>
      </c>
      <c r="AE94" s="283">
        <v>1856</v>
      </c>
      <c r="AF94" s="283">
        <v>3224</v>
      </c>
      <c r="AG94" s="283">
        <v>6710</v>
      </c>
      <c r="AH94" s="283">
        <v>8441</v>
      </c>
      <c r="AI94" s="283">
        <v>12564</v>
      </c>
      <c r="AJ94" s="283">
        <v>7472</v>
      </c>
      <c r="AK94" s="283">
        <v>8382</v>
      </c>
      <c r="AL94" s="283">
        <v>4770</v>
      </c>
      <c r="AM94" s="283">
        <v>6394</v>
      </c>
      <c r="AN94" s="283">
        <v>200</v>
      </c>
      <c r="AO94" s="283">
        <v>2441</v>
      </c>
      <c r="AP94" s="283">
        <v>-10717</v>
      </c>
      <c r="AQ94" s="283">
        <v>-2025</v>
      </c>
      <c r="AR94" s="283">
        <v>-19988</v>
      </c>
      <c r="AS94" s="283">
        <v>-9142</v>
      </c>
      <c r="AT94" s="283">
        <v>-6032</v>
      </c>
      <c r="AU94" s="283">
        <v>3278</v>
      </c>
      <c r="AV94" s="283">
        <v>-9550</v>
      </c>
      <c r="AW94" s="283">
        <v>106</v>
      </c>
      <c r="AX94" s="283">
        <v>-4570</v>
      </c>
      <c r="AY94" s="283">
        <v>986</v>
      </c>
      <c r="BA94" s="123"/>
      <c r="BB94" s="123"/>
    </row>
    <row r="95" spans="2:54">
      <c r="B95" s="281">
        <v>10288</v>
      </c>
      <c r="C95" s="281" t="s">
        <v>98</v>
      </c>
      <c r="D95" s="283">
        <v>0</v>
      </c>
      <c r="E95" s="283">
        <v>0</v>
      </c>
      <c r="F95" s="283">
        <v>0</v>
      </c>
      <c r="G95" s="283">
        <v>0</v>
      </c>
      <c r="H95" s="283">
        <v>0</v>
      </c>
      <c r="I95" s="283">
        <v>0</v>
      </c>
      <c r="J95" s="283">
        <v>0</v>
      </c>
      <c r="K95" s="283">
        <v>0</v>
      </c>
      <c r="L95" s="283">
        <v>0</v>
      </c>
      <c r="M95" s="283">
        <v>0</v>
      </c>
      <c r="N95" s="283">
        <v>0</v>
      </c>
      <c r="O95" s="283">
        <v>0</v>
      </c>
      <c r="P95" s="283">
        <v>0</v>
      </c>
      <c r="Q95" s="283">
        <v>0</v>
      </c>
      <c r="R95" s="283">
        <v>0</v>
      </c>
      <c r="S95" s="283">
        <v>0</v>
      </c>
      <c r="T95" s="283">
        <v>0</v>
      </c>
      <c r="U95" s="283">
        <v>0</v>
      </c>
      <c r="V95" s="283">
        <v>0</v>
      </c>
      <c r="W95" s="283">
        <v>0</v>
      </c>
      <c r="X95" s="283">
        <v>0</v>
      </c>
      <c r="Y95" s="283">
        <v>0</v>
      </c>
      <c r="Z95" s="283">
        <v>0</v>
      </c>
      <c r="AA95" s="283">
        <v>0</v>
      </c>
      <c r="AB95" s="283">
        <v>0</v>
      </c>
      <c r="AC95" s="283">
        <v>0</v>
      </c>
      <c r="AD95" s="283">
        <v>0</v>
      </c>
      <c r="AE95" s="283">
        <v>0</v>
      </c>
      <c r="AF95" s="283">
        <v>0</v>
      </c>
      <c r="AG95" s="283">
        <v>0</v>
      </c>
      <c r="AH95" s="283">
        <v>0</v>
      </c>
      <c r="AI95" s="283">
        <v>0</v>
      </c>
      <c r="AJ95" s="283">
        <v>0</v>
      </c>
      <c r="AK95" s="283">
        <v>0</v>
      </c>
      <c r="AL95" s="283">
        <v>0</v>
      </c>
      <c r="AM95" s="283">
        <v>0</v>
      </c>
      <c r="AN95" s="283">
        <v>0</v>
      </c>
      <c r="AO95" s="283">
        <v>0</v>
      </c>
      <c r="AP95" s="283">
        <v>0</v>
      </c>
      <c r="AQ95" s="283">
        <v>0</v>
      </c>
      <c r="AR95" s="283">
        <v>0</v>
      </c>
      <c r="AS95" s="283">
        <v>0</v>
      </c>
      <c r="AT95" s="283">
        <v>0</v>
      </c>
      <c r="AU95" s="283">
        <v>0</v>
      </c>
      <c r="AV95" s="283">
        <v>0</v>
      </c>
      <c r="AW95" s="283">
        <v>0</v>
      </c>
      <c r="AX95" s="283">
        <v>0</v>
      </c>
      <c r="AY95" s="283">
        <v>0</v>
      </c>
      <c r="BA95" s="123"/>
      <c r="BB95" s="123"/>
    </row>
    <row r="96" spans="2:54">
      <c r="B96" s="281">
        <v>10291</v>
      </c>
      <c r="C96" s="281" t="s">
        <v>99</v>
      </c>
      <c r="D96" s="283">
        <v>-1053</v>
      </c>
      <c r="E96" s="283">
        <v>245</v>
      </c>
      <c r="F96" s="283">
        <v>-5636</v>
      </c>
      <c r="G96" s="283">
        <v>-1537</v>
      </c>
      <c r="H96" s="283">
        <v>283</v>
      </c>
      <c r="I96" s="283">
        <v>4494</v>
      </c>
      <c r="J96" s="283">
        <v>6637</v>
      </c>
      <c r="K96" s="283">
        <v>6570</v>
      </c>
      <c r="L96" s="283">
        <v>5329</v>
      </c>
      <c r="M96" s="283">
        <v>3867</v>
      </c>
      <c r="N96" s="283">
        <v>-201</v>
      </c>
      <c r="O96" s="283">
        <v>2279</v>
      </c>
      <c r="P96" s="283">
        <v>4699</v>
      </c>
      <c r="Q96" s="283">
        <v>2567</v>
      </c>
      <c r="R96" s="283">
        <v>-7249</v>
      </c>
      <c r="S96" s="283">
        <v>642</v>
      </c>
      <c r="T96" s="283">
        <v>-14573</v>
      </c>
      <c r="U96" s="283">
        <v>-7016</v>
      </c>
      <c r="V96" s="283">
        <v>-1535</v>
      </c>
      <c r="W96" s="283">
        <v>5285</v>
      </c>
      <c r="X96" s="283">
        <v>-471</v>
      </c>
      <c r="Y96" s="283">
        <v>5320</v>
      </c>
      <c r="Z96" s="283">
        <v>-986</v>
      </c>
      <c r="AA96" s="283">
        <v>1165</v>
      </c>
      <c r="AB96" s="283">
        <v>-956</v>
      </c>
      <c r="AC96" s="283">
        <v>295</v>
      </c>
      <c r="AD96" s="283">
        <v>-6915</v>
      </c>
      <c r="AE96" s="283">
        <v>-128</v>
      </c>
      <c r="AF96" s="283">
        <v>1908</v>
      </c>
      <c r="AG96" s="283">
        <v>2937</v>
      </c>
      <c r="AH96" s="283">
        <v>5152</v>
      </c>
      <c r="AI96" s="283">
        <v>8103</v>
      </c>
      <c r="AJ96" s="283">
        <v>5939</v>
      </c>
      <c r="AK96" s="283">
        <v>4419</v>
      </c>
      <c r="AL96" s="283">
        <v>1163</v>
      </c>
      <c r="AM96" s="283">
        <v>1038</v>
      </c>
      <c r="AN96" s="283">
        <v>4768</v>
      </c>
      <c r="AO96" s="283">
        <v>2608</v>
      </c>
      <c r="AP96" s="283">
        <v>-7100</v>
      </c>
      <c r="AQ96" s="283">
        <v>717</v>
      </c>
      <c r="AR96" s="283">
        <v>-14373</v>
      </c>
      <c r="AS96" s="283">
        <v>-6909</v>
      </c>
      <c r="AT96" s="283">
        <v>-1388</v>
      </c>
      <c r="AU96" s="283">
        <v>5343</v>
      </c>
      <c r="AV96" s="283">
        <v>-328</v>
      </c>
      <c r="AW96" s="283">
        <v>5378</v>
      </c>
      <c r="AX96" s="283">
        <v>-869</v>
      </c>
      <c r="AY96" s="283">
        <v>1228</v>
      </c>
      <c r="BA96" s="123"/>
      <c r="BB96" s="123"/>
    </row>
    <row r="97" spans="2:54">
      <c r="B97" s="281">
        <v>10294</v>
      </c>
      <c r="C97" s="281" t="s">
        <v>100</v>
      </c>
      <c r="D97" s="283">
        <v>-655</v>
      </c>
      <c r="E97" s="283">
        <v>756</v>
      </c>
      <c r="F97" s="283">
        <v>-742</v>
      </c>
      <c r="G97" s="283">
        <v>1065</v>
      </c>
      <c r="H97" s="283">
        <v>498</v>
      </c>
      <c r="I97" s="283">
        <v>2383</v>
      </c>
      <c r="J97" s="283">
        <v>2131</v>
      </c>
      <c r="K97" s="283">
        <v>2983</v>
      </c>
      <c r="L97" s="283">
        <v>1207</v>
      </c>
      <c r="M97" s="283">
        <v>1824</v>
      </c>
      <c r="N97" s="283">
        <v>294</v>
      </c>
      <c r="O97" s="283">
        <v>1668</v>
      </c>
      <c r="P97" s="283">
        <v>746</v>
      </c>
      <c r="Q97" s="283">
        <v>1314</v>
      </c>
      <c r="R97" s="283">
        <v>-2449</v>
      </c>
      <c r="S97" s="283">
        <v>301</v>
      </c>
      <c r="T97" s="283">
        <v>-4769</v>
      </c>
      <c r="U97" s="283">
        <v>-1656</v>
      </c>
      <c r="V97" s="283">
        <v>-3304</v>
      </c>
      <c r="W97" s="283">
        <v>84</v>
      </c>
      <c r="X97" s="283">
        <v>-2985</v>
      </c>
      <c r="Y97" s="283">
        <v>202</v>
      </c>
      <c r="Z97" s="283">
        <v>-1766</v>
      </c>
      <c r="AA97" s="283">
        <v>141</v>
      </c>
      <c r="AB97" s="283">
        <v>-604</v>
      </c>
      <c r="AC97" s="283">
        <v>789</v>
      </c>
      <c r="AD97" s="283">
        <v>-972</v>
      </c>
      <c r="AE97" s="283">
        <v>1401</v>
      </c>
      <c r="AF97" s="283">
        <v>899</v>
      </c>
      <c r="AG97" s="283">
        <v>2099</v>
      </c>
      <c r="AH97" s="283">
        <v>1857</v>
      </c>
      <c r="AI97" s="283">
        <v>3367</v>
      </c>
      <c r="AJ97" s="283">
        <v>1464</v>
      </c>
      <c r="AK97" s="283">
        <v>2025</v>
      </c>
      <c r="AL97" s="283">
        <v>622</v>
      </c>
      <c r="AM97" s="283">
        <v>1435</v>
      </c>
      <c r="AN97" s="283">
        <v>794</v>
      </c>
      <c r="AO97" s="283">
        <v>1346</v>
      </c>
      <c r="AP97" s="283">
        <v>-2399</v>
      </c>
      <c r="AQ97" s="283">
        <v>336</v>
      </c>
      <c r="AR97" s="283">
        <v>-4713</v>
      </c>
      <c r="AS97" s="283">
        <v>-1621</v>
      </c>
      <c r="AT97" s="283">
        <v>-3255</v>
      </c>
      <c r="AU97" s="283">
        <v>114</v>
      </c>
      <c r="AV97" s="283">
        <v>-2935</v>
      </c>
      <c r="AW97" s="283">
        <v>232</v>
      </c>
      <c r="AX97" s="283">
        <v>-1721</v>
      </c>
      <c r="AY97" s="283">
        <v>172</v>
      </c>
      <c r="BA97" s="123"/>
      <c r="BB97" s="123"/>
    </row>
    <row r="98" spans="2:54">
      <c r="B98" s="281">
        <v>10304</v>
      </c>
      <c r="C98" s="281" t="s">
        <v>101</v>
      </c>
      <c r="D98" s="283">
        <v>-20</v>
      </c>
      <c r="E98" s="283">
        <v>464</v>
      </c>
      <c r="F98" s="283">
        <v>116</v>
      </c>
      <c r="G98" s="283">
        <v>708</v>
      </c>
      <c r="H98" s="283">
        <v>1033</v>
      </c>
      <c r="I98" s="283">
        <v>1343</v>
      </c>
      <c r="J98" s="283">
        <v>2141</v>
      </c>
      <c r="K98" s="283">
        <v>2012</v>
      </c>
      <c r="L98" s="283">
        <v>1822</v>
      </c>
      <c r="M98" s="283">
        <v>1588</v>
      </c>
      <c r="N98" s="283">
        <v>704</v>
      </c>
      <c r="O98" s="283">
        <v>785</v>
      </c>
      <c r="P98" s="283">
        <v>1085</v>
      </c>
      <c r="Q98" s="283">
        <v>935</v>
      </c>
      <c r="R98" s="283">
        <v>-1686</v>
      </c>
      <c r="S98" s="283">
        <v>-267</v>
      </c>
      <c r="T98" s="283">
        <v>-3987</v>
      </c>
      <c r="U98" s="283">
        <v>-1844</v>
      </c>
      <c r="V98" s="283">
        <v>-2690</v>
      </c>
      <c r="W98" s="283">
        <v>-221</v>
      </c>
      <c r="X98" s="283">
        <v>-2263</v>
      </c>
      <c r="Y98" s="283">
        <v>-357</v>
      </c>
      <c r="Z98" s="283">
        <v>-1164</v>
      </c>
      <c r="AA98" s="283">
        <v>-238</v>
      </c>
      <c r="AB98" s="283">
        <v>-20</v>
      </c>
      <c r="AC98" s="283">
        <v>465</v>
      </c>
      <c r="AD98" s="283">
        <v>113</v>
      </c>
      <c r="AE98" s="283">
        <v>707</v>
      </c>
      <c r="AF98" s="283">
        <v>1030</v>
      </c>
      <c r="AG98" s="283">
        <v>1343</v>
      </c>
      <c r="AH98" s="283">
        <v>2141</v>
      </c>
      <c r="AI98" s="283">
        <v>2013</v>
      </c>
      <c r="AJ98" s="283">
        <v>1847</v>
      </c>
      <c r="AK98" s="283">
        <v>1571</v>
      </c>
      <c r="AL98" s="283">
        <v>704</v>
      </c>
      <c r="AM98" s="283">
        <v>786</v>
      </c>
      <c r="AN98" s="283">
        <v>1087</v>
      </c>
      <c r="AO98" s="283">
        <v>937</v>
      </c>
      <c r="AP98" s="283">
        <v>-1689</v>
      </c>
      <c r="AQ98" s="283">
        <v>-266</v>
      </c>
      <c r="AR98" s="283">
        <v>-3994</v>
      </c>
      <c r="AS98" s="283">
        <v>-1847</v>
      </c>
      <c r="AT98" s="283">
        <v>-2694</v>
      </c>
      <c r="AU98" s="283">
        <v>-219</v>
      </c>
      <c r="AV98" s="283">
        <v>-2265</v>
      </c>
      <c r="AW98" s="283">
        <v>-356</v>
      </c>
      <c r="AX98" s="283">
        <v>-1164</v>
      </c>
      <c r="AY98" s="283">
        <v>-236</v>
      </c>
      <c r="BA98" s="123"/>
      <c r="BB98" s="123"/>
    </row>
    <row r="99" spans="2:54">
      <c r="B99" s="281">
        <v>10306</v>
      </c>
      <c r="C99" s="281" t="s">
        <v>102</v>
      </c>
      <c r="D99" s="283">
        <v>-5639</v>
      </c>
      <c r="E99" s="283">
        <v>-2294</v>
      </c>
      <c r="F99" s="283">
        <v>4481</v>
      </c>
      <c r="G99" s="283">
        <v>5999</v>
      </c>
      <c r="H99" s="283">
        <v>2771</v>
      </c>
      <c r="I99" s="283">
        <v>5212</v>
      </c>
      <c r="J99" s="283">
        <v>11082</v>
      </c>
      <c r="K99" s="283">
        <v>10623</v>
      </c>
      <c r="L99" s="283">
        <v>10066</v>
      </c>
      <c r="M99" s="283">
        <v>8796</v>
      </c>
      <c r="N99" s="283">
        <v>7552</v>
      </c>
      <c r="O99" s="283">
        <v>8014</v>
      </c>
      <c r="P99" s="283">
        <v>-6729</v>
      </c>
      <c r="Q99" s="283">
        <v>-3806</v>
      </c>
      <c r="R99" s="283">
        <v>-10920</v>
      </c>
      <c r="S99" s="283">
        <v>-5908</v>
      </c>
      <c r="T99" s="283">
        <v>-13935</v>
      </c>
      <c r="U99" s="283">
        <v>-7536</v>
      </c>
      <c r="V99" s="283">
        <v>-7460</v>
      </c>
      <c r="W99" s="283">
        <v>-1991</v>
      </c>
      <c r="X99" s="283">
        <v>-6997</v>
      </c>
      <c r="Y99" s="283">
        <v>-1819</v>
      </c>
      <c r="Z99" s="283">
        <v>-1006</v>
      </c>
      <c r="AA99" s="283">
        <v>1443</v>
      </c>
      <c r="AB99" s="283">
        <v>-5414</v>
      </c>
      <c r="AC99" s="283">
        <v>-2206</v>
      </c>
      <c r="AD99" s="283">
        <v>3639</v>
      </c>
      <c r="AE99" s="283">
        <v>6329</v>
      </c>
      <c r="AF99" s="283">
        <v>3158</v>
      </c>
      <c r="AG99" s="283">
        <v>4425</v>
      </c>
      <c r="AH99" s="283">
        <v>9808</v>
      </c>
      <c r="AI99" s="283">
        <v>10898</v>
      </c>
      <c r="AJ99" s="283">
        <v>9835</v>
      </c>
      <c r="AK99" s="283">
        <v>8666</v>
      </c>
      <c r="AL99" s="283">
        <v>7828</v>
      </c>
      <c r="AM99" s="283">
        <v>7010</v>
      </c>
      <c r="AN99" s="283">
        <v>-6452</v>
      </c>
      <c r="AO99" s="283">
        <v>-3650</v>
      </c>
      <c r="AP99" s="283">
        <v>-10466</v>
      </c>
      <c r="AQ99" s="283">
        <v>-5662</v>
      </c>
      <c r="AR99" s="283">
        <v>-13355</v>
      </c>
      <c r="AS99" s="283">
        <v>-7223</v>
      </c>
      <c r="AT99" s="283">
        <v>-7161</v>
      </c>
      <c r="AU99" s="283">
        <v>-1917</v>
      </c>
      <c r="AV99" s="283">
        <v>-6717</v>
      </c>
      <c r="AW99" s="283">
        <v>-1752</v>
      </c>
      <c r="AX99" s="283">
        <v>-986</v>
      </c>
      <c r="AY99" s="283">
        <v>1365</v>
      </c>
      <c r="BA99" s="123"/>
      <c r="BB99" s="123"/>
    </row>
    <row r="100" spans="2:54">
      <c r="B100" s="281">
        <v>10307</v>
      </c>
      <c r="C100" s="281" t="s">
        <v>103</v>
      </c>
      <c r="D100" s="283">
        <v>609</v>
      </c>
      <c r="E100" s="283">
        <v>911</v>
      </c>
      <c r="F100" s="283">
        <v>1435</v>
      </c>
      <c r="G100" s="283">
        <v>2436</v>
      </c>
      <c r="H100" s="283">
        <v>4196</v>
      </c>
      <c r="I100" s="283">
        <v>5645</v>
      </c>
      <c r="J100" s="283">
        <v>11459</v>
      </c>
      <c r="K100" s="283">
        <v>8467</v>
      </c>
      <c r="L100" s="283">
        <v>10695</v>
      </c>
      <c r="M100" s="283">
        <v>6645</v>
      </c>
      <c r="N100" s="283">
        <v>3134</v>
      </c>
      <c r="O100" s="283">
        <v>4197</v>
      </c>
      <c r="P100" s="283">
        <v>5795</v>
      </c>
      <c r="Q100" s="283">
        <v>3508</v>
      </c>
      <c r="R100" s="283">
        <v>-9402</v>
      </c>
      <c r="S100" s="283">
        <v>-1442</v>
      </c>
      <c r="T100" s="283">
        <v>-18842</v>
      </c>
      <c r="U100" s="283">
        <v>-9347</v>
      </c>
      <c r="V100" s="283">
        <v>-11241</v>
      </c>
      <c r="W100" s="283">
        <v>-848</v>
      </c>
      <c r="X100" s="283">
        <v>-9855</v>
      </c>
      <c r="Y100" s="283">
        <v>-559</v>
      </c>
      <c r="Z100" s="283">
        <v>-5287</v>
      </c>
      <c r="AA100" s="283">
        <v>-1650</v>
      </c>
      <c r="AB100" s="283">
        <v>622</v>
      </c>
      <c r="AC100" s="283">
        <v>919</v>
      </c>
      <c r="AD100" s="283">
        <v>16</v>
      </c>
      <c r="AE100" s="283">
        <v>3866</v>
      </c>
      <c r="AF100" s="283">
        <v>5704</v>
      </c>
      <c r="AG100" s="283">
        <v>4149</v>
      </c>
      <c r="AH100" s="283">
        <v>9948</v>
      </c>
      <c r="AI100" s="283">
        <v>9996</v>
      </c>
      <c r="AJ100" s="283">
        <v>10432</v>
      </c>
      <c r="AK100" s="283">
        <v>6707</v>
      </c>
      <c r="AL100" s="283">
        <v>4386</v>
      </c>
      <c r="AM100" s="283">
        <v>2963</v>
      </c>
      <c r="AN100" s="283">
        <v>5810</v>
      </c>
      <c r="AO100" s="283">
        <v>3517</v>
      </c>
      <c r="AP100" s="283">
        <v>-9397</v>
      </c>
      <c r="AQ100" s="283">
        <v>-1434</v>
      </c>
      <c r="AR100" s="283">
        <v>-18841</v>
      </c>
      <c r="AS100" s="283">
        <v>-9345</v>
      </c>
      <c r="AT100" s="283">
        <v>-11235</v>
      </c>
      <c r="AU100" s="283">
        <v>-839</v>
      </c>
      <c r="AV100" s="283">
        <v>-9847</v>
      </c>
      <c r="AW100" s="283">
        <v>-550</v>
      </c>
      <c r="AX100" s="283">
        <v>-5277</v>
      </c>
      <c r="AY100" s="283">
        <v>-1642</v>
      </c>
      <c r="BA100" s="123"/>
      <c r="BB100" s="123"/>
    </row>
    <row r="101" spans="2:54">
      <c r="B101" s="281">
        <v>10326</v>
      </c>
      <c r="C101" s="281" t="s">
        <v>104</v>
      </c>
      <c r="D101" s="283">
        <v>243</v>
      </c>
      <c r="E101" s="283">
        <v>1652</v>
      </c>
      <c r="F101" s="283">
        <v>-3847</v>
      </c>
      <c r="G101" s="283">
        <v>-683</v>
      </c>
      <c r="H101" s="283">
        <v>-1143</v>
      </c>
      <c r="I101" s="283">
        <v>1873</v>
      </c>
      <c r="J101" s="283">
        <v>2234</v>
      </c>
      <c r="K101" s="283">
        <v>3266</v>
      </c>
      <c r="L101" s="283">
        <v>2875</v>
      </c>
      <c r="M101" s="283">
        <v>2982</v>
      </c>
      <c r="N101" s="283">
        <v>1370</v>
      </c>
      <c r="O101" s="283">
        <v>2832</v>
      </c>
      <c r="P101" s="283">
        <v>3331</v>
      </c>
      <c r="Q101" s="283">
        <v>3036</v>
      </c>
      <c r="R101" s="283">
        <v>-1688</v>
      </c>
      <c r="S101" s="283">
        <v>2114</v>
      </c>
      <c r="T101" s="283">
        <v>-5543</v>
      </c>
      <c r="U101" s="283">
        <v>-1596</v>
      </c>
      <c r="V101" s="283">
        <v>-1912</v>
      </c>
      <c r="W101" s="283">
        <v>2519</v>
      </c>
      <c r="X101" s="283">
        <v>-1748</v>
      </c>
      <c r="Y101" s="283">
        <v>2359</v>
      </c>
      <c r="Z101" s="283">
        <v>-242</v>
      </c>
      <c r="AA101" s="283">
        <v>1799</v>
      </c>
      <c r="AB101" s="283">
        <v>237</v>
      </c>
      <c r="AC101" s="283">
        <v>1648</v>
      </c>
      <c r="AD101" s="283">
        <v>-4277</v>
      </c>
      <c r="AE101" s="283">
        <v>-266</v>
      </c>
      <c r="AF101" s="283">
        <v>-641</v>
      </c>
      <c r="AG101" s="283">
        <v>1358</v>
      </c>
      <c r="AH101" s="283">
        <v>1703</v>
      </c>
      <c r="AI101" s="283">
        <v>3786</v>
      </c>
      <c r="AJ101" s="283">
        <v>2769</v>
      </c>
      <c r="AK101" s="283">
        <v>2951</v>
      </c>
      <c r="AL101" s="283">
        <v>1865</v>
      </c>
      <c r="AM101" s="283">
        <v>2327</v>
      </c>
      <c r="AN101" s="283">
        <v>3325</v>
      </c>
      <c r="AO101" s="283">
        <v>3033</v>
      </c>
      <c r="AP101" s="283">
        <v>-1696</v>
      </c>
      <c r="AQ101" s="283">
        <v>2110</v>
      </c>
      <c r="AR101" s="283">
        <v>-5553</v>
      </c>
      <c r="AS101" s="283">
        <v>-1602</v>
      </c>
      <c r="AT101" s="283">
        <v>-1920</v>
      </c>
      <c r="AU101" s="283">
        <v>2516</v>
      </c>
      <c r="AV101" s="283">
        <v>-1755</v>
      </c>
      <c r="AW101" s="283">
        <v>2356</v>
      </c>
      <c r="AX101" s="283">
        <v>-249</v>
      </c>
      <c r="AY101" s="283">
        <v>1796</v>
      </c>
      <c r="BA101" s="123"/>
      <c r="BB101" s="123"/>
    </row>
    <row r="102" spans="2:54">
      <c r="B102" s="281">
        <v>10331</v>
      </c>
      <c r="C102" s="281" t="s">
        <v>105</v>
      </c>
      <c r="D102" s="283">
        <v>0</v>
      </c>
      <c r="E102" s="283">
        <v>0</v>
      </c>
      <c r="F102" s="283">
        <v>0</v>
      </c>
      <c r="G102" s="283">
        <v>0</v>
      </c>
      <c r="H102" s="283">
        <v>0</v>
      </c>
      <c r="I102" s="283">
        <v>0</v>
      </c>
      <c r="J102" s="283">
        <v>0</v>
      </c>
      <c r="K102" s="283">
        <v>0</v>
      </c>
      <c r="L102" s="283">
        <v>0</v>
      </c>
      <c r="M102" s="283">
        <v>0</v>
      </c>
      <c r="N102" s="283">
        <v>0</v>
      </c>
      <c r="O102" s="283">
        <v>0</v>
      </c>
      <c r="P102" s="283">
        <v>0</v>
      </c>
      <c r="Q102" s="283">
        <v>0</v>
      </c>
      <c r="R102" s="283">
        <v>0</v>
      </c>
      <c r="S102" s="283">
        <v>0</v>
      </c>
      <c r="T102" s="283">
        <v>0</v>
      </c>
      <c r="U102" s="283">
        <v>0</v>
      </c>
      <c r="V102" s="283">
        <v>0</v>
      </c>
      <c r="W102" s="283">
        <v>0</v>
      </c>
      <c r="X102" s="283">
        <v>0</v>
      </c>
      <c r="Y102" s="283">
        <v>0</v>
      </c>
      <c r="Z102" s="283">
        <v>0</v>
      </c>
      <c r="AA102" s="283">
        <v>0</v>
      </c>
      <c r="AB102" s="283">
        <v>0</v>
      </c>
      <c r="AC102" s="283">
        <v>0</v>
      </c>
      <c r="AD102" s="283">
        <v>0</v>
      </c>
      <c r="AE102" s="283">
        <v>0</v>
      </c>
      <c r="AF102" s="283">
        <v>0</v>
      </c>
      <c r="AG102" s="283">
        <v>0</v>
      </c>
      <c r="AH102" s="283">
        <v>0</v>
      </c>
      <c r="AI102" s="283">
        <v>0</v>
      </c>
      <c r="AJ102" s="283">
        <v>0</v>
      </c>
      <c r="AK102" s="283">
        <v>0</v>
      </c>
      <c r="AL102" s="283">
        <v>0</v>
      </c>
      <c r="AM102" s="283">
        <v>0</v>
      </c>
      <c r="AN102" s="283">
        <v>0</v>
      </c>
      <c r="AO102" s="283">
        <v>0</v>
      </c>
      <c r="AP102" s="283">
        <v>0</v>
      </c>
      <c r="AQ102" s="283">
        <v>0</v>
      </c>
      <c r="AR102" s="283">
        <v>0</v>
      </c>
      <c r="AS102" s="283">
        <v>0</v>
      </c>
      <c r="AT102" s="283">
        <v>0</v>
      </c>
      <c r="AU102" s="283">
        <v>0</v>
      </c>
      <c r="AV102" s="283">
        <v>0</v>
      </c>
      <c r="AW102" s="283">
        <v>0</v>
      </c>
      <c r="AX102" s="283">
        <v>0</v>
      </c>
      <c r="AY102" s="283">
        <v>0</v>
      </c>
      <c r="BA102" s="123"/>
      <c r="BB102" s="123"/>
    </row>
    <row r="103" spans="2:54">
      <c r="B103" s="281">
        <v>10333</v>
      </c>
      <c r="C103" s="281" t="s">
        <v>106</v>
      </c>
      <c r="D103" s="283">
        <v>-867</v>
      </c>
      <c r="E103" s="283">
        <v>-67</v>
      </c>
      <c r="F103" s="283">
        <v>-1328</v>
      </c>
      <c r="G103" s="283">
        <v>251</v>
      </c>
      <c r="H103" s="283">
        <v>1309</v>
      </c>
      <c r="I103" s="283">
        <v>1823</v>
      </c>
      <c r="J103" s="283">
        <v>2687</v>
      </c>
      <c r="K103" s="283">
        <v>3023</v>
      </c>
      <c r="L103" s="283">
        <v>1511</v>
      </c>
      <c r="M103" s="283">
        <v>1711</v>
      </c>
      <c r="N103" s="283">
        <v>-111</v>
      </c>
      <c r="O103" s="283">
        <v>698</v>
      </c>
      <c r="P103" s="283">
        <v>340</v>
      </c>
      <c r="Q103" s="283">
        <v>556</v>
      </c>
      <c r="R103" s="283">
        <v>-2057</v>
      </c>
      <c r="S103" s="283">
        <v>10</v>
      </c>
      <c r="T103" s="283">
        <v>-4079</v>
      </c>
      <c r="U103" s="283">
        <v>-1592</v>
      </c>
      <c r="V103" s="283">
        <v>-879</v>
      </c>
      <c r="W103" s="283">
        <v>1391</v>
      </c>
      <c r="X103" s="283">
        <v>-1099</v>
      </c>
      <c r="Y103" s="283">
        <v>633</v>
      </c>
      <c r="Z103" s="283">
        <v>-1484</v>
      </c>
      <c r="AA103" s="283">
        <v>-53</v>
      </c>
      <c r="AB103" s="283">
        <v>-887</v>
      </c>
      <c r="AC103" s="283">
        <v>-75</v>
      </c>
      <c r="AD103" s="283">
        <v>-1354</v>
      </c>
      <c r="AE103" s="283">
        <v>242</v>
      </c>
      <c r="AF103" s="283">
        <v>1298</v>
      </c>
      <c r="AG103" s="283">
        <v>1821</v>
      </c>
      <c r="AH103" s="283">
        <v>2686</v>
      </c>
      <c r="AI103" s="283">
        <v>3030</v>
      </c>
      <c r="AJ103" s="283">
        <v>1800</v>
      </c>
      <c r="AK103" s="283">
        <v>1859</v>
      </c>
      <c r="AL103" s="283">
        <v>-127</v>
      </c>
      <c r="AM103" s="283">
        <v>693</v>
      </c>
      <c r="AN103" s="283">
        <v>329</v>
      </c>
      <c r="AO103" s="283">
        <v>552</v>
      </c>
      <c r="AP103" s="283">
        <v>-2085</v>
      </c>
      <c r="AQ103" s="283">
        <v>2</v>
      </c>
      <c r="AR103" s="283">
        <v>-4123</v>
      </c>
      <c r="AS103" s="283">
        <v>-1612</v>
      </c>
      <c r="AT103" s="283">
        <v>-901</v>
      </c>
      <c r="AU103" s="283">
        <v>1391</v>
      </c>
      <c r="AV103" s="283">
        <v>-1122</v>
      </c>
      <c r="AW103" s="283">
        <v>629</v>
      </c>
      <c r="AX103" s="283">
        <v>-1507</v>
      </c>
      <c r="AY103" s="283">
        <v>-61</v>
      </c>
      <c r="BA103" s="123"/>
      <c r="BB103" s="123"/>
    </row>
    <row r="104" spans="2:54">
      <c r="B104" s="281">
        <v>10338</v>
      </c>
      <c r="C104" s="281" t="s">
        <v>107</v>
      </c>
      <c r="D104" s="283">
        <v>-319</v>
      </c>
      <c r="E104" s="283">
        <v>-91</v>
      </c>
      <c r="F104" s="283">
        <v>-414</v>
      </c>
      <c r="G104" s="283">
        <v>-97</v>
      </c>
      <c r="H104" s="283">
        <v>-87</v>
      </c>
      <c r="I104" s="283">
        <v>191</v>
      </c>
      <c r="J104" s="283">
        <v>152</v>
      </c>
      <c r="K104" s="283">
        <v>314</v>
      </c>
      <c r="L104" s="283">
        <v>56</v>
      </c>
      <c r="M104" s="283">
        <v>178</v>
      </c>
      <c r="N104" s="283">
        <v>-251</v>
      </c>
      <c r="O104" s="283">
        <v>14</v>
      </c>
      <c r="P104" s="283">
        <v>58</v>
      </c>
      <c r="Q104" s="283">
        <v>112</v>
      </c>
      <c r="R104" s="283">
        <v>-56</v>
      </c>
      <c r="S104" s="283">
        <v>199</v>
      </c>
      <c r="T104" s="283">
        <v>-18</v>
      </c>
      <c r="U104" s="283">
        <v>93</v>
      </c>
      <c r="V104" s="283">
        <v>298</v>
      </c>
      <c r="W104" s="283">
        <v>458</v>
      </c>
      <c r="X104" s="283">
        <v>133</v>
      </c>
      <c r="Y104" s="283">
        <v>314</v>
      </c>
      <c r="Z104" s="283">
        <v>-133</v>
      </c>
      <c r="AA104" s="283">
        <v>34</v>
      </c>
      <c r="AB104" s="283">
        <v>-317</v>
      </c>
      <c r="AC104" s="283">
        <v>-89</v>
      </c>
      <c r="AD104" s="283">
        <v>-446</v>
      </c>
      <c r="AE104" s="283">
        <v>-62</v>
      </c>
      <c r="AF104" s="283">
        <v>-38</v>
      </c>
      <c r="AG104" s="283">
        <v>148</v>
      </c>
      <c r="AH104" s="283">
        <v>109</v>
      </c>
      <c r="AI104" s="283">
        <v>364</v>
      </c>
      <c r="AJ104" s="283">
        <v>59</v>
      </c>
      <c r="AK104" s="283">
        <v>180</v>
      </c>
      <c r="AL104" s="283">
        <v>-218</v>
      </c>
      <c r="AM104" s="283">
        <v>-15</v>
      </c>
      <c r="AN104" s="283">
        <v>61</v>
      </c>
      <c r="AO104" s="283">
        <v>114</v>
      </c>
      <c r="AP104" s="283">
        <v>-53</v>
      </c>
      <c r="AQ104" s="283">
        <v>202</v>
      </c>
      <c r="AR104" s="283">
        <v>-14</v>
      </c>
      <c r="AS104" s="283">
        <v>96</v>
      </c>
      <c r="AT104" s="283">
        <v>302</v>
      </c>
      <c r="AU104" s="283">
        <v>461</v>
      </c>
      <c r="AV104" s="283">
        <v>137</v>
      </c>
      <c r="AW104" s="283">
        <v>317</v>
      </c>
      <c r="AX104" s="283">
        <v>-130</v>
      </c>
      <c r="AY104" s="283">
        <v>36</v>
      </c>
      <c r="BA104" s="123"/>
      <c r="BB104" s="123"/>
    </row>
    <row r="105" spans="2:54">
      <c r="B105" s="281">
        <v>10342</v>
      </c>
      <c r="C105" s="281" t="s">
        <v>108</v>
      </c>
      <c r="D105" s="283">
        <v>290</v>
      </c>
      <c r="E105" s="283">
        <v>-108</v>
      </c>
      <c r="F105" s="283">
        <v>-1072</v>
      </c>
      <c r="G105" s="283">
        <v>-415</v>
      </c>
      <c r="H105" s="283">
        <v>1527</v>
      </c>
      <c r="I105" s="283">
        <v>2140</v>
      </c>
      <c r="J105" s="283">
        <v>4153</v>
      </c>
      <c r="K105" s="283">
        <v>2812</v>
      </c>
      <c r="L105" s="283">
        <v>4205</v>
      </c>
      <c r="M105" s="283">
        <v>2065</v>
      </c>
      <c r="N105" s="283">
        <v>789</v>
      </c>
      <c r="O105" s="283">
        <v>1076</v>
      </c>
      <c r="P105" s="283">
        <v>3044</v>
      </c>
      <c r="Q105" s="283">
        <v>1144</v>
      </c>
      <c r="R105" s="283">
        <v>-3957</v>
      </c>
      <c r="S105" s="283">
        <v>-666</v>
      </c>
      <c r="T105" s="283">
        <v>-8603</v>
      </c>
      <c r="U105" s="283">
        <v>-4734</v>
      </c>
      <c r="V105" s="283">
        <v>-2437</v>
      </c>
      <c r="W105" s="283">
        <v>772</v>
      </c>
      <c r="X105" s="283">
        <v>-2019</v>
      </c>
      <c r="Y105" s="283">
        <v>864</v>
      </c>
      <c r="Z105" s="283">
        <v>-1160</v>
      </c>
      <c r="AA105" s="283">
        <v>-475</v>
      </c>
      <c r="AB105" s="283">
        <v>269</v>
      </c>
      <c r="AC105" s="283">
        <v>-120</v>
      </c>
      <c r="AD105" s="283">
        <v>-1851</v>
      </c>
      <c r="AE105" s="283">
        <v>302</v>
      </c>
      <c r="AF105" s="283">
        <v>2316</v>
      </c>
      <c r="AG105" s="283">
        <v>1285</v>
      </c>
      <c r="AH105" s="283">
        <v>3342</v>
      </c>
      <c r="AI105" s="283">
        <v>3582</v>
      </c>
      <c r="AJ105" s="283">
        <v>4365</v>
      </c>
      <c r="AK105" s="283">
        <v>2282</v>
      </c>
      <c r="AL105" s="283">
        <v>1438</v>
      </c>
      <c r="AM105" s="283">
        <v>395</v>
      </c>
      <c r="AN105" s="283">
        <v>3033</v>
      </c>
      <c r="AO105" s="283">
        <v>1137</v>
      </c>
      <c r="AP105" s="283">
        <v>-3978</v>
      </c>
      <c r="AQ105" s="283">
        <v>-675</v>
      </c>
      <c r="AR105" s="283">
        <v>-8636</v>
      </c>
      <c r="AS105" s="283">
        <v>-4752</v>
      </c>
      <c r="AT105" s="283">
        <v>-2453</v>
      </c>
      <c r="AU105" s="283">
        <v>769</v>
      </c>
      <c r="AV105" s="283">
        <v>-2034</v>
      </c>
      <c r="AW105" s="283">
        <v>860</v>
      </c>
      <c r="AX105" s="283">
        <v>-1174</v>
      </c>
      <c r="AY105" s="283">
        <v>-483</v>
      </c>
      <c r="BA105" s="123"/>
      <c r="BB105" s="123"/>
    </row>
    <row r="106" spans="2:54">
      <c r="B106" s="281">
        <v>10343</v>
      </c>
      <c r="C106" s="281" t="s">
        <v>109</v>
      </c>
      <c r="D106" s="283">
        <v>-1474</v>
      </c>
      <c r="E106" s="283">
        <v>-150</v>
      </c>
      <c r="F106" s="283">
        <v>-1879</v>
      </c>
      <c r="G106" s="283">
        <v>-348</v>
      </c>
      <c r="H106" s="283">
        <v>-223</v>
      </c>
      <c r="I106" s="283">
        <v>824</v>
      </c>
      <c r="J106" s="283">
        <v>1011</v>
      </c>
      <c r="K106" s="283">
        <v>1940</v>
      </c>
      <c r="L106" s="283">
        <v>300</v>
      </c>
      <c r="M106" s="283">
        <v>1045</v>
      </c>
      <c r="N106" s="283">
        <v>-459</v>
      </c>
      <c r="O106" s="283">
        <v>559</v>
      </c>
      <c r="P106" s="283">
        <v>207</v>
      </c>
      <c r="Q106" s="283">
        <v>790</v>
      </c>
      <c r="R106" s="283">
        <v>-648</v>
      </c>
      <c r="S106" s="283">
        <v>963</v>
      </c>
      <c r="T106" s="283">
        <v>-2226</v>
      </c>
      <c r="U106" s="283">
        <v>-239</v>
      </c>
      <c r="V106" s="283">
        <v>-913</v>
      </c>
      <c r="W106" s="283">
        <v>1291</v>
      </c>
      <c r="X106" s="283">
        <v>-729</v>
      </c>
      <c r="Y106" s="283">
        <v>997</v>
      </c>
      <c r="Z106" s="283">
        <v>-969</v>
      </c>
      <c r="AA106" s="283">
        <v>331</v>
      </c>
      <c r="AB106" s="283">
        <v>-1474</v>
      </c>
      <c r="AC106" s="283">
        <v>-149</v>
      </c>
      <c r="AD106" s="283">
        <v>-1878</v>
      </c>
      <c r="AE106" s="283">
        <v>-347</v>
      </c>
      <c r="AF106" s="283">
        <v>-222</v>
      </c>
      <c r="AG106" s="283">
        <v>825</v>
      </c>
      <c r="AH106" s="283">
        <v>1012</v>
      </c>
      <c r="AI106" s="283">
        <v>1941</v>
      </c>
      <c r="AJ106" s="283">
        <v>320</v>
      </c>
      <c r="AK106" s="283">
        <v>1010</v>
      </c>
      <c r="AL106" s="283">
        <v>-458</v>
      </c>
      <c r="AM106" s="283">
        <v>560</v>
      </c>
      <c r="AN106" s="283">
        <v>208</v>
      </c>
      <c r="AO106" s="283">
        <v>791</v>
      </c>
      <c r="AP106" s="283">
        <v>-647</v>
      </c>
      <c r="AQ106" s="283">
        <v>964</v>
      </c>
      <c r="AR106" s="283">
        <v>-2225</v>
      </c>
      <c r="AS106" s="283">
        <v>-238</v>
      </c>
      <c r="AT106" s="283">
        <v>-912</v>
      </c>
      <c r="AU106" s="283">
        <v>1292</v>
      </c>
      <c r="AV106" s="283">
        <v>-728</v>
      </c>
      <c r="AW106" s="283">
        <v>997</v>
      </c>
      <c r="AX106" s="283">
        <v>-968</v>
      </c>
      <c r="AY106" s="283">
        <v>332</v>
      </c>
      <c r="BA106" s="123"/>
      <c r="BB106" s="123"/>
    </row>
    <row r="107" spans="2:54">
      <c r="B107" s="281">
        <v>10349</v>
      </c>
      <c r="C107" s="281" t="s">
        <v>110</v>
      </c>
      <c r="D107" s="283">
        <v>-3409</v>
      </c>
      <c r="E107" s="283">
        <v>26395</v>
      </c>
      <c r="F107" s="283">
        <v>73827</v>
      </c>
      <c r="G107" s="283">
        <v>68208</v>
      </c>
      <c r="H107" s="283">
        <v>84849</v>
      </c>
      <c r="I107" s="283">
        <v>71183</v>
      </c>
      <c r="J107" s="283">
        <v>154762</v>
      </c>
      <c r="K107" s="283">
        <v>119688</v>
      </c>
      <c r="L107" s="283">
        <v>118550</v>
      </c>
      <c r="M107" s="283">
        <v>95276</v>
      </c>
      <c r="N107" s="283">
        <v>113157</v>
      </c>
      <c r="O107" s="283">
        <v>96379</v>
      </c>
      <c r="P107" s="283">
        <v>-16953</v>
      </c>
      <c r="Q107" s="283">
        <v>2621</v>
      </c>
      <c r="R107" s="283">
        <v>-196571</v>
      </c>
      <c r="S107" s="283">
        <v>-99644</v>
      </c>
      <c r="T107" s="283">
        <v>-318936</v>
      </c>
      <c r="U107" s="283">
        <v>-172489</v>
      </c>
      <c r="V107" s="283">
        <v>-137160</v>
      </c>
      <c r="W107" s="283">
        <v>-34690</v>
      </c>
      <c r="X107" s="283">
        <v>-105037</v>
      </c>
      <c r="Y107" s="283">
        <v>-16698</v>
      </c>
      <c r="Z107" s="283">
        <v>32405</v>
      </c>
      <c r="AA107" s="283">
        <v>44291</v>
      </c>
      <c r="AB107" s="283">
        <v>-3983</v>
      </c>
      <c r="AC107" s="283">
        <v>25943</v>
      </c>
      <c r="AD107" s="283">
        <v>72725</v>
      </c>
      <c r="AE107" s="283">
        <v>67428</v>
      </c>
      <c r="AF107" s="283">
        <v>83707</v>
      </c>
      <c r="AG107" s="283">
        <v>70386</v>
      </c>
      <c r="AH107" s="283">
        <v>153371</v>
      </c>
      <c r="AI107" s="283">
        <v>118722</v>
      </c>
      <c r="AJ107" s="283">
        <v>125480</v>
      </c>
      <c r="AK107" s="283">
        <v>98509</v>
      </c>
      <c r="AL107" s="283">
        <v>111968</v>
      </c>
      <c r="AM107" s="283">
        <v>95536</v>
      </c>
      <c r="AN107" s="283">
        <v>-17356</v>
      </c>
      <c r="AO107" s="283">
        <v>2319</v>
      </c>
      <c r="AP107" s="283">
        <v>-196243</v>
      </c>
      <c r="AQ107" s="283">
        <v>-99502</v>
      </c>
      <c r="AR107" s="283">
        <v>-318169</v>
      </c>
      <c r="AS107" s="283">
        <v>-172074</v>
      </c>
      <c r="AT107" s="283">
        <v>-137179</v>
      </c>
      <c r="AU107" s="283">
        <v>-34839</v>
      </c>
      <c r="AV107" s="283">
        <v>-105199</v>
      </c>
      <c r="AW107" s="283">
        <v>-16935</v>
      </c>
      <c r="AX107" s="283">
        <v>31651</v>
      </c>
      <c r="AY107" s="283">
        <v>43734</v>
      </c>
      <c r="BA107" s="123"/>
      <c r="BB107" s="123"/>
    </row>
    <row r="108" spans="2:54">
      <c r="B108" s="281">
        <v>10352</v>
      </c>
      <c r="C108" s="281" t="s">
        <v>111</v>
      </c>
      <c r="D108" s="283">
        <v>5</v>
      </c>
      <c r="E108" s="283">
        <v>-74</v>
      </c>
      <c r="F108" s="283">
        <v>-326</v>
      </c>
      <c r="G108" s="283">
        <v>33</v>
      </c>
      <c r="H108" s="283">
        <v>1460</v>
      </c>
      <c r="I108" s="283">
        <v>1713</v>
      </c>
      <c r="J108" s="283">
        <v>2793</v>
      </c>
      <c r="K108" s="283">
        <v>2056</v>
      </c>
      <c r="L108" s="283">
        <v>2373</v>
      </c>
      <c r="M108" s="283">
        <v>1401</v>
      </c>
      <c r="N108" s="283">
        <v>693</v>
      </c>
      <c r="O108" s="283">
        <v>780</v>
      </c>
      <c r="P108" s="283">
        <v>1346</v>
      </c>
      <c r="Q108" s="283">
        <v>611</v>
      </c>
      <c r="R108" s="283">
        <v>-1764</v>
      </c>
      <c r="S108" s="283">
        <v>-410</v>
      </c>
      <c r="T108" s="283">
        <v>-4060</v>
      </c>
      <c r="U108" s="283">
        <v>-2312</v>
      </c>
      <c r="V108" s="283">
        <v>-2290</v>
      </c>
      <c r="W108" s="283">
        <v>-400</v>
      </c>
      <c r="X108" s="283">
        <v>-1876</v>
      </c>
      <c r="Y108" s="283">
        <v>-273</v>
      </c>
      <c r="Z108" s="283">
        <v>-1012</v>
      </c>
      <c r="AA108" s="283">
        <v>-522</v>
      </c>
      <c r="AB108" s="283">
        <v>-4</v>
      </c>
      <c r="AC108" s="283">
        <v>-79</v>
      </c>
      <c r="AD108" s="283">
        <v>-634</v>
      </c>
      <c r="AE108" s="283">
        <v>324</v>
      </c>
      <c r="AF108" s="283">
        <v>1815</v>
      </c>
      <c r="AG108" s="283">
        <v>1343</v>
      </c>
      <c r="AH108" s="283">
        <v>2430</v>
      </c>
      <c r="AI108" s="283">
        <v>2406</v>
      </c>
      <c r="AJ108" s="283">
        <v>2276</v>
      </c>
      <c r="AK108" s="283">
        <v>1395</v>
      </c>
      <c r="AL108" s="283">
        <v>963</v>
      </c>
      <c r="AM108" s="283">
        <v>496</v>
      </c>
      <c r="AN108" s="283">
        <v>1339</v>
      </c>
      <c r="AO108" s="283">
        <v>607</v>
      </c>
      <c r="AP108" s="283">
        <v>-1773</v>
      </c>
      <c r="AQ108" s="283">
        <v>-415</v>
      </c>
      <c r="AR108" s="283">
        <v>-4072</v>
      </c>
      <c r="AS108" s="283">
        <v>-2319</v>
      </c>
      <c r="AT108" s="283">
        <v>-2301</v>
      </c>
      <c r="AU108" s="283">
        <v>-404</v>
      </c>
      <c r="AV108" s="283">
        <v>-1886</v>
      </c>
      <c r="AW108" s="283">
        <v>-278</v>
      </c>
      <c r="AX108" s="283">
        <v>-1020</v>
      </c>
      <c r="AY108" s="283">
        <v>-527</v>
      </c>
      <c r="BA108" s="123"/>
      <c r="BB108" s="123"/>
    </row>
    <row r="109" spans="2:54">
      <c r="B109" s="281">
        <v>10354</v>
      </c>
      <c r="C109" s="281" t="s">
        <v>112</v>
      </c>
      <c r="D109" s="283">
        <v>-4152</v>
      </c>
      <c r="E109" s="283">
        <v>24619</v>
      </c>
      <c r="F109" s="283">
        <v>-26532</v>
      </c>
      <c r="G109" s="283">
        <v>16008</v>
      </c>
      <c r="H109" s="283">
        <v>-3200</v>
      </c>
      <c r="I109" s="283">
        <v>41171</v>
      </c>
      <c r="J109" s="283">
        <v>27866</v>
      </c>
      <c r="K109" s="283">
        <v>51246</v>
      </c>
      <c r="L109" s="283">
        <v>16886</v>
      </c>
      <c r="M109" s="283">
        <v>33409</v>
      </c>
      <c r="N109" s="283">
        <v>-1676</v>
      </c>
      <c r="O109" s="283">
        <v>30948</v>
      </c>
      <c r="P109" s="283">
        <v>13402</v>
      </c>
      <c r="Q109" s="283">
        <v>27052</v>
      </c>
      <c r="R109" s="283">
        <v>-50091</v>
      </c>
      <c r="S109" s="283">
        <v>10998</v>
      </c>
      <c r="T109" s="283">
        <v>-93184</v>
      </c>
      <c r="U109" s="283">
        <v>-27003</v>
      </c>
      <c r="V109" s="283">
        <v>-60724</v>
      </c>
      <c r="W109" s="283">
        <v>12528</v>
      </c>
      <c r="X109" s="283">
        <v>-55222</v>
      </c>
      <c r="Y109" s="283">
        <v>13873</v>
      </c>
      <c r="Z109" s="283">
        <v>-26241</v>
      </c>
      <c r="AA109" s="283">
        <v>13907</v>
      </c>
      <c r="AB109" s="283">
        <v>-3190</v>
      </c>
      <c r="AC109" s="283">
        <v>25238</v>
      </c>
      <c r="AD109" s="283">
        <v>-31593</v>
      </c>
      <c r="AE109" s="283">
        <v>22935</v>
      </c>
      <c r="AF109" s="283">
        <v>4893</v>
      </c>
      <c r="AG109" s="283">
        <v>35112</v>
      </c>
      <c r="AH109" s="283">
        <v>22157</v>
      </c>
      <c r="AI109" s="283">
        <v>58837</v>
      </c>
      <c r="AJ109" s="283">
        <v>22458</v>
      </c>
      <c r="AK109" s="283">
        <v>37676</v>
      </c>
      <c r="AL109" s="283">
        <v>5101</v>
      </c>
      <c r="AM109" s="283">
        <v>25870</v>
      </c>
      <c r="AN109" s="283">
        <v>14266</v>
      </c>
      <c r="AO109" s="283">
        <v>27636</v>
      </c>
      <c r="AP109" s="283">
        <v>-49160</v>
      </c>
      <c r="AQ109" s="283">
        <v>11652</v>
      </c>
      <c r="AR109" s="283">
        <v>-92110</v>
      </c>
      <c r="AS109" s="283">
        <v>-26331</v>
      </c>
      <c r="AT109" s="283">
        <v>-59765</v>
      </c>
      <c r="AU109" s="283">
        <v>13119</v>
      </c>
      <c r="AV109" s="283">
        <v>-54278</v>
      </c>
      <c r="AW109" s="283">
        <v>14460</v>
      </c>
      <c r="AX109" s="283">
        <v>-25370</v>
      </c>
      <c r="AY109" s="283">
        <v>14508</v>
      </c>
      <c r="BA109" s="123"/>
      <c r="BB109" s="123"/>
    </row>
    <row r="110" spans="2:54">
      <c r="B110" s="281">
        <v>10360</v>
      </c>
      <c r="C110" s="281" t="s">
        <v>113</v>
      </c>
      <c r="D110" s="283">
        <v>-1200</v>
      </c>
      <c r="E110" s="283">
        <v>-417</v>
      </c>
      <c r="F110" s="283">
        <v>-1848</v>
      </c>
      <c r="G110" s="283">
        <v>-784</v>
      </c>
      <c r="H110" s="283">
        <v>-1282</v>
      </c>
      <c r="I110" s="283">
        <v>-297</v>
      </c>
      <c r="J110" s="283">
        <v>-636</v>
      </c>
      <c r="K110" s="283">
        <v>68</v>
      </c>
      <c r="L110" s="283">
        <v>-705</v>
      </c>
      <c r="M110" s="283">
        <v>-129</v>
      </c>
      <c r="N110" s="283">
        <v>-1397</v>
      </c>
      <c r="O110" s="283">
        <v>-468</v>
      </c>
      <c r="P110" s="283">
        <v>-282</v>
      </c>
      <c r="Q110" s="283">
        <v>34</v>
      </c>
      <c r="R110" s="283">
        <v>92</v>
      </c>
      <c r="S110" s="283">
        <v>891</v>
      </c>
      <c r="T110" s="283">
        <v>1429</v>
      </c>
      <c r="U110" s="283">
        <v>1571</v>
      </c>
      <c r="V110" s="283">
        <v>2185</v>
      </c>
      <c r="W110" s="283">
        <v>2638</v>
      </c>
      <c r="X110" s="283">
        <v>1718</v>
      </c>
      <c r="Y110" s="283">
        <v>2186</v>
      </c>
      <c r="Z110" s="283">
        <v>-57</v>
      </c>
      <c r="AA110" s="283">
        <v>528</v>
      </c>
      <c r="AB110" s="283">
        <v>-1194</v>
      </c>
      <c r="AC110" s="283">
        <v>-414</v>
      </c>
      <c r="AD110" s="283">
        <v>-1910</v>
      </c>
      <c r="AE110" s="283">
        <v>-713</v>
      </c>
      <c r="AF110" s="283">
        <v>-1189</v>
      </c>
      <c r="AG110" s="283">
        <v>-378</v>
      </c>
      <c r="AH110" s="283">
        <v>-718</v>
      </c>
      <c r="AI110" s="283">
        <v>161</v>
      </c>
      <c r="AJ110" s="283">
        <v>-670</v>
      </c>
      <c r="AK110" s="283">
        <v>-110</v>
      </c>
      <c r="AL110" s="283">
        <v>-1331</v>
      </c>
      <c r="AM110" s="283">
        <v>-526</v>
      </c>
      <c r="AN110" s="283">
        <v>-275</v>
      </c>
      <c r="AO110" s="283">
        <v>38</v>
      </c>
      <c r="AP110" s="283">
        <v>102</v>
      </c>
      <c r="AQ110" s="283">
        <v>899</v>
      </c>
      <c r="AR110" s="283">
        <v>1447</v>
      </c>
      <c r="AS110" s="283">
        <v>1583</v>
      </c>
      <c r="AT110" s="283">
        <v>2203</v>
      </c>
      <c r="AU110" s="283">
        <v>2651</v>
      </c>
      <c r="AV110" s="283">
        <v>1734</v>
      </c>
      <c r="AW110" s="283">
        <v>2197</v>
      </c>
      <c r="AX110" s="283">
        <v>-49</v>
      </c>
      <c r="AY110" s="283">
        <v>534</v>
      </c>
      <c r="BA110" s="123"/>
      <c r="BB110" s="123"/>
    </row>
    <row r="111" spans="2:54">
      <c r="B111" s="281">
        <v>10363</v>
      </c>
      <c r="C111" s="281" t="s">
        <v>114</v>
      </c>
      <c r="D111" s="283">
        <v>226</v>
      </c>
      <c r="E111" s="283">
        <v>861</v>
      </c>
      <c r="F111" s="283">
        <v>-2815</v>
      </c>
      <c r="G111" s="283">
        <v>995</v>
      </c>
      <c r="H111" s="283">
        <v>3042</v>
      </c>
      <c r="I111" s="283">
        <v>7026</v>
      </c>
      <c r="J111" s="283">
        <v>10327</v>
      </c>
      <c r="K111" s="283">
        <v>9402</v>
      </c>
      <c r="L111" s="283">
        <v>11182</v>
      </c>
      <c r="M111" s="283">
        <v>7626</v>
      </c>
      <c r="N111" s="283">
        <v>1322</v>
      </c>
      <c r="O111" s="283">
        <v>3911</v>
      </c>
      <c r="P111" s="283">
        <v>7536</v>
      </c>
      <c r="Q111" s="283">
        <v>4252</v>
      </c>
      <c r="R111" s="283">
        <v>-10256</v>
      </c>
      <c r="S111" s="283">
        <v>-855</v>
      </c>
      <c r="T111" s="283">
        <v>-21842</v>
      </c>
      <c r="U111" s="283">
        <v>-11256</v>
      </c>
      <c r="V111" s="283">
        <v>-9600</v>
      </c>
      <c r="W111" s="283">
        <v>1070</v>
      </c>
      <c r="X111" s="283">
        <v>-7933</v>
      </c>
      <c r="Y111" s="283">
        <v>1652</v>
      </c>
      <c r="Z111" s="283">
        <v>-4854</v>
      </c>
      <c r="AA111" s="283">
        <v>-1390</v>
      </c>
      <c r="AB111" s="283">
        <v>251</v>
      </c>
      <c r="AC111" s="283">
        <v>876</v>
      </c>
      <c r="AD111" s="283">
        <v>-4631</v>
      </c>
      <c r="AE111" s="283">
        <v>2856</v>
      </c>
      <c r="AF111" s="283">
        <v>5115</v>
      </c>
      <c r="AG111" s="283">
        <v>5026</v>
      </c>
      <c r="AH111" s="283">
        <v>8420</v>
      </c>
      <c r="AI111" s="283">
        <v>11398</v>
      </c>
      <c r="AJ111" s="283">
        <v>10877</v>
      </c>
      <c r="AK111" s="283">
        <v>7705</v>
      </c>
      <c r="AL111" s="283">
        <v>2988</v>
      </c>
      <c r="AM111" s="283">
        <v>2298</v>
      </c>
      <c r="AN111" s="283">
        <v>7574</v>
      </c>
      <c r="AO111" s="283">
        <v>4274</v>
      </c>
      <c r="AP111" s="283">
        <v>-10252</v>
      </c>
      <c r="AQ111" s="283">
        <v>-841</v>
      </c>
      <c r="AR111" s="283">
        <v>-21858</v>
      </c>
      <c r="AS111" s="283">
        <v>-11264</v>
      </c>
      <c r="AT111" s="283">
        <v>-9593</v>
      </c>
      <c r="AU111" s="283">
        <v>1087</v>
      </c>
      <c r="AV111" s="283">
        <v>-7923</v>
      </c>
      <c r="AW111" s="283">
        <v>1670</v>
      </c>
      <c r="AX111" s="283">
        <v>-4841</v>
      </c>
      <c r="AY111" s="283">
        <v>-1380</v>
      </c>
      <c r="BA111" s="123"/>
      <c r="BB111" s="123"/>
    </row>
    <row r="112" spans="2:54">
      <c r="B112" s="281">
        <v>10369</v>
      </c>
      <c r="C112" s="281" t="s">
        <v>115</v>
      </c>
      <c r="D112" s="283">
        <v>-2654</v>
      </c>
      <c r="E112" s="283">
        <v>-1137</v>
      </c>
      <c r="F112" s="283">
        <v>-5026</v>
      </c>
      <c r="G112" s="283">
        <v>-2607</v>
      </c>
      <c r="H112" s="283">
        <v>-3898</v>
      </c>
      <c r="I112" s="283">
        <v>-1688</v>
      </c>
      <c r="J112" s="283">
        <v>-2098</v>
      </c>
      <c r="K112" s="283">
        <v>-645</v>
      </c>
      <c r="L112" s="283">
        <v>-2706</v>
      </c>
      <c r="M112" s="283">
        <v>-1283</v>
      </c>
      <c r="N112" s="283">
        <v>-3588</v>
      </c>
      <c r="O112" s="283">
        <v>-1558</v>
      </c>
      <c r="P112" s="283">
        <v>-933</v>
      </c>
      <c r="Q112" s="283">
        <v>-346</v>
      </c>
      <c r="R112" s="283">
        <v>-572</v>
      </c>
      <c r="S112" s="283">
        <v>1433</v>
      </c>
      <c r="T112" s="283">
        <v>-605</v>
      </c>
      <c r="U112" s="283">
        <v>714</v>
      </c>
      <c r="V112" s="283">
        <v>3981</v>
      </c>
      <c r="W112" s="283">
        <v>5096</v>
      </c>
      <c r="X112" s="283">
        <v>4093</v>
      </c>
      <c r="Y112" s="283">
        <v>5112</v>
      </c>
      <c r="Z112" s="283">
        <v>1145</v>
      </c>
      <c r="AA112" s="283">
        <v>1894</v>
      </c>
      <c r="AB112" s="283">
        <v>-2664</v>
      </c>
      <c r="AC112" s="283">
        <v>-1144</v>
      </c>
      <c r="AD112" s="283">
        <v>-5178</v>
      </c>
      <c r="AE112" s="283">
        <v>-2473</v>
      </c>
      <c r="AF112" s="283">
        <v>-3727</v>
      </c>
      <c r="AG112" s="283">
        <v>-1877</v>
      </c>
      <c r="AH112" s="283">
        <v>-2302</v>
      </c>
      <c r="AI112" s="283">
        <v>-459</v>
      </c>
      <c r="AJ112" s="283">
        <v>-2540</v>
      </c>
      <c r="AK112" s="283">
        <v>-1181</v>
      </c>
      <c r="AL112" s="283">
        <v>-3457</v>
      </c>
      <c r="AM112" s="283">
        <v>-1707</v>
      </c>
      <c r="AN112" s="283">
        <v>-943</v>
      </c>
      <c r="AO112" s="283">
        <v>-353</v>
      </c>
      <c r="AP112" s="283">
        <v>-582</v>
      </c>
      <c r="AQ112" s="283">
        <v>1424</v>
      </c>
      <c r="AR112" s="283">
        <v>-615</v>
      </c>
      <c r="AS112" s="283">
        <v>706</v>
      </c>
      <c r="AT112" s="283">
        <v>3971</v>
      </c>
      <c r="AU112" s="283">
        <v>5088</v>
      </c>
      <c r="AV112" s="283">
        <v>4082</v>
      </c>
      <c r="AW112" s="283">
        <v>5104</v>
      </c>
      <c r="AX112" s="283">
        <v>1135</v>
      </c>
      <c r="AY112" s="283">
        <v>1886</v>
      </c>
      <c r="BA112" s="123"/>
      <c r="BB112" s="123"/>
    </row>
    <row r="113" spans="2:54">
      <c r="B113" s="281">
        <v>10370</v>
      </c>
      <c r="C113" s="281" t="s">
        <v>116</v>
      </c>
      <c r="D113" s="283">
        <v>-14622</v>
      </c>
      <c r="E113" s="283">
        <v>3563</v>
      </c>
      <c r="F113" s="283">
        <v>-16998</v>
      </c>
      <c r="G113" s="283">
        <v>5434</v>
      </c>
      <c r="H113" s="283">
        <v>-13</v>
      </c>
      <c r="I113" s="283">
        <v>22451</v>
      </c>
      <c r="J113" s="283">
        <v>12507</v>
      </c>
      <c r="K113" s="283">
        <v>24832</v>
      </c>
      <c r="L113" s="283">
        <v>8612</v>
      </c>
      <c r="M113" s="283">
        <v>17068</v>
      </c>
      <c r="N113" s="283">
        <v>9432</v>
      </c>
      <c r="O113" s="283">
        <v>23914</v>
      </c>
      <c r="P113" s="283">
        <v>13040</v>
      </c>
      <c r="Q113" s="283">
        <v>18355</v>
      </c>
      <c r="R113" s="283">
        <v>-23985</v>
      </c>
      <c r="S113" s="283">
        <v>7028</v>
      </c>
      <c r="T113" s="283">
        <v>-50334</v>
      </c>
      <c r="U113" s="283">
        <v>-15768</v>
      </c>
      <c r="V113" s="283">
        <v>-29356</v>
      </c>
      <c r="W113" s="283">
        <v>7745</v>
      </c>
      <c r="X113" s="283">
        <v>-29975</v>
      </c>
      <c r="Y113" s="283">
        <v>5727</v>
      </c>
      <c r="Z113" s="283">
        <v>-13438</v>
      </c>
      <c r="AA113" s="283">
        <v>7097</v>
      </c>
      <c r="AB113" s="283">
        <v>-14108</v>
      </c>
      <c r="AC113" s="283">
        <v>3862</v>
      </c>
      <c r="AD113" s="283">
        <v>-19371</v>
      </c>
      <c r="AE113" s="283">
        <v>8846</v>
      </c>
      <c r="AF113" s="283">
        <v>4245</v>
      </c>
      <c r="AG113" s="283">
        <v>19292</v>
      </c>
      <c r="AH113" s="283">
        <v>9678</v>
      </c>
      <c r="AI113" s="283">
        <v>28619</v>
      </c>
      <c r="AJ113" s="283">
        <v>11482</v>
      </c>
      <c r="AK113" s="283">
        <v>19240</v>
      </c>
      <c r="AL113" s="283">
        <v>13359</v>
      </c>
      <c r="AM113" s="283">
        <v>20942</v>
      </c>
      <c r="AN113" s="283">
        <v>13521</v>
      </c>
      <c r="AO113" s="283">
        <v>18661</v>
      </c>
      <c r="AP113" s="283">
        <v>-23407</v>
      </c>
      <c r="AQ113" s="283">
        <v>7384</v>
      </c>
      <c r="AR113" s="283">
        <v>-49639</v>
      </c>
      <c r="AS113" s="283">
        <v>-15367</v>
      </c>
      <c r="AT113" s="283">
        <v>-28752</v>
      </c>
      <c r="AU113" s="283">
        <v>8064</v>
      </c>
      <c r="AV113" s="283">
        <v>-29393</v>
      </c>
      <c r="AW113" s="283">
        <v>6036</v>
      </c>
      <c r="AX113" s="283">
        <v>-12924</v>
      </c>
      <c r="AY113" s="283">
        <v>7417</v>
      </c>
      <c r="BA113" s="123"/>
      <c r="BB113" s="123"/>
    </row>
    <row r="114" spans="2:54">
      <c r="B114" s="281">
        <v>10371</v>
      </c>
      <c r="C114" s="281" t="s">
        <v>117</v>
      </c>
      <c r="D114" s="283">
        <v>306</v>
      </c>
      <c r="E114" s="283">
        <v>459</v>
      </c>
      <c r="F114" s="283">
        <v>-124</v>
      </c>
      <c r="G114" s="283">
        <v>344</v>
      </c>
      <c r="H114" s="283">
        <v>598</v>
      </c>
      <c r="I114" s="283">
        <v>602</v>
      </c>
      <c r="J114" s="283">
        <v>1285</v>
      </c>
      <c r="K114" s="283">
        <v>1294</v>
      </c>
      <c r="L114" s="283">
        <v>1215</v>
      </c>
      <c r="M114" s="283">
        <v>979</v>
      </c>
      <c r="N114" s="283">
        <v>686</v>
      </c>
      <c r="O114" s="283">
        <v>627</v>
      </c>
      <c r="P114" s="283">
        <v>1071</v>
      </c>
      <c r="Q114" s="283">
        <v>783</v>
      </c>
      <c r="R114" s="283">
        <v>-1152</v>
      </c>
      <c r="S114" s="283">
        <v>-7</v>
      </c>
      <c r="T114" s="283">
        <v>-2717</v>
      </c>
      <c r="U114" s="283">
        <v>-1154</v>
      </c>
      <c r="V114" s="283">
        <v>-1331</v>
      </c>
      <c r="W114" s="283">
        <v>321</v>
      </c>
      <c r="X114" s="283">
        <v>-979</v>
      </c>
      <c r="Y114" s="283">
        <v>212</v>
      </c>
      <c r="Z114" s="283">
        <v>-630</v>
      </c>
      <c r="AA114" s="283">
        <v>48</v>
      </c>
      <c r="AB114" s="283">
        <v>355</v>
      </c>
      <c r="AC114" s="283">
        <v>488</v>
      </c>
      <c r="AD114" s="283">
        <v>-77</v>
      </c>
      <c r="AE114" s="283">
        <v>375</v>
      </c>
      <c r="AF114" s="283">
        <v>645</v>
      </c>
      <c r="AG114" s="283">
        <v>632</v>
      </c>
      <c r="AH114" s="283">
        <v>1331</v>
      </c>
      <c r="AI114" s="283">
        <v>1325</v>
      </c>
      <c r="AJ114" s="283">
        <v>1424</v>
      </c>
      <c r="AK114" s="283">
        <v>1088</v>
      </c>
      <c r="AL114" s="283">
        <v>734</v>
      </c>
      <c r="AM114" s="283">
        <v>657</v>
      </c>
      <c r="AN114" s="283">
        <v>1118</v>
      </c>
      <c r="AO114" s="283">
        <v>812</v>
      </c>
      <c r="AP114" s="283">
        <v>-1109</v>
      </c>
      <c r="AQ114" s="283">
        <v>22</v>
      </c>
      <c r="AR114" s="283">
        <v>-2672</v>
      </c>
      <c r="AS114" s="283">
        <v>-1127</v>
      </c>
      <c r="AT114" s="283">
        <v>-1286</v>
      </c>
      <c r="AU114" s="283">
        <v>351</v>
      </c>
      <c r="AV114" s="283">
        <v>-932</v>
      </c>
      <c r="AW114" s="283">
        <v>241</v>
      </c>
      <c r="AX114" s="283">
        <v>-588</v>
      </c>
      <c r="AY114" s="283">
        <v>76</v>
      </c>
      <c r="BA114" s="123"/>
      <c r="BB114" s="123"/>
    </row>
    <row r="115" spans="2:54">
      <c r="B115" s="281">
        <v>10376</v>
      </c>
      <c r="C115" s="281" t="s">
        <v>118</v>
      </c>
      <c r="D115" s="283">
        <v>887</v>
      </c>
      <c r="E115" s="283">
        <v>1489</v>
      </c>
      <c r="F115" s="283">
        <v>-866</v>
      </c>
      <c r="G115" s="283">
        <v>1935</v>
      </c>
      <c r="H115" s="283">
        <v>1801</v>
      </c>
      <c r="I115" s="283">
        <v>4810</v>
      </c>
      <c r="J115" s="283">
        <v>7519</v>
      </c>
      <c r="K115" s="283">
        <v>7350</v>
      </c>
      <c r="L115" s="283">
        <v>5907</v>
      </c>
      <c r="M115" s="283">
        <v>4684</v>
      </c>
      <c r="N115" s="283">
        <v>3283</v>
      </c>
      <c r="O115" s="283">
        <v>4540</v>
      </c>
      <c r="P115" s="283">
        <v>4731</v>
      </c>
      <c r="Q115" s="283">
        <v>3371</v>
      </c>
      <c r="R115" s="283">
        <v>-7162</v>
      </c>
      <c r="S115" s="283">
        <v>-301</v>
      </c>
      <c r="T115" s="283">
        <v>-13878</v>
      </c>
      <c r="U115" s="283">
        <v>-6355</v>
      </c>
      <c r="V115" s="283">
        <v>-8060</v>
      </c>
      <c r="W115" s="283">
        <v>236</v>
      </c>
      <c r="X115" s="283">
        <v>-7063</v>
      </c>
      <c r="Y115" s="283">
        <v>345</v>
      </c>
      <c r="Z115" s="283">
        <v>-2556</v>
      </c>
      <c r="AA115" s="283">
        <v>354</v>
      </c>
      <c r="AB115" s="283">
        <v>899</v>
      </c>
      <c r="AC115" s="283">
        <v>1498</v>
      </c>
      <c r="AD115" s="283">
        <v>-1990</v>
      </c>
      <c r="AE115" s="283">
        <v>3080</v>
      </c>
      <c r="AF115" s="283">
        <v>3033</v>
      </c>
      <c r="AG115" s="283">
        <v>3613</v>
      </c>
      <c r="AH115" s="283">
        <v>6313</v>
      </c>
      <c r="AI115" s="283">
        <v>8608</v>
      </c>
      <c r="AJ115" s="283">
        <v>5747</v>
      </c>
      <c r="AK115" s="283">
        <v>4714</v>
      </c>
      <c r="AL115" s="283">
        <v>4378</v>
      </c>
      <c r="AM115" s="283">
        <v>3480</v>
      </c>
      <c r="AN115" s="283">
        <v>4751</v>
      </c>
      <c r="AO115" s="283">
        <v>3384</v>
      </c>
      <c r="AP115" s="283">
        <v>-7169</v>
      </c>
      <c r="AQ115" s="283">
        <v>-296</v>
      </c>
      <c r="AR115" s="283">
        <v>-13898</v>
      </c>
      <c r="AS115" s="283">
        <v>-6363</v>
      </c>
      <c r="AT115" s="283">
        <v>-8068</v>
      </c>
      <c r="AU115" s="283">
        <v>242</v>
      </c>
      <c r="AV115" s="283">
        <v>-7070</v>
      </c>
      <c r="AW115" s="283">
        <v>351</v>
      </c>
      <c r="AX115" s="283">
        <v>-2553</v>
      </c>
      <c r="AY115" s="283">
        <v>361</v>
      </c>
      <c r="BA115" s="123"/>
      <c r="BB115" s="123"/>
    </row>
    <row r="116" spans="2:54">
      <c r="B116" s="281">
        <v>10378</v>
      </c>
      <c r="C116" s="281" t="s">
        <v>119</v>
      </c>
      <c r="D116" s="283">
        <v>-176</v>
      </c>
      <c r="E116" s="283">
        <v>-62</v>
      </c>
      <c r="F116" s="283">
        <v>7</v>
      </c>
      <c r="G116" s="283">
        <v>135</v>
      </c>
      <c r="H116" s="283">
        <v>323</v>
      </c>
      <c r="I116" s="283">
        <v>332</v>
      </c>
      <c r="J116" s="283">
        <v>501</v>
      </c>
      <c r="K116" s="283">
        <v>481</v>
      </c>
      <c r="L116" s="283">
        <v>214</v>
      </c>
      <c r="M116" s="283">
        <v>234</v>
      </c>
      <c r="N116" s="283">
        <v>16</v>
      </c>
      <c r="O116" s="283">
        <v>100</v>
      </c>
      <c r="P116" s="283">
        <v>14</v>
      </c>
      <c r="Q116" s="283">
        <v>44</v>
      </c>
      <c r="R116" s="283">
        <v>-350</v>
      </c>
      <c r="S116" s="283">
        <v>-133</v>
      </c>
      <c r="T116" s="283">
        <v>-517</v>
      </c>
      <c r="U116" s="283">
        <v>-252</v>
      </c>
      <c r="V116" s="283">
        <v>-261</v>
      </c>
      <c r="W116" s="283">
        <v>8</v>
      </c>
      <c r="X116" s="283">
        <v>-251</v>
      </c>
      <c r="Y116" s="283">
        <v>-36</v>
      </c>
      <c r="Z116" s="283">
        <v>-263</v>
      </c>
      <c r="AA116" s="283">
        <v>-111</v>
      </c>
      <c r="AB116" s="283">
        <v>-180</v>
      </c>
      <c r="AC116" s="283">
        <v>-63</v>
      </c>
      <c r="AD116" s="283">
        <v>4</v>
      </c>
      <c r="AE116" s="283">
        <v>135</v>
      </c>
      <c r="AF116" s="283">
        <v>323</v>
      </c>
      <c r="AG116" s="283">
        <v>333</v>
      </c>
      <c r="AH116" s="283">
        <v>503</v>
      </c>
      <c r="AI116" s="283">
        <v>483</v>
      </c>
      <c r="AJ116" s="283">
        <v>244</v>
      </c>
      <c r="AK116" s="283">
        <v>250</v>
      </c>
      <c r="AL116" s="283">
        <v>14</v>
      </c>
      <c r="AM116" s="283">
        <v>100</v>
      </c>
      <c r="AN116" s="283">
        <v>13</v>
      </c>
      <c r="AO116" s="283">
        <v>44</v>
      </c>
      <c r="AP116" s="283">
        <v>-355</v>
      </c>
      <c r="AQ116" s="283">
        <v>-135</v>
      </c>
      <c r="AR116" s="283">
        <v>-524</v>
      </c>
      <c r="AS116" s="283">
        <v>-255</v>
      </c>
      <c r="AT116" s="283">
        <v>-266</v>
      </c>
      <c r="AU116" s="283">
        <v>6</v>
      </c>
      <c r="AV116" s="283">
        <v>-255</v>
      </c>
      <c r="AW116" s="283">
        <v>-37</v>
      </c>
      <c r="AX116" s="283">
        <v>-267</v>
      </c>
      <c r="AY116" s="283">
        <v>-113</v>
      </c>
      <c r="BA116" s="123"/>
      <c r="BB116" s="123"/>
    </row>
    <row r="117" spans="2:54">
      <c r="B117" s="281">
        <v>10379</v>
      </c>
      <c r="C117" s="281" t="s">
        <v>120</v>
      </c>
      <c r="D117" s="283">
        <v>-45</v>
      </c>
      <c r="E117" s="283">
        <v>103</v>
      </c>
      <c r="F117" s="283">
        <v>-42</v>
      </c>
      <c r="G117" s="283">
        <v>203</v>
      </c>
      <c r="H117" s="283">
        <v>359</v>
      </c>
      <c r="I117" s="283">
        <v>335</v>
      </c>
      <c r="J117" s="283">
        <v>733</v>
      </c>
      <c r="K117" s="283">
        <v>702</v>
      </c>
      <c r="L117" s="283">
        <v>661</v>
      </c>
      <c r="M117" s="283">
        <v>527</v>
      </c>
      <c r="N117" s="283">
        <v>207</v>
      </c>
      <c r="O117" s="283">
        <v>241</v>
      </c>
      <c r="P117" s="283">
        <v>344</v>
      </c>
      <c r="Q117" s="283">
        <v>289</v>
      </c>
      <c r="R117" s="283">
        <v>-723</v>
      </c>
      <c r="S117" s="283">
        <v>-149</v>
      </c>
      <c r="T117" s="283">
        <v>-1479</v>
      </c>
      <c r="U117" s="283">
        <v>-693</v>
      </c>
      <c r="V117" s="283">
        <v>-961</v>
      </c>
      <c r="W117" s="283">
        <v>-73</v>
      </c>
      <c r="X117" s="283">
        <v>-813</v>
      </c>
      <c r="Y117" s="283">
        <v>-111</v>
      </c>
      <c r="Z117" s="283">
        <v>-509</v>
      </c>
      <c r="AA117" s="283">
        <v>-156</v>
      </c>
      <c r="AB117" s="283">
        <v>-44</v>
      </c>
      <c r="AC117" s="283">
        <v>104</v>
      </c>
      <c r="AD117" s="283">
        <v>-44</v>
      </c>
      <c r="AE117" s="283">
        <v>203</v>
      </c>
      <c r="AF117" s="283">
        <v>357</v>
      </c>
      <c r="AG117" s="283">
        <v>334</v>
      </c>
      <c r="AH117" s="283">
        <v>733</v>
      </c>
      <c r="AI117" s="283">
        <v>703</v>
      </c>
      <c r="AJ117" s="283">
        <v>662</v>
      </c>
      <c r="AK117" s="283">
        <v>518</v>
      </c>
      <c r="AL117" s="283">
        <v>208</v>
      </c>
      <c r="AM117" s="283">
        <v>242</v>
      </c>
      <c r="AN117" s="283">
        <v>346</v>
      </c>
      <c r="AO117" s="283">
        <v>290</v>
      </c>
      <c r="AP117" s="283">
        <v>-725</v>
      </c>
      <c r="AQ117" s="283">
        <v>-149</v>
      </c>
      <c r="AR117" s="283">
        <v>-1483</v>
      </c>
      <c r="AS117" s="283">
        <v>-694</v>
      </c>
      <c r="AT117" s="283">
        <v>-963</v>
      </c>
      <c r="AU117" s="283">
        <v>-71</v>
      </c>
      <c r="AV117" s="283">
        <v>-814</v>
      </c>
      <c r="AW117" s="283">
        <v>-109</v>
      </c>
      <c r="AX117" s="283">
        <v>-509</v>
      </c>
      <c r="AY117" s="283">
        <v>-155</v>
      </c>
      <c r="BA117" s="123"/>
      <c r="BB117" s="123"/>
    </row>
    <row r="118" spans="2:54">
      <c r="B118" s="281">
        <v>10388</v>
      </c>
      <c r="C118" s="281" t="s">
        <v>121</v>
      </c>
      <c r="D118" s="283">
        <v>0</v>
      </c>
      <c r="E118" s="283">
        <v>0</v>
      </c>
      <c r="F118" s="283">
        <v>0</v>
      </c>
      <c r="G118" s="283">
        <v>0</v>
      </c>
      <c r="H118" s="283">
        <v>0</v>
      </c>
      <c r="I118" s="283">
        <v>0</v>
      </c>
      <c r="J118" s="283">
        <v>0</v>
      </c>
      <c r="K118" s="283">
        <v>0</v>
      </c>
      <c r="L118" s="283">
        <v>0</v>
      </c>
      <c r="M118" s="283">
        <v>0</v>
      </c>
      <c r="N118" s="283">
        <v>0</v>
      </c>
      <c r="O118" s="283">
        <v>0</v>
      </c>
      <c r="P118" s="283">
        <v>0</v>
      </c>
      <c r="Q118" s="283">
        <v>0</v>
      </c>
      <c r="R118" s="283">
        <v>0</v>
      </c>
      <c r="S118" s="283">
        <v>0</v>
      </c>
      <c r="T118" s="283">
        <v>0</v>
      </c>
      <c r="U118" s="283">
        <v>0</v>
      </c>
      <c r="V118" s="283">
        <v>0</v>
      </c>
      <c r="W118" s="283">
        <v>0</v>
      </c>
      <c r="X118" s="283">
        <v>0</v>
      </c>
      <c r="Y118" s="283">
        <v>0</v>
      </c>
      <c r="Z118" s="283">
        <v>0</v>
      </c>
      <c r="AA118" s="283">
        <v>0</v>
      </c>
      <c r="AB118" s="283">
        <v>0</v>
      </c>
      <c r="AC118" s="283">
        <v>0</v>
      </c>
      <c r="AD118" s="283">
        <v>0</v>
      </c>
      <c r="AE118" s="283">
        <v>0</v>
      </c>
      <c r="AF118" s="283">
        <v>0</v>
      </c>
      <c r="AG118" s="283">
        <v>0</v>
      </c>
      <c r="AH118" s="283">
        <v>0</v>
      </c>
      <c r="AI118" s="283">
        <v>0</v>
      </c>
      <c r="AJ118" s="283">
        <v>0</v>
      </c>
      <c r="AK118" s="283">
        <v>0</v>
      </c>
      <c r="AL118" s="283">
        <v>0</v>
      </c>
      <c r="AM118" s="283">
        <v>0</v>
      </c>
      <c r="AN118" s="283">
        <v>0</v>
      </c>
      <c r="AO118" s="283">
        <v>0</v>
      </c>
      <c r="AP118" s="283">
        <v>0</v>
      </c>
      <c r="AQ118" s="283">
        <v>0</v>
      </c>
      <c r="AR118" s="283">
        <v>0</v>
      </c>
      <c r="AS118" s="283">
        <v>0</v>
      </c>
      <c r="AT118" s="283">
        <v>0</v>
      </c>
      <c r="AU118" s="283">
        <v>0</v>
      </c>
      <c r="AV118" s="283">
        <v>0</v>
      </c>
      <c r="AW118" s="283">
        <v>0</v>
      </c>
      <c r="AX118" s="283">
        <v>0</v>
      </c>
      <c r="AY118" s="283">
        <v>0</v>
      </c>
      <c r="BA118" s="123"/>
      <c r="BB118" s="123"/>
    </row>
    <row r="119" spans="2:54">
      <c r="B119" s="281">
        <v>10391</v>
      </c>
      <c r="C119" s="281" t="s">
        <v>122</v>
      </c>
      <c r="D119" s="283">
        <v>-2642</v>
      </c>
      <c r="E119" s="283">
        <v>-499</v>
      </c>
      <c r="F119" s="283">
        <v>-5435</v>
      </c>
      <c r="G119" s="283">
        <v>-1850</v>
      </c>
      <c r="H119" s="283">
        <v>-2446</v>
      </c>
      <c r="I119" s="283">
        <v>-109</v>
      </c>
      <c r="J119" s="283">
        <v>51</v>
      </c>
      <c r="K119" s="283">
        <v>1912</v>
      </c>
      <c r="L119" s="283">
        <v>-481</v>
      </c>
      <c r="M119" s="283">
        <v>915</v>
      </c>
      <c r="N119" s="283">
        <v>-2757</v>
      </c>
      <c r="O119" s="283">
        <v>-743</v>
      </c>
      <c r="P119" s="283">
        <v>-445</v>
      </c>
      <c r="Q119" s="283">
        <v>161</v>
      </c>
      <c r="R119" s="283">
        <v>-1019</v>
      </c>
      <c r="S119" s="283">
        <v>1369</v>
      </c>
      <c r="T119" s="283">
        <v>108</v>
      </c>
      <c r="U119" s="283">
        <v>1916</v>
      </c>
      <c r="V119" s="283">
        <v>2049</v>
      </c>
      <c r="W119" s="283">
        <v>5548</v>
      </c>
      <c r="X119" s="283">
        <v>1323</v>
      </c>
      <c r="Y119" s="283">
        <v>3081</v>
      </c>
      <c r="Z119" s="283">
        <v>-874</v>
      </c>
      <c r="AA119" s="283">
        <v>865</v>
      </c>
      <c r="AB119" s="283">
        <v>-2658</v>
      </c>
      <c r="AC119" s="283">
        <v>-528</v>
      </c>
      <c r="AD119" s="283">
        <v>-5342</v>
      </c>
      <c r="AE119" s="283">
        <v>-1976</v>
      </c>
      <c r="AF119" s="283">
        <v>-2561</v>
      </c>
      <c r="AG119" s="283">
        <v>-39</v>
      </c>
      <c r="AH119" s="283">
        <v>135</v>
      </c>
      <c r="AI119" s="283">
        <v>1783</v>
      </c>
      <c r="AJ119" s="283">
        <v>-143</v>
      </c>
      <c r="AK119" s="283">
        <v>1026</v>
      </c>
      <c r="AL119" s="283">
        <v>-2874</v>
      </c>
      <c r="AM119" s="283">
        <v>-671</v>
      </c>
      <c r="AN119" s="283">
        <v>-453</v>
      </c>
      <c r="AO119" s="283">
        <v>137</v>
      </c>
      <c r="AP119" s="283">
        <v>-1026</v>
      </c>
      <c r="AQ119" s="283">
        <v>1331</v>
      </c>
      <c r="AR119" s="283">
        <v>100</v>
      </c>
      <c r="AS119" s="283">
        <v>1892</v>
      </c>
      <c r="AT119" s="283">
        <v>2031</v>
      </c>
      <c r="AU119" s="283">
        <v>5521</v>
      </c>
      <c r="AV119" s="283">
        <v>1317</v>
      </c>
      <c r="AW119" s="283">
        <v>3042</v>
      </c>
      <c r="AX119" s="283">
        <v>-880</v>
      </c>
      <c r="AY119" s="283">
        <v>838</v>
      </c>
      <c r="BA119" s="123"/>
      <c r="BB119" s="123"/>
    </row>
    <row r="120" spans="2:54">
      <c r="B120" s="281">
        <v>10406</v>
      </c>
      <c r="C120" s="281" t="s">
        <v>123</v>
      </c>
      <c r="D120" s="283">
        <v>39</v>
      </c>
      <c r="E120" s="283">
        <v>53</v>
      </c>
      <c r="F120" s="283">
        <v>73</v>
      </c>
      <c r="G120" s="283">
        <v>107</v>
      </c>
      <c r="H120" s="283">
        <v>135</v>
      </c>
      <c r="I120" s="283">
        <v>168</v>
      </c>
      <c r="J120" s="283">
        <v>177</v>
      </c>
      <c r="K120" s="283">
        <v>176</v>
      </c>
      <c r="L120" s="283">
        <v>173</v>
      </c>
      <c r="M120" s="283">
        <v>158</v>
      </c>
      <c r="N120" s="283">
        <v>99</v>
      </c>
      <c r="O120" s="283">
        <v>123</v>
      </c>
      <c r="P120" s="283">
        <v>114</v>
      </c>
      <c r="Q120" s="283">
        <v>107</v>
      </c>
      <c r="R120" s="283">
        <v>-13</v>
      </c>
      <c r="S120" s="283">
        <v>53</v>
      </c>
      <c r="T120" s="283">
        <v>-88</v>
      </c>
      <c r="U120" s="283">
        <v>-22</v>
      </c>
      <c r="V120" s="283">
        <v>-47</v>
      </c>
      <c r="W120" s="283">
        <v>25</v>
      </c>
      <c r="X120" s="283">
        <v>-39</v>
      </c>
      <c r="Y120" s="283">
        <v>26</v>
      </c>
      <c r="Z120" s="283">
        <v>-4</v>
      </c>
      <c r="AA120" s="283">
        <v>27</v>
      </c>
      <c r="AB120" s="283">
        <v>39</v>
      </c>
      <c r="AC120" s="283">
        <v>53</v>
      </c>
      <c r="AD120" s="283">
        <v>61</v>
      </c>
      <c r="AE120" s="283">
        <v>120</v>
      </c>
      <c r="AF120" s="283">
        <v>150</v>
      </c>
      <c r="AG120" s="283">
        <v>153</v>
      </c>
      <c r="AH120" s="283">
        <v>162</v>
      </c>
      <c r="AI120" s="283">
        <v>190</v>
      </c>
      <c r="AJ120" s="283">
        <v>167</v>
      </c>
      <c r="AK120" s="283">
        <v>155</v>
      </c>
      <c r="AL120" s="283">
        <v>110</v>
      </c>
      <c r="AM120" s="283">
        <v>111</v>
      </c>
      <c r="AN120" s="283">
        <v>114</v>
      </c>
      <c r="AO120" s="283">
        <v>107</v>
      </c>
      <c r="AP120" s="283">
        <v>-13</v>
      </c>
      <c r="AQ120" s="283">
        <v>53</v>
      </c>
      <c r="AR120" s="283">
        <v>-88</v>
      </c>
      <c r="AS120" s="283">
        <v>-22</v>
      </c>
      <c r="AT120" s="283">
        <v>-47</v>
      </c>
      <c r="AU120" s="283">
        <v>25</v>
      </c>
      <c r="AV120" s="283">
        <v>-39</v>
      </c>
      <c r="AW120" s="283">
        <v>26</v>
      </c>
      <c r="AX120" s="283">
        <v>-4</v>
      </c>
      <c r="AY120" s="283">
        <v>27</v>
      </c>
      <c r="BA120" s="123"/>
      <c r="BB120" s="123"/>
    </row>
    <row r="121" spans="2:54">
      <c r="B121" s="281">
        <v>10408</v>
      </c>
      <c r="C121" s="281" t="s">
        <v>124</v>
      </c>
      <c r="D121" s="283">
        <v>78</v>
      </c>
      <c r="E121" s="283">
        <v>213</v>
      </c>
      <c r="F121" s="283">
        <v>-96</v>
      </c>
      <c r="G121" s="283">
        <v>117</v>
      </c>
      <c r="H121" s="283">
        <v>-24</v>
      </c>
      <c r="I121" s="283">
        <v>158</v>
      </c>
      <c r="J121" s="283">
        <v>107</v>
      </c>
      <c r="K121" s="283">
        <v>255</v>
      </c>
      <c r="L121" s="283">
        <v>131</v>
      </c>
      <c r="M121" s="283">
        <v>219</v>
      </c>
      <c r="N121" s="283">
        <v>60</v>
      </c>
      <c r="O121" s="283">
        <v>187</v>
      </c>
      <c r="P121" s="283">
        <v>161</v>
      </c>
      <c r="Q121" s="283">
        <v>237</v>
      </c>
      <c r="R121" s="283">
        <v>-101</v>
      </c>
      <c r="S121" s="283">
        <v>148</v>
      </c>
      <c r="T121" s="283">
        <v>-331</v>
      </c>
      <c r="U121" s="283">
        <v>-28</v>
      </c>
      <c r="V121" s="283">
        <v>-168</v>
      </c>
      <c r="W121" s="283">
        <v>199</v>
      </c>
      <c r="X121" s="283">
        <v>-296</v>
      </c>
      <c r="Y121" s="283">
        <v>9</v>
      </c>
      <c r="Z121" s="283">
        <v>-179</v>
      </c>
      <c r="AA121" s="283">
        <v>42</v>
      </c>
      <c r="AB121" s="283">
        <v>79</v>
      </c>
      <c r="AC121" s="283">
        <v>213</v>
      </c>
      <c r="AD121" s="283">
        <v>-95</v>
      </c>
      <c r="AE121" s="283">
        <v>117</v>
      </c>
      <c r="AF121" s="283">
        <v>-23</v>
      </c>
      <c r="AG121" s="283">
        <v>158</v>
      </c>
      <c r="AH121" s="283">
        <v>107</v>
      </c>
      <c r="AI121" s="283">
        <v>255</v>
      </c>
      <c r="AJ121" s="283">
        <v>132</v>
      </c>
      <c r="AK121" s="283">
        <v>213</v>
      </c>
      <c r="AL121" s="283">
        <v>60</v>
      </c>
      <c r="AM121" s="283">
        <v>188</v>
      </c>
      <c r="AN121" s="283">
        <v>161</v>
      </c>
      <c r="AO121" s="283">
        <v>237</v>
      </c>
      <c r="AP121" s="283">
        <v>-101</v>
      </c>
      <c r="AQ121" s="283">
        <v>148</v>
      </c>
      <c r="AR121" s="283">
        <v>-331</v>
      </c>
      <c r="AS121" s="283">
        <v>-28</v>
      </c>
      <c r="AT121" s="283">
        <v>-168</v>
      </c>
      <c r="AU121" s="283">
        <v>199</v>
      </c>
      <c r="AV121" s="283">
        <v>-295</v>
      </c>
      <c r="AW121" s="283">
        <v>10</v>
      </c>
      <c r="AX121" s="283">
        <v>-179</v>
      </c>
      <c r="AY121" s="283">
        <v>42</v>
      </c>
      <c r="BA121" s="123"/>
      <c r="BB121" s="123"/>
    </row>
    <row r="122" spans="2:54">
      <c r="B122" s="281">
        <v>10409</v>
      </c>
      <c r="C122" s="281" t="s">
        <v>125</v>
      </c>
      <c r="D122" s="283">
        <v>-73</v>
      </c>
      <c r="E122" s="283">
        <v>1028</v>
      </c>
      <c r="F122" s="283">
        <v>-1272</v>
      </c>
      <c r="G122" s="283">
        <v>610</v>
      </c>
      <c r="H122" s="283">
        <v>190</v>
      </c>
      <c r="I122" s="283">
        <v>2098</v>
      </c>
      <c r="J122" s="283">
        <v>1405</v>
      </c>
      <c r="K122" s="283">
        <v>2223</v>
      </c>
      <c r="L122" s="283">
        <v>1309</v>
      </c>
      <c r="M122" s="283">
        <v>1716</v>
      </c>
      <c r="N122" s="283">
        <v>-157</v>
      </c>
      <c r="O122" s="283">
        <v>1282</v>
      </c>
      <c r="P122" s="283">
        <v>1110</v>
      </c>
      <c r="Q122" s="283">
        <v>1410</v>
      </c>
      <c r="R122" s="283">
        <v>-2233</v>
      </c>
      <c r="S122" s="283">
        <v>713</v>
      </c>
      <c r="T122" s="283">
        <v>-4829</v>
      </c>
      <c r="U122" s="283">
        <v>-1644</v>
      </c>
      <c r="V122" s="283">
        <v>-2875</v>
      </c>
      <c r="W122" s="283">
        <v>631</v>
      </c>
      <c r="X122" s="283">
        <v>-2400</v>
      </c>
      <c r="Y122" s="283">
        <v>794</v>
      </c>
      <c r="Z122" s="283">
        <v>-988</v>
      </c>
      <c r="AA122" s="283">
        <v>634</v>
      </c>
      <c r="AB122" s="283">
        <v>-73</v>
      </c>
      <c r="AC122" s="283">
        <v>1028</v>
      </c>
      <c r="AD122" s="283">
        <v>-1615</v>
      </c>
      <c r="AE122" s="283">
        <v>954</v>
      </c>
      <c r="AF122" s="283">
        <v>583</v>
      </c>
      <c r="AG122" s="283">
        <v>1706</v>
      </c>
      <c r="AH122" s="283">
        <v>1580</v>
      </c>
      <c r="AI122" s="283">
        <v>2979</v>
      </c>
      <c r="AJ122" s="283">
        <v>1797</v>
      </c>
      <c r="AK122" s="283">
        <v>2074</v>
      </c>
      <c r="AL122" s="283">
        <v>708</v>
      </c>
      <c r="AM122" s="283">
        <v>1347</v>
      </c>
      <c r="AN122" s="283">
        <v>2552</v>
      </c>
      <c r="AO122" s="283">
        <v>2488</v>
      </c>
      <c r="AP122" s="283">
        <v>267</v>
      </c>
      <c r="AQ122" s="283">
        <v>2555</v>
      </c>
      <c r="AR122" s="283">
        <v>-2331</v>
      </c>
      <c r="AS122" s="283">
        <v>59</v>
      </c>
      <c r="AT122" s="283">
        <v>-449</v>
      </c>
      <c r="AU122" s="283">
        <v>2547</v>
      </c>
      <c r="AV122" s="283">
        <v>235</v>
      </c>
      <c r="AW122" s="283">
        <v>2501</v>
      </c>
      <c r="AX122" s="283">
        <v>1357</v>
      </c>
      <c r="AY122" s="283">
        <v>2490</v>
      </c>
      <c r="BA122" s="123"/>
      <c r="BB122" s="123"/>
    </row>
    <row r="123" spans="2:54">
      <c r="B123" s="281">
        <v>10426</v>
      </c>
      <c r="C123" s="281" t="s">
        <v>126</v>
      </c>
      <c r="D123" s="283">
        <v>-1808</v>
      </c>
      <c r="E123" s="283">
        <v>1361</v>
      </c>
      <c r="F123" s="283">
        <v>-3223</v>
      </c>
      <c r="G123" s="283">
        <v>1382</v>
      </c>
      <c r="H123" s="283">
        <v>-10</v>
      </c>
      <c r="I123" s="283">
        <v>3297</v>
      </c>
      <c r="J123" s="283">
        <v>1919</v>
      </c>
      <c r="K123" s="283">
        <v>4972</v>
      </c>
      <c r="L123" s="283">
        <v>1925</v>
      </c>
      <c r="M123" s="283">
        <v>4112</v>
      </c>
      <c r="N123" s="283">
        <v>-1161</v>
      </c>
      <c r="O123" s="283">
        <v>2195</v>
      </c>
      <c r="P123" s="283">
        <v>635</v>
      </c>
      <c r="Q123" s="283">
        <v>2510</v>
      </c>
      <c r="R123" s="283">
        <v>-4182</v>
      </c>
      <c r="S123" s="283">
        <v>614</v>
      </c>
      <c r="T123" s="283">
        <v>-7768</v>
      </c>
      <c r="U123" s="283">
        <v>-2369</v>
      </c>
      <c r="V123" s="283">
        <v>-3883</v>
      </c>
      <c r="W123" s="283">
        <v>1434</v>
      </c>
      <c r="X123" s="283">
        <v>-3237</v>
      </c>
      <c r="Y123" s="283">
        <v>1064</v>
      </c>
      <c r="Z123" s="283">
        <v>-2053</v>
      </c>
      <c r="AA123" s="283">
        <v>1012</v>
      </c>
      <c r="AB123" s="283">
        <v>-1561</v>
      </c>
      <c r="AC123" s="283">
        <v>1924</v>
      </c>
      <c r="AD123" s="283">
        <v>-3513</v>
      </c>
      <c r="AE123" s="283">
        <v>1716</v>
      </c>
      <c r="AF123" s="283">
        <v>-218</v>
      </c>
      <c r="AG123" s="283">
        <v>3592</v>
      </c>
      <c r="AH123" s="283">
        <v>2031</v>
      </c>
      <c r="AI123" s="283">
        <v>5537</v>
      </c>
      <c r="AJ123" s="283">
        <v>2432</v>
      </c>
      <c r="AK123" s="283">
        <v>4713</v>
      </c>
      <c r="AL123" s="283">
        <v>-1043</v>
      </c>
      <c r="AM123" s="283">
        <v>2731</v>
      </c>
      <c r="AN123" s="283">
        <v>1157</v>
      </c>
      <c r="AO123" s="283">
        <v>3199</v>
      </c>
      <c r="AP123" s="283">
        <v>-4291</v>
      </c>
      <c r="AQ123" s="283">
        <v>1087</v>
      </c>
      <c r="AR123" s="283">
        <v>-8340</v>
      </c>
      <c r="AS123" s="283">
        <v>-2337</v>
      </c>
      <c r="AT123" s="283">
        <v>-4017</v>
      </c>
      <c r="AU123" s="283">
        <v>1931</v>
      </c>
      <c r="AV123" s="283">
        <v>-3240</v>
      </c>
      <c r="AW123" s="283">
        <v>1516</v>
      </c>
      <c r="AX123" s="283">
        <v>-1819</v>
      </c>
      <c r="AY123" s="283">
        <v>1551</v>
      </c>
      <c r="BA123" s="123"/>
      <c r="BB123" s="123"/>
    </row>
    <row r="124" spans="2:54">
      <c r="B124" s="281">
        <v>10434</v>
      </c>
      <c r="C124" s="281" t="s">
        <v>127</v>
      </c>
      <c r="D124" s="283">
        <v>-913</v>
      </c>
      <c r="E124" s="283">
        <v>-181</v>
      </c>
      <c r="F124" s="283">
        <v>-1624</v>
      </c>
      <c r="G124" s="283">
        <v>37</v>
      </c>
      <c r="H124" s="283">
        <v>1422</v>
      </c>
      <c r="I124" s="283">
        <v>1613</v>
      </c>
      <c r="J124" s="283">
        <v>3503</v>
      </c>
      <c r="K124" s="283">
        <v>3246</v>
      </c>
      <c r="L124" s="283">
        <v>1551</v>
      </c>
      <c r="M124" s="283">
        <v>1463</v>
      </c>
      <c r="N124" s="283">
        <v>32</v>
      </c>
      <c r="O124" s="283">
        <v>522</v>
      </c>
      <c r="P124" s="283">
        <v>1146</v>
      </c>
      <c r="Q124" s="283">
        <v>744</v>
      </c>
      <c r="R124" s="283">
        <v>-3112</v>
      </c>
      <c r="S124" s="283">
        <v>-816</v>
      </c>
      <c r="T124" s="283">
        <v>-4765</v>
      </c>
      <c r="U124" s="283">
        <v>-2229</v>
      </c>
      <c r="V124" s="283">
        <v>-1388</v>
      </c>
      <c r="W124" s="283">
        <v>1034</v>
      </c>
      <c r="X124" s="283">
        <v>-390</v>
      </c>
      <c r="Y124" s="283">
        <v>848</v>
      </c>
      <c r="Z124" s="283">
        <v>-1554</v>
      </c>
      <c r="AA124" s="283">
        <v>-162</v>
      </c>
      <c r="AB124" s="283">
        <v>-952</v>
      </c>
      <c r="AC124" s="283">
        <v>-218</v>
      </c>
      <c r="AD124" s="283">
        <v>-1623</v>
      </c>
      <c r="AE124" s="283">
        <v>-13</v>
      </c>
      <c r="AF124" s="283">
        <v>1389</v>
      </c>
      <c r="AG124" s="283">
        <v>1614</v>
      </c>
      <c r="AH124" s="283">
        <v>3514</v>
      </c>
      <c r="AI124" s="283">
        <v>3203</v>
      </c>
      <c r="AJ124" s="283">
        <v>1982</v>
      </c>
      <c r="AK124" s="283">
        <v>1666</v>
      </c>
      <c r="AL124" s="283">
        <v>-22</v>
      </c>
      <c r="AM124" s="283">
        <v>513</v>
      </c>
      <c r="AN124" s="283">
        <v>1111</v>
      </c>
      <c r="AO124" s="283">
        <v>711</v>
      </c>
      <c r="AP124" s="283">
        <v>-3146</v>
      </c>
      <c r="AQ124" s="283">
        <v>-857</v>
      </c>
      <c r="AR124" s="283">
        <v>-4793</v>
      </c>
      <c r="AS124" s="283">
        <v>-2259</v>
      </c>
      <c r="AT124" s="283">
        <v>-1413</v>
      </c>
      <c r="AU124" s="283">
        <v>1001</v>
      </c>
      <c r="AV124" s="283">
        <v>-413</v>
      </c>
      <c r="AW124" s="283">
        <v>813</v>
      </c>
      <c r="AX124" s="283">
        <v>-1589</v>
      </c>
      <c r="AY124" s="283">
        <v>-199</v>
      </c>
      <c r="BA124" s="123"/>
      <c r="BB124" s="123"/>
    </row>
    <row r="125" spans="2:54">
      <c r="B125" s="281">
        <v>10436</v>
      </c>
      <c r="C125" s="281" t="s">
        <v>128</v>
      </c>
      <c r="D125" s="283">
        <v>-3023</v>
      </c>
      <c r="E125" s="283">
        <v>-1031</v>
      </c>
      <c r="F125" s="283">
        <v>-3906</v>
      </c>
      <c r="G125" s="283">
        <v>-1220</v>
      </c>
      <c r="H125" s="283">
        <v>-1894</v>
      </c>
      <c r="I125" s="283">
        <v>-40</v>
      </c>
      <c r="J125" s="283">
        <v>-635</v>
      </c>
      <c r="K125" s="283">
        <v>1067</v>
      </c>
      <c r="L125" s="283">
        <v>-1022</v>
      </c>
      <c r="M125" s="283">
        <v>398</v>
      </c>
      <c r="N125" s="283">
        <v>-2495</v>
      </c>
      <c r="O125" s="283">
        <v>-574</v>
      </c>
      <c r="P125" s="283">
        <v>-1376</v>
      </c>
      <c r="Q125" s="283">
        <v>-252</v>
      </c>
      <c r="R125" s="283">
        <v>-1350</v>
      </c>
      <c r="S125" s="283">
        <v>896</v>
      </c>
      <c r="T125" s="283">
        <v>-401</v>
      </c>
      <c r="U125" s="283">
        <v>1590</v>
      </c>
      <c r="V125" s="283">
        <v>3139</v>
      </c>
      <c r="W125" s="283">
        <v>5318</v>
      </c>
      <c r="X125" s="283">
        <v>1205</v>
      </c>
      <c r="Y125" s="283">
        <v>2834</v>
      </c>
      <c r="Z125" s="283">
        <v>-842</v>
      </c>
      <c r="AA125" s="283">
        <v>942</v>
      </c>
      <c r="AB125" s="283">
        <v>-3067</v>
      </c>
      <c r="AC125" s="283">
        <v>-1066</v>
      </c>
      <c r="AD125" s="283">
        <v>-3897</v>
      </c>
      <c r="AE125" s="283">
        <v>-1281</v>
      </c>
      <c r="AF125" s="283">
        <v>-1942</v>
      </c>
      <c r="AG125" s="283">
        <v>-21</v>
      </c>
      <c r="AH125" s="283">
        <v>-616</v>
      </c>
      <c r="AI125" s="283">
        <v>1017</v>
      </c>
      <c r="AJ125" s="283">
        <v>-706</v>
      </c>
      <c r="AK125" s="283">
        <v>550</v>
      </c>
      <c r="AL125" s="283">
        <v>-2565</v>
      </c>
      <c r="AM125" s="283">
        <v>-568</v>
      </c>
      <c r="AN125" s="283">
        <v>-1414</v>
      </c>
      <c r="AO125" s="283">
        <v>-282</v>
      </c>
      <c r="AP125" s="283">
        <v>-1362</v>
      </c>
      <c r="AQ125" s="283">
        <v>877</v>
      </c>
      <c r="AR125" s="283">
        <v>-384</v>
      </c>
      <c r="AS125" s="283">
        <v>1599</v>
      </c>
      <c r="AT125" s="283">
        <v>3169</v>
      </c>
      <c r="AU125" s="283">
        <v>5337</v>
      </c>
      <c r="AV125" s="283">
        <v>1216</v>
      </c>
      <c r="AW125" s="283">
        <v>2831</v>
      </c>
      <c r="AX125" s="283">
        <v>-860</v>
      </c>
      <c r="AY125" s="283">
        <v>925</v>
      </c>
      <c r="BA125" s="123"/>
      <c r="BB125" s="123"/>
    </row>
    <row r="126" spans="2:54">
      <c r="B126" s="281">
        <v>10440</v>
      </c>
      <c r="C126" s="281" t="s">
        <v>129</v>
      </c>
      <c r="D126" s="283">
        <v>-67</v>
      </c>
      <c r="E126" s="283">
        <v>36</v>
      </c>
      <c r="F126" s="283">
        <v>101</v>
      </c>
      <c r="G126" s="283">
        <v>300</v>
      </c>
      <c r="H126" s="283">
        <v>538</v>
      </c>
      <c r="I126" s="283">
        <v>704</v>
      </c>
      <c r="J126" s="283">
        <v>912</v>
      </c>
      <c r="K126" s="283">
        <v>807</v>
      </c>
      <c r="L126" s="283">
        <v>759</v>
      </c>
      <c r="M126" s="283">
        <v>584</v>
      </c>
      <c r="N126" s="283">
        <v>267</v>
      </c>
      <c r="O126" s="283">
        <v>418</v>
      </c>
      <c r="P126" s="283">
        <v>426</v>
      </c>
      <c r="Q126" s="283">
        <v>319</v>
      </c>
      <c r="R126" s="283">
        <v>-776</v>
      </c>
      <c r="S126" s="283">
        <v>-127</v>
      </c>
      <c r="T126" s="283">
        <v>-1482</v>
      </c>
      <c r="U126" s="283">
        <v>-733</v>
      </c>
      <c r="V126" s="283">
        <v>-1039</v>
      </c>
      <c r="W126" s="283">
        <v>-215</v>
      </c>
      <c r="X126" s="283">
        <v>-951</v>
      </c>
      <c r="Y126" s="283">
        <v>-207</v>
      </c>
      <c r="Z126" s="283">
        <v>-437</v>
      </c>
      <c r="AA126" s="283">
        <v>-137</v>
      </c>
      <c r="AB126" s="283">
        <v>-65</v>
      </c>
      <c r="AC126" s="283">
        <v>37</v>
      </c>
      <c r="AD126" s="283">
        <v>-12</v>
      </c>
      <c r="AE126" s="283">
        <v>417</v>
      </c>
      <c r="AF126" s="283">
        <v>671</v>
      </c>
      <c r="AG126" s="283">
        <v>574</v>
      </c>
      <c r="AH126" s="283">
        <v>788</v>
      </c>
      <c r="AI126" s="283">
        <v>935</v>
      </c>
      <c r="AJ126" s="283">
        <v>731</v>
      </c>
      <c r="AK126" s="283">
        <v>581</v>
      </c>
      <c r="AL126" s="283">
        <v>370</v>
      </c>
      <c r="AM126" s="283">
        <v>317</v>
      </c>
      <c r="AN126" s="283">
        <v>428</v>
      </c>
      <c r="AO126" s="283">
        <v>320</v>
      </c>
      <c r="AP126" s="283">
        <v>-774</v>
      </c>
      <c r="AQ126" s="283">
        <v>-126</v>
      </c>
      <c r="AR126" s="283">
        <v>-1479</v>
      </c>
      <c r="AS126" s="283">
        <v>-731</v>
      </c>
      <c r="AT126" s="283">
        <v>-1037</v>
      </c>
      <c r="AU126" s="283">
        <v>-214</v>
      </c>
      <c r="AV126" s="283">
        <v>-949</v>
      </c>
      <c r="AW126" s="283">
        <v>-206</v>
      </c>
      <c r="AX126" s="283">
        <v>-435</v>
      </c>
      <c r="AY126" s="283">
        <v>-136</v>
      </c>
      <c r="BA126" s="123"/>
      <c r="BB126" s="123"/>
    </row>
    <row r="127" spans="2:54">
      <c r="B127" s="281">
        <v>10442</v>
      </c>
      <c r="C127" s="281" t="s">
        <v>130</v>
      </c>
      <c r="D127" s="283">
        <v>-967</v>
      </c>
      <c r="E127" s="283">
        <v>-25</v>
      </c>
      <c r="F127" s="283">
        <v>-1309</v>
      </c>
      <c r="G127" s="283">
        <v>22</v>
      </c>
      <c r="H127" s="283">
        <v>540</v>
      </c>
      <c r="I127" s="283">
        <v>1627</v>
      </c>
      <c r="J127" s="283">
        <v>1194</v>
      </c>
      <c r="K127" s="283">
        <v>1706</v>
      </c>
      <c r="L127" s="283">
        <v>494</v>
      </c>
      <c r="M127" s="283">
        <v>934</v>
      </c>
      <c r="N127" s="283">
        <v>-1126</v>
      </c>
      <c r="O127" s="283">
        <v>131</v>
      </c>
      <c r="P127" s="283">
        <v>-6</v>
      </c>
      <c r="Q127" s="283">
        <v>327</v>
      </c>
      <c r="R127" s="283">
        <v>-1496</v>
      </c>
      <c r="S127" s="283">
        <v>306</v>
      </c>
      <c r="T127" s="283">
        <v>-2550</v>
      </c>
      <c r="U127" s="283">
        <v>-928</v>
      </c>
      <c r="V127" s="283">
        <v>-107</v>
      </c>
      <c r="W127" s="283">
        <v>1192</v>
      </c>
      <c r="X127" s="283">
        <v>-412</v>
      </c>
      <c r="Y127" s="283">
        <v>948</v>
      </c>
      <c r="Z127" s="283">
        <v>-726</v>
      </c>
      <c r="AA127" s="283">
        <v>237</v>
      </c>
      <c r="AB127" s="283">
        <v>-992</v>
      </c>
      <c r="AC127" s="283">
        <v>-38</v>
      </c>
      <c r="AD127" s="283">
        <v>-1562</v>
      </c>
      <c r="AE127" s="283">
        <v>217</v>
      </c>
      <c r="AF127" s="283">
        <v>796</v>
      </c>
      <c r="AG127" s="283">
        <v>1322</v>
      </c>
      <c r="AH127" s="283">
        <v>905</v>
      </c>
      <c r="AI127" s="283">
        <v>1955</v>
      </c>
      <c r="AJ127" s="283">
        <v>768</v>
      </c>
      <c r="AK127" s="283">
        <v>1141</v>
      </c>
      <c r="AL127" s="283">
        <v>-975</v>
      </c>
      <c r="AM127" s="283">
        <v>-61</v>
      </c>
      <c r="AN127" s="283">
        <v>-27</v>
      </c>
      <c r="AO127" s="283">
        <v>314</v>
      </c>
      <c r="AP127" s="283">
        <v>-1525</v>
      </c>
      <c r="AQ127" s="283">
        <v>291</v>
      </c>
      <c r="AR127" s="283">
        <v>-2586</v>
      </c>
      <c r="AS127" s="283">
        <v>-948</v>
      </c>
      <c r="AT127" s="283">
        <v>-138</v>
      </c>
      <c r="AU127" s="283">
        <v>1178</v>
      </c>
      <c r="AV127" s="283">
        <v>-441</v>
      </c>
      <c r="AW127" s="283">
        <v>935</v>
      </c>
      <c r="AX127" s="283">
        <v>-751</v>
      </c>
      <c r="AY127" s="283">
        <v>223</v>
      </c>
      <c r="BA127" s="123"/>
      <c r="BB127" s="123"/>
    </row>
    <row r="128" spans="2:54">
      <c r="B128" s="281">
        <v>10446</v>
      </c>
      <c r="C128" s="281" t="s">
        <v>131</v>
      </c>
      <c r="D128" s="283">
        <v>-1309</v>
      </c>
      <c r="E128" s="283">
        <v>6824</v>
      </c>
      <c r="F128" s="283">
        <v>-11280</v>
      </c>
      <c r="G128" s="283">
        <v>1701</v>
      </c>
      <c r="H128" s="283">
        <v>-7875</v>
      </c>
      <c r="I128" s="283">
        <v>5642</v>
      </c>
      <c r="J128" s="283">
        <v>1091</v>
      </c>
      <c r="K128" s="283">
        <v>9547</v>
      </c>
      <c r="L128" s="283">
        <v>1836</v>
      </c>
      <c r="M128" s="283">
        <v>7718</v>
      </c>
      <c r="N128" s="283">
        <v>-2877</v>
      </c>
      <c r="O128" s="283">
        <v>7114</v>
      </c>
      <c r="P128" s="283">
        <v>1587</v>
      </c>
      <c r="Q128" s="283">
        <v>6182</v>
      </c>
      <c r="R128" s="283">
        <v>-16657</v>
      </c>
      <c r="S128" s="283">
        <v>1069</v>
      </c>
      <c r="T128" s="283">
        <v>-20289</v>
      </c>
      <c r="U128" s="283">
        <v>-3623</v>
      </c>
      <c r="V128" s="283">
        <v>-9374</v>
      </c>
      <c r="W128" s="283">
        <v>8813</v>
      </c>
      <c r="X128" s="283">
        <v>-7730</v>
      </c>
      <c r="Y128" s="283">
        <v>9255</v>
      </c>
      <c r="Z128" s="283">
        <v>-3160</v>
      </c>
      <c r="AA128" s="283">
        <v>7043</v>
      </c>
      <c r="AB128" s="283">
        <v>-1306</v>
      </c>
      <c r="AC128" s="283">
        <v>6833</v>
      </c>
      <c r="AD128" s="283">
        <v>-12782</v>
      </c>
      <c r="AE128" s="283">
        <v>3200</v>
      </c>
      <c r="AF128" s="283">
        <v>-6297</v>
      </c>
      <c r="AG128" s="283">
        <v>4062</v>
      </c>
      <c r="AH128" s="283">
        <v>-491</v>
      </c>
      <c r="AI128" s="283">
        <v>11145</v>
      </c>
      <c r="AJ128" s="283">
        <v>1759</v>
      </c>
      <c r="AK128" s="283">
        <v>7653</v>
      </c>
      <c r="AL128" s="283">
        <v>-1414</v>
      </c>
      <c r="AM128" s="283">
        <v>5663</v>
      </c>
      <c r="AN128" s="283">
        <v>1596</v>
      </c>
      <c r="AO128" s="283">
        <v>6194</v>
      </c>
      <c r="AP128" s="283">
        <v>-16657</v>
      </c>
      <c r="AQ128" s="283">
        <v>1080</v>
      </c>
      <c r="AR128" s="283">
        <v>-19955</v>
      </c>
      <c r="AS128" s="283">
        <v>-3363</v>
      </c>
      <c r="AT128" s="283">
        <v>-9041</v>
      </c>
      <c r="AU128" s="283">
        <v>9120</v>
      </c>
      <c r="AV128" s="283">
        <v>-7367</v>
      </c>
      <c r="AW128" s="283">
        <v>9534</v>
      </c>
      <c r="AX128" s="283">
        <v>-2839</v>
      </c>
      <c r="AY128" s="283">
        <v>7343</v>
      </c>
      <c r="BA128" s="123"/>
      <c r="BB128" s="123"/>
    </row>
    <row r="129" spans="2:54">
      <c r="B129" s="281">
        <v>10448</v>
      </c>
      <c r="C129" s="281" t="s">
        <v>132</v>
      </c>
      <c r="D129" s="283">
        <v>0</v>
      </c>
      <c r="E129" s="283">
        <v>0</v>
      </c>
      <c r="F129" s="283">
        <v>0</v>
      </c>
      <c r="G129" s="283">
        <v>0</v>
      </c>
      <c r="H129" s="283">
        <v>0</v>
      </c>
      <c r="I129" s="283">
        <v>0</v>
      </c>
      <c r="J129" s="283">
        <v>0</v>
      </c>
      <c r="K129" s="283">
        <v>0</v>
      </c>
      <c r="L129" s="283">
        <v>0</v>
      </c>
      <c r="M129" s="283">
        <v>0</v>
      </c>
      <c r="N129" s="283">
        <v>0</v>
      </c>
      <c r="O129" s="283">
        <v>0</v>
      </c>
      <c r="P129" s="283">
        <v>0</v>
      </c>
      <c r="Q129" s="283">
        <v>0</v>
      </c>
      <c r="R129" s="283">
        <v>0</v>
      </c>
      <c r="S129" s="283">
        <v>0</v>
      </c>
      <c r="T129" s="283">
        <v>0</v>
      </c>
      <c r="U129" s="283">
        <v>0</v>
      </c>
      <c r="V129" s="283">
        <v>0</v>
      </c>
      <c r="W129" s="283">
        <v>0</v>
      </c>
      <c r="X129" s="283">
        <v>0</v>
      </c>
      <c r="Y129" s="283">
        <v>0</v>
      </c>
      <c r="Z129" s="283">
        <v>0</v>
      </c>
      <c r="AA129" s="283">
        <v>0</v>
      </c>
      <c r="AB129" s="283">
        <v>0</v>
      </c>
      <c r="AC129" s="283">
        <v>0</v>
      </c>
      <c r="AD129" s="283">
        <v>0</v>
      </c>
      <c r="AE129" s="283">
        <v>0</v>
      </c>
      <c r="AF129" s="283">
        <v>0</v>
      </c>
      <c r="AG129" s="283">
        <v>0</v>
      </c>
      <c r="AH129" s="283">
        <v>0</v>
      </c>
      <c r="AI129" s="283">
        <v>0</v>
      </c>
      <c r="AJ129" s="283">
        <v>0</v>
      </c>
      <c r="AK129" s="283">
        <v>0</v>
      </c>
      <c r="AL129" s="283">
        <v>0</v>
      </c>
      <c r="AM129" s="283">
        <v>0</v>
      </c>
      <c r="AN129" s="283">
        <v>0</v>
      </c>
      <c r="AO129" s="283">
        <v>0</v>
      </c>
      <c r="AP129" s="283">
        <v>0</v>
      </c>
      <c r="AQ129" s="283">
        <v>0</v>
      </c>
      <c r="AR129" s="283">
        <v>0</v>
      </c>
      <c r="AS129" s="283">
        <v>0</v>
      </c>
      <c r="AT129" s="283">
        <v>0</v>
      </c>
      <c r="AU129" s="283">
        <v>0</v>
      </c>
      <c r="AV129" s="283">
        <v>0</v>
      </c>
      <c r="AW129" s="283">
        <v>0</v>
      </c>
      <c r="AX129" s="283">
        <v>0</v>
      </c>
      <c r="AY129" s="283">
        <v>0</v>
      </c>
      <c r="BA129" s="123"/>
      <c r="BB129" s="123"/>
    </row>
    <row r="130" spans="2:54">
      <c r="B130" s="281">
        <v>10451</v>
      </c>
      <c r="C130" s="281" t="s">
        <v>133</v>
      </c>
      <c r="D130" s="283">
        <v>180</v>
      </c>
      <c r="E130" s="283">
        <v>2169</v>
      </c>
      <c r="F130" s="283">
        <v>-3220</v>
      </c>
      <c r="G130" s="283">
        <v>217</v>
      </c>
      <c r="H130" s="283">
        <v>-2955</v>
      </c>
      <c r="I130" s="283">
        <v>776</v>
      </c>
      <c r="J130" s="283">
        <v>-303</v>
      </c>
      <c r="K130" s="283">
        <v>1935</v>
      </c>
      <c r="L130" s="283">
        <v>288</v>
      </c>
      <c r="M130" s="283">
        <v>1776</v>
      </c>
      <c r="N130" s="283">
        <v>-558</v>
      </c>
      <c r="O130" s="283">
        <v>1940</v>
      </c>
      <c r="P130" s="283">
        <v>1668</v>
      </c>
      <c r="Q130" s="283">
        <v>2500</v>
      </c>
      <c r="R130" s="283">
        <v>-2624</v>
      </c>
      <c r="S130" s="283">
        <v>1863</v>
      </c>
      <c r="T130" s="283">
        <v>-5628</v>
      </c>
      <c r="U130" s="283">
        <v>-1032</v>
      </c>
      <c r="V130" s="283">
        <v>-2775</v>
      </c>
      <c r="W130" s="283">
        <v>2339</v>
      </c>
      <c r="X130" s="283">
        <v>-2385</v>
      </c>
      <c r="Y130" s="283">
        <v>2419</v>
      </c>
      <c r="Z130" s="283">
        <v>-655</v>
      </c>
      <c r="AA130" s="283">
        <v>2063</v>
      </c>
      <c r="AB130" s="283">
        <v>1385</v>
      </c>
      <c r="AC130" s="283">
        <v>2814</v>
      </c>
      <c r="AD130" s="283">
        <v>-2186</v>
      </c>
      <c r="AE130" s="283">
        <v>1532</v>
      </c>
      <c r="AF130" s="283">
        <v>-1076</v>
      </c>
      <c r="AG130" s="283">
        <v>1219</v>
      </c>
      <c r="AH130" s="283">
        <v>472</v>
      </c>
      <c r="AI130" s="283">
        <v>3096</v>
      </c>
      <c r="AJ130" s="283">
        <v>-4524</v>
      </c>
      <c r="AK130" s="283">
        <v>-1977</v>
      </c>
      <c r="AL130" s="283">
        <v>-7300</v>
      </c>
      <c r="AM130" s="283">
        <v>-3763</v>
      </c>
      <c r="AN130" s="283">
        <v>2667</v>
      </c>
      <c r="AO130" s="283">
        <v>3088</v>
      </c>
      <c r="AP130" s="283">
        <v>-1235</v>
      </c>
      <c r="AQ130" s="283">
        <v>2615</v>
      </c>
      <c r="AR130" s="283">
        <v>-3855</v>
      </c>
      <c r="AS130" s="283">
        <v>-73</v>
      </c>
      <c r="AT130" s="283">
        <v>-1300</v>
      </c>
      <c r="AU130" s="283">
        <v>3007</v>
      </c>
      <c r="AV130" s="283">
        <v>-956</v>
      </c>
      <c r="AW130" s="283">
        <v>3075</v>
      </c>
      <c r="AX130" s="283">
        <v>544</v>
      </c>
      <c r="AY130" s="283">
        <v>2736</v>
      </c>
      <c r="BA130" s="123"/>
      <c r="BB130" s="123"/>
    </row>
    <row r="131" spans="2:54">
      <c r="B131" s="281">
        <v>10482</v>
      </c>
      <c r="C131" s="281" t="s">
        <v>134</v>
      </c>
      <c r="D131" s="283">
        <v>10</v>
      </c>
      <c r="E131" s="283">
        <v>186</v>
      </c>
      <c r="F131" s="283">
        <v>-277</v>
      </c>
      <c r="G131" s="283">
        <v>30</v>
      </c>
      <c r="H131" s="283">
        <v>-217</v>
      </c>
      <c r="I131" s="283">
        <v>117</v>
      </c>
      <c r="J131" s="283">
        <v>59</v>
      </c>
      <c r="K131" s="283">
        <v>245</v>
      </c>
      <c r="L131" s="283">
        <v>82</v>
      </c>
      <c r="M131" s="283">
        <v>199</v>
      </c>
      <c r="N131" s="283">
        <v>-10</v>
      </c>
      <c r="O131" s="283">
        <v>229</v>
      </c>
      <c r="P131" s="283">
        <v>207</v>
      </c>
      <c r="Q131" s="283">
        <v>261</v>
      </c>
      <c r="R131" s="283">
        <v>-241</v>
      </c>
      <c r="S131" s="283">
        <v>183</v>
      </c>
      <c r="T131" s="283">
        <v>-527</v>
      </c>
      <c r="U131" s="283">
        <v>-137</v>
      </c>
      <c r="V131" s="283">
        <v>-206</v>
      </c>
      <c r="W131" s="283">
        <v>189</v>
      </c>
      <c r="X131" s="283">
        <v>-185</v>
      </c>
      <c r="Y131" s="283">
        <v>182</v>
      </c>
      <c r="Z131" s="283">
        <v>-61</v>
      </c>
      <c r="AA131" s="283">
        <v>155</v>
      </c>
      <c r="AB131" s="283">
        <v>11</v>
      </c>
      <c r="AC131" s="283">
        <v>187</v>
      </c>
      <c r="AD131" s="283">
        <v>-326</v>
      </c>
      <c r="AE131" s="283">
        <v>80</v>
      </c>
      <c r="AF131" s="283">
        <v>-165</v>
      </c>
      <c r="AG131" s="283">
        <v>65</v>
      </c>
      <c r="AH131" s="283">
        <v>6</v>
      </c>
      <c r="AI131" s="283">
        <v>297</v>
      </c>
      <c r="AJ131" s="283">
        <v>96</v>
      </c>
      <c r="AK131" s="283">
        <v>212</v>
      </c>
      <c r="AL131" s="283">
        <v>41</v>
      </c>
      <c r="AM131" s="283">
        <v>179</v>
      </c>
      <c r="AN131" s="283">
        <v>208</v>
      </c>
      <c r="AO131" s="283">
        <v>261</v>
      </c>
      <c r="AP131" s="283">
        <v>-240</v>
      </c>
      <c r="AQ131" s="283">
        <v>184</v>
      </c>
      <c r="AR131" s="283">
        <v>-526</v>
      </c>
      <c r="AS131" s="283">
        <v>-137</v>
      </c>
      <c r="AT131" s="283">
        <v>-206</v>
      </c>
      <c r="AU131" s="283">
        <v>189</v>
      </c>
      <c r="AV131" s="283">
        <v>-185</v>
      </c>
      <c r="AW131" s="283">
        <v>182</v>
      </c>
      <c r="AX131" s="283">
        <v>-61</v>
      </c>
      <c r="AY131" s="283">
        <v>155</v>
      </c>
      <c r="BA131" s="123"/>
      <c r="BB131" s="123"/>
    </row>
    <row r="132" spans="2:54">
      <c r="B132" s="281">
        <v>10502</v>
      </c>
      <c r="C132" s="281" t="s">
        <v>135</v>
      </c>
      <c r="D132" s="283">
        <v>-1824</v>
      </c>
      <c r="E132" s="283">
        <v>-416</v>
      </c>
      <c r="F132" s="283">
        <v>-4644</v>
      </c>
      <c r="G132" s="283">
        <v>-2180</v>
      </c>
      <c r="H132" s="283">
        <v>-3046</v>
      </c>
      <c r="I132" s="283">
        <v>-1166</v>
      </c>
      <c r="J132" s="283">
        <v>-1960</v>
      </c>
      <c r="K132" s="283">
        <v>-394</v>
      </c>
      <c r="L132" s="283">
        <v>-1662</v>
      </c>
      <c r="M132" s="283">
        <v>-560</v>
      </c>
      <c r="N132" s="283">
        <v>-3002</v>
      </c>
      <c r="O132" s="283">
        <v>-1332</v>
      </c>
      <c r="P132" s="283">
        <v>-400</v>
      </c>
      <c r="Q132" s="283">
        <v>7</v>
      </c>
      <c r="R132" s="283">
        <v>-823</v>
      </c>
      <c r="S132" s="283">
        <v>755</v>
      </c>
      <c r="T132" s="283">
        <v>-1263</v>
      </c>
      <c r="U132" s="283">
        <v>135</v>
      </c>
      <c r="V132" s="283">
        <v>2786</v>
      </c>
      <c r="W132" s="283">
        <v>4247</v>
      </c>
      <c r="X132" s="283">
        <v>3730</v>
      </c>
      <c r="Y132" s="283">
        <v>3870</v>
      </c>
      <c r="Z132" s="283">
        <v>678</v>
      </c>
      <c r="AA132" s="283">
        <v>1496</v>
      </c>
      <c r="AB132" s="283">
        <v>-1507</v>
      </c>
      <c r="AC132" s="283">
        <v>-228</v>
      </c>
      <c r="AD132" s="283">
        <v>-4146</v>
      </c>
      <c r="AE132" s="283">
        <v>-1829</v>
      </c>
      <c r="AF132" s="283">
        <v>-2564</v>
      </c>
      <c r="AG132" s="283">
        <v>-821</v>
      </c>
      <c r="AH132" s="283">
        <v>-1500</v>
      </c>
      <c r="AI132" s="283">
        <v>-62</v>
      </c>
      <c r="AJ132" s="283">
        <v>-1130</v>
      </c>
      <c r="AK132" s="283">
        <v>-256</v>
      </c>
      <c r="AL132" s="283">
        <v>-2582</v>
      </c>
      <c r="AM132" s="283">
        <v>-1052</v>
      </c>
      <c r="AN132" s="283">
        <v>-14</v>
      </c>
      <c r="AO132" s="283">
        <v>265</v>
      </c>
      <c r="AP132" s="283">
        <v>-457</v>
      </c>
      <c r="AQ132" s="283">
        <v>1000</v>
      </c>
      <c r="AR132" s="283">
        <v>-920</v>
      </c>
      <c r="AS132" s="283">
        <v>354</v>
      </c>
      <c r="AT132" s="283">
        <v>3109</v>
      </c>
      <c r="AU132" s="283">
        <v>4473</v>
      </c>
      <c r="AV132" s="283">
        <v>4049</v>
      </c>
      <c r="AW132" s="283">
        <v>4067</v>
      </c>
      <c r="AX132" s="283">
        <v>937</v>
      </c>
      <c r="AY132" s="283">
        <v>1696</v>
      </c>
      <c r="BA132" s="123"/>
      <c r="BB132" s="123"/>
    </row>
    <row r="133" spans="2:54">
      <c r="B133" s="281">
        <v>13927</v>
      </c>
      <c r="C133" s="281" t="s">
        <v>269</v>
      </c>
      <c r="D133" s="283">
        <v>-144</v>
      </c>
      <c r="E133" s="283">
        <v>179</v>
      </c>
      <c r="F133" s="283">
        <v>-457</v>
      </c>
      <c r="G133" s="283">
        <v>-78</v>
      </c>
      <c r="H133" s="283">
        <v>-294</v>
      </c>
      <c r="I133" s="283">
        <v>94</v>
      </c>
      <c r="J133" s="283">
        <v>11</v>
      </c>
      <c r="K133" s="283">
        <v>289</v>
      </c>
      <c r="L133" s="283">
        <v>23</v>
      </c>
      <c r="M133" s="283">
        <v>192</v>
      </c>
      <c r="N133" s="283">
        <v>-57</v>
      </c>
      <c r="O133" s="283">
        <v>128</v>
      </c>
      <c r="P133" s="283">
        <v>116</v>
      </c>
      <c r="Q133" s="283">
        <v>274</v>
      </c>
      <c r="R133" s="283">
        <v>-226</v>
      </c>
      <c r="S133" s="283">
        <v>129</v>
      </c>
      <c r="T133" s="283">
        <v>-553</v>
      </c>
      <c r="U133" s="283">
        <v>-127</v>
      </c>
      <c r="V133" s="283">
        <v>-242</v>
      </c>
      <c r="W133" s="283">
        <v>342</v>
      </c>
      <c r="X133" s="283">
        <v>-40</v>
      </c>
      <c r="Y133" s="283">
        <v>250</v>
      </c>
      <c r="Z133" s="283">
        <v>-109</v>
      </c>
      <c r="AA133" s="283">
        <v>161</v>
      </c>
      <c r="AB133" s="283">
        <v>-237</v>
      </c>
      <c r="AC133" s="283">
        <v>142</v>
      </c>
      <c r="AD133" s="283">
        <v>-584</v>
      </c>
      <c r="AE133" s="283">
        <v>-144</v>
      </c>
      <c r="AF133" s="283">
        <v>-410</v>
      </c>
      <c r="AG133" s="283">
        <v>37</v>
      </c>
      <c r="AH133" s="283">
        <v>33</v>
      </c>
      <c r="AI133" s="283">
        <v>339</v>
      </c>
      <c r="AJ133" s="283">
        <v>99</v>
      </c>
      <c r="AK133" s="283">
        <v>255</v>
      </c>
      <c r="AL133" s="283">
        <v>-44</v>
      </c>
      <c r="AM133" s="283">
        <v>157</v>
      </c>
      <c r="AN133" s="283">
        <v>148</v>
      </c>
      <c r="AO133" s="283">
        <v>320</v>
      </c>
      <c r="AP133" s="283">
        <v>-232</v>
      </c>
      <c r="AQ133" s="283">
        <v>159</v>
      </c>
      <c r="AR133" s="283">
        <v>-596</v>
      </c>
      <c r="AS133" s="283">
        <v>-127</v>
      </c>
      <c r="AT133" s="283">
        <v>-249</v>
      </c>
      <c r="AU133" s="283">
        <v>398</v>
      </c>
      <c r="AV133" s="283">
        <v>-21</v>
      </c>
      <c r="AW133" s="283">
        <v>294</v>
      </c>
      <c r="AX133" s="283">
        <v>-103</v>
      </c>
      <c r="AY133" s="283">
        <v>194</v>
      </c>
      <c r="BA133" s="123"/>
      <c r="BB133" s="123"/>
    </row>
    <row r="134" spans="2:54">
      <c r="B134" s="281">
        <v>10597</v>
      </c>
      <c r="C134" s="281" t="s">
        <v>136</v>
      </c>
      <c r="D134" s="283">
        <v>-347</v>
      </c>
      <c r="E134" s="283">
        <v>16</v>
      </c>
      <c r="F134" s="283">
        <v>-1057</v>
      </c>
      <c r="G134" s="283">
        <v>-165</v>
      </c>
      <c r="H134" s="283">
        <v>47</v>
      </c>
      <c r="I134" s="283">
        <v>575</v>
      </c>
      <c r="J134" s="283">
        <v>1200</v>
      </c>
      <c r="K134" s="283">
        <v>1293</v>
      </c>
      <c r="L134" s="283">
        <v>870</v>
      </c>
      <c r="M134" s="283">
        <v>847</v>
      </c>
      <c r="N134" s="283">
        <v>-349</v>
      </c>
      <c r="O134" s="283">
        <v>-7</v>
      </c>
      <c r="P134" s="283">
        <v>341</v>
      </c>
      <c r="Q134" s="283">
        <v>157</v>
      </c>
      <c r="R134" s="283">
        <v>-1180</v>
      </c>
      <c r="S134" s="283">
        <v>-291</v>
      </c>
      <c r="T134" s="283">
        <v>-2365</v>
      </c>
      <c r="U134" s="283">
        <v>-1250</v>
      </c>
      <c r="V134" s="283">
        <v>66</v>
      </c>
      <c r="W134" s="283">
        <v>912</v>
      </c>
      <c r="X134" s="283">
        <v>302</v>
      </c>
      <c r="Y134" s="283">
        <v>602</v>
      </c>
      <c r="Z134" s="283">
        <v>-253</v>
      </c>
      <c r="AA134" s="283">
        <v>37</v>
      </c>
      <c r="AB134" s="283">
        <v>-349</v>
      </c>
      <c r="AC134" s="283">
        <v>15</v>
      </c>
      <c r="AD134" s="283">
        <v>-1056</v>
      </c>
      <c r="AE134" s="283">
        <v>-164</v>
      </c>
      <c r="AF134" s="283">
        <v>50</v>
      </c>
      <c r="AG134" s="283">
        <v>578</v>
      </c>
      <c r="AH134" s="283">
        <v>1203</v>
      </c>
      <c r="AI134" s="283">
        <v>1295</v>
      </c>
      <c r="AJ134" s="283">
        <v>905</v>
      </c>
      <c r="AK134" s="283">
        <v>841</v>
      </c>
      <c r="AL134" s="283">
        <v>-350</v>
      </c>
      <c r="AM134" s="283">
        <v>-8</v>
      </c>
      <c r="AN134" s="283">
        <v>340</v>
      </c>
      <c r="AO134" s="283">
        <v>156</v>
      </c>
      <c r="AP134" s="283">
        <v>-1183</v>
      </c>
      <c r="AQ134" s="283">
        <v>-293</v>
      </c>
      <c r="AR134" s="283">
        <v>-2370</v>
      </c>
      <c r="AS134" s="283">
        <v>-1253</v>
      </c>
      <c r="AT134" s="283">
        <v>60</v>
      </c>
      <c r="AU134" s="283">
        <v>909</v>
      </c>
      <c r="AV134" s="283">
        <v>297</v>
      </c>
      <c r="AW134" s="283">
        <v>600</v>
      </c>
      <c r="AX134" s="283">
        <v>-255</v>
      </c>
      <c r="AY134" s="283">
        <v>36</v>
      </c>
      <c r="BA134" s="123"/>
      <c r="BB134" s="123"/>
    </row>
    <row r="135" spans="2:54">
      <c r="B135" s="281">
        <v>10706</v>
      </c>
      <c r="C135" s="281" t="s">
        <v>137</v>
      </c>
      <c r="D135" s="283">
        <v>-2144</v>
      </c>
      <c r="E135" s="283">
        <v>-182</v>
      </c>
      <c r="F135" s="283">
        <v>-4165</v>
      </c>
      <c r="G135" s="283">
        <v>-1561</v>
      </c>
      <c r="H135" s="283">
        <v>-3652</v>
      </c>
      <c r="I135" s="283">
        <v>-1566</v>
      </c>
      <c r="J135" s="283">
        <v>-2373</v>
      </c>
      <c r="K135" s="283">
        <v>-364</v>
      </c>
      <c r="L135" s="283">
        <v>-1915</v>
      </c>
      <c r="M135" s="283">
        <v>-424</v>
      </c>
      <c r="N135" s="283">
        <v>-1854</v>
      </c>
      <c r="O135" s="283">
        <v>-383</v>
      </c>
      <c r="P135" s="283">
        <v>-510</v>
      </c>
      <c r="Q135" s="283">
        <v>450</v>
      </c>
      <c r="R135" s="283">
        <v>-2714</v>
      </c>
      <c r="S135" s="283">
        <v>-165</v>
      </c>
      <c r="T135" s="283">
        <v>-4860</v>
      </c>
      <c r="U135" s="283">
        <v>-1659</v>
      </c>
      <c r="V135" s="283">
        <v>-1772</v>
      </c>
      <c r="W135" s="283">
        <v>1627</v>
      </c>
      <c r="X135" s="283">
        <v>-594</v>
      </c>
      <c r="Y135" s="283">
        <v>1633</v>
      </c>
      <c r="Z135" s="283">
        <v>-164</v>
      </c>
      <c r="AA135" s="283">
        <v>1455</v>
      </c>
      <c r="AB135" s="283">
        <v>-171</v>
      </c>
      <c r="AC135" s="283">
        <v>1311</v>
      </c>
      <c r="AD135" s="283">
        <v>-2198</v>
      </c>
      <c r="AE135" s="283">
        <v>-169</v>
      </c>
      <c r="AF135" s="283">
        <v>-1768</v>
      </c>
      <c r="AG135" s="283">
        <v>110</v>
      </c>
      <c r="AH135" s="283">
        <v>-382</v>
      </c>
      <c r="AI135" s="283">
        <v>1158</v>
      </c>
      <c r="AJ135" s="283">
        <v>46</v>
      </c>
      <c r="AK135" s="283">
        <v>913</v>
      </c>
      <c r="AL135" s="283">
        <v>-388</v>
      </c>
      <c r="AM135" s="283">
        <v>778</v>
      </c>
      <c r="AN135" s="283">
        <v>784</v>
      </c>
      <c r="AO135" s="283">
        <v>1470</v>
      </c>
      <c r="AP135" s="283">
        <v>-1370</v>
      </c>
      <c r="AQ135" s="283">
        <v>884</v>
      </c>
      <c r="AR135" s="283">
        <v>-3516</v>
      </c>
      <c r="AS135" s="283">
        <v>-689</v>
      </c>
      <c r="AT135" s="283">
        <v>-1398</v>
      </c>
      <c r="AU135" s="283">
        <v>1931</v>
      </c>
      <c r="AV135" s="283">
        <v>-547</v>
      </c>
      <c r="AW135" s="283">
        <v>1664</v>
      </c>
      <c r="AX135" s="283">
        <v>-121</v>
      </c>
      <c r="AY135" s="283">
        <v>1487</v>
      </c>
      <c r="BA135" s="123"/>
      <c r="BB135" s="123"/>
    </row>
    <row r="136" spans="2:54">
      <c r="B136" s="281">
        <v>11680</v>
      </c>
      <c r="C136" s="281" t="s">
        <v>138</v>
      </c>
      <c r="D136" s="283">
        <v>-8</v>
      </c>
      <c r="E136" s="283">
        <v>0</v>
      </c>
      <c r="F136" s="283">
        <v>-323</v>
      </c>
      <c r="G136" s="283">
        <v>-75</v>
      </c>
      <c r="H136" s="283">
        <v>220</v>
      </c>
      <c r="I136" s="283">
        <v>432</v>
      </c>
      <c r="J136" s="283">
        <v>669</v>
      </c>
      <c r="K136" s="283">
        <v>573</v>
      </c>
      <c r="L136" s="283">
        <v>562</v>
      </c>
      <c r="M136" s="283">
        <v>357</v>
      </c>
      <c r="N136" s="283">
        <v>-49</v>
      </c>
      <c r="O136" s="283">
        <v>95</v>
      </c>
      <c r="P136" s="283">
        <v>292</v>
      </c>
      <c r="Q136" s="283">
        <v>84</v>
      </c>
      <c r="R136" s="283">
        <v>-722</v>
      </c>
      <c r="S136" s="283">
        <v>-175</v>
      </c>
      <c r="T136" s="283">
        <v>-1345</v>
      </c>
      <c r="U136" s="283">
        <v>-786</v>
      </c>
      <c r="V136" s="283">
        <v>-12</v>
      </c>
      <c r="W136" s="283">
        <v>316</v>
      </c>
      <c r="X136" s="283">
        <v>-16</v>
      </c>
      <c r="Y136" s="283">
        <v>271</v>
      </c>
      <c r="Z136" s="283">
        <v>-138</v>
      </c>
      <c r="AA136" s="283">
        <v>-76</v>
      </c>
      <c r="AB136" s="283">
        <v>0</v>
      </c>
      <c r="AC136" s="283">
        <v>5</v>
      </c>
      <c r="AD136" s="283">
        <v>-427</v>
      </c>
      <c r="AE136" s="283">
        <v>41</v>
      </c>
      <c r="AF136" s="283">
        <v>358</v>
      </c>
      <c r="AG136" s="283">
        <v>307</v>
      </c>
      <c r="AH136" s="283">
        <v>552</v>
      </c>
      <c r="AI136" s="283">
        <v>701</v>
      </c>
      <c r="AJ136" s="283">
        <v>556</v>
      </c>
      <c r="AK136" s="283">
        <v>369</v>
      </c>
      <c r="AL136" s="283">
        <v>57</v>
      </c>
      <c r="AM136" s="283">
        <v>2</v>
      </c>
      <c r="AN136" s="283">
        <v>300</v>
      </c>
      <c r="AO136" s="283">
        <v>88</v>
      </c>
      <c r="AP136" s="283">
        <v>-715</v>
      </c>
      <c r="AQ136" s="283">
        <v>-170</v>
      </c>
      <c r="AR136" s="283">
        <v>-1337</v>
      </c>
      <c r="AS136" s="283">
        <v>-782</v>
      </c>
      <c r="AT136" s="283">
        <v>-4</v>
      </c>
      <c r="AU136" s="283">
        <v>320</v>
      </c>
      <c r="AV136" s="283">
        <v>-8</v>
      </c>
      <c r="AW136" s="283">
        <v>275</v>
      </c>
      <c r="AX136" s="283">
        <v>-130</v>
      </c>
      <c r="AY136" s="283">
        <v>-72</v>
      </c>
      <c r="BA136" s="123"/>
      <c r="BB136" s="123"/>
    </row>
    <row r="137" spans="2:54">
      <c r="B137" s="281">
        <v>12026</v>
      </c>
      <c r="C137" s="281" t="s">
        <v>139</v>
      </c>
      <c r="D137" s="283">
        <v>-70</v>
      </c>
      <c r="E137" s="283">
        <v>1029</v>
      </c>
      <c r="F137" s="283">
        <v>-143</v>
      </c>
      <c r="G137" s="283">
        <v>1532</v>
      </c>
      <c r="H137" s="283">
        <v>3780</v>
      </c>
      <c r="I137" s="283">
        <v>4814</v>
      </c>
      <c r="J137" s="283">
        <v>8670</v>
      </c>
      <c r="K137" s="283">
        <v>7140</v>
      </c>
      <c r="L137" s="283">
        <v>8009</v>
      </c>
      <c r="M137" s="283">
        <v>5789</v>
      </c>
      <c r="N137" s="283">
        <v>3230</v>
      </c>
      <c r="O137" s="283">
        <v>4126</v>
      </c>
      <c r="P137" s="283">
        <v>3429</v>
      </c>
      <c r="Q137" s="283">
        <v>2718</v>
      </c>
      <c r="R137" s="283">
        <v>-6440</v>
      </c>
      <c r="S137" s="283">
        <v>-829</v>
      </c>
      <c r="T137" s="283">
        <v>-12387</v>
      </c>
      <c r="U137" s="283">
        <v>-6035</v>
      </c>
      <c r="V137" s="283">
        <v>-8391</v>
      </c>
      <c r="W137" s="283">
        <v>-1488</v>
      </c>
      <c r="X137" s="283">
        <v>-7620</v>
      </c>
      <c r="Y137" s="283">
        <v>-1296</v>
      </c>
      <c r="Z137" s="283">
        <v>-3816</v>
      </c>
      <c r="AA137" s="283">
        <v>-1000</v>
      </c>
      <c r="AB137" s="283">
        <v>-93</v>
      </c>
      <c r="AC137" s="283">
        <v>1020</v>
      </c>
      <c r="AD137" s="283">
        <v>-1009</v>
      </c>
      <c r="AE137" s="283">
        <v>2330</v>
      </c>
      <c r="AF137" s="283">
        <v>4674</v>
      </c>
      <c r="AG137" s="283">
        <v>3859</v>
      </c>
      <c r="AH137" s="283">
        <v>7686</v>
      </c>
      <c r="AI137" s="283">
        <v>8086</v>
      </c>
      <c r="AJ137" s="283">
        <v>7913</v>
      </c>
      <c r="AK137" s="283">
        <v>5848</v>
      </c>
      <c r="AL137" s="283">
        <v>3990</v>
      </c>
      <c r="AM137" s="283">
        <v>3325</v>
      </c>
      <c r="AN137" s="283">
        <v>3414</v>
      </c>
      <c r="AO137" s="283">
        <v>2710</v>
      </c>
      <c r="AP137" s="283">
        <v>-6482</v>
      </c>
      <c r="AQ137" s="283">
        <v>-844</v>
      </c>
      <c r="AR137" s="283">
        <v>-12450</v>
      </c>
      <c r="AS137" s="283">
        <v>-6067</v>
      </c>
      <c r="AT137" s="283">
        <v>-8434</v>
      </c>
      <c r="AU137" s="283">
        <v>-1498</v>
      </c>
      <c r="AV137" s="283">
        <v>-7659</v>
      </c>
      <c r="AW137" s="283">
        <v>-1305</v>
      </c>
      <c r="AX137" s="283">
        <v>-3839</v>
      </c>
      <c r="AY137" s="283">
        <v>-1009</v>
      </c>
      <c r="BA137" s="123"/>
      <c r="BB137" s="123"/>
    </row>
    <row r="138" spans="2:54">
      <c r="B138" s="281">
        <v>10298</v>
      </c>
      <c r="C138" s="281" t="s">
        <v>140</v>
      </c>
      <c r="D138" s="283">
        <v>-23237</v>
      </c>
      <c r="E138" s="283">
        <v>-1635</v>
      </c>
      <c r="F138" s="283">
        <v>-44779</v>
      </c>
      <c r="G138" s="283">
        <v>-11954</v>
      </c>
      <c r="H138" s="283">
        <v>158</v>
      </c>
      <c r="I138" s="283">
        <v>19304</v>
      </c>
      <c r="J138" s="283">
        <v>32160</v>
      </c>
      <c r="K138" s="283">
        <v>40275</v>
      </c>
      <c r="L138" s="283">
        <v>29060</v>
      </c>
      <c r="M138" s="283">
        <v>30741</v>
      </c>
      <c r="N138" s="283">
        <v>-12746</v>
      </c>
      <c r="O138" s="283">
        <v>5781</v>
      </c>
      <c r="P138" s="283">
        <v>27478</v>
      </c>
      <c r="Q138" s="283">
        <v>22340</v>
      </c>
      <c r="R138" s="283">
        <v>-42495</v>
      </c>
      <c r="S138" s="283">
        <v>10834</v>
      </c>
      <c r="T138" s="283">
        <v>-79377</v>
      </c>
      <c r="U138" s="283">
        <v>-22922</v>
      </c>
      <c r="V138" s="283">
        <v>-9270</v>
      </c>
      <c r="W138" s="283">
        <v>55937</v>
      </c>
      <c r="X138" s="283">
        <v>-7584</v>
      </c>
      <c r="Y138" s="283">
        <v>39850</v>
      </c>
      <c r="Z138" s="283">
        <v>-10624</v>
      </c>
      <c r="AA138" s="283">
        <v>11182</v>
      </c>
      <c r="AB138" s="283">
        <v>-20950</v>
      </c>
      <c r="AC138" s="283">
        <v>-2176</v>
      </c>
      <c r="AD138" s="283">
        <v>-45288</v>
      </c>
      <c r="AE138" s="283">
        <v>-9730</v>
      </c>
      <c r="AF138" s="283">
        <v>3384</v>
      </c>
      <c r="AG138" s="283">
        <v>17671</v>
      </c>
      <c r="AH138" s="283">
        <v>31297</v>
      </c>
      <c r="AI138" s="283">
        <v>42767</v>
      </c>
      <c r="AJ138" s="283">
        <v>32441</v>
      </c>
      <c r="AK138" s="283">
        <v>31489</v>
      </c>
      <c r="AL138" s="283">
        <v>-10206</v>
      </c>
      <c r="AM138" s="283">
        <v>3824</v>
      </c>
      <c r="AN138" s="283">
        <v>28443</v>
      </c>
      <c r="AO138" s="283">
        <v>21549</v>
      </c>
      <c r="AP138" s="283">
        <v>-43060</v>
      </c>
      <c r="AQ138" s="283">
        <v>10880</v>
      </c>
      <c r="AR138" s="283">
        <v>-79117</v>
      </c>
      <c r="AS138" s="283">
        <v>-24151</v>
      </c>
      <c r="AT138" s="283">
        <v>-9844</v>
      </c>
      <c r="AU138" s="283">
        <v>55486</v>
      </c>
      <c r="AV138" s="283">
        <v>-7255</v>
      </c>
      <c r="AW138" s="283">
        <v>38500</v>
      </c>
      <c r="AX138" s="283">
        <v>-10819</v>
      </c>
      <c r="AY138" s="283">
        <v>10483</v>
      </c>
      <c r="BA138" s="123"/>
      <c r="BB138" s="123"/>
    </row>
    <row r="139" spans="2:54">
      <c r="B139" s="24"/>
      <c r="C139" s="25"/>
      <c r="D139" s="26"/>
      <c r="E139" s="27"/>
      <c r="F139" s="26"/>
      <c r="G139" s="27"/>
      <c r="H139" s="26"/>
      <c r="I139" s="27"/>
      <c r="J139" s="26"/>
      <c r="K139" s="27"/>
      <c r="L139" s="26"/>
      <c r="M139" s="27"/>
      <c r="N139" s="26"/>
      <c r="O139" s="27"/>
      <c r="P139" s="26"/>
      <c r="Q139" s="27"/>
      <c r="R139" s="26"/>
      <c r="S139" s="27"/>
      <c r="T139" s="26"/>
      <c r="U139" s="27"/>
      <c r="V139" s="26"/>
      <c r="W139" s="27"/>
      <c r="X139" s="26"/>
      <c r="Y139" s="27"/>
      <c r="Z139" s="26"/>
      <c r="AA139" s="27"/>
      <c r="AB139" s="26"/>
      <c r="AC139" s="27"/>
      <c r="AD139" s="26"/>
      <c r="AE139" s="27"/>
      <c r="AF139" s="26"/>
      <c r="AG139" s="27"/>
      <c r="AH139" s="26"/>
      <c r="AI139" s="27"/>
      <c r="AJ139" s="26"/>
      <c r="AK139" s="27"/>
      <c r="AL139" s="26"/>
      <c r="AM139" s="27"/>
      <c r="AN139" s="26"/>
      <c r="AO139" s="27"/>
      <c r="AP139" s="26"/>
      <c r="AQ139" s="27"/>
      <c r="AR139" s="26"/>
      <c r="AS139" s="27"/>
      <c r="AT139" s="26"/>
      <c r="AU139" s="27"/>
      <c r="AV139" s="26"/>
      <c r="AW139" s="27"/>
      <c r="AX139" s="26"/>
      <c r="AY139" s="27"/>
    </row>
    <row r="140" spans="2:54">
      <c r="B140" s="24"/>
      <c r="C140" s="25"/>
      <c r="D140" s="26"/>
      <c r="E140" s="27"/>
      <c r="F140" s="26"/>
      <c r="G140" s="27"/>
      <c r="H140" s="26"/>
      <c r="I140" s="27"/>
      <c r="J140" s="26"/>
      <c r="K140" s="27"/>
      <c r="L140" s="26"/>
      <c r="M140" s="27"/>
      <c r="N140" s="26"/>
      <c r="O140" s="27"/>
      <c r="P140" s="26"/>
      <c r="Q140" s="27"/>
      <c r="R140" s="26"/>
      <c r="S140" s="27"/>
      <c r="T140" s="26"/>
      <c r="U140" s="27"/>
      <c r="V140" s="26"/>
      <c r="W140" s="27"/>
      <c r="X140" s="26"/>
      <c r="Y140" s="27"/>
      <c r="Z140" s="26"/>
      <c r="AA140" s="27"/>
      <c r="AB140" s="26"/>
      <c r="AC140" s="27"/>
      <c r="AD140" s="26"/>
      <c r="AE140" s="27"/>
      <c r="AF140" s="26"/>
      <c r="AG140" s="27"/>
      <c r="AH140" s="26"/>
      <c r="AI140" s="27"/>
      <c r="AJ140" s="26"/>
      <c r="AK140" s="27"/>
      <c r="AL140" s="26"/>
      <c r="AM140" s="27"/>
      <c r="AN140" s="26"/>
      <c r="AO140" s="27"/>
      <c r="AP140" s="26"/>
      <c r="AQ140" s="27"/>
      <c r="AR140" s="26"/>
      <c r="AS140" s="27"/>
      <c r="AT140" s="26"/>
      <c r="AU140" s="27"/>
      <c r="AV140" s="26"/>
      <c r="AW140" s="27"/>
      <c r="AX140" s="26"/>
      <c r="AY140" s="27"/>
    </row>
    <row r="141" spans="2:54">
      <c r="B141" s="24"/>
      <c r="C141" s="25"/>
      <c r="D141" s="26"/>
      <c r="E141" s="27"/>
      <c r="F141" s="26"/>
      <c r="G141" s="27"/>
      <c r="H141" s="26"/>
      <c r="I141" s="27"/>
      <c r="J141" s="26"/>
      <c r="K141" s="27"/>
      <c r="L141" s="26"/>
      <c r="M141" s="27"/>
      <c r="N141" s="26"/>
      <c r="O141" s="27"/>
      <c r="P141" s="26"/>
      <c r="Q141" s="27"/>
      <c r="R141" s="26"/>
      <c r="S141" s="27"/>
      <c r="T141" s="26"/>
      <c r="U141" s="27"/>
      <c r="V141" s="26"/>
      <c r="W141" s="27"/>
      <c r="X141" s="26"/>
      <c r="Y141" s="27"/>
      <c r="Z141" s="26"/>
      <c r="AA141" s="27"/>
      <c r="AB141" s="26"/>
      <c r="AC141" s="27"/>
      <c r="AD141" s="26"/>
      <c r="AE141" s="27"/>
      <c r="AF141" s="26"/>
      <c r="AG141" s="27"/>
      <c r="AH141" s="26"/>
      <c r="AI141" s="27"/>
      <c r="AJ141" s="26"/>
      <c r="AK141" s="27"/>
      <c r="AL141" s="26"/>
      <c r="AM141" s="27"/>
      <c r="AN141" s="26"/>
      <c r="AO141" s="27"/>
      <c r="AP141" s="26"/>
      <c r="AQ141" s="27"/>
      <c r="AR141" s="26"/>
      <c r="AS141" s="27"/>
      <c r="AT141" s="26"/>
      <c r="AU141" s="27"/>
      <c r="AV141" s="26"/>
      <c r="AW141" s="27"/>
      <c r="AX141" s="26"/>
      <c r="AY141" s="27"/>
    </row>
    <row r="142" spans="2:54">
      <c r="B142" s="24"/>
      <c r="C142" s="25"/>
      <c r="D142" s="26"/>
      <c r="E142" s="27"/>
      <c r="F142" s="26"/>
      <c r="G142" s="27"/>
      <c r="H142" s="26"/>
      <c r="I142" s="27"/>
      <c r="J142" s="26"/>
      <c r="K142" s="27"/>
      <c r="L142" s="26"/>
      <c r="M142" s="27"/>
      <c r="N142" s="26"/>
      <c r="O142" s="27"/>
      <c r="P142" s="26"/>
      <c r="Q142" s="27"/>
      <c r="R142" s="26"/>
      <c r="S142" s="27"/>
      <c r="T142" s="26"/>
      <c r="U142" s="27"/>
      <c r="V142" s="26"/>
      <c r="W142" s="27"/>
      <c r="X142" s="26"/>
      <c r="Y142" s="27"/>
      <c r="Z142" s="26"/>
      <c r="AA142" s="27"/>
      <c r="AB142" s="26"/>
      <c r="AC142" s="27"/>
      <c r="AD142" s="26"/>
      <c r="AE142" s="27"/>
      <c r="AF142" s="26"/>
      <c r="AG142" s="27"/>
      <c r="AH142" s="26"/>
      <c r="AI142" s="27"/>
      <c r="AJ142" s="26"/>
      <c r="AK142" s="27"/>
      <c r="AL142" s="26"/>
      <c r="AM142" s="27"/>
      <c r="AN142" s="26"/>
      <c r="AO142" s="27"/>
      <c r="AP142" s="26"/>
      <c r="AQ142" s="27"/>
      <c r="AR142" s="26"/>
      <c r="AS142" s="27"/>
      <c r="AT142" s="26"/>
      <c r="AU142" s="27"/>
      <c r="AV142" s="26"/>
      <c r="AW142" s="27"/>
      <c r="AX142" s="26"/>
      <c r="AY142" s="27"/>
    </row>
    <row r="143" spans="2:54">
      <c r="B143" s="24"/>
      <c r="C143" s="25"/>
      <c r="D143" s="26"/>
      <c r="E143" s="27"/>
      <c r="F143" s="26"/>
      <c r="G143" s="27"/>
      <c r="H143" s="26"/>
      <c r="I143" s="27"/>
      <c r="J143" s="26"/>
      <c r="K143" s="27"/>
      <c r="L143" s="26"/>
      <c r="M143" s="27"/>
      <c r="N143" s="26"/>
      <c r="O143" s="27"/>
      <c r="P143" s="26"/>
      <c r="Q143" s="27"/>
      <c r="R143" s="26"/>
      <c r="S143" s="27"/>
      <c r="T143" s="26"/>
      <c r="U143" s="27"/>
      <c r="V143" s="26"/>
      <c r="W143" s="27"/>
      <c r="X143" s="26"/>
      <c r="Y143" s="27"/>
      <c r="Z143" s="26"/>
      <c r="AA143" s="27"/>
      <c r="AB143" s="26"/>
      <c r="AC143" s="27"/>
      <c r="AD143" s="26"/>
      <c r="AE143" s="27"/>
      <c r="AF143" s="26"/>
      <c r="AG143" s="27"/>
      <c r="AH143" s="26"/>
      <c r="AI143" s="27"/>
      <c r="AJ143" s="26"/>
      <c r="AK143" s="27"/>
      <c r="AL143" s="26"/>
      <c r="AM143" s="27"/>
      <c r="AN143" s="26"/>
      <c r="AO143" s="27"/>
      <c r="AP143" s="26"/>
      <c r="AQ143" s="27"/>
      <c r="AR143" s="26"/>
      <c r="AS143" s="27"/>
      <c r="AT143" s="26"/>
      <c r="AU143" s="27"/>
      <c r="AV143" s="26"/>
      <c r="AW143" s="27"/>
      <c r="AX143" s="26"/>
      <c r="AY143" s="27"/>
    </row>
    <row r="144" spans="2:54">
      <c r="B144" s="24"/>
      <c r="C144" s="25"/>
      <c r="D144" s="26"/>
      <c r="E144" s="27"/>
      <c r="F144" s="26"/>
      <c r="G144" s="27"/>
      <c r="H144" s="26"/>
      <c r="I144" s="27"/>
      <c r="J144" s="26"/>
      <c r="K144" s="27"/>
      <c r="L144" s="26"/>
      <c r="M144" s="27"/>
      <c r="N144" s="26"/>
      <c r="O144" s="27"/>
      <c r="P144" s="26"/>
      <c r="Q144" s="27"/>
      <c r="R144" s="26"/>
      <c r="S144" s="27"/>
      <c r="T144" s="26"/>
      <c r="U144" s="27"/>
      <c r="V144" s="26"/>
      <c r="W144" s="27"/>
      <c r="X144" s="26"/>
      <c r="Y144" s="27"/>
      <c r="Z144" s="26"/>
      <c r="AA144" s="27"/>
      <c r="AB144" s="26"/>
      <c r="AC144" s="27"/>
      <c r="AD144" s="26"/>
      <c r="AE144" s="27"/>
      <c r="AF144" s="26"/>
      <c r="AG144" s="27"/>
      <c r="AH144" s="26"/>
      <c r="AI144" s="27"/>
      <c r="AJ144" s="26"/>
      <c r="AK144" s="27"/>
      <c r="AL144" s="26"/>
      <c r="AM144" s="27"/>
      <c r="AN144" s="26"/>
      <c r="AO144" s="27"/>
      <c r="AP144" s="26"/>
      <c r="AQ144" s="27"/>
      <c r="AR144" s="26"/>
      <c r="AS144" s="27"/>
      <c r="AT144" s="26"/>
      <c r="AU144" s="27"/>
      <c r="AV144" s="26"/>
      <c r="AW144" s="27"/>
      <c r="AX144" s="26"/>
      <c r="AY144" s="27"/>
    </row>
    <row r="145" spans="2:51">
      <c r="B145" s="24"/>
      <c r="C145" s="25"/>
      <c r="D145" s="26"/>
      <c r="E145" s="27"/>
      <c r="F145" s="26"/>
      <c r="G145" s="27"/>
      <c r="H145" s="26"/>
      <c r="I145" s="27"/>
      <c r="J145" s="26"/>
      <c r="K145" s="27"/>
      <c r="L145" s="26"/>
      <c r="M145" s="27"/>
      <c r="N145" s="26"/>
      <c r="O145" s="27"/>
      <c r="P145" s="26"/>
      <c r="Q145" s="27"/>
      <c r="R145" s="26"/>
      <c r="S145" s="27"/>
      <c r="T145" s="26"/>
      <c r="U145" s="27"/>
      <c r="V145" s="26"/>
      <c r="W145" s="27"/>
      <c r="X145" s="26"/>
      <c r="Y145" s="27"/>
      <c r="Z145" s="26"/>
      <c r="AA145" s="27"/>
      <c r="AB145" s="26"/>
      <c r="AC145" s="27"/>
      <c r="AD145" s="26"/>
      <c r="AE145" s="27"/>
      <c r="AF145" s="26"/>
      <c r="AG145" s="27"/>
      <c r="AH145" s="26"/>
      <c r="AI145" s="27"/>
      <c r="AJ145" s="26"/>
      <c r="AK145" s="27"/>
      <c r="AL145" s="26"/>
      <c r="AM145" s="27"/>
      <c r="AN145" s="26"/>
      <c r="AO145" s="27"/>
      <c r="AP145" s="26"/>
      <c r="AQ145" s="27"/>
      <c r="AR145" s="26"/>
      <c r="AS145" s="27"/>
      <c r="AT145" s="26"/>
      <c r="AU145" s="27"/>
      <c r="AV145" s="26"/>
      <c r="AW145" s="27"/>
      <c r="AX145" s="26"/>
      <c r="AY145" s="27"/>
    </row>
    <row r="146" spans="2:51">
      <c r="B146" s="24"/>
      <c r="C146" s="25"/>
      <c r="D146" s="26"/>
      <c r="E146" s="27"/>
      <c r="F146" s="26"/>
      <c r="G146" s="27"/>
      <c r="H146" s="26"/>
      <c r="I146" s="27"/>
      <c r="J146" s="26"/>
      <c r="K146" s="27"/>
      <c r="L146" s="26"/>
      <c r="M146" s="27"/>
      <c r="N146" s="26"/>
      <c r="O146" s="27"/>
      <c r="P146" s="26"/>
      <c r="Q146" s="27"/>
      <c r="R146" s="26"/>
      <c r="S146" s="27"/>
      <c r="T146" s="26"/>
      <c r="U146" s="27"/>
      <c r="V146" s="26"/>
      <c r="W146" s="27"/>
      <c r="X146" s="26"/>
      <c r="Y146" s="27"/>
      <c r="Z146" s="26"/>
      <c r="AA146" s="27"/>
      <c r="AB146" s="26"/>
      <c r="AC146" s="27"/>
      <c r="AD146" s="26"/>
      <c r="AE146" s="27"/>
      <c r="AF146" s="26"/>
      <c r="AG146" s="27"/>
      <c r="AH146" s="26"/>
      <c r="AI146" s="27"/>
      <c r="AJ146" s="26"/>
      <c r="AK146" s="27"/>
      <c r="AL146" s="26"/>
      <c r="AM146" s="27"/>
      <c r="AN146" s="26"/>
      <c r="AO146" s="27"/>
      <c r="AP146" s="26"/>
      <c r="AQ146" s="27"/>
      <c r="AR146" s="26"/>
      <c r="AS146" s="27"/>
      <c r="AT146" s="26"/>
      <c r="AU146" s="27"/>
      <c r="AV146" s="26"/>
      <c r="AW146" s="27"/>
      <c r="AX146" s="26"/>
      <c r="AY146" s="27"/>
    </row>
    <row r="147" spans="2:51">
      <c r="B147" s="24"/>
      <c r="C147" s="25"/>
      <c r="D147" s="26"/>
      <c r="E147" s="27"/>
      <c r="F147" s="26"/>
      <c r="G147" s="27"/>
      <c r="H147" s="26"/>
      <c r="I147" s="27"/>
      <c r="J147" s="26"/>
      <c r="K147" s="27"/>
      <c r="L147" s="26"/>
      <c r="M147" s="27"/>
      <c r="N147" s="26"/>
      <c r="O147" s="27"/>
      <c r="P147" s="26"/>
      <c r="Q147" s="27"/>
      <c r="R147" s="26"/>
      <c r="S147" s="27"/>
      <c r="T147" s="26"/>
      <c r="U147" s="27"/>
      <c r="V147" s="26"/>
      <c r="W147" s="27"/>
      <c r="X147" s="26"/>
      <c r="Y147" s="27"/>
      <c r="Z147" s="26"/>
      <c r="AA147" s="27"/>
      <c r="AB147" s="26"/>
      <c r="AC147" s="27"/>
      <c r="AD147" s="26"/>
      <c r="AE147" s="27"/>
      <c r="AF147" s="26"/>
      <c r="AG147" s="27"/>
      <c r="AH147" s="26"/>
      <c r="AI147" s="27"/>
      <c r="AJ147" s="26"/>
      <c r="AK147" s="27"/>
      <c r="AL147" s="26"/>
      <c r="AM147" s="27"/>
      <c r="AN147" s="26"/>
      <c r="AO147" s="27"/>
      <c r="AP147" s="26"/>
      <c r="AQ147" s="27"/>
      <c r="AR147" s="26"/>
      <c r="AS147" s="27"/>
      <c r="AT147" s="26"/>
      <c r="AU147" s="27"/>
      <c r="AV147" s="26"/>
      <c r="AW147" s="27"/>
      <c r="AX147" s="26"/>
      <c r="AY147" s="27"/>
    </row>
    <row r="148" spans="2:51" s="208" customFormat="1">
      <c r="B148" s="186">
        <v>1</v>
      </c>
      <c r="C148" s="187">
        <v>2</v>
      </c>
      <c r="D148" s="188">
        <v>3</v>
      </c>
      <c r="E148" s="189">
        <v>4</v>
      </c>
      <c r="F148" s="188">
        <v>5</v>
      </c>
      <c r="G148" s="189">
        <v>6</v>
      </c>
      <c r="H148" s="188">
        <v>7</v>
      </c>
      <c r="I148" s="189">
        <v>8</v>
      </c>
      <c r="J148" s="188">
        <v>9</v>
      </c>
      <c r="K148" s="189">
        <v>10</v>
      </c>
      <c r="L148" s="188">
        <v>11</v>
      </c>
      <c r="M148" s="189">
        <v>12</v>
      </c>
      <c r="N148" s="188">
        <v>13</v>
      </c>
      <c r="O148" s="189">
        <v>14</v>
      </c>
      <c r="P148" s="188">
        <v>15</v>
      </c>
      <c r="Q148" s="189">
        <v>16</v>
      </c>
      <c r="R148" s="188">
        <v>17</v>
      </c>
      <c r="S148" s="189">
        <v>18</v>
      </c>
      <c r="T148" s="188">
        <v>19</v>
      </c>
      <c r="U148" s="189">
        <v>20</v>
      </c>
      <c r="V148" s="188">
        <v>21</v>
      </c>
      <c r="W148" s="189">
        <v>22</v>
      </c>
      <c r="X148" s="188">
        <v>23</v>
      </c>
      <c r="Y148" s="189">
        <v>24</v>
      </c>
      <c r="Z148" s="188">
        <v>25</v>
      </c>
      <c r="AA148" s="189">
        <v>26</v>
      </c>
      <c r="AB148" s="188">
        <v>27</v>
      </c>
      <c r="AC148" s="189">
        <v>28</v>
      </c>
      <c r="AD148" s="188">
        <v>29</v>
      </c>
      <c r="AE148" s="189">
        <v>30</v>
      </c>
      <c r="AF148" s="188">
        <v>31</v>
      </c>
      <c r="AG148" s="189">
        <v>32</v>
      </c>
      <c r="AH148" s="188">
        <v>33</v>
      </c>
      <c r="AI148" s="189">
        <v>34</v>
      </c>
      <c r="AJ148" s="188">
        <v>35</v>
      </c>
      <c r="AK148" s="189">
        <v>36</v>
      </c>
      <c r="AL148" s="188">
        <v>37</v>
      </c>
      <c r="AM148" s="189">
        <v>38</v>
      </c>
      <c r="AN148" s="188">
        <v>39</v>
      </c>
      <c r="AO148" s="189">
        <v>40</v>
      </c>
      <c r="AP148" s="188">
        <v>41</v>
      </c>
      <c r="AQ148" s="189">
        <v>42</v>
      </c>
      <c r="AR148" s="188">
        <v>43</v>
      </c>
      <c r="AS148" s="189">
        <v>44</v>
      </c>
      <c r="AT148" s="188">
        <v>45</v>
      </c>
      <c r="AU148" s="189">
        <v>46</v>
      </c>
      <c r="AV148" s="188">
        <v>47</v>
      </c>
      <c r="AW148" s="189">
        <v>48</v>
      </c>
      <c r="AX148" s="188">
        <v>49</v>
      </c>
      <c r="AY148" s="189">
        <v>50</v>
      </c>
    </row>
    <row r="149" spans="2:51">
      <c r="B149" s="24"/>
      <c r="C149" s="25"/>
      <c r="D149" s="26"/>
      <c r="E149" s="27"/>
      <c r="F149" s="26"/>
      <c r="G149" s="27"/>
      <c r="H149" s="26"/>
      <c r="I149" s="27"/>
      <c r="J149" s="26"/>
      <c r="K149" s="27"/>
      <c r="L149" s="26"/>
      <c r="M149" s="27"/>
      <c r="N149" s="26"/>
      <c r="O149" s="27"/>
      <c r="P149" s="26"/>
      <c r="Q149" s="27"/>
      <c r="R149" s="26"/>
      <c r="S149" s="27"/>
      <c r="T149" s="26"/>
      <c r="U149" s="27"/>
      <c r="V149" s="26"/>
      <c r="W149" s="27"/>
      <c r="X149" s="26"/>
      <c r="Y149" s="27"/>
      <c r="Z149" s="26"/>
      <c r="AA149" s="27"/>
      <c r="AB149" s="26"/>
      <c r="AC149" s="27"/>
      <c r="AD149" s="26"/>
      <c r="AE149" s="27"/>
      <c r="AF149" s="26"/>
      <c r="AG149" s="27"/>
      <c r="AH149" s="26"/>
      <c r="AI149" s="27"/>
      <c r="AJ149" s="26"/>
      <c r="AK149" s="27"/>
      <c r="AL149" s="26"/>
      <c r="AM149" s="27"/>
      <c r="AN149" s="26"/>
      <c r="AO149" s="27"/>
      <c r="AP149" s="26"/>
      <c r="AQ149" s="27"/>
      <c r="AR149" s="26"/>
      <c r="AS149" s="27"/>
      <c r="AT149" s="26"/>
      <c r="AU149" s="27"/>
      <c r="AV149" s="26"/>
      <c r="AW149" s="27"/>
      <c r="AX149" s="26"/>
      <c r="AY149" s="27"/>
    </row>
    <row r="150" spans="2:51">
      <c r="B150" s="24"/>
      <c r="C150" s="25"/>
      <c r="D150" s="26"/>
      <c r="E150" s="27"/>
      <c r="F150" s="26"/>
      <c r="G150" s="27"/>
      <c r="H150" s="26"/>
      <c r="I150" s="27"/>
      <c r="J150" s="26"/>
      <c r="K150" s="27"/>
      <c r="L150" s="26"/>
      <c r="M150" s="27"/>
      <c r="N150" s="26"/>
      <c r="O150" s="27"/>
      <c r="P150" s="26"/>
      <c r="Q150" s="27"/>
      <c r="R150" s="26"/>
      <c r="S150" s="27"/>
      <c r="T150" s="26"/>
      <c r="U150" s="27"/>
      <c r="V150" s="26"/>
      <c r="W150" s="27"/>
      <c r="X150" s="26"/>
      <c r="Y150" s="27"/>
      <c r="Z150" s="26"/>
      <c r="AA150" s="27"/>
      <c r="AB150" s="26"/>
      <c r="AC150" s="27"/>
      <c r="AD150" s="26"/>
      <c r="AE150" s="27"/>
      <c r="AF150" s="26"/>
      <c r="AG150" s="27"/>
      <c r="AH150" s="26"/>
      <c r="AI150" s="27"/>
      <c r="AJ150" s="26"/>
      <c r="AK150" s="27"/>
      <c r="AL150" s="26"/>
      <c r="AM150" s="27"/>
      <c r="AN150" s="26"/>
      <c r="AO150" s="27"/>
      <c r="AP150" s="26"/>
      <c r="AQ150" s="27"/>
      <c r="AR150" s="26"/>
      <c r="AS150" s="27"/>
      <c r="AT150" s="26"/>
      <c r="AU150" s="27"/>
      <c r="AV150" s="26"/>
      <c r="AW150" s="27"/>
      <c r="AX150" s="26"/>
      <c r="AY150" s="27"/>
    </row>
    <row r="151" spans="2:51">
      <c r="B151" s="24"/>
      <c r="C151" s="25"/>
      <c r="D151" s="26"/>
      <c r="E151" s="27"/>
      <c r="F151" s="26"/>
      <c r="G151" s="27"/>
      <c r="H151" s="26"/>
      <c r="I151" s="27"/>
      <c r="J151" s="26"/>
      <c r="K151" s="27"/>
      <c r="L151" s="26"/>
      <c r="M151" s="27"/>
      <c r="N151" s="26"/>
      <c r="O151" s="27"/>
      <c r="P151" s="26"/>
      <c r="Q151" s="27"/>
      <c r="R151" s="26"/>
      <c r="S151" s="27"/>
      <c r="T151" s="26"/>
      <c r="U151" s="27"/>
      <c r="V151" s="26"/>
      <c r="W151" s="27"/>
      <c r="X151" s="26"/>
      <c r="Y151" s="27"/>
      <c r="Z151" s="26"/>
      <c r="AA151" s="27"/>
      <c r="AB151" s="26"/>
      <c r="AC151" s="27"/>
      <c r="AD151" s="26"/>
      <c r="AE151" s="27"/>
      <c r="AF151" s="26"/>
      <c r="AG151" s="27"/>
      <c r="AH151" s="26"/>
      <c r="AI151" s="27"/>
      <c r="AJ151" s="26"/>
      <c r="AK151" s="27"/>
      <c r="AL151" s="26"/>
      <c r="AM151" s="27"/>
      <c r="AN151" s="26"/>
      <c r="AO151" s="27"/>
      <c r="AP151" s="26"/>
      <c r="AQ151" s="27"/>
      <c r="AR151" s="26"/>
      <c r="AS151" s="27"/>
      <c r="AT151" s="26"/>
      <c r="AU151" s="27"/>
      <c r="AV151" s="26"/>
      <c r="AW151" s="27"/>
      <c r="AX151" s="26"/>
      <c r="AY151" s="27"/>
    </row>
    <row r="152" spans="2:51">
      <c r="B152" s="24"/>
      <c r="C152" s="25"/>
      <c r="D152" s="26"/>
      <c r="E152" s="27"/>
      <c r="F152" s="26"/>
      <c r="G152" s="27"/>
      <c r="H152" s="26"/>
      <c r="I152" s="27"/>
      <c r="J152" s="26"/>
      <c r="K152" s="27"/>
      <c r="L152" s="26"/>
      <c r="M152" s="27"/>
      <c r="N152" s="26"/>
      <c r="O152" s="27"/>
      <c r="P152" s="26"/>
      <c r="Q152" s="27"/>
      <c r="R152" s="26"/>
      <c r="S152" s="27"/>
      <c r="T152" s="26"/>
      <c r="U152" s="27"/>
      <c r="V152" s="26"/>
      <c r="W152" s="27"/>
      <c r="X152" s="26"/>
      <c r="Y152" s="27"/>
      <c r="Z152" s="26"/>
      <c r="AA152" s="27"/>
      <c r="AB152" s="26"/>
      <c r="AC152" s="27"/>
      <c r="AD152" s="26"/>
      <c r="AE152" s="27"/>
      <c r="AF152" s="26"/>
      <c r="AG152" s="27"/>
      <c r="AH152" s="26"/>
      <c r="AI152" s="27"/>
      <c r="AJ152" s="26"/>
      <c r="AK152" s="27"/>
      <c r="AL152" s="26"/>
      <c r="AM152" s="27"/>
      <c r="AN152" s="26"/>
      <c r="AO152" s="27"/>
      <c r="AP152" s="26"/>
      <c r="AQ152" s="27"/>
      <c r="AR152" s="26"/>
      <c r="AS152" s="27"/>
      <c r="AT152" s="26"/>
      <c r="AU152" s="27"/>
      <c r="AV152" s="26"/>
      <c r="AW152" s="27"/>
      <c r="AX152" s="26"/>
      <c r="AY152" s="27"/>
    </row>
    <row r="153" spans="2:51">
      <c r="B153" s="24"/>
      <c r="C153" s="25"/>
      <c r="D153" s="26"/>
      <c r="E153" s="27"/>
      <c r="F153" s="26"/>
      <c r="G153" s="27"/>
      <c r="H153" s="26"/>
      <c r="I153" s="27"/>
      <c r="J153" s="26"/>
      <c r="K153" s="27"/>
      <c r="L153" s="26"/>
      <c r="M153" s="27"/>
      <c r="N153" s="26"/>
      <c r="O153" s="27"/>
      <c r="P153" s="26"/>
      <c r="Q153" s="27"/>
      <c r="R153" s="26"/>
      <c r="S153" s="27"/>
      <c r="T153" s="26"/>
      <c r="U153" s="27"/>
      <c r="V153" s="26"/>
      <c r="W153" s="27"/>
      <c r="X153" s="26"/>
      <c r="Y153" s="27"/>
      <c r="Z153" s="26"/>
      <c r="AA153" s="27"/>
      <c r="AB153" s="26"/>
      <c r="AC153" s="27"/>
      <c r="AD153" s="26"/>
      <c r="AE153" s="27"/>
      <c r="AF153" s="26"/>
      <c r="AG153" s="27"/>
      <c r="AH153" s="26"/>
      <c r="AI153" s="27"/>
      <c r="AJ153" s="26"/>
      <c r="AK153" s="27"/>
      <c r="AL153" s="26"/>
      <c r="AM153" s="27"/>
      <c r="AN153" s="26"/>
      <c r="AO153" s="27"/>
      <c r="AP153" s="26"/>
      <c r="AQ153" s="27"/>
      <c r="AR153" s="26"/>
      <c r="AS153" s="27"/>
      <c r="AT153" s="26"/>
      <c r="AU153" s="27"/>
      <c r="AV153" s="26"/>
      <c r="AW153" s="27"/>
      <c r="AX153" s="26"/>
      <c r="AY153" s="27"/>
    </row>
    <row r="154" spans="2:51">
      <c r="B154" s="24"/>
      <c r="C154" s="25"/>
      <c r="D154" s="26"/>
      <c r="E154" s="27"/>
      <c r="F154" s="26"/>
      <c r="G154" s="27"/>
      <c r="H154" s="26"/>
      <c r="I154" s="27"/>
      <c r="J154" s="26"/>
      <c r="K154" s="27"/>
      <c r="L154" s="26"/>
      <c r="M154" s="27"/>
      <c r="N154" s="26"/>
      <c r="O154" s="27"/>
      <c r="P154" s="26"/>
      <c r="Q154" s="27"/>
      <c r="R154" s="26"/>
      <c r="S154" s="27"/>
      <c r="T154" s="26"/>
      <c r="U154" s="27"/>
      <c r="V154" s="26"/>
      <c r="W154" s="27"/>
      <c r="X154" s="26"/>
      <c r="Y154" s="27"/>
      <c r="Z154" s="26"/>
      <c r="AA154" s="27"/>
      <c r="AB154" s="26"/>
      <c r="AC154" s="27"/>
      <c r="AD154" s="26"/>
      <c r="AE154" s="27"/>
      <c r="AF154" s="26"/>
      <c r="AG154" s="27"/>
      <c r="AH154" s="26"/>
      <c r="AI154" s="27"/>
      <c r="AJ154" s="26"/>
      <c r="AK154" s="27"/>
      <c r="AL154" s="26"/>
      <c r="AM154" s="27"/>
      <c r="AN154" s="26"/>
      <c r="AO154" s="27"/>
      <c r="AP154" s="26"/>
      <c r="AQ154" s="27"/>
      <c r="AR154" s="26"/>
      <c r="AS154" s="27"/>
      <c r="AT154" s="26"/>
      <c r="AU154" s="27"/>
      <c r="AV154" s="26"/>
      <c r="AW154" s="27"/>
      <c r="AX154" s="26"/>
      <c r="AY154" s="27"/>
    </row>
    <row r="155" spans="2:51">
      <c r="B155" s="24"/>
      <c r="C155" s="25"/>
      <c r="D155" s="26"/>
      <c r="E155" s="27"/>
      <c r="F155" s="26"/>
      <c r="G155" s="27"/>
      <c r="H155" s="26"/>
      <c r="I155" s="27"/>
      <c r="J155" s="26"/>
      <c r="K155" s="27"/>
      <c r="L155" s="26"/>
      <c r="M155" s="27"/>
      <c r="N155" s="26"/>
      <c r="O155" s="27"/>
      <c r="P155" s="26"/>
      <c r="Q155" s="27"/>
      <c r="R155" s="26"/>
      <c r="S155" s="27"/>
      <c r="T155" s="26"/>
      <c r="U155" s="27"/>
      <c r="V155" s="26"/>
      <c r="W155" s="27"/>
      <c r="X155" s="26"/>
      <c r="Y155" s="27"/>
      <c r="Z155" s="26"/>
      <c r="AA155" s="27"/>
      <c r="AB155" s="26"/>
      <c r="AC155" s="27"/>
      <c r="AD155" s="26"/>
      <c r="AE155" s="27"/>
      <c r="AF155" s="26"/>
      <c r="AG155" s="27"/>
      <c r="AH155" s="26"/>
      <c r="AI155" s="27"/>
      <c r="AJ155" s="26"/>
      <c r="AK155" s="27"/>
      <c r="AL155" s="26"/>
      <c r="AM155" s="27"/>
      <c r="AN155" s="26"/>
      <c r="AO155" s="27"/>
      <c r="AP155" s="26"/>
      <c r="AQ155" s="27"/>
      <c r="AR155" s="26"/>
      <c r="AS155" s="27"/>
      <c r="AT155" s="26"/>
      <c r="AU155" s="27"/>
      <c r="AV155" s="26"/>
      <c r="AW155" s="27"/>
      <c r="AX155" s="26"/>
      <c r="AY155" s="27"/>
    </row>
    <row r="156" spans="2:51">
      <c r="B156" s="24"/>
      <c r="C156" s="25"/>
      <c r="D156" s="26"/>
      <c r="E156" s="27"/>
      <c r="F156" s="26"/>
      <c r="G156" s="27"/>
      <c r="H156" s="26"/>
      <c r="I156" s="27"/>
      <c r="J156" s="26"/>
      <c r="K156" s="27"/>
      <c r="L156" s="26"/>
      <c r="M156" s="27"/>
      <c r="N156" s="26"/>
      <c r="O156" s="27"/>
      <c r="P156" s="26"/>
      <c r="Q156" s="27"/>
      <c r="R156" s="26"/>
      <c r="S156" s="27"/>
      <c r="T156" s="26"/>
      <c r="U156" s="27"/>
      <c r="V156" s="26"/>
      <c r="W156" s="27"/>
      <c r="X156" s="26"/>
      <c r="Y156" s="27"/>
      <c r="Z156" s="26"/>
      <c r="AA156" s="27"/>
      <c r="AB156" s="26"/>
      <c r="AC156" s="27"/>
      <c r="AD156" s="26"/>
      <c r="AE156" s="27"/>
      <c r="AF156" s="26"/>
      <c r="AG156" s="27"/>
      <c r="AH156" s="26"/>
      <c r="AI156" s="27"/>
      <c r="AJ156" s="26"/>
      <c r="AK156" s="27"/>
      <c r="AL156" s="26"/>
      <c r="AM156" s="27"/>
      <c r="AN156" s="26"/>
      <c r="AO156" s="27"/>
      <c r="AP156" s="26"/>
      <c r="AQ156" s="27"/>
      <c r="AR156" s="26"/>
      <c r="AS156" s="27"/>
      <c r="AT156" s="26"/>
      <c r="AU156" s="27"/>
      <c r="AV156" s="26"/>
      <c r="AW156" s="27"/>
      <c r="AX156" s="26"/>
      <c r="AY156" s="27"/>
    </row>
    <row r="157" spans="2:51">
      <c r="B157" s="24"/>
      <c r="C157" s="25"/>
      <c r="D157" s="26"/>
      <c r="E157" s="27"/>
      <c r="F157" s="26"/>
      <c r="G157" s="27"/>
      <c r="H157" s="26"/>
      <c r="I157" s="27"/>
      <c r="J157" s="26"/>
      <c r="K157" s="27"/>
      <c r="L157" s="26"/>
      <c r="M157" s="27"/>
      <c r="N157" s="26"/>
      <c r="O157" s="27"/>
      <c r="P157" s="26"/>
      <c r="Q157" s="27"/>
      <c r="R157" s="26"/>
      <c r="S157" s="27"/>
      <c r="T157" s="26"/>
      <c r="U157" s="27"/>
      <c r="V157" s="26"/>
      <c r="W157" s="27"/>
      <c r="X157" s="26"/>
      <c r="Y157" s="27"/>
      <c r="Z157" s="26"/>
      <c r="AA157" s="27"/>
      <c r="AB157" s="26"/>
      <c r="AC157" s="27"/>
      <c r="AD157" s="26"/>
      <c r="AE157" s="27"/>
      <c r="AF157" s="26"/>
      <c r="AG157" s="27"/>
      <c r="AH157" s="26"/>
      <c r="AI157" s="27"/>
      <c r="AJ157" s="26"/>
      <c r="AK157" s="27"/>
      <c r="AL157" s="26"/>
      <c r="AM157" s="27"/>
      <c r="AN157" s="26"/>
      <c r="AO157" s="27"/>
      <c r="AP157" s="26"/>
      <c r="AQ157" s="27"/>
      <c r="AR157" s="26"/>
      <c r="AS157" s="27"/>
      <c r="AT157" s="26"/>
      <c r="AU157" s="27"/>
      <c r="AV157" s="26"/>
      <c r="AW157" s="27"/>
      <c r="AX157" s="26"/>
      <c r="AY157" s="27"/>
    </row>
    <row r="158" spans="2:51">
      <c r="B158" s="24"/>
      <c r="C158" s="25"/>
      <c r="D158" s="26"/>
      <c r="E158" s="27"/>
      <c r="F158" s="26"/>
      <c r="G158" s="27"/>
      <c r="H158" s="26"/>
      <c r="I158" s="27"/>
      <c r="J158" s="26"/>
      <c r="K158" s="27"/>
      <c r="L158" s="26"/>
      <c r="M158" s="27"/>
      <c r="N158" s="26"/>
      <c r="O158" s="27"/>
      <c r="P158" s="26"/>
      <c r="Q158" s="27"/>
      <c r="R158" s="26"/>
      <c r="S158" s="27"/>
      <c r="T158" s="26"/>
      <c r="U158" s="27"/>
      <c r="V158" s="26"/>
      <c r="W158" s="27"/>
      <c r="X158" s="26"/>
      <c r="Y158" s="27"/>
      <c r="Z158" s="26"/>
      <c r="AA158" s="27"/>
      <c r="AB158" s="26"/>
      <c r="AC158" s="27"/>
      <c r="AD158" s="26"/>
      <c r="AE158" s="27"/>
      <c r="AF158" s="26"/>
      <c r="AG158" s="27"/>
      <c r="AH158" s="26"/>
      <c r="AI158" s="27"/>
      <c r="AJ158" s="26"/>
      <c r="AK158" s="27"/>
      <c r="AL158" s="26"/>
      <c r="AM158" s="27"/>
      <c r="AN158" s="26"/>
      <c r="AO158" s="27"/>
      <c r="AP158" s="26"/>
      <c r="AQ158" s="27"/>
      <c r="AR158" s="26"/>
      <c r="AS158" s="27"/>
      <c r="AT158" s="26"/>
      <c r="AU158" s="27"/>
      <c r="AV158" s="26"/>
      <c r="AW158" s="27"/>
      <c r="AX158" s="26"/>
      <c r="AY158" s="27"/>
    </row>
    <row r="159" spans="2:51">
      <c r="B159" s="24"/>
      <c r="C159" s="25"/>
      <c r="D159" s="26"/>
      <c r="E159" s="27"/>
      <c r="F159" s="26"/>
      <c r="G159" s="27"/>
      <c r="H159" s="26"/>
      <c r="I159" s="27"/>
      <c r="J159" s="26"/>
      <c r="K159" s="27"/>
      <c r="L159" s="26"/>
      <c r="M159" s="27"/>
      <c r="N159" s="26"/>
      <c r="O159" s="27"/>
      <c r="P159" s="26"/>
      <c r="Q159" s="27"/>
      <c r="R159" s="26"/>
      <c r="S159" s="27"/>
      <c r="T159" s="26"/>
      <c r="U159" s="27"/>
      <c r="V159" s="26"/>
      <c r="W159" s="27"/>
      <c r="X159" s="26"/>
      <c r="Y159" s="27"/>
      <c r="Z159" s="26"/>
      <c r="AA159" s="27"/>
      <c r="AB159" s="26"/>
      <c r="AC159" s="27"/>
      <c r="AD159" s="26"/>
      <c r="AE159" s="27"/>
      <c r="AF159" s="26"/>
      <c r="AG159" s="27"/>
      <c r="AH159" s="26"/>
      <c r="AI159" s="27"/>
      <c r="AJ159" s="26"/>
      <c r="AK159" s="27"/>
      <c r="AL159" s="26"/>
      <c r="AM159" s="27"/>
      <c r="AN159" s="26"/>
      <c r="AO159" s="27"/>
      <c r="AP159" s="26"/>
      <c r="AQ159" s="27"/>
      <c r="AR159" s="26"/>
      <c r="AS159" s="27"/>
      <c r="AT159" s="26"/>
      <c r="AU159" s="27"/>
      <c r="AV159" s="26"/>
      <c r="AW159" s="27"/>
      <c r="AX159" s="26"/>
      <c r="AY159" s="27"/>
    </row>
    <row r="160" spans="2:51">
      <c r="B160" s="24"/>
      <c r="C160" s="25"/>
      <c r="D160" s="26"/>
      <c r="E160" s="27"/>
      <c r="F160" s="26"/>
      <c r="G160" s="27"/>
      <c r="H160" s="26"/>
      <c r="I160" s="27"/>
      <c r="J160" s="26"/>
      <c r="K160" s="27"/>
      <c r="L160" s="26"/>
      <c r="M160" s="27"/>
      <c r="N160" s="26"/>
      <c r="O160" s="27"/>
      <c r="P160" s="26"/>
      <c r="Q160" s="27"/>
      <c r="R160" s="26"/>
      <c r="S160" s="27"/>
      <c r="T160" s="26"/>
      <c r="U160" s="27"/>
      <c r="V160" s="26"/>
      <c r="W160" s="27"/>
      <c r="X160" s="26"/>
      <c r="Y160" s="27"/>
      <c r="Z160" s="26"/>
      <c r="AA160" s="27"/>
      <c r="AB160" s="26"/>
      <c r="AC160" s="27"/>
      <c r="AD160" s="26"/>
      <c r="AE160" s="27"/>
      <c r="AF160" s="26"/>
      <c r="AG160" s="27"/>
      <c r="AH160" s="26"/>
      <c r="AI160" s="27"/>
      <c r="AJ160" s="26"/>
      <c r="AK160" s="27"/>
      <c r="AL160" s="26"/>
      <c r="AM160" s="27"/>
      <c r="AN160" s="26"/>
      <c r="AO160" s="27"/>
      <c r="AP160" s="26"/>
      <c r="AQ160" s="27"/>
      <c r="AR160" s="26"/>
      <c r="AS160" s="27"/>
      <c r="AT160" s="26"/>
      <c r="AU160" s="27"/>
      <c r="AV160" s="26"/>
      <c r="AW160" s="27"/>
      <c r="AX160" s="26"/>
      <c r="AY160" s="27"/>
    </row>
    <row r="161" spans="2:51">
      <c r="B161" s="24"/>
      <c r="C161" s="25"/>
      <c r="D161" s="26"/>
      <c r="E161" s="27"/>
      <c r="F161" s="26"/>
      <c r="G161" s="27"/>
      <c r="H161" s="26"/>
      <c r="I161" s="27"/>
      <c r="J161" s="26"/>
      <c r="K161" s="27"/>
      <c r="L161" s="26"/>
      <c r="M161" s="27"/>
      <c r="N161" s="26"/>
      <c r="O161" s="27"/>
      <c r="P161" s="26"/>
      <c r="Q161" s="27"/>
      <c r="R161" s="26"/>
      <c r="S161" s="27"/>
      <c r="T161" s="26"/>
      <c r="U161" s="27"/>
      <c r="V161" s="26"/>
      <c r="W161" s="27"/>
      <c r="X161" s="26"/>
      <c r="Y161" s="27"/>
      <c r="Z161" s="26"/>
      <c r="AA161" s="27"/>
      <c r="AB161" s="26"/>
      <c r="AC161" s="27"/>
      <c r="AD161" s="26"/>
      <c r="AE161" s="27"/>
      <c r="AF161" s="26"/>
      <c r="AG161" s="27"/>
      <c r="AH161" s="26"/>
      <c r="AI161" s="27"/>
      <c r="AJ161" s="26"/>
      <c r="AK161" s="27"/>
      <c r="AL161" s="26"/>
      <c r="AM161" s="27"/>
      <c r="AN161" s="26"/>
      <c r="AO161" s="27"/>
      <c r="AP161" s="26"/>
      <c r="AQ161" s="27"/>
      <c r="AR161" s="26"/>
      <c r="AS161" s="27"/>
      <c r="AT161" s="26"/>
      <c r="AU161" s="27"/>
      <c r="AV161" s="26"/>
      <c r="AW161" s="27"/>
      <c r="AX161" s="26"/>
      <c r="AY161" s="27"/>
    </row>
    <row r="162" spans="2:51">
      <c r="B162" s="24"/>
      <c r="C162" s="25"/>
      <c r="D162" s="26"/>
      <c r="E162" s="27"/>
      <c r="F162" s="26"/>
      <c r="G162" s="27"/>
      <c r="H162" s="26"/>
      <c r="I162" s="27"/>
      <c r="J162" s="26"/>
      <c r="K162" s="27"/>
      <c r="L162" s="26"/>
      <c r="M162" s="27"/>
      <c r="N162" s="26"/>
      <c r="O162" s="27"/>
      <c r="P162" s="26"/>
      <c r="Q162" s="27"/>
      <c r="R162" s="26"/>
      <c r="S162" s="27"/>
      <c r="T162" s="26"/>
      <c r="U162" s="27"/>
      <c r="V162" s="26"/>
      <c r="W162" s="27"/>
      <c r="X162" s="26"/>
      <c r="Y162" s="27"/>
      <c r="Z162" s="26"/>
      <c r="AA162" s="27"/>
      <c r="AB162" s="26"/>
      <c r="AC162" s="27"/>
      <c r="AD162" s="26"/>
      <c r="AE162" s="27"/>
      <c r="AF162" s="26"/>
      <c r="AG162" s="27"/>
      <c r="AH162" s="26"/>
      <c r="AI162" s="27"/>
      <c r="AJ162" s="26"/>
      <c r="AK162" s="27"/>
      <c r="AL162" s="26"/>
      <c r="AM162" s="27"/>
      <c r="AN162" s="26"/>
      <c r="AO162" s="27"/>
      <c r="AP162" s="26"/>
      <c r="AQ162" s="27"/>
      <c r="AR162" s="26"/>
      <c r="AS162" s="27"/>
      <c r="AT162" s="26"/>
      <c r="AU162" s="27"/>
      <c r="AV162" s="26"/>
      <c r="AW162" s="27"/>
      <c r="AX162" s="26"/>
      <c r="AY162" s="27"/>
    </row>
    <row r="163" spans="2:51">
      <c r="B163" s="24"/>
      <c r="C163" s="25"/>
      <c r="D163" s="26"/>
      <c r="E163" s="27"/>
      <c r="F163" s="26"/>
      <c r="G163" s="27"/>
      <c r="H163" s="26"/>
      <c r="I163" s="27"/>
      <c r="J163" s="26"/>
      <c r="K163" s="27"/>
      <c r="L163" s="26"/>
      <c r="M163" s="27"/>
      <c r="N163" s="26"/>
      <c r="O163" s="27"/>
      <c r="P163" s="26"/>
      <c r="Q163" s="27"/>
      <c r="R163" s="26"/>
      <c r="S163" s="27"/>
      <c r="T163" s="26"/>
      <c r="U163" s="27"/>
      <c r="V163" s="26"/>
      <c r="W163" s="27"/>
      <c r="X163" s="26"/>
      <c r="Y163" s="27"/>
      <c r="Z163" s="26"/>
      <c r="AA163" s="27"/>
      <c r="AB163" s="26"/>
      <c r="AC163" s="27"/>
      <c r="AD163" s="26"/>
      <c r="AE163" s="27"/>
      <c r="AF163" s="26"/>
      <c r="AG163" s="27"/>
      <c r="AH163" s="26"/>
      <c r="AI163" s="27"/>
      <c r="AJ163" s="26"/>
      <c r="AK163" s="27"/>
      <c r="AL163" s="26"/>
      <c r="AM163" s="27"/>
      <c r="AN163" s="26"/>
      <c r="AO163" s="27"/>
      <c r="AP163" s="26"/>
      <c r="AQ163" s="27"/>
      <c r="AR163" s="26"/>
      <c r="AS163" s="27"/>
      <c r="AT163" s="26"/>
      <c r="AU163" s="27"/>
      <c r="AV163" s="26"/>
      <c r="AW163" s="27"/>
      <c r="AX163" s="26"/>
      <c r="AY163" s="27"/>
    </row>
    <row r="164" spans="2:51">
      <c r="B164" s="24"/>
      <c r="C164" s="25"/>
      <c r="D164" s="26"/>
      <c r="E164" s="27"/>
      <c r="F164" s="26"/>
      <c r="G164" s="27"/>
      <c r="H164" s="26"/>
      <c r="I164" s="27"/>
      <c r="J164" s="26"/>
      <c r="K164" s="27"/>
      <c r="L164" s="26"/>
      <c r="M164" s="27"/>
      <c r="N164" s="26"/>
      <c r="O164" s="27"/>
      <c r="P164" s="26"/>
      <c r="Q164" s="27"/>
      <c r="R164" s="26"/>
      <c r="S164" s="27"/>
      <c r="T164" s="26"/>
      <c r="U164" s="27"/>
      <c r="V164" s="26"/>
      <c r="W164" s="27"/>
      <c r="X164" s="26"/>
      <c r="Y164" s="27"/>
      <c r="Z164" s="26"/>
      <c r="AA164" s="27"/>
      <c r="AB164" s="26"/>
      <c r="AC164" s="27"/>
      <c r="AD164" s="26"/>
      <c r="AE164" s="27"/>
      <c r="AF164" s="26"/>
      <c r="AG164" s="27"/>
      <c r="AH164" s="26"/>
      <c r="AI164" s="27"/>
      <c r="AJ164" s="26"/>
      <c r="AK164" s="27"/>
      <c r="AL164" s="26"/>
      <c r="AM164" s="27"/>
      <c r="AN164" s="26"/>
      <c r="AO164" s="27"/>
      <c r="AP164" s="26"/>
      <c r="AQ164" s="27"/>
      <c r="AR164" s="26"/>
      <c r="AS164" s="27"/>
      <c r="AT164" s="26"/>
      <c r="AU164" s="27"/>
      <c r="AV164" s="26"/>
      <c r="AW164" s="27"/>
      <c r="AX164" s="26"/>
      <c r="AY164" s="27"/>
    </row>
    <row r="165" spans="2:51">
      <c r="B165" s="24"/>
      <c r="C165" s="25"/>
      <c r="D165" s="26"/>
      <c r="E165" s="27"/>
      <c r="F165" s="26"/>
      <c r="G165" s="27"/>
      <c r="H165" s="26"/>
      <c r="I165" s="27"/>
      <c r="J165" s="26"/>
      <c r="K165" s="27"/>
      <c r="L165" s="26"/>
      <c r="M165" s="27"/>
      <c r="N165" s="26"/>
      <c r="O165" s="27"/>
      <c r="P165" s="26"/>
      <c r="Q165" s="27"/>
      <c r="R165" s="26"/>
      <c r="S165" s="27"/>
      <c r="T165" s="26"/>
      <c r="U165" s="27"/>
      <c r="V165" s="26"/>
      <c r="W165" s="27"/>
      <c r="X165" s="26"/>
      <c r="Y165" s="27"/>
      <c r="Z165" s="26"/>
      <c r="AA165" s="27"/>
      <c r="AB165" s="26"/>
      <c r="AC165" s="27"/>
      <c r="AD165" s="26"/>
      <c r="AE165" s="27"/>
      <c r="AF165" s="26"/>
      <c r="AG165" s="27"/>
      <c r="AH165" s="26"/>
      <c r="AI165" s="27"/>
      <c r="AJ165" s="26"/>
      <c r="AK165" s="27"/>
      <c r="AL165" s="26"/>
      <c r="AM165" s="27"/>
      <c r="AN165" s="26"/>
      <c r="AO165" s="27"/>
      <c r="AP165" s="26"/>
      <c r="AQ165" s="27"/>
      <c r="AR165" s="26"/>
      <c r="AS165" s="27"/>
      <c r="AT165" s="26"/>
      <c r="AU165" s="27"/>
      <c r="AV165" s="26"/>
      <c r="AW165" s="27"/>
      <c r="AX165" s="26"/>
      <c r="AY165" s="27"/>
    </row>
    <row r="166" spans="2:51">
      <c r="B166" s="24"/>
      <c r="C166" s="25"/>
      <c r="D166" s="26"/>
      <c r="E166" s="27"/>
      <c r="F166" s="26"/>
      <c r="G166" s="27"/>
      <c r="H166" s="26"/>
      <c r="I166" s="27"/>
      <c r="J166" s="26"/>
      <c r="K166" s="27"/>
      <c r="L166" s="26"/>
      <c r="M166" s="27"/>
      <c r="N166" s="26"/>
      <c r="O166" s="27"/>
      <c r="P166" s="26"/>
      <c r="Q166" s="27"/>
      <c r="R166" s="26"/>
      <c r="S166" s="27"/>
      <c r="T166" s="26"/>
      <c r="U166" s="27"/>
      <c r="V166" s="26"/>
      <c r="W166" s="27"/>
      <c r="X166" s="26"/>
      <c r="Y166" s="27"/>
      <c r="Z166" s="26"/>
      <c r="AA166" s="27"/>
      <c r="AB166" s="26"/>
      <c r="AC166" s="27"/>
      <c r="AD166" s="26"/>
      <c r="AE166" s="27"/>
      <c r="AF166" s="26"/>
      <c r="AG166" s="27"/>
      <c r="AH166" s="26"/>
      <c r="AI166" s="27"/>
      <c r="AJ166" s="26"/>
      <c r="AK166" s="27"/>
      <c r="AL166" s="26"/>
      <c r="AM166" s="27"/>
      <c r="AN166" s="26"/>
      <c r="AO166" s="27"/>
      <c r="AP166" s="26"/>
      <c r="AQ166" s="27"/>
      <c r="AR166" s="26"/>
      <c r="AS166" s="27"/>
      <c r="AT166" s="26"/>
      <c r="AU166" s="27"/>
      <c r="AV166" s="26"/>
      <c r="AW166" s="27"/>
      <c r="AX166" s="26"/>
      <c r="AY166" s="27"/>
    </row>
  </sheetData>
  <conditionalFormatting sqref="B2:M2">
    <cfRule type="expression" dxfId="7" priority="1" stopIfTrue="1">
      <formula>A1 &gt; 30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F0"/>
  </sheetPr>
  <dimension ref="A1:AY167"/>
  <sheetViews>
    <sheetView topLeftCell="A37" workbookViewId="0">
      <selection activeCell="D53" sqref="D53"/>
    </sheetView>
  </sheetViews>
  <sheetFormatPr defaultRowHeight="15"/>
  <cols>
    <col min="1" max="2" width="9.140625" style="152"/>
    <col min="3" max="3" width="29.42578125" style="152" bestFit="1" customWidth="1"/>
    <col min="4" max="4" width="11.5703125" style="152" bestFit="1" customWidth="1"/>
    <col min="5" max="5" width="9.28515625" style="152" bestFit="1" customWidth="1"/>
    <col min="6" max="6" width="11.5703125" style="152" bestFit="1" customWidth="1"/>
    <col min="7" max="7" width="9.28515625" style="152" bestFit="1" customWidth="1"/>
    <col min="8" max="8" width="11.5703125" style="152" bestFit="1" customWidth="1"/>
    <col min="9" max="9" width="9.28515625" style="152" bestFit="1" customWidth="1"/>
    <col min="10" max="10" width="11.5703125" style="152" bestFit="1" customWidth="1"/>
    <col min="11" max="11" width="9.28515625" style="152" bestFit="1" customWidth="1"/>
    <col min="12" max="12" width="11.5703125" style="152" bestFit="1" customWidth="1"/>
    <col min="13" max="13" width="9.28515625" style="152" bestFit="1" customWidth="1"/>
    <col min="14" max="14" width="11.5703125" style="152" bestFit="1" customWidth="1"/>
    <col min="15" max="15" width="9.28515625" style="152" bestFit="1" customWidth="1"/>
    <col min="16" max="16" width="11.5703125" style="152" bestFit="1" customWidth="1"/>
    <col min="17" max="17" width="9.28515625" style="152" bestFit="1" customWidth="1"/>
    <col min="18" max="18" width="11.5703125" style="152" bestFit="1" customWidth="1"/>
    <col min="19" max="19" width="9.28515625" style="152" bestFit="1" customWidth="1"/>
    <col min="20" max="20" width="11.5703125" style="152" bestFit="1" customWidth="1"/>
    <col min="21" max="21" width="9.28515625" style="152" bestFit="1" customWidth="1"/>
    <col min="22" max="22" width="11.5703125" style="152" bestFit="1" customWidth="1"/>
    <col min="23" max="23" width="9.28515625" style="152" bestFit="1" customWidth="1"/>
    <col min="24" max="24" width="11.5703125" style="152" bestFit="1" customWidth="1"/>
    <col min="25" max="25" width="9.28515625" style="152" bestFit="1" customWidth="1"/>
    <col min="26" max="26" width="11.5703125" style="152" bestFit="1" customWidth="1"/>
    <col min="27" max="27" width="9.28515625" style="152" bestFit="1" customWidth="1"/>
    <col min="28" max="28" width="11.5703125" style="152" bestFit="1" customWidth="1"/>
    <col min="29" max="29" width="9.28515625" style="152" bestFit="1" customWidth="1"/>
    <col min="30" max="30" width="11.5703125" style="152" bestFit="1" customWidth="1"/>
    <col min="31" max="31" width="9.28515625" style="152" bestFit="1" customWidth="1"/>
    <col min="32" max="32" width="11.5703125" style="152" bestFit="1" customWidth="1"/>
    <col min="33" max="33" width="9.28515625" style="152" bestFit="1" customWidth="1"/>
    <col min="34" max="34" width="11.5703125" style="152" bestFit="1" customWidth="1"/>
    <col min="35" max="35" width="9.28515625" style="152" bestFit="1" customWidth="1"/>
    <col min="36" max="36" width="11.5703125" style="152" bestFit="1" customWidth="1"/>
    <col min="37" max="37" width="9.28515625" style="152" bestFit="1" customWidth="1"/>
    <col min="38" max="38" width="11.5703125" style="152" bestFit="1" customWidth="1"/>
    <col min="39" max="39" width="9.28515625" style="152" bestFit="1" customWidth="1"/>
    <col min="40" max="40" width="11.5703125" style="152" bestFit="1" customWidth="1"/>
    <col min="41" max="41" width="9.28515625" style="152" bestFit="1" customWidth="1"/>
    <col min="42" max="42" width="11.5703125" style="152" bestFit="1" customWidth="1"/>
    <col min="43" max="43" width="9.28515625" style="152" bestFit="1" customWidth="1"/>
    <col min="44" max="44" width="11.5703125" style="152" bestFit="1" customWidth="1"/>
    <col min="45" max="45" width="9.28515625" style="152" bestFit="1" customWidth="1"/>
    <col min="46" max="46" width="11.5703125" style="152" bestFit="1" customWidth="1"/>
    <col min="47" max="47" width="9.28515625" style="152" bestFit="1" customWidth="1"/>
    <col min="48" max="48" width="11.5703125" style="152" bestFit="1" customWidth="1"/>
    <col min="49" max="49" width="9.28515625" style="152" bestFit="1" customWidth="1"/>
    <col min="50" max="50" width="11.5703125" style="152" bestFit="1" customWidth="1"/>
    <col min="51" max="51" width="9.28515625" style="152" bestFit="1" customWidth="1"/>
    <col min="52" max="258" width="9.140625" style="152"/>
    <col min="259" max="259" width="29.42578125" style="152" bestFit="1" customWidth="1"/>
    <col min="260" max="260" width="11.5703125" style="152" bestFit="1" customWidth="1"/>
    <col min="261" max="261" width="9.28515625" style="152" bestFit="1" customWidth="1"/>
    <col min="262" max="262" width="11.5703125" style="152" bestFit="1" customWidth="1"/>
    <col min="263" max="263" width="9.28515625" style="152" bestFit="1" customWidth="1"/>
    <col min="264" max="264" width="11.5703125" style="152" bestFit="1" customWidth="1"/>
    <col min="265" max="265" width="9.28515625" style="152" bestFit="1" customWidth="1"/>
    <col min="266" max="266" width="11.5703125" style="152" bestFit="1" customWidth="1"/>
    <col min="267" max="267" width="9.28515625" style="152" bestFit="1" customWidth="1"/>
    <col min="268" max="268" width="11.5703125" style="152" bestFit="1" customWidth="1"/>
    <col min="269" max="269" width="9.28515625" style="152" bestFit="1" customWidth="1"/>
    <col min="270" max="270" width="11.5703125" style="152" bestFit="1" customWidth="1"/>
    <col min="271" max="271" width="9.28515625" style="152" bestFit="1" customWidth="1"/>
    <col min="272" max="272" width="11.5703125" style="152" bestFit="1" customWidth="1"/>
    <col min="273" max="273" width="9.28515625" style="152" bestFit="1" customWidth="1"/>
    <col min="274" max="274" width="11.5703125" style="152" bestFit="1" customWidth="1"/>
    <col min="275" max="275" width="9.28515625" style="152" bestFit="1" customWidth="1"/>
    <col min="276" max="276" width="11.5703125" style="152" bestFit="1" customWidth="1"/>
    <col min="277" max="277" width="9.28515625" style="152" bestFit="1" customWidth="1"/>
    <col min="278" max="278" width="11.5703125" style="152" bestFit="1" customWidth="1"/>
    <col min="279" max="279" width="9.28515625" style="152" bestFit="1" customWidth="1"/>
    <col min="280" max="280" width="11.5703125" style="152" bestFit="1" customWidth="1"/>
    <col min="281" max="281" width="9.28515625" style="152" bestFit="1" customWidth="1"/>
    <col min="282" max="282" width="11.5703125" style="152" bestFit="1" customWidth="1"/>
    <col min="283" max="283" width="9.28515625" style="152" bestFit="1" customWidth="1"/>
    <col min="284" max="284" width="11.5703125" style="152" bestFit="1" customWidth="1"/>
    <col min="285" max="285" width="9.28515625" style="152" bestFit="1" customWidth="1"/>
    <col min="286" max="286" width="11.5703125" style="152" bestFit="1" customWidth="1"/>
    <col min="287" max="287" width="9.28515625" style="152" bestFit="1" customWidth="1"/>
    <col min="288" max="288" width="11.5703125" style="152" bestFit="1" customWidth="1"/>
    <col min="289" max="289" width="9.28515625" style="152" bestFit="1" customWidth="1"/>
    <col min="290" max="290" width="11.5703125" style="152" bestFit="1" customWidth="1"/>
    <col min="291" max="291" width="9.28515625" style="152" bestFit="1" customWidth="1"/>
    <col min="292" max="292" width="11.5703125" style="152" bestFit="1" customWidth="1"/>
    <col min="293" max="293" width="9.28515625" style="152" bestFit="1" customWidth="1"/>
    <col min="294" max="294" width="11.5703125" style="152" bestFit="1" customWidth="1"/>
    <col min="295" max="295" width="9.28515625" style="152" bestFit="1" customWidth="1"/>
    <col min="296" max="296" width="11.5703125" style="152" bestFit="1" customWidth="1"/>
    <col min="297" max="297" width="9.28515625" style="152" bestFit="1" customWidth="1"/>
    <col min="298" max="298" width="11.5703125" style="152" bestFit="1" customWidth="1"/>
    <col min="299" max="299" width="9.28515625" style="152" bestFit="1" customWidth="1"/>
    <col min="300" max="300" width="11.5703125" style="152" bestFit="1" customWidth="1"/>
    <col min="301" max="301" width="9.28515625" style="152" bestFit="1" customWidth="1"/>
    <col min="302" max="302" width="11.5703125" style="152" bestFit="1" customWidth="1"/>
    <col min="303" max="303" width="9.28515625" style="152" bestFit="1" customWidth="1"/>
    <col min="304" max="304" width="11.5703125" style="152" bestFit="1" customWidth="1"/>
    <col min="305" max="305" width="9.28515625" style="152" bestFit="1" customWidth="1"/>
    <col min="306" max="306" width="11.5703125" style="152" bestFit="1" customWidth="1"/>
    <col min="307" max="307" width="9.28515625" style="152" bestFit="1" customWidth="1"/>
    <col min="308" max="514" width="9.140625" style="152"/>
    <col min="515" max="515" width="29.42578125" style="152" bestFit="1" customWidth="1"/>
    <col min="516" max="516" width="11.5703125" style="152" bestFit="1" customWidth="1"/>
    <col min="517" max="517" width="9.28515625" style="152" bestFit="1" customWidth="1"/>
    <col min="518" max="518" width="11.5703125" style="152" bestFit="1" customWidth="1"/>
    <col min="519" max="519" width="9.28515625" style="152" bestFit="1" customWidth="1"/>
    <col min="520" max="520" width="11.5703125" style="152" bestFit="1" customWidth="1"/>
    <col min="521" max="521" width="9.28515625" style="152" bestFit="1" customWidth="1"/>
    <col min="522" max="522" width="11.5703125" style="152" bestFit="1" customWidth="1"/>
    <col min="523" max="523" width="9.28515625" style="152" bestFit="1" customWidth="1"/>
    <col min="524" max="524" width="11.5703125" style="152" bestFit="1" customWidth="1"/>
    <col min="525" max="525" width="9.28515625" style="152" bestFit="1" customWidth="1"/>
    <col min="526" max="526" width="11.5703125" style="152" bestFit="1" customWidth="1"/>
    <col min="527" max="527" width="9.28515625" style="152" bestFit="1" customWidth="1"/>
    <col min="528" max="528" width="11.5703125" style="152" bestFit="1" customWidth="1"/>
    <col min="529" max="529" width="9.28515625" style="152" bestFit="1" customWidth="1"/>
    <col min="530" max="530" width="11.5703125" style="152" bestFit="1" customWidth="1"/>
    <col min="531" max="531" width="9.28515625" style="152" bestFit="1" customWidth="1"/>
    <col min="532" max="532" width="11.5703125" style="152" bestFit="1" customWidth="1"/>
    <col min="533" max="533" width="9.28515625" style="152" bestFit="1" customWidth="1"/>
    <col min="534" max="534" width="11.5703125" style="152" bestFit="1" customWidth="1"/>
    <col min="535" max="535" width="9.28515625" style="152" bestFit="1" customWidth="1"/>
    <col min="536" max="536" width="11.5703125" style="152" bestFit="1" customWidth="1"/>
    <col min="537" max="537" width="9.28515625" style="152" bestFit="1" customWidth="1"/>
    <col min="538" max="538" width="11.5703125" style="152" bestFit="1" customWidth="1"/>
    <col min="539" max="539" width="9.28515625" style="152" bestFit="1" customWidth="1"/>
    <col min="540" max="540" width="11.5703125" style="152" bestFit="1" customWidth="1"/>
    <col min="541" max="541" width="9.28515625" style="152" bestFit="1" customWidth="1"/>
    <col min="542" max="542" width="11.5703125" style="152" bestFit="1" customWidth="1"/>
    <col min="543" max="543" width="9.28515625" style="152" bestFit="1" customWidth="1"/>
    <col min="544" max="544" width="11.5703125" style="152" bestFit="1" customWidth="1"/>
    <col min="545" max="545" width="9.28515625" style="152" bestFit="1" customWidth="1"/>
    <col min="546" max="546" width="11.5703125" style="152" bestFit="1" customWidth="1"/>
    <col min="547" max="547" width="9.28515625" style="152" bestFit="1" customWidth="1"/>
    <col min="548" max="548" width="11.5703125" style="152" bestFit="1" customWidth="1"/>
    <col min="549" max="549" width="9.28515625" style="152" bestFit="1" customWidth="1"/>
    <col min="550" max="550" width="11.5703125" style="152" bestFit="1" customWidth="1"/>
    <col min="551" max="551" width="9.28515625" style="152" bestFit="1" customWidth="1"/>
    <col min="552" max="552" width="11.5703125" style="152" bestFit="1" customWidth="1"/>
    <col min="553" max="553" width="9.28515625" style="152" bestFit="1" customWidth="1"/>
    <col min="554" max="554" width="11.5703125" style="152" bestFit="1" customWidth="1"/>
    <col min="555" max="555" width="9.28515625" style="152" bestFit="1" customWidth="1"/>
    <col min="556" max="556" width="11.5703125" style="152" bestFit="1" customWidth="1"/>
    <col min="557" max="557" width="9.28515625" style="152" bestFit="1" customWidth="1"/>
    <col min="558" max="558" width="11.5703125" style="152" bestFit="1" customWidth="1"/>
    <col min="559" max="559" width="9.28515625" style="152" bestFit="1" customWidth="1"/>
    <col min="560" max="560" width="11.5703125" style="152" bestFit="1" customWidth="1"/>
    <col min="561" max="561" width="9.28515625" style="152" bestFit="1" customWidth="1"/>
    <col min="562" max="562" width="11.5703125" style="152" bestFit="1" customWidth="1"/>
    <col min="563" max="563" width="9.28515625" style="152" bestFit="1" customWidth="1"/>
    <col min="564" max="770" width="9.140625" style="152"/>
    <col min="771" max="771" width="29.42578125" style="152" bestFit="1" customWidth="1"/>
    <col min="772" max="772" width="11.5703125" style="152" bestFit="1" customWidth="1"/>
    <col min="773" max="773" width="9.28515625" style="152" bestFit="1" customWidth="1"/>
    <col min="774" max="774" width="11.5703125" style="152" bestFit="1" customWidth="1"/>
    <col min="775" max="775" width="9.28515625" style="152" bestFit="1" customWidth="1"/>
    <col min="776" max="776" width="11.5703125" style="152" bestFit="1" customWidth="1"/>
    <col min="777" max="777" width="9.28515625" style="152" bestFit="1" customWidth="1"/>
    <col min="778" max="778" width="11.5703125" style="152" bestFit="1" customWidth="1"/>
    <col min="779" max="779" width="9.28515625" style="152" bestFit="1" customWidth="1"/>
    <col min="780" max="780" width="11.5703125" style="152" bestFit="1" customWidth="1"/>
    <col min="781" max="781" width="9.28515625" style="152" bestFit="1" customWidth="1"/>
    <col min="782" max="782" width="11.5703125" style="152" bestFit="1" customWidth="1"/>
    <col min="783" max="783" width="9.28515625" style="152" bestFit="1" customWidth="1"/>
    <col min="784" max="784" width="11.5703125" style="152" bestFit="1" customWidth="1"/>
    <col min="785" max="785" width="9.28515625" style="152" bestFit="1" customWidth="1"/>
    <col min="786" max="786" width="11.5703125" style="152" bestFit="1" customWidth="1"/>
    <col min="787" max="787" width="9.28515625" style="152" bestFit="1" customWidth="1"/>
    <col min="788" max="788" width="11.5703125" style="152" bestFit="1" customWidth="1"/>
    <col min="789" max="789" width="9.28515625" style="152" bestFit="1" customWidth="1"/>
    <col min="790" max="790" width="11.5703125" style="152" bestFit="1" customWidth="1"/>
    <col min="791" max="791" width="9.28515625" style="152" bestFit="1" customWidth="1"/>
    <col min="792" max="792" width="11.5703125" style="152" bestFit="1" customWidth="1"/>
    <col min="793" max="793" width="9.28515625" style="152" bestFit="1" customWidth="1"/>
    <col min="794" max="794" width="11.5703125" style="152" bestFit="1" customWidth="1"/>
    <col min="795" max="795" width="9.28515625" style="152" bestFit="1" customWidth="1"/>
    <col min="796" max="796" width="11.5703125" style="152" bestFit="1" customWidth="1"/>
    <col min="797" max="797" width="9.28515625" style="152" bestFit="1" customWidth="1"/>
    <col min="798" max="798" width="11.5703125" style="152" bestFit="1" customWidth="1"/>
    <col min="799" max="799" width="9.28515625" style="152" bestFit="1" customWidth="1"/>
    <col min="800" max="800" width="11.5703125" style="152" bestFit="1" customWidth="1"/>
    <col min="801" max="801" width="9.28515625" style="152" bestFit="1" customWidth="1"/>
    <col min="802" max="802" width="11.5703125" style="152" bestFit="1" customWidth="1"/>
    <col min="803" max="803" width="9.28515625" style="152" bestFit="1" customWidth="1"/>
    <col min="804" max="804" width="11.5703125" style="152" bestFit="1" customWidth="1"/>
    <col min="805" max="805" width="9.28515625" style="152" bestFit="1" customWidth="1"/>
    <col min="806" max="806" width="11.5703125" style="152" bestFit="1" customWidth="1"/>
    <col min="807" max="807" width="9.28515625" style="152" bestFit="1" customWidth="1"/>
    <col min="808" max="808" width="11.5703125" style="152" bestFit="1" customWidth="1"/>
    <col min="809" max="809" width="9.28515625" style="152" bestFit="1" customWidth="1"/>
    <col min="810" max="810" width="11.5703125" style="152" bestFit="1" customWidth="1"/>
    <col min="811" max="811" width="9.28515625" style="152" bestFit="1" customWidth="1"/>
    <col min="812" max="812" width="11.5703125" style="152" bestFit="1" customWidth="1"/>
    <col min="813" max="813" width="9.28515625" style="152" bestFit="1" customWidth="1"/>
    <col min="814" max="814" width="11.5703125" style="152" bestFit="1" customWidth="1"/>
    <col min="815" max="815" width="9.28515625" style="152" bestFit="1" customWidth="1"/>
    <col min="816" max="816" width="11.5703125" style="152" bestFit="1" customWidth="1"/>
    <col min="817" max="817" width="9.28515625" style="152" bestFit="1" customWidth="1"/>
    <col min="818" max="818" width="11.5703125" style="152" bestFit="1" customWidth="1"/>
    <col min="819" max="819" width="9.28515625" style="152" bestFit="1" customWidth="1"/>
    <col min="820" max="1026" width="9.140625" style="152"/>
    <col min="1027" max="1027" width="29.42578125" style="152" bestFit="1" customWidth="1"/>
    <col min="1028" max="1028" width="11.5703125" style="152" bestFit="1" customWidth="1"/>
    <col min="1029" max="1029" width="9.28515625" style="152" bestFit="1" customWidth="1"/>
    <col min="1030" max="1030" width="11.5703125" style="152" bestFit="1" customWidth="1"/>
    <col min="1031" max="1031" width="9.28515625" style="152" bestFit="1" customWidth="1"/>
    <col min="1032" max="1032" width="11.5703125" style="152" bestFit="1" customWidth="1"/>
    <col min="1033" max="1033" width="9.28515625" style="152" bestFit="1" customWidth="1"/>
    <col min="1034" max="1034" width="11.5703125" style="152" bestFit="1" customWidth="1"/>
    <col min="1035" max="1035" width="9.28515625" style="152" bestFit="1" customWidth="1"/>
    <col min="1036" max="1036" width="11.5703125" style="152" bestFit="1" customWidth="1"/>
    <col min="1037" max="1037" width="9.28515625" style="152" bestFit="1" customWidth="1"/>
    <col min="1038" max="1038" width="11.5703125" style="152" bestFit="1" customWidth="1"/>
    <col min="1039" max="1039" width="9.28515625" style="152" bestFit="1" customWidth="1"/>
    <col min="1040" max="1040" width="11.5703125" style="152" bestFit="1" customWidth="1"/>
    <col min="1041" max="1041" width="9.28515625" style="152" bestFit="1" customWidth="1"/>
    <col min="1042" max="1042" width="11.5703125" style="152" bestFit="1" customWidth="1"/>
    <col min="1043" max="1043" width="9.28515625" style="152" bestFit="1" customWidth="1"/>
    <col min="1044" max="1044" width="11.5703125" style="152" bestFit="1" customWidth="1"/>
    <col min="1045" max="1045" width="9.28515625" style="152" bestFit="1" customWidth="1"/>
    <col min="1046" max="1046" width="11.5703125" style="152" bestFit="1" customWidth="1"/>
    <col min="1047" max="1047" width="9.28515625" style="152" bestFit="1" customWidth="1"/>
    <col min="1048" max="1048" width="11.5703125" style="152" bestFit="1" customWidth="1"/>
    <col min="1049" max="1049" width="9.28515625" style="152" bestFit="1" customWidth="1"/>
    <col min="1050" max="1050" width="11.5703125" style="152" bestFit="1" customWidth="1"/>
    <col min="1051" max="1051" width="9.28515625" style="152" bestFit="1" customWidth="1"/>
    <col min="1052" max="1052" width="11.5703125" style="152" bestFit="1" customWidth="1"/>
    <col min="1053" max="1053" width="9.28515625" style="152" bestFit="1" customWidth="1"/>
    <col min="1054" max="1054" width="11.5703125" style="152" bestFit="1" customWidth="1"/>
    <col min="1055" max="1055" width="9.28515625" style="152" bestFit="1" customWidth="1"/>
    <col min="1056" max="1056" width="11.5703125" style="152" bestFit="1" customWidth="1"/>
    <col min="1057" max="1057" width="9.28515625" style="152" bestFit="1" customWidth="1"/>
    <col min="1058" max="1058" width="11.5703125" style="152" bestFit="1" customWidth="1"/>
    <col min="1059" max="1059" width="9.28515625" style="152" bestFit="1" customWidth="1"/>
    <col min="1060" max="1060" width="11.5703125" style="152" bestFit="1" customWidth="1"/>
    <col min="1061" max="1061" width="9.28515625" style="152" bestFit="1" customWidth="1"/>
    <col min="1062" max="1062" width="11.5703125" style="152" bestFit="1" customWidth="1"/>
    <col min="1063" max="1063" width="9.28515625" style="152" bestFit="1" customWidth="1"/>
    <col min="1064" max="1064" width="11.5703125" style="152" bestFit="1" customWidth="1"/>
    <col min="1065" max="1065" width="9.28515625" style="152" bestFit="1" customWidth="1"/>
    <col min="1066" max="1066" width="11.5703125" style="152" bestFit="1" customWidth="1"/>
    <col min="1067" max="1067" width="9.28515625" style="152" bestFit="1" customWidth="1"/>
    <col min="1068" max="1068" width="11.5703125" style="152" bestFit="1" customWidth="1"/>
    <col min="1069" max="1069" width="9.28515625" style="152" bestFit="1" customWidth="1"/>
    <col min="1070" max="1070" width="11.5703125" style="152" bestFit="1" customWidth="1"/>
    <col min="1071" max="1071" width="9.28515625" style="152" bestFit="1" customWidth="1"/>
    <col min="1072" max="1072" width="11.5703125" style="152" bestFit="1" customWidth="1"/>
    <col min="1073" max="1073" width="9.28515625" style="152" bestFit="1" customWidth="1"/>
    <col min="1074" max="1074" width="11.5703125" style="152" bestFit="1" customWidth="1"/>
    <col min="1075" max="1075" width="9.28515625" style="152" bestFit="1" customWidth="1"/>
    <col min="1076" max="1282" width="9.140625" style="152"/>
    <col min="1283" max="1283" width="29.42578125" style="152" bestFit="1" customWidth="1"/>
    <col min="1284" max="1284" width="11.5703125" style="152" bestFit="1" customWidth="1"/>
    <col min="1285" max="1285" width="9.28515625" style="152" bestFit="1" customWidth="1"/>
    <col min="1286" max="1286" width="11.5703125" style="152" bestFit="1" customWidth="1"/>
    <col min="1287" max="1287" width="9.28515625" style="152" bestFit="1" customWidth="1"/>
    <col min="1288" max="1288" width="11.5703125" style="152" bestFit="1" customWidth="1"/>
    <col min="1289" max="1289" width="9.28515625" style="152" bestFit="1" customWidth="1"/>
    <col min="1290" max="1290" width="11.5703125" style="152" bestFit="1" customWidth="1"/>
    <col min="1291" max="1291" width="9.28515625" style="152" bestFit="1" customWidth="1"/>
    <col min="1292" max="1292" width="11.5703125" style="152" bestFit="1" customWidth="1"/>
    <col min="1293" max="1293" width="9.28515625" style="152" bestFit="1" customWidth="1"/>
    <col min="1294" max="1294" width="11.5703125" style="152" bestFit="1" customWidth="1"/>
    <col min="1295" max="1295" width="9.28515625" style="152" bestFit="1" customWidth="1"/>
    <col min="1296" max="1296" width="11.5703125" style="152" bestFit="1" customWidth="1"/>
    <col min="1297" max="1297" width="9.28515625" style="152" bestFit="1" customWidth="1"/>
    <col min="1298" max="1298" width="11.5703125" style="152" bestFit="1" customWidth="1"/>
    <col min="1299" max="1299" width="9.28515625" style="152" bestFit="1" customWidth="1"/>
    <col min="1300" max="1300" width="11.5703125" style="152" bestFit="1" customWidth="1"/>
    <col min="1301" max="1301" width="9.28515625" style="152" bestFit="1" customWidth="1"/>
    <col min="1302" max="1302" width="11.5703125" style="152" bestFit="1" customWidth="1"/>
    <col min="1303" max="1303" width="9.28515625" style="152" bestFit="1" customWidth="1"/>
    <col min="1304" max="1304" width="11.5703125" style="152" bestFit="1" customWidth="1"/>
    <col min="1305" max="1305" width="9.28515625" style="152" bestFit="1" customWidth="1"/>
    <col min="1306" max="1306" width="11.5703125" style="152" bestFit="1" customWidth="1"/>
    <col min="1307" max="1307" width="9.28515625" style="152" bestFit="1" customWidth="1"/>
    <col min="1308" max="1308" width="11.5703125" style="152" bestFit="1" customWidth="1"/>
    <col min="1309" max="1309" width="9.28515625" style="152" bestFit="1" customWidth="1"/>
    <col min="1310" max="1310" width="11.5703125" style="152" bestFit="1" customWidth="1"/>
    <col min="1311" max="1311" width="9.28515625" style="152" bestFit="1" customWidth="1"/>
    <col min="1312" max="1312" width="11.5703125" style="152" bestFit="1" customWidth="1"/>
    <col min="1313" max="1313" width="9.28515625" style="152" bestFit="1" customWidth="1"/>
    <col min="1314" max="1314" width="11.5703125" style="152" bestFit="1" customWidth="1"/>
    <col min="1315" max="1315" width="9.28515625" style="152" bestFit="1" customWidth="1"/>
    <col min="1316" max="1316" width="11.5703125" style="152" bestFit="1" customWidth="1"/>
    <col min="1317" max="1317" width="9.28515625" style="152" bestFit="1" customWidth="1"/>
    <col min="1318" max="1318" width="11.5703125" style="152" bestFit="1" customWidth="1"/>
    <col min="1319" max="1319" width="9.28515625" style="152" bestFit="1" customWidth="1"/>
    <col min="1320" max="1320" width="11.5703125" style="152" bestFit="1" customWidth="1"/>
    <col min="1321" max="1321" width="9.28515625" style="152" bestFit="1" customWidth="1"/>
    <col min="1322" max="1322" width="11.5703125" style="152" bestFit="1" customWidth="1"/>
    <col min="1323" max="1323" width="9.28515625" style="152" bestFit="1" customWidth="1"/>
    <col min="1324" max="1324" width="11.5703125" style="152" bestFit="1" customWidth="1"/>
    <col min="1325" max="1325" width="9.28515625" style="152" bestFit="1" customWidth="1"/>
    <col min="1326" max="1326" width="11.5703125" style="152" bestFit="1" customWidth="1"/>
    <col min="1327" max="1327" width="9.28515625" style="152" bestFit="1" customWidth="1"/>
    <col min="1328" max="1328" width="11.5703125" style="152" bestFit="1" customWidth="1"/>
    <col min="1329" max="1329" width="9.28515625" style="152" bestFit="1" customWidth="1"/>
    <col min="1330" max="1330" width="11.5703125" style="152" bestFit="1" customWidth="1"/>
    <col min="1331" max="1331" width="9.28515625" style="152" bestFit="1" customWidth="1"/>
    <col min="1332" max="1538" width="9.140625" style="152"/>
    <col min="1539" max="1539" width="29.42578125" style="152" bestFit="1" customWidth="1"/>
    <col min="1540" max="1540" width="11.5703125" style="152" bestFit="1" customWidth="1"/>
    <col min="1541" max="1541" width="9.28515625" style="152" bestFit="1" customWidth="1"/>
    <col min="1542" max="1542" width="11.5703125" style="152" bestFit="1" customWidth="1"/>
    <col min="1543" max="1543" width="9.28515625" style="152" bestFit="1" customWidth="1"/>
    <col min="1544" max="1544" width="11.5703125" style="152" bestFit="1" customWidth="1"/>
    <col min="1545" max="1545" width="9.28515625" style="152" bestFit="1" customWidth="1"/>
    <col min="1546" max="1546" width="11.5703125" style="152" bestFit="1" customWidth="1"/>
    <col min="1547" max="1547" width="9.28515625" style="152" bestFit="1" customWidth="1"/>
    <col min="1548" max="1548" width="11.5703125" style="152" bestFit="1" customWidth="1"/>
    <col min="1549" max="1549" width="9.28515625" style="152" bestFit="1" customWidth="1"/>
    <col min="1550" max="1550" width="11.5703125" style="152" bestFit="1" customWidth="1"/>
    <col min="1551" max="1551" width="9.28515625" style="152" bestFit="1" customWidth="1"/>
    <col min="1552" max="1552" width="11.5703125" style="152" bestFit="1" customWidth="1"/>
    <col min="1553" max="1553" width="9.28515625" style="152" bestFit="1" customWidth="1"/>
    <col min="1554" max="1554" width="11.5703125" style="152" bestFit="1" customWidth="1"/>
    <col min="1555" max="1555" width="9.28515625" style="152" bestFit="1" customWidth="1"/>
    <col min="1556" max="1556" width="11.5703125" style="152" bestFit="1" customWidth="1"/>
    <col min="1557" max="1557" width="9.28515625" style="152" bestFit="1" customWidth="1"/>
    <col min="1558" max="1558" width="11.5703125" style="152" bestFit="1" customWidth="1"/>
    <col min="1559" max="1559" width="9.28515625" style="152" bestFit="1" customWidth="1"/>
    <col min="1560" max="1560" width="11.5703125" style="152" bestFit="1" customWidth="1"/>
    <col min="1561" max="1561" width="9.28515625" style="152" bestFit="1" customWidth="1"/>
    <col min="1562" max="1562" width="11.5703125" style="152" bestFit="1" customWidth="1"/>
    <col min="1563" max="1563" width="9.28515625" style="152" bestFit="1" customWidth="1"/>
    <col min="1564" max="1564" width="11.5703125" style="152" bestFit="1" customWidth="1"/>
    <col min="1565" max="1565" width="9.28515625" style="152" bestFit="1" customWidth="1"/>
    <col min="1566" max="1566" width="11.5703125" style="152" bestFit="1" customWidth="1"/>
    <col min="1567" max="1567" width="9.28515625" style="152" bestFit="1" customWidth="1"/>
    <col min="1568" max="1568" width="11.5703125" style="152" bestFit="1" customWidth="1"/>
    <col min="1569" max="1569" width="9.28515625" style="152" bestFit="1" customWidth="1"/>
    <col min="1570" max="1570" width="11.5703125" style="152" bestFit="1" customWidth="1"/>
    <col min="1571" max="1571" width="9.28515625" style="152" bestFit="1" customWidth="1"/>
    <col min="1572" max="1572" width="11.5703125" style="152" bestFit="1" customWidth="1"/>
    <col min="1573" max="1573" width="9.28515625" style="152" bestFit="1" customWidth="1"/>
    <col min="1574" max="1574" width="11.5703125" style="152" bestFit="1" customWidth="1"/>
    <col min="1575" max="1575" width="9.28515625" style="152" bestFit="1" customWidth="1"/>
    <col min="1576" max="1576" width="11.5703125" style="152" bestFit="1" customWidth="1"/>
    <col min="1577" max="1577" width="9.28515625" style="152" bestFit="1" customWidth="1"/>
    <col min="1578" max="1578" width="11.5703125" style="152" bestFit="1" customWidth="1"/>
    <col min="1579" max="1579" width="9.28515625" style="152" bestFit="1" customWidth="1"/>
    <col min="1580" max="1580" width="11.5703125" style="152" bestFit="1" customWidth="1"/>
    <col min="1581" max="1581" width="9.28515625" style="152" bestFit="1" customWidth="1"/>
    <col min="1582" max="1582" width="11.5703125" style="152" bestFit="1" customWidth="1"/>
    <col min="1583" max="1583" width="9.28515625" style="152" bestFit="1" customWidth="1"/>
    <col min="1584" max="1584" width="11.5703125" style="152" bestFit="1" customWidth="1"/>
    <col min="1585" max="1585" width="9.28515625" style="152" bestFit="1" customWidth="1"/>
    <col min="1586" max="1586" width="11.5703125" style="152" bestFit="1" customWidth="1"/>
    <col min="1587" max="1587" width="9.28515625" style="152" bestFit="1" customWidth="1"/>
    <col min="1588" max="1794" width="9.140625" style="152"/>
    <col min="1795" max="1795" width="29.42578125" style="152" bestFit="1" customWidth="1"/>
    <col min="1796" max="1796" width="11.5703125" style="152" bestFit="1" customWidth="1"/>
    <col min="1797" max="1797" width="9.28515625" style="152" bestFit="1" customWidth="1"/>
    <col min="1798" max="1798" width="11.5703125" style="152" bestFit="1" customWidth="1"/>
    <col min="1799" max="1799" width="9.28515625" style="152" bestFit="1" customWidth="1"/>
    <col min="1800" max="1800" width="11.5703125" style="152" bestFit="1" customWidth="1"/>
    <col min="1801" max="1801" width="9.28515625" style="152" bestFit="1" customWidth="1"/>
    <col min="1802" max="1802" width="11.5703125" style="152" bestFit="1" customWidth="1"/>
    <col min="1803" max="1803" width="9.28515625" style="152" bestFit="1" customWidth="1"/>
    <col min="1804" max="1804" width="11.5703125" style="152" bestFit="1" customWidth="1"/>
    <col min="1805" max="1805" width="9.28515625" style="152" bestFit="1" customWidth="1"/>
    <col min="1806" max="1806" width="11.5703125" style="152" bestFit="1" customWidth="1"/>
    <col min="1807" max="1807" width="9.28515625" style="152" bestFit="1" customWidth="1"/>
    <col min="1808" max="1808" width="11.5703125" style="152" bestFit="1" customWidth="1"/>
    <col min="1809" max="1809" width="9.28515625" style="152" bestFit="1" customWidth="1"/>
    <col min="1810" max="1810" width="11.5703125" style="152" bestFit="1" customWidth="1"/>
    <col min="1811" max="1811" width="9.28515625" style="152" bestFit="1" customWidth="1"/>
    <col min="1812" max="1812" width="11.5703125" style="152" bestFit="1" customWidth="1"/>
    <col min="1813" max="1813" width="9.28515625" style="152" bestFit="1" customWidth="1"/>
    <col min="1814" max="1814" width="11.5703125" style="152" bestFit="1" customWidth="1"/>
    <col min="1815" max="1815" width="9.28515625" style="152" bestFit="1" customWidth="1"/>
    <col min="1816" max="1816" width="11.5703125" style="152" bestFit="1" customWidth="1"/>
    <col min="1817" max="1817" width="9.28515625" style="152" bestFit="1" customWidth="1"/>
    <col min="1818" max="1818" width="11.5703125" style="152" bestFit="1" customWidth="1"/>
    <col min="1819" max="1819" width="9.28515625" style="152" bestFit="1" customWidth="1"/>
    <col min="1820" max="1820" width="11.5703125" style="152" bestFit="1" customWidth="1"/>
    <col min="1821" max="1821" width="9.28515625" style="152" bestFit="1" customWidth="1"/>
    <col min="1822" max="1822" width="11.5703125" style="152" bestFit="1" customWidth="1"/>
    <col min="1823" max="1823" width="9.28515625" style="152" bestFit="1" customWidth="1"/>
    <col min="1824" max="1824" width="11.5703125" style="152" bestFit="1" customWidth="1"/>
    <col min="1825" max="1825" width="9.28515625" style="152" bestFit="1" customWidth="1"/>
    <col min="1826" max="1826" width="11.5703125" style="152" bestFit="1" customWidth="1"/>
    <col min="1827" max="1827" width="9.28515625" style="152" bestFit="1" customWidth="1"/>
    <col min="1828" max="1828" width="11.5703125" style="152" bestFit="1" customWidth="1"/>
    <col min="1829" max="1829" width="9.28515625" style="152" bestFit="1" customWidth="1"/>
    <col min="1830" max="1830" width="11.5703125" style="152" bestFit="1" customWidth="1"/>
    <col min="1831" max="1831" width="9.28515625" style="152" bestFit="1" customWidth="1"/>
    <col min="1832" max="1832" width="11.5703125" style="152" bestFit="1" customWidth="1"/>
    <col min="1833" max="1833" width="9.28515625" style="152" bestFit="1" customWidth="1"/>
    <col min="1834" max="1834" width="11.5703125" style="152" bestFit="1" customWidth="1"/>
    <col min="1835" max="1835" width="9.28515625" style="152" bestFit="1" customWidth="1"/>
    <col min="1836" max="1836" width="11.5703125" style="152" bestFit="1" customWidth="1"/>
    <col min="1837" max="1837" width="9.28515625" style="152" bestFit="1" customWidth="1"/>
    <col min="1838" max="1838" width="11.5703125" style="152" bestFit="1" customWidth="1"/>
    <col min="1839" max="1839" width="9.28515625" style="152" bestFit="1" customWidth="1"/>
    <col min="1840" max="1840" width="11.5703125" style="152" bestFit="1" customWidth="1"/>
    <col min="1841" max="1841" width="9.28515625" style="152" bestFit="1" customWidth="1"/>
    <col min="1842" max="1842" width="11.5703125" style="152" bestFit="1" customWidth="1"/>
    <col min="1843" max="1843" width="9.28515625" style="152" bestFit="1" customWidth="1"/>
    <col min="1844" max="2050" width="9.140625" style="152"/>
    <col min="2051" max="2051" width="29.42578125" style="152" bestFit="1" customWidth="1"/>
    <col min="2052" max="2052" width="11.5703125" style="152" bestFit="1" customWidth="1"/>
    <col min="2053" max="2053" width="9.28515625" style="152" bestFit="1" customWidth="1"/>
    <col min="2054" max="2054" width="11.5703125" style="152" bestFit="1" customWidth="1"/>
    <col min="2055" max="2055" width="9.28515625" style="152" bestFit="1" customWidth="1"/>
    <col min="2056" max="2056" width="11.5703125" style="152" bestFit="1" customWidth="1"/>
    <col min="2057" max="2057" width="9.28515625" style="152" bestFit="1" customWidth="1"/>
    <col min="2058" max="2058" width="11.5703125" style="152" bestFit="1" customWidth="1"/>
    <col min="2059" max="2059" width="9.28515625" style="152" bestFit="1" customWidth="1"/>
    <col min="2060" max="2060" width="11.5703125" style="152" bestFit="1" customWidth="1"/>
    <col min="2061" max="2061" width="9.28515625" style="152" bestFit="1" customWidth="1"/>
    <col min="2062" max="2062" width="11.5703125" style="152" bestFit="1" customWidth="1"/>
    <col min="2063" max="2063" width="9.28515625" style="152" bestFit="1" customWidth="1"/>
    <col min="2064" max="2064" width="11.5703125" style="152" bestFit="1" customWidth="1"/>
    <col min="2065" max="2065" width="9.28515625" style="152" bestFit="1" customWidth="1"/>
    <col min="2066" max="2066" width="11.5703125" style="152" bestFit="1" customWidth="1"/>
    <col min="2067" max="2067" width="9.28515625" style="152" bestFit="1" customWidth="1"/>
    <col min="2068" max="2068" width="11.5703125" style="152" bestFit="1" customWidth="1"/>
    <col min="2069" max="2069" width="9.28515625" style="152" bestFit="1" customWidth="1"/>
    <col min="2070" max="2070" width="11.5703125" style="152" bestFit="1" customWidth="1"/>
    <col min="2071" max="2071" width="9.28515625" style="152" bestFit="1" customWidth="1"/>
    <col min="2072" max="2072" width="11.5703125" style="152" bestFit="1" customWidth="1"/>
    <col min="2073" max="2073" width="9.28515625" style="152" bestFit="1" customWidth="1"/>
    <col min="2074" max="2074" width="11.5703125" style="152" bestFit="1" customWidth="1"/>
    <col min="2075" max="2075" width="9.28515625" style="152" bestFit="1" customWidth="1"/>
    <col min="2076" max="2076" width="11.5703125" style="152" bestFit="1" customWidth="1"/>
    <col min="2077" max="2077" width="9.28515625" style="152" bestFit="1" customWidth="1"/>
    <col min="2078" max="2078" width="11.5703125" style="152" bestFit="1" customWidth="1"/>
    <col min="2079" max="2079" width="9.28515625" style="152" bestFit="1" customWidth="1"/>
    <col min="2080" max="2080" width="11.5703125" style="152" bestFit="1" customWidth="1"/>
    <col min="2081" max="2081" width="9.28515625" style="152" bestFit="1" customWidth="1"/>
    <col min="2082" max="2082" width="11.5703125" style="152" bestFit="1" customWidth="1"/>
    <col min="2083" max="2083" width="9.28515625" style="152" bestFit="1" customWidth="1"/>
    <col min="2084" max="2084" width="11.5703125" style="152" bestFit="1" customWidth="1"/>
    <col min="2085" max="2085" width="9.28515625" style="152" bestFit="1" customWidth="1"/>
    <col min="2086" max="2086" width="11.5703125" style="152" bestFit="1" customWidth="1"/>
    <col min="2087" max="2087" width="9.28515625" style="152" bestFit="1" customWidth="1"/>
    <col min="2088" max="2088" width="11.5703125" style="152" bestFit="1" customWidth="1"/>
    <col min="2089" max="2089" width="9.28515625" style="152" bestFit="1" customWidth="1"/>
    <col min="2090" max="2090" width="11.5703125" style="152" bestFit="1" customWidth="1"/>
    <col min="2091" max="2091" width="9.28515625" style="152" bestFit="1" customWidth="1"/>
    <col min="2092" max="2092" width="11.5703125" style="152" bestFit="1" customWidth="1"/>
    <col min="2093" max="2093" width="9.28515625" style="152" bestFit="1" customWidth="1"/>
    <col min="2094" max="2094" width="11.5703125" style="152" bestFit="1" customWidth="1"/>
    <col min="2095" max="2095" width="9.28515625" style="152" bestFit="1" customWidth="1"/>
    <col min="2096" max="2096" width="11.5703125" style="152" bestFit="1" customWidth="1"/>
    <col min="2097" max="2097" width="9.28515625" style="152" bestFit="1" customWidth="1"/>
    <col min="2098" max="2098" width="11.5703125" style="152" bestFit="1" customWidth="1"/>
    <col min="2099" max="2099" width="9.28515625" style="152" bestFit="1" customWidth="1"/>
    <col min="2100" max="2306" width="9.140625" style="152"/>
    <col min="2307" max="2307" width="29.42578125" style="152" bestFit="1" customWidth="1"/>
    <col min="2308" max="2308" width="11.5703125" style="152" bestFit="1" customWidth="1"/>
    <col min="2309" max="2309" width="9.28515625" style="152" bestFit="1" customWidth="1"/>
    <col min="2310" max="2310" width="11.5703125" style="152" bestFit="1" customWidth="1"/>
    <col min="2311" max="2311" width="9.28515625" style="152" bestFit="1" customWidth="1"/>
    <col min="2312" max="2312" width="11.5703125" style="152" bestFit="1" customWidth="1"/>
    <col min="2313" max="2313" width="9.28515625" style="152" bestFit="1" customWidth="1"/>
    <col min="2314" max="2314" width="11.5703125" style="152" bestFit="1" customWidth="1"/>
    <col min="2315" max="2315" width="9.28515625" style="152" bestFit="1" customWidth="1"/>
    <col min="2316" max="2316" width="11.5703125" style="152" bestFit="1" customWidth="1"/>
    <col min="2317" max="2317" width="9.28515625" style="152" bestFit="1" customWidth="1"/>
    <col min="2318" max="2318" width="11.5703125" style="152" bestFit="1" customWidth="1"/>
    <col min="2319" max="2319" width="9.28515625" style="152" bestFit="1" customWidth="1"/>
    <col min="2320" max="2320" width="11.5703125" style="152" bestFit="1" customWidth="1"/>
    <col min="2321" max="2321" width="9.28515625" style="152" bestFit="1" customWidth="1"/>
    <col min="2322" max="2322" width="11.5703125" style="152" bestFit="1" customWidth="1"/>
    <col min="2323" max="2323" width="9.28515625" style="152" bestFit="1" customWidth="1"/>
    <col min="2324" max="2324" width="11.5703125" style="152" bestFit="1" customWidth="1"/>
    <col min="2325" max="2325" width="9.28515625" style="152" bestFit="1" customWidth="1"/>
    <col min="2326" max="2326" width="11.5703125" style="152" bestFit="1" customWidth="1"/>
    <col min="2327" max="2327" width="9.28515625" style="152" bestFit="1" customWidth="1"/>
    <col min="2328" max="2328" width="11.5703125" style="152" bestFit="1" customWidth="1"/>
    <col min="2329" max="2329" width="9.28515625" style="152" bestFit="1" customWidth="1"/>
    <col min="2330" max="2330" width="11.5703125" style="152" bestFit="1" customWidth="1"/>
    <col min="2331" max="2331" width="9.28515625" style="152" bestFit="1" customWidth="1"/>
    <col min="2332" max="2332" width="11.5703125" style="152" bestFit="1" customWidth="1"/>
    <col min="2333" max="2333" width="9.28515625" style="152" bestFit="1" customWidth="1"/>
    <col min="2334" max="2334" width="11.5703125" style="152" bestFit="1" customWidth="1"/>
    <col min="2335" max="2335" width="9.28515625" style="152" bestFit="1" customWidth="1"/>
    <col min="2336" max="2336" width="11.5703125" style="152" bestFit="1" customWidth="1"/>
    <col min="2337" max="2337" width="9.28515625" style="152" bestFit="1" customWidth="1"/>
    <col min="2338" max="2338" width="11.5703125" style="152" bestFit="1" customWidth="1"/>
    <col min="2339" max="2339" width="9.28515625" style="152" bestFit="1" customWidth="1"/>
    <col min="2340" max="2340" width="11.5703125" style="152" bestFit="1" customWidth="1"/>
    <col min="2341" max="2341" width="9.28515625" style="152" bestFit="1" customWidth="1"/>
    <col min="2342" max="2342" width="11.5703125" style="152" bestFit="1" customWidth="1"/>
    <col min="2343" max="2343" width="9.28515625" style="152" bestFit="1" customWidth="1"/>
    <col min="2344" max="2344" width="11.5703125" style="152" bestFit="1" customWidth="1"/>
    <col min="2345" max="2345" width="9.28515625" style="152" bestFit="1" customWidth="1"/>
    <col min="2346" max="2346" width="11.5703125" style="152" bestFit="1" customWidth="1"/>
    <col min="2347" max="2347" width="9.28515625" style="152" bestFit="1" customWidth="1"/>
    <col min="2348" max="2348" width="11.5703125" style="152" bestFit="1" customWidth="1"/>
    <col min="2349" max="2349" width="9.28515625" style="152" bestFit="1" customWidth="1"/>
    <col min="2350" max="2350" width="11.5703125" style="152" bestFit="1" customWidth="1"/>
    <col min="2351" max="2351" width="9.28515625" style="152" bestFit="1" customWidth="1"/>
    <col min="2352" max="2352" width="11.5703125" style="152" bestFit="1" customWidth="1"/>
    <col min="2353" max="2353" width="9.28515625" style="152" bestFit="1" customWidth="1"/>
    <col min="2354" max="2354" width="11.5703125" style="152" bestFit="1" customWidth="1"/>
    <col min="2355" max="2355" width="9.28515625" style="152" bestFit="1" customWidth="1"/>
    <col min="2356" max="2562" width="9.140625" style="152"/>
    <col min="2563" max="2563" width="29.42578125" style="152" bestFit="1" customWidth="1"/>
    <col min="2564" max="2564" width="11.5703125" style="152" bestFit="1" customWidth="1"/>
    <col min="2565" max="2565" width="9.28515625" style="152" bestFit="1" customWidth="1"/>
    <col min="2566" max="2566" width="11.5703125" style="152" bestFit="1" customWidth="1"/>
    <col min="2567" max="2567" width="9.28515625" style="152" bestFit="1" customWidth="1"/>
    <col min="2568" max="2568" width="11.5703125" style="152" bestFit="1" customWidth="1"/>
    <col min="2569" max="2569" width="9.28515625" style="152" bestFit="1" customWidth="1"/>
    <col min="2570" max="2570" width="11.5703125" style="152" bestFit="1" customWidth="1"/>
    <col min="2571" max="2571" width="9.28515625" style="152" bestFit="1" customWidth="1"/>
    <col min="2572" max="2572" width="11.5703125" style="152" bestFit="1" customWidth="1"/>
    <col min="2573" max="2573" width="9.28515625" style="152" bestFit="1" customWidth="1"/>
    <col min="2574" max="2574" width="11.5703125" style="152" bestFit="1" customWidth="1"/>
    <col min="2575" max="2575" width="9.28515625" style="152" bestFit="1" customWidth="1"/>
    <col min="2576" max="2576" width="11.5703125" style="152" bestFit="1" customWidth="1"/>
    <col min="2577" max="2577" width="9.28515625" style="152" bestFit="1" customWidth="1"/>
    <col min="2578" max="2578" width="11.5703125" style="152" bestFit="1" customWidth="1"/>
    <col min="2579" max="2579" width="9.28515625" style="152" bestFit="1" customWidth="1"/>
    <col min="2580" max="2580" width="11.5703125" style="152" bestFit="1" customWidth="1"/>
    <col min="2581" max="2581" width="9.28515625" style="152" bestFit="1" customWidth="1"/>
    <col min="2582" max="2582" width="11.5703125" style="152" bestFit="1" customWidth="1"/>
    <col min="2583" max="2583" width="9.28515625" style="152" bestFit="1" customWidth="1"/>
    <col min="2584" max="2584" width="11.5703125" style="152" bestFit="1" customWidth="1"/>
    <col min="2585" max="2585" width="9.28515625" style="152" bestFit="1" customWidth="1"/>
    <col min="2586" max="2586" width="11.5703125" style="152" bestFit="1" customWidth="1"/>
    <col min="2587" max="2587" width="9.28515625" style="152" bestFit="1" customWidth="1"/>
    <col min="2588" max="2588" width="11.5703125" style="152" bestFit="1" customWidth="1"/>
    <col min="2589" max="2589" width="9.28515625" style="152" bestFit="1" customWidth="1"/>
    <col min="2590" max="2590" width="11.5703125" style="152" bestFit="1" customWidth="1"/>
    <col min="2591" max="2591" width="9.28515625" style="152" bestFit="1" customWidth="1"/>
    <col min="2592" max="2592" width="11.5703125" style="152" bestFit="1" customWidth="1"/>
    <col min="2593" max="2593" width="9.28515625" style="152" bestFit="1" customWidth="1"/>
    <col min="2594" max="2594" width="11.5703125" style="152" bestFit="1" customWidth="1"/>
    <col min="2595" max="2595" width="9.28515625" style="152" bestFit="1" customWidth="1"/>
    <col min="2596" max="2596" width="11.5703125" style="152" bestFit="1" customWidth="1"/>
    <col min="2597" max="2597" width="9.28515625" style="152" bestFit="1" customWidth="1"/>
    <col min="2598" max="2598" width="11.5703125" style="152" bestFit="1" customWidth="1"/>
    <col min="2599" max="2599" width="9.28515625" style="152" bestFit="1" customWidth="1"/>
    <col min="2600" max="2600" width="11.5703125" style="152" bestFit="1" customWidth="1"/>
    <col min="2601" max="2601" width="9.28515625" style="152" bestFit="1" customWidth="1"/>
    <col min="2602" max="2602" width="11.5703125" style="152" bestFit="1" customWidth="1"/>
    <col min="2603" max="2603" width="9.28515625" style="152" bestFit="1" customWidth="1"/>
    <col min="2604" max="2604" width="11.5703125" style="152" bestFit="1" customWidth="1"/>
    <col min="2605" max="2605" width="9.28515625" style="152" bestFit="1" customWidth="1"/>
    <col min="2606" max="2606" width="11.5703125" style="152" bestFit="1" customWidth="1"/>
    <col min="2607" max="2607" width="9.28515625" style="152" bestFit="1" customWidth="1"/>
    <col min="2608" max="2608" width="11.5703125" style="152" bestFit="1" customWidth="1"/>
    <col min="2609" max="2609" width="9.28515625" style="152" bestFit="1" customWidth="1"/>
    <col min="2610" max="2610" width="11.5703125" style="152" bestFit="1" customWidth="1"/>
    <col min="2611" max="2611" width="9.28515625" style="152" bestFit="1" customWidth="1"/>
    <col min="2612" max="2818" width="9.140625" style="152"/>
    <col min="2819" max="2819" width="29.42578125" style="152" bestFit="1" customWidth="1"/>
    <col min="2820" max="2820" width="11.5703125" style="152" bestFit="1" customWidth="1"/>
    <col min="2821" max="2821" width="9.28515625" style="152" bestFit="1" customWidth="1"/>
    <col min="2822" max="2822" width="11.5703125" style="152" bestFit="1" customWidth="1"/>
    <col min="2823" max="2823" width="9.28515625" style="152" bestFit="1" customWidth="1"/>
    <col min="2824" max="2824" width="11.5703125" style="152" bestFit="1" customWidth="1"/>
    <col min="2825" max="2825" width="9.28515625" style="152" bestFit="1" customWidth="1"/>
    <col min="2826" max="2826" width="11.5703125" style="152" bestFit="1" customWidth="1"/>
    <col min="2827" max="2827" width="9.28515625" style="152" bestFit="1" customWidth="1"/>
    <col min="2828" max="2828" width="11.5703125" style="152" bestFit="1" customWidth="1"/>
    <col min="2829" max="2829" width="9.28515625" style="152" bestFit="1" customWidth="1"/>
    <col min="2830" max="2830" width="11.5703125" style="152" bestFit="1" customWidth="1"/>
    <col min="2831" max="2831" width="9.28515625" style="152" bestFit="1" customWidth="1"/>
    <col min="2832" max="2832" width="11.5703125" style="152" bestFit="1" customWidth="1"/>
    <col min="2833" max="2833" width="9.28515625" style="152" bestFit="1" customWidth="1"/>
    <col min="2834" max="2834" width="11.5703125" style="152" bestFit="1" customWidth="1"/>
    <col min="2835" max="2835" width="9.28515625" style="152" bestFit="1" customWidth="1"/>
    <col min="2836" max="2836" width="11.5703125" style="152" bestFit="1" customWidth="1"/>
    <col min="2837" max="2837" width="9.28515625" style="152" bestFit="1" customWidth="1"/>
    <col min="2838" max="2838" width="11.5703125" style="152" bestFit="1" customWidth="1"/>
    <col min="2839" max="2839" width="9.28515625" style="152" bestFit="1" customWidth="1"/>
    <col min="2840" max="2840" width="11.5703125" style="152" bestFit="1" customWidth="1"/>
    <col min="2841" max="2841" width="9.28515625" style="152" bestFit="1" customWidth="1"/>
    <col min="2842" max="2842" width="11.5703125" style="152" bestFit="1" customWidth="1"/>
    <col min="2843" max="2843" width="9.28515625" style="152" bestFit="1" customWidth="1"/>
    <col min="2844" max="2844" width="11.5703125" style="152" bestFit="1" customWidth="1"/>
    <col min="2845" max="2845" width="9.28515625" style="152" bestFit="1" customWidth="1"/>
    <col min="2846" max="2846" width="11.5703125" style="152" bestFit="1" customWidth="1"/>
    <col min="2847" max="2847" width="9.28515625" style="152" bestFit="1" customWidth="1"/>
    <col min="2848" max="2848" width="11.5703125" style="152" bestFit="1" customWidth="1"/>
    <col min="2849" max="2849" width="9.28515625" style="152" bestFit="1" customWidth="1"/>
    <col min="2850" max="2850" width="11.5703125" style="152" bestFit="1" customWidth="1"/>
    <col min="2851" max="2851" width="9.28515625" style="152" bestFit="1" customWidth="1"/>
    <col min="2852" max="2852" width="11.5703125" style="152" bestFit="1" customWidth="1"/>
    <col min="2853" max="2853" width="9.28515625" style="152" bestFit="1" customWidth="1"/>
    <col min="2854" max="2854" width="11.5703125" style="152" bestFit="1" customWidth="1"/>
    <col min="2855" max="2855" width="9.28515625" style="152" bestFit="1" customWidth="1"/>
    <col min="2856" max="2856" width="11.5703125" style="152" bestFit="1" customWidth="1"/>
    <col min="2857" max="2857" width="9.28515625" style="152" bestFit="1" customWidth="1"/>
    <col min="2858" max="2858" width="11.5703125" style="152" bestFit="1" customWidth="1"/>
    <col min="2859" max="2859" width="9.28515625" style="152" bestFit="1" customWidth="1"/>
    <col min="2860" max="2860" width="11.5703125" style="152" bestFit="1" customWidth="1"/>
    <col min="2861" max="2861" width="9.28515625" style="152" bestFit="1" customWidth="1"/>
    <col min="2862" max="2862" width="11.5703125" style="152" bestFit="1" customWidth="1"/>
    <col min="2863" max="2863" width="9.28515625" style="152" bestFit="1" customWidth="1"/>
    <col min="2864" max="2864" width="11.5703125" style="152" bestFit="1" customWidth="1"/>
    <col min="2865" max="2865" width="9.28515625" style="152" bestFit="1" customWidth="1"/>
    <col min="2866" max="2866" width="11.5703125" style="152" bestFit="1" customWidth="1"/>
    <col min="2867" max="2867" width="9.28515625" style="152" bestFit="1" customWidth="1"/>
    <col min="2868" max="3074" width="9.140625" style="152"/>
    <col min="3075" max="3075" width="29.42578125" style="152" bestFit="1" customWidth="1"/>
    <col min="3076" max="3076" width="11.5703125" style="152" bestFit="1" customWidth="1"/>
    <col min="3077" max="3077" width="9.28515625" style="152" bestFit="1" customWidth="1"/>
    <col min="3078" max="3078" width="11.5703125" style="152" bestFit="1" customWidth="1"/>
    <col min="3079" max="3079" width="9.28515625" style="152" bestFit="1" customWidth="1"/>
    <col min="3080" max="3080" width="11.5703125" style="152" bestFit="1" customWidth="1"/>
    <col min="3081" max="3081" width="9.28515625" style="152" bestFit="1" customWidth="1"/>
    <col min="3082" max="3082" width="11.5703125" style="152" bestFit="1" customWidth="1"/>
    <col min="3083" max="3083" width="9.28515625" style="152" bestFit="1" customWidth="1"/>
    <col min="3084" max="3084" width="11.5703125" style="152" bestFit="1" customWidth="1"/>
    <col min="3085" max="3085" width="9.28515625" style="152" bestFit="1" customWidth="1"/>
    <col min="3086" max="3086" width="11.5703125" style="152" bestFit="1" customWidth="1"/>
    <col min="3087" max="3087" width="9.28515625" style="152" bestFit="1" customWidth="1"/>
    <col min="3088" max="3088" width="11.5703125" style="152" bestFit="1" customWidth="1"/>
    <col min="3089" max="3089" width="9.28515625" style="152" bestFit="1" customWidth="1"/>
    <col min="3090" max="3090" width="11.5703125" style="152" bestFit="1" customWidth="1"/>
    <col min="3091" max="3091" width="9.28515625" style="152" bestFit="1" customWidth="1"/>
    <col min="3092" max="3092" width="11.5703125" style="152" bestFit="1" customWidth="1"/>
    <col min="3093" max="3093" width="9.28515625" style="152" bestFit="1" customWidth="1"/>
    <col min="3094" max="3094" width="11.5703125" style="152" bestFit="1" customWidth="1"/>
    <col min="3095" max="3095" width="9.28515625" style="152" bestFit="1" customWidth="1"/>
    <col min="3096" max="3096" width="11.5703125" style="152" bestFit="1" customWidth="1"/>
    <col min="3097" max="3097" width="9.28515625" style="152" bestFit="1" customWidth="1"/>
    <col min="3098" max="3098" width="11.5703125" style="152" bestFit="1" customWidth="1"/>
    <col min="3099" max="3099" width="9.28515625" style="152" bestFit="1" customWidth="1"/>
    <col min="3100" max="3100" width="11.5703125" style="152" bestFit="1" customWidth="1"/>
    <col min="3101" max="3101" width="9.28515625" style="152" bestFit="1" customWidth="1"/>
    <col min="3102" max="3102" width="11.5703125" style="152" bestFit="1" customWidth="1"/>
    <col min="3103" max="3103" width="9.28515625" style="152" bestFit="1" customWidth="1"/>
    <col min="3104" max="3104" width="11.5703125" style="152" bestFit="1" customWidth="1"/>
    <col min="3105" max="3105" width="9.28515625" style="152" bestFit="1" customWidth="1"/>
    <col min="3106" max="3106" width="11.5703125" style="152" bestFit="1" customWidth="1"/>
    <col min="3107" max="3107" width="9.28515625" style="152" bestFit="1" customWidth="1"/>
    <col min="3108" max="3108" width="11.5703125" style="152" bestFit="1" customWidth="1"/>
    <col min="3109" max="3109" width="9.28515625" style="152" bestFit="1" customWidth="1"/>
    <col min="3110" max="3110" width="11.5703125" style="152" bestFit="1" customWidth="1"/>
    <col min="3111" max="3111" width="9.28515625" style="152" bestFit="1" customWidth="1"/>
    <col min="3112" max="3112" width="11.5703125" style="152" bestFit="1" customWidth="1"/>
    <col min="3113" max="3113" width="9.28515625" style="152" bestFit="1" customWidth="1"/>
    <col min="3114" max="3114" width="11.5703125" style="152" bestFit="1" customWidth="1"/>
    <col min="3115" max="3115" width="9.28515625" style="152" bestFit="1" customWidth="1"/>
    <col min="3116" max="3116" width="11.5703125" style="152" bestFit="1" customWidth="1"/>
    <col min="3117" max="3117" width="9.28515625" style="152" bestFit="1" customWidth="1"/>
    <col min="3118" max="3118" width="11.5703125" style="152" bestFit="1" customWidth="1"/>
    <col min="3119" max="3119" width="9.28515625" style="152" bestFit="1" customWidth="1"/>
    <col min="3120" max="3120" width="11.5703125" style="152" bestFit="1" customWidth="1"/>
    <col min="3121" max="3121" width="9.28515625" style="152" bestFit="1" customWidth="1"/>
    <col min="3122" max="3122" width="11.5703125" style="152" bestFit="1" customWidth="1"/>
    <col min="3123" max="3123" width="9.28515625" style="152" bestFit="1" customWidth="1"/>
    <col min="3124" max="3330" width="9.140625" style="152"/>
    <col min="3331" max="3331" width="29.42578125" style="152" bestFit="1" customWidth="1"/>
    <col min="3332" max="3332" width="11.5703125" style="152" bestFit="1" customWidth="1"/>
    <col min="3333" max="3333" width="9.28515625" style="152" bestFit="1" customWidth="1"/>
    <col min="3334" max="3334" width="11.5703125" style="152" bestFit="1" customWidth="1"/>
    <col min="3335" max="3335" width="9.28515625" style="152" bestFit="1" customWidth="1"/>
    <col min="3336" max="3336" width="11.5703125" style="152" bestFit="1" customWidth="1"/>
    <col min="3337" max="3337" width="9.28515625" style="152" bestFit="1" customWidth="1"/>
    <col min="3338" max="3338" width="11.5703125" style="152" bestFit="1" customWidth="1"/>
    <col min="3339" max="3339" width="9.28515625" style="152" bestFit="1" customWidth="1"/>
    <col min="3340" max="3340" width="11.5703125" style="152" bestFit="1" customWidth="1"/>
    <col min="3341" max="3341" width="9.28515625" style="152" bestFit="1" customWidth="1"/>
    <col min="3342" max="3342" width="11.5703125" style="152" bestFit="1" customWidth="1"/>
    <col min="3343" max="3343" width="9.28515625" style="152" bestFit="1" customWidth="1"/>
    <col min="3344" max="3344" width="11.5703125" style="152" bestFit="1" customWidth="1"/>
    <col min="3345" max="3345" width="9.28515625" style="152" bestFit="1" customWidth="1"/>
    <col min="3346" max="3346" width="11.5703125" style="152" bestFit="1" customWidth="1"/>
    <col min="3347" max="3347" width="9.28515625" style="152" bestFit="1" customWidth="1"/>
    <col min="3348" max="3348" width="11.5703125" style="152" bestFit="1" customWidth="1"/>
    <col min="3349" max="3349" width="9.28515625" style="152" bestFit="1" customWidth="1"/>
    <col min="3350" max="3350" width="11.5703125" style="152" bestFit="1" customWidth="1"/>
    <col min="3351" max="3351" width="9.28515625" style="152" bestFit="1" customWidth="1"/>
    <col min="3352" max="3352" width="11.5703125" style="152" bestFit="1" customWidth="1"/>
    <col min="3353" max="3353" width="9.28515625" style="152" bestFit="1" customWidth="1"/>
    <col min="3354" max="3354" width="11.5703125" style="152" bestFit="1" customWidth="1"/>
    <col min="3355" max="3355" width="9.28515625" style="152" bestFit="1" customWidth="1"/>
    <col min="3356" max="3356" width="11.5703125" style="152" bestFit="1" customWidth="1"/>
    <col min="3357" max="3357" width="9.28515625" style="152" bestFit="1" customWidth="1"/>
    <col min="3358" max="3358" width="11.5703125" style="152" bestFit="1" customWidth="1"/>
    <col min="3359" max="3359" width="9.28515625" style="152" bestFit="1" customWidth="1"/>
    <col min="3360" max="3360" width="11.5703125" style="152" bestFit="1" customWidth="1"/>
    <col min="3361" max="3361" width="9.28515625" style="152" bestFit="1" customWidth="1"/>
    <col min="3362" max="3362" width="11.5703125" style="152" bestFit="1" customWidth="1"/>
    <col min="3363" max="3363" width="9.28515625" style="152" bestFit="1" customWidth="1"/>
    <col min="3364" max="3364" width="11.5703125" style="152" bestFit="1" customWidth="1"/>
    <col min="3365" max="3365" width="9.28515625" style="152" bestFit="1" customWidth="1"/>
    <col min="3366" max="3366" width="11.5703125" style="152" bestFit="1" customWidth="1"/>
    <col min="3367" max="3367" width="9.28515625" style="152" bestFit="1" customWidth="1"/>
    <col min="3368" max="3368" width="11.5703125" style="152" bestFit="1" customWidth="1"/>
    <col min="3369" max="3369" width="9.28515625" style="152" bestFit="1" customWidth="1"/>
    <col min="3370" max="3370" width="11.5703125" style="152" bestFit="1" customWidth="1"/>
    <col min="3371" max="3371" width="9.28515625" style="152" bestFit="1" customWidth="1"/>
    <col min="3372" max="3372" width="11.5703125" style="152" bestFit="1" customWidth="1"/>
    <col min="3373" max="3373" width="9.28515625" style="152" bestFit="1" customWidth="1"/>
    <col min="3374" max="3374" width="11.5703125" style="152" bestFit="1" customWidth="1"/>
    <col min="3375" max="3375" width="9.28515625" style="152" bestFit="1" customWidth="1"/>
    <col min="3376" max="3376" width="11.5703125" style="152" bestFit="1" customWidth="1"/>
    <col min="3377" max="3377" width="9.28515625" style="152" bestFit="1" customWidth="1"/>
    <col min="3378" max="3378" width="11.5703125" style="152" bestFit="1" customWidth="1"/>
    <col min="3379" max="3379" width="9.28515625" style="152" bestFit="1" customWidth="1"/>
    <col min="3380" max="3586" width="9.140625" style="152"/>
    <col min="3587" max="3587" width="29.42578125" style="152" bestFit="1" customWidth="1"/>
    <col min="3588" max="3588" width="11.5703125" style="152" bestFit="1" customWidth="1"/>
    <col min="3589" max="3589" width="9.28515625" style="152" bestFit="1" customWidth="1"/>
    <col min="3590" max="3590" width="11.5703125" style="152" bestFit="1" customWidth="1"/>
    <col min="3591" max="3591" width="9.28515625" style="152" bestFit="1" customWidth="1"/>
    <col min="3592" max="3592" width="11.5703125" style="152" bestFit="1" customWidth="1"/>
    <col min="3593" max="3593" width="9.28515625" style="152" bestFit="1" customWidth="1"/>
    <col min="3594" max="3594" width="11.5703125" style="152" bestFit="1" customWidth="1"/>
    <col min="3595" max="3595" width="9.28515625" style="152" bestFit="1" customWidth="1"/>
    <col min="3596" max="3596" width="11.5703125" style="152" bestFit="1" customWidth="1"/>
    <col min="3597" max="3597" width="9.28515625" style="152" bestFit="1" customWidth="1"/>
    <col min="3598" max="3598" width="11.5703125" style="152" bestFit="1" customWidth="1"/>
    <col min="3599" max="3599" width="9.28515625" style="152" bestFit="1" customWidth="1"/>
    <col min="3600" max="3600" width="11.5703125" style="152" bestFit="1" customWidth="1"/>
    <col min="3601" max="3601" width="9.28515625" style="152" bestFit="1" customWidth="1"/>
    <col min="3602" max="3602" width="11.5703125" style="152" bestFit="1" customWidth="1"/>
    <col min="3603" max="3603" width="9.28515625" style="152" bestFit="1" customWidth="1"/>
    <col min="3604" max="3604" width="11.5703125" style="152" bestFit="1" customWidth="1"/>
    <col min="3605" max="3605" width="9.28515625" style="152" bestFit="1" customWidth="1"/>
    <col min="3606" max="3606" width="11.5703125" style="152" bestFit="1" customWidth="1"/>
    <col min="3607" max="3607" width="9.28515625" style="152" bestFit="1" customWidth="1"/>
    <col min="3608" max="3608" width="11.5703125" style="152" bestFit="1" customWidth="1"/>
    <col min="3609" max="3609" width="9.28515625" style="152" bestFit="1" customWidth="1"/>
    <col min="3610" max="3610" width="11.5703125" style="152" bestFit="1" customWidth="1"/>
    <col min="3611" max="3611" width="9.28515625" style="152" bestFit="1" customWidth="1"/>
    <col min="3612" max="3612" width="11.5703125" style="152" bestFit="1" customWidth="1"/>
    <col min="3613" max="3613" width="9.28515625" style="152" bestFit="1" customWidth="1"/>
    <col min="3614" max="3614" width="11.5703125" style="152" bestFit="1" customWidth="1"/>
    <col min="3615" max="3615" width="9.28515625" style="152" bestFit="1" customWidth="1"/>
    <col min="3616" max="3616" width="11.5703125" style="152" bestFit="1" customWidth="1"/>
    <col min="3617" max="3617" width="9.28515625" style="152" bestFit="1" customWidth="1"/>
    <col min="3618" max="3618" width="11.5703125" style="152" bestFit="1" customWidth="1"/>
    <col min="3619" max="3619" width="9.28515625" style="152" bestFit="1" customWidth="1"/>
    <col min="3620" max="3620" width="11.5703125" style="152" bestFit="1" customWidth="1"/>
    <col min="3621" max="3621" width="9.28515625" style="152" bestFit="1" customWidth="1"/>
    <col min="3622" max="3622" width="11.5703125" style="152" bestFit="1" customWidth="1"/>
    <col min="3623" max="3623" width="9.28515625" style="152" bestFit="1" customWidth="1"/>
    <col min="3624" max="3624" width="11.5703125" style="152" bestFit="1" customWidth="1"/>
    <col min="3625" max="3625" width="9.28515625" style="152" bestFit="1" customWidth="1"/>
    <col min="3626" max="3626" width="11.5703125" style="152" bestFit="1" customWidth="1"/>
    <col min="3627" max="3627" width="9.28515625" style="152" bestFit="1" customWidth="1"/>
    <col min="3628" max="3628" width="11.5703125" style="152" bestFit="1" customWidth="1"/>
    <col min="3629" max="3629" width="9.28515625" style="152" bestFit="1" customWidth="1"/>
    <col min="3630" max="3630" width="11.5703125" style="152" bestFit="1" customWidth="1"/>
    <col min="3631" max="3631" width="9.28515625" style="152" bestFit="1" customWidth="1"/>
    <col min="3632" max="3632" width="11.5703125" style="152" bestFit="1" customWidth="1"/>
    <col min="3633" max="3633" width="9.28515625" style="152" bestFit="1" customWidth="1"/>
    <col min="3634" max="3634" width="11.5703125" style="152" bestFit="1" customWidth="1"/>
    <col min="3635" max="3635" width="9.28515625" style="152" bestFit="1" customWidth="1"/>
    <col min="3636" max="3842" width="9.140625" style="152"/>
    <col min="3843" max="3843" width="29.42578125" style="152" bestFit="1" customWidth="1"/>
    <col min="3844" max="3844" width="11.5703125" style="152" bestFit="1" customWidth="1"/>
    <col min="3845" max="3845" width="9.28515625" style="152" bestFit="1" customWidth="1"/>
    <col min="3846" max="3846" width="11.5703125" style="152" bestFit="1" customWidth="1"/>
    <col min="3847" max="3847" width="9.28515625" style="152" bestFit="1" customWidth="1"/>
    <col min="3848" max="3848" width="11.5703125" style="152" bestFit="1" customWidth="1"/>
    <col min="3849" max="3849" width="9.28515625" style="152" bestFit="1" customWidth="1"/>
    <col min="3850" max="3850" width="11.5703125" style="152" bestFit="1" customWidth="1"/>
    <col min="3851" max="3851" width="9.28515625" style="152" bestFit="1" customWidth="1"/>
    <col min="3852" max="3852" width="11.5703125" style="152" bestFit="1" customWidth="1"/>
    <col min="3853" max="3853" width="9.28515625" style="152" bestFit="1" customWidth="1"/>
    <col min="3854" max="3854" width="11.5703125" style="152" bestFit="1" customWidth="1"/>
    <col min="3855" max="3855" width="9.28515625" style="152" bestFit="1" customWidth="1"/>
    <col min="3856" max="3856" width="11.5703125" style="152" bestFit="1" customWidth="1"/>
    <col min="3857" max="3857" width="9.28515625" style="152" bestFit="1" customWidth="1"/>
    <col min="3858" max="3858" width="11.5703125" style="152" bestFit="1" customWidth="1"/>
    <col min="3859" max="3859" width="9.28515625" style="152" bestFit="1" customWidth="1"/>
    <col min="3860" max="3860" width="11.5703125" style="152" bestFit="1" customWidth="1"/>
    <col min="3861" max="3861" width="9.28515625" style="152" bestFit="1" customWidth="1"/>
    <col min="3862" max="3862" width="11.5703125" style="152" bestFit="1" customWidth="1"/>
    <col min="3863" max="3863" width="9.28515625" style="152" bestFit="1" customWidth="1"/>
    <col min="3864" max="3864" width="11.5703125" style="152" bestFit="1" customWidth="1"/>
    <col min="3865" max="3865" width="9.28515625" style="152" bestFit="1" customWidth="1"/>
    <col min="3866" max="3866" width="11.5703125" style="152" bestFit="1" customWidth="1"/>
    <col min="3867" max="3867" width="9.28515625" style="152" bestFit="1" customWidth="1"/>
    <col min="3868" max="3868" width="11.5703125" style="152" bestFit="1" customWidth="1"/>
    <col min="3869" max="3869" width="9.28515625" style="152" bestFit="1" customWidth="1"/>
    <col min="3870" max="3870" width="11.5703125" style="152" bestFit="1" customWidth="1"/>
    <col min="3871" max="3871" width="9.28515625" style="152" bestFit="1" customWidth="1"/>
    <col min="3872" max="3872" width="11.5703125" style="152" bestFit="1" customWidth="1"/>
    <col min="3873" max="3873" width="9.28515625" style="152" bestFit="1" customWidth="1"/>
    <col min="3874" max="3874" width="11.5703125" style="152" bestFit="1" customWidth="1"/>
    <col min="3875" max="3875" width="9.28515625" style="152" bestFit="1" customWidth="1"/>
    <col min="3876" max="3876" width="11.5703125" style="152" bestFit="1" customWidth="1"/>
    <col min="3877" max="3877" width="9.28515625" style="152" bestFit="1" customWidth="1"/>
    <col min="3878" max="3878" width="11.5703125" style="152" bestFit="1" customWidth="1"/>
    <col min="3879" max="3879" width="9.28515625" style="152" bestFit="1" customWidth="1"/>
    <col min="3880" max="3880" width="11.5703125" style="152" bestFit="1" customWidth="1"/>
    <col min="3881" max="3881" width="9.28515625" style="152" bestFit="1" customWidth="1"/>
    <col min="3882" max="3882" width="11.5703125" style="152" bestFit="1" customWidth="1"/>
    <col min="3883" max="3883" width="9.28515625" style="152" bestFit="1" customWidth="1"/>
    <col min="3884" max="3884" width="11.5703125" style="152" bestFit="1" customWidth="1"/>
    <col min="3885" max="3885" width="9.28515625" style="152" bestFit="1" customWidth="1"/>
    <col min="3886" max="3886" width="11.5703125" style="152" bestFit="1" customWidth="1"/>
    <col min="3887" max="3887" width="9.28515625" style="152" bestFit="1" customWidth="1"/>
    <col min="3888" max="3888" width="11.5703125" style="152" bestFit="1" customWidth="1"/>
    <col min="3889" max="3889" width="9.28515625" style="152" bestFit="1" customWidth="1"/>
    <col min="3890" max="3890" width="11.5703125" style="152" bestFit="1" customWidth="1"/>
    <col min="3891" max="3891" width="9.28515625" style="152" bestFit="1" customWidth="1"/>
    <col min="3892" max="4098" width="9.140625" style="152"/>
    <col min="4099" max="4099" width="29.42578125" style="152" bestFit="1" customWidth="1"/>
    <col min="4100" max="4100" width="11.5703125" style="152" bestFit="1" customWidth="1"/>
    <col min="4101" max="4101" width="9.28515625" style="152" bestFit="1" customWidth="1"/>
    <col min="4102" max="4102" width="11.5703125" style="152" bestFit="1" customWidth="1"/>
    <col min="4103" max="4103" width="9.28515625" style="152" bestFit="1" customWidth="1"/>
    <col min="4104" max="4104" width="11.5703125" style="152" bestFit="1" customWidth="1"/>
    <col min="4105" max="4105" width="9.28515625" style="152" bestFit="1" customWidth="1"/>
    <col min="4106" max="4106" width="11.5703125" style="152" bestFit="1" customWidth="1"/>
    <col min="4107" max="4107" width="9.28515625" style="152" bestFit="1" customWidth="1"/>
    <col min="4108" max="4108" width="11.5703125" style="152" bestFit="1" customWidth="1"/>
    <col min="4109" max="4109" width="9.28515625" style="152" bestFit="1" customWidth="1"/>
    <col min="4110" max="4110" width="11.5703125" style="152" bestFit="1" customWidth="1"/>
    <col min="4111" max="4111" width="9.28515625" style="152" bestFit="1" customWidth="1"/>
    <col min="4112" max="4112" width="11.5703125" style="152" bestFit="1" customWidth="1"/>
    <col min="4113" max="4113" width="9.28515625" style="152" bestFit="1" customWidth="1"/>
    <col min="4114" max="4114" width="11.5703125" style="152" bestFit="1" customWidth="1"/>
    <col min="4115" max="4115" width="9.28515625" style="152" bestFit="1" customWidth="1"/>
    <col min="4116" max="4116" width="11.5703125" style="152" bestFit="1" customWidth="1"/>
    <col min="4117" max="4117" width="9.28515625" style="152" bestFit="1" customWidth="1"/>
    <col min="4118" max="4118" width="11.5703125" style="152" bestFit="1" customWidth="1"/>
    <col min="4119" max="4119" width="9.28515625" style="152" bestFit="1" customWidth="1"/>
    <col min="4120" max="4120" width="11.5703125" style="152" bestFit="1" customWidth="1"/>
    <col min="4121" max="4121" width="9.28515625" style="152" bestFit="1" customWidth="1"/>
    <col min="4122" max="4122" width="11.5703125" style="152" bestFit="1" customWidth="1"/>
    <col min="4123" max="4123" width="9.28515625" style="152" bestFit="1" customWidth="1"/>
    <col min="4124" max="4124" width="11.5703125" style="152" bestFit="1" customWidth="1"/>
    <col min="4125" max="4125" width="9.28515625" style="152" bestFit="1" customWidth="1"/>
    <col min="4126" max="4126" width="11.5703125" style="152" bestFit="1" customWidth="1"/>
    <col min="4127" max="4127" width="9.28515625" style="152" bestFit="1" customWidth="1"/>
    <col min="4128" max="4128" width="11.5703125" style="152" bestFit="1" customWidth="1"/>
    <col min="4129" max="4129" width="9.28515625" style="152" bestFit="1" customWidth="1"/>
    <col min="4130" max="4130" width="11.5703125" style="152" bestFit="1" customWidth="1"/>
    <col min="4131" max="4131" width="9.28515625" style="152" bestFit="1" customWidth="1"/>
    <col min="4132" max="4132" width="11.5703125" style="152" bestFit="1" customWidth="1"/>
    <col min="4133" max="4133" width="9.28515625" style="152" bestFit="1" customWidth="1"/>
    <col min="4134" max="4134" width="11.5703125" style="152" bestFit="1" customWidth="1"/>
    <col min="4135" max="4135" width="9.28515625" style="152" bestFit="1" customWidth="1"/>
    <col min="4136" max="4136" width="11.5703125" style="152" bestFit="1" customWidth="1"/>
    <col min="4137" max="4137" width="9.28515625" style="152" bestFit="1" customWidth="1"/>
    <col min="4138" max="4138" width="11.5703125" style="152" bestFit="1" customWidth="1"/>
    <col min="4139" max="4139" width="9.28515625" style="152" bestFit="1" customWidth="1"/>
    <col min="4140" max="4140" width="11.5703125" style="152" bestFit="1" customWidth="1"/>
    <col min="4141" max="4141" width="9.28515625" style="152" bestFit="1" customWidth="1"/>
    <col min="4142" max="4142" width="11.5703125" style="152" bestFit="1" customWidth="1"/>
    <col min="4143" max="4143" width="9.28515625" style="152" bestFit="1" customWidth="1"/>
    <col min="4144" max="4144" width="11.5703125" style="152" bestFit="1" customWidth="1"/>
    <col min="4145" max="4145" width="9.28515625" style="152" bestFit="1" customWidth="1"/>
    <col min="4146" max="4146" width="11.5703125" style="152" bestFit="1" customWidth="1"/>
    <col min="4147" max="4147" width="9.28515625" style="152" bestFit="1" customWidth="1"/>
    <col min="4148" max="4354" width="9.140625" style="152"/>
    <col min="4355" max="4355" width="29.42578125" style="152" bestFit="1" customWidth="1"/>
    <col min="4356" max="4356" width="11.5703125" style="152" bestFit="1" customWidth="1"/>
    <col min="4357" max="4357" width="9.28515625" style="152" bestFit="1" customWidth="1"/>
    <col min="4358" max="4358" width="11.5703125" style="152" bestFit="1" customWidth="1"/>
    <col min="4359" max="4359" width="9.28515625" style="152" bestFit="1" customWidth="1"/>
    <col min="4360" max="4360" width="11.5703125" style="152" bestFit="1" customWidth="1"/>
    <col min="4361" max="4361" width="9.28515625" style="152" bestFit="1" customWidth="1"/>
    <col min="4362" max="4362" width="11.5703125" style="152" bestFit="1" customWidth="1"/>
    <col min="4363" max="4363" width="9.28515625" style="152" bestFit="1" customWidth="1"/>
    <col min="4364" max="4364" width="11.5703125" style="152" bestFit="1" customWidth="1"/>
    <col min="4365" max="4365" width="9.28515625" style="152" bestFit="1" customWidth="1"/>
    <col min="4366" max="4366" width="11.5703125" style="152" bestFit="1" customWidth="1"/>
    <col min="4367" max="4367" width="9.28515625" style="152" bestFit="1" customWidth="1"/>
    <col min="4368" max="4368" width="11.5703125" style="152" bestFit="1" customWidth="1"/>
    <col min="4369" max="4369" width="9.28515625" style="152" bestFit="1" customWidth="1"/>
    <col min="4370" max="4370" width="11.5703125" style="152" bestFit="1" customWidth="1"/>
    <col min="4371" max="4371" width="9.28515625" style="152" bestFit="1" customWidth="1"/>
    <col min="4372" max="4372" width="11.5703125" style="152" bestFit="1" customWidth="1"/>
    <col min="4373" max="4373" width="9.28515625" style="152" bestFit="1" customWidth="1"/>
    <col min="4374" max="4374" width="11.5703125" style="152" bestFit="1" customWidth="1"/>
    <col min="4375" max="4375" width="9.28515625" style="152" bestFit="1" customWidth="1"/>
    <col min="4376" max="4376" width="11.5703125" style="152" bestFit="1" customWidth="1"/>
    <col min="4377" max="4377" width="9.28515625" style="152" bestFit="1" customWidth="1"/>
    <col min="4378" max="4378" width="11.5703125" style="152" bestFit="1" customWidth="1"/>
    <col min="4379" max="4379" width="9.28515625" style="152" bestFit="1" customWidth="1"/>
    <col min="4380" max="4380" width="11.5703125" style="152" bestFit="1" customWidth="1"/>
    <col min="4381" max="4381" width="9.28515625" style="152" bestFit="1" customWidth="1"/>
    <col min="4382" max="4382" width="11.5703125" style="152" bestFit="1" customWidth="1"/>
    <col min="4383" max="4383" width="9.28515625" style="152" bestFit="1" customWidth="1"/>
    <col min="4384" max="4384" width="11.5703125" style="152" bestFit="1" customWidth="1"/>
    <col min="4385" max="4385" width="9.28515625" style="152" bestFit="1" customWidth="1"/>
    <col min="4386" max="4386" width="11.5703125" style="152" bestFit="1" customWidth="1"/>
    <col min="4387" max="4387" width="9.28515625" style="152" bestFit="1" customWidth="1"/>
    <col min="4388" max="4388" width="11.5703125" style="152" bestFit="1" customWidth="1"/>
    <col min="4389" max="4389" width="9.28515625" style="152" bestFit="1" customWidth="1"/>
    <col min="4390" max="4390" width="11.5703125" style="152" bestFit="1" customWidth="1"/>
    <col min="4391" max="4391" width="9.28515625" style="152" bestFit="1" customWidth="1"/>
    <col min="4392" max="4392" width="11.5703125" style="152" bestFit="1" customWidth="1"/>
    <col min="4393" max="4393" width="9.28515625" style="152" bestFit="1" customWidth="1"/>
    <col min="4394" max="4394" width="11.5703125" style="152" bestFit="1" customWidth="1"/>
    <col min="4395" max="4395" width="9.28515625" style="152" bestFit="1" customWidth="1"/>
    <col min="4396" max="4396" width="11.5703125" style="152" bestFit="1" customWidth="1"/>
    <col min="4397" max="4397" width="9.28515625" style="152" bestFit="1" customWidth="1"/>
    <col min="4398" max="4398" width="11.5703125" style="152" bestFit="1" customWidth="1"/>
    <col min="4399" max="4399" width="9.28515625" style="152" bestFit="1" customWidth="1"/>
    <col min="4400" max="4400" width="11.5703125" style="152" bestFit="1" customWidth="1"/>
    <col min="4401" max="4401" width="9.28515625" style="152" bestFit="1" customWidth="1"/>
    <col min="4402" max="4402" width="11.5703125" style="152" bestFit="1" customWidth="1"/>
    <col min="4403" max="4403" width="9.28515625" style="152" bestFit="1" customWidth="1"/>
    <col min="4404" max="4610" width="9.140625" style="152"/>
    <col min="4611" max="4611" width="29.42578125" style="152" bestFit="1" customWidth="1"/>
    <col min="4612" max="4612" width="11.5703125" style="152" bestFit="1" customWidth="1"/>
    <col min="4613" max="4613" width="9.28515625" style="152" bestFit="1" customWidth="1"/>
    <col min="4614" max="4614" width="11.5703125" style="152" bestFit="1" customWidth="1"/>
    <col min="4615" max="4615" width="9.28515625" style="152" bestFit="1" customWidth="1"/>
    <col min="4616" max="4616" width="11.5703125" style="152" bestFit="1" customWidth="1"/>
    <col min="4617" max="4617" width="9.28515625" style="152" bestFit="1" customWidth="1"/>
    <col min="4618" max="4618" width="11.5703125" style="152" bestFit="1" customWidth="1"/>
    <col min="4619" max="4619" width="9.28515625" style="152" bestFit="1" customWidth="1"/>
    <col min="4620" max="4620" width="11.5703125" style="152" bestFit="1" customWidth="1"/>
    <col min="4621" max="4621" width="9.28515625" style="152" bestFit="1" customWidth="1"/>
    <col min="4622" max="4622" width="11.5703125" style="152" bestFit="1" customWidth="1"/>
    <col min="4623" max="4623" width="9.28515625" style="152" bestFit="1" customWidth="1"/>
    <col min="4624" max="4624" width="11.5703125" style="152" bestFit="1" customWidth="1"/>
    <col min="4625" max="4625" width="9.28515625" style="152" bestFit="1" customWidth="1"/>
    <col min="4626" max="4626" width="11.5703125" style="152" bestFit="1" customWidth="1"/>
    <col min="4627" max="4627" width="9.28515625" style="152" bestFit="1" customWidth="1"/>
    <col min="4628" max="4628" width="11.5703125" style="152" bestFit="1" customWidth="1"/>
    <col min="4629" max="4629" width="9.28515625" style="152" bestFit="1" customWidth="1"/>
    <col min="4630" max="4630" width="11.5703125" style="152" bestFit="1" customWidth="1"/>
    <col min="4631" max="4631" width="9.28515625" style="152" bestFit="1" customWidth="1"/>
    <col min="4632" max="4632" width="11.5703125" style="152" bestFit="1" customWidth="1"/>
    <col min="4633" max="4633" width="9.28515625" style="152" bestFit="1" customWidth="1"/>
    <col min="4634" max="4634" width="11.5703125" style="152" bestFit="1" customWidth="1"/>
    <col min="4635" max="4635" width="9.28515625" style="152" bestFit="1" customWidth="1"/>
    <col min="4636" max="4636" width="11.5703125" style="152" bestFit="1" customWidth="1"/>
    <col min="4637" max="4637" width="9.28515625" style="152" bestFit="1" customWidth="1"/>
    <col min="4638" max="4638" width="11.5703125" style="152" bestFit="1" customWidth="1"/>
    <col min="4639" max="4639" width="9.28515625" style="152" bestFit="1" customWidth="1"/>
    <col min="4640" max="4640" width="11.5703125" style="152" bestFit="1" customWidth="1"/>
    <col min="4641" max="4641" width="9.28515625" style="152" bestFit="1" customWidth="1"/>
    <col min="4642" max="4642" width="11.5703125" style="152" bestFit="1" customWidth="1"/>
    <col min="4643" max="4643" width="9.28515625" style="152" bestFit="1" customWidth="1"/>
    <col min="4644" max="4644" width="11.5703125" style="152" bestFit="1" customWidth="1"/>
    <col min="4645" max="4645" width="9.28515625" style="152" bestFit="1" customWidth="1"/>
    <col min="4646" max="4646" width="11.5703125" style="152" bestFit="1" customWidth="1"/>
    <col min="4647" max="4647" width="9.28515625" style="152" bestFit="1" customWidth="1"/>
    <col min="4648" max="4648" width="11.5703125" style="152" bestFit="1" customWidth="1"/>
    <col min="4649" max="4649" width="9.28515625" style="152" bestFit="1" customWidth="1"/>
    <col min="4650" max="4650" width="11.5703125" style="152" bestFit="1" customWidth="1"/>
    <col min="4651" max="4651" width="9.28515625" style="152" bestFit="1" customWidth="1"/>
    <col min="4652" max="4652" width="11.5703125" style="152" bestFit="1" customWidth="1"/>
    <col min="4653" max="4653" width="9.28515625" style="152" bestFit="1" customWidth="1"/>
    <col min="4654" max="4654" width="11.5703125" style="152" bestFit="1" customWidth="1"/>
    <col min="4655" max="4655" width="9.28515625" style="152" bestFit="1" customWidth="1"/>
    <col min="4656" max="4656" width="11.5703125" style="152" bestFit="1" customWidth="1"/>
    <col min="4657" max="4657" width="9.28515625" style="152" bestFit="1" customWidth="1"/>
    <col min="4658" max="4658" width="11.5703125" style="152" bestFit="1" customWidth="1"/>
    <col min="4659" max="4659" width="9.28515625" style="152" bestFit="1" customWidth="1"/>
    <col min="4660" max="4866" width="9.140625" style="152"/>
    <col min="4867" max="4867" width="29.42578125" style="152" bestFit="1" customWidth="1"/>
    <col min="4868" max="4868" width="11.5703125" style="152" bestFit="1" customWidth="1"/>
    <col min="4869" max="4869" width="9.28515625" style="152" bestFit="1" customWidth="1"/>
    <col min="4870" max="4870" width="11.5703125" style="152" bestFit="1" customWidth="1"/>
    <col min="4871" max="4871" width="9.28515625" style="152" bestFit="1" customWidth="1"/>
    <col min="4872" max="4872" width="11.5703125" style="152" bestFit="1" customWidth="1"/>
    <col min="4873" max="4873" width="9.28515625" style="152" bestFit="1" customWidth="1"/>
    <col min="4874" max="4874" width="11.5703125" style="152" bestFit="1" customWidth="1"/>
    <col min="4875" max="4875" width="9.28515625" style="152" bestFit="1" customWidth="1"/>
    <col min="4876" max="4876" width="11.5703125" style="152" bestFit="1" customWidth="1"/>
    <col min="4877" max="4877" width="9.28515625" style="152" bestFit="1" customWidth="1"/>
    <col min="4878" max="4878" width="11.5703125" style="152" bestFit="1" customWidth="1"/>
    <col min="4879" max="4879" width="9.28515625" style="152" bestFit="1" customWidth="1"/>
    <col min="4880" max="4880" width="11.5703125" style="152" bestFit="1" customWidth="1"/>
    <col min="4881" max="4881" width="9.28515625" style="152" bestFit="1" customWidth="1"/>
    <col min="4882" max="4882" width="11.5703125" style="152" bestFit="1" customWidth="1"/>
    <col min="4883" max="4883" width="9.28515625" style="152" bestFit="1" customWidth="1"/>
    <col min="4884" max="4884" width="11.5703125" style="152" bestFit="1" customWidth="1"/>
    <col min="4885" max="4885" width="9.28515625" style="152" bestFit="1" customWidth="1"/>
    <col min="4886" max="4886" width="11.5703125" style="152" bestFit="1" customWidth="1"/>
    <col min="4887" max="4887" width="9.28515625" style="152" bestFit="1" customWidth="1"/>
    <col min="4888" max="4888" width="11.5703125" style="152" bestFit="1" customWidth="1"/>
    <col min="4889" max="4889" width="9.28515625" style="152" bestFit="1" customWidth="1"/>
    <col min="4890" max="4890" width="11.5703125" style="152" bestFit="1" customWidth="1"/>
    <col min="4891" max="4891" width="9.28515625" style="152" bestFit="1" customWidth="1"/>
    <col min="4892" max="4892" width="11.5703125" style="152" bestFit="1" customWidth="1"/>
    <col min="4893" max="4893" width="9.28515625" style="152" bestFit="1" customWidth="1"/>
    <col min="4894" max="4894" width="11.5703125" style="152" bestFit="1" customWidth="1"/>
    <col min="4895" max="4895" width="9.28515625" style="152" bestFit="1" customWidth="1"/>
    <col min="4896" max="4896" width="11.5703125" style="152" bestFit="1" customWidth="1"/>
    <col min="4897" max="4897" width="9.28515625" style="152" bestFit="1" customWidth="1"/>
    <col min="4898" max="4898" width="11.5703125" style="152" bestFit="1" customWidth="1"/>
    <col min="4899" max="4899" width="9.28515625" style="152" bestFit="1" customWidth="1"/>
    <col min="4900" max="4900" width="11.5703125" style="152" bestFit="1" customWidth="1"/>
    <col min="4901" max="4901" width="9.28515625" style="152" bestFit="1" customWidth="1"/>
    <col min="4902" max="4902" width="11.5703125" style="152" bestFit="1" customWidth="1"/>
    <col min="4903" max="4903" width="9.28515625" style="152" bestFit="1" customWidth="1"/>
    <col min="4904" max="4904" width="11.5703125" style="152" bestFit="1" customWidth="1"/>
    <col min="4905" max="4905" width="9.28515625" style="152" bestFit="1" customWidth="1"/>
    <col min="4906" max="4906" width="11.5703125" style="152" bestFit="1" customWidth="1"/>
    <col min="4907" max="4907" width="9.28515625" style="152" bestFit="1" customWidth="1"/>
    <col min="4908" max="4908" width="11.5703125" style="152" bestFit="1" customWidth="1"/>
    <col min="4909" max="4909" width="9.28515625" style="152" bestFit="1" customWidth="1"/>
    <col min="4910" max="4910" width="11.5703125" style="152" bestFit="1" customWidth="1"/>
    <col min="4911" max="4911" width="9.28515625" style="152" bestFit="1" customWidth="1"/>
    <col min="4912" max="4912" width="11.5703125" style="152" bestFit="1" customWidth="1"/>
    <col min="4913" max="4913" width="9.28515625" style="152" bestFit="1" customWidth="1"/>
    <col min="4914" max="4914" width="11.5703125" style="152" bestFit="1" customWidth="1"/>
    <col min="4915" max="4915" width="9.28515625" style="152" bestFit="1" customWidth="1"/>
    <col min="4916" max="5122" width="9.140625" style="152"/>
    <col min="5123" max="5123" width="29.42578125" style="152" bestFit="1" customWidth="1"/>
    <col min="5124" max="5124" width="11.5703125" style="152" bestFit="1" customWidth="1"/>
    <col min="5125" max="5125" width="9.28515625" style="152" bestFit="1" customWidth="1"/>
    <col min="5126" max="5126" width="11.5703125" style="152" bestFit="1" customWidth="1"/>
    <col min="5127" max="5127" width="9.28515625" style="152" bestFit="1" customWidth="1"/>
    <col min="5128" max="5128" width="11.5703125" style="152" bestFit="1" customWidth="1"/>
    <col min="5129" max="5129" width="9.28515625" style="152" bestFit="1" customWidth="1"/>
    <col min="5130" max="5130" width="11.5703125" style="152" bestFit="1" customWidth="1"/>
    <col min="5131" max="5131" width="9.28515625" style="152" bestFit="1" customWidth="1"/>
    <col min="5132" max="5132" width="11.5703125" style="152" bestFit="1" customWidth="1"/>
    <col min="5133" max="5133" width="9.28515625" style="152" bestFit="1" customWidth="1"/>
    <col min="5134" max="5134" width="11.5703125" style="152" bestFit="1" customWidth="1"/>
    <col min="5135" max="5135" width="9.28515625" style="152" bestFit="1" customWidth="1"/>
    <col min="5136" max="5136" width="11.5703125" style="152" bestFit="1" customWidth="1"/>
    <col min="5137" max="5137" width="9.28515625" style="152" bestFit="1" customWidth="1"/>
    <col min="5138" max="5138" width="11.5703125" style="152" bestFit="1" customWidth="1"/>
    <col min="5139" max="5139" width="9.28515625" style="152" bestFit="1" customWidth="1"/>
    <col min="5140" max="5140" width="11.5703125" style="152" bestFit="1" customWidth="1"/>
    <col min="5141" max="5141" width="9.28515625" style="152" bestFit="1" customWidth="1"/>
    <col min="5142" max="5142" width="11.5703125" style="152" bestFit="1" customWidth="1"/>
    <col min="5143" max="5143" width="9.28515625" style="152" bestFit="1" customWidth="1"/>
    <col min="5144" max="5144" width="11.5703125" style="152" bestFit="1" customWidth="1"/>
    <col min="5145" max="5145" width="9.28515625" style="152" bestFit="1" customWidth="1"/>
    <col min="5146" max="5146" width="11.5703125" style="152" bestFit="1" customWidth="1"/>
    <col min="5147" max="5147" width="9.28515625" style="152" bestFit="1" customWidth="1"/>
    <col min="5148" max="5148" width="11.5703125" style="152" bestFit="1" customWidth="1"/>
    <col min="5149" max="5149" width="9.28515625" style="152" bestFit="1" customWidth="1"/>
    <col min="5150" max="5150" width="11.5703125" style="152" bestFit="1" customWidth="1"/>
    <col min="5151" max="5151" width="9.28515625" style="152" bestFit="1" customWidth="1"/>
    <col min="5152" max="5152" width="11.5703125" style="152" bestFit="1" customWidth="1"/>
    <col min="5153" max="5153" width="9.28515625" style="152" bestFit="1" customWidth="1"/>
    <col min="5154" max="5154" width="11.5703125" style="152" bestFit="1" customWidth="1"/>
    <col min="5155" max="5155" width="9.28515625" style="152" bestFit="1" customWidth="1"/>
    <col min="5156" max="5156" width="11.5703125" style="152" bestFit="1" customWidth="1"/>
    <col min="5157" max="5157" width="9.28515625" style="152" bestFit="1" customWidth="1"/>
    <col min="5158" max="5158" width="11.5703125" style="152" bestFit="1" customWidth="1"/>
    <col min="5159" max="5159" width="9.28515625" style="152" bestFit="1" customWidth="1"/>
    <col min="5160" max="5160" width="11.5703125" style="152" bestFit="1" customWidth="1"/>
    <col min="5161" max="5161" width="9.28515625" style="152" bestFit="1" customWidth="1"/>
    <col min="5162" max="5162" width="11.5703125" style="152" bestFit="1" customWidth="1"/>
    <col min="5163" max="5163" width="9.28515625" style="152" bestFit="1" customWidth="1"/>
    <col min="5164" max="5164" width="11.5703125" style="152" bestFit="1" customWidth="1"/>
    <col min="5165" max="5165" width="9.28515625" style="152" bestFit="1" customWidth="1"/>
    <col min="5166" max="5166" width="11.5703125" style="152" bestFit="1" customWidth="1"/>
    <col min="5167" max="5167" width="9.28515625" style="152" bestFit="1" customWidth="1"/>
    <col min="5168" max="5168" width="11.5703125" style="152" bestFit="1" customWidth="1"/>
    <col min="5169" max="5169" width="9.28515625" style="152" bestFit="1" customWidth="1"/>
    <col min="5170" max="5170" width="11.5703125" style="152" bestFit="1" customWidth="1"/>
    <col min="5171" max="5171" width="9.28515625" style="152" bestFit="1" customWidth="1"/>
    <col min="5172" max="5378" width="9.140625" style="152"/>
    <col min="5379" max="5379" width="29.42578125" style="152" bestFit="1" customWidth="1"/>
    <col min="5380" max="5380" width="11.5703125" style="152" bestFit="1" customWidth="1"/>
    <col min="5381" max="5381" width="9.28515625" style="152" bestFit="1" customWidth="1"/>
    <col min="5382" max="5382" width="11.5703125" style="152" bestFit="1" customWidth="1"/>
    <col min="5383" max="5383" width="9.28515625" style="152" bestFit="1" customWidth="1"/>
    <col min="5384" max="5384" width="11.5703125" style="152" bestFit="1" customWidth="1"/>
    <col min="5385" max="5385" width="9.28515625" style="152" bestFit="1" customWidth="1"/>
    <col min="5386" max="5386" width="11.5703125" style="152" bestFit="1" customWidth="1"/>
    <col min="5387" max="5387" width="9.28515625" style="152" bestFit="1" customWidth="1"/>
    <col min="5388" max="5388" width="11.5703125" style="152" bestFit="1" customWidth="1"/>
    <col min="5389" max="5389" width="9.28515625" style="152" bestFit="1" customWidth="1"/>
    <col min="5390" max="5390" width="11.5703125" style="152" bestFit="1" customWidth="1"/>
    <col min="5391" max="5391" width="9.28515625" style="152" bestFit="1" customWidth="1"/>
    <col min="5392" max="5392" width="11.5703125" style="152" bestFit="1" customWidth="1"/>
    <col min="5393" max="5393" width="9.28515625" style="152" bestFit="1" customWidth="1"/>
    <col min="5394" max="5394" width="11.5703125" style="152" bestFit="1" customWidth="1"/>
    <col min="5395" max="5395" width="9.28515625" style="152" bestFit="1" customWidth="1"/>
    <col min="5396" max="5396" width="11.5703125" style="152" bestFit="1" customWidth="1"/>
    <col min="5397" max="5397" width="9.28515625" style="152" bestFit="1" customWidth="1"/>
    <col min="5398" max="5398" width="11.5703125" style="152" bestFit="1" customWidth="1"/>
    <col min="5399" max="5399" width="9.28515625" style="152" bestFit="1" customWidth="1"/>
    <col min="5400" max="5400" width="11.5703125" style="152" bestFit="1" customWidth="1"/>
    <col min="5401" max="5401" width="9.28515625" style="152" bestFit="1" customWidth="1"/>
    <col min="5402" max="5402" width="11.5703125" style="152" bestFit="1" customWidth="1"/>
    <col min="5403" max="5403" width="9.28515625" style="152" bestFit="1" customWidth="1"/>
    <col min="5404" max="5404" width="11.5703125" style="152" bestFit="1" customWidth="1"/>
    <col min="5405" max="5405" width="9.28515625" style="152" bestFit="1" customWidth="1"/>
    <col min="5406" max="5406" width="11.5703125" style="152" bestFit="1" customWidth="1"/>
    <col min="5407" max="5407" width="9.28515625" style="152" bestFit="1" customWidth="1"/>
    <col min="5408" max="5408" width="11.5703125" style="152" bestFit="1" customWidth="1"/>
    <col min="5409" max="5409" width="9.28515625" style="152" bestFit="1" customWidth="1"/>
    <col min="5410" max="5410" width="11.5703125" style="152" bestFit="1" customWidth="1"/>
    <col min="5411" max="5411" width="9.28515625" style="152" bestFit="1" customWidth="1"/>
    <col min="5412" max="5412" width="11.5703125" style="152" bestFit="1" customWidth="1"/>
    <col min="5413" max="5413" width="9.28515625" style="152" bestFit="1" customWidth="1"/>
    <col min="5414" max="5414" width="11.5703125" style="152" bestFit="1" customWidth="1"/>
    <col min="5415" max="5415" width="9.28515625" style="152" bestFit="1" customWidth="1"/>
    <col min="5416" max="5416" width="11.5703125" style="152" bestFit="1" customWidth="1"/>
    <col min="5417" max="5417" width="9.28515625" style="152" bestFit="1" customWidth="1"/>
    <col min="5418" max="5418" width="11.5703125" style="152" bestFit="1" customWidth="1"/>
    <col min="5419" max="5419" width="9.28515625" style="152" bestFit="1" customWidth="1"/>
    <col min="5420" max="5420" width="11.5703125" style="152" bestFit="1" customWidth="1"/>
    <col min="5421" max="5421" width="9.28515625" style="152" bestFit="1" customWidth="1"/>
    <col min="5422" max="5422" width="11.5703125" style="152" bestFit="1" customWidth="1"/>
    <col min="5423" max="5423" width="9.28515625" style="152" bestFit="1" customWidth="1"/>
    <col min="5424" max="5424" width="11.5703125" style="152" bestFit="1" customWidth="1"/>
    <col min="5425" max="5425" width="9.28515625" style="152" bestFit="1" customWidth="1"/>
    <col min="5426" max="5426" width="11.5703125" style="152" bestFit="1" customWidth="1"/>
    <col min="5427" max="5427" width="9.28515625" style="152" bestFit="1" customWidth="1"/>
    <col min="5428" max="5634" width="9.140625" style="152"/>
    <col min="5635" max="5635" width="29.42578125" style="152" bestFit="1" customWidth="1"/>
    <col min="5636" max="5636" width="11.5703125" style="152" bestFit="1" customWidth="1"/>
    <col min="5637" max="5637" width="9.28515625" style="152" bestFit="1" customWidth="1"/>
    <col min="5638" max="5638" width="11.5703125" style="152" bestFit="1" customWidth="1"/>
    <col min="5639" max="5639" width="9.28515625" style="152" bestFit="1" customWidth="1"/>
    <col min="5640" max="5640" width="11.5703125" style="152" bestFit="1" customWidth="1"/>
    <col min="5641" max="5641" width="9.28515625" style="152" bestFit="1" customWidth="1"/>
    <col min="5642" max="5642" width="11.5703125" style="152" bestFit="1" customWidth="1"/>
    <col min="5643" max="5643" width="9.28515625" style="152" bestFit="1" customWidth="1"/>
    <col min="5644" max="5644" width="11.5703125" style="152" bestFit="1" customWidth="1"/>
    <col min="5645" max="5645" width="9.28515625" style="152" bestFit="1" customWidth="1"/>
    <col min="5646" max="5646" width="11.5703125" style="152" bestFit="1" customWidth="1"/>
    <col min="5647" max="5647" width="9.28515625" style="152" bestFit="1" customWidth="1"/>
    <col min="5648" max="5648" width="11.5703125" style="152" bestFit="1" customWidth="1"/>
    <col min="5649" max="5649" width="9.28515625" style="152" bestFit="1" customWidth="1"/>
    <col min="5650" max="5650" width="11.5703125" style="152" bestFit="1" customWidth="1"/>
    <col min="5651" max="5651" width="9.28515625" style="152" bestFit="1" customWidth="1"/>
    <col min="5652" max="5652" width="11.5703125" style="152" bestFit="1" customWidth="1"/>
    <col min="5653" max="5653" width="9.28515625" style="152" bestFit="1" customWidth="1"/>
    <col min="5654" max="5654" width="11.5703125" style="152" bestFit="1" customWidth="1"/>
    <col min="5655" max="5655" width="9.28515625" style="152" bestFit="1" customWidth="1"/>
    <col min="5656" max="5656" width="11.5703125" style="152" bestFit="1" customWidth="1"/>
    <col min="5657" max="5657" width="9.28515625" style="152" bestFit="1" customWidth="1"/>
    <col min="5658" max="5658" width="11.5703125" style="152" bestFit="1" customWidth="1"/>
    <col min="5659" max="5659" width="9.28515625" style="152" bestFit="1" customWidth="1"/>
    <col min="5660" max="5660" width="11.5703125" style="152" bestFit="1" customWidth="1"/>
    <col min="5661" max="5661" width="9.28515625" style="152" bestFit="1" customWidth="1"/>
    <col min="5662" max="5662" width="11.5703125" style="152" bestFit="1" customWidth="1"/>
    <col min="5663" max="5663" width="9.28515625" style="152" bestFit="1" customWidth="1"/>
    <col min="5664" max="5664" width="11.5703125" style="152" bestFit="1" customWidth="1"/>
    <col min="5665" max="5665" width="9.28515625" style="152" bestFit="1" customWidth="1"/>
    <col min="5666" max="5666" width="11.5703125" style="152" bestFit="1" customWidth="1"/>
    <col min="5667" max="5667" width="9.28515625" style="152" bestFit="1" customWidth="1"/>
    <col min="5668" max="5668" width="11.5703125" style="152" bestFit="1" customWidth="1"/>
    <col min="5669" max="5669" width="9.28515625" style="152" bestFit="1" customWidth="1"/>
    <col min="5670" max="5670" width="11.5703125" style="152" bestFit="1" customWidth="1"/>
    <col min="5671" max="5671" width="9.28515625" style="152" bestFit="1" customWidth="1"/>
    <col min="5672" max="5672" width="11.5703125" style="152" bestFit="1" customWidth="1"/>
    <col min="5673" max="5673" width="9.28515625" style="152" bestFit="1" customWidth="1"/>
    <col min="5674" max="5674" width="11.5703125" style="152" bestFit="1" customWidth="1"/>
    <col min="5675" max="5675" width="9.28515625" style="152" bestFit="1" customWidth="1"/>
    <col min="5676" max="5676" width="11.5703125" style="152" bestFit="1" customWidth="1"/>
    <col min="5677" max="5677" width="9.28515625" style="152" bestFit="1" customWidth="1"/>
    <col min="5678" max="5678" width="11.5703125" style="152" bestFit="1" customWidth="1"/>
    <col min="5679" max="5679" width="9.28515625" style="152" bestFit="1" customWidth="1"/>
    <col min="5680" max="5680" width="11.5703125" style="152" bestFit="1" customWidth="1"/>
    <col min="5681" max="5681" width="9.28515625" style="152" bestFit="1" customWidth="1"/>
    <col min="5682" max="5682" width="11.5703125" style="152" bestFit="1" customWidth="1"/>
    <col min="5683" max="5683" width="9.28515625" style="152" bestFit="1" customWidth="1"/>
    <col min="5684" max="5890" width="9.140625" style="152"/>
    <col min="5891" max="5891" width="29.42578125" style="152" bestFit="1" customWidth="1"/>
    <col min="5892" max="5892" width="11.5703125" style="152" bestFit="1" customWidth="1"/>
    <col min="5893" max="5893" width="9.28515625" style="152" bestFit="1" customWidth="1"/>
    <col min="5894" max="5894" width="11.5703125" style="152" bestFit="1" customWidth="1"/>
    <col min="5895" max="5895" width="9.28515625" style="152" bestFit="1" customWidth="1"/>
    <col min="5896" max="5896" width="11.5703125" style="152" bestFit="1" customWidth="1"/>
    <col min="5897" max="5897" width="9.28515625" style="152" bestFit="1" customWidth="1"/>
    <col min="5898" max="5898" width="11.5703125" style="152" bestFit="1" customWidth="1"/>
    <col min="5899" max="5899" width="9.28515625" style="152" bestFit="1" customWidth="1"/>
    <col min="5900" max="5900" width="11.5703125" style="152" bestFit="1" customWidth="1"/>
    <col min="5901" max="5901" width="9.28515625" style="152" bestFit="1" customWidth="1"/>
    <col min="5902" max="5902" width="11.5703125" style="152" bestFit="1" customWidth="1"/>
    <col min="5903" max="5903" width="9.28515625" style="152" bestFit="1" customWidth="1"/>
    <col min="5904" max="5904" width="11.5703125" style="152" bestFit="1" customWidth="1"/>
    <col min="5905" max="5905" width="9.28515625" style="152" bestFit="1" customWidth="1"/>
    <col min="5906" max="5906" width="11.5703125" style="152" bestFit="1" customWidth="1"/>
    <col min="5907" max="5907" width="9.28515625" style="152" bestFit="1" customWidth="1"/>
    <col min="5908" max="5908" width="11.5703125" style="152" bestFit="1" customWidth="1"/>
    <col min="5909" max="5909" width="9.28515625" style="152" bestFit="1" customWidth="1"/>
    <col min="5910" max="5910" width="11.5703125" style="152" bestFit="1" customWidth="1"/>
    <col min="5911" max="5911" width="9.28515625" style="152" bestFit="1" customWidth="1"/>
    <col min="5912" max="5912" width="11.5703125" style="152" bestFit="1" customWidth="1"/>
    <col min="5913" max="5913" width="9.28515625" style="152" bestFit="1" customWidth="1"/>
    <col min="5914" max="5914" width="11.5703125" style="152" bestFit="1" customWidth="1"/>
    <col min="5915" max="5915" width="9.28515625" style="152" bestFit="1" customWidth="1"/>
    <col min="5916" max="5916" width="11.5703125" style="152" bestFit="1" customWidth="1"/>
    <col min="5917" max="5917" width="9.28515625" style="152" bestFit="1" customWidth="1"/>
    <col min="5918" max="5918" width="11.5703125" style="152" bestFit="1" customWidth="1"/>
    <col min="5919" max="5919" width="9.28515625" style="152" bestFit="1" customWidth="1"/>
    <col min="5920" max="5920" width="11.5703125" style="152" bestFit="1" customWidth="1"/>
    <col min="5921" max="5921" width="9.28515625" style="152" bestFit="1" customWidth="1"/>
    <col min="5922" max="5922" width="11.5703125" style="152" bestFit="1" customWidth="1"/>
    <col min="5923" max="5923" width="9.28515625" style="152" bestFit="1" customWidth="1"/>
    <col min="5924" max="5924" width="11.5703125" style="152" bestFit="1" customWidth="1"/>
    <col min="5925" max="5925" width="9.28515625" style="152" bestFit="1" customWidth="1"/>
    <col min="5926" max="5926" width="11.5703125" style="152" bestFit="1" customWidth="1"/>
    <col min="5927" max="5927" width="9.28515625" style="152" bestFit="1" customWidth="1"/>
    <col min="5928" max="5928" width="11.5703125" style="152" bestFit="1" customWidth="1"/>
    <col min="5929" max="5929" width="9.28515625" style="152" bestFit="1" customWidth="1"/>
    <col min="5930" max="5930" width="11.5703125" style="152" bestFit="1" customWidth="1"/>
    <col min="5931" max="5931" width="9.28515625" style="152" bestFit="1" customWidth="1"/>
    <col min="5932" max="5932" width="11.5703125" style="152" bestFit="1" customWidth="1"/>
    <col min="5933" max="5933" width="9.28515625" style="152" bestFit="1" customWidth="1"/>
    <col min="5934" max="5934" width="11.5703125" style="152" bestFit="1" customWidth="1"/>
    <col min="5935" max="5935" width="9.28515625" style="152" bestFit="1" customWidth="1"/>
    <col min="5936" max="5936" width="11.5703125" style="152" bestFit="1" customWidth="1"/>
    <col min="5937" max="5937" width="9.28515625" style="152" bestFit="1" customWidth="1"/>
    <col min="5938" max="5938" width="11.5703125" style="152" bestFit="1" customWidth="1"/>
    <col min="5939" max="5939" width="9.28515625" style="152" bestFit="1" customWidth="1"/>
    <col min="5940" max="6146" width="9.140625" style="152"/>
    <col min="6147" max="6147" width="29.42578125" style="152" bestFit="1" customWidth="1"/>
    <col min="6148" max="6148" width="11.5703125" style="152" bestFit="1" customWidth="1"/>
    <col min="6149" max="6149" width="9.28515625" style="152" bestFit="1" customWidth="1"/>
    <col min="6150" max="6150" width="11.5703125" style="152" bestFit="1" customWidth="1"/>
    <col min="6151" max="6151" width="9.28515625" style="152" bestFit="1" customWidth="1"/>
    <col min="6152" max="6152" width="11.5703125" style="152" bestFit="1" customWidth="1"/>
    <col min="6153" max="6153" width="9.28515625" style="152" bestFit="1" customWidth="1"/>
    <col min="6154" max="6154" width="11.5703125" style="152" bestFit="1" customWidth="1"/>
    <col min="6155" max="6155" width="9.28515625" style="152" bestFit="1" customWidth="1"/>
    <col min="6156" max="6156" width="11.5703125" style="152" bestFit="1" customWidth="1"/>
    <col min="6157" max="6157" width="9.28515625" style="152" bestFit="1" customWidth="1"/>
    <col min="6158" max="6158" width="11.5703125" style="152" bestFit="1" customWidth="1"/>
    <col min="6159" max="6159" width="9.28515625" style="152" bestFit="1" customWidth="1"/>
    <col min="6160" max="6160" width="11.5703125" style="152" bestFit="1" customWidth="1"/>
    <col min="6161" max="6161" width="9.28515625" style="152" bestFit="1" customWidth="1"/>
    <col min="6162" max="6162" width="11.5703125" style="152" bestFit="1" customWidth="1"/>
    <col min="6163" max="6163" width="9.28515625" style="152" bestFit="1" customWidth="1"/>
    <col min="6164" max="6164" width="11.5703125" style="152" bestFit="1" customWidth="1"/>
    <col min="6165" max="6165" width="9.28515625" style="152" bestFit="1" customWidth="1"/>
    <col min="6166" max="6166" width="11.5703125" style="152" bestFit="1" customWidth="1"/>
    <col min="6167" max="6167" width="9.28515625" style="152" bestFit="1" customWidth="1"/>
    <col min="6168" max="6168" width="11.5703125" style="152" bestFit="1" customWidth="1"/>
    <col min="6169" max="6169" width="9.28515625" style="152" bestFit="1" customWidth="1"/>
    <col min="6170" max="6170" width="11.5703125" style="152" bestFit="1" customWidth="1"/>
    <col min="6171" max="6171" width="9.28515625" style="152" bestFit="1" customWidth="1"/>
    <col min="6172" max="6172" width="11.5703125" style="152" bestFit="1" customWidth="1"/>
    <col min="6173" max="6173" width="9.28515625" style="152" bestFit="1" customWidth="1"/>
    <col min="6174" max="6174" width="11.5703125" style="152" bestFit="1" customWidth="1"/>
    <col min="6175" max="6175" width="9.28515625" style="152" bestFit="1" customWidth="1"/>
    <col min="6176" max="6176" width="11.5703125" style="152" bestFit="1" customWidth="1"/>
    <col min="6177" max="6177" width="9.28515625" style="152" bestFit="1" customWidth="1"/>
    <col min="6178" max="6178" width="11.5703125" style="152" bestFit="1" customWidth="1"/>
    <col min="6179" max="6179" width="9.28515625" style="152" bestFit="1" customWidth="1"/>
    <col min="6180" max="6180" width="11.5703125" style="152" bestFit="1" customWidth="1"/>
    <col min="6181" max="6181" width="9.28515625" style="152" bestFit="1" customWidth="1"/>
    <col min="6182" max="6182" width="11.5703125" style="152" bestFit="1" customWidth="1"/>
    <col min="6183" max="6183" width="9.28515625" style="152" bestFit="1" customWidth="1"/>
    <col min="6184" max="6184" width="11.5703125" style="152" bestFit="1" customWidth="1"/>
    <col min="6185" max="6185" width="9.28515625" style="152" bestFit="1" customWidth="1"/>
    <col min="6186" max="6186" width="11.5703125" style="152" bestFit="1" customWidth="1"/>
    <col min="6187" max="6187" width="9.28515625" style="152" bestFit="1" customWidth="1"/>
    <col min="6188" max="6188" width="11.5703125" style="152" bestFit="1" customWidth="1"/>
    <col min="6189" max="6189" width="9.28515625" style="152" bestFit="1" customWidth="1"/>
    <col min="6190" max="6190" width="11.5703125" style="152" bestFit="1" customWidth="1"/>
    <col min="6191" max="6191" width="9.28515625" style="152" bestFit="1" customWidth="1"/>
    <col min="6192" max="6192" width="11.5703125" style="152" bestFit="1" customWidth="1"/>
    <col min="6193" max="6193" width="9.28515625" style="152" bestFit="1" customWidth="1"/>
    <col min="6194" max="6194" width="11.5703125" style="152" bestFit="1" customWidth="1"/>
    <col min="6195" max="6195" width="9.28515625" style="152" bestFit="1" customWidth="1"/>
    <col min="6196" max="6402" width="9.140625" style="152"/>
    <col min="6403" max="6403" width="29.42578125" style="152" bestFit="1" customWidth="1"/>
    <col min="6404" max="6404" width="11.5703125" style="152" bestFit="1" customWidth="1"/>
    <col min="6405" max="6405" width="9.28515625" style="152" bestFit="1" customWidth="1"/>
    <col min="6406" max="6406" width="11.5703125" style="152" bestFit="1" customWidth="1"/>
    <col min="6407" max="6407" width="9.28515625" style="152" bestFit="1" customWidth="1"/>
    <col min="6408" max="6408" width="11.5703125" style="152" bestFit="1" customWidth="1"/>
    <col min="6409" max="6409" width="9.28515625" style="152" bestFit="1" customWidth="1"/>
    <col min="6410" max="6410" width="11.5703125" style="152" bestFit="1" customWidth="1"/>
    <col min="6411" max="6411" width="9.28515625" style="152" bestFit="1" customWidth="1"/>
    <col min="6412" max="6412" width="11.5703125" style="152" bestFit="1" customWidth="1"/>
    <col min="6413" max="6413" width="9.28515625" style="152" bestFit="1" customWidth="1"/>
    <col min="6414" max="6414" width="11.5703125" style="152" bestFit="1" customWidth="1"/>
    <col min="6415" max="6415" width="9.28515625" style="152" bestFit="1" customWidth="1"/>
    <col min="6416" max="6416" width="11.5703125" style="152" bestFit="1" customWidth="1"/>
    <col min="6417" max="6417" width="9.28515625" style="152" bestFit="1" customWidth="1"/>
    <col min="6418" max="6418" width="11.5703125" style="152" bestFit="1" customWidth="1"/>
    <col min="6419" max="6419" width="9.28515625" style="152" bestFit="1" customWidth="1"/>
    <col min="6420" max="6420" width="11.5703125" style="152" bestFit="1" customWidth="1"/>
    <col min="6421" max="6421" width="9.28515625" style="152" bestFit="1" customWidth="1"/>
    <col min="6422" max="6422" width="11.5703125" style="152" bestFit="1" customWidth="1"/>
    <col min="6423" max="6423" width="9.28515625" style="152" bestFit="1" customWidth="1"/>
    <col min="6424" max="6424" width="11.5703125" style="152" bestFit="1" customWidth="1"/>
    <col min="6425" max="6425" width="9.28515625" style="152" bestFit="1" customWidth="1"/>
    <col min="6426" max="6426" width="11.5703125" style="152" bestFit="1" customWidth="1"/>
    <col min="6427" max="6427" width="9.28515625" style="152" bestFit="1" customWidth="1"/>
    <col min="6428" max="6428" width="11.5703125" style="152" bestFit="1" customWidth="1"/>
    <col min="6429" max="6429" width="9.28515625" style="152" bestFit="1" customWidth="1"/>
    <col min="6430" max="6430" width="11.5703125" style="152" bestFit="1" customWidth="1"/>
    <col min="6431" max="6431" width="9.28515625" style="152" bestFit="1" customWidth="1"/>
    <col min="6432" max="6432" width="11.5703125" style="152" bestFit="1" customWidth="1"/>
    <col min="6433" max="6433" width="9.28515625" style="152" bestFit="1" customWidth="1"/>
    <col min="6434" max="6434" width="11.5703125" style="152" bestFit="1" customWidth="1"/>
    <col min="6435" max="6435" width="9.28515625" style="152" bestFit="1" customWidth="1"/>
    <col min="6436" max="6436" width="11.5703125" style="152" bestFit="1" customWidth="1"/>
    <col min="6437" max="6437" width="9.28515625" style="152" bestFit="1" customWidth="1"/>
    <col min="6438" max="6438" width="11.5703125" style="152" bestFit="1" customWidth="1"/>
    <col min="6439" max="6439" width="9.28515625" style="152" bestFit="1" customWidth="1"/>
    <col min="6440" max="6440" width="11.5703125" style="152" bestFit="1" customWidth="1"/>
    <col min="6441" max="6441" width="9.28515625" style="152" bestFit="1" customWidth="1"/>
    <col min="6442" max="6442" width="11.5703125" style="152" bestFit="1" customWidth="1"/>
    <col min="6443" max="6443" width="9.28515625" style="152" bestFit="1" customWidth="1"/>
    <col min="6444" max="6444" width="11.5703125" style="152" bestFit="1" customWidth="1"/>
    <col min="6445" max="6445" width="9.28515625" style="152" bestFit="1" customWidth="1"/>
    <col min="6446" max="6446" width="11.5703125" style="152" bestFit="1" customWidth="1"/>
    <col min="6447" max="6447" width="9.28515625" style="152" bestFit="1" customWidth="1"/>
    <col min="6448" max="6448" width="11.5703125" style="152" bestFit="1" customWidth="1"/>
    <col min="6449" max="6449" width="9.28515625" style="152" bestFit="1" customWidth="1"/>
    <col min="6450" max="6450" width="11.5703125" style="152" bestFit="1" customWidth="1"/>
    <col min="6451" max="6451" width="9.28515625" style="152" bestFit="1" customWidth="1"/>
    <col min="6452" max="6658" width="9.140625" style="152"/>
    <col min="6659" max="6659" width="29.42578125" style="152" bestFit="1" customWidth="1"/>
    <col min="6660" max="6660" width="11.5703125" style="152" bestFit="1" customWidth="1"/>
    <col min="6661" max="6661" width="9.28515625" style="152" bestFit="1" customWidth="1"/>
    <col min="6662" max="6662" width="11.5703125" style="152" bestFit="1" customWidth="1"/>
    <col min="6663" max="6663" width="9.28515625" style="152" bestFit="1" customWidth="1"/>
    <col min="6664" max="6664" width="11.5703125" style="152" bestFit="1" customWidth="1"/>
    <col min="6665" max="6665" width="9.28515625" style="152" bestFit="1" customWidth="1"/>
    <col min="6666" max="6666" width="11.5703125" style="152" bestFit="1" customWidth="1"/>
    <col min="6667" max="6667" width="9.28515625" style="152" bestFit="1" customWidth="1"/>
    <col min="6668" max="6668" width="11.5703125" style="152" bestFit="1" customWidth="1"/>
    <col min="6669" max="6669" width="9.28515625" style="152" bestFit="1" customWidth="1"/>
    <col min="6670" max="6670" width="11.5703125" style="152" bestFit="1" customWidth="1"/>
    <col min="6671" max="6671" width="9.28515625" style="152" bestFit="1" customWidth="1"/>
    <col min="6672" max="6672" width="11.5703125" style="152" bestFit="1" customWidth="1"/>
    <col min="6673" max="6673" width="9.28515625" style="152" bestFit="1" customWidth="1"/>
    <col min="6674" max="6674" width="11.5703125" style="152" bestFit="1" customWidth="1"/>
    <col min="6675" max="6675" width="9.28515625" style="152" bestFit="1" customWidth="1"/>
    <col min="6676" max="6676" width="11.5703125" style="152" bestFit="1" customWidth="1"/>
    <col min="6677" max="6677" width="9.28515625" style="152" bestFit="1" customWidth="1"/>
    <col min="6678" max="6678" width="11.5703125" style="152" bestFit="1" customWidth="1"/>
    <col min="6679" max="6679" width="9.28515625" style="152" bestFit="1" customWidth="1"/>
    <col min="6680" max="6680" width="11.5703125" style="152" bestFit="1" customWidth="1"/>
    <col min="6681" max="6681" width="9.28515625" style="152" bestFit="1" customWidth="1"/>
    <col min="6682" max="6682" width="11.5703125" style="152" bestFit="1" customWidth="1"/>
    <col min="6683" max="6683" width="9.28515625" style="152" bestFit="1" customWidth="1"/>
    <col min="6684" max="6684" width="11.5703125" style="152" bestFit="1" customWidth="1"/>
    <col min="6685" max="6685" width="9.28515625" style="152" bestFit="1" customWidth="1"/>
    <col min="6686" max="6686" width="11.5703125" style="152" bestFit="1" customWidth="1"/>
    <col min="6687" max="6687" width="9.28515625" style="152" bestFit="1" customWidth="1"/>
    <col min="6688" max="6688" width="11.5703125" style="152" bestFit="1" customWidth="1"/>
    <col min="6689" max="6689" width="9.28515625" style="152" bestFit="1" customWidth="1"/>
    <col min="6690" max="6690" width="11.5703125" style="152" bestFit="1" customWidth="1"/>
    <col min="6691" max="6691" width="9.28515625" style="152" bestFit="1" customWidth="1"/>
    <col min="6692" max="6692" width="11.5703125" style="152" bestFit="1" customWidth="1"/>
    <col min="6693" max="6693" width="9.28515625" style="152" bestFit="1" customWidth="1"/>
    <col min="6694" max="6694" width="11.5703125" style="152" bestFit="1" customWidth="1"/>
    <col min="6695" max="6695" width="9.28515625" style="152" bestFit="1" customWidth="1"/>
    <col min="6696" max="6696" width="11.5703125" style="152" bestFit="1" customWidth="1"/>
    <col min="6697" max="6697" width="9.28515625" style="152" bestFit="1" customWidth="1"/>
    <col min="6698" max="6698" width="11.5703125" style="152" bestFit="1" customWidth="1"/>
    <col min="6699" max="6699" width="9.28515625" style="152" bestFit="1" customWidth="1"/>
    <col min="6700" max="6700" width="11.5703125" style="152" bestFit="1" customWidth="1"/>
    <col min="6701" max="6701" width="9.28515625" style="152" bestFit="1" customWidth="1"/>
    <col min="6702" max="6702" width="11.5703125" style="152" bestFit="1" customWidth="1"/>
    <col min="6703" max="6703" width="9.28515625" style="152" bestFit="1" customWidth="1"/>
    <col min="6704" max="6704" width="11.5703125" style="152" bestFit="1" customWidth="1"/>
    <col min="6705" max="6705" width="9.28515625" style="152" bestFit="1" customWidth="1"/>
    <col min="6706" max="6706" width="11.5703125" style="152" bestFit="1" customWidth="1"/>
    <col min="6707" max="6707" width="9.28515625" style="152" bestFit="1" customWidth="1"/>
    <col min="6708" max="6914" width="9.140625" style="152"/>
    <col min="6915" max="6915" width="29.42578125" style="152" bestFit="1" customWidth="1"/>
    <col min="6916" max="6916" width="11.5703125" style="152" bestFit="1" customWidth="1"/>
    <col min="6917" max="6917" width="9.28515625" style="152" bestFit="1" customWidth="1"/>
    <col min="6918" max="6918" width="11.5703125" style="152" bestFit="1" customWidth="1"/>
    <col min="6919" max="6919" width="9.28515625" style="152" bestFit="1" customWidth="1"/>
    <col min="6920" max="6920" width="11.5703125" style="152" bestFit="1" customWidth="1"/>
    <col min="6921" max="6921" width="9.28515625" style="152" bestFit="1" customWidth="1"/>
    <col min="6922" max="6922" width="11.5703125" style="152" bestFit="1" customWidth="1"/>
    <col min="6923" max="6923" width="9.28515625" style="152" bestFit="1" customWidth="1"/>
    <col min="6924" max="6924" width="11.5703125" style="152" bestFit="1" customWidth="1"/>
    <col min="6925" max="6925" width="9.28515625" style="152" bestFit="1" customWidth="1"/>
    <col min="6926" max="6926" width="11.5703125" style="152" bestFit="1" customWidth="1"/>
    <col min="6927" max="6927" width="9.28515625" style="152" bestFit="1" customWidth="1"/>
    <col min="6928" max="6928" width="11.5703125" style="152" bestFit="1" customWidth="1"/>
    <col min="6929" max="6929" width="9.28515625" style="152" bestFit="1" customWidth="1"/>
    <col min="6930" max="6930" width="11.5703125" style="152" bestFit="1" customWidth="1"/>
    <col min="6931" max="6931" width="9.28515625" style="152" bestFit="1" customWidth="1"/>
    <col min="6932" max="6932" width="11.5703125" style="152" bestFit="1" customWidth="1"/>
    <col min="6933" max="6933" width="9.28515625" style="152" bestFit="1" customWidth="1"/>
    <col min="6934" max="6934" width="11.5703125" style="152" bestFit="1" customWidth="1"/>
    <col min="6935" max="6935" width="9.28515625" style="152" bestFit="1" customWidth="1"/>
    <col min="6936" max="6936" width="11.5703125" style="152" bestFit="1" customWidth="1"/>
    <col min="6937" max="6937" width="9.28515625" style="152" bestFit="1" customWidth="1"/>
    <col min="6938" max="6938" width="11.5703125" style="152" bestFit="1" customWidth="1"/>
    <col min="6939" max="6939" width="9.28515625" style="152" bestFit="1" customWidth="1"/>
    <col min="6940" max="6940" width="11.5703125" style="152" bestFit="1" customWidth="1"/>
    <col min="6941" max="6941" width="9.28515625" style="152" bestFit="1" customWidth="1"/>
    <col min="6942" max="6942" width="11.5703125" style="152" bestFit="1" customWidth="1"/>
    <col min="6943" max="6943" width="9.28515625" style="152" bestFit="1" customWidth="1"/>
    <col min="6944" max="6944" width="11.5703125" style="152" bestFit="1" customWidth="1"/>
    <col min="6945" max="6945" width="9.28515625" style="152" bestFit="1" customWidth="1"/>
    <col min="6946" max="6946" width="11.5703125" style="152" bestFit="1" customWidth="1"/>
    <col min="6947" max="6947" width="9.28515625" style="152" bestFit="1" customWidth="1"/>
    <col min="6948" max="6948" width="11.5703125" style="152" bestFit="1" customWidth="1"/>
    <col min="6949" max="6949" width="9.28515625" style="152" bestFit="1" customWidth="1"/>
    <col min="6950" max="6950" width="11.5703125" style="152" bestFit="1" customWidth="1"/>
    <col min="6951" max="6951" width="9.28515625" style="152" bestFit="1" customWidth="1"/>
    <col min="6952" max="6952" width="11.5703125" style="152" bestFit="1" customWidth="1"/>
    <col min="6953" max="6953" width="9.28515625" style="152" bestFit="1" customWidth="1"/>
    <col min="6954" max="6954" width="11.5703125" style="152" bestFit="1" customWidth="1"/>
    <col min="6955" max="6955" width="9.28515625" style="152" bestFit="1" customWidth="1"/>
    <col min="6956" max="6956" width="11.5703125" style="152" bestFit="1" customWidth="1"/>
    <col min="6957" max="6957" width="9.28515625" style="152" bestFit="1" customWidth="1"/>
    <col min="6958" max="6958" width="11.5703125" style="152" bestFit="1" customWidth="1"/>
    <col min="6959" max="6959" width="9.28515625" style="152" bestFit="1" customWidth="1"/>
    <col min="6960" max="6960" width="11.5703125" style="152" bestFit="1" customWidth="1"/>
    <col min="6961" max="6961" width="9.28515625" style="152" bestFit="1" customWidth="1"/>
    <col min="6962" max="6962" width="11.5703125" style="152" bestFit="1" customWidth="1"/>
    <col min="6963" max="6963" width="9.28515625" style="152" bestFit="1" customWidth="1"/>
    <col min="6964" max="7170" width="9.140625" style="152"/>
    <col min="7171" max="7171" width="29.42578125" style="152" bestFit="1" customWidth="1"/>
    <col min="7172" max="7172" width="11.5703125" style="152" bestFit="1" customWidth="1"/>
    <col min="7173" max="7173" width="9.28515625" style="152" bestFit="1" customWidth="1"/>
    <col min="7174" max="7174" width="11.5703125" style="152" bestFit="1" customWidth="1"/>
    <col min="7175" max="7175" width="9.28515625" style="152" bestFit="1" customWidth="1"/>
    <col min="7176" max="7176" width="11.5703125" style="152" bestFit="1" customWidth="1"/>
    <col min="7177" max="7177" width="9.28515625" style="152" bestFit="1" customWidth="1"/>
    <col min="7178" max="7178" width="11.5703125" style="152" bestFit="1" customWidth="1"/>
    <col min="7179" max="7179" width="9.28515625" style="152" bestFit="1" customWidth="1"/>
    <col min="7180" max="7180" width="11.5703125" style="152" bestFit="1" customWidth="1"/>
    <col min="7181" max="7181" width="9.28515625" style="152" bestFit="1" customWidth="1"/>
    <col min="7182" max="7182" width="11.5703125" style="152" bestFit="1" customWidth="1"/>
    <col min="7183" max="7183" width="9.28515625" style="152" bestFit="1" customWidth="1"/>
    <col min="7184" max="7184" width="11.5703125" style="152" bestFit="1" customWidth="1"/>
    <col min="7185" max="7185" width="9.28515625" style="152" bestFit="1" customWidth="1"/>
    <col min="7186" max="7186" width="11.5703125" style="152" bestFit="1" customWidth="1"/>
    <col min="7187" max="7187" width="9.28515625" style="152" bestFit="1" customWidth="1"/>
    <col min="7188" max="7188" width="11.5703125" style="152" bestFit="1" customWidth="1"/>
    <col min="7189" max="7189" width="9.28515625" style="152" bestFit="1" customWidth="1"/>
    <col min="7190" max="7190" width="11.5703125" style="152" bestFit="1" customWidth="1"/>
    <col min="7191" max="7191" width="9.28515625" style="152" bestFit="1" customWidth="1"/>
    <col min="7192" max="7192" width="11.5703125" style="152" bestFit="1" customWidth="1"/>
    <col min="7193" max="7193" width="9.28515625" style="152" bestFit="1" customWidth="1"/>
    <col min="7194" max="7194" width="11.5703125" style="152" bestFit="1" customWidth="1"/>
    <col min="7195" max="7195" width="9.28515625" style="152" bestFit="1" customWidth="1"/>
    <col min="7196" max="7196" width="11.5703125" style="152" bestFit="1" customWidth="1"/>
    <col min="7197" max="7197" width="9.28515625" style="152" bestFit="1" customWidth="1"/>
    <col min="7198" max="7198" width="11.5703125" style="152" bestFit="1" customWidth="1"/>
    <col min="7199" max="7199" width="9.28515625" style="152" bestFit="1" customWidth="1"/>
    <col min="7200" max="7200" width="11.5703125" style="152" bestFit="1" customWidth="1"/>
    <col min="7201" max="7201" width="9.28515625" style="152" bestFit="1" customWidth="1"/>
    <col min="7202" max="7202" width="11.5703125" style="152" bestFit="1" customWidth="1"/>
    <col min="7203" max="7203" width="9.28515625" style="152" bestFit="1" customWidth="1"/>
    <col min="7204" max="7204" width="11.5703125" style="152" bestFit="1" customWidth="1"/>
    <col min="7205" max="7205" width="9.28515625" style="152" bestFit="1" customWidth="1"/>
    <col min="7206" max="7206" width="11.5703125" style="152" bestFit="1" customWidth="1"/>
    <col min="7207" max="7207" width="9.28515625" style="152" bestFit="1" customWidth="1"/>
    <col min="7208" max="7208" width="11.5703125" style="152" bestFit="1" customWidth="1"/>
    <col min="7209" max="7209" width="9.28515625" style="152" bestFit="1" customWidth="1"/>
    <col min="7210" max="7210" width="11.5703125" style="152" bestFit="1" customWidth="1"/>
    <col min="7211" max="7211" width="9.28515625" style="152" bestFit="1" customWidth="1"/>
    <col min="7212" max="7212" width="11.5703125" style="152" bestFit="1" customWidth="1"/>
    <col min="7213" max="7213" width="9.28515625" style="152" bestFit="1" customWidth="1"/>
    <col min="7214" max="7214" width="11.5703125" style="152" bestFit="1" customWidth="1"/>
    <col min="7215" max="7215" width="9.28515625" style="152" bestFit="1" customWidth="1"/>
    <col min="7216" max="7216" width="11.5703125" style="152" bestFit="1" customWidth="1"/>
    <col min="7217" max="7217" width="9.28515625" style="152" bestFit="1" customWidth="1"/>
    <col min="7218" max="7218" width="11.5703125" style="152" bestFit="1" customWidth="1"/>
    <col min="7219" max="7219" width="9.28515625" style="152" bestFit="1" customWidth="1"/>
    <col min="7220" max="7426" width="9.140625" style="152"/>
    <col min="7427" max="7427" width="29.42578125" style="152" bestFit="1" customWidth="1"/>
    <col min="7428" max="7428" width="11.5703125" style="152" bestFit="1" customWidth="1"/>
    <col min="7429" max="7429" width="9.28515625" style="152" bestFit="1" customWidth="1"/>
    <col min="7430" max="7430" width="11.5703125" style="152" bestFit="1" customWidth="1"/>
    <col min="7431" max="7431" width="9.28515625" style="152" bestFit="1" customWidth="1"/>
    <col min="7432" max="7432" width="11.5703125" style="152" bestFit="1" customWidth="1"/>
    <col min="7433" max="7433" width="9.28515625" style="152" bestFit="1" customWidth="1"/>
    <col min="7434" max="7434" width="11.5703125" style="152" bestFit="1" customWidth="1"/>
    <col min="7435" max="7435" width="9.28515625" style="152" bestFit="1" customWidth="1"/>
    <col min="7436" max="7436" width="11.5703125" style="152" bestFit="1" customWidth="1"/>
    <col min="7437" max="7437" width="9.28515625" style="152" bestFit="1" customWidth="1"/>
    <col min="7438" max="7438" width="11.5703125" style="152" bestFit="1" customWidth="1"/>
    <col min="7439" max="7439" width="9.28515625" style="152" bestFit="1" customWidth="1"/>
    <col min="7440" max="7440" width="11.5703125" style="152" bestFit="1" customWidth="1"/>
    <col min="7441" max="7441" width="9.28515625" style="152" bestFit="1" customWidth="1"/>
    <col min="7442" max="7442" width="11.5703125" style="152" bestFit="1" customWidth="1"/>
    <col min="7443" max="7443" width="9.28515625" style="152" bestFit="1" customWidth="1"/>
    <col min="7444" max="7444" width="11.5703125" style="152" bestFit="1" customWidth="1"/>
    <col min="7445" max="7445" width="9.28515625" style="152" bestFit="1" customWidth="1"/>
    <col min="7446" max="7446" width="11.5703125" style="152" bestFit="1" customWidth="1"/>
    <col min="7447" max="7447" width="9.28515625" style="152" bestFit="1" customWidth="1"/>
    <col min="7448" max="7448" width="11.5703125" style="152" bestFit="1" customWidth="1"/>
    <col min="7449" max="7449" width="9.28515625" style="152" bestFit="1" customWidth="1"/>
    <col min="7450" max="7450" width="11.5703125" style="152" bestFit="1" customWidth="1"/>
    <col min="7451" max="7451" width="9.28515625" style="152" bestFit="1" customWidth="1"/>
    <col min="7452" max="7452" width="11.5703125" style="152" bestFit="1" customWidth="1"/>
    <col min="7453" max="7453" width="9.28515625" style="152" bestFit="1" customWidth="1"/>
    <col min="7454" max="7454" width="11.5703125" style="152" bestFit="1" customWidth="1"/>
    <col min="7455" max="7455" width="9.28515625" style="152" bestFit="1" customWidth="1"/>
    <col min="7456" max="7456" width="11.5703125" style="152" bestFit="1" customWidth="1"/>
    <col min="7457" max="7457" width="9.28515625" style="152" bestFit="1" customWidth="1"/>
    <col min="7458" max="7458" width="11.5703125" style="152" bestFit="1" customWidth="1"/>
    <col min="7459" max="7459" width="9.28515625" style="152" bestFit="1" customWidth="1"/>
    <col min="7460" max="7460" width="11.5703125" style="152" bestFit="1" customWidth="1"/>
    <col min="7461" max="7461" width="9.28515625" style="152" bestFit="1" customWidth="1"/>
    <col min="7462" max="7462" width="11.5703125" style="152" bestFit="1" customWidth="1"/>
    <col min="7463" max="7463" width="9.28515625" style="152" bestFit="1" customWidth="1"/>
    <col min="7464" max="7464" width="11.5703125" style="152" bestFit="1" customWidth="1"/>
    <col min="7465" max="7465" width="9.28515625" style="152" bestFit="1" customWidth="1"/>
    <col min="7466" max="7466" width="11.5703125" style="152" bestFit="1" customWidth="1"/>
    <col min="7467" max="7467" width="9.28515625" style="152" bestFit="1" customWidth="1"/>
    <col min="7468" max="7468" width="11.5703125" style="152" bestFit="1" customWidth="1"/>
    <col min="7469" max="7469" width="9.28515625" style="152" bestFit="1" customWidth="1"/>
    <col min="7470" max="7470" width="11.5703125" style="152" bestFit="1" customWidth="1"/>
    <col min="7471" max="7471" width="9.28515625" style="152" bestFit="1" customWidth="1"/>
    <col min="7472" max="7472" width="11.5703125" style="152" bestFit="1" customWidth="1"/>
    <col min="7473" max="7473" width="9.28515625" style="152" bestFit="1" customWidth="1"/>
    <col min="7474" max="7474" width="11.5703125" style="152" bestFit="1" customWidth="1"/>
    <col min="7475" max="7475" width="9.28515625" style="152" bestFit="1" customWidth="1"/>
    <col min="7476" max="7682" width="9.140625" style="152"/>
    <col min="7683" max="7683" width="29.42578125" style="152" bestFit="1" customWidth="1"/>
    <col min="7684" max="7684" width="11.5703125" style="152" bestFit="1" customWidth="1"/>
    <col min="7685" max="7685" width="9.28515625" style="152" bestFit="1" customWidth="1"/>
    <col min="7686" max="7686" width="11.5703125" style="152" bestFit="1" customWidth="1"/>
    <col min="7687" max="7687" width="9.28515625" style="152" bestFit="1" customWidth="1"/>
    <col min="7688" max="7688" width="11.5703125" style="152" bestFit="1" customWidth="1"/>
    <col min="7689" max="7689" width="9.28515625" style="152" bestFit="1" customWidth="1"/>
    <col min="7690" max="7690" width="11.5703125" style="152" bestFit="1" customWidth="1"/>
    <col min="7691" max="7691" width="9.28515625" style="152" bestFit="1" customWidth="1"/>
    <col min="7692" max="7692" width="11.5703125" style="152" bestFit="1" customWidth="1"/>
    <col min="7693" max="7693" width="9.28515625" style="152" bestFit="1" customWidth="1"/>
    <col min="7694" max="7694" width="11.5703125" style="152" bestFit="1" customWidth="1"/>
    <col min="7695" max="7695" width="9.28515625" style="152" bestFit="1" customWidth="1"/>
    <col min="7696" max="7696" width="11.5703125" style="152" bestFit="1" customWidth="1"/>
    <col min="7697" max="7697" width="9.28515625" style="152" bestFit="1" customWidth="1"/>
    <col min="7698" max="7698" width="11.5703125" style="152" bestFit="1" customWidth="1"/>
    <col min="7699" max="7699" width="9.28515625" style="152" bestFit="1" customWidth="1"/>
    <col min="7700" max="7700" width="11.5703125" style="152" bestFit="1" customWidth="1"/>
    <col min="7701" max="7701" width="9.28515625" style="152" bestFit="1" customWidth="1"/>
    <col min="7702" max="7702" width="11.5703125" style="152" bestFit="1" customWidth="1"/>
    <col min="7703" max="7703" width="9.28515625" style="152" bestFit="1" customWidth="1"/>
    <col min="7704" max="7704" width="11.5703125" style="152" bestFit="1" customWidth="1"/>
    <col min="7705" max="7705" width="9.28515625" style="152" bestFit="1" customWidth="1"/>
    <col min="7706" max="7706" width="11.5703125" style="152" bestFit="1" customWidth="1"/>
    <col min="7707" max="7707" width="9.28515625" style="152" bestFit="1" customWidth="1"/>
    <col min="7708" max="7708" width="11.5703125" style="152" bestFit="1" customWidth="1"/>
    <col min="7709" max="7709" width="9.28515625" style="152" bestFit="1" customWidth="1"/>
    <col min="7710" max="7710" width="11.5703125" style="152" bestFit="1" customWidth="1"/>
    <col min="7711" max="7711" width="9.28515625" style="152" bestFit="1" customWidth="1"/>
    <col min="7712" max="7712" width="11.5703125" style="152" bestFit="1" customWidth="1"/>
    <col min="7713" max="7713" width="9.28515625" style="152" bestFit="1" customWidth="1"/>
    <col min="7714" max="7714" width="11.5703125" style="152" bestFit="1" customWidth="1"/>
    <col min="7715" max="7715" width="9.28515625" style="152" bestFit="1" customWidth="1"/>
    <col min="7716" max="7716" width="11.5703125" style="152" bestFit="1" customWidth="1"/>
    <col min="7717" max="7717" width="9.28515625" style="152" bestFit="1" customWidth="1"/>
    <col min="7718" max="7718" width="11.5703125" style="152" bestFit="1" customWidth="1"/>
    <col min="7719" max="7719" width="9.28515625" style="152" bestFit="1" customWidth="1"/>
    <col min="7720" max="7720" width="11.5703125" style="152" bestFit="1" customWidth="1"/>
    <col min="7721" max="7721" width="9.28515625" style="152" bestFit="1" customWidth="1"/>
    <col min="7722" max="7722" width="11.5703125" style="152" bestFit="1" customWidth="1"/>
    <col min="7723" max="7723" width="9.28515625" style="152" bestFit="1" customWidth="1"/>
    <col min="7724" max="7724" width="11.5703125" style="152" bestFit="1" customWidth="1"/>
    <col min="7725" max="7725" width="9.28515625" style="152" bestFit="1" customWidth="1"/>
    <col min="7726" max="7726" width="11.5703125" style="152" bestFit="1" customWidth="1"/>
    <col min="7727" max="7727" width="9.28515625" style="152" bestFit="1" customWidth="1"/>
    <col min="7728" max="7728" width="11.5703125" style="152" bestFit="1" customWidth="1"/>
    <col min="7729" max="7729" width="9.28515625" style="152" bestFit="1" customWidth="1"/>
    <col min="7730" max="7730" width="11.5703125" style="152" bestFit="1" customWidth="1"/>
    <col min="7731" max="7731" width="9.28515625" style="152" bestFit="1" customWidth="1"/>
    <col min="7732" max="7938" width="9.140625" style="152"/>
    <col min="7939" max="7939" width="29.42578125" style="152" bestFit="1" customWidth="1"/>
    <col min="7940" max="7940" width="11.5703125" style="152" bestFit="1" customWidth="1"/>
    <col min="7941" max="7941" width="9.28515625" style="152" bestFit="1" customWidth="1"/>
    <col min="7942" max="7942" width="11.5703125" style="152" bestFit="1" customWidth="1"/>
    <col min="7943" max="7943" width="9.28515625" style="152" bestFit="1" customWidth="1"/>
    <col min="7944" max="7944" width="11.5703125" style="152" bestFit="1" customWidth="1"/>
    <col min="7945" max="7945" width="9.28515625" style="152" bestFit="1" customWidth="1"/>
    <col min="7946" max="7946" width="11.5703125" style="152" bestFit="1" customWidth="1"/>
    <col min="7947" max="7947" width="9.28515625" style="152" bestFit="1" customWidth="1"/>
    <col min="7948" max="7948" width="11.5703125" style="152" bestFit="1" customWidth="1"/>
    <col min="7949" max="7949" width="9.28515625" style="152" bestFit="1" customWidth="1"/>
    <col min="7950" max="7950" width="11.5703125" style="152" bestFit="1" customWidth="1"/>
    <col min="7951" max="7951" width="9.28515625" style="152" bestFit="1" customWidth="1"/>
    <col min="7952" max="7952" width="11.5703125" style="152" bestFit="1" customWidth="1"/>
    <col min="7953" max="7953" width="9.28515625" style="152" bestFit="1" customWidth="1"/>
    <col min="7954" max="7954" width="11.5703125" style="152" bestFit="1" customWidth="1"/>
    <col min="7955" max="7955" width="9.28515625" style="152" bestFit="1" customWidth="1"/>
    <col min="7956" max="7956" width="11.5703125" style="152" bestFit="1" customWidth="1"/>
    <col min="7957" max="7957" width="9.28515625" style="152" bestFit="1" customWidth="1"/>
    <col min="7958" max="7958" width="11.5703125" style="152" bestFit="1" customWidth="1"/>
    <col min="7959" max="7959" width="9.28515625" style="152" bestFit="1" customWidth="1"/>
    <col min="7960" max="7960" width="11.5703125" style="152" bestFit="1" customWidth="1"/>
    <col min="7961" max="7961" width="9.28515625" style="152" bestFit="1" customWidth="1"/>
    <col min="7962" max="7962" width="11.5703125" style="152" bestFit="1" customWidth="1"/>
    <col min="7963" max="7963" width="9.28515625" style="152" bestFit="1" customWidth="1"/>
    <col min="7964" max="7964" width="11.5703125" style="152" bestFit="1" customWidth="1"/>
    <col min="7965" max="7965" width="9.28515625" style="152" bestFit="1" customWidth="1"/>
    <col min="7966" max="7966" width="11.5703125" style="152" bestFit="1" customWidth="1"/>
    <col min="7967" max="7967" width="9.28515625" style="152" bestFit="1" customWidth="1"/>
    <col min="7968" max="7968" width="11.5703125" style="152" bestFit="1" customWidth="1"/>
    <col min="7969" max="7969" width="9.28515625" style="152" bestFit="1" customWidth="1"/>
    <col min="7970" max="7970" width="11.5703125" style="152" bestFit="1" customWidth="1"/>
    <col min="7971" max="7971" width="9.28515625" style="152" bestFit="1" customWidth="1"/>
    <col min="7972" max="7972" width="11.5703125" style="152" bestFit="1" customWidth="1"/>
    <col min="7973" max="7973" width="9.28515625" style="152" bestFit="1" customWidth="1"/>
    <col min="7974" max="7974" width="11.5703125" style="152" bestFit="1" customWidth="1"/>
    <col min="7975" max="7975" width="9.28515625" style="152" bestFit="1" customWidth="1"/>
    <col min="7976" max="7976" width="11.5703125" style="152" bestFit="1" customWidth="1"/>
    <col min="7977" max="7977" width="9.28515625" style="152" bestFit="1" customWidth="1"/>
    <col min="7978" max="7978" width="11.5703125" style="152" bestFit="1" customWidth="1"/>
    <col min="7979" max="7979" width="9.28515625" style="152" bestFit="1" customWidth="1"/>
    <col min="7980" max="7980" width="11.5703125" style="152" bestFit="1" customWidth="1"/>
    <col min="7981" max="7981" width="9.28515625" style="152" bestFit="1" customWidth="1"/>
    <col min="7982" max="7982" width="11.5703125" style="152" bestFit="1" customWidth="1"/>
    <col min="7983" max="7983" width="9.28515625" style="152" bestFit="1" customWidth="1"/>
    <col min="7984" max="7984" width="11.5703125" style="152" bestFit="1" customWidth="1"/>
    <col min="7985" max="7985" width="9.28515625" style="152" bestFit="1" customWidth="1"/>
    <col min="7986" max="7986" width="11.5703125" style="152" bestFit="1" customWidth="1"/>
    <col min="7987" max="7987" width="9.28515625" style="152" bestFit="1" customWidth="1"/>
    <col min="7988" max="8194" width="9.140625" style="152"/>
    <col min="8195" max="8195" width="29.42578125" style="152" bestFit="1" customWidth="1"/>
    <col min="8196" max="8196" width="11.5703125" style="152" bestFit="1" customWidth="1"/>
    <col min="8197" max="8197" width="9.28515625" style="152" bestFit="1" customWidth="1"/>
    <col min="8198" max="8198" width="11.5703125" style="152" bestFit="1" customWidth="1"/>
    <col min="8199" max="8199" width="9.28515625" style="152" bestFit="1" customWidth="1"/>
    <col min="8200" max="8200" width="11.5703125" style="152" bestFit="1" customWidth="1"/>
    <col min="8201" max="8201" width="9.28515625" style="152" bestFit="1" customWidth="1"/>
    <col min="8202" max="8202" width="11.5703125" style="152" bestFit="1" customWidth="1"/>
    <col min="8203" max="8203" width="9.28515625" style="152" bestFit="1" customWidth="1"/>
    <col min="8204" max="8204" width="11.5703125" style="152" bestFit="1" customWidth="1"/>
    <col min="8205" max="8205" width="9.28515625" style="152" bestFit="1" customWidth="1"/>
    <col min="8206" max="8206" width="11.5703125" style="152" bestFit="1" customWidth="1"/>
    <col min="8207" max="8207" width="9.28515625" style="152" bestFit="1" customWidth="1"/>
    <col min="8208" max="8208" width="11.5703125" style="152" bestFit="1" customWidth="1"/>
    <col min="8209" max="8209" width="9.28515625" style="152" bestFit="1" customWidth="1"/>
    <col min="8210" max="8210" width="11.5703125" style="152" bestFit="1" customWidth="1"/>
    <col min="8211" max="8211" width="9.28515625" style="152" bestFit="1" customWidth="1"/>
    <col min="8212" max="8212" width="11.5703125" style="152" bestFit="1" customWidth="1"/>
    <col min="8213" max="8213" width="9.28515625" style="152" bestFit="1" customWidth="1"/>
    <col min="8214" max="8214" width="11.5703125" style="152" bestFit="1" customWidth="1"/>
    <col min="8215" max="8215" width="9.28515625" style="152" bestFit="1" customWidth="1"/>
    <col min="8216" max="8216" width="11.5703125" style="152" bestFit="1" customWidth="1"/>
    <col min="8217" max="8217" width="9.28515625" style="152" bestFit="1" customWidth="1"/>
    <col min="8218" max="8218" width="11.5703125" style="152" bestFit="1" customWidth="1"/>
    <col min="8219" max="8219" width="9.28515625" style="152" bestFit="1" customWidth="1"/>
    <col min="8220" max="8220" width="11.5703125" style="152" bestFit="1" customWidth="1"/>
    <col min="8221" max="8221" width="9.28515625" style="152" bestFit="1" customWidth="1"/>
    <col min="8222" max="8222" width="11.5703125" style="152" bestFit="1" customWidth="1"/>
    <col min="8223" max="8223" width="9.28515625" style="152" bestFit="1" customWidth="1"/>
    <col min="8224" max="8224" width="11.5703125" style="152" bestFit="1" customWidth="1"/>
    <col min="8225" max="8225" width="9.28515625" style="152" bestFit="1" customWidth="1"/>
    <col min="8226" max="8226" width="11.5703125" style="152" bestFit="1" customWidth="1"/>
    <col min="8227" max="8227" width="9.28515625" style="152" bestFit="1" customWidth="1"/>
    <col min="8228" max="8228" width="11.5703125" style="152" bestFit="1" customWidth="1"/>
    <col min="8229" max="8229" width="9.28515625" style="152" bestFit="1" customWidth="1"/>
    <col min="8230" max="8230" width="11.5703125" style="152" bestFit="1" customWidth="1"/>
    <col min="8231" max="8231" width="9.28515625" style="152" bestFit="1" customWidth="1"/>
    <col min="8232" max="8232" width="11.5703125" style="152" bestFit="1" customWidth="1"/>
    <col min="8233" max="8233" width="9.28515625" style="152" bestFit="1" customWidth="1"/>
    <col min="8234" max="8234" width="11.5703125" style="152" bestFit="1" customWidth="1"/>
    <col min="8235" max="8235" width="9.28515625" style="152" bestFit="1" customWidth="1"/>
    <col min="8236" max="8236" width="11.5703125" style="152" bestFit="1" customWidth="1"/>
    <col min="8237" max="8237" width="9.28515625" style="152" bestFit="1" customWidth="1"/>
    <col min="8238" max="8238" width="11.5703125" style="152" bestFit="1" customWidth="1"/>
    <col min="8239" max="8239" width="9.28515625" style="152" bestFit="1" customWidth="1"/>
    <col min="8240" max="8240" width="11.5703125" style="152" bestFit="1" customWidth="1"/>
    <col min="8241" max="8241" width="9.28515625" style="152" bestFit="1" customWidth="1"/>
    <col min="8242" max="8242" width="11.5703125" style="152" bestFit="1" customWidth="1"/>
    <col min="8243" max="8243" width="9.28515625" style="152" bestFit="1" customWidth="1"/>
    <col min="8244" max="8450" width="9.140625" style="152"/>
    <col min="8451" max="8451" width="29.42578125" style="152" bestFit="1" customWidth="1"/>
    <col min="8452" max="8452" width="11.5703125" style="152" bestFit="1" customWidth="1"/>
    <col min="8453" max="8453" width="9.28515625" style="152" bestFit="1" customWidth="1"/>
    <col min="8454" max="8454" width="11.5703125" style="152" bestFit="1" customWidth="1"/>
    <col min="8455" max="8455" width="9.28515625" style="152" bestFit="1" customWidth="1"/>
    <col min="8456" max="8456" width="11.5703125" style="152" bestFit="1" customWidth="1"/>
    <col min="8457" max="8457" width="9.28515625" style="152" bestFit="1" customWidth="1"/>
    <col min="8458" max="8458" width="11.5703125" style="152" bestFit="1" customWidth="1"/>
    <col min="8459" max="8459" width="9.28515625" style="152" bestFit="1" customWidth="1"/>
    <col min="8460" max="8460" width="11.5703125" style="152" bestFit="1" customWidth="1"/>
    <col min="8461" max="8461" width="9.28515625" style="152" bestFit="1" customWidth="1"/>
    <col min="8462" max="8462" width="11.5703125" style="152" bestFit="1" customWidth="1"/>
    <col min="8463" max="8463" width="9.28515625" style="152" bestFit="1" customWidth="1"/>
    <col min="8464" max="8464" width="11.5703125" style="152" bestFit="1" customWidth="1"/>
    <col min="8465" max="8465" width="9.28515625" style="152" bestFit="1" customWidth="1"/>
    <col min="8466" max="8466" width="11.5703125" style="152" bestFit="1" customWidth="1"/>
    <col min="8467" max="8467" width="9.28515625" style="152" bestFit="1" customWidth="1"/>
    <col min="8468" max="8468" width="11.5703125" style="152" bestFit="1" customWidth="1"/>
    <col min="8469" max="8469" width="9.28515625" style="152" bestFit="1" customWidth="1"/>
    <col min="8470" max="8470" width="11.5703125" style="152" bestFit="1" customWidth="1"/>
    <col min="8471" max="8471" width="9.28515625" style="152" bestFit="1" customWidth="1"/>
    <col min="8472" max="8472" width="11.5703125" style="152" bestFit="1" customWidth="1"/>
    <col min="8473" max="8473" width="9.28515625" style="152" bestFit="1" customWidth="1"/>
    <col min="8474" max="8474" width="11.5703125" style="152" bestFit="1" customWidth="1"/>
    <col min="8475" max="8475" width="9.28515625" style="152" bestFit="1" customWidth="1"/>
    <col min="8476" max="8476" width="11.5703125" style="152" bestFit="1" customWidth="1"/>
    <col min="8477" max="8477" width="9.28515625" style="152" bestFit="1" customWidth="1"/>
    <col min="8478" max="8478" width="11.5703125" style="152" bestFit="1" customWidth="1"/>
    <col min="8479" max="8479" width="9.28515625" style="152" bestFit="1" customWidth="1"/>
    <col min="8480" max="8480" width="11.5703125" style="152" bestFit="1" customWidth="1"/>
    <col min="8481" max="8481" width="9.28515625" style="152" bestFit="1" customWidth="1"/>
    <col min="8482" max="8482" width="11.5703125" style="152" bestFit="1" customWidth="1"/>
    <col min="8483" max="8483" width="9.28515625" style="152" bestFit="1" customWidth="1"/>
    <col min="8484" max="8484" width="11.5703125" style="152" bestFit="1" customWidth="1"/>
    <col min="8485" max="8485" width="9.28515625" style="152" bestFit="1" customWidth="1"/>
    <col min="8486" max="8486" width="11.5703125" style="152" bestFit="1" customWidth="1"/>
    <col min="8487" max="8487" width="9.28515625" style="152" bestFit="1" customWidth="1"/>
    <col min="8488" max="8488" width="11.5703125" style="152" bestFit="1" customWidth="1"/>
    <col min="8489" max="8489" width="9.28515625" style="152" bestFit="1" customWidth="1"/>
    <col min="8490" max="8490" width="11.5703125" style="152" bestFit="1" customWidth="1"/>
    <col min="8491" max="8491" width="9.28515625" style="152" bestFit="1" customWidth="1"/>
    <col min="8492" max="8492" width="11.5703125" style="152" bestFit="1" customWidth="1"/>
    <col min="8493" max="8493" width="9.28515625" style="152" bestFit="1" customWidth="1"/>
    <col min="8494" max="8494" width="11.5703125" style="152" bestFit="1" customWidth="1"/>
    <col min="8495" max="8495" width="9.28515625" style="152" bestFit="1" customWidth="1"/>
    <col min="8496" max="8496" width="11.5703125" style="152" bestFit="1" customWidth="1"/>
    <col min="8497" max="8497" width="9.28515625" style="152" bestFit="1" customWidth="1"/>
    <col min="8498" max="8498" width="11.5703125" style="152" bestFit="1" customWidth="1"/>
    <col min="8499" max="8499" width="9.28515625" style="152" bestFit="1" customWidth="1"/>
    <col min="8500" max="8706" width="9.140625" style="152"/>
    <col min="8707" max="8707" width="29.42578125" style="152" bestFit="1" customWidth="1"/>
    <col min="8708" max="8708" width="11.5703125" style="152" bestFit="1" customWidth="1"/>
    <col min="8709" max="8709" width="9.28515625" style="152" bestFit="1" customWidth="1"/>
    <col min="8710" max="8710" width="11.5703125" style="152" bestFit="1" customWidth="1"/>
    <col min="8711" max="8711" width="9.28515625" style="152" bestFit="1" customWidth="1"/>
    <col min="8712" max="8712" width="11.5703125" style="152" bestFit="1" customWidth="1"/>
    <col min="8713" max="8713" width="9.28515625" style="152" bestFit="1" customWidth="1"/>
    <col min="8714" max="8714" width="11.5703125" style="152" bestFit="1" customWidth="1"/>
    <col min="8715" max="8715" width="9.28515625" style="152" bestFit="1" customWidth="1"/>
    <col min="8716" max="8716" width="11.5703125" style="152" bestFit="1" customWidth="1"/>
    <col min="8717" max="8717" width="9.28515625" style="152" bestFit="1" customWidth="1"/>
    <col min="8718" max="8718" width="11.5703125" style="152" bestFit="1" customWidth="1"/>
    <col min="8719" max="8719" width="9.28515625" style="152" bestFit="1" customWidth="1"/>
    <col min="8720" max="8720" width="11.5703125" style="152" bestFit="1" customWidth="1"/>
    <col min="8721" max="8721" width="9.28515625" style="152" bestFit="1" customWidth="1"/>
    <col min="8722" max="8722" width="11.5703125" style="152" bestFit="1" customWidth="1"/>
    <col min="8723" max="8723" width="9.28515625" style="152" bestFit="1" customWidth="1"/>
    <col min="8724" max="8724" width="11.5703125" style="152" bestFit="1" customWidth="1"/>
    <col min="8725" max="8725" width="9.28515625" style="152" bestFit="1" customWidth="1"/>
    <col min="8726" max="8726" width="11.5703125" style="152" bestFit="1" customWidth="1"/>
    <col min="8727" max="8727" width="9.28515625" style="152" bestFit="1" customWidth="1"/>
    <col min="8728" max="8728" width="11.5703125" style="152" bestFit="1" customWidth="1"/>
    <col min="8729" max="8729" width="9.28515625" style="152" bestFit="1" customWidth="1"/>
    <col min="8730" max="8730" width="11.5703125" style="152" bestFit="1" customWidth="1"/>
    <col min="8731" max="8731" width="9.28515625" style="152" bestFit="1" customWidth="1"/>
    <col min="8732" max="8732" width="11.5703125" style="152" bestFit="1" customWidth="1"/>
    <col min="8733" max="8733" width="9.28515625" style="152" bestFit="1" customWidth="1"/>
    <col min="8734" max="8734" width="11.5703125" style="152" bestFit="1" customWidth="1"/>
    <col min="8735" max="8735" width="9.28515625" style="152" bestFit="1" customWidth="1"/>
    <col min="8736" max="8736" width="11.5703125" style="152" bestFit="1" customWidth="1"/>
    <col min="8737" max="8737" width="9.28515625" style="152" bestFit="1" customWidth="1"/>
    <col min="8738" max="8738" width="11.5703125" style="152" bestFit="1" customWidth="1"/>
    <col min="8739" max="8739" width="9.28515625" style="152" bestFit="1" customWidth="1"/>
    <col min="8740" max="8740" width="11.5703125" style="152" bestFit="1" customWidth="1"/>
    <col min="8741" max="8741" width="9.28515625" style="152" bestFit="1" customWidth="1"/>
    <col min="8742" max="8742" width="11.5703125" style="152" bestFit="1" customWidth="1"/>
    <col min="8743" max="8743" width="9.28515625" style="152" bestFit="1" customWidth="1"/>
    <col min="8744" max="8744" width="11.5703125" style="152" bestFit="1" customWidth="1"/>
    <col min="8745" max="8745" width="9.28515625" style="152" bestFit="1" customWidth="1"/>
    <col min="8746" max="8746" width="11.5703125" style="152" bestFit="1" customWidth="1"/>
    <col min="8747" max="8747" width="9.28515625" style="152" bestFit="1" customWidth="1"/>
    <col min="8748" max="8748" width="11.5703125" style="152" bestFit="1" customWidth="1"/>
    <col min="8749" max="8749" width="9.28515625" style="152" bestFit="1" customWidth="1"/>
    <col min="8750" max="8750" width="11.5703125" style="152" bestFit="1" customWidth="1"/>
    <col min="8751" max="8751" width="9.28515625" style="152" bestFit="1" customWidth="1"/>
    <col min="8752" max="8752" width="11.5703125" style="152" bestFit="1" customWidth="1"/>
    <col min="8753" max="8753" width="9.28515625" style="152" bestFit="1" customWidth="1"/>
    <col min="8754" max="8754" width="11.5703125" style="152" bestFit="1" customWidth="1"/>
    <col min="8755" max="8755" width="9.28515625" style="152" bestFit="1" customWidth="1"/>
    <col min="8756" max="8962" width="9.140625" style="152"/>
    <col min="8963" max="8963" width="29.42578125" style="152" bestFit="1" customWidth="1"/>
    <col min="8964" max="8964" width="11.5703125" style="152" bestFit="1" customWidth="1"/>
    <col min="8965" max="8965" width="9.28515625" style="152" bestFit="1" customWidth="1"/>
    <col min="8966" max="8966" width="11.5703125" style="152" bestFit="1" customWidth="1"/>
    <col min="8967" max="8967" width="9.28515625" style="152" bestFit="1" customWidth="1"/>
    <col min="8968" max="8968" width="11.5703125" style="152" bestFit="1" customWidth="1"/>
    <col min="8969" max="8969" width="9.28515625" style="152" bestFit="1" customWidth="1"/>
    <col min="8970" max="8970" width="11.5703125" style="152" bestFit="1" customWidth="1"/>
    <col min="8971" max="8971" width="9.28515625" style="152" bestFit="1" customWidth="1"/>
    <col min="8972" max="8972" width="11.5703125" style="152" bestFit="1" customWidth="1"/>
    <col min="8973" max="8973" width="9.28515625" style="152" bestFit="1" customWidth="1"/>
    <col min="8974" max="8974" width="11.5703125" style="152" bestFit="1" customWidth="1"/>
    <col min="8975" max="8975" width="9.28515625" style="152" bestFit="1" customWidth="1"/>
    <col min="8976" max="8976" width="11.5703125" style="152" bestFit="1" customWidth="1"/>
    <col min="8977" max="8977" width="9.28515625" style="152" bestFit="1" customWidth="1"/>
    <col min="8978" max="8978" width="11.5703125" style="152" bestFit="1" customWidth="1"/>
    <col min="8979" max="8979" width="9.28515625" style="152" bestFit="1" customWidth="1"/>
    <col min="8980" max="8980" width="11.5703125" style="152" bestFit="1" customWidth="1"/>
    <col min="8981" max="8981" width="9.28515625" style="152" bestFit="1" customWidth="1"/>
    <col min="8982" max="8982" width="11.5703125" style="152" bestFit="1" customWidth="1"/>
    <col min="8983" max="8983" width="9.28515625" style="152" bestFit="1" customWidth="1"/>
    <col min="8984" max="8984" width="11.5703125" style="152" bestFit="1" customWidth="1"/>
    <col min="8985" max="8985" width="9.28515625" style="152" bestFit="1" customWidth="1"/>
    <col min="8986" max="8986" width="11.5703125" style="152" bestFit="1" customWidth="1"/>
    <col min="8987" max="8987" width="9.28515625" style="152" bestFit="1" customWidth="1"/>
    <col min="8988" max="8988" width="11.5703125" style="152" bestFit="1" customWidth="1"/>
    <col min="8989" max="8989" width="9.28515625" style="152" bestFit="1" customWidth="1"/>
    <col min="8990" max="8990" width="11.5703125" style="152" bestFit="1" customWidth="1"/>
    <col min="8991" max="8991" width="9.28515625" style="152" bestFit="1" customWidth="1"/>
    <col min="8992" max="8992" width="11.5703125" style="152" bestFit="1" customWidth="1"/>
    <col min="8993" max="8993" width="9.28515625" style="152" bestFit="1" customWidth="1"/>
    <col min="8994" max="8994" width="11.5703125" style="152" bestFit="1" customWidth="1"/>
    <col min="8995" max="8995" width="9.28515625" style="152" bestFit="1" customWidth="1"/>
    <col min="8996" max="8996" width="11.5703125" style="152" bestFit="1" customWidth="1"/>
    <col min="8997" max="8997" width="9.28515625" style="152" bestFit="1" customWidth="1"/>
    <col min="8998" max="8998" width="11.5703125" style="152" bestFit="1" customWidth="1"/>
    <col min="8999" max="8999" width="9.28515625" style="152" bestFit="1" customWidth="1"/>
    <col min="9000" max="9000" width="11.5703125" style="152" bestFit="1" customWidth="1"/>
    <col min="9001" max="9001" width="9.28515625" style="152" bestFit="1" customWidth="1"/>
    <col min="9002" max="9002" width="11.5703125" style="152" bestFit="1" customWidth="1"/>
    <col min="9003" max="9003" width="9.28515625" style="152" bestFit="1" customWidth="1"/>
    <col min="9004" max="9004" width="11.5703125" style="152" bestFit="1" customWidth="1"/>
    <col min="9005" max="9005" width="9.28515625" style="152" bestFit="1" customWidth="1"/>
    <col min="9006" max="9006" width="11.5703125" style="152" bestFit="1" customWidth="1"/>
    <col min="9007" max="9007" width="9.28515625" style="152" bestFit="1" customWidth="1"/>
    <col min="9008" max="9008" width="11.5703125" style="152" bestFit="1" customWidth="1"/>
    <col min="9009" max="9009" width="9.28515625" style="152" bestFit="1" customWidth="1"/>
    <col min="9010" max="9010" width="11.5703125" style="152" bestFit="1" customWidth="1"/>
    <col min="9011" max="9011" width="9.28515625" style="152" bestFit="1" customWidth="1"/>
    <col min="9012" max="9218" width="9.140625" style="152"/>
    <col min="9219" max="9219" width="29.42578125" style="152" bestFit="1" customWidth="1"/>
    <col min="9220" max="9220" width="11.5703125" style="152" bestFit="1" customWidth="1"/>
    <col min="9221" max="9221" width="9.28515625" style="152" bestFit="1" customWidth="1"/>
    <col min="9222" max="9222" width="11.5703125" style="152" bestFit="1" customWidth="1"/>
    <col min="9223" max="9223" width="9.28515625" style="152" bestFit="1" customWidth="1"/>
    <col min="9224" max="9224" width="11.5703125" style="152" bestFit="1" customWidth="1"/>
    <col min="9225" max="9225" width="9.28515625" style="152" bestFit="1" customWidth="1"/>
    <col min="9226" max="9226" width="11.5703125" style="152" bestFit="1" customWidth="1"/>
    <col min="9227" max="9227" width="9.28515625" style="152" bestFit="1" customWidth="1"/>
    <col min="9228" max="9228" width="11.5703125" style="152" bestFit="1" customWidth="1"/>
    <col min="9229" max="9229" width="9.28515625" style="152" bestFit="1" customWidth="1"/>
    <col min="9230" max="9230" width="11.5703125" style="152" bestFit="1" customWidth="1"/>
    <col min="9231" max="9231" width="9.28515625" style="152" bestFit="1" customWidth="1"/>
    <col min="9232" max="9232" width="11.5703125" style="152" bestFit="1" customWidth="1"/>
    <col min="9233" max="9233" width="9.28515625" style="152" bestFit="1" customWidth="1"/>
    <col min="9234" max="9234" width="11.5703125" style="152" bestFit="1" customWidth="1"/>
    <col min="9235" max="9235" width="9.28515625" style="152" bestFit="1" customWidth="1"/>
    <col min="9236" max="9236" width="11.5703125" style="152" bestFit="1" customWidth="1"/>
    <col min="9237" max="9237" width="9.28515625" style="152" bestFit="1" customWidth="1"/>
    <col min="9238" max="9238" width="11.5703125" style="152" bestFit="1" customWidth="1"/>
    <col min="9239" max="9239" width="9.28515625" style="152" bestFit="1" customWidth="1"/>
    <col min="9240" max="9240" width="11.5703125" style="152" bestFit="1" customWidth="1"/>
    <col min="9241" max="9241" width="9.28515625" style="152" bestFit="1" customWidth="1"/>
    <col min="9242" max="9242" width="11.5703125" style="152" bestFit="1" customWidth="1"/>
    <col min="9243" max="9243" width="9.28515625" style="152" bestFit="1" customWidth="1"/>
    <col min="9244" max="9244" width="11.5703125" style="152" bestFit="1" customWidth="1"/>
    <col min="9245" max="9245" width="9.28515625" style="152" bestFit="1" customWidth="1"/>
    <col min="9246" max="9246" width="11.5703125" style="152" bestFit="1" customWidth="1"/>
    <col min="9247" max="9247" width="9.28515625" style="152" bestFit="1" customWidth="1"/>
    <col min="9248" max="9248" width="11.5703125" style="152" bestFit="1" customWidth="1"/>
    <col min="9249" max="9249" width="9.28515625" style="152" bestFit="1" customWidth="1"/>
    <col min="9250" max="9250" width="11.5703125" style="152" bestFit="1" customWidth="1"/>
    <col min="9251" max="9251" width="9.28515625" style="152" bestFit="1" customWidth="1"/>
    <col min="9252" max="9252" width="11.5703125" style="152" bestFit="1" customWidth="1"/>
    <col min="9253" max="9253" width="9.28515625" style="152" bestFit="1" customWidth="1"/>
    <col min="9254" max="9254" width="11.5703125" style="152" bestFit="1" customWidth="1"/>
    <col min="9255" max="9255" width="9.28515625" style="152" bestFit="1" customWidth="1"/>
    <col min="9256" max="9256" width="11.5703125" style="152" bestFit="1" customWidth="1"/>
    <col min="9257" max="9257" width="9.28515625" style="152" bestFit="1" customWidth="1"/>
    <col min="9258" max="9258" width="11.5703125" style="152" bestFit="1" customWidth="1"/>
    <col min="9259" max="9259" width="9.28515625" style="152" bestFit="1" customWidth="1"/>
    <col min="9260" max="9260" width="11.5703125" style="152" bestFit="1" customWidth="1"/>
    <col min="9261" max="9261" width="9.28515625" style="152" bestFit="1" customWidth="1"/>
    <col min="9262" max="9262" width="11.5703125" style="152" bestFit="1" customWidth="1"/>
    <col min="9263" max="9263" width="9.28515625" style="152" bestFit="1" customWidth="1"/>
    <col min="9264" max="9264" width="11.5703125" style="152" bestFit="1" customWidth="1"/>
    <col min="9265" max="9265" width="9.28515625" style="152" bestFit="1" customWidth="1"/>
    <col min="9266" max="9266" width="11.5703125" style="152" bestFit="1" customWidth="1"/>
    <col min="9267" max="9267" width="9.28515625" style="152" bestFit="1" customWidth="1"/>
    <col min="9268" max="9474" width="9.140625" style="152"/>
    <col min="9475" max="9475" width="29.42578125" style="152" bestFit="1" customWidth="1"/>
    <col min="9476" max="9476" width="11.5703125" style="152" bestFit="1" customWidth="1"/>
    <col min="9477" max="9477" width="9.28515625" style="152" bestFit="1" customWidth="1"/>
    <col min="9478" max="9478" width="11.5703125" style="152" bestFit="1" customWidth="1"/>
    <col min="9479" max="9479" width="9.28515625" style="152" bestFit="1" customWidth="1"/>
    <col min="9480" max="9480" width="11.5703125" style="152" bestFit="1" customWidth="1"/>
    <col min="9481" max="9481" width="9.28515625" style="152" bestFit="1" customWidth="1"/>
    <col min="9482" max="9482" width="11.5703125" style="152" bestFit="1" customWidth="1"/>
    <col min="9483" max="9483" width="9.28515625" style="152" bestFit="1" customWidth="1"/>
    <col min="9484" max="9484" width="11.5703125" style="152" bestFit="1" customWidth="1"/>
    <col min="9485" max="9485" width="9.28515625" style="152" bestFit="1" customWidth="1"/>
    <col min="9486" max="9486" width="11.5703125" style="152" bestFit="1" customWidth="1"/>
    <col min="9487" max="9487" width="9.28515625" style="152" bestFit="1" customWidth="1"/>
    <col min="9488" max="9488" width="11.5703125" style="152" bestFit="1" customWidth="1"/>
    <col min="9489" max="9489" width="9.28515625" style="152" bestFit="1" customWidth="1"/>
    <col min="9490" max="9490" width="11.5703125" style="152" bestFit="1" customWidth="1"/>
    <col min="9491" max="9491" width="9.28515625" style="152" bestFit="1" customWidth="1"/>
    <col min="9492" max="9492" width="11.5703125" style="152" bestFit="1" customWidth="1"/>
    <col min="9493" max="9493" width="9.28515625" style="152" bestFit="1" customWidth="1"/>
    <col min="9494" max="9494" width="11.5703125" style="152" bestFit="1" customWidth="1"/>
    <col min="9495" max="9495" width="9.28515625" style="152" bestFit="1" customWidth="1"/>
    <col min="9496" max="9496" width="11.5703125" style="152" bestFit="1" customWidth="1"/>
    <col min="9497" max="9497" width="9.28515625" style="152" bestFit="1" customWidth="1"/>
    <col min="9498" max="9498" width="11.5703125" style="152" bestFit="1" customWidth="1"/>
    <col min="9499" max="9499" width="9.28515625" style="152" bestFit="1" customWidth="1"/>
    <col min="9500" max="9500" width="11.5703125" style="152" bestFit="1" customWidth="1"/>
    <col min="9501" max="9501" width="9.28515625" style="152" bestFit="1" customWidth="1"/>
    <col min="9502" max="9502" width="11.5703125" style="152" bestFit="1" customWidth="1"/>
    <col min="9503" max="9503" width="9.28515625" style="152" bestFit="1" customWidth="1"/>
    <col min="9504" max="9504" width="11.5703125" style="152" bestFit="1" customWidth="1"/>
    <col min="9505" max="9505" width="9.28515625" style="152" bestFit="1" customWidth="1"/>
    <col min="9506" max="9506" width="11.5703125" style="152" bestFit="1" customWidth="1"/>
    <col min="9507" max="9507" width="9.28515625" style="152" bestFit="1" customWidth="1"/>
    <col min="9508" max="9508" width="11.5703125" style="152" bestFit="1" customWidth="1"/>
    <col min="9509" max="9509" width="9.28515625" style="152" bestFit="1" customWidth="1"/>
    <col min="9510" max="9510" width="11.5703125" style="152" bestFit="1" customWidth="1"/>
    <col min="9511" max="9511" width="9.28515625" style="152" bestFit="1" customWidth="1"/>
    <col min="9512" max="9512" width="11.5703125" style="152" bestFit="1" customWidth="1"/>
    <col min="9513" max="9513" width="9.28515625" style="152" bestFit="1" customWidth="1"/>
    <col min="9514" max="9514" width="11.5703125" style="152" bestFit="1" customWidth="1"/>
    <col min="9515" max="9515" width="9.28515625" style="152" bestFit="1" customWidth="1"/>
    <col min="9516" max="9516" width="11.5703125" style="152" bestFit="1" customWidth="1"/>
    <col min="9517" max="9517" width="9.28515625" style="152" bestFit="1" customWidth="1"/>
    <col min="9518" max="9518" width="11.5703125" style="152" bestFit="1" customWidth="1"/>
    <col min="9519" max="9519" width="9.28515625" style="152" bestFit="1" customWidth="1"/>
    <col min="9520" max="9520" width="11.5703125" style="152" bestFit="1" customWidth="1"/>
    <col min="9521" max="9521" width="9.28515625" style="152" bestFit="1" customWidth="1"/>
    <col min="9522" max="9522" width="11.5703125" style="152" bestFit="1" customWidth="1"/>
    <col min="9523" max="9523" width="9.28515625" style="152" bestFit="1" customWidth="1"/>
    <col min="9524" max="9730" width="9.140625" style="152"/>
    <col min="9731" max="9731" width="29.42578125" style="152" bestFit="1" customWidth="1"/>
    <col min="9732" max="9732" width="11.5703125" style="152" bestFit="1" customWidth="1"/>
    <col min="9733" max="9733" width="9.28515625" style="152" bestFit="1" customWidth="1"/>
    <col min="9734" max="9734" width="11.5703125" style="152" bestFit="1" customWidth="1"/>
    <col min="9735" max="9735" width="9.28515625" style="152" bestFit="1" customWidth="1"/>
    <col min="9736" max="9736" width="11.5703125" style="152" bestFit="1" customWidth="1"/>
    <col min="9737" max="9737" width="9.28515625" style="152" bestFit="1" customWidth="1"/>
    <col min="9738" max="9738" width="11.5703125" style="152" bestFit="1" customWidth="1"/>
    <col min="9739" max="9739" width="9.28515625" style="152" bestFit="1" customWidth="1"/>
    <col min="9740" max="9740" width="11.5703125" style="152" bestFit="1" customWidth="1"/>
    <col min="9741" max="9741" width="9.28515625" style="152" bestFit="1" customWidth="1"/>
    <col min="9742" max="9742" width="11.5703125" style="152" bestFit="1" customWidth="1"/>
    <col min="9743" max="9743" width="9.28515625" style="152" bestFit="1" customWidth="1"/>
    <col min="9744" max="9744" width="11.5703125" style="152" bestFit="1" customWidth="1"/>
    <col min="9745" max="9745" width="9.28515625" style="152" bestFit="1" customWidth="1"/>
    <col min="9746" max="9746" width="11.5703125" style="152" bestFit="1" customWidth="1"/>
    <col min="9747" max="9747" width="9.28515625" style="152" bestFit="1" customWidth="1"/>
    <col min="9748" max="9748" width="11.5703125" style="152" bestFit="1" customWidth="1"/>
    <col min="9749" max="9749" width="9.28515625" style="152" bestFit="1" customWidth="1"/>
    <col min="9750" max="9750" width="11.5703125" style="152" bestFit="1" customWidth="1"/>
    <col min="9751" max="9751" width="9.28515625" style="152" bestFit="1" customWidth="1"/>
    <col min="9752" max="9752" width="11.5703125" style="152" bestFit="1" customWidth="1"/>
    <col min="9753" max="9753" width="9.28515625" style="152" bestFit="1" customWidth="1"/>
    <col min="9754" max="9754" width="11.5703125" style="152" bestFit="1" customWidth="1"/>
    <col min="9755" max="9755" width="9.28515625" style="152" bestFit="1" customWidth="1"/>
    <col min="9756" max="9756" width="11.5703125" style="152" bestFit="1" customWidth="1"/>
    <col min="9757" max="9757" width="9.28515625" style="152" bestFit="1" customWidth="1"/>
    <col min="9758" max="9758" width="11.5703125" style="152" bestFit="1" customWidth="1"/>
    <col min="9759" max="9759" width="9.28515625" style="152" bestFit="1" customWidth="1"/>
    <col min="9760" max="9760" width="11.5703125" style="152" bestFit="1" customWidth="1"/>
    <col min="9761" max="9761" width="9.28515625" style="152" bestFit="1" customWidth="1"/>
    <col min="9762" max="9762" width="11.5703125" style="152" bestFit="1" customWidth="1"/>
    <col min="9763" max="9763" width="9.28515625" style="152" bestFit="1" customWidth="1"/>
    <col min="9764" max="9764" width="11.5703125" style="152" bestFit="1" customWidth="1"/>
    <col min="9765" max="9765" width="9.28515625" style="152" bestFit="1" customWidth="1"/>
    <col min="9766" max="9766" width="11.5703125" style="152" bestFit="1" customWidth="1"/>
    <col min="9767" max="9767" width="9.28515625" style="152" bestFit="1" customWidth="1"/>
    <col min="9768" max="9768" width="11.5703125" style="152" bestFit="1" customWidth="1"/>
    <col min="9769" max="9769" width="9.28515625" style="152" bestFit="1" customWidth="1"/>
    <col min="9770" max="9770" width="11.5703125" style="152" bestFit="1" customWidth="1"/>
    <col min="9771" max="9771" width="9.28515625" style="152" bestFit="1" customWidth="1"/>
    <col min="9772" max="9772" width="11.5703125" style="152" bestFit="1" customWidth="1"/>
    <col min="9773" max="9773" width="9.28515625" style="152" bestFit="1" customWidth="1"/>
    <col min="9774" max="9774" width="11.5703125" style="152" bestFit="1" customWidth="1"/>
    <col min="9775" max="9775" width="9.28515625" style="152" bestFit="1" customWidth="1"/>
    <col min="9776" max="9776" width="11.5703125" style="152" bestFit="1" customWidth="1"/>
    <col min="9777" max="9777" width="9.28515625" style="152" bestFit="1" customWidth="1"/>
    <col min="9778" max="9778" width="11.5703125" style="152" bestFit="1" customWidth="1"/>
    <col min="9779" max="9779" width="9.28515625" style="152" bestFit="1" customWidth="1"/>
    <col min="9780" max="9986" width="9.140625" style="152"/>
    <col min="9987" max="9987" width="29.42578125" style="152" bestFit="1" customWidth="1"/>
    <col min="9988" max="9988" width="11.5703125" style="152" bestFit="1" customWidth="1"/>
    <col min="9989" max="9989" width="9.28515625" style="152" bestFit="1" customWidth="1"/>
    <col min="9990" max="9990" width="11.5703125" style="152" bestFit="1" customWidth="1"/>
    <col min="9991" max="9991" width="9.28515625" style="152" bestFit="1" customWidth="1"/>
    <col min="9992" max="9992" width="11.5703125" style="152" bestFit="1" customWidth="1"/>
    <col min="9993" max="9993" width="9.28515625" style="152" bestFit="1" customWidth="1"/>
    <col min="9994" max="9994" width="11.5703125" style="152" bestFit="1" customWidth="1"/>
    <col min="9995" max="9995" width="9.28515625" style="152" bestFit="1" customWidth="1"/>
    <col min="9996" max="9996" width="11.5703125" style="152" bestFit="1" customWidth="1"/>
    <col min="9997" max="9997" width="9.28515625" style="152" bestFit="1" customWidth="1"/>
    <col min="9998" max="9998" width="11.5703125" style="152" bestFit="1" customWidth="1"/>
    <col min="9999" max="9999" width="9.28515625" style="152" bestFit="1" customWidth="1"/>
    <col min="10000" max="10000" width="11.5703125" style="152" bestFit="1" customWidth="1"/>
    <col min="10001" max="10001" width="9.28515625" style="152" bestFit="1" customWidth="1"/>
    <col min="10002" max="10002" width="11.5703125" style="152" bestFit="1" customWidth="1"/>
    <col min="10003" max="10003" width="9.28515625" style="152" bestFit="1" customWidth="1"/>
    <col min="10004" max="10004" width="11.5703125" style="152" bestFit="1" customWidth="1"/>
    <col min="10005" max="10005" width="9.28515625" style="152" bestFit="1" customWidth="1"/>
    <col min="10006" max="10006" width="11.5703125" style="152" bestFit="1" customWidth="1"/>
    <col min="10007" max="10007" width="9.28515625" style="152" bestFit="1" customWidth="1"/>
    <col min="10008" max="10008" width="11.5703125" style="152" bestFit="1" customWidth="1"/>
    <col min="10009" max="10009" width="9.28515625" style="152" bestFit="1" customWidth="1"/>
    <col min="10010" max="10010" width="11.5703125" style="152" bestFit="1" customWidth="1"/>
    <col min="10011" max="10011" width="9.28515625" style="152" bestFit="1" customWidth="1"/>
    <col min="10012" max="10012" width="11.5703125" style="152" bestFit="1" customWidth="1"/>
    <col min="10013" max="10013" width="9.28515625" style="152" bestFit="1" customWidth="1"/>
    <col min="10014" max="10014" width="11.5703125" style="152" bestFit="1" customWidth="1"/>
    <col min="10015" max="10015" width="9.28515625" style="152" bestFit="1" customWidth="1"/>
    <col min="10016" max="10016" width="11.5703125" style="152" bestFit="1" customWidth="1"/>
    <col min="10017" max="10017" width="9.28515625" style="152" bestFit="1" customWidth="1"/>
    <col min="10018" max="10018" width="11.5703125" style="152" bestFit="1" customWidth="1"/>
    <col min="10019" max="10019" width="9.28515625" style="152" bestFit="1" customWidth="1"/>
    <col min="10020" max="10020" width="11.5703125" style="152" bestFit="1" customWidth="1"/>
    <col min="10021" max="10021" width="9.28515625" style="152" bestFit="1" customWidth="1"/>
    <col min="10022" max="10022" width="11.5703125" style="152" bestFit="1" customWidth="1"/>
    <col min="10023" max="10023" width="9.28515625" style="152" bestFit="1" customWidth="1"/>
    <col min="10024" max="10024" width="11.5703125" style="152" bestFit="1" customWidth="1"/>
    <col min="10025" max="10025" width="9.28515625" style="152" bestFit="1" customWidth="1"/>
    <col min="10026" max="10026" width="11.5703125" style="152" bestFit="1" customWidth="1"/>
    <col min="10027" max="10027" width="9.28515625" style="152" bestFit="1" customWidth="1"/>
    <col min="10028" max="10028" width="11.5703125" style="152" bestFit="1" customWidth="1"/>
    <col min="10029" max="10029" width="9.28515625" style="152" bestFit="1" customWidth="1"/>
    <col min="10030" max="10030" width="11.5703125" style="152" bestFit="1" customWidth="1"/>
    <col min="10031" max="10031" width="9.28515625" style="152" bestFit="1" customWidth="1"/>
    <col min="10032" max="10032" width="11.5703125" style="152" bestFit="1" customWidth="1"/>
    <col min="10033" max="10033" width="9.28515625" style="152" bestFit="1" customWidth="1"/>
    <col min="10034" max="10034" width="11.5703125" style="152" bestFit="1" customWidth="1"/>
    <col min="10035" max="10035" width="9.28515625" style="152" bestFit="1" customWidth="1"/>
    <col min="10036" max="10242" width="9.140625" style="152"/>
    <col min="10243" max="10243" width="29.42578125" style="152" bestFit="1" customWidth="1"/>
    <col min="10244" max="10244" width="11.5703125" style="152" bestFit="1" customWidth="1"/>
    <col min="10245" max="10245" width="9.28515625" style="152" bestFit="1" customWidth="1"/>
    <col min="10246" max="10246" width="11.5703125" style="152" bestFit="1" customWidth="1"/>
    <col min="10247" max="10247" width="9.28515625" style="152" bestFit="1" customWidth="1"/>
    <col min="10248" max="10248" width="11.5703125" style="152" bestFit="1" customWidth="1"/>
    <col min="10249" max="10249" width="9.28515625" style="152" bestFit="1" customWidth="1"/>
    <col min="10250" max="10250" width="11.5703125" style="152" bestFit="1" customWidth="1"/>
    <col min="10251" max="10251" width="9.28515625" style="152" bestFit="1" customWidth="1"/>
    <col min="10252" max="10252" width="11.5703125" style="152" bestFit="1" customWidth="1"/>
    <col min="10253" max="10253" width="9.28515625" style="152" bestFit="1" customWidth="1"/>
    <col min="10254" max="10254" width="11.5703125" style="152" bestFit="1" customWidth="1"/>
    <col min="10255" max="10255" width="9.28515625" style="152" bestFit="1" customWidth="1"/>
    <col min="10256" max="10256" width="11.5703125" style="152" bestFit="1" customWidth="1"/>
    <col min="10257" max="10257" width="9.28515625" style="152" bestFit="1" customWidth="1"/>
    <col min="10258" max="10258" width="11.5703125" style="152" bestFit="1" customWidth="1"/>
    <col min="10259" max="10259" width="9.28515625" style="152" bestFit="1" customWidth="1"/>
    <col min="10260" max="10260" width="11.5703125" style="152" bestFit="1" customWidth="1"/>
    <col min="10261" max="10261" width="9.28515625" style="152" bestFit="1" customWidth="1"/>
    <col min="10262" max="10262" width="11.5703125" style="152" bestFit="1" customWidth="1"/>
    <col min="10263" max="10263" width="9.28515625" style="152" bestFit="1" customWidth="1"/>
    <col min="10264" max="10264" width="11.5703125" style="152" bestFit="1" customWidth="1"/>
    <col min="10265" max="10265" width="9.28515625" style="152" bestFit="1" customWidth="1"/>
    <col min="10266" max="10266" width="11.5703125" style="152" bestFit="1" customWidth="1"/>
    <col min="10267" max="10267" width="9.28515625" style="152" bestFit="1" customWidth="1"/>
    <col min="10268" max="10268" width="11.5703125" style="152" bestFit="1" customWidth="1"/>
    <col min="10269" max="10269" width="9.28515625" style="152" bestFit="1" customWidth="1"/>
    <col min="10270" max="10270" width="11.5703125" style="152" bestFit="1" customWidth="1"/>
    <col min="10271" max="10271" width="9.28515625" style="152" bestFit="1" customWidth="1"/>
    <col min="10272" max="10272" width="11.5703125" style="152" bestFit="1" customWidth="1"/>
    <col min="10273" max="10273" width="9.28515625" style="152" bestFit="1" customWidth="1"/>
    <col min="10274" max="10274" width="11.5703125" style="152" bestFit="1" customWidth="1"/>
    <col min="10275" max="10275" width="9.28515625" style="152" bestFit="1" customWidth="1"/>
    <col min="10276" max="10276" width="11.5703125" style="152" bestFit="1" customWidth="1"/>
    <col min="10277" max="10277" width="9.28515625" style="152" bestFit="1" customWidth="1"/>
    <col min="10278" max="10278" width="11.5703125" style="152" bestFit="1" customWidth="1"/>
    <col min="10279" max="10279" width="9.28515625" style="152" bestFit="1" customWidth="1"/>
    <col min="10280" max="10280" width="11.5703125" style="152" bestFit="1" customWidth="1"/>
    <col min="10281" max="10281" width="9.28515625" style="152" bestFit="1" customWidth="1"/>
    <col min="10282" max="10282" width="11.5703125" style="152" bestFit="1" customWidth="1"/>
    <col min="10283" max="10283" width="9.28515625" style="152" bestFit="1" customWidth="1"/>
    <col min="10284" max="10284" width="11.5703125" style="152" bestFit="1" customWidth="1"/>
    <col min="10285" max="10285" width="9.28515625" style="152" bestFit="1" customWidth="1"/>
    <col min="10286" max="10286" width="11.5703125" style="152" bestFit="1" customWidth="1"/>
    <col min="10287" max="10287" width="9.28515625" style="152" bestFit="1" customWidth="1"/>
    <col min="10288" max="10288" width="11.5703125" style="152" bestFit="1" customWidth="1"/>
    <col min="10289" max="10289" width="9.28515625" style="152" bestFit="1" customWidth="1"/>
    <col min="10290" max="10290" width="11.5703125" style="152" bestFit="1" customWidth="1"/>
    <col min="10291" max="10291" width="9.28515625" style="152" bestFit="1" customWidth="1"/>
    <col min="10292" max="10498" width="9.140625" style="152"/>
    <col min="10499" max="10499" width="29.42578125" style="152" bestFit="1" customWidth="1"/>
    <col min="10500" max="10500" width="11.5703125" style="152" bestFit="1" customWidth="1"/>
    <col min="10501" max="10501" width="9.28515625" style="152" bestFit="1" customWidth="1"/>
    <col min="10502" max="10502" width="11.5703125" style="152" bestFit="1" customWidth="1"/>
    <col min="10503" max="10503" width="9.28515625" style="152" bestFit="1" customWidth="1"/>
    <col min="10504" max="10504" width="11.5703125" style="152" bestFit="1" customWidth="1"/>
    <col min="10505" max="10505" width="9.28515625" style="152" bestFit="1" customWidth="1"/>
    <col min="10506" max="10506" width="11.5703125" style="152" bestFit="1" customWidth="1"/>
    <col min="10507" max="10507" width="9.28515625" style="152" bestFit="1" customWidth="1"/>
    <col min="10508" max="10508" width="11.5703125" style="152" bestFit="1" customWidth="1"/>
    <col min="10509" max="10509" width="9.28515625" style="152" bestFit="1" customWidth="1"/>
    <col min="10510" max="10510" width="11.5703125" style="152" bestFit="1" customWidth="1"/>
    <col min="10511" max="10511" width="9.28515625" style="152" bestFit="1" customWidth="1"/>
    <col min="10512" max="10512" width="11.5703125" style="152" bestFit="1" customWidth="1"/>
    <col min="10513" max="10513" width="9.28515625" style="152" bestFit="1" customWidth="1"/>
    <col min="10514" max="10514" width="11.5703125" style="152" bestFit="1" customWidth="1"/>
    <col min="10515" max="10515" width="9.28515625" style="152" bestFit="1" customWidth="1"/>
    <col min="10516" max="10516" width="11.5703125" style="152" bestFit="1" customWidth="1"/>
    <col min="10517" max="10517" width="9.28515625" style="152" bestFit="1" customWidth="1"/>
    <col min="10518" max="10518" width="11.5703125" style="152" bestFit="1" customWidth="1"/>
    <col min="10519" max="10519" width="9.28515625" style="152" bestFit="1" customWidth="1"/>
    <col min="10520" max="10520" width="11.5703125" style="152" bestFit="1" customWidth="1"/>
    <col min="10521" max="10521" width="9.28515625" style="152" bestFit="1" customWidth="1"/>
    <col min="10522" max="10522" width="11.5703125" style="152" bestFit="1" customWidth="1"/>
    <col min="10523" max="10523" width="9.28515625" style="152" bestFit="1" customWidth="1"/>
    <col min="10524" max="10524" width="11.5703125" style="152" bestFit="1" customWidth="1"/>
    <col min="10525" max="10525" width="9.28515625" style="152" bestFit="1" customWidth="1"/>
    <col min="10526" max="10526" width="11.5703125" style="152" bestFit="1" customWidth="1"/>
    <col min="10527" max="10527" width="9.28515625" style="152" bestFit="1" customWidth="1"/>
    <col min="10528" max="10528" width="11.5703125" style="152" bestFit="1" customWidth="1"/>
    <col min="10529" max="10529" width="9.28515625" style="152" bestFit="1" customWidth="1"/>
    <col min="10530" max="10530" width="11.5703125" style="152" bestFit="1" customWidth="1"/>
    <col min="10531" max="10531" width="9.28515625" style="152" bestFit="1" customWidth="1"/>
    <col min="10532" max="10532" width="11.5703125" style="152" bestFit="1" customWidth="1"/>
    <col min="10533" max="10533" width="9.28515625" style="152" bestFit="1" customWidth="1"/>
    <col min="10534" max="10534" width="11.5703125" style="152" bestFit="1" customWidth="1"/>
    <col min="10535" max="10535" width="9.28515625" style="152" bestFit="1" customWidth="1"/>
    <col min="10536" max="10536" width="11.5703125" style="152" bestFit="1" customWidth="1"/>
    <col min="10537" max="10537" width="9.28515625" style="152" bestFit="1" customWidth="1"/>
    <col min="10538" max="10538" width="11.5703125" style="152" bestFit="1" customWidth="1"/>
    <col min="10539" max="10539" width="9.28515625" style="152" bestFit="1" customWidth="1"/>
    <col min="10540" max="10540" width="11.5703125" style="152" bestFit="1" customWidth="1"/>
    <col min="10541" max="10541" width="9.28515625" style="152" bestFit="1" customWidth="1"/>
    <col min="10542" max="10542" width="11.5703125" style="152" bestFit="1" customWidth="1"/>
    <col min="10543" max="10543" width="9.28515625" style="152" bestFit="1" customWidth="1"/>
    <col min="10544" max="10544" width="11.5703125" style="152" bestFit="1" customWidth="1"/>
    <col min="10545" max="10545" width="9.28515625" style="152" bestFit="1" customWidth="1"/>
    <col min="10546" max="10546" width="11.5703125" style="152" bestFit="1" customWidth="1"/>
    <col min="10547" max="10547" width="9.28515625" style="152" bestFit="1" customWidth="1"/>
    <col min="10548" max="10754" width="9.140625" style="152"/>
    <col min="10755" max="10755" width="29.42578125" style="152" bestFit="1" customWidth="1"/>
    <col min="10756" max="10756" width="11.5703125" style="152" bestFit="1" customWidth="1"/>
    <col min="10757" max="10757" width="9.28515625" style="152" bestFit="1" customWidth="1"/>
    <col min="10758" max="10758" width="11.5703125" style="152" bestFit="1" customWidth="1"/>
    <col min="10759" max="10759" width="9.28515625" style="152" bestFit="1" customWidth="1"/>
    <col min="10760" max="10760" width="11.5703125" style="152" bestFit="1" customWidth="1"/>
    <col min="10761" max="10761" width="9.28515625" style="152" bestFit="1" customWidth="1"/>
    <col min="10762" max="10762" width="11.5703125" style="152" bestFit="1" customWidth="1"/>
    <col min="10763" max="10763" width="9.28515625" style="152" bestFit="1" customWidth="1"/>
    <col min="10764" max="10764" width="11.5703125" style="152" bestFit="1" customWidth="1"/>
    <col min="10765" max="10765" width="9.28515625" style="152" bestFit="1" customWidth="1"/>
    <col min="10766" max="10766" width="11.5703125" style="152" bestFit="1" customWidth="1"/>
    <col min="10767" max="10767" width="9.28515625" style="152" bestFit="1" customWidth="1"/>
    <col min="10768" max="10768" width="11.5703125" style="152" bestFit="1" customWidth="1"/>
    <col min="10769" max="10769" width="9.28515625" style="152" bestFit="1" customWidth="1"/>
    <col min="10770" max="10770" width="11.5703125" style="152" bestFit="1" customWidth="1"/>
    <col min="10771" max="10771" width="9.28515625" style="152" bestFit="1" customWidth="1"/>
    <col min="10772" max="10772" width="11.5703125" style="152" bestFit="1" customWidth="1"/>
    <col min="10773" max="10773" width="9.28515625" style="152" bestFit="1" customWidth="1"/>
    <col min="10774" max="10774" width="11.5703125" style="152" bestFit="1" customWidth="1"/>
    <col min="10775" max="10775" width="9.28515625" style="152" bestFit="1" customWidth="1"/>
    <col min="10776" max="10776" width="11.5703125" style="152" bestFit="1" customWidth="1"/>
    <col min="10777" max="10777" width="9.28515625" style="152" bestFit="1" customWidth="1"/>
    <col min="10778" max="10778" width="11.5703125" style="152" bestFit="1" customWidth="1"/>
    <col min="10779" max="10779" width="9.28515625" style="152" bestFit="1" customWidth="1"/>
    <col min="10780" max="10780" width="11.5703125" style="152" bestFit="1" customWidth="1"/>
    <col min="10781" max="10781" width="9.28515625" style="152" bestFit="1" customWidth="1"/>
    <col min="10782" max="10782" width="11.5703125" style="152" bestFit="1" customWidth="1"/>
    <col min="10783" max="10783" width="9.28515625" style="152" bestFit="1" customWidth="1"/>
    <col min="10784" max="10784" width="11.5703125" style="152" bestFit="1" customWidth="1"/>
    <col min="10785" max="10785" width="9.28515625" style="152" bestFit="1" customWidth="1"/>
    <col min="10786" max="10786" width="11.5703125" style="152" bestFit="1" customWidth="1"/>
    <col min="10787" max="10787" width="9.28515625" style="152" bestFit="1" customWidth="1"/>
    <col min="10788" max="10788" width="11.5703125" style="152" bestFit="1" customWidth="1"/>
    <col min="10789" max="10789" width="9.28515625" style="152" bestFit="1" customWidth="1"/>
    <col min="10790" max="10790" width="11.5703125" style="152" bestFit="1" customWidth="1"/>
    <col min="10791" max="10791" width="9.28515625" style="152" bestFit="1" customWidth="1"/>
    <col min="10792" max="10792" width="11.5703125" style="152" bestFit="1" customWidth="1"/>
    <col min="10793" max="10793" width="9.28515625" style="152" bestFit="1" customWidth="1"/>
    <col min="10794" max="10794" width="11.5703125" style="152" bestFit="1" customWidth="1"/>
    <col min="10795" max="10795" width="9.28515625" style="152" bestFit="1" customWidth="1"/>
    <col min="10796" max="10796" width="11.5703125" style="152" bestFit="1" customWidth="1"/>
    <col min="10797" max="10797" width="9.28515625" style="152" bestFit="1" customWidth="1"/>
    <col min="10798" max="10798" width="11.5703125" style="152" bestFit="1" customWidth="1"/>
    <col min="10799" max="10799" width="9.28515625" style="152" bestFit="1" customWidth="1"/>
    <col min="10800" max="10800" width="11.5703125" style="152" bestFit="1" customWidth="1"/>
    <col min="10801" max="10801" width="9.28515625" style="152" bestFit="1" customWidth="1"/>
    <col min="10802" max="10802" width="11.5703125" style="152" bestFit="1" customWidth="1"/>
    <col min="10803" max="10803" width="9.28515625" style="152" bestFit="1" customWidth="1"/>
    <col min="10804" max="11010" width="9.140625" style="152"/>
    <col min="11011" max="11011" width="29.42578125" style="152" bestFit="1" customWidth="1"/>
    <col min="11012" max="11012" width="11.5703125" style="152" bestFit="1" customWidth="1"/>
    <col min="11013" max="11013" width="9.28515625" style="152" bestFit="1" customWidth="1"/>
    <col min="11014" max="11014" width="11.5703125" style="152" bestFit="1" customWidth="1"/>
    <col min="11015" max="11015" width="9.28515625" style="152" bestFit="1" customWidth="1"/>
    <col min="11016" max="11016" width="11.5703125" style="152" bestFit="1" customWidth="1"/>
    <col min="11017" max="11017" width="9.28515625" style="152" bestFit="1" customWidth="1"/>
    <col min="11018" max="11018" width="11.5703125" style="152" bestFit="1" customWidth="1"/>
    <col min="11019" max="11019" width="9.28515625" style="152" bestFit="1" customWidth="1"/>
    <col min="11020" max="11020" width="11.5703125" style="152" bestFit="1" customWidth="1"/>
    <col min="11021" max="11021" width="9.28515625" style="152" bestFit="1" customWidth="1"/>
    <col min="11022" max="11022" width="11.5703125" style="152" bestFit="1" customWidth="1"/>
    <col min="11023" max="11023" width="9.28515625" style="152" bestFit="1" customWidth="1"/>
    <col min="11024" max="11024" width="11.5703125" style="152" bestFit="1" customWidth="1"/>
    <col min="11025" max="11025" width="9.28515625" style="152" bestFit="1" customWidth="1"/>
    <col min="11026" max="11026" width="11.5703125" style="152" bestFit="1" customWidth="1"/>
    <col min="11027" max="11027" width="9.28515625" style="152" bestFit="1" customWidth="1"/>
    <col min="11028" max="11028" width="11.5703125" style="152" bestFit="1" customWidth="1"/>
    <col min="11029" max="11029" width="9.28515625" style="152" bestFit="1" customWidth="1"/>
    <col min="11030" max="11030" width="11.5703125" style="152" bestFit="1" customWidth="1"/>
    <col min="11031" max="11031" width="9.28515625" style="152" bestFit="1" customWidth="1"/>
    <col min="11032" max="11032" width="11.5703125" style="152" bestFit="1" customWidth="1"/>
    <col min="11033" max="11033" width="9.28515625" style="152" bestFit="1" customWidth="1"/>
    <col min="11034" max="11034" width="11.5703125" style="152" bestFit="1" customWidth="1"/>
    <col min="11035" max="11035" width="9.28515625" style="152" bestFit="1" customWidth="1"/>
    <col min="11036" max="11036" width="11.5703125" style="152" bestFit="1" customWidth="1"/>
    <col min="11037" max="11037" width="9.28515625" style="152" bestFit="1" customWidth="1"/>
    <col min="11038" max="11038" width="11.5703125" style="152" bestFit="1" customWidth="1"/>
    <col min="11039" max="11039" width="9.28515625" style="152" bestFit="1" customWidth="1"/>
    <col min="11040" max="11040" width="11.5703125" style="152" bestFit="1" customWidth="1"/>
    <col min="11041" max="11041" width="9.28515625" style="152" bestFit="1" customWidth="1"/>
    <col min="11042" max="11042" width="11.5703125" style="152" bestFit="1" customWidth="1"/>
    <col min="11043" max="11043" width="9.28515625" style="152" bestFit="1" customWidth="1"/>
    <col min="11044" max="11044" width="11.5703125" style="152" bestFit="1" customWidth="1"/>
    <col min="11045" max="11045" width="9.28515625" style="152" bestFit="1" customWidth="1"/>
    <col min="11046" max="11046" width="11.5703125" style="152" bestFit="1" customWidth="1"/>
    <col min="11047" max="11047" width="9.28515625" style="152" bestFit="1" customWidth="1"/>
    <col min="11048" max="11048" width="11.5703125" style="152" bestFit="1" customWidth="1"/>
    <col min="11049" max="11049" width="9.28515625" style="152" bestFit="1" customWidth="1"/>
    <col min="11050" max="11050" width="11.5703125" style="152" bestFit="1" customWidth="1"/>
    <col min="11051" max="11051" width="9.28515625" style="152" bestFit="1" customWidth="1"/>
    <col min="11052" max="11052" width="11.5703125" style="152" bestFit="1" customWidth="1"/>
    <col min="11053" max="11053" width="9.28515625" style="152" bestFit="1" customWidth="1"/>
    <col min="11054" max="11054" width="11.5703125" style="152" bestFit="1" customWidth="1"/>
    <col min="11055" max="11055" width="9.28515625" style="152" bestFit="1" customWidth="1"/>
    <col min="11056" max="11056" width="11.5703125" style="152" bestFit="1" customWidth="1"/>
    <col min="11057" max="11057" width="9.28515625" style="152" bestFit="1" customWidth="1"/>
    <col min="11058" max="11058" width="11.5703125" style="152" bestFit="1" customWidth="1"/>
    <col min="11059" max="11059" width="9.28515625" style="152" bestFit="1" customWidth="1"/>
    <col min="11060" max="11266" width="9.140625" style="152"/>
    <col min="11267" max="11267" width="29.42578125" style="152" bestFit="1" customWidth="1"/>
    <col min="11268" max="11268" width="11.5703125" style="152" bestFit="1" customWidth="1"/>
    <col min="11269" max="11269" width="9.28515625" style="152" bestFit="1" customWidth="1"/>
    <col min="11270" max="11270" width="11.5703125" style="152" bestFit="1" customWidth="1"/>
    <col min="11271" max="11271" width="9.28515625" style="152" bestFit="1" customWidth="1"/>
    <col min="11272" max="11272" width="11.5703125" style="152" bestFit="1" customWidth="1"/>
    <col min="11273" max="11273" width="9.28515625" style="152" bestFit="1" customWidth="1"/>
    <col min="11274" max="11274" width="11.5703125" style="152" bestFit="1" customWidth="1"/>
    <col min="11275" max="11275" width="9.28515625" style="152" bestFit="1" customWidth="1"/>
    <col min="11276" max="11276" width="11.5703125" style="152" bestFit="1" customWidth="1"/>
    <col min="11277" max="11277" width="9.28515625" style="152" bestFit="1" customWidth="1"/>
    <col min="11278" max="11278" width="11.5703125" style="152" bestFit="1" customWidth="1"/>
    <col min="11279" max="11279" width="9.28515625" style="152" bestFit="1" customWidth="1"/>
    <col min="11280" max="11280" width="11.5703125" style="152" bestFit="1" customWidth="1"/>
    <col min="11281" max="11281" width="9.28515625" style="152" bestFit="1" customWidth="1"/>
    <col min="11282" max="11282" width="11.5703125" style="152" bestFit="1" customWidth="1"/>
    <col min="11283" max="11283" width="9.28515625" style="152" bestFit="1" customWidth="1"/>
    <col min="11284" max="11284" width="11.5703125" style="152" bestFit="1" customWidth="1"/>
    <col min="11285" max="11285" width="9.28515625" style="152" bestFit="1" customWidth="1"/>
    <col min="11286" max="11286" width="11.5703125" style="152" bestFit="1" customWidth="1"/>
    <col min="11287" max="11287" width="9.28515625" style="152" bestFit="1" customWidth="1"/>
    <col min="11288" max="11288" width="11.5703125" style="152" bestFit="1" customWidth="1"/>
    <col min="11289" max="11289" width="9.28515625" style="152" bestFit="1" customWidth="1"/>
    <col min="11290" max="11290" width="11.5703125" style="152" bestFit="1" customWidth="1"/>
    <col min="11291" max="11291" width="9.28515625" style="152" bestFit="1" customWidth="1"/>
    <col min="11292" max="11292" width="11.5703125" style="152" bestFit="1" customWidth="1"/>
    <col min="11293" max="11293" width="9.28515625" style="152" bestFit="1" customWidth="1"/>
    <col min="11294" max="11294" width="11.5703125" style="152" bestFit="1" customWidth="1"/>
    <col min="11295" max="11295" width="9.28515625" style="152" bestFit="1" customWidth="1"/>
    <col min="11296" max="11296" width="11.5703125" style="152" bestFit="1" customWidth="1"/>
    <col min="11297" max="11297" width="9.28515625" style="152" bestFit="1" customWidth="1"/>
    <col min="11298" max="11298" width="11.5703125" style="152" bestFit="1" customWidth="1"/>
    <col min="11299" max="11299" width="9.28515625" style="152" bestFit="1" customWidth="1"/>
    <col min="11300" max="11300" width="11.5703125" style="152" bestFit="1" customWidth="1"/>
    <col min="11301" max="11301" width="9.28515625" style="152" bestFit="1" customWidth="1"/>
    <col min="11302" max="11302" width="11.5703125" style="152" bestFit="1" customWidth="1"/>
    <col min="11303" max="11303" width="9.28515625" style="152" bestFit="1" customWidth="1"/>
    <col min="11304" max="11304" width="11.5703125" style="152" bestFit="1" customWidth="1"/>
    <col min="11305" max="11305" width="9.28515625" style="152" bestFit="1" customWidth="1"/>
    <col min="11306" max="11306" width="11.5703125" style="152" bestFit="1" customWidth="1"/>
    <col min="11307" max="11307" width="9.28515625" style="152" bestFit="1" customWidth="1"/>
    <col min="11308" max="11308" width="11.5703125" style="152" bestFit="1" customWidth="1"/>
    <col min="11309" max="11309" width="9.28515625" style="152" bestFit="1" customWidth="1"/>
    <col min="11310" max="11310" width="11.5703125" style="152" bestFit="1" customWidth="1"/>
    <col min="11311" max="11311" width="9.28515625" style="152" bestFit="1" customWidth="1"/>
    <col min="11312" max="11312" width="11.5703125" style="152" bestFit="1" customWidth="1"/>
    <col min="11313" max="11313" width="9.28515625" style="152" bestFit="1" customWidth="1"/>
    <col min="11314" max="11314" width="11.5703125" style="152" bestFit="1" customWidth="1"/>
    <col min="11315" max="11315" width="9.28515625" style="152" bestFit="1" customWidth="1"/>
    <col min="11316" max="11522" width="9.140625" style="152"/>
    <col min="11523" max="11523" width="29.42578125" style="152" bestFit="1" customWidth="1"/>
    <col min="11524" max="11524" width="11.5703125" style="152" bestFit="1" customWidth="1"/>
    <col min="11525" max="11525" width="9.28515625" style="152" bestFit="1" customWidth="1"/>
    <col min="11526" max="11526" width="11.5703125" style="152" bestFit="1" customWidth="1"/>
    <col min="11527" max="11527" width="9.28515625" style="152" bestFit="1" customWidth="1"/>
    <col min="11528" max="11528" width="11.5703125" style="152" bestFit="1" customWidth="1"/>
    <col min="11529" max="11529" width="9.28515625" style="152" bestFit="1" customWidth="1"/>
    <col min="11530" max="11530" width="11.5703125" style="152" bestFit="1" customWidth="1"/>
    <col min="11531" max="11531" width="9.28515625" style="152" bestFit="1" customWidth="1"/>
    <col min="11532" max="11532" width="11.5703125" style="152" bestFit="1" customWidth="1"/>
    <col min="11533" max="11533" width="9.28515625" style="152" bestFit="1" customWidth="1"/>
    <col min="11534" max="11534" width="11.5703125" style="152" bestFit="1" customWidth="1"/>
    <col min="11535" max="11535" width="9.28515625" style="152" bestFit="1" customWidth="1"/>
    <col min="11536" max="11536" width="11.5703125" style="152" bestFit="1" customWidth="1"/>
    <col min="11537" max="11537" width="9.28515625" style="152" bestFit="1" customWidth="1"/>
    <col min="11538" max="11538" width="11.5703125" style="152" bestFit="1" customWidth="1"/>
    <col min="11539" max="11539" width="9.28515625" style="152" bestFit="1" customWidth="1"/>
    <col min="11540" max="11540" width="11.5703125" style="152" bestFit="1" customWidth="1"/>
    <col min="11541" max="11541" width="9.28515625" style="152" bestFit="1" customWidth="1"/>
    <col min="11542" max="11542" width="11.5703125" style="152" bestFit="1" customWidth="1"/>
    <col min="11543" max="11543" width="9.28515625" style="152" bestFit="1" customWidth="1"/>
    <col min="11544" max="11544" width="11.5703125" style="152" bestFit="1" customWidth="1"/>
    <col min="11545" max="11545" width="9.28515625" style="152" bestFit="1" customWidth="1"/>
    <col min="11546" max="11546" width="11.5703125" style="152" bestFit="1" customWidth="1"/>
    <col min="11547" max="11547" width="9.28515625" style="152" bestFit="1" customWidth="1"/>
    <col min="11548" max="11548" width="11.5703125" style="152" bestFit="1" customWidth="1"/>
    <col min="11549" max="11549" width="9.28515625" style="152" bestFit="1" customWidth="1"/>
    <col min="11550" max="11550" width="11.5703125" style="152" bestFit="1" customWidth="1"/>
    <col min="11551" max="11551" width="9.28515625" style="152" bestFit="1" customWidth="1"/>
    <col min="11552" max="11552" width="11.5703125" style="152" bestFit="1" customWidth="1"/>
    <col min="11553" max="11553" width="9.28515625" style="152" bestFit="1" customWidth="1"/>
    <col min="11554" max="11554" width="11.5703125" style="152" bestFit="1" customWidth="1"/>
    <col min="11555" max="11555" width="9.28515625" style="152" bestFit="1" customWidth="1"/>
    <col min="11556" max="11556" width="11.5703125" style="152" bestFit="1" customWidth="1"/>
    <col min="11557" max="11557" width="9.28515625" style="152" bestFit="1" customWidth="1"/>
    <col min="11558" max="11558" width="11.5703125" style="152" bestFit="1" customWidth="1"/>
    <col min="11559" max="11559" width="9.28515625" style="152" bestFit="1" customWidth="1"/>
    <col min="11560" max="11560" width="11.5703125" style="152" bestFit="1" customWidth="1"/>
    <col min="11561" max="11561" width="9.28515625" style="152" bestFit="1" customWidth="1"/>
    <col min="11562" max="11562" width="11.5703125" style="152" bestFit="1" customWidth="1"/>
    <col min="11563" max="11563" width="9.28515625" style="152" bestFit="1" customWidth="1"/>
    <col min="11564" max="11564" width="11.5703125" style="152" bestFit="1" customWidth="1"/>
    <col min="11565" max="11565" width="9.28515625" style="152" bestFit="1" customWidth="1"/>
    <col min="11566" max="11566" width="11.5703125" style="152" bestFit="1" customWidth="1"/>
    <col min="11567" max="11567" width="9.28515625" style="152" bestFit="1" customWidth="1"/>
    <col min="11568" max="11568" width="11.5703125" style="152" bestFit="1" customWidth="1"/>
    <col min="11569" max="11569" width="9.28515625" style="152" bestFit="1" customWidth="1"/>
    <col min="11570" max="11570" width="11.5703125" style="152" bestFit="1" customWidth="1"/>
    <col min="11571" max="11571" width="9.28515625" style="152" bestFit="1" customWidth="1"/>
    <col min="11572" max="11778" width="9.140625" style="152"/>
    <col min="11779" max="11779" width="29.42578125" style="152" bestFit="1" customWidth="1"/>
    <col min="11780" max="11780" width="11.5703125" style="152" bestFit="1" customWidth="1"/>
    <col min="11781" max="11781" width="9.28515625" style="152" bestFit="1" customWidth="1"/>
    <col min="11782" max="11782" width="11.5703125" style="152" bestFit="1" customWidth="1"/>
    <col min="11783" max="11783" width="9.28515625" style="152" bestFit="1" customWidth="1"/>
    <col min="11784" max="11784" width="11.5703125" style="152" bestFit="1" customWidth="1"/>
    <col min="11785" max="11785" width="9.28515625" style="152" bestFit="1" customWidth="1"/>
    <col min="11786" max="11786" width="11.5703125" style="152" bestFit="1" customWidth="1"/>
    <col min="11787" max="11787" width="9.28515625" style="152" bestFit="1" customWidth="1"/>
    <col min="11788" max="11788" width="11.5703125" style="152" bestFit="1" customWidth="1"/>
    <col min="11789" max="11789" width="9.28515625" style="152" bestFit="1" customWidth="1"/>
    <col min="11790" max="11790" width="11.5703125" style="152" bestFit="1" customWidth="1"/>
    <col min="11791" max="11791" width="9.28515625" style="152" bestFit="1" customWidth="1"/>
    <col min="11792" max="11792" width="11.5703125" style="152" bestFit="1" customWidth="1"/>
    <col min="11793" max="11793" width="9.28515625" style="152" bestFit="1" customWidth="1"/>
    <col min="11794" max="11794" width="11.5703125" style="152" bestFit="1" customWidth="1"/>
    <col min="11795" max="11795" width="9.28515625" style="152" bestFit="1" customWidth="1"/>
    <col min="11796" max="11796" width="11.5703125" style="152" bestFit="1" customWidth="1"/>
    <col min="11797" max="11797" width="9.28515625" style="152" bestFit="1" customWidth="1"/>
    <col min="11798" max="11798" width="11.5703125" style="152" bestFit="1" customWidth="1"/>
    <col min="11799" max="11799" width="9.28515625" style="152" bestFit="1" customWidth="1"/>
    <col min="11800" max="11800" width="11.5703125" style="152" bestFit="1" customWidth="1"/>
    <col min="11801" max="11801" width="9.28515625" style="152" bestFit="1" customWidth="1"/>
    <col min="11802" max="11802" width="11.5703125" style="152" bestFit="1" customWidth="1"/>
    <col min="11803" max="11803" width="9.28515625" style="152" bestFit="1" customWidth="1"/>
    <col min="11804" max="11804" width="11.5703125" style="152" bestFit="1" customWidth="1"/>
    <col min="11805" max="11805" width="9.28515625" style="152" bestFit="1" customWidth="1"/>
    <col min="11806" max="11806" width="11.5703125" style="152" bestFit="1" customWidth="1"/>
    <col min="11807" max="11807" width="9.28515625" style="152" bestFit="1" customWidth="1"/>
    <col min="11808" max="11808" width="11.5703125" style="152" bestFit="1" customWidth="1"/>
    <col min="11809" max="11809" width="9.28515625" style="152" bestFit="1" customWidth="1"/>
    <col min="11810" max="11810" width="11.5703125" style="152" bestFit="1" customWidth="1"/>
    <col min="11811" max="11811" width="9.28515625" style="152" bestFit="1" customWidth="1"/>
    <col min="11812" max="11812" width="11.5703125" style="152" bestFit="1" customWidth="1"/>
    <col min="11813" max="11813" width="9.28515625" style="152" bestFit="1" customWidth="1"/>
    <col min="11814" max="11814" width="11.5703125" style="152" bestFit="1" customWidth="1"/>
    <col min="11815" max="11815" width="9.28515625" style="152" bestFit="1" customWidth="1"/>
    <col min="11816" max="11816" width="11.5703125" style="152" bestFit="1" customWidth="1"/>
    <col min="11817" max="11817" width="9.28515625" style="152" bestFit="1" customWidth="1"/>
    <col min="11818" max="11818" width="11.5703125" style="152" bestFit="1" customWidth="1"/>
    <col min="11819" max="11819" width="9.28515625" style="152" bestFit="1" customWidth="1"/>
    <col min="11820" max="11820" width="11.5703125" style="152" bestFit="1" customWidth="1"/>
    <col min="11821" max="11821" width="9.28515625" style="152" bestFit="1" customWidth="1"/>
    <col min="11822" max="11822" width="11.5703125" style="152" bestFit="1" customWidth="1"/>
    <col min="11823" max="11823" width="9.28515625" style="152" bestFit="1" customWidth="1"/>
    <col min="11824" max="11824" width="11.5703125" style="152" bestFit="1" customWidth="1"/>
    <col min="11825" max="11825" width="9.28515625" style="152" bestFit="1" customWidth="1"/>
    <col min="11826" max="11826" width="11.5703125" style="152" bestFit="1" customWidth="1"/>
    <col min="11827" max="11827" width="9.28515625" style="152" bestFit="1" customWidth="1"/>
    <col min="11828" max="12034" width="9.140625" style="152"/>
    <col min="12035" max="12035" width="29.42578125" style="152" bestFit="1" customWidth="1"/>
    <col min="12036" max="12036" width="11.5703125" style="152" bestFit="1" customWidth="1"/>
    <col min="12037" max="12037" width="9.28515625" style="152" bestFit="1" customWidth="1"/>
    <col min="12038" max="12038" width="11.5703125" style="152" bestFit="1" customWidth="1"/>
    <col min="12039" max="12039" width="9.28515625" style="152" bestFit="1" customWidth="1"/>
    <col min="12040" max="12040" width="11.5703125" style="152" bestFit="1" customWidth="1"/>
    <col min="12041" max="12041" width="9.28515625" style="152" bestFit="1" customWidth="1"/>
    <col min="12042" max="12042" width="11.5703125" style="152" bestFit="1" customWidth="1"/>
    <col min="12043" max="12043" width="9.28515625" style="152" bestFit="1" customWidth="1"/>
    <col min="12044" max="12044" width="11.5703125" style="152" bestFit="1" customWidth="1"/>
    <col min="12045" max="12045" width="9.28515625" style="152" bestFit="1" customWidth="1"/>
    <col min="12046" max="12046" width="11.5703125" style="152" bestFit="1" customWidth="1"/>
    <col min="12047" max="12047" width="9.28515625" style="152" bestFit="1" customWidth="1"/>
    <col min="12048" max="12048" width="11.5703125" style="152" bestFit="1" customWidth="1"/>
    <col min="12049" max="12049" width="9.28515625" style="152" bestFit="1" customWidth="1"/>
    <col min="12050" max="12050" width="11.5703125" style="152" bestFit="1" customWidth="1"/>
    <col min="12051" max="12051" width="9.28515625" style="152" bestFit="1" customWidth="1"/>
    <col min="12052" max="12052" width="11.5703125" style="152" bestFit="1" customWidth="1"/>
    <col min="12053" max="12053" width="9.28515625" style="152" bestFit="1" customWidth="1"/>
    <col min="12054" max="12054" width="11.5703125" style="152" bestFit="1" customWidth="1"/>
    <col min="12055" max="12055" width="9.28515625" style="152" bestFit="1" customWidth="1"/>
    <col min="12056" max="12056" width="11.5703125" style="152" bestFit="1" customWidth="1"/>
    <col min="12057" max="12057" width="9.28515625" style="152" bestFit="1" customWidth="1"/>
    <col min="12058" max="12058" width="11.5703125" style="152" bestFit="1" customWidth="1"/>
    <col min="12059" max="12059" width="9.28515625" style="152" bestFit="1" customWidth="1"/>
    <col min="12060" max="12060" width="11.5703125" style="152" bestFit="1" customWidth="1"/>
    <col min="12061" max="12061" width="9.28515625" style="152" bestFit="1" customWidth="1"/>
    <col min="12062" max="12062" width="11.5703125" style="152" bestFit="1" customWidth="1"/>
    <col min="12063" max="12063" width="9.28515625" style="152" bestFit="1" customWidth="1"/>
    <col min="12064" max="12064" width="11.5703125" style="152" bestFit="1" customWidth="1"/>
    <col min="12065" max="12065" width="9.28515625" style="152" bestFit="1" customWidth="1"/>
    <col min="12066" max="12066" width="11.5703125" style="152" bestFit="1" customWidth="1"/>
    <col min="12067" max="12067" width="9.28515625" style="152" bestFit="1" customWidth="1"/>
    <col min="12068" max="12068" width="11.5703125" style="152" bestFit="1" customWidth="1"/>
    <col min="12069" max="12069" width="9.28515625" style="152" bestFit="1" customWidth="1"/>
    <col min="12070" max="12070" width="11.5703125" style="152" bestFit="1" customWidth="1"/>
    <col min="12071" max="12071" width="9.28515625" style="152" bestFit="1" customWidth="1"/>
    <col min="12072" max="12072" width="11.5703125" style="152" bestFit="1" customWidth="1"/>
    <col min="12073" max="12073" width="9.28515625" style="152" bestFit="1" customWidth="1"/>
    <col min="12074" max="12074" width="11.5703125" style="152" bestFit="1" customWidth="1"/>
    <col min="12075" max="12075" width="9.28515625" style="152" bestFit="1" customWidth="1"/>
    <col min="12076" max="12076" width="11.5703125" style="152" bestFit="1" customWidth="1"/>
    <col min="12077" max="12077" width="9.28515625" style="152" bestFit="1" customWidth="1"/>
    <col min="12078" max="12078" width="11.5703125" style="152" bestFit="1" customWidth="1"/>
    <col min="12079" max="12079" width="9.28515625" style="152" bestFit="1" customWidth="1"/>
    <col min="12080" max="12080" width="11.5703125" style="152" bestFit="1" customWidth="1"/>
    <col min="12081" max="12081" width="9.28515625" style="152" bestFit="1" customWidth="1"/>
    <col min="12082" max="12082" width="11.5703125" style="152" bestFit="1" customWidth="1"/>
    <col min="12083" max="12083" width="9.28515625" style="152" bestFit="1" customWidth="1"/>
    <col min="12084" max="12290" width="9.140625" style="152"/>
    <col min="12291" max="12291" width="29.42578125" style="152" bestFit="1" customWidth="1"/>
    <col min="12292" max="12292" width="11.5703125" style="152" bestFit="1" customWidth="1"/>
    <col min="12293" max="12293" width="9.28515625" style="152" bestFit="1" customWidth="1"/>
    <col min="12294" max="12294" width="11.5703125" style="152" bestFit="1" customWidth="1"/>
    <col min="12295" max="12295" width="9.28515625" style="152" bestFit="1" customWidth="1"/>
    <col min="12296" max="12296" width="11.5703125" style="152" bestFit="1" customWidth="1"/>
    <col min="12297" max="12297" width="9.28515625" style="152" bestFit="1" customWidth="1"/>
    <col min="12298" max="12298" width="11.5703125" style="152" bestFit="1" customWidth="1"/>
    <col min="12299" max="12299" width="9.28515625" style="152" bestFit="1" customWidth="1"/>
    <col min="12300" max="12300" width="11.5703125" style="152" bestFit="1" customWidth="1"/>
    <col min="12301" max="12301" width="9.28515625" style="152" bestFit="1" customWidth="1"/>
    <col min="12302" max="12302" width="11.5703125" style="152" bestFit="1" customWidth="1"/>
    <col min="12303" max="12303" width="9.28515625" style="152" bestFit="1" customWidth="1"/>
    <col min="12304" max="12304" width="11.5703125" style="152" bestFit="1" customWidth="1"/>
    <col min="12305" max="12305" width="9.28515625" style="152" bestFit="1" customWidth="1"/>
    <col min="12306" max="12306" width="11.5703125" style="152" bestFit="1" customWidth="1"/>
    <col min="12307" max="12307" width="9.28515625" style="152" bestFit="1" customWidth="1"/>
    <col min="12308" max="12308" width="11.5703125" style="152" bestFit="1" customWidth="1"/>
    <col min="12309" max="12309" width="9.28515625" style="152" bestFit="1" customWidth="1"/>
    <col min="12310" max="12310" width="11.5703125" style="152" bestFit="1" customWidth="1"/>
    <col min="12311" max="12311" width="9.28515625" style="152" bestFit="1" customWidth="1"/>
    <col min="12312" max="12312" width="11.5703125" style="152" bestFit="1" customWidth="1"/>
    <col min="12313" max="12313" width="9.28515625" style="152" bestFit="1" customWidth="1"/>
    <col min="12314" max="12314" width="11.5703125" style="152" bestFit="1" customWidth="1"/>
    <col min="12315" max="12315" width="9.28515625" style="152" bestFit="1" customWidth="1"/>
    <col min="12316" max="12316" width="11.5703125" style="152" bestFit="1" customWidth="1"/>
    <col min="12317" max="12317" width="9.28515625" style="152" bestFit="1" customWidth="1"/>
    <col min="12318" max="12318" width="11.5703125" style="152" bestFit="1" customWidth="1"/>
    <col min="12319" max="12319" width="9.28515625" style="152" bestFit="1" customWidth="1"/>
    <col min="12320" max="12320" width="11.5703125" style="152" bestFit="1" customWidth="1"/>
    <col min="12321" max="12321" width="9.28515625" style="152" bestFit="1" customWidth="1"/>
    <col min="12322" max="12322" width="11.5703125" style="152" bestFit="1" customWidth="1"/>
    <col min="12323" max="12323" width="9.28515625" style="152" bestFit="1" customWidth="1"/>
    <col min="12324" max="12324" width="11.5703125" style="152" bestFit="1" customWidth="1"/>
    <col min="12325" max="12325" width="9.28515625" style="152" bestFit="1" customWidth="1"/>
    <col min="12326" max="12326" width="11.5703125" style="152" bestFit="1" customWidth="1"/>
    <col min="12327" max="12327" width="9.28515625" style="152" bestFit="1" customWidth="1"/>
    <col min="12328" max="12328" width="11.5703125" style="152" bestFit="1" customWidth="1"/>
    <col min="12329" max="12329" width="9.28515625" style="152" bestFit="1" customWidth="1"/>
    <col min="12330" max="12330" width="11.5703125" style="152" bestFit="1" customWidth="1"/>
    <col min="12331" max="12331" width="9.28515625" style="152" bestFit="1" customWidth="1"/>
    <col min="12332" max="12332" width="11.5703125" style="152" bestFit="1" customWidth="1"/>
    <col min="12333" max="12333" width="9.28515625" style="152" bestFit="1" customWidth="1"/>
    <col min="12334" max="12334" width="11.5703125" style="152" bestFit="1" customWidth="1"/>
    <col min="12335" max="12335" width="9.28515625" style="152" bestFit="1" customWidth="1"/>
    <col min="12336" max="12336" width="11.5703125" style="152" bestFit="1" customWidth="1"/>
    <col min="12337" max="12337" width="9.28515625" style="152" bestFit="1" customWidth="1"/>
    <col min="12338" max="12338" width="11.5703125" style="152" bestFit="1" customWidth="1"/>
    <col min="12339" max="12339" width="9.28515625" style="152" bestFit="1" customWidth="1"/>
    <col min="12340" max="12546" width="9.140625" style="152"/>
    <col min="12547" max="12547" width="29.42578125" style="152" bestFit="1" customWidth="1"/>
    <col min="12548" max="12548" width="11.5703125" style="152" bestFit="1" customWidth="1"/>
    <col min="12549" max="12549" width="9.28515625" style="152" bestFit="1" customWidth="1"/>
    <col min="12550" max="12550" width="11.5703125" style="152" bestFit="1" customWidth="1"/>
    <col min="12551" max="12551" width="9.28515625" style="152" bestFit="1" customWidth="1"/>
    <col min="12552" max="12552" width="11.5703125" style="152" bestFit="1" customWidth="1"/>
    <col min="12553" max="12553" width="9.28515625" style="152" bestFit="1" customWidth="1"/>
    <col min="12554" max="12554" width="11.5703125" style="152" bestFit="1" customWidth="1"/>
    <col min="12555" max="12555" width="9.28515625" style="152" bestFit="1" customWidth="1"/>
    <col min="12556" max="12556" width="11.5703125" style="152" bestFit="1" customWidth="1"/>
    <col min="12557" max="12557" width="9.28515625" style="152" bestFit="1" customWidth="1"/>
    <col min="12558" max="12558" width="11.5703125" style="152" bestFit="1" customWidth="1"/>
    <col min="12559" max="12559" width="9.28515625" style="152" bestFit="1" customWidth="1"/>
    <col min="12560" max="12560" width="11.5703125" style="152" bestFit="1" customWidth="1"/>
    <col min="12561" max="12561" width="9.28515625" style="152" bestFit="1" customWidth="1"/>
    <col min="12562" max="12562" width="11.5703125" style="152" bestFit="1" customWidth="1"/>
    <col min="12563" max="12563" width="9.28515625" style="152" bestFit="1" customWidth="1"/>
    <col min="12564" max="12564" width="11.5703125" style="152" bestFit="1" customWidth="1"/>
    <col min="12565" max="12565" width="9.28515625" style="152" bestFit="1" customWidth="1"/>
    <col min="12566" max="12566" width="11.5703125" style="152" bestFit="1" customWidth="1"/>
    <col min="12567" max="12567" width="9.28515625" style="152" bestFit="1" customWidth="1"/>
    <col min="12568" max="12568" width="11.5703125" style="152" bestFit="1" customWidth="1"/>
    <col min="12569" max="12569" width="9.28515625" style="152" bestFit="1" customWidth="1"/>
    <col min="12570" max="12570" width="11.5703125" style="152" bestFit="1" customWidth="1"/>
    <col min="12571" max="12571" width="9.28515625" style="152" bestFit="1" customWidth="1"/>
    <col min="12572" max="12572" width="11.5703125" style="152" bestFit="1" customWidth="1"/>
    <col min="12573" max="12573" width="9.28515625" style="152" bestFit="1" customWidth="1"/>
    <col min="12574" max="12574" width="11.5703125" style="152" bestFit="1" customWidth="1"/>
    <col min="12575" max="12575" width="9.28515625" style="152" bestFit="1" customWidth="1"/>
    <col min="12576" max="12576" width="11.5703125" style="152" bestFit="1" customWidth="1"/>
    <col min="12577" max="12577" width="9.28515625" style="152" bestFit="1" customWidth="1"/>
    <col min="12578" max="12578" width="11.5703125" style="152" bestFit="1" customWidth="1"/>
    <col min="12579" max="12579" width="9.28515625" style="152" bestFit="1" customWidth="1"/>
    <col min="12580" max="12580" width="11.5703125" style="152" bestFit="1" customWidth="1"/>
    <col min="12581" max="12581" width="9.28515625" style="152" bestFit="1" customWidth="1"/>
    <col min="12582" max="12582" width="11.5703125" style="152" bestFit="1" customWidth="1"/>
    <col min="12583" max="12583" width="9.28515625" style="152" bestFit="1" customWidth="1"/>
    <col min="12584" max="12584" width="11.5703125" style="152" bestFit="1" customWidth="1"/>
    <col min="12585" max="12585" width="9.28515625" style="152" bestFit="1" customWidth="1"/>
    <col min="12586" max="12586" width="11.5703125" style="152" bestFit="1" customWidth="1"/>
    <col min="12587" max="12587" width="9.28515625" style="152" bestFit="1" customWidth="1"/>
    <col min="12588" max="12588" width="11.5703125" style="152" bestFit="1" customWidth="1"/>
    <col min="12589" max="12589" width="9.28515625" style="152" bestFit="1" customWidth="1"/>
    <col min="12590" max="12590" width="11.5703125" style="152" bestFit="1" customWidth="1"/>
    <col min="12591" max="12591" width="9.28515625" style="152" bestFit="1" customWidth="1"/>
    <col min="12592" max="12592" width="11.5703125" style="152" bestFit="1" customWidth="1"/>
    <col min="12593" max="12593" width="9.28515625" style="152" bestFit="1" customWidth="1"/>
    <col min="12594" max="12594" width="11.5703125" style="152" bestFit="1" customWidth="1"/>
    <col min="12595" max="12595" width="9.28515625" style="152" bestFit="1" customWidth="1"/>
    <col min="12596" max="12802" width="9.140625" style="152"/>
    <col min="12803" max="12803" width="29.42578125" style="152" bestFit="1" customWidth="1"/>
    <col min="12804" max="12804" width="11.5703125" style="152" bestFit="1" customWidth="1"/>
    <col min="12805" max="12805" width="9.28515625" style="152" bestFit="1" customWidth="1"/>
    <col min="12806" max="12806" width="11.5703125" style="152" bestFit="1" customWidth="1"/>
    <col min="12807" max="12807" width="9.28515625" style="152" bestFit="1" customWidth="1"/>
    <col min="12808" max="12808" width="11.5703125" style="152" bestFit="1" customWidth="1"/>
    <col min="12809" max="12809" width="9.28515625" style="152" bestFit="1" customWidth="1"/>
    <col min="12810" max="12810" width="11.5703125" style="152" bestFit="1" customWidth="1"/>
    <col min="12811" max="12811" width="9.28515625" style="152" bestFit="1" customWidth="1"/>
    <col min="12812" max="12812" width="11.5703125" style="152" bestFit="1" customWidth="1"/>
    <col min="12813" max="12813" width="9.28515625" style="152" bestFit="1" customWidth="1"/>
    <col min="12814" max="12814" width="11.5703125" style="152" bestFit="1" customWidth="1"/>
    <col min="12815" max="12815" width="9.28515625" style="152" bestFit="1" customWidth="1"/>
    <col min="12816" max="12816" width="11.5703125" style="152" bestFit="1" customWidth="1"/>
    <col min="12817" max="12817" width="9.28515625" style="152" bestFit="1" customWidth="1"/>
    <col min="12818" max="12818" width="11.5703125" style="152" bestFit="1" customWidth="1"/>
    <col min="12819" max="12819" width="9.28515625" style="152" bestFit="1" customWidth="1"/>
    <col min="12820" max="12820" width="11.5703125" style="152" bestFit="1" customWidth="1"/>
    <col min="12821" max="12821" width="9.28515625" style="152" bestFit="1" customWidth="1"/>
    <col min="12822" max="12822" width="11.5703125" style="152" bestFit="1" customWidth="1"/>
    <col min="12823" max="12823" width="9.28515625" style="152" bestFit="1" customWidth="1"/>
    <col min="12824" max="12824" width="11.5703125" style="152" bestFit="1" customWidth="1"/>
    <col min="12825" max="12825" width="9.28515625" style="152" bestFit="1" customWidth="1"/>
    <col min="12826" max="12826" width="11.5703125" style="152" bestFit="1" customWidth="1"/>
    <col min="12827" max="12827" width="9.28515625" style="152" bestFit="1" customWidth="1"/>
    <col min="12828" max="12828" width="11.5703125" style="152" bestFit="1" customWidth="1"/>
    <col min="12829" max="12829" width="9.28515625" style="152" bestFit="1" customWidth="1"/>
    <col min="12830" max="12830" width="11.5703125" style="152" bestFit="1" customWidth="1"/>
    <col min="12831" max="12831" width="9.28515625" style="152" bestFit="1" customWidth="1"/>
    <col min="12832" max="12832" width="11.5703125" style="152" bestFit="1" customWidth="1"/>
    <col min="12833" max="12833" width="9.28515625" style="152" bestFit="1" customWidth="1"/>
    <col min="12834" max="12834" width="11.5703125" style="152" bestFit="1" customWidth="1"/>
    <col min="12835" max="12835" width="9.28515625" style="152" bestFit="1" customWidth="1"/>
    <col min="12836" max="12836" width="11.5703125" style="152" bestFit="1" customWidth="1"/>
    <col min="12837" max="12837" width="9.28515625" style="152" bestFit="1" customWidth="1"/>
    <col min="12838" max="12838" width="11.5703125" style="152" bestFit="1" customWidth="1"/>
    <col min="12839" max="12839" width="9.28515625" style="152" bestFit="1" customWidth="1"/>
    <col min="12840" max="12840" width="11.5703125" style="152" bestFit="1" customWidth="1"/>
    <col min="12841" max="12841" width="9.28515625" style="152" bestFit="1" customWidth="1"/>
    <col min="12842" max="12842" width="11.5703125" style="152" bestFit="1" customWidth="1"/>
    <col min="12843" max="12843" width="9.28515625" style="152" bestFit="1" customWidth="1"/>
    <col min="12844" max="12844" width="11.5703125" style="152" bestFit="1" customWidth="1"/>
    <col min="12845" max="12845" width="9.28515625" style="152" bestFit="1" customWidth="1"/>
    <col min="12846" max="12846" width="11.5703125" style="152" bestFit="1" customWidth="1"/>
    <col min="12847" max="12847" width="9.28515625" style="152" bestFit="1" customWidth="1"/>
    <col min="12848" max="12848" width="11.5703125" style="152" bestFit="1" customWidth="1"/>
    <col min="12849" max="12849" width="9.28515625" style="152" bestFit="1" customWidth="1"/>
    <col min="12850" max="12850" width="11.5703125" style="152" bestFit="1" customWidth="1"/>
    <col min="12851" max="12851" width="9.28515625" style="152" bestFit="1" customWidth="1"/>
    <col min="12852" max="13058" width="9.140625" style="152"/>
    <col min="13059" max="13059" width="29.42578125" style="152" bestFit="1" customWidth="1"/>
    <col min="13060" max="13060" width="11.5703125" style="152" bestFit="1" customWidth="1"/>
    <col min="13061" max="13061" width="9.28515625" style="152" bestFit="1" customWidth="1"/>
    <col min="13062" max="13062" width="11.5703125" style="152" bestFit="1" customWidth="1"/>
    <col min="13063" max="13063" width="9.28515625" style="152" bestFit="1" customWidth="1"/>
    <col min="13064" max="13064" width="11.5703125" style="152" bestFit="1" customWidth="1"/>
    <col min="13065" max="13065" width="9.28515625" style="152" bestFit="1" customWidth="1"/>
    <col min="13066" max="13066" width="11.5703125" style="152" bestFit="1" customWidth="1"/>
    <col min="13067" max="13067" width="9.28515625" style="152" bestFit="1" customWidth="1"/>
    <col min="13068" max="13068" width="11.5703125" style="152" bestFit="1" customWidth="1"/>
    <col min="13069" max="13069" width="9.28515625" style="152" bestFit="1" customWidth="1"/>
    <col min="13070" max="13070" width="11.5703125" style="152" bestFit="1" customWidth="1"/>
    <col min="13071" max="13071" width="9.28515625" style="152" bestFit="1" customWidth="1"/>
    <col min="13072" max="13072" width="11.5703125" style="152" bestFit="1" customWidth="1"/>
    <col min="13073" max="13073" width="9.28515625" style="152" bestFit="1" customWidth="1"/>
    <col min="13074" max="13074" width="11.5703125" style="152" bestFit="1" customWidth="1"/>
    <col min="13075" max="13075" width="9.28515625" style="152" bestFit="1" customWidth="1"/>
    <col min="13076" max="13076" width="11.5703125" style="152" bestFit="1" customWidth="1"/>
    <col min="13077" max="13077" width="9.28515625" style="152" bestFit="1" customWidth="1"/>
    <col min="13078" max="13078" width="11.5703125" style="152" bestFit="1" customWidth="1"/>
    <col min="13079" max="13079" width="9.28515625" style="152" bestFit="1" customWidth="1"/>
    <col min="13080" max="13080" width="11.5703125" style="152" bestFit="1" customWidth="1"/>
    <col min="13081" max="13081" width="9.28515625" style="152" bestFit="1" customWidth="1"/>
    <col min="13082" max="13082" width="11.5703125" style="152" bestFit="1" customWidth="1"/>
    <col min="13083" max="13083" width="9.28515625" style="152" bestFit="1" customWidth="1"/>
    <col min="13084" max="13084" width="11.5703125" style="152" bestFit="1" customWidth="1"/>
    <col min="13085" max="13085" width="9.28515625" style="152" bestFit="1" customWidth="1"/>
    <col min="13086" max="13086" width="11.5703125" style="152" bestFit="1" customWidth="1"/>
    <col min="13087" max="13087" width="9.28515625" style="152" bestFit="1" customWidth="1"/>
    <col min="13088" max="13088" width="11.5703125" style="152" bestFit="1" customWidth="1"/>
    <col min="13089" max="13089" width="9.28515625" style="152" bestFit="1" customWidth="1"/>
    <col min="13090" max="13090" width="11.5703125" style="152" bestFit="1" customWidth="1"/>
    <col min="13091" max="13091" width="9.28515625" style="152" bestFit="1" customWidth="1"/>
    <col min="13092" max="13092" width="11.5703125" style="152" bestFit="1" customWidth="1"/>
    <col min="13093" max="13093" width="9.28515625" style="152" bestFit="1" customWidth="1"/>
    <col min="13094" max="13094" width="11.5703125" style="152" bestFit="1" customWidth="1"/>
    <col min="13095" max="13095" width="9.28515625" style="152" bestFit="1" customWidth="1"/>
    <col min="13096" max="13096" width="11.5703125" style="152" bestFit="1" customWidth="1"/>
    <col min="13097" max="13097" width="9.28515625" style="152" bestFit="1" customWidth="1"/>
    <col min="13098" max="13098" width="11.5703125" style="152" bestFit="1" customWidth="1"/>
    <col min="13099" max="13099" width="9.28515625" style="152" bestFit="1" customWidth="1"/>
    <col min="13100" max="13100" width="11.5703125" style="152" bestFit="1" customWidth="1"/>
    <col min="13101" max="13101" width="9.28515625" style="152" bestFit="1" customWidth="1"/>
    <col min="13102" max="13102" width="11.5703125" style="152" bestFit="1" customWidth="1"/>
    <col min="13103" max="13103" width="9.28515625" style="152" bestFit="1" customWidth="1"/>
    <col min="13104" max="13104" width="11.5703125" style="152" bestFit="1" customWidth="1"/>
    <col min="13105" max="13105" width="9.28515625" style="152" bestFit="1" customWidth="1"/>
    <col min="13106" max="13106" width="11.5703125" style="152" bestFit="1" customWidth="1"/>
    <col min="13107" max="13107" width="9.28515625" style="152" bestFit="1" customWidth="1"/>
    <col min="13108" max="13314" width="9.140625" style="152"/>
    <col min="13315" max="13315" width="29.42578125" style="152" bestFit="1" customWidth="1"/>
    <col min="13316" max="13316" width="11.5703125" style="152" bestFit="1" customWidth="1"/>
    <col min="13317" max="13317" width="9.28515625" style="152" bestFit="1" customWidth="1"/>
    <col min="13318" max="13318" width="11.5703125" style="152" bestFit="1" customWidth="1"/>
    <col min="13319" max="13319" width="9.28515625" style="152" bestFit="1" customWidth="1"/>
    <col min="13320" max="13320" width="11.5703125" style="152" bestFit="1" customWidth="1"/>
    <col min="13321" max="13321" width="9.28515625" style="152" bestFit="1" customWidth="1"/>
    <col min="13322" max="13322" width="11.5703125" style="152" bestFit="1" customWidth="1"/>
    <col min="13323" max="13323" width="9.28515625" style="152" bestFit="1" customWidth="1"/>
    <col min="13324" max="13324" width="11.5703125" style="152" bestFit="1" customWidth="1"/>
    <col min="13325" max="13325" width="9.28515625" style="152" bestFit="1" customWidth="1"/>
    <col min="13326" max="13326" width="11.5703125" style="152" bestFit="1" customWidth="1"/>
    <col min="13327" max="13327" width="9.28515625" style="152" bestFit="1" customWidth="1"/>
    <col min="13328" max="13328" width="11.5703125" style="152" bestFit="1" customWidth="1"/>
    <col min="13329" max="13329" width="9.28515625" style="152" bestFit="1" customWidth="1"/>
    <col min="13330" max="13330" width="11.5703125" style="152" bestFit="1" customWidth="1"/>
    <col min="13331" max="13331" width="9.28515625" style="152" bestFit="1" customWidth="1"/>
    <col min="13332" max="13332" width="11.5703125" style="152" bestFit="1" customWidth="1"/>
    <col min="13333" max="13333" width="9.28515625" style="152" bestFit="1" customWidth="1"/>
    <col min="13334" max="13334" width="11.5703125" style="152" bestFit="1" customWidth="1"/>
    <col min="13335" max="13335" width="9.28515625" style="152" bestFit="1" customWidth="1"/>
    <col min="13336" max="13336" width="11.5703125" style="152" bestFit="1" customWidth="1"/>
    <col min="13337" max="13337" width="9.28515625" style="152" bestFit="1" customWidth="1"/>
    <col min="13338" max="13338" width="11.5703125" style="152" bestFit="1" customWidth="1"/>
    <col min="13339" max="13339" width="9.28515625" style="152" bestFit="1" customWidth="1"/>
    <col min="13340" max="13340" width="11.5703125" style="152" bestFit="1" customWidth="1"/>
    <col min="13341" max="13341" width="9.28515625" style="152" bestFit="1" customWidth="1"/>
    <col min="13342" max="13342" width="11.5703125" style="152" bestFit="1" customWidth="1"/>
    <col min="13343" max="13343" width="9.28515625" style="152" bestFit="1" customWidth="1"/>
    <col min="13344" max="13344" width="11.5703125" style="152" bestFit="1" customWidth="1"/>
    <col min="13345" max="13345" width="9.28515625" style="152" bestFit="1" customWidth="1"/>
    <col min="13346" max="13346" width="11.5703125" style="152" bestFit="1" customWidth="1"/>
    <col min="13347" max="13347" width="9.28515625" style="152" bestFit="1" customWidth="1"/>
    <col min="13348" max="13348" width="11.5703125" style="152" bestFit="1" customWidth="1"/>
    <col min="13349" max="13349" width="9.28515625" style="152" bestFit="1" customWidth="1"/>
    <col min="13350" max="13350" width="11.5703125" style="152" bestFit="1" customWidth="1"/>
    <col min="13351" max="13351" width="9.28515625" style="152" bestFit="1" customWidth="1"/>
    <col min="13352" max="13352" width="11.5703125" style="152" bestFit="1" customWidth="1"/>
    <col min="13353" max="13353" width="9.28515625" style="152" bestFit="1" customWidth="1"/>
    <col min="13354" max="13354" width="11.5703125" style="152" bestFit="1" customWidth="1"/>
    <col min="13355" max="13355" width="9.28515625" style="152" bestFit="1" customWidth="1"/>
    <col min="13356" max="13356" width="11.5703125" style="152" bestFit="1" customWidth="1"/>
    <col min="13357" max="13357" width="9.28515625" style="152" bestFit="1" customWidth="1"/>
    <col min="13358" max="13358" width="11.5703125" style="152" bestFit="1" customWidth="1"/>
    <col min="13359" max="13359" width="9.28515625" style="152" bestFit="1" customWidth="1"/>
    <col min="13360" max="13360" width="11.5703125" style="152" bestFit="1" customWidth="1"/>
    <col min="13361" max="13361" width="9.28515625" style="152" bestFit="1" customWidth="1"/>
    <col min="13362" max="13362" width="11.5703125" style="152" bestFit="1" customWidth="1"/>
    <col min="13363" max="13363" width="9.28515625" style="152" bestFit="1" customWidth="1"/>
    <col min="13364" max="13570" width="9.140625" style="152"/>
    <col min="13571" max="13571" width="29.42578125" style="152" bestFit="1" customWidth="1"/>
    <col min="13572" max="13572" width="11.5703125" style="152" bestFit="1" customWidth="1"/>
    <col min="13573" max="13573" width="9.28515625" style="152" bestFit="1" customWidth="1"/>
    <col min="13574" max="13574" width="11.5703125" style="152" bestFit="1" customWidth="1"/>
    <col min="13575" max="13575" width="9.28515625" style="152" bestFit="1" customWidth="1"/>
    <col min="13576" max="13576" width="11.5703125" style="152" bestFit="1" customWidth="1"/>
    <col min="13577" max="13577" width="9.28515625" style="152" bestFit="1" customWidth="1"/>
    <col min="13578" max="13578" width="11.5703125" style="152" bestFit="1" customWidth="1"/>
    <col min="13579" max="13579" width="9.28515625" style="152" bestFit="1" customWidth="1"/>
    <col min="13580" max="13580" width="11.5703125" style="152" bestFit="1" customWidth="1"/>
    <col min="13581" max="13581" width="9.28515625" style="152" bestFit="1" customWidth="1"/>
    <col min="13582" max="13582" width="11.5703125" style="152" bestFit="1" customWidth="1"/>
    <col min="13583" max="13583" width="9.28515625" style="152" bestFit="1" customWidth="1"/>
    <col min="13584" max="13584" width="11.5703125" style="152" bestFit="1" customWidth="1"/>
    <col min="13585" max="13585" width="9.28515625" style="152" bestFit="1" customWidth="1"/>
    <col min="13586" max="13586" width="11.5703125" style="152" bestFit="1" customWidth="1"/>
    <col min="13587" max="13587" width="9.28515625" style="152" bestFit="1" customWidth="1"/>
    <col min="13588" max="13588" width="11.5703125" style="152" bestFit="1" customWidth="1"/>
    <col min="13589" max="13589" width="9.28515625" style="152" bestFit="1" customWidth="1"/>
    <col min="13590" max="13590" width="11.5703125" style="152" bestFit="1" customWidth="1"/>
    <col min="13591" max="13591" width="9.28515625" style="152" bestFit="1" customWidth="1"/>
    <col min="13592" max="13592" width="11.5703125" style="152" bestFit="1" customWidth="1"/>
    <col min="13593" max="13593" width="9.28515625" style="152" bestFit="1" customWidth="1"/>
    <col min="13594" max="13594" width="11.5703125" style="152" bestFit="1" customWidth="1"/>
    <col min="13595" max="13595" width="9.28515625" style="152" bestFit="1" customWidth="1"/>
    <col min="13596" max="13596" width="11.5703125" style="152" bestFit="1" customWidth="1"/>
    <col min="13597" max="13597" width="9.28515625" style="152" bestFit="1" customWidth="1"/>
    <col min="13598" max="13598" width="11.5703125" style="152" bestFit="1" customWidth="1"/>
    <col min="13599" max="13599" width="9.28515625" style="152" bestFit="1" customWidth="1"/>
    <col min="13600" max="13600" width="11.5703125" style="152" bestFit="1" customWidth="1"/>
    <col min="13601" max="13601" width="9.28515625" style="152" bestFit="1" customWidth="1"/>
    <col min="13602" max="13602" width="11.5703125" style="152" bestFit="1" customWidth="1"/>
    <col min="13603" max="13603" width="9.28515625" style="152" bestFit="1" customWidth="1"/>
    <col min="13604" max="13604" width="11.5703125" style="152" bestFit="1" customWidth="1"/>
    <col min="13605" max="13605" width="9.28515625" style="152" bestFit="1" customWidth="1"/>
    <col min="13606" max="13606" width="11.5703125" style="152" bestFit="1" customWidth="1"/>
    <col min="13607" max="13607" width="9.28515625" style="152" bestFit="1" customWidth="1"/>
    <col min="13608" max="13608" width="11.5703125" style="152" bestFit="1" customWidth="1"/>
    <col min="13609" max="13609" width="9.28515625" style="152" bestFit="1" customWidth="1"/>
    <col min="13610" max="13610" width="11.5703125" style="152" bestFit="1" customWidth="1"/>
    <col min="13611" max="13611" width="9.28515625" style="152" bestFit="1" customWidth="1"/>
    <col min="13612" max="13612" width="11.5703125" style="152" bestFit="1" customWidth="1"/>
    <col min="13613" max="13613" width="9.28515625" style="152" bestFit="1" customWidth="1"/>
    <col min="13614" max="13614" width="11.5703125" style="152" bestFit="1" customWidth="1"/>
    <col min="13615" max="13615" width="9.28515625" style="152" bestFit="1" customWidth="1"/>
    <col min="13616" max="13616" width="11.5703125" style="152" bestFit="1" customWidth="1"/>
    <col min="13617" max="13617" width="9.28515625" style="152" bestFit="1" customWidth="1"/>
    <col min="13618" max="13618" width="11.5703125" style="152" bestFit="1" customWidth="1"/>
    <col min="13619" max="13619" width="9.28515625" style="152" bestFit="1" customWidth="1"/>
    <col min="13620" max="13826" width="9.140625" style="152"/>
    <col min="13827" max="13827" width="29.42578125" style="152" bestFit="1" customWidth="1"/>
    <col min="13828" max="13828" width="11.5703125" style="152" bestFit="1" customWidth="1"/>
    <col min="13829" max="13829" width="9.28515625" style="152" bestFit="1" customWidth="1"/>
    <col min="13830" max="13830" width="11.5703125" style="152" bestFit="1" customWidth="1"/>
    <col min="13831" max="13831" width="9.28515625" style="152" bestFit="1" customWidth="1"/>
    <col min="13832" max="13832" width="11.5703125" style="152" bestFit="1" customWidth="1"/>
    <col min="13833" max="13833" width="9.28515625" style="152" bestFit="1" customWidth="1"/>
    <col min="13834" max="13834" width="11.5703125" style="152" bestFit="1" customWidth="1"/>
    <col min="13835" max="13835" width="9.28515625" style="152" bestFit="1" customWidth="1"/>
    <col min="13836" max="13836" width="11.5703125" style="152" bestFit="1" customWidth="1"/>
    <col min="13837" max="13837" width="9.28515625" style="152" bestFit="1" customWidth="1"/>
    <col min="13838" max="13838" width="11.5703125" style="152" bestFit="1" customWidth="1"/>
    <col min="13839" max="13839" width="9.28515625" style="152" bestFit="1" customWidth="1"/>
    <col min="13840" max="13840" width="11.5703125" style="152" bestFit="1" customWidth="1"/>
    <col min="13841" max="13841" width="9.28515625" style="152" bestFit="1" customWidth="1"/>
    <col min="13842" max="13842" width="11.5703125" style="152" bestFit="1" customWidth="1"/>
    <col min="13843" max="13843" width="9.28515625" style="152" bestFit="1" customWidth="1"/>
    <col min="13844" max="13844" width="11.5703125" style="152" bestFit="1" customWidth="1"/>
    <col min="13845" max="13845" width="9.28515625" style="152" bestFit="1" customWidth="1"/>
    <col min="13846" max="13846" width="11.5703125" style="152" bestFit="1" customWidth="1"/>
    <col min="13847" max="13847" width="9.28515625" style="152" bestFit="1" customWidth="1"/>
    <col min="13848" max="13848" width="11.5703125" style="152" bestFit="1" customWidth="1"/>
    <col min="13849" max="13849" width="9.28515625" style="152" bestFit="1" customWidth="1"/>
    <col min="13850" max="13850" width="11.5703125" style="152" bestFit="1" customWidth="1"/>
    <col min="13851" max="13851" width="9.28515625" style="152" bestFit="1" customWidth="1"/>
    <col min="13852" max="13852" width="11.5703125" style="152" bestFit="1" customWidth="1"/>
    <col min="13853" max="13853" width="9.28515625" style="152" bestFit="1" customWidth="1"/>
    <col min="13854" max="13854" width="11.5703125" style="152" bestFit="1" customWidth="1"/>
    <col min="13855" max="13855" width="9.28515625" style="152" bestFit="1" customWidth="1"/>
    <col min="13856" max="13856" width="11.5703125" style="152" bestFit="1" customWidth="1"/>
    <col min="13857" max="13857" width="9.28515625" style="152" bestFit="1" customWidth="1"/>
    <col min="13858" max="13858" width="11.5703125" style="152" bestFit="1" customWidth="1"/>
    <col min="13859" max="13859" width="9.28515625" style="152" bestFit="1" customWidth="1"/>
    <col min="13860" max="13860" width="11.5703125" style="152" bestFit="1" customWidth="1"/>
    <col min="13861" max="13861" width="9.28515625" style="152" bestFit="1" customWidth="1"/>
    <col min="13862" max="13862" width="11.5703125" style="152" bestFit="1" customWidth="1"/>
    <col min="13863" max="13863" width="9.28515625" style="152" bestFit="1" customWidth="1"/>
    <col min="13864" max="13864" width="11.5703125" style="152" bestFit="1" customWidth="1"/>
    <col min="13865" max="13865" width="9.28515625" style="152" bestFit="1" customWidth="1"/>
    <col min="13866" max="13866" width="11.5703125" style="152" bestFit="1" customWidth="1"/>
    <col min="13867" max="13867" width="9.28515625" style="152" bestFit="1" customWidth="1"/>
    <col min="13868" max="13868" width="11.5703125" style="152" bestFit="1" customWidth="1"/>
    <col min="13869" max="13869" width="9.28515625" style="152" bestFit="1" customWidth="1"/>
    <col min="13870" max="13870" width="11.5703125" style="152" bestFit="1" customWidth="1"/>
    <col min="13871" max="13871" width="9.28515625" style="152" bestFit="1" customWidth="1"/>
    <col min="13872" max="13872" width="11.5703125" style="152" bestFit="1" customWidth="1"/>
    <col min="13873" max="13873" width="9.28515625" style="152" bestFit="1" customWidth="1"/>
    <col min="13874" max="13874" width="11.5703125" style="152" bestFit="1" customWidth="1"/>
    <col min="13875" max="13875" width="9.28515625" style="152" bestFit="1" customWidth="1"/>
    <col min="13876" max="14082" width="9.140625" style="152"/>
    <col min="14083" max="14083" width="29.42578125" style="152" bestFit="1" customWidth="1"/>
    <col min="14084" max="14084" width="11.5703125" style="152" bestFit="1" customWidth="1"/>
    <col min="14085" max="14085" width="9.28515625" style="152" bestFit="1" customWidth="1"/>
    <col min="14086" max="14086" width="11.5703125" style="152" bestFit="1" customWidth="1"/>
    <col min="14087" max="14087" width="9.28515625" style="152" bestFit="1" customWidth="1"/>
    <col min="14088" max="14088" width="11.5703125" style="152" bestFit="1" customWidth="1"/>
    <col min="14089" max="14089" width="9.28515625" style="152" bestFit="1" customWidth="1"/>
    <col min="14090" max="14090" width="11.5703125" style="152" bestFit="1" customWidth="1"/>
    <col min="14091" max="14091" width="9.28515625" style="152" bestFit="1" customWidth="1"/>
    <col min="14092" max="14092" width="11.5703125" style="152" bestFit="1" customWidth="1"/>
    <col min="14093" max="14093" width="9.28515625" style="152" bestFit="1" customWidth="1"/>
    <col min="14094" max="14094" width="11.5703125" style="152" bestFit="1" customWidth="1"/>
    <col min="14095" max="14095" width="9.28515625" style="152" bestFit="1" customWidth="1"/>
    <col min="14096" max="14096" width="11.5703125" style="152" bestFit="1" customWidth="1"/>
    <col min="14097" max="14097" width="9.28515625" style="152" bestFit="1" customWidth="1"/>
    <col min="14098" max="14098" width="11.5703125" style="152" bestFit="1" customWidth="1"/>
    <col min="14099" max="14099" width="9.28515625" style="152" bestFit="1" customWidth="1"/>
    <col min="14100" max="14100" width="11.5703125" style="152" bestFit="1" customWidth="1"/>
    <col min="14101" max="14101" width="9.28515625" style="152" bestFit="1" customWidth="1"/>
    <col min="14102" max="14102" width="11.5703125" style="152" bestFit="1" customWidth="1"/>
    <col min="14103" max="14103" width="9.28515625" style="152" bestFit="1" customWidth="1"/>
    <col min="14104" max="14104" width="11.5703125" style="152" bestFit="1" customWidth="1"/>
    <col min="14105" max="14105" width="9.28515625" style="152" bestFit="1" customWidth="1"/>
    <col min="14106" max="14106" width="11.5703125" style="152" bestFit="1" customWidth="1"/>
    <col min="14107" max="14107" width="9.28515625" style="152" bestFit="1" customWidth="1"/>
    <col min="14108" max="14108" width="11.5703125" style="152" bestFit="1" customWidth="1"/>
    <col min="14109" max="14109" width="9.28515625" style="152" bestFit="1" customWidth="1"/>
    <col min="14110" max="14110" width="11.5703125" style="152" bestFit="1" customWidth="1"/>
    <col min="14111" max="14111" width="9.28515625" style="152" bestFit="1" customWidth="1"/>
    <col min="14112" max="14112" width="11.5703125" style="152" bestFit="1" customWidth="1"/>
    <col min="14113" max="14113" width="9.28515625" style="152" bestFit="1" customWidth="1"/>
    <col min="14114" max="14114" width="11.5703125" style="152" bestFit="1" customWidth="1"/>
    <col min="14115" max="14115" width="9.28515625" style="152" bestFit="1" customWidth="1"/>
    <col min="14116" max="14116" width="11.5703125" style="152" bestFit="1" customWidth="1"/>
    <col min="14117" max="14117" width="9.28515625" style="152" bestFit="1" customWidth="1"/>
    <col min="14118" max="14118" width="11.5703125" style="152" bestFit="1" customWidth="1"/>
    <col min="14119" max="14119" width="9.28515625" style="152" bestFit="1" customWidth="1"/>
    <col min="14120" max="14120" width="11.5703125" style="152" bestFit="1" customWidth="1"/>
    <col min="14121" max="14121" width="9.28515625" style="152" bestFit="1" customWidth="1"/>
    <col min="14122" max="14122" width="11.5703125" style="152" bestFit="1" customWidth="1"/>
    <col min="14123" max="14123" width="9.28515625" style="152" bestFit="1" customWidth="1"/>
    <col min="14124" max="14124" width="11.5703125" style="152" bestFit="1" customWidth="1"/>
    <col min="14125" max="14125" width="9.28515625" style="152" bestFit="1" customWidth="1"/>
    <col min="14126" max="14126" width="11.5703125" style="152" bestFit="1" customWidth="1"/>
    <col min="14127" max="14127" width="9.28515625" style="152" bestFit="1" customWidth="1"/>
    <col min="14128" max="14128" width="11.5703125" style="152" bestFit="1" customWidth="1"/>
    <col min="14129" max="14129" width="9.28515625" style="152" bestFit="1" customWidth="1"/>
    <col min="14130" max="14130" width="11.5703125" style="152" bestFit="1" customWidth="1"/>
    <col min="14131" max="14131" width="9.28515625" style="152" bestFit="1" customWidth="1"/>
    <col min="14132" max="14338" width="9.140625" style="152"/>
    <col min="14339" max="14339" width="29.42578125" style="152" bestFit="1" customWidth="1"/>
    <col min="14340" max="14340" width="11.5703125" style="152" bestFit="1" customWidth="1"/>
    <col min="14341" max="14341" width="9.28515625" style="152" bestFit="1" customWidth="1"/>
    <col min="14342" max="14342" width="11.5703125" style="152" bestFit="1" customWidth="1"/>
    <col min="14343" max="14343" width="9.28515625" style="152" bestFit="1" customWidth="1"/>
    <col min="14344" max="14344" width="11.5703125" style="152" bestFit="1" customWidth="1"/>
    <col min="14345" max="14345" width="9.28515625" style="152" bestFit="1" customWidth="1"/>
    <col min="14346" max="14346" width="11.5703125" style="152" bestFit="1" customWidth="1"/>
    <col min="14347" max="14347" width="9.28515625" style="152" bestFit="1" customWidth="1"/>
    <col min="14348" max="14348" width="11.5703125" style="152" bestFit="1" customWidth="1"/>
    <col min="14349" max="14349" width="9.28515625" style="152" bestFit="1" customWidth="1"/>
    <col min="14350" max="14350" width="11.5703125" style="152" bestFit="1" customWidth="1"/>
    <col min="14351" max="14351" width="9.28515625" style="152" bestFit="1" customWidth="1"/>
    <col min="14352" max="14352" width="11.5703125" style="152" bestFit="1" customWidth="1"/>
    <col min="14353" max="14353" width="9.28515625" style="152" bestFit="1" customWidth="1"/>
    <col min="14354" max="14354" width="11.5703125" style="152" bestFit="1" customWidth="1"/>
    <col min="14355" max="14355" width="9.28515625" style="152" bestFit="1" customWidth="1"/>
    <col min="14356" max="14356" width="11.5703125" style="152" bestFit="1" customWidth="1"/>
    <col min="14357" max="14357" width="9.28515625" style="152" bestFit="1" customWidth="1"/>
    <col min="14358" max="14358" width="11.5703125" style="152" bestFit="1" customWidth="1"/>
    <col min="14359" max="14359" width="9.28515625" style="152" bestFit="1" customWidth="1"/>
    <col min="14360" max="14360" width="11.5703125" style="152" bestFit="1" customWidth="1"/>
    <col min="14361" max="14361" width="9.28515625" style="152" bestFit="1" customWidth="1"/>
    <col min="14362" max="14362" width="11.5703125" style="152" bestFit="1" customWidth="1"/>
    <col min="14363" max="14363" width="9.28515625" style="152" bestFit="1" customWidth="1"/>
    <col min="14364" max="14364" width="11.5703125" style="152" bestFit="1" customWidth="1"/>
    <col min="14365" max="14365" width="9.28515625" style="152" bestFit="1" customWidth="1"/>
    <col min="14366" max="14366" width="11.5703125" style="152" bestFit="1" customWidth="1"/>
    <col min="14367" max="14367" width="9.28515625" style="152" bestFit="1" customWidth="1"/>
    <col min="14368" max="14368" width="11.5703125" style="152" bestFit="1" customWidth="1"/>
    <col min="14369" max="14369" width="9.28515625" style="152" bestFit="1" customWidth="1"/>
    <col min="14370" max="14370" width="11.5703125" style="152" bestFit="1" customWidth="1"/>
    <col min="14371" max="14371" width="9.28515625" style="152" bestFit="1" customWidth="1"/>
    <col min="14372" max="14372" width="11.5703125" style="152" bestFit="1" customWidth="1"/>
    <col min="14373" max="14373" width="9.28515625" style="152" bestFit="1" customWidth="1"/>
    <col min="14374" max="14374" width="11.5703125" style="152" bestFit="1" customWidth="1"/>
    <col min="14375" max="14375" width="9.28515625" style="152" bestFit="1" customWidth="1"/>
    <col min="14376" max="14376" width="11.5703125" style="152" bestFit="1" customWidth="1"/>
    <col min="14377" max="14377" width="9.28515625" style="152" bestFit="1" customWidth="1"/>
    <col min="14378" max="14378" width="11.5703125" style="152" bestFit="1" customWidth="1"/>
    <col min="14379" max="14379" width="9.28515625" style="152" bestFit="1" customWidth="1"/>
    <col min="14380" max="14380" width="11.5703125" style="152" bestFit="1" customWidth="1"/>
    <col min="14381" max="14381" width="9.28515625" style="152" bestFit="1" customWidth="1"/>
    <col min="14382" max="14382" width="11.5703125" style="152" bestFit="1" customWidth="1"/>
    <col min="14383" max="14383" width="9.28515625" style="152" bestFit="1" customWidth="1"/>
    <col min="14384" max="14384" width="11.5703125" style="152" bestFit="1" customWidth="1"/>
    <col min="14385" max="14385" width="9.28515625" style="152" bestFit="1" customWidth="1"/>
    <col min="14386" max="14386" width="11.5703125" style="152" bestFit="1" customWidth="1"/>
    <col min="14387" max="14387" width="9.28515625" style="152" bestFit="1" customWidth="1"/>
    <col min="14388" max="14594" width="9.140625" style="152"/>
    <col min="14595" max="14595" width="29.42578125" style="152" bestFit="1" customWidth="1"/>
    <col min="14596" max="14596" width="11.5703125" style="152" bestFit="1" customWidth="1"/>
    <col min="14597" max="14597" width="9.28515625" style="152" bestFit="1" customWidth="1"/>
    <col min="14598" max="14598" width="11.5703125" style="152" bestFit="1" customWidth="1"/>
    <col min="14599" max="14599" width="9.28515625" style="152" bestFit="1" customWidth="1"/>
    <col min="14600" max="14600" width="11.5703125" style="152" bestFit="1" customWidth="1"/>
    <col min="14601" max="14601" width="9.28515625" style="152" bestFit="1" customWidth="1"/>
    <col min="14602" max="14602" width="11.5703125" style="152" bestFit="1" customWidth="1"/>
    <col min="14603" max="14603" width="9.28515625" style="152" bestFit="1" customWidth="1"/>
    <col min="14604" max="14604" width="11.5703125" style="152" bestFit="1" customWidth="1"/>
    <col min="14605" max="14605" width="9.28515625" style="152" bestFit="1" customWidth="1"/>
    <col min="14606" max="14606" width="11.5703125" style="152" bestFit="1" customWidth="1"/>
    <col min="14607" max="14607" width="9.28515625" style="152" bestFit="1" customWidth="1"/>
    <col min="14608" max="14608" width="11.5703125" style="152" bestFit="1" customWidth="1"/>
    <col min="14609" max="14609" width="9.28515625" style="152" bestFit="1" customWidth="1"/>
    <col min="14610" max="14610" width="11.5703125" style="152" bestFit="1" customWidth="1"/>
    <col min="14611" max="14611" width="9.28515625" style="152" bestFit="1" customWidth="1"/>
    <col min="14612" max="14612" width="11.5703125" style="152" bestFit="1" customWidth="1"/>
    <col min="14613" max="14613" width="9.28515625" style="152" bestFit="1" customWidth="1"/>
    <col min="14614" max="14614" width="11.5703125" style="152" bestFit="1" customWidth="1"/>
    <col min="14615" max="14615" width="9.28515625" style="152" bestFit="1" customWidth="1"/>
    <col min="14616" max="14616" width="11.5703125" style="152" bestFit="1" customWidth="1"/>
    <col min="14617" max="14617" width="9.28515625" style="152" bestFit="1" customWidth="1"/>
    <col min="14618" max="14618" width="11.5703125" style="152" bestFit="1" customWidth="1"/>
    <col min="14619" max="14619" width="9.28515625" style="152" bestFit="1" customWidth="1"/>
    <col min="14620" max="14620" width="11.5703125" style="152" bestFit="1" customWidth="1"/>
    <col min="14621" max="14621" width="9.28515625" style="152" bestFit="1" customWidth="1"/>
    <col min="14622" max="14622" width="11.5703125" style="152" bestFit="1" customWidth="1"/>
    <col min="14623" max="14623" width="9.28515625" style="152" bestFit="1" customWidth="1"/>
    <col min="14624" max="14624" width="11.5703125" style="152" bestFit="1" customWidth="1"/>
    <col min="14625" max="14625" width="9.28515625" style="152" bestFit="1" customWidth="1"/>
    <col min="14626" max="14626" width="11.5703125" style="152" bestFit="1" customWidth="1"/>
    <col min="14627" max="14627" width="9.28515625" style="152" bestFit="1" customWidth="1"/>
    <col min="14628" max="14628" width="11.5703125" style="152" bestFit="1" customWidth="1"/>
    <col min="14629" max="14629" width="9.28515625" style="152" bestFit="1" customWidth="1"/>
    <col min="14630" max="14630" width="11.5703125" style="152" bestFit="1" customWidth="1"/>
    <col min="14631" max="14631" width="9.28515625" style="152" bestFit="1" customWidth="1"/>
    <col min="14632" max="14632" width="11.5703125" style="152" bestFit="1" customWidth="1"/>
    <col min="14633" max="14633" width="9.28515625" style="152" bestFit="1" customWidth="1"/>
    <col min="14634" max="14634" width="11.5703125" style="152" bestFit="1" customWidth="1"/>
    <col min="14635" max="14635" width="9.28515625" style="152" bestFit="1" customWidth="1"/>
    <col min="14636" max="14636" width="11.5703125" style="152" bestFit="1" customWidth="1"/>
    <col min="14637" max="14637" width="9.28515625" style="152" bestFit="1" customWidth="1"/>
    <col min="14638" max="14638" width="11.5703125" style="152" bestFit="1" customWidth="1"/>
    <col min="14639" max="14639" width="9.28515625" style="152" bestFit="1" customWidth="1"/>
    <col min="14640" max="14640" width="11.5703125" style="152" bestFit="1" customWidth="1"/>
    <col min="14641" max="14641" width="9.28515625" style="152" bestFit="1" customWidth="1"/>
    <col min="14642" max="14642" width="11.5703125" style="152" bestFit="1" customWidth="1"/>
    <col min="14643" max="14643" width="9.28515625" style="152" bestFit="1" customWidth="1"/>
    <col min="14644" max="14850" width="9.140625" style="152"/>
    <col min="14851" max="14851" width="29.42578125" style="152" bestFit="1" customWidth="1"/>
    <col min="14852" max="14852" width="11.5703125" style="152" bestFit="1" customWidth="1"/>
    <col min="14853" max="14853" width="9.28515625" style="152" bestFit="1" customWidth="1"/>
    <col min="14854" max="14854" width="11.5703125" style="152" bestFit="1" customWidth="1"/>
    <col min="14855" max="14855" width="9.28515625" style="152" bestFit="1" customWidth="1"/>
    <col min="14856" max="14856" width="11.5703125" style="152" bestFit="1" customWidth="1"/>
    <col min="14857" max="14857" width="9.28515625" style="152" bestFit="1" customWidth="1"/>
    <col min="14858" max="14858" width="11.5703125" style="152" bestFit="1" customWidth="1"/>
    <col min="14859" max="14859" width="9.28515625" style="152" bestFit="1" customWidth="1"/>
    <col min="14860" max="14860" width="11.5703125" style="152" bestFit="1" customWidth="1"/>
    <col min="14861" max="14861" width="9.28515625" style="152" bestFit="1" customWidth="1"/>
    <col min="14862" max="14862" width="11.5703125" style="152" bestFit="1" customWidth="1"/>
    <col min="14863" max="14863" width="9.28515625" style="152" bestFit="1" customWidth="1"/>
    <col min="14864" max="14864" width="11.5703125" style="152" bestFit="1" customWidth="1"/>
    <col min="14865" max="14865" width="9.28515625" style="152" bestFit="1" customWidth="1"/>
    <col min="14866" max="14866" width="11.5703125" style="152" bestFit="1" customWidth="1"/>
    <col min="14867" max="14867" width="9.28515625" style="152" bestFit="1" customWidth="1"/>
    <col min="14868" max="14868" width="11.5703125" style="152" bestFit="1" customWidth="1"/>
    <col min="14869" max="14869" width="9.28515625" style="152" bestFit="1" customWidth="1"/>
    <col min="14870" max="14870" width="11.5703125" style="152" bestFit="1" customWidth="1"/>
    <col min="14871" max="14871" width="9.28515625" style="152" bestFit="1" customWidth="1"/>
    <col min="14872" max="14872" width="11.5703125" style="152" bestFit="1" customWidth="1"/>
    <col min="14873" max="14873" width="9.28515625" style="152" bestFit="1" customWidth="1"/>
    <col min="14874" max="14874" width="11.5703125" style="152" bestFit="1" customWidth="1"/>
    <col min="14875" max="14875" width="9.28515625" style="152" bestFit="1" customWidth="1"/>
    <col min="14876" max="14876" width="11.5703125" style="152" bestFit="1" customWidth="1"/>
    <col min="14877" max="14877" width="9.28515625" style="152" bestFit="1" customWidth="1"/>
    <col min="14878" max="14878" width="11.5703125" style="152" bestFit="1" customWidth="1"/>
    <col min="14879" max="14879" width="9.28515625" style="152" bestFit="1" customWidth="1"/>
    <col min="14880" max="14880" width="11.5703125" style="152" bestFit="1" customWidth="1"/>
    <col min="14881" max="14881" width="9.28515625" style="152" bestFit="1" customWidth="1"/>
    <col min="14882" max="14882" width="11.5703125" style="152" bestFit="1" customWidth="1"/>
    <col min="14883" max="14883" width="9.28515625" style="152" bestFit="1" customWidth="1"/>
    <col min="14884" max="14884" width="11.5703125" style="152" bestFit="1" customWidth="1"/>
    <col min="14885" max="14885" width="9.28515625" style="152" bestFit="1" customWidth="1"/>
    <col min="14886" max="14886" width="11.5703125" style="152" bestFit="1" customWidth="1"/>
    <col min="14887" max="14887" width="9.28515625" style="152" bestFit="1" customWidth="1"/>
    <col min="14888" max="14888" width="11.5703125" style="152" bestFit="1" customWidth="1"/>
    <col min="14889" max="14889" width="9.28515625" style="152" bestFit="1" customWidth="1"/>
    <col min="14890" max="14890" width="11.5703125" style="152" bestFit="1" customWidth="1"/>
    <col min="14891" max="14891" width="9.28515625" style="152" bestFit="1" customWidth="1"/>
    <col min="14892" max="14892" width="11.5703125" style="152" bestFit="1" customWidth="1"/>
    <col min="14893" max="14893" width="9.28515625" style="152" bestFit="1" customWidth="1"/>
    <col min="14894" max="14894" width="11.5703125" style="152" bestFit="1" customWidth="1"/>
    <col min="14895" max="14895" width="9.28515625" style="152" bestFit="1" customWidth="1"/>
    <col min="14896" max="14896" width="11.5703125" style="152" bestFit="1" customWidth="1"/>
    <col min="14897" max="14897" width="9.28515625" style="152" bestFit="1" customWidth="1"/>
    <col min="14898" max="14898" width="11.5703125" style="152" bestFit="1" customWidth="1"/>
    <col min="14899" max="14899" width="9.28515625" style="152" bestFit="1" customWidth="1"/>
    <col min="14900" max="15106" width="9.140625" style="152"/>
    <col min="15107" max="15107" width="29.42578125" style="152" bestFit="1" customWidth="1"/>
    <col min="15108" max="15108" width="11.5703125" style="152" bestFit="1" customWidth="1"/>
    <col min="15109" max="15109" width="9.28515625" style="152" bestFit="1" customWidth="1"/>
    <col min="15110" max="15110" width="11.5703125" style="152" bestFit="1" customWidth="1"/>
    <col min="15111" max="15111" width="9.28515625" style="152" bestFit="1" customWidth="1"/>
    <col min="15112" max="15112" width="11.5703125" style="152" bestFit="1" customWidth="1"/>
    <col min="15113" max="15113" width="9.28515625" style="152" bestFit="1" customWidth="1"/>
    <col min="15114" max="15114" width="11.5703125" style="152" bestFit="1" customWidth="1"/>
    <col min="15115" max="15115" width="9.28515625" style="152" bestFit="1" customWidth="1"/>
    <col min="15116" max="15116" width="11.5703125" style="152" bestFit="1" customWidth="1"/>
    <col min="15117" max="15117" width="9.28515625" style="152" bestFit="1" customWidth="1"/>
    <col min="15118" max="15118" width="11.5703125" style="152" bestFit="1" customWidth="1"/>
    <col min="15119" max="15119" width="9.28515625" style="152" bestFit="1" customWidth="1"/>
    <col min="15120" max="15120" width="11.5703125" style="152" bestFit="1" customWidth="1"/>
    <col min="15121" max="15121" width="9.28515625" style="152" bestFit="1" customWidth="1"/>
    <col min="15122" max="15122" width="11.5703125" style="152" bestFit="1" customWidth="1"/>
    <col min="15123" max="15123" width="9.28515625" style="152" bestFit="1" customWidth="1"/>
    <col min="15124" max="15124" width="11.5703125" style="152" bestFit="1" customWidth="1"/>
    <col min="15125" max="15125" width="9.28515625" style="152" bestFit="1" customWidth="1"/>
    <col min="15126" max="15126" width="11.5703125" style="152" bestFit="1" customWidth="1"/>
    <col min="15127" max="15127" width="9.28515625" style="152" bestFit="1" customWidth="1"/>
    <col min="15128" max="15128" width="11.5703125" style="152" bestFit="1" customWidth="1"/>
    <col min="15129" max="15129" width="9.28515625" style="152" bestFit="1" customWidth="1"/>
    <col min="15130" max="15130" width="11.5703125" style="152" bestFit="1" customWidth="1"/>
    <col min="15131" max="15131" width="9.28515625" style="152" bestFit="1" customWidth="1"/>
    <col min="15132" max="15132" width="11.5703125" style="152" bestFit="1" customWidth="1"/>
    <col min="15133" max="15133" width="9.28515625" style="152" bestFit="1" customWidth="1"/>
    <col min="15134" max="15134" width="11.5703125" style="152" bestFit="1" customWidth="1"/>
    <col min="15135" max="15135" width="9.28515625" style="152" bestFit="1" customWidth="1"/>
    <col min="15136" max="15136" width="11.5703125" style="152" bestFit="1" customWidth="1"/>
    <col min="15137" max="15137" width="9.28515625" style="152" bestFit="1" customWidth="1"/>
    <col min="15138" max="15138" width="11.5703125" style="152" bestFit="1" customWidth="1"/>
    <col min="15139" max="15139" width="9.28515625" style="152" bestFit="1" customWidth="1"/>
    <col min="15140" max="15140" width="11.5703125" style="152" bestFit="1" customWidth="1"/>
    <col min="15141" max="15141" width="9.28515625" style="152" bestFit="1" customWidth="1"/>
    <col min="15142" max="15142" width="11.5703125" style="152" bestFit="1" customWidth="1"/>
    <col min="15143" max="15143" width="9.28515625" style="152" bestFit="1" customWidth="1"/>
    <col min="15144" max="15144" width="11.5703125" style="152" bestFit="1" customWidth="1"/>
    <col min="15145" max="15145" width="9.28515625" style="152" bestFit="1" customWidth="1"/>
    <col min="15146" max="15146" width="11.5703125" style="152" bestFit="1" customWidth="1"/>
    <col min="15147" max="15147" width="9.28515625" style="152" bestFit="1" customWidth="1"/>
    <col min="15148" max="15148" width="11.5703125" style="152" bestFit="1" customWidth="1"/>
    <col min="15149" max="15149" width="9.28515625" style="152" bestFit="1" customWidth="1"/>
    <col min="15150" max="15150" width="11.5703125" style="152" bestFit="1" customWidth="1"/>
    <col min="15151" max="15151" width="9.28515625" style="152" bestFit="1" customWidth="1"/>
    <col min="15152" max="15152" width="11.5703125" style="152" bestFit="1" customWidth="1"/>
    <col min="15153" max="15153" width="9.28515625" style="152" bestFit="1" customWidth="1"/>
    <col min="15154" max="15154" width="11.5703125" style="152" bestFit="1" customWidth="1"/>
    <col min="15155" max="15155" width="9.28515625" style="152" bestFit="1" customWidth="1"/>
    <col min="15156" max="15362" width="9.140625" style="152"/>
    <col min="15363" max="15363" width="29.42578125" style="152" bestFit="1" customWidth="1"/>
    <col min="15364" max="15364" width="11.5703125" style="152" bestFit="1" customWidth="1"/>
    <col min="15365" max="15365" width="9.28515625" style="152" bestFit="1" customWidth="1"/>
    <col min="15366" max="15366" width="11.5703125" style="152" bestFit="1" customWidth="1"/>
    <col min="15367" max="15367" width="9.28515625" style="152" bestFit="1" customWidth="1"/>
    <col min="15368" max="15368" width="11.5703125" style="152" bestFit="1" customWidth="1"/>
    <col min="15369" max="15369" width="9.28515625" style="152" bestFit="1" customWidth="1"/>
    <col min="15370" max="15370" width="11.5703125" style="152" bestFit="1" customWidth="1"/>
    <col min="15371" max="15371" width="9.28515625" style="152" bestFit="1" customWidth="1"/>
    <col min="15372" max="15372" width="11.5703125" style="152" bestFit="1" customWidth="1"/>
    <col min="15373" max="15373" width="9.28515625" style="152" bestFit="1" customWidth="1"/>
    <col min="15374" max="15374" width="11.5703125" style="152" bestFit="1" customWidth="1"/>
    <col min="15375" max="15375" width="9.28515625" style="152" bestFit="1" customWidth="1"/>
    <col min="15376" max="15376" width="11.5703125" style="152" bestFit="1" customWidth="1"/>
    <col min="15377" max="15377" width="9.28515625" style="152" bestFit="1" customWidth="1"/>
    <col min="15378" max="15378" width="11.5703125" style="152" bestFit="1" customWidth="1"/>
    <col min="15379" max="15379" width="9.28515625" style="152" bestFit="1" customWidth="1"/>
    <col min="15380" max="15380" width="11.5703125" style="152" bestFit="1" customWidth="1"/>
    <col min="15381" max="15381" width="9.28515625" style="152" bestFit="1" customWidth="1"/>
    <col min="15382" max="15382" width="11.5703125" style="152" bestFit="1" customWidth="1"/>
    <col min="15383" max="15383" width="9.28515625" style="152" bestFit="1" customWidth="1"/>
    <col min="15384" max="15384" width="11.5703125" style="152" bestFit="1" customWidth="1"/>
    <col min="15385" max="15385" width="9.28515625" style="152" bestFit="1" customWidth="1"/>
    <col min="15386" max="15386" width="11.5703125" style="152" bestFit="1" customWidth="1"/>
    <col min="15387" max="15387" width="9.28515625" style="152" bestFit="1" customWidth="1"/>
    <col min="15388" max="15388" width="11.5703125" style="152" bestFit="1" customWidth="1"/>
    <col min="15389" max="15389" width="9.28515625" style="152" bestFit="1" customWidth="1"/>
    <col min="15390" max="15390" width="11.5703125" style="152" bestFit="1" customWidth="1"/>
    <col min="15391" max="15391" width="9.28515625" style="152" bestFit="1" customWidth="1"/>
    <col min="15392" max="15392" width="11.5703125" style="152" bestFit="1" customWidth="1"/>
    <col min="15393" max="15393" width="9.28515625" style="152" bestFit="1" customWidth="1"/>
    <col min="15394" max="15394" width="11.5703125" style="152" bestFit="1" customWidth="1"/>
    <col min="15395" max="15395" width="9.28515625" style="152" bestFit="1" customWidth="1"/>
    <col min="15396" max="15396" width="11.5703125" style="152" bestFit="1" customWidth="1"/>
    <col min="15397" max="15397" width="9.28515625" style="152" bestFit="1" customWidth="1"/>
    <col min="15398" max="15398" width="11.5703125" style="152" bestFit="1" customWidth="1"/>
    <col min="15399" max="15399" width="9.28515625" style="152" bestFit="1" customWidth="1"/>
    <col min="15400" max="15400" width="11.5703125" style="152" bestFit="1" customWidth="1"/>
    <col min="15401" max="15401" width="9.28515625" style="152" bestFit="1" customWidth="1"/>
    <col min="15402" max="15402" width="11.5703125" style="152" bestFit="1" customWidth="1"/>
    <col min="15403" max="15403" width="9.28515625" style="152" bestFit="1" customWidth="1"/>
    <col min="15404" max="15404" width="11.5703125" style="152" bestFit="1" customWidth="1"/>
    <col min="15405" max="15405" width="9.28515625" style="152" bestFit="1" customWidth="1"/>
    <col min="15406" max="15406" width="11.5703125" style="152" bestFit="1" customWidth="1"/>
    <col min="15407" max="15407" width="9.28515625" style="152" bestFit="1" customWidth="1"/>
    <col min="15408" max="15408" width="11.5703125" style="152" bestFit="1" customWidth="1"/>
    <col min="15409" max="15409" width="9.28515625" style="152" bestFit="1" customWidth="1"/>
    <col min="15410" max="15410" width="11.5703125" style="152" bestFit="1" customWidth="1"/>
    <col min="15411" max="15411" width="9.28515625" style="152" bestFit="1" customWidth="1"/>
    <col min="15412" max="15618" width="9.140625" style="152"/>
    <col min="15619" max="15619" width="29.42578125" style="152" bestFit="1" customWidth="1"/>
    <col min="15620" max="15620" width="11.5703125" style="152" bestFit="1" customWidth="1"/>
    <col min="15621" max="15621" width="9.28515625" style="152" bestFit="1" customWidth="1"/>
    <col min="15622" max="15622" width="11.5703125" style="152" bestFit="1" customWidth="1"/>
    <col min="15623" max="15623" width="9.28515625" style="152" bestFit="1" customWidth="1"/>
    <col min="15624" max="15624" width="11.5703125" style="152" bestFit="1" customWidth="1"/>
    <col min="15625" max="15625" width="9.28515625" style="152" bestFit="1" customWidth="1"/>
    <col min="15626" max="15626" width="11.5703125" style="152" bestFit="1" customWidth="1"/>
    <col min="15627" max="15627" width="9.28515625" style="152" bestFit="1" customWidth="1"/>
    <col min="15628" max="15628" width="11.5703125" style="152" bestFit="1" customWidth="1"/>
    <col min="15629" max="15629" width="9.28515625" style="152" bestFit="1" customWidth="1"/>
    <col min="15630" max="15630" width="11.5703125" style="152" bestFit="1" customWidth="1"/>
    <col min="15631" max="15631" width="9.28515625" style="152" bestFit="1" customWidth="1"/>
    <col min="15632" max="15632" width="11.5703125" style="152" bestFit="1" customWidth="1"/>
    <col min="15633" max="15633" width="9.28515625" style="152" bestFit="1" customWidth="1"/>
    <col min="15634" max="15634" width="11.5703125" style="152" bestFit="1" customWidth="1"/>
    <col min="15635" max="15635" width="9.28515625" style="152" bestFit="1" customWidth="1"/>
    <col min="15636" max="15636" width="11.5703125" style="152" bestFit="1" customWidth="1"/>
    <col min="15637" max="15637" width="9.28515625" style="152" bestFit="1" customWidth="1"/>
    <col min="15638" max="15638" width="11.5703125" style="152" bestFit="1" customWidth="1"/>
    <col min="15639" max="15639" width="9.28515625" style="152" bestFit="1" customWidth="1"/>
    <col min="15640" max="15640" width="11.5703125" style="152" bestFit="1" customWidth="1"/>
    <col min="15641" max="15641" width="9.28515625" style="152" bestFit="1" customWidth="1"/>
    <col min="15642" max="15642" width="11.5703125" style="152" bestFit="1" customWidth="1"/>
    <col min="15643" max="15643" width="9.28515625" style="152" bestFit="1" customWidth="1"/>
    <col min="15644" max="15644" width="11.5703125" style="152" bestFit="1" customWidth="1"/>
    <col min="15645" max="15645" width="9.28515625" style="152" bestFit="1" customWidth="1"/>
    <col min="15646" max="15646" width="11.5703125" style="152" bestFit="1" customWidth="1"/>
    <col min="15647" max="15647" width="9.28515625" style="152" bestFit="1" customWidth="1"/>
    <col min="15648" max="15648" width="11.5703125" style="152" bestFit="1" customWidth="1"/>
    <col min="15649" max="15649" width="9.28515625" style="152" bestFit="1" customWidth="1"/>
    <col min="15650" max="15650" width="11.5703125" style="152" bestFit="1" customWidth="1"/>
    <col min="15651" max="15651" width="9.28515625" style="152" bestFit="1" customWidth="1"/>
    <col min="15652" max="15652" width="11.5703125" style="152" bestFit="1" customWidth="1"/>
    <col min="15653" max="15653" width="9.28515625" style="152" bestFit="1" customWidth="1"/>
    <col min="15654" max="15654" width="11.5703125" style="152" bestFit="1" customWidth="1"/>
    <col min="15655" max="15655" width="9.28515625" style="152" bestFit="1" customWidth="1"/>
    <col min="15656" max="15656" width="11.5703125" style="152" bestFit="1" customWidth="1"/>
    <col min="15657" max="15657" width="9.28515625" style="152" bestFit="1" customWidth="1"/>
    <col min="15658" max="15658" width="11.5703125" style="152" bestFit="1" customWidth="1"/>
    <col min="15659" max="15659" width="9.28515625" style="152" bestFit="1" customWidth="1"/>
    <col min="15660" max="15660" width="11.5703125" style="152" bestFit="1" customWidth="1"/>
    <col min="15661" max="15661" width="9.28515625" style="152" bestFit="1" customWidth="1"/>
    <col min="15662" max="15662" width="11.5703125" style="152" bestFit="1" customWidth="1"/>
    <col min="15663" max="15663" width="9.28515625" style="152" bestFit="1" customWidth="1"/>
    <col min="15664" max="15664" width="11.5703125" style="152" bestFit="1" customWidth="1"/>
    <col min="15665" max="15665" width="9.28515625" style="152" bestFit="1" customWidth="1"/>
    <col min="15666" max="15666" width="11.5703125" style="152" bestFit="1" customWidth="1"/>
    <col min="15667" max="15667" width="9.28515625" style="152" bestFit="1" customWidth="1"/>
    <col min="15668" max="15874" width="9.140625" style="152"/>
    <col min="15875" max="15875" width="29.42578125" style="152" bestFit="1" customWidth="1"/>
    <col min="15876" max="15876" width="11.5703125" style="152" bestFit="1" customWidth="1"/>
    <col min="15877" max="15877" width="9.28515625" style="152" bestFit="1" customWidth="1"/>
    <col min="15878" max="15878" width="11.5703125" style="152" bestFit="1" customWidth="1"/>
    <col min="15879" max="15879" width="9.28515625" style="152" bestFit="1" customWidth="1"/>
    <col min="15880" max="15880" width="11.5703125" style="152" bestFit="1" customWidth="1"/>
    <col min="15881" max="15881" width="9.28515625" style="152" bestFit="1" customWidth="1"/>
    <col min="15882" max="15882" width="11.5703125" style="152" bestFit="1" customWidth="1"/>
    <col min="15883" max="15883" width="9.28515625" style="152" bestFit="1" customWidth="1"/>
    <col min="15884" max="15884" width="11.5703125" style="152" bestFit="1" customWidth="1"/>
    <col min="15885" max="15885" width="9.28515625" style="152" bestFit="1" customWidth="1"/>
    <col min="15886" max="15886" width="11.5703125" style="152" bestFit="1" customWidth="1"/>
    <col min="15887" max="15887" width="9.28515625" style="152" bestFit="1" customWidth="1"/>
    <col min="15888" max="15888" width="11.5703125" style="152" bestFit="1" customWidth="1"/>
    <col min="15889" max="15889" width="9.28515625" style="152" bestFit="1" customWidth="1"/>
    <col min="15890" max="15890" width="11.5703125" style="152" bestFit="1" customWidth="1"/>
    <col min="15891" max="15891" width="9.28515625" style="152" bestFit="1" customWidth="1"/>
    <col min="15892" max="15892" width="11.5703125" style="152" bestFit="1" customWidth="1"/>
    <col min="15893" max="15893" width="9.28515625" style="152" bestFit="1" customWidth="1"/>
    <col min="15894" max="15894" width="11.5703125" style="152" bestFit="1" customWidth="1"/>
    <col min="15895" max="15895" width="9.28515625" style="152" bestFit="1" customWidth="1"/>
    <col min="15896" max="15896" width="11.5703125" style="152" bestFit="1" customWidth="1"/>
    <col min="15897" max="15897" width="9.28515625" style="152" bestFit="1" customWidth="1"/>
    <col min="15898" max="15898" width="11.5703125" style="152" bestFit="1" customWidth="1"/>
    <col min="15899" max="15899" width="9.28515625" style="152" bestFit="1" customWidth="1"/>
    <col min="15900" max="15900" width="11.5703125" style="152" bestFit="1" customWidth="1"/>
    <col min="15901" max="15901" width="9.28515625" style="152" bestFit="1" customWidth="1"/>
    <col min="15902" max="15902" width="11.5703125" style="152" bestFit="1" customWidth="1"/>
    <col min="15903" max="15903" width="9.28515625" style="152" bestFit="1" customWidth="1"/>
    <col min="15904" max="15904" width="11.5703125" style="152" bestFit="1" customWidth="1"/>
    <col min="15905" max="15905" width="9.28515625" style="152" bestFit="1" customWidth="1"/>
    <col min="15906" max="15906" width="11.5703125" style="152" bestFit="1" customWidth="1"/>
    <col min="15907" max="15907" width="9.28515625" style="152" bestFit="1" customWidth="1"/>
    <col min="15908" max="15908" width="11.5703125" style="152" bestFit="1" customWidth="1"/>
    <col min="15909" max="15909" width="9.28515625" style="152" bestFit="1" customWidth="1"/>
    <col min="15910" max="15910" width="11.5703125" style="152" bestFit="1" customWidth="1"/>
    <col min="15911" max="15911" width="9.28515625" style="152" bestFit="1" customWidth="1"/>
    <col min="15912" max="15912" width="11.5703125" style="152" bestFit="1" customWidth="1"/>
    <col min="15913" max="15913" width="9.28515625" style="152" bestFit="1" customWidth="1"/>
    <col min="15914" max="15914" width="11.5703125" style="152" bestFit="1" customWidth="1"/>
    <col min="15915" max="15915" width="9.28515625" style="152" bestFit="1" customWidth="1"/>
    <col min="15916" max="15916" width="11.5703125" style="152" bestFit="1" customWidth="1"/>
    <col min="15917" max="15917" width="9.28515625" style="152" bestFit="1" customWidth="1"/>
    <col min="15918" max="15918" width="11.5703125" style="152" bestFit="1" customWidth="1"/>
    <col min="15919" max="15919" width="9.28515625" style="152" bestFit="1" customWidth="1"/>
    <col min="15920" max="15920" width="11.5703125" style="152" bestFit="1" customWidth="1"/>
    <col min="15921" max="15921" width="9.28515625" style="152" bestFit="1" customWidth="1"/>
    <col min="15922" max="15922" width="11.5703125" style="152" bestFit="1" customWidth="1"/>
    <col min="15923" max="15923" width="9.28515625" style="152" bestFit="1" customWidth="1"/>
    <col min="15924" max="16130" width="9.140625" style="152"/>
    <col min="16131" max="16131" width="29.42578125" style="152" bestFit="1" customWidth="1"/>
    <col min="16132" max="16132" width="11.5703125" style="152" bestFit="1" customWidth="1"/>
    <col min="16133" max="16133" width="9.28515625" style="152" bestFit="1" customWidth="1"/>
    <col min="16134" max="16134" width="11.5703125" style="152" bestFit="1" customWidth="1"/>
    <col min="16135" max="16135" width="9.28515625" style="152" bestFit="1" customWidth="1"/>
    <col min="16136" max="16136" width="11.5703125" style="152" bestFit="1" customWidth="1"/>
    <col min="16137" max="16137" width="9.28515625" style="152" bestFit="1" customWidth="1"/>
    <col min="16138" max="16138" width="11.5703125" style="152" bestFit="1" customWidth="1"/>
    <col min="16139" max="16139" width="9.28515625" style="152" bestFit="1" customWidth="1"/>
    <col min="16140" max="16140" width="11.5703125" style="152" bestFit="1" customWidth="1"/>
    <col min="16141" max="16141" width="9.28515625" style="152" bestFit="1" customWidth="1"/>
    <col min="16142" max="16142" width="11.5703125" style="152" bestFit="1" customWidth="1"/>
    <col min="16143" max="16143" width="9.28515625" style="152" bestFit="1" customWidth="1"/>
    <col min="16144" max="16144" width="11.5703125" style="152" bestFit="1" customWidth="1"/>
    <col min="16145" max="16145" width="9.28515625" style="152" bestFit="1" customWidth="1"/>
    <col min="16146" max="16146" width="11.5703125" style="152" bestFit="1" customWidth="1"/>
    <col min="16147" max="16147" width="9.28515625" style="152" bestFit="1" customWidth="1"/>
    <col min="16148" max="16148" width="11.5703125" style="152" bestFit="1" customWidth="1"/>
    <col min="16149" max="16149" width="9.28515625" style="152" bestFit="1" customWidth="1"/>
    <col min="16150" max="16150" width="11.5703125" style="152" bestFit="1" customWidth="1"/>
    <col min="16151" max="16151" width="9.28515625" style="152" bestFit="1" customWidth="1"/>
    <col min="16152" max="16152" width="11.5703125" style="152" bestFit="1" customWidth="1"/>
    <col min="16153" max="16153" width="9.28515625" style="152" bestFit="1" customWidth="1"/>
    <col min="16154" max="16154" width="11.5703125" style="152" bestFit="1" customWidth="1"/>
    <col min="16155" max="16155" width="9.28515625" style="152" bestFit="1" customWidth="1"/>
    <col min="16156" max="16156" width="11.5703125" style="152" bestFit="1" customWidth="1"/>
    <col min="16157" max="16157" width="9.28515625" style="152" bestFit="1" customWidth="1"/>
    <col min="16158" max="16158" width="11.5703125" style="152" bestFit="1" customWidth="1"/>
    <col min="16159" max="16159" width="9.28515625" style="152" bestFit="1" customWidth="1"/>
    <col min="16160" max="16160" width="11.5703125" style="152" bestFit="1" customWidth="1"/>
    <col min="16161" max="16161" width="9.28515625" style="152" bestFit="1" customWidth="1"/>
    <col min="16162" max="16162" width="11.5703125" style="152" bestFit="1" customWidth="1"/>
    <col min="16163" max="16163" width="9.28515625" style="152" bestFit="1" customWidth="1"/>
    <col min="16164" max="16164" width="11.5703125" style="152" bestFit="1" customWidth="1"/>
    <col min="16165" max="16165" width="9.28515625" style="152" bestFit="1" customWidth="1"/>
    <col min="16166" max="16166" width="11.5703125" style="152" bestFit="1" customWidth="1"/>
    <col min="16167" max="16167" width="9.28515625" style="152" bestFit="1" customWidth="1"/>
    <col min="16168" max="16168" width="11.5703125" style="152" bestFit="1" customWidth="1"/>
    <col min="16169" max="16169" width="9.28515625" style="152" bestFit="1" customWidth="1"/>
    <col min="16170" max="16170" width="11.5703125" style="152" bestFit="1" customWidth="1"/>
    <col min="16171" max="16171" width="9.28515625" style="152" bestFit="1" customWidth="1"/>
    <col min="16172" max="16172" width="11.5703125" style="152" bestFit="1" customWidth="1"/>
    <col min="16173" max="16173" width="9.28515625" style="152" bestFit="1" customWidth="1"/>
    <col min="16174" max="16174" width="11.5703125" style="152" bestFit="1" customWidth="1"/>
    <col min="16175" max="16175" width="9.28515625" style="152" bestFit="1" customWidth="1"/>
    <col min="16176" max="16176" width="11.5703125" style="152" bestFit="1" customWidth="1"/>
    <col min="16177" max="16177" width="9.28515625" style="152" bestFit="1" customWidth="1"/>
    <col min="16178" max="16178" width="11.5703125" style="152" bestFit="1" customWidth="1"/>
    <col min="16179" max="16179" width="9.28515625" style="152" bestFit="1" customWidth="1"/>
    <col min="16180" max="16384" width="9.140625" style="152"/>
  </cols>
  <sheetData>
    <row r="1" spans="1:51" s="23" customFormat="1">
      <c r="A1" s="152"/>
      <c r="B1" s="158" t="s">
        <v>145</v>
      </c>
      <c r="C1" s="152"/>
      <c r="D1" s="152">
        <v>3</v>
      </c>
      <c r="E1" s="152">
        <f>D1+1</f>
        <v>4</v>
      </c>
      <c r="F1" s="271">
        <f t="shared" ref="F1:AY1" si="0">E1+1</f>
        <v>5</v>
      </c>
      <c r="G1" s="271">
        <f t="shared" si="0"/>
        <v>6</v>
      </c>
      <c r="H1" s="271">
        <f t="shared" si="0"/>
        <v>7</v>
      </c>
      <c r="I1" s="271">
        <f t="shared" si="0"/>
        <v>8</v>
      </c>
      <c r="J1" s="271">
        <f t="shared" si="0"/>
        <v>9</v>
      </c>
      <c r="K1" s="271">
        <f t="shared" si="0"/>
        <v>10</v>
      </c>
      <c r="L1" s="271">
        <f t="shared" si="0"/>
        <v>11</v>
      </c>
      <c r="M1" s="271">
        <f t="shared" si="0"/>
        <v>12</v>
      </c>
      <c r="N1" s="271">
        <f t="shared" si="0"/>
        <v>13</v>
      </c>
      <c r="O1" s="271">
        <f t="shared" si="0"/>
        <v>14</v>
      </c>
      <c r="P1" s="271">
        <f t="shared" si="0"/>
        <v>15</v>
      </c>
      <c r="Q1" s="271">
        <f t="shared" si="0"/>
        <v>16</v>
      </c>
      <c r="R1" s="271">
        <f t="shared" si="0"/>
        <v>17</v>
      </c>
      <c r="S1" s="271">
        <f t="shared" si="0"/>
        <v>18</v>
      </c>
      <c r="T1" s="271">
        <f t="shared" si="0"/>
        <v>19</v>
      </c>
      <c r="U1" s="271">
        <f t="shared" si="0"/>
        <v>20</v>
      </c>
      <c r="V1" s="271">
        <f t="shared" si="0"/>
        <v>21</v>
      </c>
      <c r="W1" s="271">
        <f t="shared" si="0"/>
        <v>22</v>
      </c>
      <c r="X1" s="271">
        <f t="shared" si="0"/>
        <v>23</v>
      </c>
      <c r="Y1" s="271">
        <f t="shared" si="0"/>
        <v>24</v>
      </c>
      <c r="Z1" s="271">
        <f t="shared" si="0"/>
        <v>25</v>
      </c>
      <c r="AA1" s="271">
        <f t="shared" si="0"/>
        <v>26</v>
      </c>
      <c r="AB1" s="271">
        <f t="shared" si="0"/>
        <v>27</v>
      </c>
      <c r="AC1" s="271">
        <f t="shared" si="0"/>
        <v>28</v>
      </c>
      <c r="AD1" s="271">
        <f t="shared" si="0"/>
        <v>29</v>
      </c>
      <c r="AE1" s="271">
        <f t="shared" si="0"/>
        <v>30</v>
      </c>
      <c r="AF1" s="271">
        <f t="shared" si="0"/>
        <v>31</v>
      </c>
      <c r="AG1" s="271">
        <f t="shared" si="0"/>
        <v>32</v>
      </c>
      <c r="AH1" s="271">
        <f t="shared" si="0"/>
        <v>33</v>
      </c>
      <c r="AI1" s="271">
        <f t="shared" si="0"/>
        <v>34</v>
      </c>
      <c r="AJ1" s="271">
        <f t="shared" si="0"/>
        <v>35</v>
      </c>
      <c r="AK1" s="271">
        <f t="shared" si="0"/>
        <v>36</v>
      </c>
      <c r="AL1" s="271">
        <f t="shared" si="0"/>
        <v>37</v>
      </c>
      <c r="AM1" s="271">
        <f t="shared" si="0"/>
        <v>38</v>
      </c>
      <c r="AN1" s="271">
        <f t="shared" si="0"/>
        <v>39</v>
      </c>
      <c r="AO1" s="271">
        <f t="shared" si="0"/>
        <v>40</v>
      </c>
      <c r="AP1" s="271">
        <f t="shared" si="0"/>
        <v>41</v>
      </c>
      <c r="AQ1" s="271">
        <f t="shared" si="0"/>
        <v>42</v>
      </c>
      <c r="AR1" s="271">
        <f t="shared" si="0"/>
        <v>43</v>
      </c>
      <c r="AS1" s="271">
        <f t="shared" si="0"/>
        <v>44</v>
      </c>
      <c r="AT1" s="271">
        <f t="shared" si="0"/>
        <v>45</v>
      </c>
      <c r="AU1" s="271">
        <f t="shared" si="0"/>
        <v>46</v>
      </c>
      <c r="AV1" s="271">
        <f t="shared" si="0"/>
        <v>47</v>
      </c>
      <c r="AW1" s="271">
        <f t="shared" si="0"/>
        <v>48</v>
      </c>
      <c r="AX1" s="271">
        <f t="shared" si="0"/>
        <v>49</v>
      </c>
      <c r="AY1" s="271">
        <f t="shared" si="0"/>
        <v>50</v>
      </c>
    </row>
    <row r="2" spans="1:51" s="23" customFormat="1">
      <c r="A2" s="152"/>
      <c r="B2" s="295"/>
      <c r="C2" s="295"/>
      <c r="D2" s="298">
        <v>43009</v>
      </c>
      <c r="E2" s="299">
        <v>43009</v>
      </c>
      <c r="F2" s="298">
        <v>43040</v>
      </c>
      <c r="G2" s="299">
        <v>43040</v>
      </c>
      <c r="H2" s="298">
        <v>43070</v>
      </c>
      <c r="I2" s="299">
        <v>43070</v>
      </c>
      <c r="J2" s="298">
        <v>43101</v>
      </c>
      <c r="K2" s="299">
        <v>43101</v>
      </c>
      <c r="L2" s="298">
        <v>43132</v>
      </c>
      <c r="M2" s="299">
        <v>43132</v>
      </c>
      <c r="N2" s="298">
        <v>43160</v>
      </c>
      <c r="O2" s="299">
        <v>43160</v>
      </c>
      <c r="P2" s="298">
        <v>43191</v>
      </c>
      <c r="Q2" s="299">
        <v>43191</v>
      </c>
      <c r="R2" s="298">
        <v>43221</v>
      </c>
      <c r="S2" s="299">
        <v>43221</v>
      </c>
      <c r="T2" s="298">
        <v>43252</v>
      </c>
      <c r="U2" s="299">
        <v>43252</v>
      </c>
      <c r="V2" s="298">
        <v>43282</v>
      </c>
      <c r="W2" s="299">
        <v>43282</v>
      </c>
      <c r="X2" s="298">
        <v>43313</v>
      </c>
      <c r="Y2" s="299">
        <v>43313</v>
      </c>
      <c r="Z2" s="298">
        <v>43344</v>
      </c>
      <c r="AA2" s="299">
        <v>43344</v>
      </c>
      <c r="AB2" s="298">
        <v>43374</v>
      </c>
      <c r="AC2" s="299">
        <v>43374</v>
      </c>
      <c r="AD2" s="298">
        <v>43405</v>
      </c>
      <c r="AE2" s="299">
        <v>43405</v>
      </c>
      <c r="AF2" s="298">
        <v>43435</v>
      </c>
      <c r="AG2" s="299">
        <v>43435</v>
      </c>
      <c r="AH2" s="298">
        <v>43466</v>
      </c>
      <c r="AI2" s="299">
        <v>43466</v>
      </c>
      <c r="AJ2" s="298">
        <v>43497</v>
      </c>
      <c r="AK2" s="299">
        <v>43497</v>
      </c>
      <c r="AL2" s="298">
        <v>43525</v>
      </c>
      <c r="AM2" s="299">
        <v>43525</v>
      </c>
      <c r="AN2" s="298">
        <v>43556</v>
      </c>
      <c r="AO2" s="299">
        <v>43556</v>
      </c>
      <c r="AP2" s="298">
        <v>43586</v>
      </c>
      <c r="AQ2" s="299">
        <v>43586</v>
      </c>
      <c r="AR2" s="298">
        <v>43617</v>
      </c>
      <c r="AS2" s="299">
        <v>43617</v>
      </c>
      <c r="AT2" s="298">
        <v>43647</v>
      </c>
      <c r="AU2" s="299">
        <v>43647</v>
      </c>
      <c r="AV2" s="298">
        <v>43678</v>
      </c>
      <c r="AW2" s="299">
        <v>43678</v>
      </c>
      <c r="AX2" s="298">
        <v>43709</v>
      </c>
      <c r="AY2" s="299">
        <v>43709</v>
      </c>
    </row>
    <row r="3" spans="1:51" s="23" customFormat="1">
      <c r="A3" s="152"/>
      <c r="B3" s="296" t="s">
        <v>2</v>
      </c>
      <c r="C3" s="296" t="s">
        <v>147</v>
      </c>
      <c r="D3" s="300" t="s">
        <v>143</v>
      </c>
      <c r="E3" s="301" t="s">
        <v>144</v>
      </c>
      <c r="F3" s="300" t="s">
        <v>143</v>
      </c>
      <c r="G3" s="301" t="s">
        <v>144</v>
      </c>
      <c r="H3" s="300" t="s">
        <v>143</v>
      </c>
      <c r="I3" s="301" t="s">
        <v>144</v>
      </c>
      <c r="J3" s="300" t="s">
        <v>143</v>
      </c>
      <c r="K3" s="301" t="s">
        <v>144</v>
      </c>
      <c r="L3" s="300" t="s">
        <v>143</v>
      </c>
      <c r="M3" s="301" t="s">
        <v>144</v>
      </c>
      <c r="N3" s="300" t="s">
        <v>143</v>
      </c>
      <c r="O3" s="301" t="s">
        <v>144</v>
      </c>
      <c r="P3" s="300" t="s">
        <v>143</v>
      </c>
      <c r="Q3" s="301" t="s">
        <v>144</v>
      </c>
      <c r="R3" s="300" t="s">
        <v>143</v>
      </c>
      <c r="S3" s="301" t="s">
        <v>144</v>
      </c>
      <c r="T3" s="300" t="s">
        <v>143</v>
      </c>
      <c r="U3" s="301" t="s">
        <v>144</v>
      </c>
      <c r="V3" s="300" t="s">
        <v>143</v>
      </c>
      <c r="W3" s="301" t="s">
        <v>144</v>
      </c>
      <c r="X3" s="300" t="s">
        <v>143</v>
      </c>
      <c r="Y3" s="301" t="s">
        <v>144</v>
      </c>
      <c r="Z3" s="300" t="s">
        <v>143</v>
      </c>
      <c r="AA3" s="301" t="s">
        <v>144</v>
      </c>
      <c r="AB3" s="300" t="s">
        <v>143</v>
      </c>
      <c r="AC3" s="301" t="s">
        <v>144</v>
      </c>
      <c r="AD3" s="300" t="s">
        <v>143</v>
      </c>
      <c r="AE3" s="301" t="s">
        <v>144</v>
      </c>
      <c r="AF3" s="300" t="s">
        <v>143</v>
      </c>
      <c r="AG3" s="301" t="s">
        <v>144</v>
      </c>
      <c r="AH3" s="300" t="s">
        <v>143</v>
      </c>
      <c r="AI3" s="301" t="s">
        <v>144</v>
      </c>
      <c r="AJ3" s="300" t="s">
        <v>143</v>
      </c>
      <c r="AK3" s="301" t="s">
        <v>144</v>
      </c>
      <c r="AL3" s="300" t="s">
        <v>143</v>
      </c>
      <c r="AM3" s="301" t="s">
        <v>144</v>
      </c>
      <c r="AN3" s="300" t="s">
        <v>143</v>
      </c>
      <c r="AO3" s="301" t="s">
        <v>144</v>
      </c>
      <c r="AP3" s="300" t="s">
        <v>143</v>
      </c>
      <c r="AQ3" s="301" t="s">
        <v>144</v>
      </c>
      <c r="AR3" s="300" t="s">
        <v>143</v>
      </c>
      <c r="AS3" s="301" t="s">
        <v>144</v>
      </c>
      <c r="AT3" s="300" t="s">
        <v>143</v>
      </c>
      <c r="AU3" s="301" t="s">
        <v>144</v>
      </c>
      <c r="AV3" s="300" t="s">
        <v>143</v>
      </c>
      <c r="AW3" s="301" t="s">
        <v>144</v>
      </c>
      <c r="AX3" s="300" t="s">
        <v>143</v>
      </c>
      <c r="AY3" s="301" t="s">
        <v>144</v>
      </c>
    </row>
    <row r="4" spans="1:51">
      <c r="B4" s="295">
        <v>10005</v>
      </c>
      <c r="C4" s="295" t="s">
        <v>7</v>
      </c>
      <c r="D4" s="305">
        <v>21</v>
      </c>
      <c r="E4" s="305">
        <v>0</v>
      </c>
      <c r="F4" s="305">
        <v>103</v>
      </c>
      <c r="G4" s="305">
        <v>0</v>
      </c>
      <c r="H4" s="305">
        <v>30</v>
      </c>
      <c r="I4" s="305">
        <v>0</v>
      </c>
      <c r="J4" s="305">
        <v>127</v>
      </c>
      <c r="K4" s="305">
        <v>0</v>
      </c>
      <c r="L4" s="305">
        <v>86</v>
      </c>
      <c r="M4" s="305">
        <v>0</v>
      </c>
      <c r="N4" s="305">
        <v>162</v>
      </c>
      <c r="O4" s="305">
        <v>0</v>
      </c>
      <c r="P4" s="305">
        <v>36</v>
      </c>
      <c r="Q4" s="305">
        <v>0</v>
      </c>
      <c r="R4" s="305">
        <v>40</v>
      </c>
      <c r="S4" s="305">
        <v>0</v>
      </c>
      <c r="T4" s="305">
        <v>43</v>
      </c>
      <c r="U4" s="305">
        <v>0</v>
      </c>
      <c r="V4" s="305">
        <v>35</v>
      </c>
      <c r="W4" s="305">
        <v>0</v>
      </c>
      <c r="X4" s="305">
        <v>105</v>
      </c>
      <c r="Y4" s="305">
        <v>0</v>
      </c>
      <c r="Z4" s="305">
        <v>0</v>
      </c>
      <c r="AA4" s="305">
        <v>0</v>
      </c>
      <c r="AB4" s="305">
        <v>37</v>
      </c>
      <c r="AC4" s="305">
        <v>0</v>
      </c>
      <c r="AD4" s="305">
        <v>148</v>
      </c>
      <c r="AE4" s="305">
        <v>0</v>
      </c>
      <c r="AF4" s="305">
        <v>0</v>
      </c>
      <c r="AG4" s="305">
        <v>0</v>
      </c>
      <c r="AH4" s="305">
        <v>173</v>
      </c>
      <c r="AI4" s="305">
        <v>0</v>
      </c>
      <c r="AJ4" s="305">
        <v>105</v>
      </c>
      <c r="AK4" s="305">
        <v>0</v>
      </c>
      <c r="AL4" s="305">
        <v>105</v>
      </c>
      <c r="AM4" s="305">
        <v>0</v>
      </c>
      <c r="AN4" s="305">
        <v>67</v>
      </c>
      <c r="AO4" s="305">
        <v>0</v>
      </c>
      <c r="AP4" s="305">
        <v>44</v>
      </c>
      <c r="AQ4" s="305">
        <v>0</v>
      </c>
      <c r="AR4" s="305">
        <v>28</v>
      </c>
      <c r="AS4" s="305">
        <v>0</v>
      </c>
      <c r="AT4" s="305">
        <v>56</v>
      </c>
      <c r="AU4" s="305">
        <v>0</v>
      </c>
      <c r="AV4" s="305">
        <v>110</v>
      </c>
      <c r="AW4" s="305">
        <v>0</v>
      </c>
      <c r="AX4" s="305">
        <v>0</v>
      </c>
      <c r="AY4" s="305">
        <v>0</v>
      </c>
    </row>
    <row r="5" spans="1:51">
      <c r="B5" s="295">
        <v>10015</v>
      </c>
      <c r="C5" s="295" t="s">
        <v>8</v>
      </c>
      <c r="D5" s="305">
        <v>532</v>
      </c>
      <c r="E5" s="305">
        <v>0</v>
      </c>
      <c r="F5" s="305">
        <v>0</v>
      </c>
      <c r="G5" s="305">
        <v>0</v>
      </c>
      <c r="H5" s="305">
        <v>0</v>
      </c>
      <c r="I5" s="305">
        <v>0</v>
      </c>
      <c r="J5" s="305">
        <v>247</v>
      </c>
      <c r="K5" s="305">
        <v>0</v>
      </c>
      <c r="L5" s="305">
        <v>161</v>
      </c>
      <c r="M5" s="305">
        <v>0</v>
      </c>
      <c r="N5" s="305">
        <v>222</v>
      </c>
      <c r="O5" s="305">
        <v>0</v>
      </c>
      <c r="P5" s="305">
        <v>683</v>
      </c>
      <c r="Q5" s="305">
        <v>0</v>
      </c>
      <c r="R5" s="305">
        <v>634</v>
      </c>
      <c r="S5" s="305">
        <v>0</v>
      </c>
      <c r="T5" s="305">
        <v>501</v>
      </c>
      <c r="U5" s="305">
        <v>0</v>
      </c>
      <c r="V5" s="305">
        <v>599</v>
      </c>
      <c r="W5" s="305">
        <v>0</v>
      </c>
      <c r="X5" s="305">
        <v>306</v>
      </c>
      <c r="Y5" s="305">
        <v>0</v>
      </c>
      <c r="Z5" s="305">
        <v>508</v>
      </c>
      <c r="AA5" s="305">
        <v>0</v>
      </c>
      <c r="AB5" s="305">
        <v>562</v>
      </c>
      <c r="AC5" s="305">
        <v>0</v>
      </c>
      <c r="AD5" s="305">
        <v>0</v>
      </c>
      <c r="AE5" s="305">
        <v>0</v>
      </c>
      <c r="AF5" s="305">
        <v>0</v>
      </c>
      <c r="AG5" s="305">
        <v>0</v>
      </c>
      <c r="AH5" s="305">
        <v>258</v>
      </c>
      <c r="AI5" s="305">
        <v>0</v>
      </c>
      <c r="AJ5" s="305">
        <v>218</v>
      </c>
      <c r="AK5" s="305">
        <v>0</v>
      </c>
      <c r="AL5" s="305">
        <v>219</v>
      </c>
      <c r="AM5" s="305">
        <v>0</v>
      </c>
      <c r="AN5" s="305">
        <v>712</v>
      </c>
      <c r="AO5" s="305">
        <v>0</v>
      </c>
      <c r="AP5" s="305">
        <v>649</v>
      </c>
      <c r="AQ5" s="305">
        <v>0</v>
      </c>
      <c r="AR5" s="305">
        <v>477</v>
      </c>
      <c r="AS5" s="305">
        <v>0</v>
      </c>
      <c r="AT5" s="305">
        <v>667</v>
      </c>
      <c r="AU5" s="305">
        <v>0</v>
      </c>
      <c r="AV5" s="305">
        <v>320</v>
      </c>
      <c r="AW5" s="305">
        <v>0</v>
      </c>
      <c r="AX5" s="305">
        <v>522</v>
      </c>
      <c r="AY5" s="305">
        <v>0</v>
      </c>
    </row>
    <row r="6" spans="1:51">
      <c r="B6" s="295">
        <v>10024</v>
      </c>
      <c r="C6" s="295" t="s">
        <v>9</v>
      </c>
      <c r="D6" s="305">
        <v>0</v>
      </c>
      <c r="E6" s="305">
        <v>0</v>
      </c>
      <c r="F6" s="305">
        <v>0</v>
      </c>
      <c r="G6" s="305">
        <v>0</v>
      </c>
      <c r="H6" s="305">
        <v>0</v>
      </c>
      <c r="I6" s="305">
        <v>0</v>
      </c>
      <c r="J6" s="305">
        <v>0</v>
      </c>
      <c r="K6" s="305">
        <v>0</v>
      </c>
      <c r="L6" s="305">
        <v>0</v>
      </c>
      <c r="M6" s="305">
        <v>0</v>
      </c>
      <c r="N6" s="305">
        <v>0</v>
      </c>
      <c r="O6" s="305">
        <v>0</v>
      </c>
      <c r="P6" s="305">
        <v>0</v>
      </c>
      <c r="Q6" s="305">
        <v>0</v>
      </c>
      <c r="R6" s="305">
        <v>0</v>
      </c>
      <c r="S6" s="305">
        <v>0</v>
      </c>
      <c r="T6" s="305">
        <v>0</v>
      </c>
      <c r="U6" s="305">
        <v>0</v>
      </c>
      <c r="V6" s="305">
        <v>0</v>
      </c>
      <c r="W6" s="305">
        <v>0</v>
      </c>
      <c r="X6" s="305">
        <v>0</v>
      </c>
      <c r="Y6" s="305">
        <v>0</v>
      </c>
      <c r="Z6" s="305">
        <v>0</v>
      </c>
      <c r="AA6" s="305">
        <v>0</v>
      </c>
      <c r="AB6" s="305">
        <v>0</v>
      </c>
      <c r="AC6" s="305">
        <v>0</v>
      </c>
      <c r="AD6" s="305">
        <v>0</v>
      </c>
      <c r="AE6" s="305">
        <v>0</v>
      </c>
      <c r="AF6" s="305">
        <v>0</v>
      </c>
      <c r="AG6" s="305">
        <v>0</v>
      </c>
      <c r="AH6" s="305">
        <v>0</v>
      </c>
      <c r="AI6" s="305">
        <v>0</v>
      </c>
      <c r="AJ6" s="305">
        <v>0</v>
      </c>
      <c r="AK6" s="305">
        <v>0</v>
      </c>
      <c r="AL6" s="305">
        <v>0</v>
      </c>
      <c r="AM6" s="305">
        <v>0</v>
      </c>
      <c r="AN6" s="305">
        <v>0</v>
      </c>
      <c r="AO6" s="305">
        <v>0</v>
      </c>
      <c r="AP6" s="305">
        <v>0</v>
      </c>
      <c r="AQ6" s="305">
        <v>0</v>
      </c>
      <c r="AR6" s="305">
        <v>0</v>
      </c>
      <c r="AS6" s="305">
        <v>0</v>
      </c>
      <c r="AT6" s="305">
        <v>0</v>
      </c>
      <c r="AU6" s="305">
        <v>0</v>
      </c>
      <c r="AV6" s="305">
        <v>0</v>
      </c>
      <c r="AW6" s="305">
        <v>0</v>
      </c>
      <c r="AX6" s="305">
        <v>0</v>
      </c>
      <c r="AY6" s="305">
        <v>0</v>
      </c>
    </row>
    <row r="7" spans="1:51">
      <c r="B7" s="295">
        <v>10025</v>
      </c>
      <c r="C7" s="295" t="s">
        <v>10</v>
      </c>
      <c r="D7" s="305">
        <v>5448</v>
      </c>
      <c r="E7" s="305">
        <v>0</v>
      </c>
      <c r="F7" s="305">
        <v>3272</v>
      </c>
      <c r="G7" s="305">
        <v>0</v>
      </c>
      <c r="H7" s="305">
        <v>10751</v>
      </c>
      <c r="I7" s="305">
        <v>0</v>
      </c>
      <c r="J7" s="305">
        <v>6722</v>
      </c>
      <c r="K7" s="305">
        <v>0</v>
      </c>
      <c r="L7" s="305">
        <v>2471</v>
      </c>
      <c r="M7" s="305">
        <v>0</v>
      </c>
      <c r="N7" s="305">
        <v>6556</v>
      </c>
      <c r="O7" s="305">
        <v>0</v>
      </c>
      <c r="P7" s="305">
        <v>0</v>
      </c>
      <c r="Q7" s="305">
        <v>0</v>
      </c>
      <c r="R7" s="305">
        <v>5943</v>
      </c>
      <c r="S7" s="305">
        <v>0</v>
      </c>
      <c r="T7" s="305">
        <v>17376</v>
      </c>
      <c r="U7" s="305">
        <v>0</v>
      </c>
      <c r="V7" s="305">
        <v>10720</v>
      </c>
      <c r="W7" s="305">
        <v>0</v>
      </c>
      <c r="X7" s="305">
        <v>15087</v>
      </c>
      <c r="Y7" s="305">
        <v>0</v>
      </c>
      <c r="Z7" s="305">
        <v>12727</v>
      </c>
      <c r="AA7" s="305">
        <v>0</v>
      </c>
      <c r="AB7" s="305">
        <v>7339</v>
      </c>
      <c r="AC7" s="305">
        <v>0</v>
      </c>
      <c r="AD7" s="305">
        <v>2729</v>
      </c>
      <c r="AE7" s="305">
        <v>0</v>
      </c>
      <c r="AF7" s="305">
        <v>10333</v>
      </c>
      <c r="AG7" s="305">
        <v>0</v>
      </c>
      <c r="AH7" s="305">
        <v>6126</v>
      </c>
      <c r="AI7" s="305">
        <v>0</v>
      </c>
      <c r="AJ7" s="305">
        <v>3623</v>
      </c>
      <c r="AK7" s="305">
        <v>0</v>
      </c>
      <c r="AL7" s="305">
        <v>4130</v>
      </c>
      <c r="AM7" s="305">
        <v>0</v>
      </c>
      <c r="AN7" s="305">
        <v>1248</v>
      </c>
      <c r="AO7" s="305">
        <v>0</v>
      </c>
      <c r="AP7" s="305">
        <v>5374</v>
      </c>
      <c r="AQ7" s="305">
        <v>0</v>
      </c>
      <c r="AR7" s="305">
        <v>13695</v>
      </c>
      <c r="AS7" s="305">
        <v>0</v>
      </c>
      <c r="AT7" s="305">
        <v>14137</v>
      </c>
      <c r="AU7" s="305">
        <v>0</v>
      </c>
      <c r="AV7" s="305">
        <v>14468</v>
      </c>
      <c r="AW7" s="305">
        <v>0</v>
      </c>
      <c r="AX7" s="305">
        <v>12095</v>
      </c>
      <c r="AY7" s="305">
        <v>0</v>
      </c>
    </row>
    <row r="8" spans="1:51">
      <c r="B8" s="295">
        <v>10027</v>
      </c>
      <c r="C8" s="295" t="s">
        <v>11</v>
      </c>
      <c r="D8" s="305">
        <v>12001</v>
      </c>
      <c r="E8" s="305">
        <v>0</v>
      </c>
      <c r="F8" s="305">
        <v>8667</v>
      </c>
      <c r="G8" s="305">
        <v>0</v>
      </c>
      <c r="H8" s="305">
        <v>9994</v>
      </c>
      <c r="I8" s="305">
        <v>0</v>
      </c>
      <c r="J8" s="305">
        <v>11384</v>
      </c>
      <c r="K8" s="305">
        <v>0</v>
      </c>
      <c r="L8" s="305">
        <v>4314</v>
      </c>
      <c r="M8" s="305">
        <v>0</v>
      </c>
      <c r="N8" s="305">
        <v>9988</v>
      </c>
      <c r="O8" s="305">
        <v>0</v>
      </c>
      <c r="P8" s="305">
        <v>10526</v>
      </c>
      <c r="Q8" s="305">
        <v>0</v>
      </c>
      <c r="R8" s="305">
        <v>9980</v>
      </c>
      <c r="S8" s="305">
        <v>0</v>
      </c>
      <c r="T8" s="305">
        <v>15631</v>
      </c>
      <c r="U8" s="305">
        <v>0</v>
      </c>
      <c r="V8" s="305">
        <v>15524</v>
      </c>
      <c r="W8" s="305">
        <v>0</v>
      </c>
      <c r="X8" s="305">
        <v>22498</v>
      </c>
      <c r="Y8" s="305">
        <v>0</v>
      </c>
      <c r="Z8" s="305">
        <v>12318</v>
      </c>
      <c r="AA8" s="305">
        <v>0</v>
      </c>
      <c r="AB8" s="305">
        <v>14614</v>
      </c>
      <c r="AC8" s="305">
        <v>0</v>
      </c>
      <c r="AD8" s="305">
        <v>9144</v>
      </c>
      <c r="AE8" s="305">
        <v>0</v>
      </c>
      <c r="AF8" s="305">
        <v>10471</v>
      </c>
      <c r="AG8" s="305">
        <v>0</v>
      </c>
      <c r="AH8" s="305">
        <v>11876</v>
      </c>
      <c r="AI8" s="305">
        <v>0</v>
      </c>
      <c r="AJ8" s="305">
        <v>5452</v>
      </c>
      <c r="AK8" s="305">
        <v>0</v>
      </c>
      <c r="AL8" s="305">
        <v>9064</v>
      </c>
      <c r="AM8" s="305">
        <v>0</v>
      </c>
      <c r="AN8" s="305">
        <v>13485</v>
      </c>
      <c r="AO8" s="305">
        <v>0</v>
      </c>
      <c r="AP8" s="305">
        <v>10477</v>
      </c>
      <c r="AQ8" s="305">
        <v>0</v>
      </c>
      <c r="AR8" s="305">
        <v>11840</v>
      </c>
      <c r="AS8" s="305">
        <v>0</v>
      </c>
      <c r="AT8" s="305">
        <v>20420</v>
      </c>
      <c r="AU8" s="305">
        <v>0</v>
      </c>
      <c r="AV8" s="305">
        <v>22997</v>
      </c>
      <c r="AW8" s="305">
        <v>0</v>
      </c>
      <c r="AX8" s="305">
        <v>12777</v>
      </c>
      <c r="AY8" s="305">
        <v>0</v>
      </c>
    </row>
    <row r="9" spans="1:51">
      <c r="B9" s="295">
        <v>10029</v>
      </c>
      <c r="C9" s="295" t="s">
        <v>12</v>
      </c>
      <c r="D9" s="305">
        <v>0</v>
      </c>
      <c r="E9" s="305">
        <v>0</v>
      </c>
      <c r="F9" s="305">
        <v>0</v>
      </c>
      <c r="G9" s="305">
        <v>0</v>
      </c>
      <c r="H9" s="305">
        <v>0</v>
      </c>
      <c r="I9" s="305">
        <v>0</v>
      </c>
      <c r="J9" s="305">
        <v>0</v>
      </c>
      <c r="K9" s="305">
        <v>0</v>
      </c>
      <c r="L9" s="305">
        <v>0</v>
      </c>
      <c r="M9" s="305">
        <v>0</v>
      </c>
      <c r="N9" s="305">
        <v>0</v>
      </c>
      <c r="O9" s="305">
        <v>0</v>
      </c>
      <c r="P9" s="305">
        <v>0</v>
      </c>
      <c r="Q9" s="305">
        <v>0</v>
      </c>
      <c r="R9" s="305">
        <v>0</v>
      </c>
      <c r="S9" s="305">
        <v>0</v>
      </c>
      <c r="T9" s="305">
        <v>0</v>
      </c>
      <c r="U9" s="305">
        <v>0</v>
      </c>
      <c r="V9" s="305">
        <v>0</v>
      </c>
      <c r="W9" s="305">
        <v>0</v>
      </c>
      <c r="X9" s="305">
        <v>0</v>
      </c>
      <c r="Y9" s="305">
        <v>0</v>
      </c>
      <c r="Z9" s="305">
        <v>0</v>
      </c>
      <c r="AA9" s="305">
        <v>0</v>
      </c>
      <c r="AB9" s="305">
        <v>0</v>
      </c>
      <c r="AC9" s="305">
        <v>0</v>
      </c>
      <c r="AD9" s="305">
        <v>0</v>
      </c>
      <c r="AE9" s="305">
        <v>0</v>
      </c>
      <c r="AF9" s="305">
        <v>0</v>
      </c>
      <c r="AG9" s="305">
        <v>0</v>
      </c>
      <c r="AH9" s="305">
        <v>0</v>
      </c>
      <c r="AI9" s="305">
        <v>0</v>
      </c>
      <c r="AJ9" s="305">
        <v>0</v>
      </c>
      <c r="AK9" s="305">
        <v>0</v>
      </c>
      <c r="AL9" s="305">
        <v>0</v>
      </c>
      <c r="AM9" s="305">
        <v>0</v>
      </c>
      <c r="AN9" s="305">
        <v>0</v>
      </c>
      <c r="AO9" s="305">
        <v>0</v>
      </c>
      <c r="AP9" s="305">
        <v>0</v>
      </c>
      <c r="AQ9" s="305">
        <v>0</v>
      </c>
      <c r="AR9" s="305">
        <v>0</v>
      </c>
      <c r="AS9" s="305">
        <v>0</v>
      </c>
      <c r="AT9" s="305">
        <v>0</v>
      </c>
      <c r="AU9" s="305">
        <v>0</v>
      </c>
      <c r="AV9" s="305">
        <v>0</v>
      </c>
      <c r="AW9" s="305">
        <v>0</v>
      </c>
      <c r="AX9" s="305">
        <v>0</v>
      </c>
      <c r="AY9" s="305">
        <v>0</v>
      </c>
    </row>
    <row r="10" spans="1:51">
      <c r="B10" s="295">
        <v>10044</v>
      </c>
      <c r="C10" s="295" t="s">
        <v>13</v>
      </c>
      <c r="D10" s="305">
        <v>1290</v>
      </c>
      <c r="E10" s="305">
        <v>0</v>
      </c>
      <c r="F10" s="305">
        <v>709</v>
      </c>
      <c r="G10" s="305">
        <v>0</v>
      </c>
      <c r="H10" s="305">
        <v>1840</v>
      </c>
      <c r="I10" s="305">
        <v>0</v>
      </c>
      <c r="J10" s="305">
        <v>4034</v>
      </c>
      <c r="K10" s="305">
        <v>0</v>
      </c>
      <c r="L10" s="305">
        <v>969</v>
      </c>
      <c r="M10" s="305">
        <v>0</v>
      </c>
      <c r="N10" s="305">
        <v>4175</v>
      </c>
      <c r="O10" s="305">
        <v>0</v>
      </c>
      <c r="P10" s="305">
        <v>1221</v>
      </c>
      <c r="Q10" s="305">
        <v>0</v>
      </c>
      <c r="R10" s="305">
        <v>2204</v>
      </c>
      <c r="S10" s="305">
        <v>0</v>
      </c>
      <c r="T10" s="305">
        <v>1811</v>
      </c>
      <c r="U10" s="305">
        <v>0</v>
      </c>
      <c r="V10" s="305">
        <v>697</v>
      </c>
      <c r="W10" s="305">
        <v>0</v>
      </c>
      <c r="X10" s="305">
        <v>3872</v>
      </c>
      <c r="Y10" s="305">
        <v>0</v>
      </c>
      <c r="Z10" s="305">
        <v>2362</v>
      </c>
      <c r="AA10" s="305">
        <v>0</v>
      </c>
      <c r="AB10" s="305">
        <v>2137</v>
      </c>
      <c r="AC10" s="305">
        <v>0</v>
      </c>
      <c r="AD10" s="305">
        <v>1633</v>
      </c>
      <c r="AE10" s="305">
        <v>0</v>
      </c>
      <c r="AF10" s="305">
        <v>883</v>
      </c>
      <c r="AG10" s="305">
        <v>0</v>
      </c>
      <c r="AH10" s="305">
        <v>4974</v>
      </c>
      <c r="AI10" s="305">
        <v>0</v>
      </c>
      <c r="AJ10" s="305">
        <v>1627</v>
      </c>
      <c r="AK10" s="305">
        <v>0</v>
      </c>
      <c r="AL10" s="305">
        <v>2593</v>
      </c>
      <c r="AM10" s="305">
        <v>0</v>
      </c>
      <c r="AN10" s="305">
        <v>2116</v>
      </c>
      <c r="AO10" s="305">
        <v>0</v>
      </c>
      <c r="AP10" s="305">
        <v>2230</v>
      </c>
      <c r="AQ10" s="305">
        <v>0</v>
      </c>
      <c r="AR10" s="305">
        <v>980</v>
      </c>
      <c r="AS10" s="305">
        <v>0</v>
      </c>
      <c r="AT10" s="305">
        <v>1651</v>
      </c>
      <c r="AU10" s="305">
        <v>0</v>
      </c>
      <c r="AV10" s="305">
        <v>3897</v>
      </c>
      <c r="AW10" s="305">
        <v>0</v>
      </c>
      <c r="AX10" s="305">
        <v>2377</v>
      </c>
      <c r="AY10" s="305">
        <v>0</v>
      </c>
    </row>
    <row r="11" spans="1:51">
      <c r="B11" s="295">
        <v>10046</v>
      </c>
      <c r="C11" s="295" t="s">
        <v>14</v>
      </c>
      <c r="D11" s="305">
        <v>0</v>
      </c>
      <c r="E11" s="305">
        <v>0</v>
      </c>
      <c r="F11" s="305">
        <v>0</v>
      </c>
      <c r="G11" s="305">
        <v>0</v>
      </c>
      <c r="H11" s="305">
        <v>0</v>
      </c>
      <c r="I11" s="305">
        <v>0</v>
      </c>
      <c r="J11" s="305">
        <v>0</v>
      </c>
      <c r="K11" s="305">
        <v>0</v>
      </c>
      <c r="L11" s="305">
        <v>0</v>
      </c>
      <c r="M11" s="305">
        <v>0</v>
      </c>
      <c r="N11" s="305">
        <v>0</v>
      </c>
      <c r="O11" s="305">
        <v>0</v>
      </c>
      <c r="P11" s="305">
        <v>0</v>
      </c>
      <c r="Q11" s="305">
        <v>0</v>
      </c>
      <c r="R11" s="305">
        <v>0</v>
      </c>
      <c r="S11" s="305">
        <v>0</v>
      </c>
      <c r="T11" s="305">
        <v>0</v>
      </c>
      <c r="U11" s="305">
        <v>0</v>
      </c>
      <c r="V11" s="305">
        <v>0</v>
      </c>
      <c r="W11" s="305">
        <v>0</v>
      </c>
      <c r="X11" s="305">
        <v>0</v>
      </c>
      <c r="Y11" s="305">
        <v>0</v>
      </c>
      <c r="Z11" s="305">
        <v>0</v>
      </c>
      <c r="AA11" s="305">
        <v>0</v>
      </c>
      <c r="AB11" s="305">
        <v>0</v>
      </c>
      <c r="AC11" s="305">
        <v>0</v>
      </c>
      <c r="AD11" s="305">
        <v>0</v>
      </c>
      <c r="AE11" s="305">
        <v>0</v>
      </c>
      <c r="AF11" s="305">
        <v>0</v>
      </c>
      <c r="AG11" s="305">
        <v>0</v>
      </c>
      <c r="AH11" s="305">
        <v>0</v>
      </c>
      <c r="AI11" s="305">
        <v>0</v>
      </c>
      <c r="AJ11" s="305">
        <v>0</v>
      </c>
      <c r="AK11" s="305">
        <v>0</v>
      </c>
      <c r="AL11" s="305">
        <v>0</v>
      </c>
      <c r="AM11" s="305">
        <v>0</v>
      </c>
      <c r="AN11" s="305">
        <v>0</v>
      </c>
      <c r="AO11" s="305">
        <v>0</v>
      </c>
      <c r="AP11" s="305">
        <v>0</v>
      </c>
      <c r="AQ11" s="305">
        <v>0</v>
      </c>
      <c r="AR11" s="305">
        <v>0</v>
      </c>
      <c r="AS11" s="305">
        <v>0</v>
      </c>
      <c r="AT11" s="305">
        <v>0</v>
      </c>
      <c r="AU11" s="305">
        <v>0</v>
      </c>
      <c r="AV11" s="305">
        <v>0</v>
      </c>
      <c r="AW11" s="305">
        <v>0</v>
      </c>
      <c r="AX11" s="305">
        <v>0</v>
      </c>
      <c r="AY11" s="305">
        <v>0</v>
      </c>
    </row>
    <row r="12" spans="1:51">
      <c r="B12" s="295">
        <v>10047</v>
      </c>
      <c r="C12" s="295" t="s">
        <v>15</v>
      </c>
      <c r="D12" s="305">
        <v>4316</v>
      </c>
      <c r="E12" s="305">
        <v>0</v>
      </c>
      <c r="F12" s="305">
        <v>5622</v>
      </c>
      <c r="G12" s="305">
        <v>0</v>
      </c>
      <c r="H12" s="305">
        <v>28724</v>
      </c>
      <c r="I12" s="305">
        <v>0</v>
      </c>
      <c r="J12" s="305">
        <v>23023</v>
      </c>
      <c r="K12" s="305">
        <v>0</v>
      </c>
      <c r="L12" s="305">
        <v>6864</v>
      </c>
      <c r="M12" s="305">
        <v>0</v>
      </c>
      <c r="N12" s="305">
        <v>28673</v>
      </c>
      <c r="O12" s="305">
        <v>0</v>
      </c>
      <c r="P12" s="305">
        <v>20560</v>
      </c>
      <c r="Q12" s="305">
        <v>0</v>
      </c>
      <c r="R12" s="305">
        <v>2148</v>
      </c>
      <c r="S12" s="305">
        <v>0</v>
      </c>
      <c r="T12" s="305">
        <v>3199</v>
      </c>
      <c r="U12" s="305">
        <v>0</v>
      </c>
      <c r="V12" s="305">
        <v>4211</v>
      </c>
      <c r="W12" s="305">
        <v>0</v>
      </c>
      <c r="X12" s="305">
        <v>17937</v>
      </c>
      <c r="Y12" s="305">
        <v>0</v>
      </c>
      <c r="Z12" s="305">
        <v>0</v>
      </c>
      <c r="AA12" s="305">
        <v>0</v>
      </c>
      <c r="AB12" s="305">
        <v>10458</v>
      </c>
      <c r="AC12" s="305">
        <v>0</v>
      </c>
      <c r="AD12" s="305">
        <v>12908</v>
      </c>
      <c r="AE12" s="305">
        <v>0</v>
      </c>
      <c r="AF12" s="305">
        <v>21457</v>
      </c>
      <c r="AG12" s="305">
        <v>0</v>
      </c>
      <c r="AH12" s="305">
        <v>30308</v>
      </c>
      <c r="AI12" s="305">
        <v>0</v>
      </c>
      <c r="AJ12" s="305">
        <v>14066</v>
      </c>
      <c r="AK12" s="305">
        <v>0</v>
      </c>
      <c r="AL12" s="305">
        <v>16388</v>
      </c>
      <c r="AM12" s="305">
        <v>0</v>
      </c>
      <c r="AN12" s="305">
        <v>26741</v>
      </c>
      <c r="AO12" s="305">
        <v>0</v>
      </c>
      <c r="AP12" s="305">
        <v>2213</v>
      </c>
      <c r="AQ12" s="305">
        <v>0</v>
      </c>
      <c r="AR12" s="305">
        <v>0</v>
      </c>
      <c r="AS12" s="305">
        <v>0</v>
      </c>
      <c r="AT12" s="305">
        <v>9869</v>
      </c>
      <c r="AU12" s="305">
        <v>0</v>
      </c>
      <c r="AV12" s="305">
        <v>17977</v>
      </c>
      <c r="AW12" s="305">
        <v>0</v>
      </c>
      <c r="AX12" s="305">
        <v>0</v>
      </c>
      <c r="AY12" s="305">
        <v>0</v>
      </c>
    </row>
    <row r="13" spans="1:51">
      <c r="B13" s="295">
        <v>10055</v>
      </c>
      <c r="C13" s="295" t="s">
        <v>16</v>
      </c>
      <c r="D13" s="305">
        <v>97</v>
      </c>
      <c r="E13" s="305">
        <v>0</v>
      </c>
      <c r="F13" s="305">
        <v>92</v>
      </c>
      <c r="G13" s="305">
        <v>0</v>
      </c>
      <c r="H13" s="305">
        <v>283</v>
      </c>
      <c r="I13" s="305">
        <v>0</v>
      </c>
      <c r="J13" s="305">
        <v>229</v>
      </c>
      <c r="K13" s="305">
        <v>0</v>
      </c>
      <c r="L13" s="305">
        <v>83</v>
      </c>
      <c r="M13" s="305">
        <v>0</v>
      </c>
      <c r="N13" s="305">
        <v>182</v>
      </c>
      <c r="O13" s="305">
        <v>0</v>
      </c>
      <c r="P13" s="305">
        <v>0</v>
      </c>
      <c r="Q13" s="305">
        <v>0</v>
      </c>
      <c r="R13" s="305">
        <v>42</v>
      </c>
      <c r="S13" s="305">
        <v>0</v>
      </c>
      <c r="T13" s="305">
        <v>23</v>
      </c>
      <c r="U13" s="305">
        <v>0</v>
      </c>
      <c r="V13" s="305">
        <v>42</v>
      </c>
      <c r="W13" s="305">
        <v>0</v>
      </c>
      <c r="X13" s="305">
        <v>76</v>
      </c>
      <c r="Y13" s="305">
        <v>0</v>
      </c>
      <c r="Z13" s="305">
        <v>0</v>
      </c>
      <c r="AA13" s="305">
        <v>0</v>
      </c>
      <c r="AB13" s="305">
        <v>109</v>
      </c>
      <c r="AC13" s="305">
        <v>0</v>
      </c>
      <c r="AD13" s="305">
        <v>110</v>
      </c>
      <c r="AE13" s="305">
        <v>0</v>
      </c>
      <c r="AF13" s="305">
        <v>258</v>
      </c>
      <c r="AG13" s="305">
        <v>0</v>
      </c>
      <c r="AH13" s="305">
        <v>253</v>
      </c>
      <c r="AI13" s="305">
        <v>0</v>
      </c>
      <c r="AJ13" s="305">
        <v>106</v>
      </c>
      <c r="AK13" s="305">
        <v>0</v>
      </c>
      <c r="AL13" s="305">
        <v>150</v>
      </c>
      <c r="AM13" s="305">
        <v>0</v>
      </c>
      <c r="AN13" s="305">
        <v>0</v>
      </c>
      <c r="AO13" s="305">
        <v>0</v>
      </c>
      <c r="AP13" s="305">
        <v>42</v>
      </c>
      <c r="AQ13" s="305">
        <v>0</v>
      </c>
      <c r="AR13" s="305">
        <v>11</v>
      </c>
      <c r="AS13" s="305">
        <v>0</v>
      </c>
      <c r="AT13" s="305">
        <v>56</v>
      </c>
      <c r="AU13" s="305">
        <v>0</v>
      </c>
      <c r="AV13" s="305">
        <v>76</v>
      </c>
      <c r="AW13" s="305">
        <v>0</v>
      </c>
      <c r="AX13" s="305">
        <v>0</v>
      </c>
      <c r="AY13" s="305">
        <v>0</v>
      </c>
    </row>
    <row r="14" spans="1:51">
      <c r="B14" s="295">
        <v>10057</v>
      </c>
      <c r="C14" s="295" t="s">
        <v>17</v>
      </c>
      <c r="D14" s="305">
        <v>495</v>
      </c>
      <c r="E14" s="305">
        <v>0</v>
      </c>
      <c r="F14" s="305">
        <v>0</v>
      </c>
      <c r="G14" s="305">
        <v>0</v>
      </c>
      <c r="H14" s="305">
        <v>2809</v>
      </c>
      <c r="I14" s="305">
        <v>0</v>
      </c>
      <c r="J14" s="305">
        <v>1671</v>
      </c>
      <c r="K14" s="305">
        <v>0</v>
      </c>
      <c r="L14" s="305">
        <v>1586</v>
      </c>
      <c r="M14" s="305">
        <v>0</v>
      </c>
      <c r="N14" s="305">
        <v>4903</v>
      </c>
      <c r="O14" s="305">
        <v>0</v>
      </c>
      <c r="P14" s="305">
        <v>1743</v>
      </c>
      <c r="Q14" s="305">
        <v>0</v>
      </c>
      <c r="R14" s="305">
        <v>0</v>
      </c>
      <c r="S14" s="305">
        <v>0</v>
      </c>
      <c r="T14" s="305">
        <v>3933</v>
      </c>
      <c r="U14" s="305">
        <v>0</v>
      </c>
      <c r="V14" s="305">
        <v>3374</v>
      </c>
      <c r="W14" s="305">
        <v>0</v>
      </c>
      <c r="X14" s="305">
        <v>4449</v>
      </c>
      <c r="Y14" s="305">
        <v>0</v>
      </c>
      <c r="Z14" s="305">
        <v>4304</v>
      </c>
      <c r="AA14" s="305">
        <v>0</v>
      </c>
      <c r="AB14" s="305">
        <v>1275</v>
      </c>
      <c r="AC14" s="305">
        <v>0</v>
      </c>
      <c r="AD14" s="305">
        <v>504</v>
      </c>
      <c r="AE14" s="305">
        <v>0</v>
      </c>
      <c r="AF14" s="305">
        <v>1745</v>
      </c>
      <c r="AG14" s="305">
        <v>0</v>
      </c>
      <c r="AH14" s="305">
        <v>2712</v>
      </c>
      <c r="AI14" s="305">
        <v>0</v>
      </c>
      <c r="AJ14" s="305">
        <v>2602</v>
      </c>
      <c r="AK14" s="305">
        <v>0</v>
      </c>
      <c r="AL14" s="305">
        <v>3233</v>
      </c>
      <c r="AM14" s="305">
        <v>0</v>
      </c>
      <c r="AN14" s="305">
        <v>2593</v>
      </c>
      <c r="AO14" s="305">
        <v>0</v>
      </c>
      <c r="AP14" s="305">
        <v>0</v>
      </c>
      <c r="AQ14" s="305">
        <v>0</v>
      </c>
      <c r="AR14" s="305">
        <v>3162</v>
      </c>
      <c r="AS14" s="305">
        <v>0</v>
      </c>
      <c r="AT14" s="305">
        <v>4328</v>
      </c>
      <c r="AU14" s="305">
        <v>0</v>
      </c>
      <c r="AV14" s="305">
        <v>4449</v>
      </c>
      <c r="AW14" s="305">
        <v>0</v>
      </c>
      <c r="AX14" s="305">
        <v>4304</v>
      </c>
      <c r="AY14" s="305">
        <v>0</v>
      </c>
    </row>
    <row r="15" spans="1:51">
      <c r="B15" s="295">
        <v>10059</v>
      </c>
      <c r="C15" s="295" t="s">
        <v>18</v>
      </c>
      <c r="D15" s="305">
        <v>0</v>
      </c>
      <c r="E15" s="305">
        <v>0</v>
      </c>
      <c r="F15" s="305">
        <v>1099</v>
      </c>
      <c r="G15" s="305">
        <v>0</v>
      </c>
      <c r="H15" s="305">
        <v>2187</v>
      </c>
      <c r="I15" s="305">
        <v>0</v>
      </c>
      <c r="J15" s="305">
        <v>2919</v>
      </c>
      <c r="K15" s="305">
        <v>0</v>
      </c>
      <c r="L15" s="305">
        <v>1537</v>
      </c>
      <c r="M15" s="305">
        <v>0</v>
      </c>
      <c r="N15" s="305">
        <v>3286</v>
      </c>
      <c r="O15" s="305">
        <v>0</v>
      </c>
      <c r="P15" s="305">
        <v>1019</v>
      </c>
      <c r="Q15" s="305">
        <v>0</v>
      </c>
      <c r="R15" s="305">
        <v>0</v>
      </c>
      <c r="S15" s="305">
        <v>0</v>
      </c>
      <c r="T15" s="305">
        <v>38</v>
      </c>
      <c r="U15" s="305">
        <v>0</v>
      </c>
      <c r="V15" s="305">
        <v>91</v>
      </c>
      <c r="W15" s="305">
        <v>0</v>
      </c>
      <c r="X15" s="305">
        <v>601</v>
      </c>
      <c r="Y15" s="305">
        <v>0</v>
      </c>
      <c r="Z15" s="305">
        <v>0</v>
      </c>
      <c r="AA15" s="305">
        <v>0</v>
      </c>
      <c r="AB15" s="305">
        <v>124</v>
      </c>
      <c r="AC15" s="305">
        <v>0</v>
      </c>
      <c r="AD15" s="305">
        <v>1516</v>
      </c>
      <c r="AE15" s="305">
        <v>0</v>
      </c>
      <c r="AF15" s="305">
        <v>1776</v>
      </c>
      <c r="AG15" s="305">
        <v>0</v>
      </c>
      <c r="AH15" s="305">
        <v>3371</v>
      </c>
      <c r="AI15" s="305">
        <v>0</v>
      </c>
      <c r="AJ15" s="305">
        <v>1752</v>
      </c>
      <c r="AK15" s="305">
        <v>0</v>
      </c>
      <c r="AL15" s="305">
        <v>2609</v>
      </c>
      <c r="AM15" s="305">
        <v>0</v>
      </c>
      <c r="AN15" s="305">
        <v>1371</v>
      </c>
      <c r="AO15" s="305">
        <v>0</v>
      </c>
      <c r="AP15" s="305">
        <v>0</v>
      </c>
      <c r="AQ15" s="305">
        <v>0</v>
      </c>
      <c r="AR15" s="305">
        <v>0</v>
      </c>
      <c r="AS15" s="305">
        <v>0</v>
      </c>
      <c r="AT15" s="305">
        <v>363</v>
      </c>
      <c r="AU15" s="305">
        <v>0</v>
      </c>
      <c r="AV15" s="305">
        <v>605</v>
      </c>
      <c r="AW15" s="305">
        <v>0</v>
      </c>
      <c r="AX15" s="305">
        <v>0</v>
      </c>
      <c r="AY15" s="305">
        <v>0</v>
      </c>
    </row>
    <row r="16" spans="1:51">
      <c r="B16" s="295">
        <v>10061</v>
      </c>
      <c r="C16" s="295" t="s">
        <v>19</v>
      </c>
      <c r="D16" s="305">
        <v>427</v>
      </c>
      <c r="E16" s="305">
        <v>0</v>
      </c>
      <c r="F16" s="305">
        <v>986</v>
      </c>
      <c r="G16" s="305">
        <v>0</v>
      </c>
      <c r="H16" s="305">
        <v>1690</v>
      </c>
      <c r="I16" s="305">
        <v>0</v>
      </c>
      <c r="J16" s="305">
        <v>1352</v>
      </c>
      <c r="K16" s="305">
        <v>0</v>
      </c>
      <c r="L16" s="305">
        <v>679</v>
      </c>
      <c r="M16" s="305">
        <v>0</v>
      </c>
      <c r="N16" s="305">
        <v>1750</v>
      </c>
      <c r="O16" s="305">
        <v>0</v>
      </c>
      <c r="P16" s="305">
        <v>750</v>
      </c>
      <c r="Q16" s="305">
        <v>0</v>
      </c>
      <c r="R16" s="305">
        <v>1171</v>
      </c>
      <c r="S16" s="305">
        <v>0</v>
      </c>
      <c r="T16" s="305">
        <v>998</v>
      </c>
      <c r="U16" s="305">
        <v>0</v>
      </c>
      <c r="V16" s="305">
        <v>573</v>
      </c>
      <c r="W16" s="305">
        <v>0</v>
      </c>
      <c r="X16" s="305">
        <v>1631</v>
      </c>
      <c r="Y16" s="305">
        <v>0</v>
      </c>
      <c r="Z16" s="305">
        <v>699</v>
      </c>
      <c r="AA16" s="305">
        <v>0</v>
      </c>
      <c r="AB16" s="305">
        <v>823</v>
      </c>
      <c r="AC16" s="305">
        <v>0</v>
      </c>
      <c r="AD16" s="305">
        <v>1437</v>
      </c>
      <c r="AE16" s="305">
        <v>0</v>
      </c>
      <c r="AF16" s="305">
        <v>1228</v>
      </c>
      <c r="AG16" s="305">
        <v>0</v>
      </c>
      <c r="AH16" s="305">
        <v>1810</v>
      </c>
      <c r="AI16" s="305">
        <v>0</v>
      </c>
      <c r="AJ16" s="305">
        <v>1162</v>
      </c>
      <c r="AK16" s="305">
        <v>0</v>
      </c>
      <c r="AL16" s="305">
        <v>961</v>
      </c>
      <c r="AM16" s="305">
        <v>0</v>
      </c>
      <c r="AN16" s="305">
        <v>1142</v>
      </c>
      <c r="AO16" s="305">
        <v>0</v>
      </c>
      <c r="AP16" s="305">
        <v>1171</v>
      </c>
      <c r="AQ16" s="305">
        <v>0</v>
      </c>
      <c r="AR16" s="305">
        <v>648</v>
      </c>
      <c r="AS16" s="305">
        <v>0</v>
      </c>
      <c r="AT16" s="305">
        <v>932</v>
      </c>
      <c r="AU16" s="305">
        <v>0</v>
      </c>
      <c r="AV16" s="305">
        <v>1631</v>
      </c>
      <c r="AW16" s="305">
        <v>0</v>
      </c>
      <c r="AX16" s="305">
        <v>699</v>
      </c>
      <c r="AY16" s="305">
        <v>0</v>
      </c>
    </row>
    <row r="17" spans="2:51">
      <c r="B17" s="295">
        <v>10062</v>
      </c>
      <c r="C17" s="295" t="s">
        <v>20</v>
      </c>
      <c r="D17" s="305">
        <v>0</v>
      </c>
      <c r="E17" s="305">
        <v>0</v>
      </c>
      <c r="F17" s="305">
        <v>479</v>
      </c>
      <c r="G17" s="305">
        <v>0</v>
      </c>
      <c r="H17" s="305">
        <v>1423</v>
      </c>
      <c r="I17" s="305">
        <v>0</v>
      </c>
      <c r="J17" s="305">
        <v>1155</v>
      </c>
      <c r="K17" s="305">
        <v>0</v>
      </c>
      <c r="L17" s="305">
        <v>339</v>
      </c>
      <c r="M17" s="305">
        <v>0</v>
      </c>
      <c r="N17" s="305">
        <v>461</v>
      </c>
      <c r="O17" s="305">
        <v>0</v>
      </c>
      <c r="P17" s="305">
        <v>525</v>
      </c>
      <c r="Q17" s="305">
        <v>0</v>
      </c>
      <c r="R17" s="305">
        <v>525</v>
      </c>
      <c r="S17" s="305">
        <v>0</v>
      </c>
      <c r="T17" s="305">
        <v>910</v>
      </c>
      <c r="U17" s="305">
        <v>0</v>
      </c>
      <c r="V17" s="305">
        <v>75</v>
      </c>
      <c r="W17" s="305">
        <v>0</v>
      </c>
      <c r="X17" s="305">
        <v>385</v>
      </c>
      <c r="Y17" s="305">
        <v>0</v>
      </c>
      <c r="Z17" s="305">
        <v>274</v>
      </c>
      <c r="AA17" s="305">
        <v>0</v>
      </c>
      <c r="AB17" s="305">
        <v>185</v>
      </c>
      <c r="AC17" s="305">
        <v>0</v>
      </c>
      <c r="AD17" s="305">
        <v>427</v>
      </c>
      <c r="AE17" s="305">
        <v>0</v>
      </c>
      <c r="AF17" s="305">
        <v>1377</v>
      </c>
      <c r="AG17" s="305">
        <v>0</v>
      </c>
      <c r="AH17" s="305">
        <v>1124</v>
      </c>
      <c r="AI17" s="305">
        <v>0</v>
      </c>
      <c r="AJ17" s="305">
        <v>1005</v>
      </c>
      <c r="AK17" s="305">
        <v>0</v>
      </c>
      <c r="AL17" s="305">
        <v>22</v>
      </c>
      <c r="AM17" s="305">
        <v>0</v>
      </c>
      <c r="AN17" s="305">
        <v>869</v>
      </c>
      <c r="AO17" s="305">
        <v>0</v>
      </c>
      <c r="AP17" s="305">
        <v>488</v>
      </c>
      <c r="AQ17" s="305">
        <v>0</v>
      </c>
      <c r="AR17" s="305">
        <v>505</v>
      </c>
      <c r="AS17" s="305">
        <v>0</v>
      </c>
      <c r="AT17" s="305">
        <v>398</v>
      </c>
      <c r="AU17" s="305">
        <v>0</v>
      </c>
      <c r="AV17" s="305">
        <v>341</v>
      </c>
      <c r="AW17" s="305">
        <v>0</v>
      </c>
      <c r="AX17" s="305">
        <v>222</v>
      </c>
      <c r="AY17" s="305">
        <v>0</v>
      </c>
    </row>
    <row r="18" spans="2:51">
      <c r="B18" s="295">
        <v>10064</v>
      </c>
      <c r="C18" s="295" t="s">
        <v>21</v>
      </c>
      <c r="D18" s="305">
        <v>1505</v>
      </c>
      <c r="E18" s="305">
        <v>0</v>
      </c>
      <c r="F18" s="305">
        <v>932</v>
      </c>
      <c r="G18" s="305">
        <v>0</v>
      </c>
      <c r="H18" s="305">
        <v>1822</v>
      </c>
      <c r="I18" s="305">
        <v>0</v>
      </c>
      <c r="J18" s="305">
        <v>2276</v>
      </c>
      <c r="K18" s="305">
        <v>0</v>
      </c>
      <c r="L18" s="305">
        <v>33</v>
      </c>
      <c r="M18" s="305">
        <v>0</v>
      </c>
      <c r="N18" s="305">
        <v>3210</v>
      </c>
      <c r="O18" s="305">
        <v>0</v>
      </c>
      <c r="P18" s="305">
        <v>752</v>
      </c>
      <c r="Q18" s="305">
        <v>0</v>
      </c>
      <c r="R18" s="305">
        <v>1912</v>
      </c>
      <c r="S18" s="305">
        <v>0</v>
      </c>
      <c r="T18" s="305">
        <v>2464</v>
      </c>
      <c r="U18" s="305">
        <v>0</v>
      </c>
      <c r="V18" s="305">
        <v>2056</v>
      </c>
      <c r="W18" s="305">
        <v>0</v>
      </c>
      <c r="X18" s="305">
        <v>2768</v>
      </c>
      <c r="Y18" s="305">
        <v>0</v>
      </c>
      <c r="Z18" s="305">
        <v>1785</v>
      </c>
      <c r="AA18" s="305">
        <v>0</v>
      </c>
      <c r="AB18" s="305">
        <v>2033</v>
      </c>
      <c r="AC18" s="305">
        <v>0</v>
      </c>
      <c r="AD18" s="305">
        <v>1540</v>
      </c>
      <c r="AE18" s="305">
        <v>0</v>
      </c>
      <c r="AF18" s="305">
        <v>1164</v>
      </c>
      <c r="AG18" s="305">
        <v>0</v>
      </c>
      <c r="AH18" s="305">
        <v>2980</v>
      </c>
      <c r="AI18" s="305">
        <v>0</v>
      </c>
      <c r="AJ18" s="305">
        <v>770</v>
      </c>
      <c r="AK18" s="305">
        <v>0</v>
      </c>
      <c r="AL18" s="305">
        <v>2172</v>
      </c>
      <c r="AM18" s="305">
        <v>0</v>
      </c>
      <c r="AN18" s="305">
        <v>1323</v>
      </c>
      <c r="AO18" s="305">
        <v>0</v>
      </c>
      <c r="AP18" s="305">
        <v>1937</v>
      </c>
      <c r="AQ18" s="305">
        <v>0</v>
      </c>
      <c r="AR18" s="305">
        <v>1947</v>
      </c>
      <c r="AS18" s="305">
        <v>0</v>
      </c>
      <c r="AT18" s="305">
        <v>2726</v>
      </c>
      <c r="AU18" s="305">
        <v>0</v>
      </c>
      <c r="AV18" s="305">
        <v>2800</v>
      </c>
      <c r="AW18" s="305">
        <v>0</v>
      </c>
      <c r="AX18" s="305">
        <v>1811</v>
      </c>
      <c r="AY18" s="305">
        <v>0</v>
      </c>
    </row>
    <row r="19" spans="2:51">
      <c r="B19" s="295">
        <v>10065</v>
      </c>
      <c r="C19" s="295" t="s">
        <v>22</v>
      </c>
      <c r="D19" s="305">
        <v>210</v>
      </c>
      <c r="E19" s="305">
        <v>0</v>
      </c>
      <c r="F19" s="305">
        <v>805</v>
      </c>
      <c r="G19" s="305">
        <v>0</v>
      </c>
      <c r="H19" s="305">
        <v>923</v>
      </c>
      <c r="I19" s="305">
        <v>0</v>
      </c>
      <c r="J19" s="305">
        <v>637</v>
      </c>
      <c r="K19" s="305">
        <v>0</v>
      </c>
      <c r="L19" s="305">
        <v>335</v>
      </c>
      <c r="M19" s="305">
        <v>0</v>
      </c>
      <c r="N19" s="305">
        <v>647</v>
      </c>
      <c r="O19" s="305">
        <v>0</v>
      </c>
      <c r="P19" s="305">
        <v>297</v>
      </c>
      <c r="Q19" s="305">
        <v>0</v>
      </c>
      <c r="R19" s="305">
        <v>409</v>
      </c>
      <c r="S19" s="305">
        <v>0</v>
      </c>
      <c r="T19" s="305">
        <v>352</v>
      </c>
      <c r="U19" s="305">
        <v>0</v>
      </c>
      <c r="V19" s="305">
        <v>174</v>
      </c>
      <c r="W19" s="305">
        <v>0</v>
      </c>
      <c r="X19" s="305">
        <v>741</v>
      </c>
      <c r="Y19" s="305">
        <v>0</v>
      </c>
      <c r="Z19" s="305">
        <v>161</v>
      </c>
      <c r="AA19" s="305">
        <v>0</v>
      </c>
      <c r="AB19" s="305">
        <v>333</v>
      </c>
      <c r="AC19" s="305">
        <v>0</v>
      </c>
      <c r="AD19" s="305">
        <v>910</v>
      </c>
      <c r="AE19" s="305">
        <v>0</v>
      </c>
      <c r="AF19" s="305">
        <v>774</v>
      </c>
      <c r="AG19" s="305">
        <v>0</v>
      </c>
      <c r="AH19" s="305">
        <v>779</v>
      </c>
      <c r="AI19" s="305">
        <v>0</v>
      </c>
      <c r="AJ19" s="305">
        <v>485</v>
      </c>
      <c r="AK19" s="305">
        <v>0</v>
      </c>
      <c r="AL19" s="305">
        <v>418</v>
      </c>
      <c r="AM19" s="305">
        <v>0</v>
      </c>
      <c r="AN19" s="305">
        <v>429</v>
      </c>
      <c r="AO19" s="305">
        <v>0</v>
      </c>
      <c r="AP19" s="305">
        <v>410</v>
      </c>
      <c r="AQ19" s="305">
        <v>0</v>
      </c>
      <c r="AR19" s="305">
        <v>237</v>
      </c>
      <c r="AS19" s="305">
        <v>0</v>
      </c>
      <c r="AT19" s="305">
        <v>293</v>
      </c>
      <c r="AU19" s="305">
        <v>0</v>
      </c>
      <c r="AV19" s="305">
        <v>741</v>
      </c>
      <c r="AW19" s="305">
        <v>0</v>
      </c>
      <c r="AX19" s="305">
        <v>161</v>
      </c>
      <c r="AY19" s="305">
        <v>0</v>
      </c>
    </row>
    <row r="20" spans="2:51">
      <c r="B20" s="295">
        <v>10066</v>
      </c>
      <c r="C20" s="295" t="s">
        <v>23</v>
      </c>
      <c r="D20" s="305">
        <v>0</v>
      </c>
      <c r="E20" s="305">
        <v>0</v>
      </c>
      <c r="F20" s="305">
        <v>6734</v>
      </c>
      <c r="G20" s="305">
        <v>0</v>
      </c>
      <c r="H20" s="305">
        <v>12387</v>
      </c>
      <c r="I20" s="305">
        <v>0</v>
      </c>
      <c r="J20" s="305">
        <v>7779</v>
      </c>
      <c r="K20" s="305">
        <v>0</v>
      </c>
      <c r="L20" s="305">
        <v>4343</v>
      </c>
      <c r="M20" s="305">
        <v>0</v>
      </c>
      <c r="N20" s="305">
        <v>8305</v>
      </c>
      <c r="O20" s="305">
        <v>0</v>
      </c>
      <c r="P20" s="305">
        <v>2455</v>
      </c>
      <c r="Q20" s="305">
        <v>0</v>
      </c>
      <c r="R20" s="305">
        <v>3658</v>
      </c>
      <c r="S20" s="305">
        <v>0</v>
      </c>
      <c r="T20" s="305">
        <v>3340</v>
      </c>
      <c r="U20" s="305">
        <v>0</v>
      </c>
      <c r="V20" s="305">
        <v>963</v>
      </c>
      <c r="W20" s="305">
        <v>0</v>
      </c>
      <c r="X20" s="305">
        <v>6605</v>
      </c>
      <c r="Y20" s="305">
        <v>0</v>
      </c>
      <c r="Z20" s="305">
        <v>0</v>
      </c>
      <c r="AA20" s="305">
        <v>0</v>
      </c>
      <c r="AB20" s="305">
        <v>1666</v>
      </c>
      <c r="AC20" s="305">
        <v>0</v>
      </c>
      <c r="AD20" s="305">
        <v>9109</v>
      </c>
      <c r="AE20" s="305">
        <v>0</v>
      </c>
      <c r="AF20" s="305">
        <v>11723</v>
      </c>
      <c r="AG20" s="305">
        <v>0</v>
      </c>
      <c r="AH20" s="305">
        <v>10178</v>
      </c>
      <c r="AI20" s="305">
        <v>0</v>
      </c>
      <c r="AJ20" s="305">
        <v>6545</v>
      </c>
      <c r="AK20" s="305">
        <v>0</v>
      </c>
      <c r="AL20" s="305">
        <v>6078</v>
      </c>
      <c r="AM20" s="305">
        <v>0</v>
      </c>
      <c r="AN20" s="305">
        <v>4560</v>
      </c>
      <c r="AO20" s="305">
        <v>0</v>
      </c>
      <c r="AP20" s="305">
        <v>4172</v>
      </c>
      <c r="AQ20" s="305">
        <v>0</v>
      </c>
      <c r="AR20" s="305">
        <v>2344</v>
      </c>
      <c r="AS20" s="305">
        <v>0</v>
      </c>
      <c r="AT20" s="305">
        <v>2542</v>
      </c>
      <c r="AU20" s="305">
        <v>0</v>
      </c>
      <c r="AV20" s="305">
        <v>6812</v>
      </c>
      <c r="AW20" s="305">
        <v>0</v>
      </c>
      <c r="AX20" s="305">
        <v>0</v>
      </c>
      <c r="AY20" s="305">
        <v>0</v>
      </c>
    </row>
    <row r="21" spans="2:51">
      <c r="B21" s="295">
        <v>10067</v>
      </c>
      <c r="C21" s="295" t="s">
        <v>24</v>
      </c>
      <c r="D21" s="305">
        <v>3229</v>
      </c>
      <c r="E21" s="305">
        <v>0</v>
      </c>
      <c r="F21" s="305">
        <v>4598</v>
      </c>
      <c r="G21" s="305">
        <v>0</v>
      </c>
      <c r="H21" s="305">
        <v>3376</v>
      </c>
      <c r="I21" s="305">
        <v>0</v>
      </c>
      <c r="J21" s="305">
        <v>5458</v>
      </c>
      <c r="K21" s="305">
        <v>0</v>
      </c>
      <c r="L21" s="305">
        <v>3032</v>
      </c>
      <c r="M21" s="305">
        <v>0</v>
      </c>
      <c r="N21" s="305">
        <v>5123</v>
      </c>
      <c r="O21" s="305">
        <v>0</v>
      </c>
      <c r="P21" s="305">
        <v>5053</v>
      </c>
      <c r="Q21" s="305">
        <v>0</v>
      </c>
      <c r="R21" s="305">
        <v>4096</v>
      </c>
      <c r="S21" s="305">
        <v>0</v>
      </c>
      <c r="T21" s="305">
        <v>3417</v>
      </c>
      <c r="U21" s="305">
        <v>0</v>
      </c>
      <c r="V21" s="305">
        <v>4336</v>
      </c>
      <c r="W21" s="305">
        <v>0</v>
      </c>
      <c r="X21" s="305">
        <v>4546</v>
      </c>
      <c r="Y21" s="305">
        <v>0</v>
      </c>
      <c r="Z21" s="305">
        <v>4788</v>
      </c>
      <c r="AA21" s="305">
        <v>0</v>
      </c>
      <c r="AB21" s="305">
        <v>3996</v>
      </c>
      <c r="AC21" s="305">
        <v>0</v>
      </c>
      <c r="AD21" s="305">
        <v>4770</v>
      </c>
      <c r="AE21" s="305">
        <v>0</v>
      </c>
      <c r="AF21" s="305">
        <v>3533</v>
      </c>
      <c r="AG21" s="305">
        <v>0</v>
      </c>
      <c r="AH21" s="305">
        <v>5642</v>
      </c>
      <c r="AI21" s="305">
        <v>0</v>
      </c>
      <c r="AJ21" s="305">
        <v>3192</v>
      </c>
      <c r="AK21" s="305">
        <v>0</v>
      </c>
      <c r="AL21" s="305">
        <v>4604</v>
      </c>
      <c r="AM21" s="305">
        <v>0</v>
      </c>
      <c r="AN21" s="305">
        <v>5872</v>
      </c>
      <c r="AO21" s="305">
        <v>0</v>
      </c>
      <c r="AP21" s="305">
        <v>4230</v>
      </c>
      <c r="AQ21" s="305">
        <v>0</v>
      </c>
      <c r="AR21" s="305">
        <v>2905</v>
      </c>
      <c r="AS21" s="305">
        <v>0</v>
      </c>
      <c r="AT21" s="305">
        <v>5160</v>
      </c>
      <c r="AU21" s="305">
        <v>0</v>
      </c>
      <c r="AV21" s="305">
        <v>4692</v>
      </c>
      <c r="AW21" s="305">
        <v>0</v>
      </c>
      <c r="AX21" s="305">
        <v>4926</v>
      </c>
      <c r="AY21" s="305">
        <v>0</v>
      </c>
    </row>
    <row r="22" spans="2:51">
      <c r="B22" s="295">
        <v>10068</v>
      </c>
      <c r="C22" s="295" t="s">
        <v>25</v>
      </c>
      <c r="D22" s="305">
        <v>0</v>
      </c>
      <c r="E22" s="305">
        <v>0</v>
      </c>
      <c r="F22" s="305">
        <v>187</v>
      </c>
      <c r="G22" s="305">
        <v>0</v>
      </c>
      <c r="H22" s="305">
        <v>240</v>
      </c>
      <c r="I22" s="305">
        <v>0</v>
      </c>
      <c r="J22" s="305">
        <v>532</v>
      </c>
      <c r="K22" s="305">
        <v>0</v>
      </c>
      <c r="L22" s="305">
        <v>430</v>
      </c>
      <c r="M22" s="305">
        <v>0</v>
      </c>
      <c r="N22" s="305">
        <v>468</v>
      </c>
      <c r="O22" s="305">
        <v>0</v>
      </c>
      <c r="P22" s="305">
        <v>296</v>
      </c>
      <c r="Q22" s="305">
        <v>0</v>
      </c>
      <c r="R22" s="305">
        <v>188</v>
      </c>
      <c r="S22" s="305">
        <v>0</v>
      </c>
      <c r="T22" s="305">
        <v>18</v>
      </c>
      <c r="U22" s="305">
        <v>0</v>
      </c>
      <c r="V22" s="305">
        <v>544</v>
      </c>
      <c r="W22" s="305">
        <v>0</v>
      </c>
      <c r="X22" s="305">
        <v>457</v>
      </c>
      <c r="Y22" s="305">
        <v>0</v>
      </c>
      <c r="Z22" s="305">
        <v>0</v>
      </c>
      <c r="AA22" s="305">
        <v>0</v>
      </c>
      <c r="AB22" s="305">
        <v>0</v>
      </c>
      <c r="AC22" s="305">
        <v>0</v>
      </c>
      <c r="AD22" s="305">
        <v>188</v>
      </c>
      <c r="AE22" s="305">
        <v>0</v>
      </c>
      <c r="AF22" s="305">
        <v>242</v>
      </c>
      <c r="AG22" s="305">
        <v>0</v>
      </c>
      <c r="AH22" s="305">
        <v>534</v>
      </c>
      <c r="AI22" s="305">
        <v>0</v>
      </c>
      <c r="AJ22" s="305">
        <v>557</v>
      </c>
      <c r="AK22" s="305">
        <v>0</v>
      </c>
      <c r="AL22" s="305">
        <v>359</v>
      </c>
      <c r="AM22" s="305">
        <v>0</v>
      </c>
      <c r="AN22" s="305">
        <v>399</v>
      </c>
      <c r="AO22" s="305">
        <v>0</v>
      </c>
      <c r="AP22" s="305">
        <v>190</v>
      </c>
      <c r="AQ22" s="305">
        <v>0</v>
      </c>
      <c r="AR22" s="305">
        <v>0</v>
      </c>
      <c r="AS22" s="305">
        <v>0</v>
      </c>
      <c r="AT22" s="305">
        <v>648</v>
      </c>
      <c r="AU22" s="305">
        <v>0</v>
      </c>
      <c r="AV22" s="305">
        <v>458</v>
      </c>
      <c r="AW22" s="305">
        <v>0</v>
      </c>
      <c r="AX22" s="305">
        <v>0</v>
      </c>
      <c r="AY22" s="305">
        <v>0</v>
      </c>
    </row>
    <row r="23" spans="2:51">
      <c r="B23" s="295">
        <v>10070</v>
      </c>
      <c r="C23" s="295" t="s">
        <v>26</v>
      </c>
      <c r="D23" s="305">
        <v>48</v>
      </c>
      <c r="E23" s="305">
        <v>0</v>
      </c>
      <c r="F23" s="305">
        <v>36</v>
      </c>
      <c r="G23" s="305">
        <v>0</v>
      </c>
      <c r="H23" s="305">
        <v>106</v>
      </c>
      <c r="I23" s="305">
        <v>0</v>
      </c>
      <c r="J23" s="305">
        <v>78</v>
      </c>
      <c r="K23" s="305">
        <v>0</v>
      </c>
      <c r="L23" s="305">
        <v>38</v>
      </c>
      <c r="M23" s="305">
        <v>0</v>
      </c>
      <c r="N23" s="305">
        <v>86</v>
      </c>
      <c r="O23" s="305">
        <v>0</v>
      </c>
      <c r="P23" s="305">
        <v>22</v>
      </c>
      <c r="Q23" s="305">
        <v>0</v>
      </c>
      <c r="R23" s="305">
        <v>47</v>
      </c>
      <c r="S23" s="305">
        <v>0</v>
      </c>
      <c r="T23" s="305">
        <v>55</v>
      </c>
      <c r="U23" s="305">
        <v>0</v>
      </c>
      <c r="V23" s="305">
        <v>40</v>
      </c>
      <c r="W23" s="305">
        <v>0</v>
      </c>
      <c r="X23" s="305">
        <v>85</v>
      </c>
      <c r="Y23" s="305">
        <v>0</v>
      </c>
      <c r="Z23" s="305">
        <v>42</v>
      </c>
      <c r="AA23" s="305">
        <v>0</v>
      </c>
      <c r="AB23" s="305">
        <v>62</v>
      </c>
      <c r="AC23" s="305">
        <v>0</v>
      </c>
      <c r="AD23" s="305">
        <v>53</v>
      </c>
      <c r="AE23" s="305">
        <v>0</v>
      </c>
      <c r="AF23" s="305">
        <v>86</v>
      </c>
      <c r="AG23" s="305">
        <v>0</v>
      </c>
      <c r="AH23" s="305">
        <v>97</v>
      </c>
      <c r="AI23" s="305">
        <v>0</v>
      </c>
      <c r="AJ23" s="305">
        <v>59</v>
      </c>
      <c r="AK23" s="305">
        <v>0</v>
      </c>
      <c r="AL23" s="305">
        <v>57</v>
      </c>
      <c r="AM23" s="305">
        <v>0</v>
      </c>
      <c r="AN23" s="305">
        <v>37</v>
      </c>
      <c r="AO23" s="305">
        <v>0</v>
      </c>
      <c r="AP23" s="305">
        <v>47</v>
      </c>
      <c r="AQ23" s="305">
        <v>0</v>
      </c>
      <c r="AR23" s="305">
        <v>41</v>
      </c>
      <c r="AS23" s="305">
        <v>0</v>
      </c>
      <c r="AT23" s="305">
        <v>56</v>
      </c>
      <c r="AU23" s="305">
        <v>0</v>
      </c>
      <c r="AV23" s="305">
        <v>85</v>
      </c>
      <c r="AW23" s="305">
        <v>0</v>
      </c>
      <c r="AX23" s="305">
        <v>42</v>
      </c>
      <c r="AY23" s="305">
        <v>0</v>
      </c>
    </row>
    <row r="24" spans="2:51">
      <c r="B24" s="295">
        <v>10071</v>
      </c>
      <c r="C24" s="295" t="s">
        <v>27</v>
      </c>
      <c r="D24" s="305">
        <v>112</v>
      </c>
      <c r="E24" s="305">
        <v>0</v>
      </c>
      <c r="F24" s="305">
        <v>0</v>
      </c>
      <c r="G24" s="305">
        <v>0</v>
      </c>
      <c r="H24" s="305">
        <v>404</v>
      </c>
      <c r="I24" s="305">
        <v>0</v>
      </c>
      <c r="J24" s="305">
        <v>387</v>
      </c>
      <c r="K24" s="305">
        <v>0</v>
      </c>
      <c r="L24" s="305">
        <v>11</v>
      </c>
      <c r="M24" s="305">
        <v>0</v>
      </c>
      <c r="N24" s="305">
        <v>548</v>
      </c>
      <c r="O24" s="305">
        <v>0</v>
      </c>
      <c r="P24" s="305">
        <v>249</v>
      </c>
      <c r="Q24" s="305">
        <v>0</v>
      </c>
      <c r="R24" s="305">
        <v>0</v>
      </c>
      <c r="S24" s="305">
        <v>0</v>
      </c>
      <c r="T24" s="305">
        <v>53</v>
      </c>
      <c r="U24" s="305">
        <v>0</v>
      </c>
      <c r="V24" s="305">
        <v>93</v>
      </c>
      <c r="W24" s="305">
        <v>0</v>
      </c>
      <c r="X24" s="305">
        <v>294</v>
      </c>
      <c r="Y24" s="305">
        <v>0</v>
      </c>
      <c r="Z24" s="305">
        <v>0</v>
      </c>
      <c r="AA24" s="305">
        <v>0</v>
      </c>
      <c r="AB24" s="305">
        <v>183</v>
      </c>
      <c r="AC24" s="305">
        <v>0</v>
      </c>
      <c r="AD24" s="305">
        <v>68</v>
      </c>
      <c r="AE24" s="305">
        <v>0</v>
      </c>
      <c r="AF24" s="305">
        <v>306</v>
      </c>
      <c r="AG24" s="305">
        <v>0</v>
      </c>
      <c r="AH24" s="305">
        <v>478</v>
      </c>
      <c r="AI24" s="305">
        <v>0</v>
      </c>
      <c r="AJ24" s="305">
        <v>117</v>
      </c>
      <c r="AK24" s="305">
        <v>0</v>
      </c>
      <c r="AL24" s="305">
        <v>391</v>
      </c>
      <c r="AM24" s="305">
        <v>0</v>
      </c>
      <c r="AN24" s="305">
        <v>332</v>
      </c>
      <c r="AO24" s="305">
        <v>0</v>
      </c>
      <c r="AP24" s="305">
        <v>0</v>
      </c>
      <c r="AQ24" s="305">
        <v>0</v>
      </c>
      <c r="AR24" s="305">
        <v>0</v>
      </c>
      <c r="AS24" s="305">
        <v>0</v>
      </c>
      <c r="AT24" s="305">
        <v>161</v>
      </c>
      <c r="AU24" s="305">
        <v>0</v>
      </c>
      <c r="AV24" s="305">
        <v>294</v>
      </c>
      <c r="AW24" s="305">
        <v>0</v>
      </c>
      <c r="AX24" s="305">
        <v>0</v>
      </c>
      <c r="AY24" s="305">
        <v>0</v>
      </c>
    </row>
    <row r="25" spans="2:51">
      <c r="B25" s="295">
        <v>10072</v>
      </c>
      <c r="C25" s="295" t="s">
        <v>28</v>
      </c>
      <c r="D25" s="305">
        <v>3828</v>
      </c>
      <c r="E25" s="305">
        <v>0</v>
      </c>
      <c r="F25" s="305">
        <v>2056</v>
      </c>
      <c r="G25" s="305">
        <v>0</v>
      </c>
      <c r="H25" s="305">
        <v>2848</v>
      </c>
      <c r="I25" s="305">
        <v>0</v>
      </c>
      <c r="J25" s="305">
        <v>5752</v>
      </c>
      <c r="K25" s="305">
        <v>0</v>
      </c>
      <c r="L25" s="305">
        <v>4405</v>
      </c>
      <c r="M25" s="305">
        <v>0</v>
      </c>
      <c r="N25" s="305">
        <v>5170</v>
      </c>
      <c r="O25" s="305">
        <v>0</v>
      </c>
      <c r="P25" s="305">
        <v>3365</v>
      </c>
      <c r="Q25" s="305">
        <v>0</v>
      </c>
      <c r="R25" s="305">
        <v>2634</v>
      </c>
      <c r="S25" s="305">
        <v>0</v>
      </c>
      <c r="T25" s="305">
        <v>3094</v>
      </c>
      <c r="U25" s="305">
        <v>0</v>
      </c>
      <c r="V25" s="305">
        <v>2419</v>
      </c>
      <c r="W25" s="305">
        <v>0</v>
      </c>
      <c r="X25" s="305">
        <v>4617</v>
      </c>
      <c r="Y25" s="305">
        <v>0</v>
      </c>
      <c r="Z25" s="305">
        <v>3724</v>
      </c>
      <c r="AA25" s="305">
        <v>0</v>
      </c>
      <c r="AB25" s="305">
        <v>4864</v>
      </c>
      <c r="AC25" s="305">
        <v>0</v>
      </c>
      <c r="AD25" s="305">
        <v>2075</v>
      </c>
      <c r="AE25" s="305">
        <v>0</v>
      </c>
      <c r="AF25" s="305">
        <v>2864</v>
      </c>
      <c r="AG25" s="305">
        <v>0</v>
      </c>
      <c r="AH25" s="305">
        <v>5776</v>
      </c>
      <c r="AI25" s="305">
        <v>0</v>
      </c>
      <c r="AJ25" s="305">
        <v>5517</v>
      </c>
      <c r="AK25" s="305">
        <v>0</v>
      </c>
      <c r="AL25" s="305">
        <v>4202</v>
      </c>
      <c r="AM25" s="305">
        <v>0</v>
      </c>
      <c r="AN25" s="305">
        <v>4364</v>
      </c>
      <c r="AO25" s="305">
        <v>0</v>
      </c>
      <c r="AP25" s="305">
        <v>2649</v>
      </c>
      <c r="AQ25" s="305">
        <v>0</v>
      </c>
      <c r="AR25" s="305">
        <v>2162</v>
      </c>
      <c r="AS25" s="305">
        <v>0</v>
      </c>
      <c r="AT25" s="305">
        <v>3458</v>
      </c>
      <c r="AU25" s="305">
        <v>0</v>
      </c>
      <c r="AV25" s="305">
        <v>4663</v>
      </c>
      <c r="AW25" s="305">
        <v>0</v>
      </c>
      <c r="AX25" s="305">
        <v>3755</v>
      </c>
      <c r="AY25" s="305">
        <v>0</v>
      </c>
    </row>
    <row r="26" spans="2:51">
      <c r="B26" s="295">
        <v>10074</v>
      </c>
      <c r="C26" s="295" t="s">
        <v>29</v>
      </c>
      <c r="D26" s="305">
        <v>3198</v>
      </c>
      <c r="E26" s="305">
        <v>0</v>
      </c>
      <c r="F26" s="305">
        <v>3225</v>
      </c>
      <c r="G26" s="305">
        <v>0</v>
      </c>
      <c r="H26" s="305">
        <v>5737</v>
      </c>
      <c r="I26" s="305">
        <v>0</v>
      </c>
      <c r="J26" s="305">
        <v>5533</v>
      </c>
      <c r="K26" s="305">
        <v>0</v>
      </c>
      <c r="L26" s="305">
        <v>1826</v>
      </c>
      <c r="M26" s="305">
        <v>0</v>
      </c>
      <c r="N26" s="305">
        <v>5912</v>
      </c>
      <c r="O26" s="305">
        <v>0</v>
      </c>
      <c r="P26" s="305">
        <v>1591</v>
      </c>
      <c r="Q26" s="305">
        <v>0</v>
      </c>
      <c r="R26" s="305">
        <v>2483</v>
      </c>
      <c r="S26" s="305">
        <v>0</v>
      </c>
      <c r="T26" s="305">
        <v>5303</v>
      </c>
      <c r="U26" s="305">
        <v>0</v>
      </c>
      <c r="V26" s="305">
        <v>4230</v>
      </c>
      <c r="W26" s="305">
        <v>0</v>
      </c>
      <c r="X26" s="305">
        <v>6371</v>
      </c>
      <c r="Y26" s="305">
        <v>0</v>
      </c>
      <c r="Z26" s="305">
        <v>5573</v>
      </c>
      <c r="AA26" s="305">
        <v>0</v>
      </c>
      <c r="AB26" s="305">
        <v>4434</v>
      </c>
      <c r="AC26" s="305">
        <v>0</v>
      </c>
      <c r="AD26" s="305">
        <v>4629</v>
      </c>
      <c r="AE26" s="305">
        <v>0</v>
      </c>
      <c r="AF26" s="305">
        <v>4320</v>
      </c>
      <c r="AG26" s="305">
        <v>0</v>
      </c>
      <c r="AH26" s="305">
        <v>6940</v>
      </c>
      <c r="AI26" s="305">
        <v>0</v>
      </c>
      <c r="AJ26" s="305">
        <v>3391</v>
      </c>
      <c r="AK26" s="305">
        <v>0</v>
      </c>
      <c r="AL26" s="305">
        <v>3536</v>
      </c>
      <c r="AM26" s="305">
        <v>0</v>
      </c>
      <c r="AN26" s="305">
        <v>2921</v>
      </c>
      <c r="AO26" s="305">
        <v>0</v>
      </c>
      <c r="AP26" s="305">
        <v>2513</v>
      </c>
      <c r="AQ26" s="305">
        <v>0</v>
      </c>
      <c r="AR26" s="305">
        <v>4202</v>
      </c>
      <c r="AS26" s="305">
        <v>0</v>
      </c>
      <c r="AT26" s="305">
        <v>5523</v>
      </c>
      <c r="AU26" s="305">
        <v>0</v>
      </c>
      <c r="AV26" s="305">
        <v>6413</v>
      </c>
      <c r="AW26" s="305">
        <v>0</v>
      </c>
      <c r="AX26" s="305">
        <v>5610</v>
      </c>
      <c r="AY26" s="305">
        <v>0</v>
      </c>
    </row>
    <row r="27" spans="2:51">
      <c r="B27" s="295">
        <v>10076</v>
      </c>
      <c r="C27" s="295" t="s">
        <v>30</v>
      </c>
      <c r="D27" s="305">
        <v>278</v>
      </c>
      <c r="E27" s="305">
        <v>0</v>
      </c>
      <c r="F27" s="305">
        <v>236</v>
      </c>
      <c r="G27" s="305">
        <v>0</v>
      </c>
      <c r="H27" s="305">
        <v>433</v>
      </c>
      <c r="I27" s="305">
        <v>0</v>
      </c>
      <c r="J27" s="305">
        <v>534</v>
      </c>
      <c r="K27" s="305">
        <v>0</v>
      </c>
      <c r="L27" s="305">
        <v>0</v>
      </c>
      <c r="M27" s="305">
        <v>0</v>
      </c>
      <c r="N27" s="305">
        <v>843</v>
      </c>
      <c r="O27" s="305">
        <v>0</v>
      </c>
      <c r="P27" s="305">
        <v>0</v>
      </c>
      <c r="Q27" s="305">
        <v>0</v>
      </c>
      <c r="R27" s="305">
        <v>398</v>
      </c>
      <c r="S27" s="305">
        <v>0</v>
      </c>
      <c r="T27" s="305">
        <v>832</v>
      </c>
      <c r="U27" s="305">
        <v>0</v>
      </c>
      <c r="V27" s="305">
        <v>412</v>
      </c>
      <c r="W27" s="305">
        <v>0</v>
      </c>
      <c r="X27" s="305">
        <v>862</v>
      </c>
      <c r="Y27" s="305">
        <v>0</v>
      </c>
      <c r="Z27" s="305">
        <v>185</v>
      </c>
      <c r="AA27" s="305">
        <v>0</v>
      </c>
      <c r="AB27" s="305">
        <v>566</v>
      </c>
      <c r="AC27" s="305">
        <v>0</v>
      </c>
      <c r="AD27" s="305">
        <v>579</v>
      </c>
      <c r="AE27" s="305">
        <v>0</v>
      </c>
      <c r="AF27" s="305">
        <v>60</v>
      </c>
      <c r="AG27" s="305">
        <v>0</v>
      </c>
      <c r="AH27" s="305">
        <v>914</v>
      </c>
      <c r="AI27" s="305">
        <v>0</v>
      </c>
      <c r="AJ27" s="305">
        <v>0</v>
      </c>
      <c r="AK27" s="305">
        <v>0</v>
      </c>
      <c r="AL27" s="305">
        <v>236</v>
      </c>
      <c r="AM27" s="305">
        <v>0</v>
      </c>
      <c r="AN27" s="305">
        <v>298</v>
      </c>
      <c r="AO27" s="305">
        <v>0</v>
      </c>
      <c r="AP27" s="305">
        <v>397</v>
      </c>
      <c r="AQ27" s="305">
        <v>0</v>
      </c>
      <c r="AR27" s="305">
        <v>514</v>
      </c>
      <c r="AS27" s="305">
        <v>0</v>
      </c>
      <c r="AT27" s="305">
        <v>744</v>
      </c>
      <c r="AU27" s="305">
        <v>0</v>
      </c>
      <c r="AV27" s="305">
        <v>864</v>
      </c>
      <c r="AW27" s="305">
        <v>0</v>
      </c>
      <c r="AX27" s="305">
        <v>180</v>
      </c>
      <c r="AY27" s="305">
        <v>0</v>
      </c>
    </row>
    <row r="28" spans="2:51">
      <c r="B28" s="295">
        <v>10078</v>
      </c>
      <c r="C28" s="295" t="s">
        <v>31</v>
      </c>
      <c r="D28" s="305">
        <v>828</v>
      </c>
      <c r="E28" s="305">
        <v>0</v>
      </c>
      <c r="F28" s="305">
        <v>1335</v>
      </c>
      <c r="G28" s="305">
        <v>0</v>
      </c>
      <c r="H28" s="305">
        <v>1411</v>
      </c>
      <c r="I28" s="305">
        <v>0</v>
      </c>
      <c r="J28" s="305">
        <v>1755</v>
      </c>
      <c r="K28" s="305">
        <v>0</v>
      </c>
      <c r="L28" s="305">
        <v>787</v>
      </c>
      <c r="M28" s="305">
        <v>0</v>
      </c>
      <c r="N28" s="305">
        <v>1275</v>
      </c>
      <c r="O28" s="305">
        <v>0</v>
      </c>
      <c r="P28" s="305">
        <v>1178</v>
      </c>
      <c r="Q28" s="305">
        <v>0</v>
      </c>
      <c r="R28" s="305">
        <v>525</v>
      </c>
      <c r="S28" s="305">
        <v>0</v>
      </c>
      <c r="T28" s="305">
        <v>0</v>
      </c>
      <c r="U28" s="305">
        <v>0</v>
      </c>
      <c r="V28" s="305">
        <v>0</v>
      </c>
      <c r="W28" s="305">
        <v>0</v>
      </c>
      <c r="X28" s="305">
        <v>652</v>
      </c>
      <c r="Y28" s="305">
        <v>0</v>
      </c>
      <c r="Z28" s="305">
        <v>0</v>
      </c>
      <c r="AA28" s="305">
        <v>0</v>
      </c>
      <c r="AB28" s="305">
        <v>975</v>
      </c>
      <c r="AC28" s="305">
        <v>0</v>
      </c>
      <c r="AD28" s="305">
        <v>1499</v>
      </c>
      <c r="AE28" s="305">
        <v>0</v>
      </c>
      <c r="AF28" s="305">
        <v>1207</v>
      </c>
      <c r="AG28" s="305">
        <v>0</v>
      </c>
      <c r="AH28" s="305">
        <v>1928</v>
      </c>
      <c r="AI28" s="305">
        <v>0</v>
      </c>
      <c r="AJ28" s="305">
        <v>816</v>
      </c>
      <c r="AK28" s="305">
        <v>0</v>
      </c>
      <c r="AL28" s="305">
        <v>922</v>
      </c>
      <c r="AM28" s="305">
        <v>0</v>
      </c>
      <c r="AN28" s="305">
        <v>1342</v>
      </c>
      <c r="AO28" s="305">
        <v>0</v>
      </c>
      <c r="AP28" s="305">
        <v>520</v>
      </c>
      <c r="AQ28" s="305">
        <v>0</v>
      </c>
      <c r="AR28" s="305">
        <v>0</v>
      </c>
      <c r="AS28" s="305">
        <v>0</v>
      </c>
      <c r="AT28" s="305">
        <v>0</v>
      </c>
      <c r="AU28" s="305">
        <v>0</v>
      </c>
      <c r="AV28" s="305">
        <v>637</v>
      </c>
      <c r="AW28" s="305">
        <v>0</v>
      </c>
      <c r="AX28" s="305">
        <v>0</v>
      </c>
      <c r="AY28" s="305">
        <v>0</v>
      </c>
    </row>
    <row r="29" spans="2:51">
      <c r="B29" s="295">
        <v>10079</v>
      </c>
      <c r="C29" s="295" t="s">
        <v>32</v>
      </c>
      <c r="D29" s="305">
        <v>21425</v>
      </c>
      <c r="E29" s="305">
        <v>0</v>
      </c>
      <c r="F29" s="305">
        <v>24974</v>
      </c>
      <c r="G29" s="305">
        <v>0</v>
      </c>
      <c r="H29" s="305">
        <v>15941</v>
      </c>
      <c r="I29" s="305">
        <v>0</v>
      </c>
      <c r="J29" s="305">
        <v>21416</v>
      </c>
      <c r="K29" s="305">
        <v>0</v>
      </c>
      <c r="L29" s="305">
        <v>4407</v>
      </c>
      <c r="M29" s="305">
        <v>0</v>
      </c>
      <c r="N29" s="305">
        <v>28906</v>
      </c>
      <c r="O29" s="305">
        <v>0</v>
      </c>
      <c r="P29" s="305">
        <v>13266</v>
      </c>
      <c r="Q29" s="305">
        <v>0</v>
      </c>
      <c r="R29" s="305">
        <v>20417</v>
      </c>
      <c r="S29" s="305">
        <v>0</v>
      </c>
      <c r="T29" s="305">
        <v>24809</v>
      </c>
      <c r="U29" s="305">
        <v>0</v>
      </c>
      <c r="V29" s="305">
        <v>12098</v>
      </c>
      <c r="W29" s="305">
        <v>0</v>
      </c>
      <c r="X29" s="305">
        <v>21648</v>
      </c>
      <c r="Y29" s="305">
        <v>0</v>
      </c>
      <c r="Z29" s="305">
        <v>1217</v>
      </c>
      <c r="AA29" s="305">
        <v>0</v>
      </c>
      <c r="AB29" s="305">
        <v>20677</v>
      </c>
      <c r="AC29" s="305">
        <v>0</v>
      </c>
      <c r="AD29" s="305">
        <v>32744</v>
      </c>
      <c r="AE29" s="305">
        <v>0</v>
      </c>
      <c r="AF29" s="305">
        <v>24172</v>
      </c>
      <c r="AG29" s="305">
        <v>0</v>
      </c>
      <c r="AH29" s="305">
        <v>23568</v>
      </c>
      <c r="AI29" s="305">
        <v>0</v>
      </c>
      <c r="AJ29" s="305">
        <v>0</v>
      </c>
      <c r="AK29" s="305">
        <v>0</v>
      </c>
      <c r="AL29" s="305">
        <v>15447</v>
      </c>
      <c r="AM29" s="305">
        <v>0</v>
      </c>
      <c r="AN29" s="305">
        <v>19167</v>
      </c>
      <c r="AO29" s="305">
        <v>0</v>
      </c>
      <c r="AP29" s="305">
        <v>19932</v>
      </c>
      <c r="AQ29" s="305">
        <v>0</v>
      </c>
      <c r="AR29" s="305">
        <v>16210</v>
      </c>
      <c r="AS29" s="305">
        <v>0</v>
      </c>
      <c r="AT29" s="305">
        <v>13929</v>
      </c>
      <c r="AU29" s="305">
        <v>0</v>
      </c>
      <c r="AV29" s="305">
        <v>21118</v>
      </c>
      <c r="AW29" s="305">
        <v>0</v>
      </c>
      <c r="AX29" s="305">
        <v>7002</v>
      </c>
      <c r="AY29" s="305">
        <v>0</v>
      </c>
    </row>
    <row r="30" spans="2:51">
      <c r="B30" s="295">
        <v>10080</v>
      </c>
      <c r="C30" s="295" t="s">
        <v>33</v>
      </c>
      <c r="D30" s="305">
        <v>142</v>
      </c>
      <c r="E30" s="305">
        <v>0</v>
      </c>
      <c r="F30" s="305">
        <v>0</v>
      </c>
      <c r="G30" s="305">
        <v>0</v>
      </c>
      <c r="H30" s="305">
        <v>1617</v>
      </c>
      <c r="I30" s="305">
        <v>0</v>
      </c>
      <c r="J30" s="305">
        <v>1195</v>
      </c>
      <c r="K30" s="305">
        <v>0</v>
      </c>
      <c r="L30" s="305">
        <v>75</v>
      </c>
      <c r="M30" s="305">
        <v>0</v>
      </c>
      <c r="N30" s="305">
        <v>1208</v>
      </c>
      <c r="O30" s="305">
        <v>0</v>
      </c>
      <c r="P30" s="305">
        <v>293</v>
      </c>
      <c r="Q30" s="305">
        <v>0</v>
      </c>
      <c r="R30" s="305">
        <v>1048</v>
      </c>
      <c r="S30" s="305">
        <v>0</v>
      </c>
      <c r="T30" s="305">
        <v>851</v>
      </c>
      <c r="U30" s="305">
        <v>0</v>
      </c>
      <c r="V30" s="305">
        <v>772</v>
      </c>
      <c r="W30" s="305">
        <v>0</v>
      </c>
      <c r="X30" s="305">
        <v>1398</v>
      </c>
      <c r="Y30" s="305">
        <v>0</v>
      </c>
      <c r="Z30" s="305">
        <v>604</v>
      </c>
      <c r="AA30" s="305">
        <v>0</v>
      </c>
      <c r="AB30" s="305">
        <v>391</v>
      </c>
      <c r="AC30" s="305">
        <v>0</v>
      </c>
      <c r="AD30" s="305">
        <v>0</v>
      </c>
      <c r="AE30" s="305">
        <v>0</v>
      </c>
      <c r="AF30" s="305">
        <v>1248</v>
      </c>
      <c r="AG30" s="305">
        <v>0</v>
      </c>
      <c r="AH30" s="305">
        <v>1535</v>
      </c>
      <c r="AI30" s="305">
        <v>0</v>
      </c>
      <c r="AJ30" s="305">
        <v>403</v>
      </c>
      <c r="AK30" s="305">
        <v>0</v>
      </c>
      <c r="AL30" s="305">
        <v>616</v>
      </c>
      <c r="AM30" s="305">
        <v>0</v>
      </c>
      <c r="AN30" s="305">
        <v>563</v>
      </c>
      <c r="AO30" s="305">
        <v>0</v>
      </c>
      <c r="AP30" s="305">
        <v>1041</v>
      </c>
      <c r="AQ30" s="305">
        <v>0</v>
      </c>
      <c r="AR30" s="305">
        <v>628</v>
      </c>
      <c r="AS30" s="305">
        <v>0</v>
      </c>
      <c r="AT30" s="305">
        <v>1046</v>
      </c>
      <c r="AU30" s="305">
        <v>0</v>
      </c>
      <c r="AV30" s="305">
        <v>1424</v>
      </c>
      <c r="AW30" s="305">
        <v>0</v>
      </c>
      <c r="AX30" s="305">
        <v>613</v>
      </c>
      <c r="AY30" s="305">
        <v>0</v>
      </c>
    </row>
    <row r="31" spans="2:51">
      <c r="B31" s="295">
        <v>10081</v>
      </c>
      <c r="C31" s="295" t="s">
        <v>34</v>
      </c>
      <c r="D31" s="305">
        <v>1313</v>
      </c>
      <c r="E31" s="305">
        <v>0</v>
      </c>
      <c r="F31" s="305">
        <v>1442</v>
      </c>
      <c r="G31" s="305">
        <v>0</v>
      </c>
      <c r="H31" s="305">
        <v>3728</v>
      </c>
      <c r="I31" s="305">
        <v>0</v>
      </c>
      <c r="J31" s="305">
        <v>2706</v>
      </c>
      <c r="K31" s="305">
        <v>0</v>
      </c>
      <c r="L31" s="305">
        <v>2105</v>
      </c>
      <c r="M31" s="305">
        <v>0</v>
      </c>
      <c r="N31" s="305">
        <v>4215</v>
      </c>
      <c r="O31" s="305">
        <v>0</v>
      </c>
      <c r="P31" s="305">
        <v>899</v>
      </c>
      <c r="Q31" s="305">
        <v>0</v>
      </c>
      <c r="R31" s="305">
        <v>2195</v>
      </c>
      <c r="S31" s="305">
        <v>0</v>
      </c>
      <c r="T31" s="305">
        <v>1963</v>
      </c>
      <c r="U31" s="305">
        <v>0</v>
      </c>
      <c r="V31" s="305">
        <v>2562</v>
      </c>
      <c r="W31" s="305">
        <v>0</v>
      </c>
      <c r="X31" s="305">
        <v>2634</v>
      </c>
      <c r="Y31" s="305">
        <v>0</v>
      </c>
      <c r="Z31" s="305">
        <v>2388</v>
      </c>
      <c r="AA31" s="305">
        <v>0</v>
      </c>
      <c r="AB31" s="305">
        <v>1730</v>
      </c>
      <c r="AC31" s="305">
        <v>0</v>
      </c>
      <c r="AD31" s="305">
        <v>2045</v>
      </c>
      <c r="AE31" s="305">
        <v>0</v>
      </c>
      <c r="AF31" s="305">
        <v>2966</v>
      </c>
      <c r="AG31" s="305">
        <v>0</v>
      </c>
      <c r="AH31" s="305">
        <v>3406</v>
      </c>
      <c r="AI31" s="305">
        <v>0</v>
      </c>
      <c r="AJ31" s="305">
        <v>2763</v>
      </c>
      <c r="AK31" s="305">
        <v>0</v>
      </c>
      <c r="AL31" s="305">
        <v>3333</v>
      </c>
      <c r="AM31" s="305">
        <v>0</v>
      </c>
      <c r="AN31" s="305">
        <v>1334</v>
      </c>
      <c r="AO31" s="305">
        <v>0</v>
      </c>
      <c r="AP31" s="305">
        <v>2195</v>
      </c>
      <c r="AQ31" s="305">
        <v>0</v>
      </c>
      <c r="AR31" s="305">
        <v>1512</v>
      </c>
      <c r="AS31" s="305">
        <v>0</v>
      </c>
      <c r="AT31" s="305">
        <v>3107</v>
      </c>
      <c r="AU31" s="305">
        <v>0</v>
      </c>
      <c r="AV31" s="305">
        <v>2634</v>
      </c>
      <c r="AW31" s="305">
        <v>0</v>
      </c>
      <c r="AX31" s="305">
        <v>2388</v>
      </c>
      <c r="AY31" s="305">
        <v>0</v>
      </c>
    </row>
    <row r="32" spans="2:51">
      <c r="B32" s="295">
        <v>10082</v>
      </c>
      <c r="C32" s="295" t="s">
        <v>35</v>
      </c>
      <c r="D32" s="305">
        <v>16</v>
      </c>
      <c r="E32" s="305">
        <v>0</v>
      </c>
      <c r="F32" s="305">
        <v>27</v>
      </c>
      <c r="G32" s="305">
        <v>0</v>
      </c>
      <c r="H32" s="305">
        <v>16</v>
      </c>
      <c r="I32" s="305">
        <v>0</v>
      </c>
      <c r="J32" s="305">
        <v>44</v>
      </c>
      <c r="K32" s="305">
        <v>0</v>
      </c>
      <c r="L32" s="305">
        <v>15</v>
      </c>
      <c r="M32" s="305">
        <v>0</v>
      </c>
      <c r="N32" s="305">
        <v>26</v>
      </c>
      <c r="O32" s="305">
        <v>0</v>
      </c>
      <c r="P32" s="305">
        <v>6</v>
      </c>
      <c r="Q32" s="305">
        <v>0</v>
      </c>
      <c r="R32" s="305">
        <v>0</v>
      </c>
      <c r="S32" s="305">
        <v>0</v>
      </c>
      <c r="T32" s="305">
        <v>0</v>
      </c>
      <c r="U32" s="305">
        <v>0</v>
      </c>
      <c r="V32" s="305">
        <v>10</v>
      </c>
      <c r="W32" s="305">
        <v>0</v>
      </c>
      <c r="X32" s="305">
        <v>14</v>
      </c>
      <c r="Y32" s="305">
        <v>0</v>
      </c>
      <c r="Z32" s="305">
        <v>0</v>
      </c>
      <c r="AA32" s="305">
        <v>0</v>
      </c>
      <c r="AB32" s="305">
        <v>19</v>
      </c>
      <c r="AC32" s="305">
        <v>0</v>
      </c>
      <c r="AD32" s="305">
        <v>31</v>
      </c>
      <c r="AE32" s="305">
        <v>0</v>
      </c>
      <c r="AF32" s="305">
        <v>10</v>
      </c>
      <c r="AG32" s="305">
        <v>0</v>
      </c>
      <c r="AH32" s="305">
        <v>50</v>
      </c>
      <c r="AI32" s="305">
        <v>0</v>
      </c>
      <c r="AJ32" s="305">
        <v>21</v>
      </c>
      <c r="AK32" s="305">
        <v>0</v>
      </c>
      <c r="AL32" s="305">
        <v>18</v>
      </c>
      <c r="AM32" s="305">
        <v>0</v>
      </c>
      <c r="AN32" s="305">
        <v>9</v>
      </c>
      <c r="AO32" s="305">
        <v>0</v>
      </c>
      <c r="AP32" s="305">
        <v>0</v>
      </c>
      <c r="AQ32" s="305">
        <v>0</v>
      </c>
      <c r="AR32" s="305">
        <v>0</v>
      </c>
      <c r="AS32" s="305">
        <v>0</v>
      </c>
      <c r="AT32" s="305">
        <v>13</v>
      </c>
      <c r="AU32" s="305">
        <v>0</v>
      </c>
      <c r="AV32" s="305">
        <v>14</v>
      </c>
      <c r="AW32" s="305">
        <v>0</v>
      </c>
      <c r="AX32" s="305">
        <v>0</v>
      </c>
      <c r="AY32" s="305">
        <v>0</v>
      </c>
    </row>
    <row r="33" spans="2:51">
      <c r="B33" s="295">
        <v>10083</v>
      </c>
      <c r="C33" s="295" t="s">
        <v>36</v>
      </c>
      <c r="D33" s="305">
        <v>381</v>
      </c>
      <c r="E33" s="305">
        <v>0</v>
      </c>
      <c r="F33" s="305">
        <v>1091</v>
      </c>
      <c r="G33" s="305">
        <v>0</v>
      </c>
      <c r="H33" s="305">
        <v>1810</v>
      </c>
      <c r="I33" s="305">
        <v>0</v>
      </c>
      <c r="J33" s="305">
        <v>1446</v>
      </c>
      <c r="K33" s="305">
        <v>0</v>
      </c>
      <c r="L33" s="305">
        <v>597</v>
      </c>
      <c r="M33" s="305">
        <v>0</v>
      </c>
      <c r="N33" s="305">
        <v>1811</v>
      </c>
      <c r="O33" s="305">
        <v>0</v>
      </c>
      <c r="P33" s="305">
        <v>740</v>
      </c>
      <c r="Q33" s="305">
        <v>0</v>
      </c>
      <c r="R33" s="305">
        <v>909</v>
      </c>
      <c r="S33" s="305">
        <v>0</v>
      </c>
      <c r="T33" s="305">
        <v>703</v>
      </c>
      <c r="U33" s="305">
        <v>0</v>
      </c>
      <c r="V33" s="305">
        <v>824</v>
      </c>
      <c r="W33" s="305">
        <v>0</v>
      </c>
      <c r="X33" s="305">
        <v>2214</v>
      </c>
      <c r="Y33" s="305">
        <v>0</v>
      </c>
      <c r="Z33" s="305">
        <v>1131</v>
      </c>
      <c r="AA33" s="305">
        <v>0</v>
      </c>
      <c r="AB33" s="305">
        <v>732</v>
      </c>
      <c r="AC33" s="305">
        <v>0</v>
      </c>
      <c r="AD33" s="305">
        <v>1567</v>
      </c>
      <c r="AE33" s="305">
        <v>0</v>
      </c>
      <c r="AF33" s="305">
        <v>1317</v>
      </c>
      <c r="AG33" s="305">
        <v>0</v>
      </c>
      <c r="AH33" s="305">
        <v>1940</v>
      </c>
      <c r="AI33" s="305">
        <v>0</v>
      </c>
      <c r="AJ33" s="305">
        <v>1009</v>
      </c>
      <c r="AK33" s="305">
        <v>0</v>
      </c>
      <c r="AL33" s="305">
        <v>1070</v>
      </c>
      <c r="AM33" s="305">
        <v>0</v>
      </c>
      <c r="AN33" s="305">
        <v>1125</v>
      </c>
      <c r="AO33" s="305">
        <v>0</v>
      </c>
      <c r="AP33" s="305">
        <v>922</v>
      </c>
      <c r="AQ33" s="305">
        <v>0</v>
      </c>
      <c r="AR33" s="305">
        <v>389</v>
      </c>
      <c r="AS33" s="305">
        <v>0</v>
      </c>
      <c r="AT33" s="305">
        <v>1166</v>
      </c>
      <c r="AU33" s="305">
        <v>0</v>
      </c>
      <c r="AV33" s="305">
        <v>2225</v>
      </c>
      <c r="AW33" s="305">
        <v>0</v>
      </c>
      <c r="AX33" s="305">
        <v>1134</v>
      </c>
      <c r="AY33" s="305">
        <v>0</v>
      </c>
    </row>
    <row r="34" spans="2:51">
      <c r="B34" s="295">
        <v>10086</v>
      </c>
      <c r="C34" s="295" t="s">
        <v>37</v>
      </c>
      <c r="D34" s="305">
        <v>763</v>
      </c>
      <c r="E34" s="305">
        <v>0</v>
      </c>
      <c r="F34" s="305">
        <v>501</v>
      </c>
      <c r="G34" s="305">
        <v>0</v>
      </c>
      <c r="H34" s="305">
        <v>698</v>
      </c>
      <c r="I34" s="305">
        <v>0</v>
      </c>
      <c r="J34" s="305">
        <v>1102</v>
      </c>
      <c r="K34" s="305">
        <v>0</v>
      </c>
      <c r="L34" s="305">
        <v>847</v>
      </c>
      <c r="M34" s="305">
        <v>0</v>
      </c>
      <c r="N34" s="305">
        <v>1138</v>
      </c>
      <c r="O34" s="305">
        <v>0</v>
      </c>
      <c r="P34" s="305">
        <v>967</v>
      </c>
      <c r="Q34" s="305">
        <v>0</v>
      </c>
      <c r="R34" s="305">
        <v>394</v>
      </c>
      <c r="S34" s="305">
        <v>0</v>
      </c>
      <c r="T34" s="305">
        <v>388</v>
      </c>
      <c r="U34" s="305">
        <v>0</v>
      </c>
      <c r="V34" s="305">
        <v>302</v>
      </c>
      <c r="W34" s="305">
        <v>0</v>
      </c>
      <c r="X34" s="305">
        <v>634</v>
      </c>
      <c r="Y34" s="305">
        <v>0</v>
      </c>
      <c r="Z34" s="305">
        <v>215</v>
      </c>
      <c r="AA34" s="305">
        <v>0</v>
      </c>
      <c r="AB34" s="305">
        <v>919</v>
      </c>
      <c r="AC34" s="305">
        <v>0</v>
      </c>
      <c r="AD34" s="305">
        <v>676</v>
      </c>
      <c r="AE34" s="305">
        <v>0</v>
      </c>
      <c r="AF34" s="305">
        <v>507</v>
      </c>
      <c r="AG34" s="305">
        <v>0</v>
      </c>
      <c r="AH34" s="305">
        <v>1289</v>
      </c>
      <c r="AI34" s="305">
        <v>0</v>
      </c>
      <c r="AJ34" s="305">
        <v>1058</v>
      </c>
      <c r="AK34" s="305">
        <v>0</v>
      </c>
      <c r="AL34" s="305">
        <v>811</v>
      </c>
      <c r="AM34" s="305">
        <v>0</v>
      </c>
      <c r="AN34" s="305">
        <v>1128</v>
      </c>
      <c r="AO34" s="305">
        <v>0</v>
      </c>
      <c r="AP34" s="305">
        <v>397</v>
      </c>
      <c r="AQ34" s="305">
        <v>0</v>
      </c>
      <c r="AR34" s="305">
        <v>250</v>
      </c>
      <c r="AS34" s="305">
        <v>0</v>
      </c>
      <c r="AT34" s="305">
        <v>441</v>
      </c>
      <c r="AU34" s="305">
        <v>0</v>
      </c>
      <c r="AV34" s="305">
        <v>636</v>
      </c>
      <c r="AW34" s="305">
        <v>0</v>
      </c>
      <c r="AX34" s="305">
        <v>218</v>
      </c>
      <c r="AY34" s="305">
        <v>0</v>
      </c>
    </row>
    <row r="35" spans="2:51">
      <c r="B35" s="295">
        <v>10087</v>
      </c>
      <c r="C35" s="295" t="s">
        <v>38</v>
      </c>
      <c r="D35" s="305">
        <v>0</v>
      </c>
      <c r="E35" s="305">
        <v>0</v>
      </c>
      <c r="F35" s="305">
        <v>0</v>
      </c>
      <c r="G35" s="305">
        <v>0</v>
      </c>
      <c r="H35" s="305">
        <v>1558</v>
      </c>
      <c r="I35" s="305">
        <v>0</v>
      </c>
      <c r="J35" s="305">
        <v>0</v>
      </c>
      <c r="K35" s="305">
        <v>0</v>
      </c>
      <c r="L35" s="305">
        <v>0</v>
      </c>
      <c r="M35" s="305">
        <v>0</v>
      </c>
      <c r="N35" s="305">
        <v>0</v>
      </c>
      <c r="O35" s="305">
        <v>0</v>
      </c>
      <c r="P35" s="305">
        <v>0</v>
      </c>
      <c r="Q35" s="305">
        <v>0</v>
      </c>
      <c r="R35" s="305">
        <v>0</v>
      </c>
      <c r="S35" s="305">
        <v>0</v>
      </c>
      <c r="T35" s="305">
        <v>0</v>
      </c>
      <c r="U35" s="305">
        <v>0</v>
      </c>
      <c r="V35" s="305">
        <v>0</v>
      </c>
      <c r="W35" s="305">
        <v>0</v>
      </c>
      <c r="X35" s="305">
        <v>0</v>
      </c>
      <c r="Y35" s="305">
        <v>0</v>
      </c>
      <c r="Z35" s="305">
        <v>0</v>
      </c>
      <c r="AA35" s="305">
        <v>0</v>
      </c>
      <c r="AB35" s="305">
        <v>0</v>
      </c>
      <c r="AC35" s="305">
        <v>0</v>
      </c>
      <c r="AD35" s="305">
        <v>0</v>
      </c>
      <c r="AE35" s="305">
        <v>0</v>
      </c>
      <c r="AF35" s="305">
        <v>1558</v>
      </c>
      <c r="AG35" s="305">
        <v>0</v>
      </c>
      <c r="AH35" s="305">
        <v>0</v>
      </c>
      <c r="AI35" s="305">
        <v>0</v>
      </c>
      <c r="AJ35" s="305">
        <v>405</v>
      </c>
      <c r="AK35" s="305">
        <v>0</v>
      </c>
      <c r="AL35" s="305">
        <v>0</v>
      </c>
      <c r="AM35" s="305">
        <v>0</v>
      </c>
      <c r="AN35" s="305">
        <v>0</v>
      </c>
      <c r="AO35" s="305">
        <v>0</v>
      </c>
      <c r="AP35" s="305">
        <v>0</v>
      </c>
      <c r="AQ35" s="305">
        <v>0</v>
      </c>
      <c r="AR35" s="305">
        <v>0</v>
      </c>
      <c r="AS35" s="305">
        <v>0</v>
      </c>
      <c r="AT35" s="305">
        <v>0</v>
      </c>
      <c r="AU35" s="305">
        <v>0</v>
      </c>
      <c r="AV35" s="305">
        <v>0</v>
      </c>
      <c r="AW35" s="305">
        <v>0</v>
      </c>
      <c r="AX35" s="305">
        <v>0</v>
      </c>
      <c r="AY35" s="305">
        <v>0</v>
      </c>
    </row>
    <row r="36" spans="2:51">
      <c r="B36" s="295">
        <v>10089</v>
      </c>
      <c r="C36" s="295" t="s">
        <v>39</v>
      </c>
      <c r="D36" s="305">
        <v>0</v>
      </c>
      <c r="E36" s="305">
        <v>0</v>
      </c>
      <c r="F36" s="305">
        <v>1121</v>
      </c>
      <c r="G36" s="305">
        <v>0</v>
      </c>
      <c r="H36" s="305">
        <v>19718</v>
      </c>
      <c r="I36" s="305">
        <v>0</v>
      </c>
      <c r="J36" s="305">
        <v>13846</v>
      </c>
      <c r="K36" s="305">
        <v>0</v>
      </c>
      <c r="L36" s="305">
        <v>5293</v>
      </c>
      <c r="M36" s="305">
        <v>0</v>
      </c>
      <c r="N36" s="305">
        <v>19714</v>
      </c>
      <c r="O36" s="305">
        <v>0</v>
      </c>
      <c r="P36" s="305">
        <v>4404</v>
      </c>
      <c r="Q36" s="305">
        <v>0</v>
      </c>
      <c r="R36" s="305">
        <v>8062</v>
      </c>
      <c r="S36" s="305">
        <v>0</v>
      </c>
      <c r="T36" s="305">
        <v>8341</v>
      </c>
      <c r="U36" s="305">
        <v>0</v>
      </c>
      <c r="V36" s="305">
        <v>9060</v>
      </c>
      <c r="W36" s="305">
        <v>0</v>
      </c>
      <c r="X36" s="305">
        <v>26269</v>
      </c>
      <c r="Y36" s="305">
        <v>0</v>
      </c>
      <c r="Z36" s="305">
        <v>17064</v>
      </c>
      <c r="AA36" s="305">
        <v>0</v>
      </c>
      <c r="AB36" s="305">
        <v>2785</v>
      </c>
      <c r="AC36" s="305">
        <v>0</v>
      </c>
      <c r="AD36" s="305">
        <v>6269</v>
      </c>
      <c r="AE36" s="305">
        <v>0</v>
      </c>
      <c r="AF36" s="305">
        <v>14096</v>
      </c>
      <c r="AG36" s="305">
        <v>0</v>
      </c>
      <c r="AH36" s="305">
        <v>19880</v>
      </c>
      <c r="AI36" s="305">
        <v>0</v>
      </c>
      <c r="AJ36" s="305">
        <v>9364</v>
      </c>
      <c r="AK36" s="305">
        <v>0</v>
      </c>
      <c r="AL36" s="305">
        <v>11799</v>
      </c>
      <c r="AM36" s="305">
        <v>0</v>
      </c>
      <c r="AN36" s="305">
        <v>8756</v>
      </c>
      <c r="AO36" s="305">
        <v>0</v>
      </c>
      <c r="AP36" s="305">
        <v>8332</v>
      </c>
      <c r="AQ36" s="305">
        <v>0</v>
      </c>
      <c r="AR36" s="305">
        <v>3832</v>
      </c>
      <c r="AS36" s="305">
        <v>0</v>
      </c>
      <c r="AT36" s="305">
        <v>14876</v>
      </c>
      <c r="AU36" s="305">
        <v>0</v>
      </c>
      <c r="AV36" s="305">
        <v>26661</v>
      </c>
      <c r="AW36" s="305">
        <v>0</v>
      </c>
      <c r="AX36" s="305">
        <v>17370</v>
      </c>
      <c r="AY36" s="305">
        <v>0</v>
      </c>
    </row>
    <row r="37" spans="2:51">
      <c r="B37" s="295">
        <v>10091</v>
      </c>
      <c r="C37" s="295" t="s">
        <v>40</v>
      </c>
      <c r="D37" s="305">
        <v>1299</v>
      </c>
      <c r="E37" s="305">
        <v>0</v>
      </c>
      <c r="F37" s="305">
        <v>2288</v>
      </c>
      <c r="G37" s="305">
        <v>0</v>
      </c>
      <c r="H37" s="305">
        <v>1710</v>
      </c>
      <c r="I37" s="305">
        <v>0</v>
      </c>
      <c r="J37" s="305">
        <v>1884</v>
      </c>
      <c r="K37" s="305">
        <v>0</v>
      </c>
      <c r="L37" s="305">
        <v>1384</v>
      </c>
      <c r="M37" s="305">
        <v>0</v>
      </c>
      <c r="N37" s="305">
        <v>1543</v>
      </c>
      <c r="O37" s="305">
        <v>0</v>
      </c>
      <c r="P37" s="305">
        <v>1574</v>
      </c>
      <c r="Q37" s="305">
        <v>0</v>
      </c>
      <c r="R37" s="305">
        <v>1087</v>
      </c>
      <c r="S37" s="305">
        <v>0</v>
      </c>
      <c r="T37" s="305">
        <v>2770</v>
      </c>
      <c r="U37" s="305">
        <v>0</v>
      </c>
      <c r="V37" s="305">
        <v>2344</v>
      </c>
      <c r="W37" s="305">
        <v>0</v>
      </c>
      <c r="X37" s="305">
        <v>2518</v>
      </c>
      <c r="Y37" s="305">
        <v>0</v>
      </c>
      <c r="Z37" s="305">
        <v>1105</v>
      </c>
      <c r="AA37" s="305">
        <v>0</v>
      </c>
      <c r="AB37" s="305">
        <v>1567</v>
      </c>
      <c r="AC37" s="305">
        <v>0</v>
      </c>
      <c r="AD37" s="305">
        <v>2214</v>
      </c>
      <c r="AE37" s="305">
        <v>0</v>
      </c>
      <c r="AF37" s="305">
        <v>1647</v>
      </c>
      <c r="AG37" s="305">
        <v>0</v>
      </c>
      <c r="AH37" s="305">
        <v>1827</v>
      </c>
      <c r="AI37" s="305">
        <v>0</v>
      </c>
      <c r="AJ37" s="305">
        <v>1663</v>
      </c>
      <c r="AK37" s="305">
        <v>0</v>
      </c>
      <c r="AL37" s="305">
        <v>1076</v>
      </c>
      <c r="AM37" s="305">
        <v>0</v>
      </c>
      <c r="AN37" s="305">
        <v>1883</v>
      </c>
      <c r="AO37" s="305">
        <v>0</v>
      </c>
      <c r="AP37" s="305">
        <v>1013</v>
      </c>
      <c r="AQ37" s="305">
        <v>0</v>
      </c>
      <c r="AR37" s="305">
        <v>2343</v>
      </c>
      <c r="AS37" s="305">
        <v>0</v>
      </c>
      <c r="AT37" s="305">
        <v>2658</v>
      </c>
      <c r="AU37" s="305">
        <v>0</v>
      </c>
      <c r="AV37" s="305">
        <v>2439</v>
      </c>
      <c r="AW37" s="305">
        <v>0</v>
      </c>
      <c r="AX37" s="305">
        <v>1030</v>
      </c>
      <c r="AY37" s="305">
        <v>0</v>
      </c>
    </row>
    <row r="38" spans="2:51">
      <c r="B38" s="295">
        <v>10094</v>
      </c>
      <c r="C38" s="295" t="s">
        <v>41</v>
      </c>
      <c r="D38" s="305">
        <v>455</v>
      </c>
      <c r="E38" s="305">
        <v>0</v>
      </c>
      <c r="F38" s="305">
        <v>253</v>
      </c>
      <c r="G38" s="305">
        <v>0</v>
      </c>
      <c r="H38" s="305">
        <v>300</v>
      </c>
      <c r="I38" s="305">
        <v>0</v>
      </c>
      <c r="J38" s="305">
        <v>630</v>
      </c>
      <c r="K38" s="305">
        <v>0</v>
      </c>
      <c r="L38" s="305">
        <v>312</v>
      </c>
      <c r="M38" s="305">
        <v>0</v>
      </c>
      <c r="N38" s="305">
        <v>610</v>
      </c>
      <c r="O38" s="305">
        <v>0</v>
      </c>
      <c r="P38" s="305">
        <v>433</v>
      </c>
      <c r="Q38" s="305">
        <v>0</v>
      </c>
      <c r="R38" s="305">
        <v>494</v>
      </c>
      <c r="S38" s="305">
        <v>0</v>
      </c>
      <c r="T38" s="305">
        <v>463</v>
      </c>
      <c r="U38" s="305">
        <v>0</v>
      </c>
      <c r="V38" s="305">
        <v>496</v>
      </c>
      <c r="W38" s="305">
        <v>0</v>
      </c>
      <c r="X38" s="305">
        <v>538</v>
      </c>
      <c r="Y38" s="305">
        <v>0</v>
      </c>
      <c r="Z38" s="305">
        <v>323</v>
      </c>
      <c r="AA38" s="305">
        <v>0</v>
      </c>
      <c r="AB38" s="305">
        <v>580</v>
      </c>
      <c r="AC38" s="305">
        <v>0</v>
      </c>
      <c r="AD38" s="305">
        <v>253</v>
      </c>
      <c r="AE38" s="305">
        <v>0</v>
      </c>
      <c r="AF38" s="305">
        <v>300</v>
      </c>
      <c r="AG38" s="305">
        <v>0</v>
      </c>
      <c r="AH38" s="305">
        <v>630</v>
      </c>
      <c r="AI38" s="305">
        <v>0</v>
      </c>
      <c r="AJ38" s="305">
        <v>451</v>
      </c>
      <c r="AK38" s="305">
        <v>0</v>
      </c>
      <c r="AL38" s="305">
        <v>473</v>
      </c>
      <c r="AM38" s="305">
        <v>0</v>
      </c>
      <c r="AN38" s="305">
        <v>563</v>
      </c>
      <c r="AO38" s="305">
        <v>0</v>
      </c>
      <c r="AP38" s="305">
        <v>494</v>
      </c>
      <c r="AQ38" s="305">
        <v>0</v>
      </c>
      <c r="AR38" s="305">
        <v>347</v>
      </c>
      <c r="AS38" s="305">
        <v>0</v>
      </c>
      <c r="AT38" s="305">
        <v>619</v>
      </c>
      <c r="AU38" s="305">
        <v>0</v>
      </c>
      <c r="AV38" s="305">
        <v>538</v>
      </c>
      <c r="AW38" s="305">
        <v>0</v>
      </c>
      <c r="AX38" s="305">
        <v>323</v>
      </c>
      <c r="AY38" s="305">
        <v>0</v>
      </c>
    </row>
    <row r="39" spans="2:51">
      <c r="B39" s="295">
        <v>10095</v>
      </c>
      <c r="C39" s="295" t="s">
        <v>42</v>
      </c>
      <c r="D39" s="305">
        <v>396</v>
      </c>
      <c r="E39" s="305">
        <v>0</v>
      </c>
      <c r="F39" s="305">
        <v>247</v>
      </c>
      <c r="G39" s="305">
        <v>0</v>
      </c>
      <c r="H39" s="305">
        <v>690</v>
      </c>
      <c r="I39" s="305">
        <v>0</v>
      </c>
      <c r="J39" s="305">
        <v>675</v>
      </c>
      <c r="K39" s="305">
        <v>0</v>
      </c>
      <c r="L39" s="305">
        <v>78</v>
      </c>
      <c r="M39" s="305">
        <v>0</v>
      </c>
      <c r="N39" s="305">
        <v>332</v>
      </c>
      <c r="O39" s="305">
        <v>0</v>
      </c>
      <c r="P39" s="305">
        <v>0</v>
      </c>
      <c r="Q39" s="305">
        <v>0</v>
      </c>
      <c r="R39" s="305">
        <v>179</v>
      </c>
      <c r="S39" s="305">
        <v>0</v>
      </c>
      <c r="T39" s="305">
        <v>187</v>
      </c>
      <c r="U39" s="305">
        <v>0</v>
      </c>
      <c r="V39" s="305">
        <v>45</v>
      </c>
      <c r="W39" s="305">
        <v>0</v>
      </c>
      <c r="X39" s="305">
        <v>412</v>
      </c>
      <c r="Y39" s="305">
        <v>0</v>
      </c>
      <c r="Z39" s="305">
        <v>39</v>
      </c>
      <c r="AA39" s="305">
        <v>0</v>
      </c>
      <c r="AB39" s="305">
        <v>569</v>
      </c>
      <c r="AC39" s="305">
        <v>0</v>
      </c>
      <c r="AD39" s="305">
        <v>390</v>
      </c>
      <c r="AE39" s="305">
        <v>0</v>
      </c>
      <c r="AF39" s="305">
        <v>566</v>
      </c>
      <c r="AG39" s="305">
        <v>0</v>
      </c>
      <c r="AH39" s="305">
        <v>797</v>
      </c>
      <c r="AI39" s="305">
        <v>0</v>
      </c>
      <c r="AJ39" s="305">
        <v>244</v>
      </c>
      <c r="AK39" s="305">
        <v>0</v>
      </c>
      <c r="AL39" s="305">
        <v>9</v>
      </c>
      <c r="AM39" s="305">
        <v>0</v>
      </c>
      <c r="AN39" s="305">
        <v>138</v>
      </c>
      <c r="AO39" s="305">
        <v>0</v>
      </c>
      <c r="AP39" s="305">
        <v>166</v>
      </c>
      <c r="AQ39" s="305">
        <v>0</v>
      </c>
      <c r="AR39" s="305">
        <v>0</v>
      </c>
      <c r="AS39" s="305">
        <v>0</v>
      </c>
      <c r="AT39" s="305">
        <v>203</v>
      </c>
      <c r="AU39" s="305">
        <v>0</v>
      </c>
      <c r="AV39" s="305">
        <v>399</v>
      </c>
      <c r="AW39" s="305">
        <v>0</v>
      </c>
      <c r="AX39" s="305">
        <v>24</v>
      </c>
      <c r="AY39" s="305">
        <v>0</v>
      </c>
    </row>
    <row r="40" spans="2:51">
      <c r="B40" s="295">
        <v>10097</v>
      </c>
      <c r="C40" s="295" t="s">
        <v>43</v>
      </c>
      <c r="D40" s="305">
        <v>217</v>
      </c>
      <c r="E40" s="305">
        <v>0</v>
      </c>
      <c r="F40" s="305">
        <v>455</v>
      </c>
      <c r="G40" s="305">
        <v>0</v>
      </c>
      <c r="H40" s="305">
        <v>289</v>
      </c>
      <c r="I40" s="305">
        <v>0</v>
      </c>
      <c r="J40" s="305">
        <v>507</v>
      </c>
      <c r="K40" s="305">
        <v>0</v>
      </c>
      <c r="L40" s="305">
        <v>467</v>
      </c>
      <c r="M40" s="305">
        <v>0</v>
      </c>
      <c r="N40" s="305">
        <v>416</v>
      </c>
      <c r="O40" s="305">
        <v>0</v>
      </c>
      <c r="P40" s="305">
        <v>340</v>
      </c>
      <c r="Q40" s="305">
        <v>0</v>
      </c>
      <c r="R40" s="305">
        <v>283</v>
      </c>
      <c r="S40" s="305">
        <v>0</v>
      </c>
      <c r="T40" s="305">
        <v>273</v>
      </c>
      <c r="U40" s="305">
        <v>0</v>
      </c>
      <c r="V40" s="305">
        <v>131</v>
      </c>
      <c r="W40" s="305">
        <v>0</v>
      </c>
      <c r="X40" s="305">
        <v>221</v>
      </c>
      <c r="Y40" s="305">
        <v>0</v>
      </c>
      <c r="Z40" s="305">
        <v>160</v>
      </c>
      <c r="AA40" s="305">
        <v>0</v>
      </c>
      <c r="AB40" s="305">
        <v>294</v>
      </c>
      <c r="AC40" s="305">
        <v>0</v>
      </c>
      <c r="AD40" s="305">
        <v>458</v>
      </c>
      <c r="AE40" s="305">
        <v>0</v>
      </c>
      <c r="AF40" s="305">
        <v>291</v>
      </c>
      <c r="AG40" s="305">
        <v>0</v>
      </c>
      <c r="AH40" s="305">
        <v>510</v>
      </c>
      <c r="AI40" s="305">
        <v>0</v>
      </c>
      <c r="AJ40" s="305">
        <v>328</v>
      </c>
      <c r="AK40" s="305">
        <v>0</v>
      </c>
      <c r="AL40" s="305">
        <v>323</v>
      </c>
      <c r="AM40" s="305">
        <v>0</v>
      </c>
      <c r="AN40" s="305">
        <v>426</v>
      </c>
      <c r="AO40" s="305">
        <v>0</v>
      </c>
      <c r="AP40" s="305">
        <v>286</v>
      </c>
      <c r="AQ40" s="305">
        <v>0</v>
      </c>
      <c r="AR40" s="305">
        <v>214</v>
      </c>
      <c r="AS40" s="305">
        <v>0</v>
      </c>
      <c r="AT40" s="305">
        <v>193</v>
      </c>
      <c r="AU40" s="305">
        <v>0</v>
      </c>
      <c r="AV40" s="305">
        <v>221</v>
      </c>
      <c r="AW40" s="305">
        <v>0</v>
      </c>
      <c r="AX40" s="305">
        <v>161</v>
      </c>
      <c r="AY40" s="305">
        <v>0</v>
      </c>
    </row>
    <row r="41" spans="2:51">
      <c r="B41" s="295">
        <v>10101</v>
      </c>
      <c r="C41" s="295" t="s">
        <v>44</v>
      </c>
      <c r="D41" s="305">
        <v>6827</v>
      </c>
      <c r="E41" s="305">
        <v>0</v>
      </c>
      <c r="F41" s="305">
        <v>8576</v>
      </c>
      <c r="G41" s="305">
        <v>0</v>
      </c>
      <c r="H41" s="305">
        <v>24386</v>
      </c>
      <c r="I41" s="305">
        <v>0</v>
      </c>
      <c r="J41" s="305">
        <v>30587</v>
      </c>
      <c r="K41" s="305">
        <v>0</v>
      </c>
      <c r="L41" s="305">
        <v>28946</v>
      </c>
      <c r="M41" s="305">
        <v>0</v>
      </c>
      <c r="N41" s="305">
        <v>32185</v>
      </c>
      <c r="O41" s="305">
        <v>0</v>
      </c>
      <c r="P41" s="305">
        <v>20805</v>
      </c>
      <c r="Q41" s="305">
        <v>0</v>
      </c>
      <c r="R41" s="305">
        <v>13152</v>
      </c>
      <c r="S41" s="305">
        <v>0</v>
      </c>
      <c r="T41" s="305">
        <v>11459</v>
      </c>
      <c r="U41" s="305">
        <v>0</v>
      </c>
      <c r="V41" s="305">
        <v>14517</v>
      </c>
      <c r="W41" s="305">
        <v>0</v>
      </c>
      <c r="X41" s="305">
        <v>18700</v>
      </c>
      <c r="Y41" s="305">
        <v>0</v>
      </c>
      <c r="Z41" s="305">
        <v>6300</v>
      </c>
      <c r="AA41" s="305">
        <v>0</v>
      </c>
      <c r="AB41" s="305">
        <v>10365</v>
      </c>
      <c r="AC41" s="305">
        <v>0</v>
      </c>
      <c r="AD41" s="305">
        <v>9127</v>
      </c>
      <c r="AE41" s="305">
        <v>0</v>
      </c>
      <c r="AF41" s="305">
        <v>24904</v>
      </c>
      <c r="AG41" s="305">
        <v>0</v>
      </c>
      <c r="AH41" s="305">
        <v>31133</v>
      </c>
      <c r="AI41" s="305">
        <v>0</v>
      </c>
      <c r="AJ41" s="305">
        <v>31287</v>
      </c>
      <c r="AK41" s="305">
        <v>0</v>
      </c>
      <c r="AL41" s="305">
        <v>29274</v>
      </c>
      <c r="AM41" s="305">
        <v>0</v>
      </c>
      <c r="AN41" s="305">
        <v>24561</v>
      </c>
      <c r="AO41" s="305">
        <v>0</v>
      </c>
      <c r="AP41" s="305">
        <v>13811</v>
      </c>
      <c r="AQ41" s="305">
        <v>0</v>
      </c>
      <c r="AR41" s="305">
        <v>9509</v>
      </c>
      <c r="AS41" s="305">
        <v>0</v>
      </c>
      <c r="AT41" s="305">
        <v>17429</v>
      </c>
      <c r="AU41" s="305">
        <v>0</v>
      </c>
      <c r="AV41" s="305">
        <v>19267</v>
      </c>
      <c r="AW41" s="305">
        <v>0</v>
      </c>
      <c r="AX41" s="305">
        <v>6826</v>
      </c>
      <c r="AY41" s="305">
        <v>0</v>
      </c>
    </row>
    <row r="42" spans="2:51">
      <c r="B42" s="295">
        <v>10103</v>
      </c>
      <c r="C42" s="295" t="s">
        <v>45</v>
      </c>
      <c r="D42" s="305">
        <v>0</v>
      </c>
      <c r="E42" s="305">
        <v>0</v>
      </c>
      <c r="F42" s="305">
        <v>0</v>
      </c>
      <c r="G42" s="305">
        <v>0</v>
      </c>
      <c r="H42" s="305">
        <v>0</v>
      </c>
      <c r="I42" s="305">
        <v>0</v>
      </c>
      <c r="J42" s="305">
        <v>0</v>
      </c>
      <c r="K42" s="305">
        <v>0</v>
      </c>
      <c r="L42" s="305">
        <v>0</v>
      </c>
      <c r="M42" s="305">
        <v>0</v>
      </c>
      <c r="N42" s="305">
        <v>0</v>
      </c>
      <c r="O42" s="305">
        <v>0</v>
      </c>
      <c r="P42" s="305">
        <v>0</v>
      </c>
      <c r="Q42" s="305">
        <v>0</v>
      </c>
      <c r="R42" s="305">
        <v>0</v>
      </c>
      <c r="S42" s="305">
        <v>0</v>
      </c>
      <c r="T42" s="305">
        <v>0</v>
      </c>
      <c r="U42" s="305">
        <v>0</v>
      </c>
      <c r="V42" s="305">
        <v>0</v>
      </c>
      <c r="W42" s="305">
        <v>0</v>
      </c>
      <c r="X42" s="305">
        <v>0</v>
      </c>
      <c r="Y42" s="305">
        <v>0</v>
      </c>
      <c r="Z42" s="305">
        <v>0</v>
      </c>
      <c r="AA42" s="305">
        <v>0</v>
      </c>
      <c r="AB42" s="305">
        <v>0</v>
      </c>
      <c r="AC42" s="305">
        <v>0</v>
      </c>
      <c r="AD42" s="305">
        <v>0</v>
      </c>
      <c r="AE42" s="305">
        <v>0</v>
      </c>
      <c r="AF42" s="305">
        <v>0</v>
      </c>
      <c r="AG42" s="305">
        <v>0</v>
      </c>
      <c r="AH42" s="305">
        <v>0</v>
      </c>
      <c r="AI42" s="305">
        <v>0</v>
      </c>
      <c r="AJ42" s="305">
        <v>0</v>
      </c>
      <c r="AK42" s="305">
        <v>0</v>
      </c>
      <c r="AL42" s="305">
        <v>0</v>
      </c>
      <c r="AM42" s="305">
        <v>0</v>
      </c>
      <c r="AN42" s="305">
        <v>0</v>
      </c>
      <c r="AO42" s="305">
        <v>0</v>
      </c>
      <c r="AP42" s="305">
        <v>0</v>
      </c>
      <c r="AQ42" s="305">
        <v>0</v>
      </c>
      <c r="AR42" s="305">
        <v>0</v>
      </c>
      <c r="AS42" s="305">
        <v>0</v>
      </c>
      <c r="AT42" s="305">
        <v>0</v>
      </c>
      <c r="AU42" s="305">
        <v>0</v>
      </c>
      <c r="AV42" s="305">
        <v>0</v>
      </c>
      <c r="AW42" s="305">
        <v>0</v>
      </c>
      <c r="AX42" s="305">
        <v>0</v>
      </c>
      <c r="AY42" s="305">
        <v>0</v>
      </c>
    </row>
    <row r="43" spans="2:51">
      <c r="B43" s="295">
        <v>10105</v>
      </c>
      <c r="C43" s="295" t="s">
        <v>46</v>
      </c>
      <c r="D43" s="305">
        <v>0</v>
      </c>
      <c r="E43" s="305">
        <v>0</v>
      </c>
      <c r="F43" s="305">
        <v>0</v>
      </c>
      <c r="G43" s="305">
        <v>0</v>
      </c>
      <c r="H43" s="305">
        <v>0</v>
      </c>
      <c r="I43" s="305">
        <v>0</v>
      </c>
      <c r="J43" s="305">
        <v>0</v>
      </c>
      <c r="K43" s="305">
        <v>0</v>
      </c>
      <c r="L43" s="305">
        <v>0</v>
      </c>
      <c r="M43" s="305">
        <v>0</v>
      </c>
      <c r="N43" s="305">
        <v>0</v>
      </c>
      <c r="O43" s="305">
        <v>0</v>
      </c>
      <c r="P43" s="305">
        <v>0</v>
      </c>
      <c r="Q43" s="305">
        <v>0</v>
      </c>
      <c r="R43" s="305">
        <v>0</v>
      </c>
      <c r="S43" s="305">
        <v>0</v>
      </c>
      <c r="T43" s="305">
        <v>0</v>
      </c>
      <c r="U43" s="305">
        <v>0</v>
      </c>
      <c r="V43" s="305">
        <v>0</v>
      </c>
      <c r="W43" s="305">
        <v>0</v>
      </c>
      <c r="X43" s="305">
        <v>0</v>
      </c>
      <c r="Y43" s="305">
        <v>0</v>
      </c>
      <c r="Z43" s="305">
        <v>0</v>
      </c>
      <c r="AA43" s="305">
        <v>0</v>
      </c>
      <c r="AB43" s="305">
        <v>0</v>
      </c>
      <c r="AC43" s="305">
        <v>0</v>
      </c>
      <c r="AD43" s="305">
        <v>0</v>
      </c>
      <c r="AE43" s="305">
        <v>0</v>
      </c>
      <c r="AF43" s="305">
        <v>0</v>
      </c>
      <c r="AG43" s="305">
        <v>0</v>
      </c>
      <c r="AH43" s="305">
        <v>0</v>
      </c>
      <c r="AI43" s="305">
        <v>0</v>
      </c>
      <c r="AJ43" s="305">
        <v>0</v>
      </c>
      <c r="AK43" s="305">
        <v>0</v>
      </c>
      <c r="AL43" s="305">
        <v>0</v>
      </c>
      <c r="AM43" s="305">
        <v>0</v>
      </c>
      <c r="AN43" s="305">
        <v>0</v>
      </c>
      <c r="AO43" s="305">
        <v>0</v>
      </c>
      <c r="AP43" s="305">
        <v>0</v>
      </c>
      <c r="AQ43" s="305">
        <v>0</v>
      </c>
      <c r="AR43" s="305">
        <v>0</v>
      </c>
      <c r="AS43" s="305">
        <v>0</v>
      </c>
      <c r="AT43" s="305">
        <v>0</v>
      </c>
      <c r="AU43" s="305">
        <v>0</v>
      </c>
      <c r="AV43" s="305">
        <v>0</v>
      </c>
      <c r="AW43" s="305">
        <v>0</v>
      </c>
      <c r="AX43" s="305">
        <v>0</v>
      </c>
      <c r="AY43" s="305">
        <v>0</v>
      </c>
    </row>
    <row r="44" spans="2:51">
      <c r="B44" s="295">
        <v>10106</v>
      </c>
      <c r="C44" s="295" t="s">
        <v>47</v>
      </c>
      <c r="D44" s="305">
        <v>0</v>
      </c>
      <c r="E44" s="305">
        <v>0</v>
      </c>
      <c r="F44" s="305">
        <v>0</v>
      </c>
      <c r="G44" s="305">
        <v>0</v>
      </c>
      <c r="H44" s="305">
        <v>0</v>
      </c>
      <c r="I44" s="305">
        <v>0</v>
      </c>
      <c r="J44" s="305">
        <v>0</v>
      </c>
      <c r="K44" s="305">
        <v>0</v>
      </c>
      <c r="L44" s="305">
        <v>0</v>
      </c>
      <c r="M44" s="305">
        <v>0</v>
      </c>
      <c r="N44" s="305">
        <v>0</v>
      </c>
      <c r="O44" s="305">
        <v>0</v>
      </c>
      <c r="P44" s="305">
        <v>0</v>
      </c>
      <c r="Q44" s="305">
        <v>0</v>
      </c>
      <c r="R44" s="305">
        <v>0</v>
      </c>
      <c r="S44" s="305">
        <v>0</v>
      </c>
      <c r="T44" s="305">
        <v>0</v>
      </c>
      <c r="U44" s="305">
        <v>0</v>
      </c>
      <c r="V44" s="305">
        <v>0</v>
      </c>
      <c r="W44" s="305">
        <v>0</v>
      </c>
      <c r="X44" s="305">
        <v>0</v>
      </c>
      <c r="Y44" s="305">
        <v>0</v>
      </c>
      <c r="Z44" s="305">
        <v>0</v>
      </c>
      <c r="AA44" s="305">
        <v>0</v>
      </c>
      <c r="AB44" s="305">
        <v>0</v>
      </c>
      <c r="AC44" s="305">
        <v>0</v>
      </c>
      <c r="AD44" s="305">
        <v>0</v>
      </c>
      <c r="AE44" s="305">
        <v>0</v>
      </c>
      <c r="AF44" s="305">
        <v>0</v>
      </c>
      <c r="AG44" s="305">
        <v>0</v>
      </c>
      <c r="AH44" s="305">
        <v>0</v>
      </c>
      <c r="AI44" s="305">
        <v>0</v>
      </c>
      <c r="AJ44" s="305">
        <v>0</v>
      </c>
      <c r="AK44" s="305">
        <v>0</v>
      </c>
      <c r="AL44" s="305">
        <v>0</v>
      </c>
      <c r="AM44" s="305">
        <v>0</v>
      </c>
      <c r="AN44" s="305">
        <v>0</v>
      </c>
      <c r="AO44" s="305">
        <v>0</v>
      </c>
      <c r="AP44" s="305">
        <v>0</v>
      </c>
      <c r="AQ44" s="305">
        <v>0</v>
      </c>
      <c r="AR44" s="305">
        <v>0</v>
      </c>
      <c r="AS44" s="305">
        <v>0</v>
      </c>
      <c r="AT44" s="305">
        <v>0</v>
      </c>
      <c r="AU44" s="305">
        <v>0</v>
      </c>
      <c r="AV44" s="305">
        <v>0</v>
      </c>
      <c r="AW44" s="305">
        <v>0</v>
      </c>
      <c r="AX44" s="305">
        <v>0</v>
      </c>
      <c r="AY44" s="305">
        <v>0</v>
      </c>
    </row>
    <row r="45" spans="2:51">
      <c r="B45" s="295">
        <v>10109</v>
      </c>
      <c r="C45" s="295" t="s">
        <v>48</v>
      </c>
      <c r="D45" s="305">
        <v>3647</v>
      </c>
      <c r="E45" s="305">
        <v>0</v>
      </c>
      <c r="F45" s="305">
        <v>2225</v>
      </c>
      <c r="G45" s="305">
        <v>0</v>
      </c>
      <c r="H45" s="305">
        <v>3816</v>
      </c>
      <c r="I45" s="305">
        <v>0</v>
      </c>
      <c r="J45" s="305">
        <v>3665</v>
      </c>
      <c r="K45" s="305">
        <v>0</v>
      </c>
      <c r="L45" s="305">
        <v>3475</v>
      </c>
      <c r="M45" s="305">
        <v>0</v>
      </c>
      <c r="N45" s="305">
        <v>3385</v>
      </c>
      <c r="O45" s="305">
        <v>0</v>
      </c>
      <c r="P45" s="305">
        <v>2775</v>
      </c>
      <c r="Q45" s="305">
        <v>0</v>
      </c>
      <c r="R45" s="305">
        <v>2380</v>
      </c>
      <c r="S45" s="305">
        <v>0</v>
      </c>
      <c r="T45" s="305">
        <v>2772</v>
      </c>
      <c r="U45" s="305">
        <v>0</v>
      </c>
      <c r="V45" s="305">
        <v>2819</v>
      </c>
      <c r="W45" s="305">
        <v>0</v>
      </c>
      <c r="X45" s="305">
        <v>4346</v>
      </c>
      <c r="Y45" s="305">
        <v>0</v>
      </c>
      <c r="Z45" s="305">
        <v>3555</v>
      </c>
      <c r="AA45" s="305">
        <v>0</v>
      </c>
      <c r="AB45" s="305">
        <v>4091</v>
      </c>
      <c r="AC45" s="305">
        <v>0</v>
      </c>
      <c r="AD45" s="305">
        <v>2668</v>
      </c>
      <c r="AE45" s="305">
        <v>0</v>
      </c>
      <c r="AF45" s="305">
        <v>3276</v>
      </c>
      <c r="AG45" s="305">
        <v>0</v>
      </c>
      <c r="AH45" s="305">
        <v>4143</v>
      </c>
      <c r="AI45" s="305">
        <v>0</v>
      </c>
      <c r="AJ45" s="305">
        <v>3620</v>
      </c>
      <c r="AK45" s="305">
        <v>0</v>
      </c>
      <c r="AL45" s="305">
        <v>2554</v>
      </c>
      <c r="AM45" s="305">
        <v>0</v>
      </c>
      <c r="AN45" s="305">
        <v>3348</v>
      </c>
      <c r="AO45" s="305">
        <v>0</v>
      </c>
      <c r="AP45" s="305">
        <v>2380</v>
      </c>
      <c r="AQ45" s="305">
        <v>0</v>
      </c>
      <c r="AR45" s="305">
        <v>2085</v>
      </c>
      <c r="AS45" s="305">
        <v>0</v>
      </c>
      <c r="AT45" s="305">
        <v>3514</v>
      </c>
      <c r="AU45" s="305">
        <v>0</v>
      </c>
      <c r="AV45" s="305">
        <v>4346</v>
      </c>
      <c r="AW45" s="305">
        <v>0</v>
      </c>
      <c r="AX45" s="305">
        <v>3555</v>
      </c>
      <c r="AY45" s="305">
        <v>0</v>
      </c>
    </row>
    <row r="46" spans="2:51">
      <c r="B46" s="295">
        <v>10111</v>
      </c>
      <c r="C46" s="295" t="s">
        <v>49</v>
      </c>
      <c r="D46" s="305">
        <v>548</v>
      </c>
      <c r="E46" s="305">
        <v>0</v>
      </c>
      <c r="F46" s="305">
        <v>478</v>
      </c>
      <c r="G46" s="305">
        <v>0</v>
      </c>
      <c r="H46" s="305">
        <v>1161</v>
      </c>
      <c r="I46" s="305">
        <v>0</v>
      </c>
      <c r="J46" s="305">
        <v>1173</v>
      </c>
      <c r="K46" s="305">
        <v>0</v>
      </c>
      <c r="L46" s="305">
        <v>386</v>
      </c>
      <c r="M46" s="305">
        <v>0</v>
      </c>
      <c r="N46" s="305">
        <v>923</v>
      </c>
      <c r="O46" s="305">
        <v>0</v>
      </c>
      <c r="P46" s="305">
        <v>242</v>
      </c>
      <c r="Q46" s="305">
        <v>0</v>
      </c>
      <c r="R46" s="305">
        <v>24</v>
      </c>
      <c r="S46" s="305">
        <v>0</v>
      </c>
      <c r="T46" s="305">
        <v>417</v>
      </c>
      <c r="U46" s="305">
        <v>0</v>
      </c>
      <c r="V46" s="305">
        <v>650</v>
      </c>
      <c r="W46" s="305">
        <v>0</v>
      </c>
      <c r="X46" s="305">
        <v>987</v>
      </c>
      <c r="Y46" s="305">
        <v>0</v>
      </c>
      <c r="Z46" s="305">
        <v>556</v>
      </c>
      <c r="AA46" s="305">
        <v>0</v>
      </c>
      <c r="AB46" s="305">
        <v>630</v>
      </c>
      <c r="AC46" s="305">
        <v>0</v>
      </c>
      <c r="AD46" s="305">
        <v>605</v>
      </c>
      <c r="AE46" s="305">
        <v>0</v>
      </c>
      <c r="AF46" s="305">
        <v>994</v>
      </c>
      <c r="AG46" s="305">
        <v>0</v>
      </c>
      <c r="AH46" s="305">
        <v>1317</v>
      </c>
      <c r="AI46" s="305">
        <v>0</v>
      </c>
      <c r="AJ46" s="305">
        <v>510</v>
      </c>
      <c r="AK46" s="305">
        <v>0</v>
      </c>
      <c r="AL46" s="305">
        <v>717</v>
      </c>
      <c r="AM46" s="305">
        <v>0</v>
      </c>
      <c r="AN46" s="305">
        <v>347</v>
      </c>
      <c r="AO46" s="305">
        <v>0</v>
      </c>
      <c r="AP46" s="305">
        <v>22</v>
      </c>
      <c r="AQ46" s="305">
        <v>0</v>
      </c>
      <c r="AR46" s="305">
        <v>293</v>
      </c>
      <c r="AS46" s="305">
        <v>0</v>
      </c>
      <c r="AT46" s="305">
        <v>812</v>
      </c>
      <c r="AU46" s="305">
        <v>0</v>
      </c>
      <c r="AV46" s="305">
        <v>986</v>
      </c>
      <c r="AW46" s="305">
        <v>0</v>
      </c>
      <c r="AX46" s="305">
        <v>556</v>
      </c>
      <c r="AY46" s="305">
        <v>0</v>
      </c>
    </row>
    <row r="47" spans="2:51">
      <c r="B47" s="295">
        <v>10112</v>
      </c>
      <c r="C47" s="295" t="s">
        <v>50</v>
      </c>
      <c r="D47" s="305">
        <v>7454</v>
      </c>
      <c r="E47" s="305">
        <v>0</v>
      </c>
      <c r="F47" s="305">
        <v>7432</v>
      </c>
      <c r="G47" s="305">
        <v>0</v>
      </c>
      <c r="H47" s="305">
        <v>9332</v>
      </c>
      <c r="I47" s="305">
        <v>0</v>
      </c>
      <c r="J47" s="305">
        <v>11258</v>
      </c>
      <c r="K47" s="305">
        <v>0</v>
      </c>
      <c r="L47" s="305">
        <v>4699</v>
      </c>
      <c r="M47" s="305">
        <v>0</v>
      </c>
      <c r="N47" s="305">
        <v>4843</v>
      </c>
      <c r="O47" s="305">
        <v>0</v>
      </c>
      <c r="P47" s="305">
        <v>8589</v>
      </c>
      <c r="Q47" s="305">
        <v>0</v>
      </c>
      <c r="R47" s="305">
        <v>7344</v>
      </c>
      <c r="S47" s="305">
        <v>0</v>
      </c>
      <c r="T47" s="305">
        <v>6814</v>
      </c>
      <c r="U47" s="305">
        <v>0</v>
      </c>
      <c r="V47" s="305">
        <v>8094</v>
      </c>
      <c r="W47" s="305">
        <v>0</v>
      </c>
      <c r="X47" s="305">
        <v>13650</v>
      </c>
      <c r="Y47" s="305">
        <v>0</v>
      </c>
      <c r="Z47" s="305">
        <v>9012</v>
      </c>
      <c r="AA47" s="305">
        <v>0</v>
      </c>
      <c r="AB47" s="305">
        <v>9598</v>
      </c>
      <c r="AC47" s="305">
        <v>0</v>
      </c>
      <c r="AD47" s="305">
        <v>7468</v>
      </c>
      <c r="AE47" s="305">
        <v>0</v>
      </c>
      <c r="AF47" s="305">
        <v>9365</v>
      </c>
      <c r="AG47" s="305">
        <v>0</v>
      </c>
      <c r="AH47" s="305">
        <v>11296</v>
      </c>
      <c r="AI47" s="305">
        <v>0</v>
      </c>
      <c r="AJ47" s="305">
        <v>7342</v>
      </c>
      <c r="AK47" s="305">
        <v>0</v>
      </c>
      <c r="AL47" s="305">
        <v>2520</v>
      </c>
      <c r="AM47" s="305">
        <v>0</v>
      </c>
      <c r="AN47" s="305">
        <v>10883</v>
      </c>
      <c r="AO47" s="305">
        <v>0</v>
      </c>
      <c r="AP47" s="305">
        <v>7365</v>
      </c>
      <c r="AQ47" s="305">
        <v>0</v>
      </c>
      <c r="AR47" s="305">
        <v>4777</v>
      </c>
      <c r="AS47" s="305">
        <v>0</v>
      </c>
      <c r="AT47" s="305">
        <v>10259</v>
      </c>
      <c r="AU47" s="305">
        <v>0</v>
      </c>
      <c r="AV47" s="305">
        <v>13685</v>
      </c>
      <c r="AW47" s="305">
        <v>0</v>
      </c>
      <c r="AX47" s="305">
        <v>9035</v>
      </c>
      <c r="AY47" s="305">
        <v>0</v>
      </c>
    </row>
    <row r="48" spans="2:51">
      <c r="B48" s="295">
        <v>10113</v>
      </c>
      <c r="C48" s="295" t="s">
        <v>51</v>
      </c>
      <c r="D48" s="305">
        <v>3792</v>
      </c>
      <c r="E48" s="305">
        <v>0</v>
      </c>
      <c r="F48" s="305">
        <v>2419</v>
      </c>
      <c r="G48" s="305">
        <v>0</v>
      </c>
      <c r="H48" s="305">
        <v>3810</v>
      </c>
      <c r="I48" s="305">
        <v>0</v>
      </c>
      <c r="J48" s="305">
        <v>3797</v>
      </c>
      <c r="K48" s="305">
        <v>0</v>
      </c>
      <c r="L48" s="305">
        <v>1562</v>
      </c>
      <c r="M48" s="305">
        <v>0</v>
      </c>
      <c r="N48" s="305">
        <v>5113</v>
      </c>
      <c r="O48" s="305">
        <v>0</v>
      </c>
      <c r="P48" s="305">
        <v>1415</v>
      </c>
      <c r="Q48" s="305">
        <v>0</v>
      </c>
      <c r="R48" s="305">
        <v>8137</v>
      </c>
      <c r="S48" s="305">
        <v>0</v>
      </c>
      <c r="T48" s="305">
        <v>15636</v>
      </c>
      <c r="U48" s="305">
        <v>0</v>
      </c>
      <c r="V48" s="305">
        <v>13497</v>
      </c>
      <c r="W48" s="305">
        <v>0</v>
      </c>
      <c r="X48" s="305">
        <v>17982</v>
      </c>
      <c r="Y48" s="305">
        <v>0</v>
      </c>
      <c r="Z48" s="305">
        <v>13855</v>
      </c>
      <c r="AA48" s="305">
        <v>0</v>
      </c>
      <c r="AB48" s="305">
        <v>5115</v>
      </c>
      <c r="AC48" s="305">
        <v>0</v>
      </c>
      <c r="AD48" s="305">
        <v>3433</v>
      </c>
      <c r="AE48" s="305">
        <v>0</v>
      </c>
      <c r="AF48" s="305">
        <v>2864</v>
      </c>
      <c r="AG48" s="305">
        <v>0</v>
      </c>
      <c r="AH48" s="305">
        <v>4740</v>
      </c>
      <c r="AI48" s="305">
        <v>0</v>
      </c>
      <c r="AJ48" s="305">
        <v>2439</v>
      </c>
      <c r="AK48" s="305">
        <v>0</v>
      </c>
      <c r="AL48" s="305">
        <v>3183</v>
      </c>
      <c r="AM48" s="305">
        <v>0</v>
      </c>
      <c r="AN48" s="305">
        <v>2871</v>
      </c>
      <c r="AO48" s="305">
        <v>0</v>
      </c>
      <c r="AP48" s="305">
        <v>7886</v>
      </c>
      <c r="AQ48" s="305">
        <v>0</v>
      </c>
      <c r="AR48" s="305">
        <v>12464</v>
      </c>
      <c r="AS48" s="305">
        <v>0</v>
      </c>
      <c r="AT48" s="305">
        <v>16167</v>
      </c>
      <c r="AU48" s="305">
        <v>0</v>
      </c>
      <c r="AV48" s="305">
        <v>17583</v>
      </c>
      <c r="AW48" s="305">
        <v>0</v>
      </c>
      <c r="AX48" s="305">
        <v>13649</v>
      </c>
      <c r="AY48" s="305">
        <v>0</v>
      </c>
    </row>
    <row r="49" spans="2:51">
      <c r="B49" s="295">
        <v>10116</v>
      </c>
      <c r="C49" s="295" t="s">
        <v>52</v>
      </c>
      <c r="D49" s="306">
        <v>51.248862486619252</v>
      </c>
      <c r="E49" s="306">
        <v>0</v>
      </c>
      <c r="F49" s="306">
        <v>0</v>
      </c>
      <c r="G49" s="306">
        <v>0</v>
      </c>
      <c r="H49" s="306">
        <v>47.722500000000004</v>
      </c>
      <c r="I49" s="306">
        <v>0</v>
      </c>
      <c r="J49" s="306">
        <v>36.100961538461569</v>
      </c>
      <c r="K49" s="306">
        <v>0</v>
      </c>
      <c r="L49" s="306">
        <v>76.463541666666671</v>
      </c>
      <c r="M49" s="306">
        <v>0</v>
      </c>
      <c r="N49" s="306">
        <v>89.532407407407405</v>
      </c>
      <c r="O49" s="306">
        <v>0</v>
      </c>
      <c r="P49" s="306">
        <v>47.474000000000018</v>
      </c>
      <c r="Q49" s="306">
        <v>0</v>
      </c>
      <c r="R49" s="306">
        <v>37.64807692307695</v>
      </c>
      <c r="S49" s="306">
        <v>0</v>
      </c>
      <c r="T49" s="306">
        <v>43.854086538461551</v>
      </c>
      <c r="U49" s="306">
        <v>0</v>
      </c>
      <c r="V49" s="306">
        <v>32.342500000000008</v>
      </c>
      <c r="W49" s="306">
        <v>0</v>
      </c>
      <c r="X49" s="306">
        <v>40.452083333333334</v>
      </c>
      <c r="Y49" s="306">
        <v>0</v>
      </c>
      <c r="Z49" s="306">
        <v>31.452083333333324</v>
      </c>
      <c r="AA49" s="306">
        <v>0</v>
      </c>
      <c r="AB49" s="306">
        <v>65.06851851851853</v>
      </c>
      <c r="AC49" s="306">
        <v>0</v>
      </c>
      <c r="AD49" s="306">
        <v>0</v>
      </c>
      <c r="AE49" s="306">
        <v>0</v>
      </c>
      <c r="AF49" s="306">
        <v>48.357499999999995</v>
      </c>
      <c r="AG49" s="306">
        <v>0</v>
      </c>
      <c r="AH49" s="306">
        <v>36.759615384615394</v>
      </c>
      <c r="AI49" s="306">
        <v>0</v>
      </c>
      <c r="AJ49" s="306">
        <v>77.161458333333314</v>
      </c>
      <c r="AK49" s="306">
        <v>0</v>
      </c>
      <c r="AL49" s="306">
        <v>80.774038461538453</v>
      </c>
      <c r="AM49" s="306">
        <v>0</v>
      </c>
      <c r="AN49" s="306">
        <v>58.376442307692287</v>
      </c>
      <c r="AO49" s="306">
        <v>0</v>
      </c>
      <c r="AP49" s="306">
        <v>38.376442307692301</v>
      </c>
      <c r="AQ49" s="306">
        <v>0</v>
      </c>
      <c r="AR49" s="306">
        <v>32.920437499999998</v>
      </c>
      <c r="AS49" s="306">
        <v>0</v>
      </c>
      <c r="AT49" s="306">
        <v>45.470552884615394</v>
      </c>
      <c r="AU49" s="306">
        <v>0</v>
      </c>
      <c r="AV49" s="306">
        <v>41.074479166666677</v>
      </c>
      <c r="AW49" s="306">
        <v>0</v>
      </c>
      <c r="AX49" s="306">
        <v>32.07447916666667</v>
      </c>
      <c r="AY49" s="306">
        <v>0</v>
      </c>
    </row>
    <row r="50" spans="2:51">
      <c r="B50" s="295">
        <v>10118</v>
      </c>
      <c r="C50" s="295" t="s">
        <v>53</v>
      </c>
      <c r="D50" s="305">
        <v>0</v>
      </c>
      <c r="E50" s="305">
        <v>0</v>
      </c>
      <c r="F50" s="305">
        <v>0</v>
      </c>
      <c r="G50" s="305">
        <v>0</v>
      </c>
      <c r="H50" s="305">
        <v>0</v>
      </c>
      <c r="I50" s="305">
        <v>0</v>
      </c>
      <c r="J50" s="305">
        <v>0</v>
      </c>
      <c r="K50" s="305">
        <v>0</v>
      </c>
      <c r="L50" s="305">
        <v>0</v>
      </c>
      <c r="M50" s="305">
        <v>0</v>
      </c>
      <c r="N50" s="305">
        <v>0</v>
      </c>
      <c r="O50" s="305">
        <v>0</v>
      </c>
      <c r="P50" s="305">
        <v>0</v>
      </c>
      <c r="Q50" s="305">
        <v>0</v>
      </c>
      <c r="R50" s="305">
        <v>0</v>
      </c>
      <c r="S50" s="305">
        <v>0</v>
      </c>
      <c r="T50" s="305">
        <v>0</v>
      </c>
      <c r="U50" s="305">
        <v>0</v>
      </c>
      <c r="V50" s="305">
        <v>0</v>
      </c>
      <c r="W50" s="305">
        <v>0</v>
      </c>
      <c r="X50" s="305">
        <v>0</v>
      </c>
      <c r="Y50" s="305">
        <v>0</v>
      </c>
      <c r="Z50" s="305">
        <v>0</v>
      </c>
      <c r="AA50" s="305">
        <v>0</v>
      </c>
      <c r="AB50" s="305">
        <v>0</v>
      </c>
      <c r="AC50" s="305">
        <v>0</v>
      </c>
      <c r="AD50" s="305">
        <v>0</v>
      </c>
      <c r="AE50" s="305">
        <v>0</v>
      </c>
      <c r="AF50" s="305">
        <v>0</v>
      </c>
      <c r="AG50" s="305">
        <v>0</v>
      </c>
      <c r="AH50" s="305">
        <v>0</v>
      </c>
      <c r="AI50" s="305">
        <v>0</v>
      </c>
      <c r="AJ50" s="305">
        <v>0</v>
      </c>
      <c r="AK50" s="305">
        <v>0</v>
      </c>
      <c r="AL50" s="305">
        <v>0</v>
      </c>
      <c r="AM50" s="305">
        <v>0</v>
      </c>
      <c r="AN50" s="305">
        <v>0</v>
      </c>
      <c r="AO50" s="305">
        <v>0</v>
      </c>
      <c r="AP50" s="305">
        <v>0</v>
      </c>
      <c r="AQ50" s="305">
        <v>0</v>
      </c>
      <c r="AR50" s="305">
        <v>0</v>
      </c>
      <c r="AS50" s="305">
        <v>0</v>
      </c>
      <c r="AT50" s="305">
        <v>0</v>
      </c>
      <c r="AU50" s="305">
        <v>0</v>
      </c>
      <c r="AV50" s="305">
        <v>0</v>
      </c>
      <c r="AW50" s="305">
        <v>0</v>
      </c>
      <c r="AX50" s="305">
        <v>0</v>
      </c>
      <c r="AY50" s="305">
        <v>0</v>
      </c>
    </row>
    <row r="51" spans="2:51">
      <c r="B51" s="295">
        <v>10121</v>
      </c>
      <c r="C51" s="295" t="s">
        <v>54</v>
      </c>
      <c r="D51" s="305">
        <v>0</v>
      </c>
      <c r="E51" s="305">
        <v>0</v>
      </c>
      <c r="F51" s="305">
        <v>0</v>
      </c>
      <c r="G51" s="305">
        <v>0</v>
      </c>
      <c r="H51" s="305">
        <v>0</v>
      </c>
      <c r="I51" s="305">
        <v>0</v>
      </c>
      <c r="J51" s="305">
        <v>0</v>
      </c>
      <c r="K51" s="305">
        <v>0</v>
      </c>
      <c r="L51" s="305">
        <v>0</v>
      </c>
      <c r="M51" s="305">
        <v>0</v>
      </c>
      <c r="N51" s="305">
        <v>0</v>
      </c>
      <c r="O51" s="305">
        <v>0</v>
      </c>
      <c r="P51" s="305">
        <v>0</v>
      </c>
      <c r="Q51" s="305">
        <v>0</v>
      </c>
      <c r="R51" s="305">
        <v>0</v>
      </c>
      <c r="S51" s="305">
        <v>0</v>
      </c>
      <c r="T51" s="305">
        <v>0</v>
      </c>
      <c r="U51" s="305">
        <v>0</v>
      </c>
      <c r="V51" s="305">
        <v>0</v>
      </c>
      <c r="W51" s="305">
        <v>0</v>
      </c>
      <c r="X51" s="305">
        <v>0</v>
      </c>
      <c r="Y51" s="305">
        <v>0</v>
      </c>
      <c r="Z51" s="305">
        <v>0</v>
      </c>
      <c r="AA51" s="305">
        <v>0</v>
      </c>
      <c r="AB51" s="305">
        <v>0</v>
      </c>
      <c r="AC51" s="305">
        <v>0</v>
      </c>
      <c r="AD51" s="305">
        <v>0</v>
      </c>
      <c r="AE51" s="305">
        <v>0</v>
      </c>
      <c r="AF51" s="305">
        <v>0</v>
      </c>
      <c r="AG51" s="305">
        <v>0</v>
      </c>
      <c r="AH51" s="305">
        <v>0</v>
      </c>
      <c r="AI51" s="305">
        <v>0</v>
      </c>
      <c r="AJ51" s="305">
        <v>0</v>
      </c>
      <c r="AK51" s="305">
        <v>0</v>
      </c>
      <c r="AL51" s="305">
        <v>0</v>
      </c>
      <c r="AM51" s="305">
        <v>0</v>
      </c>
      <c r="AN51" s="305">
        <v>0</v>
      </c>
      <c r="AO51" s="305">
        <v>0</v>
      </c>
      <c r="AP51" s="305">
        <v>0</v>
      </c>
      <c r="AQ51" s="305">
        <v>0</v>
      </c>
      <c r="AR51" s="305">
        <v>0</v>
      </c>
      <c r="AS51" s="305">
        <v>0</v>
      </c>
      <c r="AT51" s="305">
        <v>0</v>
      </c>
      <c r="AU51" s="305">
        <v>0</v>
      </c>
      <c r="AV51" s="305">
        <v>0</v>
      </c>
      <c r="AW51" s="305">
        <v>0</v>
      </c>
      <c r="AX51" s="305">
        <v>0</v>
      </c>
      <c r="AY51" s="305">
        <v>0</v>
      </c>
    </row>
    <row r="52" spans="2:51">
      <c r="B52" s="295">
        <v>10123</v>
      </c>
      <c r="C52" s="295" t="s">
        <v>55</v>
      </c>
      <c r="D52" s="305">
        <v>0</v>
      </c>
      <c r="E52" s="305">
        <v>0</v>
      </c>
      <c r="F52" s="305">
        <v>0</v>
      </c>
      <c r="G52" s="305">
        <v>0</v>
      </c>
      <c r="H52" s="305">
        <v>0</v>
      </c>
      <c r="I52" s="305">
        <v>0</v>
      </c>
      <c r="J52" s="305">
        <v>0</v>
      </c>
      <c r="K52" s="305">
        <v>0</v>
      </c>
      <c r="L52" s="305">
        <v>0</v>
      </c>
      <c r="M52" s="305">
        <v>0</v>
      </c>
      <c r="N52" s="305">
        <v>0</v>
      </c>
      <c r="O52" s="305">
        <v>0</v>
      </c>
      <c r="P52" s="305">
        <v>0</v>
      </c>
      <c r="Q52" s="305">
        <v>0</v>
      </c>
      <c r="R52" s="305">
        <v>0</v>
      </c>
      <c r="S52" s="305">
        <v>0</v>
      </c>
      <c r="T52" s="305">
        <v>0</v>
      </c>
      <c r="U52" s="305">
        <v>0</v>
      </c>
      <c r="V52" s="305">
        <v>0</v>
      </c>
      <c r="W52" s="305">
        <v>0</v>
      </c>
      <c r="X52" s="305">
        <v>0</v>
      </c>
      <c r="Y52" s="305">
        <v>0</v>
      </c>
      <c r="Z52" s="305">
        <v>0</v>
      </c>
      <c r="AA52" s="305">
        <v>0</v>
      </c>
      <c r="AB52" s="305">
        <v>0</v>
      </c>
      <c r="AC52" s="305">
        <v>0</v>
      </c>
      <c r="AD52" s="305">
        <v>0</v>
      </c>
      <c r="AE52" s="305">
        <v>0</v>
      </c>
      <c r="AF52" s="305">
        <v>0</v>
      </c>
      <c r="AG52" s="305">
        <v>0</v>
      </c>
      <c r="AH52" s="305">
        <v>0</v>
      </c>
      <c r="AI52" s="305">
        <v>0</v>
      </c>
      <c r="AJ52" s="305">
        <v>0</v>
      </c>
      <c r="AK52" s="305">
        <v>0</v>
      </c>
      <c r="AL52" s="305">
        <v>0</v>
      </c>
      <c r="AM52" s="305">
        <v>0</v>
      </c>
      <c r="AN52" s="305">
        <v>0</v>
      </c>
      <c r="AO52" s="305">
        <v>0</v>
      </c>
      <c r="AP52" s="305">
        <v>0</v>
      </c>
      <c r="AQ52" s="305">
        <v>0</v>
      </c>
      <c r="AR52" s="305">
        <v>0</v>
      </c>
      <c r="AS52" s="305">
        <v>0</v>
      </c>
      <c r="AT52" s="305">
        <v>0</v>
      </c>
      <c r="AU52" s="305">
        <v>0</v>
      </c>
      <c r="AV52" s="305">
        <v>0</v>
      </c>
      <c r="AW52" s="305">
        <v>0</v>
      </c>
      <c r="AX52" s="305">
        <v>0</v>
      </c>
      <c r="AY52" s="305">
        <v>0</v>
      </c>
    </row>
    <row r="53" spans="2:51">
      <c r="B53" s="295">
        <v>10136</v>
      </c>
      <c r="C53" s="295" t="s">
        <v>56</v>
      </c>
      <c r="D53" s="305">
        <v>0</v>
      </c>
      <c r="E53" s="305">
        <v>0</v>
      </c>
      <c r="F53" s="305">
        <v>0</v>
      </c>
      <c r="G53" s="305">
        <v>0</v>
      </c>
      <c r="H53" s="305">
        <v>0</v>
      </c>
      <c r="I53" s="305">
        <v>0</v>
      </c>
      <c r="J53" s="305">
        <v>0</v>
      </c>
      <c r="K53" s="305">
        <v>0</v>
      </c>
      <c r="L53" s="305">
        <v>0</v>
      </c>
      <c r="M53" s="305">
        <v>0</v>
      </c>
      <c r="N53" s="305">
        <v>0</v>
      </c>
      <c r="O53" s="305">
        <v>0</v>
      </c>
      <c r="P53" s="305">
        <v>0</v>
      </c>
      <c r="Q53" s="305">
        <v>0</v>
      </c>
      <c r="R53" s="305">
        <v>0</v>
      </c>
      <c r="S53" s="305">
        <v>0</v>
      </c>
      <c r="T53" s="305">
        <v>0</v>
      </c>
      <c r="U53" s="305">
        <v>0</v>
      </c>
      <c r="V53" s="305">
        <v>0</v>
      </c>
      <c r="W53" s="305">
        <v>0</v>
      </c>
      <c r="X53" s="305">
        <v>0</v>
      </c>
      <c r="Y53" s="305">
        <v>0</v>
      </c>
      <c r="Z53" s="305">
        <v>0</v>
      </c>
      <c r="AA53" s="305">
        <v>0</v>
      </c>
      <c r="AB53" s="305">
        <v>0</v>
      </c>
      <c r="AC53" s="305">
        <v>0</v>
      </c>
      <c r="AD53" s="305">
        <v>0</v>
      </c>
      <c r="AE53" s="305">
        <v>0</v>
      </c>
      <c r="AF53" s="305">
        <v>0</v>
      </c>
      <c r="AG53" s="305">
        <v>0</v>
      </c>
      <c r="AH53" s="305">
        <v>0</v>
      </c>
      <c r="AI53" s="305">
        <v>0</v>
      </c>
      <c r="AJ53" s="305">
        <v>0</v>
      </c>
      <c r="AK53" s="305">
        <v>0</v>
      </c>
      <c r="AL53" s="305">
        <v>0</v>
      </c>
      <c r="AM53" s="305">
        <v>0</v>
      </c>
      <c r="AN53" s="305">
        <v>0</v>
      </c>
      <c r="AO53" s="305">
        <v>0</v>
      </c>
      <c r="AP53" s="305">
        <v>0</v>
      </c>
      <c r="AQ53" s="305">
        <v>0</v>
      </c>
      <c r="AR53" s="305">
        <v>0</v>
      </c>
      <c r="AS53" s="305">
        <v>0</v>
      </c>
      <c r="AT53" s="305">
        <v>0</v>
      </c>
      <c r="AU53" s="305">
        <v>0</v>
      </c>
      <c r="AV53" s="305">
        <v>0</v>
      </c>
      <c r="AW53" s="305">
        <v>0</v>
      </c>
      <c r="AX53" s="305">
        <v>0</v>
      </c>
      <c r="AY53" s="305">
        <v>0</v>
      </c>
    </row>
    <row r="54" spans="2:51">
      <c r="B54" s="295">
        <v>10142</v>
      </c>
      <c r="C54" s="295" t="s">
        <v>57</v>
      </c>
      <c r="D54" s="305">
        <v>625</v>
      </c>
      <c r="E54" s="305">
        <v>0</v>
      </c>
      <c r="F54" s="305">
        <v>422</v>
      </c>
      <c r="G54" s="305">
        <v>0</v>
      </c>
      <c r="H54" s="305">
        <v>947</v>
      </c>
      <c r="I54" s="305">
        <v>0</v>
      </c>
      <c r="J54" s="305">
        <v>430</v>
      </c>
      <c r="K54" s="305">
        <v>0</v>
      </c>
      <c r="L54" s="305">
        <v>225</v>
      </c>
      <c r="M54" s="305">
        <v>0</v>
      </c>
      <c r="N54" s="305">
        <v>483</v>
      </c>
      <c r="O54" s="305">
        <v>0</v>
      </c>
      <c r="P54" s="305">
        <v>262</v>
      </c>
      <c r="Q54" s="305">
        <v>0</v>
      </c>
      <c r="R54" s="305">
        <v>329</v>
      </c>
      <c r="S54" s="305">
        <v>0</v>
      </c>
      <c r="T54" s="305">
        <v>741</v>
      </c>
      <c r="U54" s="305">
        <v>0</v>
      </c>
      <c r="V54" s="305">
        <v>811</v>
      </c>
      <c r="W54" s="305">
        <v>0</v>
      </c>
      <c r="X54" s="305">
        <v>899</v>
      </c>
      <c r="Y54" s="305">
        <v>0</v>
      </c>
      <c r="Z54" s="305">
        <v>199</v>
      </c>
      <c r="AA54" s="305">
        <v>0</v>
      </c>
      <c r="AB54" s="305">
        <v>712</v>
      </c>
      <c r="AC54" s="305">
        <v>0</v>
      </c>
      <c r="AD54" s="305">
        <v>511</v>
      </c>
      <c r="AE54" s="305">
        <v>0</v>
      </c>
      <c r="AF54" s="305">
        <v>843</v>
      </c>
      <c r="AG54" s="305">
        <v>0</v>
      </c>
      <c r="AH54" s="305">
        <v>535</v>
      </c>
      <c r="AI54" s="305">
        <v>0</v>
      </c>
      <c r="AJ54" s="305">
        <v>332</v>
      </c>
      <c r="AK54" s="305">
        <v>0</v>
      </c>
      <c r="AL54" s="305">
        <v>344</v>
      </c>
      <c r="AM54" s="305">
        <v>0</v>
      </c>
      <c r="AN54" s="305">
        <v>356</v>
      </c>
      <c r="AO54" s="305">
        <v>0</v>
      </c>
      <c r="AP54" s="305">
        <v>332</v>
      </c>
      <c r="AQ54" s="305">
        <v>0</v>
      </c>
      <c r="AR54" s="305">
        <v>547</v>
      </c>
      <c r="AS54" s="305">
        <v>0</v>
      </c>
      <c r="AT54" s="305">
        <v>1018</v>
      </c>
      <c r="AU54" s="305">
        <v>0</v>
      </c>
      <c r="AV54" s="305">
        <v>901</v>
      </c>
      <c r="AW54" s="305">
        <v>0</v>
      </c>
      <c r="AX54" s="305">
        <v>201</v>
      </c>
      <c r="AY54" s="305">
        <v>0</v>
      </c>
    </row>
    <row r="55" spans="2:51">
      <c r="B55" s="295">
        <v>10144</v>
      </c>
      <c r="C55" s="295" t="s">
        <v>58</v>
      </c>
      <c r="D55" s="305">
        <v>429</v>
      </c>
      <c r="E55" s="305">
        <v>0</v>
      </c>
      <c r="F55" s="305">
        <v>690</v>
      </c>
      <c r="G55" s="305">
        <v>0</v>
      </c>
      <c r="H55" s="305">
        <v>1421</v>
      </c>
      <c r="I55" s="305">
        <v>0</v>
      </c>
      <c r="J55" s="305">
        <v>1387</v>
      </c>
      <c r="K55" s="305">
        <v>0</v>
      </c>
      <c r="L55" s="305">
        <v>938</v>
      </c>
      <c r="M55" s="305">
        <v>0</v>
      </c>
      <c r="N55" s="305">
        <v>1460</v>
      </c>
      <c r="O55" s="305">
        <v>0</v>
      </c>
      <c r="P55" s="305">
        <v>542</v>
      </c>
      <c r="Q55" s="305">
        <v>0</v>
      </c>
      <c r="R55" s="305">
        <v>569</v>
      </c>
      <c r="S55" s="305">
        <v>0</v>
      </c>
      <c r="T55" s="305">
        <v>558</v>
      </c>
      <c r="U55" s="305">
        <v>0</v>
      </c>
      <c r="V55" s="305">
        <v>431</v>
      </c>
      <c r="W55" s="305">
        <v>0</v>
      </c>
      <c r="X55" s="305">
        <v>713</v>
      </c>
      <c r="Y55" s="305">
        <v>0</v>
      </c>
      <c r="Z55" s="305">
        <v>375</v>
      </c>
      <c r="AA55" s="305">
        <v>0</v>
      </c>
      <c r="AB55" s="305">
        <v>572</v>
      </c>
      <c r="AC55" s="305">
        <v>0</v>
      </c>
      <c r="AD55" s="305">
        <v>887</v>
      </c>
      <c r="AE55" s="305">
        <v>0</v>
      </c>
      <c r="AF55" s="305">
        <v>1227</v>
      </c>
      <c r="AG55" s="305">
        <v>0</v>
      </c>
      <c r="AH55" s="305">
        <v>1594</v>
      </c>
      <c r="AI55" s="305">
        <v>0</v>
      </c>
      <c r="AJ55" s="305">
        <v>1078</v>
      </c>
      <c r="AK55" s="305">
        <v>0</v>
      </c>
      <c r="AL55" s="305">
        <v>1168</v>
      </c>
      <c r="AM55" s="305">
        <v>0</v>
      </c>
      <c r="AN55" s="305">
        <v>686</v>
      </c>
      <c r="AO55" s="305">
        <v>0</v>
      </c>
      <c r="AP55" s="305">
        <v>574</v>
      </c>
      <c r="AQ55" s="305">
        <v>0</v>
      </c>
      <c r="AR55" s="305">
        <v>465</v>
      </c>
      <c r="AS55" s="305">
        <v>0</v>
      </c>
      <c r="AT55" s="305">
        <v>537</v>
      </c>
      <c r="AU55" s="305">
        <v>0</v>
      </c>
      <c r="AV55" s="305">
        <v>718</v>
      </c>
      <c r="AW55" s="305">
        <v>0</v>
      </c>
      <c r="AX55" s="305">
        <v>380</v>
      </c>
      <c r="AY55" s="305">
        <v>0</v>
      </c>
    </row>
    <row r="56" spans="2:51">
      <c r="B56" s="295">
        <v>10156</v>
      </c>
      <c r="C56" s="295" t="s">
        <v>59</v>
      </c>
      <c r="D56" s="305">
        <v>2362</v>
      </c>
      <c r="E56" s="305">
        <v>0</v>
      </c>
      <c r="F56" s="305">
        <v>3463</v>
      </c>
      <c r="G56" s="305">
        <v>0</v>
      </c>
      <c r="H56" s="305">
        <v>12257</v>
      </c>
      <c r="I56" s="305">
        <v>0</v>
      </c>
      <c r="J56" s="305">
        <v>12015</v>
      </c>
      <c r="K56" s="305">
        <v>0</v>
      </c>
      <c r="L56" s="305">
        <v>6447</v>
      </c>
      <c r="M56" s="305">
        <v>0</v>
      </c>
      <c r="N56" s="305">
        <v>5455</v>
      </c>
      <c r="O56" s="305">
        <v>0</v>
      </c>
      <c r="P56" s="305">
        <v>2918</v>
      </c>
      <c r="Q56" s="305">
        <v>0</v>
      </c>
      <c r="R56" s="305">
        <v>0</v>
      </c>
      <c r="S56" s="305">
        <v>0</v>
      </c>
      <c r="T56" s="305">
        <v>7684</v>
      </c>
      <c r="U56" s="305">
        <v>0</v>
      </c>
      <c r="V56" s="305">
        <v>6682</v>
      </c>
      <c r="W56" s="305">
        <v>0</v>
      </c>
      <c r="X56" s="305">
        <v>9613</v>
      </c>
      <c r="Y56" s="305">
        <v>0</v>
      </c>
      <c r="Z56" s="305">
        <v>2456</v>
      </c>
      <c r="AA56" s="305">
        <v>0</v>
      </c>
      <c r="AB56" s="305">
        <v>3731</v>
      </c>
      <c r="AC56" s="305">
        <v>0</v>
      </c>
      <c r="AD56" s="305">
        <v>3590</v>
      </c>
      <c r="AE56" s="305">
        <v>0</v>
      </c>
      <c r="AF56" s="305">
        <v>12383</v>
      </c>
      <c r="AG56" s="305">
        <v>0</v>
      </c>
      <c r="AH56" s="305">
        <v>12152</v>
      </c>
      <c r="AI56" s="305">
        <v>0</v>
      </c>
      <c r="AJ56" s="305">
        <v>7854</v>
      </c>
      <c r="AK56" s="305">
        <v>0</v>
      </c>
      <c r="AL56" s="305">
        <v>4082</v>
      </c>
      <c r="AM56" s="305">
        <v>0</v>
      </c>
      <c r="AN56" s="305">
        <v>4378</v>
      </c>
      <c r="AO56" s="305">
        <v>0</v>
      </c>
      <c r="AP56" s="305">
        <v>0</v>
      </c>
      <c r="AQ56" s="305">
        <v>0</v>
      </c>
      <c r="AR56" s="305">
        <v>6780</v>
      </c>
      <c r="AS56" s="305">
        <v>0</v>
      </c>
      <c r="AT56" s="305">
        <v>7875</v>
      </c>
      <c r="AU56" s="305">
        <v>0</v>
      </c>
      <c r="AV56" s="305">
        <v>9765</v>
      </c>
      <c r="AW56" s="305">
        <v>0</v>
      </c>
      <c r="AX56" s="305">
        <v>2571</v>
      </c>
      <c r="AY56" s="305">
        <v>0</v>
      </c>
    </row>
    <row r="57" spans="2:51">
      <c r="B57" s="295">
        <v>10157</v>
      </c>
      <c r="C57" s="295" t="s">
        <v>60</v>
      </c>
      <c r="D57" s="305">
        <v>0</v>
      </c>
      <c r="E57" s="305">
        <v>0</v>
      </c>
      <c r="F57" s="305">
        <v>0</v>
      </c>
      <c r="G57" s="305">
        <v>0</v>
      </c>
      <c r="H57" s="305">
        <v>0</v>
      </c>
      <c r="I57" s="305">
        <v>0</v>
      </c>
      <c r="J57" s="305">
        <v>0</v>
      </c>
      <c r="K57" s="305">
        <v>0</v>
      </c>
      <c r="L57" s="305">
        <v>0</v>
      </c>
      <c r="M57" s="305">
        <v>0</v>
      </c>
      <c r="N57" s="305">
        <v>0</v>
      </c>
      <c r="O57" s="305">
        <v>0</v>
      </c>
      <c r="P57" s="305">
        <v>0</v>
      </c>
      <c r="Q57" s="305">
        <v>0</v>
      </c>
      <c r="R57" s="305">
        <v>0</v>
      </c>
      <c r="S57" s="305">
        <v>0</v>
      </c>
      <c r="T57" s="305">
        <v>0</v>
      </c>
      <c r="U57" s="305">
        <v>0</v>
      </c>
      <c r="V57" s="305">
        <v>0</v>
      </c>
      <c r="W57" s="305">
        <v>0</v>
      </c>
      <c r="X57" s="305">
        <v>0</v>
      </c>
      <c r="Y57" s="305">
        <v>0</v>
      </c>
      <c r="Z57" s="305">
        <v>0</v>
      </c>
      <c r="AA57" s="305">
        <v>0</v>
      </c>
      <c r="AB57" s="305">
        <v>0</v>
      </c>
      <c r="AC57" s="305">
        <v>0</v>
      </c>
      <c r="AD57" s="305">
        <v>0</v>
      </c>
      <c r="AE57" s="305">
        <v>0</v>
      </c>
      <c r="AF57" s="305">
        <v>0</v>
      </c>
      <c r="AG57" s="305">
        <v>0</v>
      </c>
      <c r="AH57" s="305">
        <v>0</v>
      </c>
      <c r="AI57" s="305">
        <v>0</v>
      </c>
      <c r="AJ57" s="305">
        <v>0</v>
      </c>
      <c r="AK57" s="305">
        <v>0</v>
      </c>
      <c r="AL57" s="305">
        <v>0</v>
      </c>
      <c r="AM57" s="305">
        <v>0</v>
      </c>
      <c r="AN57" s="305">
        <v>0</v>
      </c>
      <c r="AO57" s="305">
        <v>0</v>
      </c>
      <c r="AP57" s="305">
        <v>0</v>
      </c>
      <c r="AQ57" s="305">
        <v>0</v>
      </c>
      <c r="AR57" s="305">
        <v>0</v>
      </c>
      <c r="AS57" s="305">
        <v>0</v>
      </c>
      <c r="AT57" s="305">
        <v>0</v>
      </c>
      <c r="AU57" s="305">
        <v>0</v>
      </c>
      <c r="AV57" s="305">
        <v>0</v>
      </c>
      <c r="AW57" s="305">
        <v>0</v>
      </c>
      <c r="AX57" s="305">
        <v>0</v>
      </c>
      <c r="AY57" s="305">
        <v>0</v>
      </c>
    </row>
    <row r="58" spans="2:51">
      <c r="B58" s="295">
        <v>10158</v>
      </c>
      <c r="C58" s="295" t="s">
        <v>61</v>
      </c>
      <c r="D58" s="305">
        <v>0</v>
      </c>
      <c r="E58" s="305">
        <v>0</v>
      </c>
      <c r="F58" s="305">
        <v>0</v>
      </c>
      <c r="G58" s="305">
        <v>0</v>
      </c>
      <c r="H58" s="305">
        <v>448</v>
      </c>
      <c r="I58" s="305">
        <v>0</v>
      </c>
      <c r="J58" s="305">
        <v>510</v>
      </c>
      <c r="K58" s="305">
        <v>0</v>
      </c>
      <c r="L58" s="305">
        <v>127</v>
      </c>
      <c r="M58" s="305">
        <v>0</v>
      </c>
      <c r="N58" s="305">
        <v>254</v>
      </c>
      <c r="O58" s="305">
        <v>0</v>
      </c>
      <c r="P58" s="305">
        <v>0</v>
      </c>
      <c r="Q58" s="305">
        <v>0</v>
      </c>
      <c r="R58" s="305">
        <v>50</v>
      </c>
      <c r="S58" s="305">
        <v>0</v>
      </c>
      <c r="T58" s="305">
        <v>0</v>
      </c>
      <c r="U58" s="305">
        <v>0</v>
      </c>
      <c r="V58" s="305">
        <v>0</v>
      </c>
      <c r="W58" s="305">
        <v>0</v>
      </c>
      <c r="X58" s="305">
        <v>65</v>
      </c>
      <c r="Y58" s="305">
        <v>0</v>
      </c>
      <c r="Z58" s="305">
        <v>0</v>
      </c>
      <c r="AA58" s="305">
        <v>0</v>
      </c>
      <c r="AB58" s="305">
        <v>0</v>
      </c>
      <c r="AC58" s="305">
        <v>0</v>
      </c>
      <c r="AD58" s="305">
        <v>0</v>
      </c>
      <c r="AE58" s="305">
        <v>0</v>
      </c>
      <c r="AF58" s="305">
        <v>311</v>
      </c>
      <c r="AG58" s="305">
        <v>0</v>
      </c>
      <c r="AH58" s="305">
        <v>641</v>
      </c>
      <c r="AI58" s="305">
        <v>0</v>
      </c>
      <c r="AJ58" s="305">
        <v>263</v>
      </c>
      <c r="AK58" s="305">
        <v>0</v>
      </c>
      <c r="AL58" s="305">
        <v>75</v>
      </c>
      <c r="AM58" s="305">
        <v>0</v>
      </c>
      <c r="AN58" s="305">
        <v>0</v>
      </c>
      <c r="AO58" s="305">
        <v>0</v>
      </c>
      <c r="AP58" s="305">
        <v>50</v>
      </c>
      <c r="AQ58" s="305">
        <v>0</v>
      </c>
      <c r="AR58" s="305">
        <v>0</v>
      </c>
      <c r="AS58" s="305">
        <v>0</v>
      </c>
      <c r="AT58" s="305">
        <v>0</v>
      </c>
      <c r="AU58" s="305">
        <v>0</v>
      </c>
      <c r="AV58" s="305">
        <v>65</v>
      </c>
      <c r="AW58" s="305">
        <v>0</v>
      </c>
      <c r="AX58" s="305">
        <v>0</v>
      </c>
      <c r="AY58" s="305">
        <v>0</v>
      </c>
    </row>
    <row r="59" spans="2:51">
      <c r="B59" s="295">
        <v>10170</v>
      </c>
      <c r="C59" s="295" t="s">
        <v>62</v>
      </c>
      <c r="D59" s="305">
        <v>0</v>
      </c>
      <c r="E59" s="305">
        <v>0</v>
      </c>
      <c r="F59" s="305">
        <v>0</v>
      </c>
      <c r="G59" s="305">
        <v>0</v>
      </c>
      <c r="H59" s="305">
        <v>0</v>
      </c>
      <c r="I59" s="305">
        <v>0</v>
      </c>
      <c r="J59" s="305">
        <v>0</v>
      </c>
      <c r="K59" s="305">
        <v>0</v>
      </c>
      <c r="L59" s="305">
        <v>0</v>
      </c>
      <c r="M59" s="305">
        <v>0</v>
      </c>
      <c r="N59" s="305">
        <v>0</v>
      </c>
      <c r="O59" s="305">
        <v>0</v>
      </c>
      <c r="P59" s="305">
        <v>0</v>
      </c>
      <c r="Q59" s="305">
        <v>0</v>
      </c>
      <c r="R59" s="305">
        <v>0</v>
      </c>
      <c r="S59" s="305">
        <v>0</v>
      </c>
      <c r="T59" s="305">
        <v>0</v>
      </c>
      <c r="U59" s="305">
        <v>0</v>
      </c>
      <c r="V59" s="305">
        <v>0</v>
      </c>
      <c r="W59" s="305">
        <v>0</v>
      </c>
      <c r="X59" s="305">
        <v>0</v>
      </c>
      <c r="Y59" s="305">
        <v>0</v>
      </c>
      <c r="Z59" s="305">
        <v>0</v>
      </c>
      <c r="AA59" s="305">
        <v>0</v>
      </c>
      <c r="AB59" s="305">
        <v>0</v>
      </c>
      <c r="AC59" s="305">
        <v>0</v>
      </c>
      <c r="AD59" s="305">
        <v>0</v>
      </c>
      <c r="AE59" s="305">
        <v>0</v>
      </c>
      <c r="AF59" s="305">
        <v>0</v>
      </c>
      <c r="AG59" s="305">
        <v>0</v>
      </c>
      <c r="AH59" s="305">
        <v>0</v>
      </c>
      <c r="AI59" s="305">
        <v>0</v>
      </c>
      <c r="AJ59" s="305">
        <v>0</v>
      </c>
      <c r="AK59" s="305">
        <v>0</v>
      </c>
      <c r="AL59" s="305">
        <v>0</v>
      </c>
      <c r="AM59" s="305">
        <v>0</v>
      </c>
      <c r="AN59" s="305">
        <v>0</v>
      </c>
      <c r="AO59" s="305">
        <v>0</v>
      </c>
      <c r="AP59" s="305">
        <v>0</v>
      </c>
      <c r="AQ59" s="305">
        <v>0</v>
      </c>
      <c r="AR59" s="305">
        <v>0</v>
      </c>
      <c r="AS59" s="305">
        <v>0</v>
      </c>
      <c r="AT59" s="305">
        <v>0</v>
      </c>
      <c r="AU59" s="305">
        <v>0</v>
      </c>
      <c r="AV59" s="305">
        <v>0</v>
      </c>
      <c r="AW59" s="305">
        <v>0</v>
      </c>
      <c r="AX59" s="305">
        <v>0</v>
      </c>
      <c r="AY59" s="305">
        <v>0</v>
      </c>
    </row>
    <row r="60" spans="2:51">
      <c r="B60" s="295">
        <v>10172</v>
      </c>
      <c r="C60" s="295" t="s">
        <v>63</v>
      </c>
      <c r="D60" s="305">
        <v>736</v>
      </c>
      <c r="E60" s="305">
        <v>0</v>
      </c>
      <c r="F60" s="305">
        <v>1070</v>
      </c>
      <c r="G60" s="305">
        <v>0</v>
      </c>
      <c r="H60" s="305">
        <v>860</v>
      </c>
      <c r="I60" s="305">
        <v>0</v>
      </c>
      <c r="J60" s="305">
        <v>1205</v>
      </c>
      <c r="K60" s="305">
        <v>0</v>
      </c>
      <c r="L60" s="305">
        <v>1115</v>
      </c>
      <c r="M60" s="305">
        <v>0</v>
      </c>
      <c r="N60" s="305">
        <v>1053</v>
      </c>
      <c r="O60" s="305">
        <v>0</v>
      </c>
      <c r="P60" s="305">
        <v>688</v>
      </c>
      <c r="Q60" s="305">
        <v>0</v>
      </c>
      <c r="R60" s="305">
        <v>1274</v>
      </c>
      <c r="S60" s="305">
        <v>0</v>
      </c>
      <c r="T60" s="305">
        <v>1002</v>
      </c>
      <c r="U60" s="305">
        <v>0</v>
      </c>
      <c r="V60" s="305">
        <v>670</v>
      </c>
      <c r="W60" s="305">
        <v>0</v>
      </c>
      <c r="X60" s="305">
        <v>1231</v>
      </c>
      <c r="Y60" s="305">
        <v>0</v>
      </c>
      <c r="Z60" s="305">
        <v>285</v>
      </c>
      <c r="AA60" s="305">
        <v>0</v>
      </c>
      <c r="AB60" s="305">
        <v>952</v>
      </c>
      <c r="AC60" s="305">
        <v>0</v>
      </c>
      <c r="AD60" s="305">
        <v>1074</v>
      </c>
      <c r="AE60" s="305">
        <v>0</v>
      </c>
      <c r="AF60" s="305">
        <v>863</v>
      </c>
      <c r="AG60" s="305">
        <v>0</v>
      </c>
      <c r="AH60" s="305">
        <v>1209</v>
      </c>
      <c r="AI60" s="305">
        <v>0</v>
      </c>
      <c r="AJ60" s="305">
        <v>1396</v>
      </c>
      <c r="AK60" s="305">
        <v>0</v>
      </c>
      <c r="AL60" s="305">
        <v>843</v>
      </c>
      <c r="AM60" s="305">
        <v>0</v>
      </c>
      <c r="AN60" s="305">
        <v>915</v>
      </c>
      <c r="AO60" s="305">
        <v>0</v>
      </c>
      <c r="AP60" s="305">
        <v>1279</v>
      </c>
      <c r="AQ60" s="305">
        <v>0</v>
      </c>
      <c r="AR60" s="305">
        <v>787</v>
      </c>
      <c r="AS60" s="305">
        <v>0</v>
      </c>
      <c r="AT60" s="305">
        <v>923</v>
      </c>
      <c r="AU60" s="305">
        <v>0</v>
      </c>
      <c r="AV60" s="305">
        <v>1238</v>
      </c>
      <c r="AW60" s="305">
        <v>0</v>
      </c>
      <c r="AX60" s="305">
        <v>288</v>
      </c>
      <c r="AY60" s="305">
        <v>0</v>
      </c>
    </row>
    <row r="61" spans="2:51">
      <c r="B61" s="295">
        <v>10173</v>
      </c>
      <c r="C61" s="295" t="s">
        <v>64</v>
      </c>
      <c r="D61" s="305">
        <v>0</v>
      </c>
      <c r="E61" s="305">
        <v>0</v>
      </c>
      <c r="F61" s="305">
        <v>0</v>
      </c>
      <c r="G61" s="305">
        <v>0</v>
      </c>
      <c r="H61" s="305">
        <v>0</v>
      </c>
      <c r="I61" s="305">
        <v>0</v>
      </c>
      <c r="J61" s="305">
        <v>0</v>
      </c>
      <c r="K61" s="305">
        <v>0</v>
      </c>
      <c r="L61" s="305">
        <v>0</v>
      </c>
      <c r="M61" s="305">
        <v>0</v>
      </c>
      <c r="N61" s="305">
        <v>0</v>
      </c>
      <c r="O61" s="305">
        <v>0</v>
      </c>
      <c r="P61" s="305">
        <v>0</v>
      </c>
      <c r="Q61" s="305">
        <v>0</v>
      </c>
      <c r="R61" s="305">
        <v>0</v>
      </c>
      <c r="S61" s="305">
        <v>0</v>
      </c>
      <c r="T61" s="305">
        <v>0</v>
      </c>
      <c r="U61" s="305">
        <v>0</v>
      </c>
      <c r="V61" s="305">
        <v>0</v>
      </c>
      <c r="W61" s="305">
        <v>0</v>
      </c>
      <c r="X61" s="305">
        <v>0</v>
      </c>
      <c r="Y61" s="305">
        <v>0</v>
      </c>
      <c r="Z61" s="305">
        <v>0</v>
      </c>
      <c r="AA61" s="305">
        <v>0</v>
      </c>
      <c r="AB61" s="305">
        <v>0</v>
      </c>
      <c r="AC61" s="305">
        <v>0</v>
      </c>
      <c r="AD61" s="305">
        <v>0</v>
      </c>
      <c r="AE61" s="305">
        <v>0</v>
      </c>
      <c r="AF61" s="305">
        <v>0</v>
      </c>
      <c r="AG61" s="305">
        <v>0</v>
      </c>
      <c r="AH61" s="305">
        <v>0</v>
      </c>
      <c r="AI61" s="305">
        <v>0</v>
      </c>
      <c r="AJ61" s="305">
        <v>0</v>
      </c>
      <c r="AK61" s="305">
        <v>0</v>
      </c>
      <c r="AL61" s="305">
        <v>0</v>
      </c>
      <c r="AM61" s="305">
        <v>0</v>
      </c>
      <c r="AN61" s="305">
        <v>0</v>
      </c>
      <c r="AO61" s="305">
        <v>0</v>
      </c>
      <c r="AP61" s="305">
        <v>0</v>
      </c>
      <c r="AQ61" s="305">
        <v>0</v>
      </c>
      <c r="AR61" s="305">
        <v>0</v>
      </c>
      <c r="AS61" s="305">
        <v>0</v>
      </c>
      <c r="AT61" s="305">
        <v>0</v>
      </c>
      <c r="AU61" s="305">
        <v>0</v>
      </c>
      <c r="AV61" s="305">
        <v>0</v>
      </c>
      <c r="AW61" s="305">
        <v>0</v>
      </c>
      <c r="AX61" s="305">
        <v>0</v>
      </c>
      <c r="AY61" s="305">
        <v>0</v>
      </c>
    </row>
    <row r="62" spans="2:51">
      <c r="B62" s="295">
        <v>10174</v>
      </c>
      <c r="C62" s="295" t="s">
        <v>65</v>
      </c>
      <c r="D62" s="305">
        <v>81</v>
      </c>
      <c r="E62" s="305">
        <v>0</v>
      </c>
      <c r="F62" s="305">
        <v>48</v>
      </c>
      <c r="G62" s="305">
        <v>0</v>
      </c>
      <c r="H62" s="305">
        <v>211</v>
      </c>
      <c r="I62" s="305">
        <v>0</v>
      </c>
      <c r="J62" s="305">
        <v>209</v>
      </c>
      <c r="K62" s="305">
        <v>0</v>
      </c>
      <c r="L62" s="305">
        <v>58</v>
      </c>
      <c r="M62" s="305">
        <v>0</v>
      </c>
      <c r="N62" s="305">
        <v>184</v>
      </c>
      <c r="O62" s="305">
        <v>0</v>
      </c>
      <c r="P62" s="305">
        <v>45</v>
      </c>
      <c r="Q62" s="305">
        <v>0</v>
      </c>
      <c r="R62" s="305">
        <v>74</v>
      </c>
      <c r="S62" s="305">
        <v>0</v>
      </c>
      <c r="T62" s="305">
        <v>82</v>
      </c>
      <c r="U62" s="305">
        <v>0</v>
      </c>
      <c r="V62" s="305">
        <v>41</v>
      </c>
      <c r="W62" s="305">
        <v>0</v>
      </c>
      <c r="X62" s="305">
        <v>57</v>
      </c>
      <c r="Y62" s="305">
        <v>0</v>
      </c>
      <c r="Z62" s="305">
        <v>0</v>
      </c>
      <c r="AA62" s="305">
        <v>0</v>
      </c>
      <c r="AB62" s="305">
        <v>96</v>
      </c>
      <c r="AC62" s="305">
        <v>0</v>
      </c>
      <c r="AD62" s="305">
        <v>71</v>
      </c>
      <c r="AE62" s="305">
        <v>0</v>
      </c>
      <c r="AF62" s="305">
        <v>181</v>
      </c>
      <c r="AG62" s="305">
        <v>0</v>
      </c>
      <c r="AH62" s="305">
        <v>239</v>
      </c>
      <c r="AI62" s="305">
        <v>0</v>
      </c>
      <c r="AJ62" s="305">
        <v>84</v>
      </c>
      <c r="AK62" s="305">
        <v>0</v>
      </c>
      <c r="AL62" s="305">
        <v>146</v>
      </c>
      <c r="AM62" s="305">
        <v>0</v>
      </c>
      <c r="AN62" s="305">
        <v>62</v>
      </c>
      <c r="AO62" s="305">
        <v>0</v>
      </c>
      <c r="AP62" s="305">
        <v>74</v>
      </c>
      <c r="AQ62" s="305">
        <v>0</v>
      </c>
      <c r="AR62" s="305">
        <v>63</v>
      </c>
      <c r="AS62" s="305">
        <v>0</v>
      </c>
      <c r="AT62" s="305">
        <v>61</v>
      </c>
      <c r="AU62" s="305">
        <v>0</v>
      </c>
      <c r="AV62" s="305">
        <v>57</v>
      </c>
      <c r="AW62" s="305">
        <v>0</v>
      </c>
      <c r="AX62" s="305">
        <v>0</v>
      </c>
      <c r="AY62" s="305">
        <v>0</v>
      </c>
    </row>
    <row r="63" spans="2:51">
      <c r="B63" s="295">
        <v>10177</v>
      </c>
      <c r="C63" s="295" t="s">
        <v>66</v>
      </c>
      <c r="D63" s="305">
        <v>0</v>
      </c>
      <c r="E63" s="305">
        <v>0</v>
      </c>
      <c r="F63" s="305">
        <v>426</v>
      </c>
      <c r="G63" s="305">
        <v>0</v>
      </c>
      <c r="H63" s="305">
        <v>986</v>
      </c>
      <c r="I63" s="305">
        <v>0</v>
      </c>
      <c r="J63" s="305">
        <v>1462</v>
      </c>
      <c r="K63" s="305">
        <v>0</v>
      </c>
      <c r="L63" s="305">
        <v>138</v>
      </c>
      <c r="M63" s="305">
        <v>0</v>
      </c>
      <c r="N63" s="305">
        <v>593</v>
      </c>
      <c r="O63" s="305">
        <v>0</v>
      </c>
      <c r="P63" s="305">
        <v>0</v>
      </c>
      <c r="Q63" s="305">
        <v>0</v>
      </c>
      <c r="R63" s="305">
        <v>502</v>
      </c>
      <c r="S63" s="305">
        <v>0</v>
      </c>
      <c r="T63" s="305">
        <v>698</v>
      </c>
      <c r="U63" s="305">
        <v>0</v>
      </c>
      <c r="V63" s="305">
        <v>154</v>
      </c>
      <c r="W63" s="305">
        <v>0</v>
      </c>
      <c r="X63" s="305">
        <v>883</v>
      </c>
      <c r="Y63" s="305">
        <v>0</v>
      </c>
      <c r="Z63" s="305">
        <v>0</v>
      </c>
      <c r="AA63" s="305">
        <v>0</v>
      </c>
      <c r="AB63" s="305">
        <v>166</v>
      </c>
      <c r="AC63" s="305">
        <v>0</v>
      </c>
      <c r="AD63" s="305">
        <v>437</v>
      </c>
      <c r="AE63" s="305">
        <v>0</v>
      </c>
      <c r="AF63" s="305">
        <v>996</v>
      </c>
      <c r="AG63" s="305">
        <v>0</v>
      </c>
      <c r="AH63" s="305">
        <v>1475</v>
      </c>
      <c r="AI63" s="305">
        <v>0</v>
      </c>
      <c r="AJ63" s="305">
        <v>720</v>
      </c>
      <c r="AK63" s="305">
        <v>0</v>
      </c>
      <c r="AL63" s="305">
        <v>240</v>
      </c>
      <c r="AM63" s="305">
        <v>0</v>
      </c>
      <c r="AN63" s="305">
        <v>307</v>
      </c>
      <c r="AO63" s="305">
        <v>0</v>
      </c>
      <c r="AP63" s="305">
        <v>509</v>
      </c>
      <c r="AQ63" s="305">
        <v>0</v>
      </c>
      <c r="AR63" s="305">
        <v>420</v>
      </c>
      <c r="AS63" s="305">
        <v>0</v>
      </c>
      <c r="AT63" s="305">
        <v>463</v>
      </c>
      <c r="AU63" s="305">
        <v>0</v>
      </c>
      <c r="AV63" s="305">
        <v>887</v>
      </c>
      <c r="AW63" s="305">
        <v>0</v>
      </c>
      <c r="AX63" s="305">
        <v>0</v>
      </c>
      <c r="AY63" s="305">
        <v>0</v>
      </c>
    </row>
    <row r="64" spans="2:51">
      <c r="B64" s="295">
        <v>10179</v>
      </c>
      <c r="C64" s="295" t="s">
        <v>67</v>
      </c>
      <c r="D64" s="305">
        <v>42015</v>
      </c>
      <c r="E64" s="305">
        <v>0</v>
      </c>
      <c r="F64" s="305">
        <v>48271</v>
      </c>
      <c r="G64" s="305">
        <v>0</v>
      </c>
      <c r="H64" s="305">
        <v>18047</v>
      </c>
      <c r="I64" s="305">
        <v>0</v>
      </c>
      <c r="J64" s="305">
        <v>40898</v>
      </c>
      <c r="K64" s="305">
        <v>0</v>
      </c>
      <c r="L64" s="305">
        <v>30953</v>
      </c>
      <c r="M64" s="305">
        <v>0</v>
      </c>
      <c r="N64" s="305">
        <v>34358</v>
      </c>
      <c r="O64" s="305">
        <v>0</v>
      </c>
      <c r="P64" s="305">
        <v>40271</v>
      </c>
      <c r="Q64" s="305">
        <v>0</v>
      </c>
      <c r="R64" s="305">
        <v>35146</v>
      </c>
      <c r="S64" s="305">
        <v>0</v>
      </c>
      <c r="T64" s="305">
        <v>25962</v>
      </c>
      <c r="U64" s="305">
        <v>0</v>
      </c>
      <c r="V64" s="305">
        <v>29564</v>
      </c>
      <c r="W64" s="305">
        <v>0</v>
      </c>
      <c r="X64" s="305">
        <v>34739</v>
      </c>
      <c r="Y64" s="305">
        <v>0</v>
      </c>
      <c r="Z64" s="305">
        <v>33478</v>
      </c>
      <c r="AA64" s="305">
        <v>0</v>
      </c>
      <c r="AB64" s="305">
        <v>49422</v>
      </c>
      <c r="AC64" s="305">
        <v>0</v>
      </c>
      <c r="AD64" s="305">
        <v>49026</v>
      </c>
      <c r="AE64" s="305">
        <v>0</v>
      </c>
      <c r="AF64" s="305">
        <v>18307</v>
      </c>
      <c r="AG64" s="305">
        <v>0</v>
      </c>
      <c r="AH64" s="305">
        <v>41383</v>
      </c>
      <c r="AI64" s="305">
        <v>0</v>
      </c>
      <c r="AJ64" s="305">
        <v>20441</v>
      </c>
      <c r="AK64" s="305">
        <v>0</v>
      </c>
      <c r="AL64" s="305">
        <v>26774</v>
      </c>
      <c r="AM64" s="305">
        <v>0</v>
      </c>
      <c r="AN64" s="305">
        <v>48335</v>
      </c>
      <c r="AO64" s="305">
        <v>0</v>
      </c>
      <c r="AP64" s="305">
        <v>35492</v>
      </c>
      <c r="AQ64" s="305">
        <v>0</v>
      </c>
      <c r="AR64" s="305">
        <v>19289</v>
      </c>
      <c r="AS64" s="305">
        <v>0</v>
      </c>
      <c r="AT64" s="305">
        <v>37390</v>
      </c>
      <c r="AU64" s="305">
        <v>0</v>
      </c>
      <c r="AV64" s="305">
        <v>35057</v>
      </c>
      <c r="AW64" s="305">
        <v>0</v>
      </c>
      <c r="AX64" s="305">
        <v>33851</v>
      </c>
      <c r="AY64" s="305">
        <v>0</v>
      </c>
    </row>
    <row r="65" spans="2:51">
      <c r="B65" s="295">
        <v>10183</v>
      </c>
      <c r="C65" s="295" t="s">
        <v>68</v>
      </c>
      <c r="D65" s="305">
        <v>0</v>
      </c>
      <c r="E65" s="305">
        <v>0</v>
      </c>
      <c r="F65" s="305">
        <v>0</v>
      </c>
      <c r="G65" s="305">
        <v>0</v>
      </c>
      <c r="H65" s="305">
        <v>0</v>
      </c>
      <c r="I65" s="305">
        <v>0</v>
      </c>
      <c r="J65" s="305">
        <v>0</v>
      </c>
      <c r="K65" s="305">
        <v>0</v>
      </c>
      <c r="L65" s="305">
        <v>0</v>
      </c>
      <c r="M65" s="305">
        <v>0</v>
      </c>
      <c r="N65" s="305">
        <v>0</v>
      </c>
      <c r="O65" s="305">
        <v>0</v>
      </c>
      <c r="P65" s="305">
        <v>0</v>
      </c>
      <c r="Q65" s="305">
        <v>0</v>
      </c>
      <c r="R65" s="305">
        <v>0</v>
      </c>
      <c r="S65" s="305">
        <v>0</v>
      </c>
      <c r="T65" s="305">
        <v>0</v>
      </c>
      <c r="U65" s="305">
        <v>0</v>
      </c>
      <c r="V65" s="305">
        <v>0</v>
      </c>
      <c r="W65" s="305">
        <v>0</v>
      </c>
      <c r="X65" s="305">
        <v>0</v>
      </c>
      <c r="Y65" s="305">
        <v>0</v>
      </c>
      <c r="Z65" s="305">
        <v>0</v>
      </c>
      <c r="AA65" s="305">
        <v>0</v>
      </c>
      <c r="AB65" s="305">
        <v>0</v>
      </c>
      <c r="AC65" s="305">
        <v>0</v>
      </c>
      <c r="AD65" s="305">
        <v>0</v>
      </c>
      <c r="AE65" s="305">
        <v>0</v>
      </c>
      <c r="AF65" s="305">
        <v>0</v>
      </c>
      <c r="AG65" s="305">
        <v>0</v>
      </c>
      <c r="AH65" s="305">
        <v>0</v>
      </c>
      <c r="AI65" s="305">
        <v>0</v>
      </c>
      <c r="AJ65" s="305">
        <v>0</v>
      </c>
      <c r="AK65" s="305">
        <v>0</v>
      </c>
      <c r="AL65" s="305">
        <v>0</v>
      </c>
      <c r="AM65" s="305">
        <v>0</v>
      </c>
      <c r="AN65" s="305">
        <v>0</v>
      </c>
      <c r="AO65" s="305">
        <v>0</v>
      </c>
      <c r="AP65" s="305">
        <v>0</v>
      </c>
      <c r="AQ65" s="305">
        <v>0</v>
      </c>
      <c r="AR65" s="305">
        <v>0</v>
      </c>
      <c r="AS65" s="305">
        <v>0</v>
      </c>
      <c r="AT65" s="305">
        <v>0</v>
      </c>
      <c r="AU65" s="305">
        <v>0</v>
      </c>
      <c r="AV65" s="305">
        <v>0</v>
      </c>
      <c r="AW65" s="305">
        <v>0</v>
      </c>
      <c r="AX65" s="305">
        <v>0</v>
      </c>
      <c r="AY65" s="305">
        <v>0</v>
      </c>
    </row>
    <row r="66" spans="2:51">
      <c r="B66" s="295">
        <v>10186</v>
      </c>
      <c r="C66" s="295" t="s">
        <v>69</v>
      </c>
      <c r="D66" s="305">
        <v>1847</v>
      </c>
      <c r="E66" s="305">
        <v>0</v>
      </c>
      <c r="F66" s="305">
        <v>2000</v>
      </c>
      <c r="G66" s="305">
        <v>0</v>
      </c>
      <c r="H66" s="305">
        <v>2973</v>
      </c>
      <c r="I66" s="305">
        <v>0</v>
      </c>
      <c r="J66" s="305">
        <v>3940</v>
      </c>
      <c r="K66" s="305">
        <v>0</v>
      </c>
      <c r="L66" s="305">
        <v>3030</v>
      </c>
      <c r="M66" s="305">
        <v>0</v>
      </c>
      <c r="N66" s="305">
        <v>4706</v>
      </c>
      <c r="O66" s="305">
        <v>0</v>
      </c>
      <c r="P66" s="305">
        <v>2738</v>
      </c>
      <c r="Q66" s="305">
        <v>0</v>
      </c>
      <c r="R66" s="305">
        <v>2899</v>
      </c>
      <c r="S66" s="305">
        <v>0</v>
      </c>
      <c r="T66" s="305">
        <v>3219</v>
      </c>
      <c r="U66" s="305">
        <v>0</v>
      </c>
      <c r="V66" s="305">
        <v>1795</v>
      </c>
      <c r="W66" s="305">
        <v>0</v>
      </c>
      <c r="X66" s="305">
        <v>2508</v>
      </c>
      <c r="Y66" s="305">
        <v>0</v>
      </c>
      <c r="Z66" s="305">
        <v>2191</v>
      </c>
      <c r="AA66" s="305">
        <v>0</v>
      </c>
      <c r="AB66" s="305">
        <v>2633</v>
      </c>
      <c r="AC66" s="305">
        <v>0</v>
      </c>
      <c r="AD66" s="305">
        <v>2034</v>
      </c>
      <c r="AE66" s="305">
        <v>0</v>
      </c>
      <c r="AF66" s="305">
        <v>3005</v>
      </c>
      <c r="AG66" s="305">
        <v>0</v>
      </c>
      <c r="AH66" s="305">
        <v>3983</v>
      </c>
      <c r="AI66" s="305">
        <v>0</v>
      </c>
      <c r="AJ66" s="305">
        <v>4189</v>
      </c>
      <c r="AK66" s="305">
        <v>0</v>
      </c>
      <c r="AL66" s="305">
        <v>3865</v>
      </c>
      <c r="AM66" s="305">
        <v>0</v>
      </c>
      <c r="AN66" s="305">
        <v>3584</v>
      </c>
      <c r="AO66" s="305">
        <v>0</v>
      </c>
      <c r="AP66" s="305">
        <v>2922</v>
      </c>
      <c r="AQ66" s="305">
        <v>0</v>
      </c>
      <c r="AR66" s="305">
        <v>2440</v>
      </c>
      <c r="AS66" s="305">
        <v>0</v>
      </c>
      <c r="AT66" s="305">
        <v>2684</v>
      </c>
      <c r="AU66" s="305">
        <v>0</v>
      </c>
      <c r="AV66" s="305">
        <v>2524</v>
      </c>
      <c r="AW66" s="305">
        <v>0</v>
      </c>
      <c r="AX66" s="305">
        <v>2213</v>
      </c>
      <c r="AY66" s="305">
        <v>0</v>
      </c>
    </row>
    <row r="67" spans="2:51">
      <c r="B67" s="295">
        <v>10190</v>
      </c>
      <c r="C67" s="295" t="s">
        <v>70</v>
      </c>
      <c r="D67" s="305">
        <v>0</v>
      </c>
      <c r="E67" s="305">
        <v>0</v>
      </c>
      <c r="F67" s="305">
        <v>1125</v>
      </c>
      <c r="G67" s="305">
        <v>0</v>
      </c>
      <c r="H67" s="305">
        <v>2144</v>
      </c>
      <c r="I67" s="305">
        <v>0</v>
      </c>
      <c r="J67" s="305">
        <v>1497</v>
      </c>
      <c r="K67" s="305">
        <v>0</v>
      </c>
      <c r="L67" s="305">
        <v>0</v>
      </c>
      <c r="M67" s="305">
        <v>0</v>
      </c>
      <c r="N67" s="305">
        <v>782</v>
      </c>
      <c r="O67" s="305">
        <v>0</v>
      </c>
      <c r="P67" s="305">
        <v>448</v>
      </c>
      <c r="Q67" s="305">
        <v>0</v>
      </c>
      <c r="R67" s="305">
        <v>704</v>
      </c>
      <c r="S67" s="305">
        <v>0</v>
      </c>
      <c r="T67" s="305">
        <v>339</v>
      </c>
      <c r="U67" s="305">
        <v>0</v>
      </c>
      <c r="V67" s="305">
        <v>424</v>
      </c>
      <c r="W67" s="305">
        <v>0</v>
      </c>
      <c r="X67" s="305">
        <v>671</v>
      </c>
      <c r="Y67" s="305">
        <v>0</v>
      </c>
      <c r="Z67" s="305">
        <v>447</v>
      </c>
      <c r="AA67" s="305">
        <v>0</v>
      </c>
      <c r="AB67" s="305">
        <v>0</v>
      </c>
      <c r="AC67" s="305">
        <v>0</v>
      </c>
      <c r="AD67" s="305">
        <v>1121</v>
      </c>
      <c r="AE67" s="305">
        <v>0</v>
      </c>
      <c r="AF67" s="305">
        <v>2140</v>
      </c>
      <c r="AG67" s="305">
        <v>0</v>
      </c>
      <c r="AH67" s="305">
        <v>1493</v>
      </c>
      <c r="AI67" s="305">
        <v>0</v>
      </c>
      <c r="AJ67" s="305">
        <v>0</v>
      </c>
      <c r="AK67" s="305">
        <v>0</v>
      </c>
      <c r="AL67" s="305">
        <v>575</v>
      </c>
      <c r="AM67" s="305">
        <v>0</v>
      </c>
      <c r="AN67" s="305">
        <v>625</v>
      </c>
      <c r="AO67" s="305">
        <v>0</v>
      </c>
      <c r="AP67" s="305">
        <v>700</v>
      </c>
      <c r="AQ67" s="305">
        <v>0</v>
      </c>
      <c r="AR67" s="305">
        <v>168</v>
      </c>
      <c r="AS67" s="305">
        <v>0</v>
      </c>
      <c r="AT67" s="305">
        <v>620</v>
      </c>
      <c r="AU67" s="305">
        <v>0</v>
      </c>
      <c r="AV67" s="305">
        <v>666</v>
      </c>
      <c r="AW67" s="305">
        <v>0</v>
      </c>
      <c r="AX67" s="305">
        <v>442</v>
      </c>
      <c r="AY67" s="305">
        <v>0</v>
      </c>
    </row>
    <row r="68" spans="2:51">
      <c r="B68" s="295">
        <v>10191</v>
      </c>
      <c r="C68" s="295" t="s">
        <v>71</v>
      </c>
      <c r="D68" s="305">
        <v>0</v>
      </c>
      <c r="E68" s="305">
        <v>0</v>
      </c>
      <c r="F68" s="305">
        <v>0</v>
      </c>
      <c r="G68" s="305">
        <v>0</v>
      </c>
      <c r="H68" s="305">
        <v>0</v>
      </c>
      <c r="I68" s="305">
        <v>0</v>
      </c>
      <c r="J68" s="305">
        <v>0</v>
      </c>
      <c r="K68" s="305">
        <v>0</v>
      </c>
      <c r="L68" s="305">
        <v>0</v>
      </c>
      <c r="M68" s="305">
        <v>0</v>
      </c>
      <c r="N68" s="305">
        <v>0</v>
      </c>
      <c r="O68" s="305">
        <v>0</v>
      </c>
      <c r="P68" s="305">
        <v>0</v>
      </c>
      <c r="Q68" s="305">
        <v>0</v>
      </c>
      <c r="R68" s="305">
        <v>0</v>
      </c>
      <c r="S68" s="305">
        <v>0</v>
      </c>
      <c r="T68" s="305">
        <v>0</v>
      </c>
      <c r="U68" s="305">
        <v>0</v>
      </c>
      <c r="V68" s="305">
        <v>0</v>
      </c>
      <c r="W68" s="305">
        <v>0</v>
      </c>
      <c r="X68" s="305">
        <v>0</v>
      </c>
      <c r="Y68" s="305">
        <v>0</v>
      </c>
      <c r="Z68" s="305">
        <v>0</v>
      </c>
      <c r="AA68" s="305">
        <v>0</v>
      </c>
      <c r="AB68" s="305">
        <v>0</v>
      </c>
      <c r="AC68" s="305">
        <v>0</v>
      </c>
      <c r="AD68" s="305">
        <v>0</v>
      </c>
      <c r="AE68" s="305">
        <v>0</v>
      </c>
      <c r="AF68" s="305">
        <v>0</v>
      </c>
      <c r="AG68" s="305">
        <v>0</v>
      </c>
      <c r="AH68" s="305">
        <v>0</v>
      </c>
      <c r="AI68" s="305">
        <v>0</v>
      </c>
      <c r="AJ68" s="305">
        <v>0</v>
      </c>
      <c r="AK68" s="305">
        <v>0</v>
      </c>
      <c r="AL68" s="305">
        <v>0</v>
      </c>
      <c r="AM68" s="305">
        <v>0</v>
      </c>
      <c r="AN68" s="305">
        <v>0</v>
      </c>
      <c r="AO68" s="305">
        <v>0</v>
      </c>
      <c r="AP68" s="305">
        <v>0</v>
      </c>
      <c r="AQ68" s="305">
        <v>0</v>
      </c>
      <c r="AR68" s="305">
        <v>0</v>
      </c>
      <c r="AS68" s="305">
        <v>0</v>
      </c>
      <c r="AT68" s="305">
        <v>0</v>
      </c>
      <c r="AU68" s="305">
        <v>0</v>
      </c>
      <c r="AV68" s="305">
        <v>0</v>
      </c>
      <c r="AW68" s="305">
        <v>0</v>
      </c>
      <c r="AX68" s="305">
        <v>0</v>
      </c>
      <c r="AY68" s="305">
        <v>0</v>
      </c>
    </row>
    <row r="69" spans="2:51">
      <c r="B69" s="295">
        <v>10197</v>
      </c>
      <c r="C69" s="295" t="s">
        <v>72</v>
      </c>
      <c r="D69" s="305">
        <v>3987</v>
      </c>
      <c r="E69" s="305">
        <v>0</v>
      </c>
      <c r="F69" s="305">
        <v>1053</v>
      </c>
      <c r="G69" s="305">
        <v>0</v>
      </c>
      <c r="H69" s="305">
        <v>2372</v>
      </c>
      <c r="I69" s="305">
        <v>0</v>
      </c>
      <c r="J69" s="305">
        <v>2262</v>
      </c>
      <c r="K69" s="305">
        <v>0</v>
      </c>
      <c r="L69" s="305">
        <v>280</v>
      </c>
      <c r="M69" s="305">
        <v>0</v>
      </c>
      <c r="N69" s="305">
        <v>2258</v>
      </c>
      <c r="O69" s="305">
        <v>0</v>
      </c>
      <c r="P69" s="305">
        <v>7457</v>
      </c>
      <c r="Q69" s="305">
        <v>0</v>
      </c>
      <c r="R69" s="305">
        <v>4473</v>
      </c>
      <c r="S69" s="305">
        <v>0</v>
      </c>
      <c r="T69" s="305">
        <v>7571</v>
      </c>
      <c r="U69" s="305">
        <v>0</v>
      </c>
      <c r="V69" s="305">
        <v>5452</v>
      </c>
      <c r="W69" s="305">
        <v>0</v>
      </c>
      <c r="X69" s="305">
        <v>8934</v>
      </c>
      <c r="Y69" s="305">
        <v>0</v>
      </c>
      <c r="Z69" s="305">
        <v>1459</v>
      </c>
      <c r="AA69" s="305">
        <v>0</v>
      </c>
      <c r="AB69" s="305">
        <v>4491</v>
      </c>
      <c r="AC69" s="305">
        <v>0</v>
      </c>
      <c r="AD69" s="305">
        <v>1422</v>
      </c>
      <c r="AE69" s="305">
        <v>0</v>
      </c>
      <c r="AF69" s="305">
        <v>1942</v>
      </c>
      <c r="AG69" s="305">
        <v>0</v>
      </c>
      <c r="AH69" s="305">
        <v>2663</v>
      </c>
      <c r="AI69" s="305">
        <v>0</v>
      </c>
      <c r="AJ69" s="305">
        <v>652</v>
      </c>
      <c r="AK69" s="305">
        <v>0</v>
      </c>
      <c r="AL69" s="305">
        <v>1568</v>
      </c>
      <c r="AM69" s="305">
        <v>0</v>
      </c>
      <c r="AN69" s="305">
        <v>8345</v>
      </c>
      <c r="AO69" s="305">
        <v>0</v>
      </c>
      <c r="AP69" s="305">
        <v>4473</v>
      </c>
      <c r="AQ69" s="305">
        <v>0</v>
      </c>
      <c r="AR69" s="305">
        <v>5611</v>
      </c>
      <c r="AS69" s="305">
        <v>0</v>
      </c>
      <c r="AT69" s="305">
        <v>7713</v>
      </c>
      <c r="AU69" s="305">
        <v>0</v>
      </c>
      <c r="AV69" s="305">
        <v>8934</v>
      </c>
      <c r="AW69" s="305">
        <v>0</v>
      </c>
      <c r="AX69" s="305">
        <v>1459</v>
      </c>
      <c r="AY69" s="305">
        <v>0</v>
      </c>
    </row>
    <row r="70" spans="2:51">
      <c r="B70" s="295">
        <v>10202</v>
      </c>
      <c r="C70" s="295" t="s">
        <v>73</v>
      </c>
      <c r="D70" s="305">
        <v>2661</v>
      </c>
      <c r="E70" s="305">
        <v>0</v>
      </c>
      <c r="F70" s="305">
        <v>3126</v>
      </c>
      <c r="G70" s="305">
        <v>0</v>
      </c>
      <c r="H70" s="305">
        <v>3685</v>
      </c>
      <c r="I70" s="305">
        <v>0</v>
      </c>
      <c r="J70" s="305">
        <v>2706</v>
      </c>
      <c r="K70" s="305">
        <v>0</v>
      </c>
      <c r="L70" s="305">
        <v>2680</v>
      </c>
      <c r="M70" s="305">
        <v>0</v>
      </c>
      <c r="N70" s="305">
        <v>4537</v>
      </c>
      <c r="O70" s="305">
        <v>0</v>
      </c>
      <c r="P70" s="305">
        <v>0</v>
      </c>
      <c r="Q70" s="305">
        <v>0</v>
      </c>
      <c r="R70" s="305">
        <v>922</v>
      </c>
      <c r="S70" s="305">
        <v>0</v>
      </c>
      <c r="T70" s="305">
        <v>968</v>
      </c>
      <c r="U70" s="305">
        <v>0</v>
      </c>
      <c r="V70" s="305">
        <v>1537</v>
      </c>
      <c r="W70" s="305">
        <v>0</v>
      </c>
      <c r="X70" s="305">
        <v>2625</v>
      </c>
      <c r="Y70" s="305">
        <v>0</v>
      </c>
      <c r="Z70" s="305">
        <v>887</v>
      </c>
      <c r="AA70" s="305">
        <v>0</v>
      </c>
      <c r="AB70" s="305">
        <v>3395</v>
      </c>
      <c r="AC70" s="305">
        <v>0</v>
      </c>
      <c r="AD70" s="305">
        <v>3926</v>
      </c>
      <c r="AE70" s="305">
        <v>0</v>
      </c>
      <c r="AF70" s="305">
        <v>2975</v>
      </c>
      <c r="AG70" s="305">
        <v>0</v>
      </c>
      <c r="AH70" s="305">
        <v>3503</v>
      </c>
      <c r="AI70" s="305">
        <v>0</v>
      </c>
      <c r="AJ70" s="305">
        <v>2883</v>
      </c>
      <c r="AK70" s="305">
        <v>0</v>
      </c>
      <c r="AL70" s="305">
        <v>3514</v>
      </c>
      <c r="AM70" s="305">
        <v>0</v>
      </c>
      <c r="AN70" s="305">
        <v>0</v>
      </c>
      <c r="AO70" s="305">
        <v>0</v>
      </c>
      <c r="AP70" s="305">
        <v>1008</v>
      </c>
      <c r="AQ70" s="305">
        <v>0</v>
      </c>
      <c r="AR70" s="305">
        <v>565</v>
      </c>
      <c r="AS70" s="305">
        <v>0</v>
      </c>
      <c r="AT70" s="305">
        <v>2126</v>
      </c>
      <c r="AU70" s="305">
        <v>0</v>
      </c>
      <c r="AV70" s="305">
        <v>2713</v>
      </c>
      <c r="AW70" s="305">
        <v>0</v>
      </c>
      <c r="AX70" s="305">
        <v>960</v>
      </c>
      <c r="AY70" s="305">
        <v>0</v>
      </c>
    </row>
    <row r="71" spans="2:51">
      <c r="B71" s="295">
        <v>10203</v>
      </c>
      <c r="C71" s="295" t="s">
        <v>74</v>
      </c>
      <c r="D71" s="305">
        <v>531</v>
      </c>
      <c r="E71" s="305">
        <v>0</v>
      </c>
      <c r="F71" s="305">
        <v>1292</v>
      </c>
      <c r="G71" s="305">
        <v>0</v>
      </c>
      <c r="H71" s="305">
        <v>1119</v>
      </c>
      <c r="I71" s="305">
        <v>0</v>
      </c>
      <c r="J71" s="305">
        <v>1772</v>
      </c>
      <c r="K71" s="305">
        <v>0</v>
      </c>
      <c r="L71" s="305">
        <v>1000</v>
      </c>
      <c r="M71" s="305">
        <v>0</v>
      </c>
      <c r="N71" s="305">
        <v>1423</v>
      </c>
      <c r="O71" s="305">
        <v>0</v>
      </c>
      <c r="P71" s="305">
        <v>770</v>
      </c>
      <c r="Q71" s="305">
        <v>0</v>
      </c>
      <c r="R71" s="305">
        <v>1499</v>
      </c>
      <c r="S71" s="305">
        <v>0</v>
      </c>
      <c r="T71" s="305">
        <v>1211</v>
      </c>
      <c r="U71" s="305">
        <v>0</v>
      </c>
      <c r="V71" s="305">
        <v>1187</v>
      </c>
      <c r="W71" s="305">
        <v>0</v>
      </c>
      <c r="X71" s="305">
        <v>1127</v>
      </c>
      <c r="Y71" s="305">
        <v>0</v>
      </c>
      <c r="Z71" s="305">
        <v>972</v>
      </c>
      <c r="AA71" s="305">
        <v>0</v>
      </c>
      <c r="AB71" s="305">
        <v>777</v>
      </c>
      <c r="AC71" s="305">
        <v>0</v>
      </c>
      <c r="AD71" s="305">
        <v>1306</v>
      </c>
      <c r="AE71" s="305">
        <v>0</v>
      </c>
      <c r="AF71" s="305">
        <v>1133</v>
      </c>
      <c r="AG71" s="305">
        <v>0</v>
      </c>
      <c r="AH71" s="305">
        <v>1787</v>
      </c>
      <c r="AI71" s="305">
        <v>0</v>
      </c>
      <c r="AJ71" s="305">
        <v>1015</v>
      </c>
      <c r="AK71" s="305">
        <v>0</v>
      </c>
      <c r="AL71" s="305">
        <v>1166</v>
      </c>
      <c r="AM71" s="305">
        <v>0</v>
      </c>
      <c r="AN71" s="305">
        <v>1032</v>
      </c>
      <c r="AO71" s="305">
        <v>0</v>
      </c>
      <c r="AP71" s="305">
        <v>1511</v>
      </c>
      <c r="AQ71" s="305">
        <v>0</v>
      </c>
      <c r="AR71" s="305">
        <v>999</v>
      </c>
      <c r="AS71" s="305">
        <v>0</v>
      </c>
      <c r="AT71" s="305">
        <v>1457</v>
      </c>
      <c r="AU71" s="305">
        <v>0</v>
      </c>
      <c r="AV71" s="305">
        <v>1137</v>
      </c>
      <c r="AW71" s="305">
        <v>0</v>
      </c>
      <c r="AX71" s="305">
        <v>979</v>
      </c>
      <c r="AY71" s="305">
        <v>0</v>
      </c>
    </row>
    <row r="72" spans="2:51">
      <c r="B72" s="295">
        <v>10204</v>
      </c>
      <c r="C72" s="295" t="s">
        <v>75</v>
      </c>
      <c r="D72" s="305">
        <v>0</v>
      </c>
      <c r="E72" s="305">
        <v>0</v>
      </c>
      <c r="F72" s="305">
        <v>0</v>
      </c>
      <c r="G72" s="305">
        <v>0</v>
      </c>
      <c r="H72" s="305">
        <v>0</v>
      </c>
      <c r="I72" s="305">
        <v>0</v>
      </c>
      <c r="J72" s="305">
        <v>0</v>
      </c>
      <c r="K72" s="305">
        <v>0</v>
      </c>
      <c r="L72" s="305">
        <v>0</v>
      </c>
      <c r="M72" s="305">
        <v>0</v>
      </c>
      <c r="N72" s="305">
        <v>0</v>
      </c>
      <c r="O72" s="305">
        <v>0</v>
      </c>
      <c r="P72" s="305">
        <v>0</v>
      </c>
      <c r="Q72" s="305">
        <v>0</v>
      </c>
      <c r="R72" s="305">
        <v>0</v>
      </c>
      <c r="S72" s="305">
        <v>0</v>
      </c>
      <c r="T72" s="305">
        <v>0</v>
      </c>
      <c r="U72" s="305">
        <v>0</v>
      </c>
      <c r="V72" s="305">
        <v>0</v>
      </c>
      <c r="W72" s="305">
        <v>0</v>
      </c>
      <c r="X72" s="305">
        <v>0</v>
      </c>
      <c r="Y72" s="305">
        <v>0</v>
      </c>
      <c r="Z72" s="305">
        <v>0</v>
      </c>
      <c r="AA72" s="305">
        <v>0</v>
      </c>
      <c r="AB72" s="305">
        <v>0</v>
      </c>
      <c r="AC72" s="305">
        <v>0</v>
      </c>
      <c r="AD72" s="305">
        <v>0</v>
      </c>
      <c r="AE72" s="305">
        <v>0</v>
      </c>
      <c r="AF72" s="305">
        <v>0</v>
      </c>
      <c r="AG72" s="305">
        <v>0</v>
      </c>
      <c r="AH72" s="305">
        <v>0</v>
      </c>
      <c r="AI72" s="305">
        <v>0</v>
      </c>
      <c r="AJ72" s="305">
        <v>0</v>
      </c>
      <c r="AK72" s="305">
        <v>0</v>
      </c>
      <c r="AL72" s="305">
        <v>0</v>
      </c>
      <c r="AM72" s="305">
        <v>0</v>
      </c>
      <c r="AN72" s="305">
        <v>0</v>
      </c>
      <c r="AO72" s="305">
        <v>0</v>
      </c>
      <c r="AP72" s="305">
        <v>0</v>
      </c>
      <c r="AQ72" s="305">
        <v>0</v>
      </c>
      <c r="AR72" s="305">
        <v>0</v>
      </c>
      <c r="AS72" s="305">
        <v>0</v>
      </c>
      <c r="AT72" s="305">
        <v>0</v>
      </c>
      <c r="AU72" s="305">
        <v>0</v>
      </c>
      <c r="AV72" s="305">
        <v>0</v>
      </c>
      <c r="AW72" s="305">
        <v>0</v>
      </c>
      <c r="AX72" s="305">
        <v>0</v>
      </c>
      <c r="AY72" s="305">
        <v>0</v>
      </c>
    </row>
    <row r="73" spans="2:51">
      <c r="B73" s="295">
        <v>10209</v>
      </c>
      <c r="C73" s="295" t="s">
        <v>76</v>
      </c>
      <c r="D73" s="305">
        <v>16114</v>
      </c>
      <c r="E73" s="305">
        <v>0</v>
      </c>
      <c r="F73" s="305">
        <v>20169</v>
      </c>
      <c r="G73" s="305">
        <v>0</v>
      </c>
      <c r="H73" s="305">
        <v>20878</v>
      </c>
      <c r="I73" s="305">
        <v>0</v>
      </c>
      <c r="J73" s="305">
        <v>28028</v>
      </c>
      <c r="K73" s="305">
        <v>0</v>
      </c>
      <c r="L73" s="305">
        <v>20033</v>
      </c>
      <c r="M73" s="305">
        <v>0</v>
      </c>
      <c r="N73" s="305">
        <v>26708</v>
      </c>
      <c r="O73" s="305">
        <v>0</v>
      </c>
      <c r="P73" s="305">
        <v>26638</v>
      </c>
      <c r="Q73" s="305">
        <v>0</v>
      </c>
      <c r="R73" s="305">
        <v>33396</v>
      </c>
      <c r="S73" s="305">
        <v>0</v>
      </c>
      <c r="T73" s="305">
        <v>21796</v>
      </c>
      <c r="U73" s="305">
        <v>0</v>
      </c>
      <c r="V73" s="305">
        <v>23980</v>
      </c>
      <c r="W73" s="305">
        <v>0</v>
      </c>
      <c r="X73" s="305">
        <v>23134</v>
      </c>
      <c r="Y73" s="305">
        <v>0</v>
      </c>
      <c r="Z73" s="305">
        <v>27379</v>
      </c>
      <c r="AA73" s="305">
        <v>0</v>
      </c>
      <c r="AB73" s="305">
        <v>22246</v>
      </c>
      <c r="AC73" s="305">
        <v>0</v>
      </c>
      <c r="AD73" s="305">
        <v>22749</v>
      </c>
      <c r="AE73" s="305">
        <v>0</v>
      </c>
      <c r="AF73" s="305">
        <v>22611</v>
      </c>
      <c r="AG73" s="305">
        <v>0</v>
      </c>
      <c r="AH73" s="305">
        <v>28561</v>
      </c>
      <c r="AI73" s="305">
        <v>0</v>
      </c>
      <c r="AJ73" s="305">
        <v>20545</v>
      </c>
      <c r="AK73" s="305">
        <v>0</v>
      </c>
      <c r="AL73" s="305">
        <v>22895</v>
      </c>
      <c r="AM73" s="305">
        <v>0</v>
      </c>
      <c r="AN73" s="305">
        <v>31225</v>
      </c>
      <c r="AO73" s="305">
        <v>0</v>
      </c>
      <c r="AP73" s="305">
        <v>33792</v>
      </c>
      <c r="AQ73" s="305">
        <v>0</v>
      </c>
      <c r="AR73" s="305">
        <v>17864</v>
      </c>
      <c r="AS73" s="305">
        <v>0</v>
      </c>
      <c r="AT73" s="305">
        <v>29012</v>
      </c>
      <c r="AU73" s="305">
        <v>0</v>
      </c>
      <c r="AV73" s="305">
        <v>23453</v>
      </c>
      <c r="AW73" s="305">
        <v>0</v>
      </c>
      <c r="AX73" s="305">
        <v>27683</v>
      </c>
      <c r="AY73" s="305">
        <v>0</v>
      </c>
    </row>
    <row r="74" spans="2:51">
      <c r="B74" s="295">
        <v>10230</v>
      </c>
      <c r="C74" s="295" t="s">
        <v>77</v>
      </c>
      <c r="D74" s="305">
        <v>2365</v>
      </c>
      <c r="E74" s="305">
        <v>0</v>
      </c>
      <c r="F74" s="305">
        <v>2827</v>
      </c>
      <c r="G74" s="305">
        <v>0</v>
      </c>
      <c r="H74" s="305">
        <v>2812</v>
      </c>
      <c r="I74" s="305">
        <v>0</v>
      </c>
      <c r="J74" s="305">
        <v>5383</v>
      </c>
      <c r="K74" s="305">
        <v>0</v>
      </c>
      <c r="L74" s="305">
        <v>4640</v>
      </c>
      <c r="M74" s="305">
        <v>0</v>
      </c>
      <c r="N74" s="305">
        <v>3850</v>
      </c>
      <c r="O74" s="305">
        <v>0</v>
      </c>
      <c r="P74" s="305">
        <v>1173</v>
      </c>
      <c r="Q74" s="305">
        <v>0</v>
      </c>
      <c r="R74" s="305">
        <v>2580</v>
      </c>
      <c r="S74" s="305">
        <v>0</v>
      </c>
      <c r="T74" s="305">
        <v>2316</v>
      </c>
      <c r="U74" s="305">
        <v>0</v>
      </c>
      <c r="V74" s="305">
        <v>2918</v>
      </c>
      <c r="W74" s="305">
        <v>0</v>
      </c>
      <c r="X74" s="305">
        <v>2859</v>
      </c>
      <c r="Y74" s="305">
        <v>0</v>
      </c>
      <c r="Z74" s="305">
        <v>1859</v>
      </c>
      <c r="AA74" s="305">
        <v>0</v>
      </c>
      <c r="AB74" s="305">
        <v>2858</v>
      </c>
      <c r="AC74" s="305">
        <v>0</v>
      </c>
      <c r="AD74" s="305">
        <v>2867</v>
      </c>
      <c r="AE74" s="305">
        <v>0</v>
      </c>
      <c r="AF74" s="305">
        <v>2845</v>
      </c>
      <c r="AG74" s="305">
        <v>0</v>
      </c>
      <c r="AH74" s="305">
        <v>5434</v>
      </c>
      <c r="AI74" s="305">
        <v>0</v>
      </c>
      <c r="AJ74" s="305">
        <v>5221</v>
      </c>
      <c r="AK74" s="305">
        <v>0</v>
      </c>
      <c r="AL74" s="305">
        <v>3371</v>
      </c>
      <c r="AM74" s="305">
        <v>0</v>
      </c>
      <c r="AN74" s="305">
        <v>1704</v>
      </c>
      <c r="AO74" s="305">
        <v>0</v>
      </c>
      <c r="AP74" s="305">
        <v>2606</v>
      </c>
      <c r="AQ74" s="305">
        <v>0</v>
      </c>
      <c r="AR74" s="305">
        <v>1887</v>
      </c>
      <c r="AS74" s="305">
        <v>0</v>
      </c>
      <c r="AT74" s="305">
        <v>3422</v>
      </c>
      <c r="AU74" s="305">
        <v>0</v>
      </c>
      <c r="AV74" s="305">
        <v>2888</v>
      </c>
      <c r="AW74" s="305">
        <v>0</v>
      </c>
      <c r="AX74" s="305">
        <v>1881</v>
      </c>
      <c r="AY74" s="305">
        <v>0</v>
      </c>
    </row>
    <row r="75" spans="2:51">
      <c r="B75" s="295">
        <v>10231</v>
      </c>
      <c r="C75" s="295" t="s">
        <v>78</v>
      </c>
      <c r="D75" s="305">
        <v>1391</v>
      </c>
      <c r="E75" s="305">
        <v>0</v>
      </c>
      <c r="F75" s="305">
        <v>3425</v>
      </c>
      <c r="G75" s="305">
        <v>0</v>
      </c>
      <c r="H75" s="305">
        <v>11649</v>
      </c>
      <c r="I75" s="305">
        <v>0</v>
      </c>
      <c r="J75" s="305">
        <v>7120</v>
      </c>
      <c r="K75" s="305">
        <v>0</v>
      </c>
      <c r="L75" s="305">
        <v>0</v>
      </c>
      <c r="M75" s="305">
        <v>0</v>
      </c>
      <c r="N75" s="305">
        <v>8331</v>
      </c>
      <c r="O75" s="305">
        <v>0</v>
      </c>
      <c r="P75" s="305">
        <v>722</v>
      </c>
      <c r="Q75" s="305">
        <v>0</v>
      </c>
      <c r="R75" s="305">
        <v>12028</v>
      </c>
      <c r="S75" s="305">
        <v>0</v>
      </c>
      <c r="T75" s="305">
        <v>5771</v>
      </c>
      <c r="U75" s="305">
        <v>0</v>
      </c>
      <c r="V75" s="305">
        <v>1224</v>
      </c>
      <c r="W75" s="305">
        <v>0</v>
      </c>
      <c r="X75" s="305">
        <v>10147</v>
      </c>
      <c r="Y75" s="305">
        <v>0</v>
      </c>
      <c r="Z75" s="305">
        <v>5359</v>
      </c>
      <c r="AA75" s="305">
        <v>0</v>
      </c>
      <c r="AB75" s="305">
        <v>3455</v>
      </c>
      <c r="AC75" s="305">
        <v>0</v>
      </c>
      <c r="AD75" s="305">
        <v>5594</v>
      </c>
      <c r="AE75" s="305">
        <v>0</v>
      </c>
      <c r="AF75" s="305">
        <v>9698</v>
      </c>
      <c r="AG75" s="305">
        <v>0</v>
      </c>
      <c r="AH75" s="305">
        <v>9358</v>
      </c>
      <c r="AI75" s="305">
        <v>0</v>
      </c>
      <c r="AJ75" s="305">
        <v>481</v>
      </c>
      <c r="AK75" s="305">
        <v>0</v>
      </c>
      <c r="AL75" s="305">
        <v>5294</v>
      </c>
      <c r="AM75" s="305">
        <v>0</v>
      </c>
      <c r="AN75" s="305">
        <v>2715</v>
      </c>
      <c r="AO75" s="305">
        <v>0</v>
      </c>
      <c r="AP75" s="305">
        <v>12172</v>
      </c>
      <c r="AQ75" s="305">
        <v>0</v>
      </c>
      <c r="AR75" s="305">
        <v>4002</v>
      </c>
      <c r="AS75" s="305">
        <v>0</v>
      </c>
      <c r="AT75" s="305">
        <v>3750</v>
      </c>
      <c r="AU75" s="305">
        <v>0</v>
      </c>
      <c r="AV75" s="305">
        <v>10357</v>
      </c>
      <c r="AW75" s="305">
        <v>0</v>
      </c>
      <c r="AX75" s="305">
        <v>5475</v>
      </c>
      <c r="AY75" s="305">
        <v>0</v>
      </c>
    </row>
    <row r="76" spans="2:51">
      <c r="B76" s="295">
        <v>10234</v>
      </c>
      <c r="C76" s="295" t="s">
        <v>79</v>
      </c>
      <c r="D76" s="305">
        <v>2501</v>
      </c>
      <c r="E76" s="305">
        <v>0</v>
      </c>
      <c r="F76" s="305">
        <v>8406</v>
      </c>
      <c r="G76" s="305">
        <v>0</v>
      </c>
      <c r="H76" s="305">
        <v>11507</v>
      </c>
      <c r="I76" s="305">
        <v>0</v>
      </c>
      <c r="J76" s="305">
        <v>8896</v>
      </c>
      <c r="K76" s="305">
        <v>0</v>
      </c>
      <c r="L76" s="305">
        <v>8073</v>
      </c>
      <c r="M76" s="305">
        <v>0</v>
      </c>
      <c r="N76" s="305">
        <v>10524</v>
      </c>
      <c r="O76" s="305">
        <v>0</v>
      </c>
      <c r="P76" s="305">
        <v>5822</v>
      </c>
      <c r="Q76" s="305">
        <v>0</v>
      </c>
      <c r="R76" s="305">
        <v>6179</v>
      </c>
      <c r="S76" s="305">
        <v>0</v>
      </c>
      <c r="T76" s="305">
        <v>12043</v>
      </c>
      <c r="U76" s="305">
        <v>0</v>
      </c>
      <c r="V76" s="305">
        <v>12424</v>
      </c>
      <c r="W76" s="305">
        <v>0</v>
      </c>
      <c r="X76" s="305">
        <v>13390</v>
      </c>
      <c r="Y76" s="305">
        <v>0</v>
      </c>
      <c r="Z76" s="305">
        <v>5302</v>
      </c>
      <c r="AA76" s="305">
        <v>0</v>
      </c>
      <c r="AB76" s="305">
        <v>4529</v>
      </c>
      <c r="AC76" s="305">
        <v>0</v>
      </c>
      <c r="AD76" s="305">
        <v>8425</v>
      </c>
      <c r="AE76" s="305">
        <v>0</v>
      </c>
      <c r="AF76" s="305">
        <v>11531</v>
      </c>
      <c r="AG76" s="305">
        <v>0</v>
      </c>
      <c r="AH76" s="305">
        <v>8955</v>
      </c>
      <c r="AI76" s="305">
        <v>0</v>
      </c>
      <c r="AJ76" s="305">
        <v>9791</v>
      </c>
      <c r="AK76" s="305">
        <v>0</v>
      </c>
      <c r="AL76" s="305">
        <v>8195</v>
      </c>
      <c r="AM76" s="305">
        <v>0</v>
      </c>
      <c r="AN76" s="305">
        <v>7974</v>
      </c>
      <c r="AO76" s="305">
        <v>0</v>
      </c>
      <c r="AP76" s="305">
        <v>6225</v>
      </c>
      <c r="AQ76" s="305">
        <v>0</v>
      </c>
      <c r="AR76" s="305">
        <v>9826</v>
      </c>
      <c r="AS76" s="305">
        <v>0</v>
      </c>
      <c r="AT76" s="305">
        <v>14884</v>
      </c>
      <c r="AU76" s="305">
        <v>0</v>
      </c>
      <c r="AV76" s="305">
        <v>13412</v>
      </c>
      <c r="AW76" s="305">
        <v>0</v>
      </c>
      <c r="AX76" s="305">
        <v>5290</v>
      </c>
      <c r="AY76" s="305">
        <v>0</v>
      </c>
    </row>
    <row r="77" spans="2:51">
      <c r="B77" s="295">
        <v>10235</v>
      </c>
      <c r="C77" s="295" t="s">
        <v>80</v>
      </c>
      <c r="D77" s="305">
        <v>2587</v>
      </c>
      <c r="E77" s="305">
        <v>0</v>
      </c>
      <c r="F77" s="305">
        <v>1818</v>
      </c>
      <c r="G77" s="305">
        <v>0</v>
      </c>
      <c r="H77" s="305">
        <v>7083</v>
      </c>
      <c r="I77" s="305">
        <v>0</v>
      </c>
      <c r="J77" s="305">
        <v>6202</v>
      </c>
      <c r="K77" s="305">
        <v>0</v>
      </c>
      <c r="L77" s="305">
        <v>1485</v>
      </c>
      <c r="M77" s="305">
        <v>0</v>
      </c>
      <c r="N77" s="305">
        <v>6933</v>
      </c>
      <c r="O77" s="305">
        <v>0</v>
      </c>
      <c r="P77" s="305">
        <v>2945</v>
      </c>
      <c r="Q77" s="305">
        <v>0</v>
      </c>
      <c r="R77" s="305">
        <v>2134</v>
      </c>
      <c r="S77" s="305">
        <v>0</v>
      </c>
      <c r="T77" s="305">
        <v>2994</v>
      </c>
      <c r="U77" s="305">
        <v>0</v>
      </c>
      <c r="V77" s="305">
        <v>2187</v>
      </c>
      <c r="W77" s="305">
        <v>0</v>
      </c>
      <c r="X77" s="305">
        <v>4991</v>
      </c>
      <c r="Y77" s="305">
        <v>0</v>
      </c>
      <c r="Z77" s="305">
        <v>1718</v>
      </c>
      <c r="AA77" s="305">
        <v>0</v>
      </c>
      <c r="AB77" s="305">
        <v>3828</v>
      </c>
      <c r="AC77" s="305">
        <v>0</v>
      </c>
      <c r="AD77" s="305">
        <v>3300</v>
      </c>
      <c r="AE77" s="305">
        <v>0</v>
      </c>
      <c r="AF77" s="305">
        <v>5559</v>
      </c>
      <c r="AG77" s="305">
        <v>0</v>
      </c>
      <c r="AH77" s="305">
        <v>7744</v>
      </c>
      <c r="AI77" s="305">
        <v>0</v>
      </c>
      <c r="AJ77" s="305">
        <v>3248</v>
      </c>
      <c r="AK77" s="305">
        <v>0</v>
      </c>
      <c r="AL77" s="305">
        <v>4316</v>
      </c>
      <c r="AM77" s="305">
        <v>0</v>
      </c>
      <c r="AN77" s="305">
        <v>4288</v>
      </c>
      <c r="AO77" s="305">
        <v>0</v>
      </c>
      <c r="AP77" s="305">
        <v>2125</v>
      </c>
      <c r="AQ77" s="305">
        <v>0</v>
      </c>
      <c r="AR77" s="305">
        <v>1834</v>
      </c>
      <c r="AS77" s="305">
        <v>0</v>
      </c>
      <c r="AT77" s="305">
        <v>3350</v>
      </c>
      <c r="AU77" s="305">
        <v>0</v>
      </c>
      <c r="AV77" s="305">
        <v>4994</v>
      </c>
      <c r="AW77" s="305">
        <v>0</v>
      </c>
      <c r="AX77" s="305">
        <v>1702</v>
      </c>
      <c r="AY77" s="305">
        <v>0</v>
      </c>
    </row>
    <row r="78" spans="2:51">
      <c r="B78" s="295">
        <v>10236</v>
      </c>
      <c r="C78" s="295" t="s">
        <v>81</v>
      </c>
      <c r="D78" s="305">
        <v>0</v>
      </c>
      <c r="E78" s="305">
        <v>0</v>
      </c>
      <c r="F78" s="305">
        <v>0</v>
      </c>
      <c r="G78" s="305">
        <v>0</v>
      </c>
      <c r="H78" s="305">
        <v>0</v>
      </c>
      <c r="I78" s="305">
        <v>0</v>
      </c>
      <c r="J78" s="305">
        <v>0</v>
      </c>
      <c r="K78" s="305">
        <v>0</v>
      </c>
      <c r="L78" s="305">
        <v>0</v>
      </c>
      <c r="M78" s="305">
        <v>0</v>
      </c>
      <c r="N78" s="305">
        <v>0</v>
      </c>
      <c r="O78" s="305">
        <v>0</v>
      </c>
      <c r="P78" s="305">
        <v>0</v>
      </c>
      <c r="Q78" s="305">
        <v>0</v>
      </c>
      <c r="R78" s="305">
        <v>0</v>
      </c>
      <c r="S78" s="305">
        <v>0</v>
      </c>
      <c r="T78" s="305">
        <v>0</v>
      </c>
      <c r="U78" s="305">
        <v>0</v>
      </c>
      <c r="V78" s="305">
        <v>0</v>
      </c>
      <c r="W78" s="305">
        <v>0</v>
      </c>
      <c r="X78" s="305">
        <v>0</v>
      </c>
      <c r="Y78" s="305">
        <v>0</v>
      </c>
      <c r="Z78" s="305">
        <v>0</v>
      </c>
      <c r="AA78" s="305">
        <v>0</v>
      </c>
      <c r="AB78" s="305">
        <v>0</v>
      </c>
      <c r="AC78" s="305">
        <v>0</v>
      </c>
      <c r="AD78" s="305">
        <v>0</v>
      </c>
      <c r="AE78" s="305">
        <v>0</v>
      </c>
      <c r="AF78" s="305">
        <v>0</v>
      </c>
      <c r="AG78" s="305">
        <v>0</v>
      </c>
      <c r="AH78" s="305">
        <v>0</v>
      </c>
      <c r="AI78" s="305">
        <v>0</v>
      </c>
      <c r="AJ78" s="305">
        <v>0</v>
      </c>
      <c r="AK78" s="305">
        <v>0</v>
      </c>
      <c r="AL78" s="305">
        <v>0</v>
      </c>
      <c r="AM78" s="305">
        <v>0</v>
      </c>
      <c r="AN78" s="305">
        <v>0</v>
      </c>
      <c r="AO78" s="305">
        <v>0</v>
      </c>
      <c r="AP78" s="305">
        <v>0</v>
      </c>
      <c r="AQ78" s="305">
        <v>0</v>
      </c>
      <c r="AR78" s="305">
        <v>0</v>
      </c>
      <c r="AS78" s="305">
        <v>0</v>
      </c>
      <c r="AT78" s="305">
        <v>0</v>
      </c>
      <c r="AU78" s="305">
        <v>0</v>
      </c>
      <c r="AV78" s="305">
        <v>0</v>
      </c>
      <c r="AW78" s="305">
        <v>0</v>
      </c>
      <c r="AX78" s="305">
        <v>0</v>
      </c>
      <c r="AY78" s="305">
        <v>0</v>
      </c>
    </row>
    <row r="79" spans="2:51">
      <c r="B79" s="295">
        <v>10237</v>
      </c>
      <c r="C79" s="295" t="s">
        <v>82</v>
      </c>
      <c r="D79" s="305">
        <v>0</v>
      </c>
      <c r="E79" s="305">
        <v>0</v>
      </c>
      <c r="F79" s="305">
        <v>0</v>
      </c>
      <c r="G79" s="305">
        <v>0</v>
      </c>
      <c r="H79" s="305">
        <v>0</v>
      </c>
      <c r="I79" s="305">
        <v>0</v>
      </c>
      <c r="J79" s="305">
        <v>0</v>
      </c>
      <c r="K79" s="305">
        <v>0</v>
      </c>
      <c r="L79" s="305">
        <v>0</v>
      </c>
      <c r="M79" s="305">
        <v>0</v>
      </c>
      <c r="N79" s="305">
        <v>0</v>
      </c>
      <c r="O79" s="305">
        <v>0</v>
      </c>
      <c r="P79" s="305">
        <v>0</v>
      </c>
      <c r="Q79" s="305">
        <v>0</v>
      </c>
      <c r="R79" s="305">
        <v>0</v>
      </c>
      <c r="S79" s="305">
        <v>0</v>
      </c>
      <c r="T79" s="305">
        <v>0</v>
      </c>
      <c r="U79" s="305">
        <v>0</v>
      </c>
      <c r="V79" s="305">
        <v>0</v>
      </c>
      <c r="W79" s="305">
        <v>0</v>
      </c>
      <c r="X79" s="305">
        <v>0</v>
      </c>
      <c r="Y79" s="305">
        <v>0</v>
      </c>
      <c r="Z79" s="305">
        <v>0</v>
      </c>
      <c r="AA79" s="305">
        <v>0</v>
      </c>
      <c r="AB79" s="305">
        <v>0</v>
      </c>
      <c r="AC79" s="305">
        <v>0</v>
      </c>
      <c r="AD79" s="305">
        <v>0</v>
      </c>
      <c r="AE79" s="305">
        <v>0</v>
      </c>
      <c r="AF79" s="305">
        <v>0</v>
      </c>
      <c r="AG79" s="305">
        <v>0</v>
      </c>
      <c r="AH79" s="305">
        <v>0</v>
      </c>
      <c r="AI79" s="305">
        <v>0</v>
      </c>
      <c r="AJ79" s="305">
        <v>0</v>
      </c>
      <c r="AK79" s="305">
        <v>0</v>
      </c>
      <c r="AL79" s="305">
        <v>0</v>
      </c>
      <c r="AM79" s="305">
        <v>0</v>
      </c>
      <c r="AN79" s="305">
        <v>0</v>
      </c>
      <c r="AO79" s="305">
        <v>0</v>
      </c>
      <c r="AP79" s="305">
        <v>0</v>
      </c>
      <c r="AQ79" s="305">
        <v>0</v>
      </c>
      <c r="AR79" s="305">
        <v>0</v>
      </c>
      <c r="AS79" s="305">
        <v>0</v>
      </c>
      <c r="AT79" s="305">
        <v>0</v>
      </c>
      <c r="AU79" s="305">
        <v>0</v>
      </c>
      <c r="AV79" s="305">
        <v>0</v>
      </c>
      <c r="AW79" s="305">
        <v>0</v>
      </c>
      <c r="AX79" s="305">
        <v>0</v>
      </c>
      <c r="AY79" s="305">
        <v>0</v>
      </c>
    </row>
    <row r="80" spans="2:51">
      <c r="B80" s="295">
        <v>10239</v>
      </c>
      <c r="C80" s="295" t="s">
        <v>83</v>
      </c>
      <c r="D80" s="305">
        <v>0</v>
      </c>
      <c r="E80" s="305">
        <v>0</v>
      </c>
      <c r="F80" s="305">
        <v>0</v>
      </c>
      <c r="G80" s="305">
        <v>0</v>
      </c>
      <c r="H80" s="305">
        <v>0</v>
      </c>
      <c r="I80" s="305">
        <v>0</v>
      </c>
      <c r="J80" s="305">
        <v>0</v>
      </c>
      <c r="K80" s="305">
        <v>0</v>
      </c>
      <c r="L80" s="305">
        <v>0</v>
      </c>
      <c r="M80" s="305">
        <v>0</v>
      </c>
      <c r="N80" s="305">
        <v>0</v>
      </c>
      <c r="O80" s="305">
        <v>0</v>
      </c>
      <c r="P80" s="305">
        <v>0</v>
      </c>
      <c r="Q80" s="305">
        <v>0</v>
      </c>
      <c r="R80" s="305">
        <v>0</v>
      </c>
      <c r="S80" s="305">
        <v>0</v>
      </c>
      <c r="T80" s="305">
        <v>0</v>
      </c>
      <c r="U80" s="305">
        <v>0</v>
      </c>
      <c r="V80" s="305">
        <v>0</v>
      </c>
      <c r="W80" s="305">
        <v>0</v>
      </c>
      <c r="X80" s="305">
        <v>0</v>
      </c>
      <c r="Y80" s="305">
        <v>0</v>
      </c>
      <c r="Z80" s="305">
        <v>0</v>
      </c>
      <c r="AA80" s="305">
        <v>0</v>
      </c>
      <c r="AB80" s="305">
        <v>0</v>
      </c>
      <c r="AC80" s="305">
        <v>0</v>
      </c>
      <c r="AD80" s="305">
        <v>0</v>
      </c>
      <c r="AE80" s="305">
        <v>0</v>
      </c>
      <c r="AF80" s="305">
        <v>0</v>
      </c>
      <c r="AG80" s="305">
        <v>0</v>
      </c>
      <c r="AH80" s="305">
        <v>0</v>
      </c>
      <c r="AI80" s="305">
        <v>0</v>
      </c>
      <c r="AJ80" s="305">
        <v>0</v>
      </c>
      <c r="AK80" s="305">
        <v>0</v>
      </c>
      <c r="AL80" s="305">
        <v>0</v>
      </c>
      <c r="AM80" s="305">
        <v>0</v>
      </c>
      <c r="AN80" s="305">
        <v>0</v>
      </c>
      <c r="AO80" s="305">
        <v>0</v>
      </c>
      <c r="AP80" s="305">
        <v>0</v>
      </c>
      <c r="AQ80" s="305">
        <v>0</v>
      </c>
      <c r="AR80" s="305">
        <v>0</v>
      </c>
      <c r="AS80" s="305">
        <v>0</v>
      </c>
      <c r="AT80" s="305">
        <v>0</v>
      </c>
      <c r="AU80" s="305">
        <v>0</v>
      </c>
      <c r="AV80" s="305">
        <v>0</v>
      </c>
      <c r="AW80" s="305">
        <v>0</v>
      </c>
      <c r="AX80" s="305">
        <v>0</v>
      </c>
      <c r="AY80" s="305">
        <v>0</v>
      </c>
    </row>
    <row r="81" spans="2:51">
      <c r="B81" s="295">
        <v>10242</v>
      </c>
      <c r="C81" s="295" t="s">
        <v>84</v>
      </c>
      <c r="D81" s="305">
        <v>1850</v>
      </c>
      <c r="E81" s="305">
        <v>0</v>
      </c>
      <c r="F81" s="305">
        <v>869</v>
      </c>
      <c r="G81" s="305">
        <v>0</v>
      </c>
      <c r="H81" s="305">
        <v>1048</v>
      </c>
      <c r="I81" s="305">
        <v>0</v>
      </c>
      <c r="J81" s="305">
        <v>1533</v>
      </c>
      <c r="K81" s="305">
        <v>0</v>
      </c>
      <c r="L81" s="305">
        <v>823</v>
      </c>
      <c r="M81" s="305">
        <v>0</v>
      </c>
      <c r="N81" s="305">
        <v>1097</v>
      </c>
      <c r="O81" s="305">
        <v>0</v>
      </c>
      <c r="P81" s="305">
        <v>1451</v>
      </c>
      <c r="Q81" s="305">
        <v>0</v>
      </c>
      <c r="R81" s="305">
        <v>359</v>
      </c>
      <c r="S81" s="305">
        <v>0</v>
      </c>
      <c r="T81" s="305">
        <v>4261</v>
      </c>
      <c r="U81" s="305">
        <v>0</v>
      </c>
      <c r="V81" s="305">
        <v>2804</v>
      </c>
      <c r="W81" s="305">
        <v>0</v>
      </c>
      <c r="X81" s="305">
        <v>4284</v>
      </c>
      <c r="Y81" s="305">
        <v>0</v>
      </c>
      <c r="Z81" s="305">
        <v>2071</v>
      </c>
      <c r="AA81" s="305">
        <v>0</v>
      </c>
      <c r="AB81" s="305">
        <v>2069</v>
      </c>
      <c r="AC81" s="305">
        <v>0</v>
      </c>
      <c r="AD81" s="305">
        <v>901</v>
      </c>
      <c r="AE81" s="305">
        <v>0</v>
      </c>
      <c r="AF81" s="305">
        <v>1080</v>
      </c>
      <c r="AG81" s="305">
        <v>0</v>
      </c>
      <c r="AH81" s="305">
        <v>1566</v>
      </c>
      <c r="AI81" s="305">
        <v>0</v>
      </c>
      <c r="AJ81" s="305">
        <v>1038</v>
      </c>
      <c r="AK81" s="305">
        <v>0</v>
      </c>
      <c r="AL81" s="305">
        <v>947</v>
      </c>
      <c r="AM81" s="305">
        <v>0</v>
      </c>
      <c r="AN81" s="305">
        <v>1661</v>
      </c>
      <c r="AO81" s="305">
        <v>0</v>
      </c>
      <c r="AP81" s="305">
        <v>460</v>
      </c>
      <c r="AQ81" s="305">
        <v>0</v>
      </c>
      <c r="AR81" s="305">
        <v>3676</v>
      </c>
      <c r="AS81" s="305">
        <v>0</v>
      </c>
      <c r="AT81" s="305">
        <v>3715</v>
      </c>
      <c r="AU81" s="305">
        <v>0</v>
      </c>
      <c r="AV81" s="305">
        <v>4385</v>
      </c>
      <c r="AW81" s="305">
        <v>0</v>
      </c>
      <c r="AX81" s="305">
        <v>2162</v>
      </c>
      <c r="AY81" s="305">
        <v>0</v>
      </c>
    </row>
    <row r="82" spans="2:51">
      <c r="B82" s="295">
        <v>10244</v>
      </c>
      <c r="C82" s="295" t="s">
        <v>85</v>
      </c>
      <c r="D82" s="305">
        <v>12606</v>
      </c>
      <c r="E82" s="305">
        <v>0</v>
      </c>
      <c r="F82" s="305">
        <v>11737</v>
      </c>
      <c r="G82" s="305">
        <v>0</v>
      </c>
      <c r="H82" s="305">
        <v>16662</v>
      </c>
      <c r="I82" s="305">
        <v>0</v>
      </c>
      <c r="J82" s="305">
        <v>40480</v>
      </c>
      <c r="K82" s="305">
        <v>0</v>
      </c>
      <c r="L82" s="305">
        <v>6129</v>
      </c>
      <c r="M82" s="305">
        <v>0</v>
      </c>
      <c r="N82" s="305">
        <v>24280</v>
      </c>
      <c r="O82" s="305">
        <v>0</v>
      </c>
      <c r="P82" s="305">
        <v>15324</v>
      </c>
      <c r="Q82" s="305">
        <v>0</v>
      </c>
      <c r="R82" s="305">
        <v>16848</v>
      </c>
      <c r="S82" s="305">
        <v>0</v>
      </c>
      <c r="T82" s="305">
        <v>7502</v>
      </c>
      <c r="U82" s="305">
        <v>0</v>
      </c>
      <c r="V82" s="305">
        <v>9641</v>
      </c>
      <c r="W82" s="305">
        <v>0</v>
      </c>
      <c r="X82" s="305">
        <v>7420</v>
      </c>
      <c r="Y82" s="305">
        <v>0</v>
      </c>
      <c r="Z82" s="305">
        <v>5933</v>
      </c>
      <c r="AA82" s="305">
        <v>0</v>
      </c>
      <c r="AB82" s="305">
        <v>17006</v>
      </c>
      <c r="AC82" s="305">
        <v>0</v>
      </c>
      <c r="AD82" s="305">
        <v>12755</v>
      </c>
      <c r="AE82" s="305">
        <v>0</v>
      </c>
      <c r="AF82" s="305">
        <v>17667</v>
      </c>
      <c r="AG82" s="305">
        <v>0</v>
      </c>
      <c r="AH82" s="305">
        <v>41581</v>
      </c>
      <c r="AI82" s="305">
        <v>0</v>
      </c>
      <c r="AJ82" s="305">
        <v>9212</v>
      </c>
      <c r="AK82" s="305">
        <v>0</v>
      </c>
      <c r="AL82" s="305">
        <v>20850</v>
      </c>
      <c r="AM82" s="305">
        <v>0</v>
      </c>
      <c r="AN82" s="305">
        <v>20062</v>
      </c>
      <c r="AO82" s="305">
        <v>0</v>
      </c>
      <c r="AP82" s="305">
        <v>17197</v>
      </c>
      <c r="AQ82" s="305">
        <v>0</v>
      </c>
      <c r="AR82" s="305">
        <v>4686</v>
      </c>
      <c r="AS82" s="305">
        <v>0</v>
      </c>
      <c r="AT82" s="305">
        <v>12937</v>
      </c>
      <c r="AU82" s="305">
        <v>0</v>
      </c>
      <c r="AV82" s="305">
        <v>7741</v>
      </c>
      <c r="AW82" s="305">
        <v>0</v>
      </c>
      <c r="AX82" s="305">
        <v>6214</v>
      </c>
      <c r="AY82" s="305">
        <v>0</v>
      </c>
    </row>
    <row r="83" spans="2:51">
      <c r="B83" s="295">
        <v>10246</v>
      </c>
      <c r="C83" s="295" t="s">
        <v>86</v>
      </c>
      <c r="D83" s="305">
        <v>0</v>
      </c>
      <c r="E83" s="305">
        <v>0</v>
      </c>
      <c r="F83" s="305">
        <v>268</v>
      </c>
      <c r="G83" s="305">
        <v>0</v>
      </c>
      <c r="H83" s="305">
        <v>2764</v>
      </c>
      <c r="I83" s="305">
        <v>0</v>
      </c>
      <c r="J83" s="305">
        <v>1785</v>
      </c>
      <c r="K83" s="305">
        <v>0</v>
      </c>
      <c r="L83" s="305">
        <v>1153</v>
      </c>
      <c r="M83" s="305">
        <v>0</v>
      </c>
      <c r="N83" s="305">
        <v>2849</v>
      </c>
      <c r="O83" s="305">
        <v>0</v>
      </c>
      <c r="P83" s="305">
        <v>98</v>
      </c>
      <c r="Q83" s="305">
        <v>0</v>
      </c>
      <c r="R83" s="305">
        <v>1823</v>
      </c>
      <c r="S83" s="305">
        <v>0</v>
      </c>
      <c r="T83" s="305">
        <v>834</v>
      </c>
      <c r="U83" s="305">
        <v>0</v>
      </c>
      <c r="V83" s="305">
        <v>0</v>
      </c>
      <c r="W83" s="305">
        <v>0</v>
      </c>
      <c r="X83" s="305">
        <v>827</v>
      </c>
      <c r="Y83" s="305">
        <v>0</v>
      </c>
      <c r="Z83" s="305">
        <v>0</v>
      </c>
      <c r="AA83" s="305">
        <v>0</v>
      </c>
      <c r="AB83" s="305">
        <v>0</v>
      </c>
      <c r="AC83" s="305">
        <v>0</v>
      </c>
      <c r="AD83" s="305">
        <v>738</v>
      </c>
      <c r="AE83" s="305">
        <v>0</v>
      </c>
      <c r="AF83" s="305">
        <v>2144</v>
      </c>
      <c r="AG83" s="305">
        <v>0</v>
      </c>
      <c r="AH83" s="305">
        <v>2289</v>
      </c>
      <c r="AI83" s="305">
        <v>0</v>
      </c>
      <c r="AJ83" s="305">
        <v>1612</v>
      </c>
      <c r="AK83" s="305">
        <v>0</v>
      </c>
      <c r="AL83" s="305">
        <v>1998</v>
      </c>
      <c r="AM83" s="305">
        <v>0</v>
      </c>
      <c r="AN83" s="305">
        <v>437</v>
      </c>
      <c r="AO83" s="305">
        <v>0</v>
      </c>
      <c r="AP83" s="305">
        <v>1786</v>
      </c>
      <c r="AQ83" s="305">
        <v>0</v>
      </c>
      <c r="AR83" s="305">
        <v>511</v>
      </c>
      <c r="AS83" s="305">
        <v>0</v>
      </c>
      <c r="AT83" s="305">
        <v>222</v>
      </c>
      <c r="AU83" s="305">
        <v>0</v>
      </c>
      <c r="AV83" s="305">
        <v>789</v>
      </c>
      <c r="AW83" s="305">
        <v>0</v>
      </c>
      <c r="AX83" s="305">
        <v>0</v>
      </c>
      <c r="AY83" s="305">
        <v>0</v>
      </c>
    </row>
    <row r="84" spans="2:51">
      <c r="B84" s="295">
        <v>10247</v>
      </c>
      <c r="C84" s="295" t="s">
        <v>87</v>
      </c>
      <c r="D84" s="305">
        <v>6484</v>
      </c>
      <c r="E84" s="305">
        <v>0</v>
      </c>
      <c r="F84" s="305">
        <v>5167</v>
      </c>
      <c r="G84" s="305">
        <v>0</v>
      </c>
      <c r="H84" s="305">
        <v>27059</v>
      </c>
      <c r="I84" s="305">
        <v>0</v>
      </c>
      <c r="J84" s="305">
        <v>23378</v>
      </c>
      <c r="K84" s="305">
        <v>0</v>
      </c>
      <c r="L84" s="305">
        <v>11710</v>
      </c>
      <c r="M84" s="305">
        <v>0</v>
      </c>
      <c r="N84" s="305">
        <v>27770</v>
      </c>
      <c r="O84" s="305">
        <v>0</v>
      </c>
      <c r="P84" s="305">
        <v>11985</v>
      </c>
      <c r="Q84" s="305">
        <v>0</v>
      </c>
      <c r="R84" s="305">
        <v>12352</v>
      </c>
      <c r="S84" s="305">
        <v>0</v>
      </c>
      <c r="T84" s="305">
        <v>7168</v>
      </c>
      <c r="U84" s="305">
        <v>0</v>
      </c>
      <c r="V84" s="305">
        <v>8757</v>
      </c>
      <c r="W84" s="305">
        <v>0</v>
      </c>
      <c r="X84" s="305">
        <v>15365</v>
      </c>
      <c r="Y84" s="305">
        <v>0</v>
      </c>
      <c r="Z84" s="305">
        <v>0</v>
      </c>
      <c r="AA84" s="305">
        <v>0</v>
      </c>
      <c r="AB84" s="305">
        <v>9767</v>
      </c>
      <c r="AC84" s="305">
        <v>0</v>
      </c>
      <c r="AD84" s="305">
        <v>5573</v>
      </c>
      <c r="AE84" s="305">
        <v>0</v>
      </c>
      <c r="AF84" s="305">
        <v>27501</v>
      </c>
      <c r="AG84" s="305">
        <v>0</v>
      </c>
      <c r="AH84" s="305">
        <v>23708</v>
      </c>
      <c r="AI84" s="305">
        <v>0</v>
      </c>
      <c r="AJ84" s="305">
        <v>14781</v>
      </c>
      <c r="AK84" s="305">
        <v>0</v>
      </c>
      <c r="AL84" s="305">
        <v>24755</v>
      </c>
      <c r="AM84" s="305">
        <v>0</v>
      </c>
      <c r="AN84" s="305">
        <v>15693</v>
      </c>
      <c r="AO84" s="305">
        <v>0</v>
      </c>
      <c r="AP84" s="305">
        <v>12892</v>
      </c>
      <c r="AQ84" s="305">
        <v>0</v>
      </c>
      <c r="AR84" s="305">
        <v>4796</v>
      </c>
      <c r="AS84" s="305">
        <v>0</v>
      </c>
      <c r="AT84" s="305">
        <v>11561</v>
      </c>
      <c r="AU84" s="305">
        <v>0</v>
      </c>
      <c r="AV84" s="305">
        <v>15808</v>
      </c>
      <c r="AW84" s="305">
        <v>0</v>
      </c>
      <c r="AX84" s="305">
        <v>0</v>
      </c>
      <c r="AY84" s="305">
        <v>0</v>
      </c>
    </row>
    <row r="85" spans="2:51">
      <c r="B85" s="295">
        <v>10256</v>
      </c>
      <c r="C85" s="295" t="s">
        <v>88</v>
      </c>
      <c r="D85" s="305">
        <v>8393</v>
      </c>
      <c r="E85" s="305">
        <v>0</v>
      </c>
      <c r="F85" s="305">
        <v>6745</v>
      </c>
      <c r="G85" s="305">
        <v>0</v>
      </c>
      <c r="H85" s="305">
        <v>17614</v>
      </c>
      <c r="I85" s="305">
        <v>0</v>
      </c>
      <c r="J85" s="305">
        <v>17168</v>
      </c>
      <c r="K85" s="305">
        <v>0</v>
      </c>
      <c r="L85" s="305">
        <v>4735</v>
      </c>
      <c r="M85" s="305">
        <v>0</v>
      </c>
      <c r="N85" s="305">
        <v>9112</v>
      </c>
      <c r="O85" s="305">
        <v>0</v>
      </c>
      <c r="P85" s="305">
        <v>7119</v>
      </c>
      <c r="Q85" s="305">
        <v>0</v>
      </c>
      <c r="R85" s="305">
        <v>3141</v>
      </c>
      <c r="S85" s="305">
        <v>0</v>
      </c>
      <c r="T85" s="305">
        <v>6268</v>
      </c>
      <c r="U85" s="305">
        <v>0</v>
      </c>
      <c r="V85" s="305">
        <v>5215</v>
      </c>
      <c r="W85" s="305">
        <v>0</v>
      </c>
      <c r="X85" s="305">
        <v>6917</v>
      </c>
      <c r="Y85" s="305">
        <v>0</v>
      </c>
      <c r="Z85" s="305">
        <v>1167</v>
      </c>
      <c r="AA85" s="305">
        <v>0</v>
      </c>
      <c r="AB85" s="305">
        <v>10044</v>
      </c>
      <c r="AC85" s="305">
        <v>0</v>
      </c>
      <c r="AD85" s="305">
        <v>6742</v>
      </c>
      <c r="AE85" s="305">
        <v>0</v>
      </c>
      <c r="AF85" s="305">
        <v>17614</v>
      </c>
      <c r="AG85" s="305">
        <v>0</v>
      </c>
      <c r="AH85" s="305">
        <v>17168</v>
      </c>
      <c r="AI85" s="305">
        <v>0</v>
      </c>
      <c r="AJ85" s="305">
        <v>6791</v>
      </c>
      <c r="AK85" s="305">
        <v>0</v>
      </c>
      <c r="AL85" s="305">
        <v>7197</v>
      </c>
      <c r="AM85" s="305">
        <v>0</v>
      </c>
      <c r="AN85" s="305">
        <v>8996</v>
      </c>
      <c r="AO85" s="305">
        <v>0</v>
      </c>
      <c r="AP85" s="305">
        <v>3141</v>
      </c>
      <c r="AQ85" s="305">
        <v>0</v>
      </c>
      <c r="AR85" s="305">
        <v>4280</v>
      </c>
      <c r="AS85" s="305">
        <v>0</v>
      </c>
      <c r="AT85" s="305">
        <v>7345</v>
      </c>
      <c r="AU85" s="305">
        <v>0</v>
      </c>
      <c r="AV85" s="305">
        <v>6917</v>
      </c>
      <c r="AW85" s="305">
        <v>0</v>
      </c>
      <c r="AX85" s="305">
        <v>1167</v>
      </c>
      <c r="AY85" s="305">
        <v>0</v>
      </c>
    </row>
    <row r="86" spans="2:51">
      <c r="B86" s="295">
        <v>10258</v>
      </c>
      <c r="C86" s="295" t="s">
        <v>89</v>
      </c>
      <c r="D86" s="305">
        <v>4954</v>
      </c>
      <c r="E86" s="305">
        <v>0</v>
      </c>
      <c r="F86" s="305">
        <v>7048</v>
      </c>
      <c r="G86" s="305">
        <v>0</v>
      </c>
      <c r="H86" s="305">
        <v>8550</v>
      </c>
      <c r="I86" s="305">
        <v>0</v>
      </c>
      <c r="J86" s="305">
        <v>13745</v>
      </c>
      <c r="K86" s="305">
        <v>0</v>
      </c>
      <c r="L86" s="305">
        <v>4684</v>
      </c>
      <c r="M86" s="305">
        <v>0</v>
      </c>
      <c r="N86" s="305">
        <v>10478</v>
      </c>
      <c r="O86" s="305">
        <v>0</v>
      </c>
      <c r="P86" s="305">
        <v>4896</v>
      </c>
      <c r="Q86" s="305">
        <v>0</v>
      </c>
      <c r="R86" s="305">
        <v>4858</v>
      </c>
      <c r="S86" s="305">
        <v>0</v>
      </c>
      <c r="T86" s="305">
        <v>8829</v>
      </c>
      <c r="U86" s="305">
        <v>0</v>
      </c>
      <c r="V86" s="305">
        <v>6465</v>
      </c>
      <c r="W86" s="305">
        <v>0</v>
      </c>
      <c r="X86" s="305">
        <v>6279</v>
      </c>
      <c r="Y86" s="305">
        <v>0</v>
      </c>
      <c r="Z86" s="305">
        <v>6824</v>
      </c>
      <c r="AA86" s="305">
        <v>0</v>
      </c>
      <c r="AB86" s="305">
        <v>6626</v>
      </c>
      <c r="AC86" s="305">
        <v>0</v>
      </c>
      <c r="AD86" s="305">
        <v>7120</v>
      </c>
      <c r="AE86" s="305">
        <v>0</v>
      </c>
      <c r="AF86" s="305">
        <v>8618</v>
      </c>
      <c r="AG86" s="305">
        <v>0</v>
      </c>
      <c r="AH86" s="305">
        <v>13835</v>
      </c>
      <c r="AI86" s="305">
        <v>0</v>
      </c>
      <c r="AJ86" s="305">
        <v>7849</v>
      </c>
      <c r="AK86" s="305">
        <v>0</v>
      </c>
      <c r="AL86" s="305">
        <v>8626</v>
      </c>
      <c r="AM86" s="305">
        <v>0</v>
      </c>
      <c r="AN86" s="305">
        <v>6629</v>
      </c>
      <c r="AO86" s="305">
        <v>0</v>
      </c>
      <c r="AP86" s="305">
        <v>4917</v>
      </c>
      <c r="AQ86" s="305">
        <v>0</v>
      </c>
      <c r="AR86" s="305">
        <v>7251</v>
      </c>
      <c r="AS86" s="305">
        <v>0</v>
      </c>
      <c r="AT86" s="305">
        <v>8591</v>
      </c>
      <c r="AU86" s="305">
        <v>0</v>
      </c>
      <c r="AV86" s="305">
        <v>6311</v>
      </c>
      <c r="AW86" s="305">
        <v>0</v>
      </c>
      <c r="AX86" s="305">
        <v>6866</v>
      </c>
      <c r="AY86" s="305">
        <v>0</v>
      </c>
    </row>
    <row r="87" spans="2:51">
      <c r="B87" s="295">
        <v>10259</v>
      </c>
      <c r="C87" s="295" t="s">
        <v>90</v>
      </c>
      <c r="D87" s="305">
        <v>3872</v>
      </c>
      <c r="E87" s="305">
        <v>0</v>
      </c>
      <c r="F87" s="305">
        <v>6175</v>
      </c>
      <c r="G87" s="305">
        <v>0</v>
      </c>
      <c r="H87" s="305">
        <v>5907</v>
      </c>
      <c r="I87" s="305">
        <v>0</v>
      </c>
      <c r="J87" s="305">
        <v>9004</v>
      </c>
      <c r="K87" s="305">
        <v>0</v>
      </c>
      <c r="L87" s="305">
        <v>3654</v>
      </c>
      <c r="M87" s="305">
        <v>0</v>
      </c>
      <c r="N87" s="305">
        <v>6679</v>
      </c>
      <c r="O87" s="305">
        <v>0</v>
      </c>
      <c r="P87" s="305">
        <v>4088</v>
      </c>
      <c r="Q87" s="305">
        <v>0</v>
      </c>
      <c r="R87" s="305">
        <v>6036</v>
      </c>
      <c r="S87" s="305">
        <v>0</v>
      </c>
      <c r="T87" s="305">
        <v>6630</v>
      </c>
      <c r="U87" s="305">
        <v>0</v>
      </c>
      <c r="V87" s="305">
        <v>5471</v>
      </c>
      <c r="W87" s="305">
        <v>0</v>
      </c>
      <c r="X87" s="305">
        <v>5858</v>
      </c>
      <c r="Y87" s="305">
        <v>0</v>
      </c>
      <c r="Z87" s="305">
        <v>6805</v>
      </c>
      <c r="AA87" s="305">
        <v>0</v>
      </c>
      <c r="AB87" s="305">
        <v>4904</v>
      </c>
      <c r="AC87" s="305">
        <v>0</v>
      </c>
      <c r="AD87" s="305">
        <v>6236</v>
      </c>
      <c r="AE87" s="305">
        <v>0</v>
      </c>
      <c r="AF87" s="305">
        <v>5968</v>
      </c>
      <c r="AG87" s="305">
        <v>0</v>
      </c>
      <c r="AH87" s="305">
        <v>9079</v>
      </c>
      <c r="AI87" s="305">
        <v>0</v>
      </c>
      <c r="AJ87" s="305">
        <v>5342</v>
      </c>
      <c r="AK87" s="305">
        <v>0</v>
      </c>
      <c r="AL87" s="305">
        <v>5627</v>
      </c>
      <c r="AM87" s="305">
        <v>0</v>
      </c>
      <c r="AN87" s="305">
        <v>5154</v>
      </c>
      <c r="AO87" s="305">
        <v>0</v>
      </c>
      <c r="AP87" s="305">
        <v>6085</v>
      </c>
      <c r="AQ87" s="305">
        <v>0</v>
      </c>
      <c r="AR87" s="305">
        <v>5595</v>
      </c>
      <c r="AS87" s="305">
        <v>0</v>
      </c>
      <c r="AT87" s="305">
        <v>6737</v>
      </c>
      <c r="AU87" s="305">
        <v>0</v>
      </c>
      <c r="AV87" s="305">
        <v>5906</v>
      </c>
      <c r="AW87" s="305">
        <v>0</v>
      </c>
      <c r="AX87" s="305">
        <v>6850</v>
      </c>
      <c r="AY87" s="305">
        <v>0</v>
      </c>
    </row>
    <row r="88" spans="2:51">
      <c r="B88" s="295">
        <v>10260</v>
      </c>
      <c r="C88" s="295" t="s">
        <v>91</v>
      </c>
      <c r="D88" s="305">
        <v>2660</v>
      </c>
      <c r="E88" s="305">
        <v>0</v>
      </c>
      <c r="F88" s="305">
        <v>2452</v>
      </c>
      <c r="G88" s="305">
        <v>0</v>
      </c>
      <c r="H88" s="305">
        <v>4834</v>
      </c>
      <c r="I88" s="305">
        <v>0</v>
      </c>
      <c r="J88" s="305">
        <v>5150</v>
      </c>
      <c r="K88" s="305">
        <v>0</v>
      </c>
      <c r="L88" s="305">
        <v>1836</v>
      </c>
      <c r="M88" s="305">
        <v>0</v>
      </c>
      <c r="N88" s="305">
        <v>3911</v>
      </c>
      <c r="O88" s="305">
        <v>0</v>
      </c>
      <c r="P88" s="305">
        <v>2412</v>
      </c>
      <c r="Q88" s="305">
        <v>0</v>
      </c>
      <c r="R88" s="305">
        <v>2375</v>
      </c>
      <c r="S88" s="305">
        <v>0</v>
      </c>
      <c r="T88" s="305">
        <v>3367</v>
      </c>
      <c r="U88" s="305">
        <v>0</v>
      </c>
      <c r="V88" s="305">
        <v>3696</v>
      </c>
      <c r="W88" s="305">
        <v>0</v>
      </c>
      <c r="X88" s="305">
        <v>4460</v>
      </c>
      <c r="Y88" s="305">
        <v>0</v>
      </c>
      <c r="Z88" s="305">
        <v>3251</v>
      </c>
      <c r="AA88" s="305">
        <v>0</v>
      </c>
      <c r="AB88" s="305">
        <v>3689</v>
      </c>
      <c r="AC88" s="305">
        <v>0</v>
      </c>
      <c r="AD88" s="305">
        <v>2487</v>
      </c>
      <c r="AE88" s="305">
        <v>0</v>
      </c>
      <c r="AF88" s="305">
        <v>4865</v>
      </c>
      <c r="AG88" s="305">
        <v>0</v>
      </c>
      <c r="AH88" s="305">
        <v>5187</v>
      </c>
      <c r="AI88" s="305">
        <v>0</v>
      </c>
      <c r="AJ88" s="305">
        <v>3259</v>
      </c>
      <c r="AK88" s="305">
        <v>0</v>
      </c>
      <c r="AL88" s="305">
        <v>2825</v>
      </c>
      <c r="AM88" s="305">
        <v>0</v>
      </c>
      <c r="AN88" s="305">
        <v>3480</v>
      </c>
      <c r="AO88" s="305">
        <v>0</v>
      </c>
      <c r="AP88" s="305">
        <v>2402</v>
      </c>
      <c r="AQ88" s="305">
        <v>0</v>
      </c>
      <c r="AR88" s="305">
        <v>2321</v>
      </c>
      <c r="AS88" s="305">
        <v>0</v>
      </c>
      <c r="AT88" s="305">
        <v>4987</v>
      </c>
      <c r="AU88" s="305">
        <v>0</v>
      </c>
      <c r="AV88" s="305">
        <v>4505</v>
      </c>
      <c r="AW88" s="305">
        <v>0</v>
      </c>
      <c r="AX88" s="305">
        <v>3284</v>
      </c>
      <c r="AY88" s="305">
        <v>0</v>
      </c>
    </row>
    <row r="89" spans="2:51">
      <c r="B89" s="295">
        <v>10273</v>
      </c>
      <c r="C89" s="295" t="s">
        <v>92</v>
      </c>
      <c r="D89" s="305">
        <v>1316</v>
      </c>
      <c r="E89" s="305">
        <v>0</v>
      </c>
      <c r="F89" s="305">
        <v>1091</v>
      </c>
      <c r="G89" s="305">
        <v>0</v>
      </c>
      <c r="H89" s="305">
        <v>2004</v>
      </c>
      <c r="I89" s="305">
        <v>0</v>
      </c>
      <c r="J89" s="305">
        <v>1380</v>
      </c>
      <c r="K89" s="305">
        <v>0</v>
      </c>
      <c r="L89" s="305">
        <v>1191</v>
      </c>
      <c r="M89" s="305">
        <v>0</v>
      </c>
      <c r="N89" s="305">
        <v>1055</v>
      </c>
      <c r="O89" s="305">
        <v>0</v>
      </c>
      <c r="P89" s="305">
        <v>345</v>
      </c>
      <c r="Q89" s="305">
        <v>0</v>
      </c>
      <c r="R89" s="305">
        <v>1581</v>
      </c>
      <c r="S89" s="305">
        <v>0</v>
      </c>
      <c r="T89" s="305">
        <v>2171</v>
      </c>
      <c r="U89" s="305">
        <v>0</v>
      </c>
      <c r="V89" s="305">
        <v>1505</v>
      </c>
      <c r="W89" s="305">
        <v>0</v>
      </c>
      <c r="X89" s="305">
        <v>2381</v>
      </c>
      <c r="Y89" s="305">
        <v>0</v>
      </c>
      <c r="Z89" s="305">
        <v>1653</v>
      </c>
      <c r="AA89" s="305">
        <v>0</v>
      </c>
      <c r="AB89" s="305">
        <v>2250</v>
      </c>
      <c r="AC89" s="305">
        <v>0</v>
      </c>
      <c r="AD89" s="305">
        <v>1124</v>
      </c>
      <c r="AE89" s="305">
        <v>0</v>
      </c>
      <c r="AF89" s="305">
        <v>2037</v>
      </c>
      <c r="AG89" s="305">
        <v>0</v>
      </c>
      <c r="AH89" s="305">
        <v>1413</v>
      </c>
      <c r="AI89" s="305">
        <v>0</v>
      </c>
      <c r="AJ89" s="305">
        <v>1426</v>
      </c>
      <c r="AK89" s="305">
        <v>0</v>
      </c>
      <c r="AL89" s="305">
        <v>899</v>
      </c>
      <c r="AM89" s="305">
        <v>0</v>
      </c>
      <c r="AN89" s="305">
        <v>1225</v>
      </c>
      <c r="AO89" s="305">
        <v>0</v>
      </c>
      <c r="AP89" s="305">
        <v>1904</v>
      </c>
      <c r="AQ89" s="305">
        <v>0</v>
      </c>
      <c r="AR89" s="305">
        <v>1970</v>
      </c>
      <c r="AS89" s="305">
        <v>0</v>
      </c>
      <c r="AT89" s="305">
        <v>2166</v>
      </c>
      <c r="AU89" s="305">
        <v>0</v>
      </c>
      <c r="AV89" s="305">
        <v>2703</v>
      </c>
      <c r="AW89" s="305">
        <v>0</v>
      </c>
      <c r="AX89" s="305">
        <v>1992</v>
      </c>
      <c r="AY89" s="305">
        <v>0</v>
      </c>
    </row>
    <row r="90" spans="2:51">
      <c r="B90" s="295">
        <v>10278</v>
      </c>
      <c r="C90" s="295" t="s">
        <v>93</v>
      </c>
      <c r="D90" s="305">
        <v>0</v>
      </c>
      <c r="E90" s="305">
        <v>0</v>
      </c>
      <c r="F90" s="305">
        <v>0</v>
      </c>
      <c r="G90" s="305">
        <v>0</v>
      </c>
      <c r="H90" s="305">
        <v>0</v>
      </c>
      <c r="I90" s="305">
        <v>0</v>
      </c>
      <c r="J90" s="305">
        <v>0</v>
      </c>
      <c r="K90" s="305">
        <v>0</v>
      </c>
      <c r="L90" s="305">
        <v>0</v>
      </c>
      <c r="M90" s="305">
        <v>0</v>
      </c>
      <c r="N90" s="305">
        <v>0</v>
      </c>
      <c r="O90" s="305">
        <v>0</v>
      </c>
      <c r="P90" s="305">
        <v>0</v>
      </c>
      <c r="Q90" s="305">
        <v>0</v>
      </c>
      <c r="R90" s="305">
        <v>0</v>
      </c>
      <c r="S90" s="305">
        <v>0</v>
      </c>
      <c r="T90" s="305">
        <v>0</v>
      </c>
      <c r="U90" s="305">
        <v>0</v>
      </c>
      <c r="V90" s="305">
        <v>0</v>
      </c>
      <c r="W90" s="305">
        <v>0</v>
      </c>
      <c r="X90" s="305">
        <v>0</v>
      </c>
      <c r="Y90" s="305">
        <v>0</v>
      </c>
      <c r="Z90" s="305">
        <v>0</v>
      </c>
      <c r="AA90" s="305">
        <v>0</v>
      </c>
      <c r="AB90" s="305">
        <v>0</v>
      </c>
      <c r="AC90" s="305">
        <v>0</v>
      </c>
      <c r="AD90" s="305">
        <v>0</v>
      </c>
      <c r="AE90" s="305">
        <v>0</v>
      </c>
      <c r="AF90" s="305">
        <v>0</v>
      </c>
      <c r="AG90" s="305">
        <v>0</v>
      </c>
      <c r="AH90" s="305">
        <v>0</v>
      </c>
      <c r="AI90" s="305">
        <v>0</v>
      </c>
      <c r="AJ90" s="305">
        <v>0</v>
      </c>
      <c r="AK90" s="305">
        <v>0</v>
      </c>
      <c r="AL90" s="305">
        <v>0</v>
      </c>
      <c r="AM90" s="305">
        <v>0</v>
      </c>
      <c r="AN90" s="305">
        <v>0</v>
      </c>
      <c r="AO90" s="305">
        <v>0</v>
      </c>
      <c r="AP90" s="305">
        <v>0</v>
      </c>
      <c r="AQ90" s="305">
        <v>0</v>
      </c>
      <c r="AR90" s="305">
        <v>0</v>
      </c>
      <c r="AS90" s="305">
        <v>0</v>
      </c>
      <c r="AT90" s="305">
        <v>0</v>
      </c>
      <c r="AU90" s="305">
        <v>0</v>
      </c>
      <c r="AV90" s="305">
        <v>0</v>
      </c>
      <c r="AW90" s="305">
        <v>0</v>
      </c>
      <c r="AX90" s="305">
        <v>0</v>
      </c>
      <c r="AY90" s="305">
        <v>0</v>
      </c>
    </row>
    <row r="91" spans="2:51">
      <c r="B91" s="295">
        <v>10279</v>
      </c>
      <c r="C91" s="295" t="s">
        <v>94</v>
      </c>
      <c r="D91" s="306">
        <v>0</v>
      </c>
      <c r="E91" s="306">
        <v>0</v>
      </c>
      <c r="F91" s="306">
        <v>0</v>
      </c>
      <c r="G91" s="306">
        <v>0</v>
      </c>
      <c r="H91" s="306">
        <v>0</v>
      </c>
      <c r="I91" s="306">
        <v>0</v>
      </c>
      <c r="J91" s="306">
        <v>0</v>
      </c>
      <c r="K91" s="306">
        <v>0</v>
      </c>
      <c r="L91" s="306">
        <v>0</v>
      </c>
      <c r="M91" s="306">
        <v>0</v>
      </c>
      <c r="N91" s="306">
        <v>0</v>
      </c>
      <c r="O91" s="306">
        <v>0</v>
      </c>
      <c r="P91" s="306">
        <v>0</v>
      </c>
      <c r="Q91" s="306">
        <v>0</v>
      </c>
      <c r="R91" s="306">
        <v>0</v>
      </c>
      <c r="S91" s="306">
        <v>0</v>
      </c>
      <c r="T91" s="306">
        <v>0</v>
      </c>
      <c r="U91" s="306">
        <v>0</v>
      </c>
      <c r="V91" s="306">
        <v>0</v>
      </c>
      <c r="W91" s="306">
        <v>0</v>
      </c>
      <c r="X91" s="306">
        <v>0</v>
      </c>
      <c r="Y91" s="306">
        <v>0</v>
      </c>
      <c r="Z91" s="306">
        <v>0</v>
      </c>
      <c r="AA91" s="306">
        <v>0</v>
      </c>
      <c r="AB91" s="306">
        <v>0</v>
      </c>
      <c r="AC91" s="306">
        <v>0</v>
      </c>
      <c r="AD91" s="306">
        <v>0</v>
      </c>
      <c r="AE91" s="306">
        <v>0</v>
      </c>
      <c r="AF91" s="306">
        <v>0</v>
      </c>
      <c r="AG91" s="306">
        <v>0</v>
      </c>
      <c r="AH91" s="306">
        <v>0</v>
      </c>
      <c r="AI91" s="306">
        <v>0</v>
      </c>
      <c r="AJ91" s="306">
        <v>0</v>
      </c>
      <c r="AK91" s="306">
        <v>0</v>
      </c>
      <c r="AL91" s="306">
        <v>0</v>
      </c>
      <c r="AM91" s="306">
        <v>0</v>
      </c>
      <c r="AN91" s="306">
        <v>0</v>
      </c>
      <c r="AO91" s="306">
        <v>0</v>
      </c>
      <c r="AP91" s="306">
        <v>0</v>
      </c>
      <c r="AQ91" s="306">
        <v>0</v>
      </c>
      <c r="AR91" s="306">
        <v>0</v>
      </c>
      <c r="AS91" s="306">
        <v>0</v>
      </c>
      <c r="AT91" s="306">
        <v>0</v>
      </c>
      <c r="AU91" s="306">
        <v>0</v>
      </c>
      <c r="AV91" s="306">
        <v>0</v>
      </c>
      <c r="AW91" s="306">
        <v>0</v>
      </c>
      <c r="AX91" s="306">
        <v>0</v>
      </c>
      <c r="AY91" s="306">
        <v>0</v>
      </c>
    </row>
    <row r="92" spans="2:51">
      <c r="B92" s="295">
        <v>10284</v>
      </c>
      <c r="C92" s="295" t="s">
        <v>95</v>
      </c>
      <c r="D92" s="305">
        <v>303</v>
      </c>
      <c r="E92" s="305">
        <v>0</v>
      </c>
      <c r="F92" s="305">
        <v>728</v>
      </c>
      <c r="G92" s="305">
        <v>0</v>
      </c>
      <c r="H92" s="305">
        <v>4155</v>
      </c>
      <c r="I92" s="305">
        <v>0</v>
      </c>
      <c r="J92" s="305">
        <v>3437</v>
      </c>
      <c r="K92" s="305">
        <v>0</v>
      </c>
      <c r="L92" s="305">
        <v>846</v>
      </c>
      <c r="M92" s="305">
        <v>0</v>
      </c>
      <c r="N92" s="305">
        <v>3003</v>
      </c>
      <c r="O92" s="305">
        <v>0</v>
      </c>
      <c r="P92" s="305">
        <v>0</v>
      </c>
      <c r="Q92" s="305">
        <v>0</v>
      </c>
      <c r="R92" s="305">
        <v>0</v>
      </c>
      <c r="S92" s="305">
        <v>0</v>
      </c>
      <c r="T92" s="305">
        <v>353</v>
      </c>
      <c r="U92" s="305">
        <v>0</v>
      </c>
      <c r="V92" s="305">
        <v>789</v>
      </c>
      <c r="W92" s="305">
        <v>0</v>
      </c>
      <c r="X92" s="305">
        <v>1775</v>
      </c>
      <c r="Y92" s="305">
        <v>0</v>
      </c>
      <c r="Z92" s="305">
        <v>0</v>
      </c>
      <c r="AA92" s="305">
        <v>0</v>
      </c>
      <c r="AB92" s="305">
        <v>666</v>
      </c>
      <c r="AC92" s="305">
        <v>0</v>
      </c>
      <c r="AD92" s="305">
        <v>1293</v>
      </c>
      <c r="AE92" s="305">
        <v>0</v>
      </c>
      <c r="AF92" s="305">
        <v>3544</v>
      </c>
      <c r="AG92" s="305">
        <v>0</v>
      </c>
      <c r="AH92" s="305">
        <v>4034</v>
      </c>
      <c r="AI92" s="305">
        <v>0</v>
      </c>
      <c r="AJ92" s="305">
        <v>1430</v>
      </c>
      <c r="AK92" s="305">
        <v>0</v>
      </c>
      <c r="AL92" s="305">
        <v>2120</v>
      </c>
      <c r="AM92" s="305">
        <v>0</v>
      </c>
      <c r="AN92" s="305">
        <v>887</v>
      </c>
      <c r="AO92" s="305">
        <v>0</v>
      </c>
      <c r="AP92" s="305">
        <v>0</v>
      </c>
      <c r="AQ92" s="305">
        <v>0</v>
      </c>
      <c r="AR92" s="305">
        <v>55</v>
      </c>
      <c r="AS92" s="305">
        <v>0</v>
      </c>
      <c r="AT92" s="305">
        <v>1085</v>
      </c>
      <c r="AU92" s="305">
        <v>0</v>
      </c>
      <c r="AV92" s="305">
        <v>1775</v>
      </c>
      <c r="AW92" s="305">
        <v>0</v>
      </c>
      <c r="AX92" s="305">
        <v>0</v>
      </c>
      <c r="AY92" s="305">
        <v>0</v>
      </c>
    </row>
    <row r="93" spans="2:51">
      <c r="B93" s="295">
        <v>10285</v>
      </c>
      <c r="C93" s="295" t="s">
        <v>96</v>
      </c>
      <c r="D93" s="305">
        <v>0</v>
      </c>
      <c r="E93" s="305">
        <v>0</v>
      </c>
      <c r="F93" s="305">
        <v>0</v>
      </c>
      <c r="G93" s="305">
        <v>0</v>
      </c>
      <c r="H93" s="305">
        <v>0</v>
      </c>
      <c r="I93" s="305">
        <v>0</v>
      </c>
      <c r="J93" s="305">
        <v>0</v>
      </c>
      <c r="K93" s="305">
        <v>0</v>
      </c>
      <c r="L93" s="305">
        <v>0</v>
      </c>
      <c r="M93" s="305">
        <v>0</v>
      </c>
      <c r="N93" s="305">
        <v>0</v>
      </c>
      <c r="O93" s="305">
        <v>0</v>
      </c>
      <c r="P93" s="305">
        <v>0</v>
      </c>
      <c r="Q93" s="305">
        <v>0</v>
      </c>
      <c r="R93" s="305">
        <v>0</v>
      </c>
      <c r="S93" s="305">
        <v>0</v>
      </c>
      <c r="T93" s="305">
        <v>0</v>
      </c>
      <c r="U93" s="305">
        <v>0</v>
      </c>
      <c r="V93" s="305">
        <v>0</v>
      </c>
      <c r="W93" s="305">
        <v>0</v>
      </c>
      <c r="X93" s="305">
        <v>0</v>
      </c>
      <c r="Y93" s="305">
        <v>0</v>
      </c>
      <c r="Z93" s="305">
        <v>0</v>
      </c>
      <c r="AA93" s="305">
        <v>0</v>
      </c>
      <c r="AB93" s="305">
        <v>0</v>
      </c>
      <c r="AC93" s="305">
        <v>0</v>
      </c>
      <c r="AD93" s="305">
        <v>0</v>
      </c>
      <c r="AE93" s="305">
        <v>0</v>
      </c>
      <c r="AF93" s="305">
        <v>0</v>
      </c>
      <c r="AG93" s="305">
        <v>0</v>
      </c>
      <c r="AH93" s="305">
        <v>0</v>
      </c>
      <c r="AI93" s="305">
        <v>0</v>
      </c>
      <c r="AJ93" s="305">
        <v>0</v>
      </c>
      <c r="AK93" s="305">
        <v>0</v>
      </c>
      <c r="AL93" s="305">
        <v>0</v>
      </c>
      <c r="AM93" s="305">
        <v>0</v>
      </c>
      <c r="AN93" s="305">
        <v>0</v>
      </c>
      <c r="AO93" s="305">
        <v>0</v>
      </c>
      <c r="AP93" s="305">
        <v>0</v>
      </c>
      <c r="AQ93" s="305">
        <v>0</v>
      </c>
      <c r="AR93" s="305">
        <v>0</v>
      </c>
      <c r="AS93" s="305">
        <v>0</v>
      </c>
      <c r="AT93" s="305">
        <v>0</v>
      </c>
      <c r="AU93" s="305">
        <v>0</v>
      </c>
      <c r="AV93" s="305">
        <v>0</v>
      </c>
      <c r="AW93" s="305">
        <v>0</v>
      </c>
      <c r="AX93" s="305">
        <v>0</v>
      </c>
      <c r="AY93" s="305">
        <v>0</v>
      </c>
    </row>
    <row r="94" spans="2:51">
      <c r="B94" s="295">
        <v>10286</v>
      </c>
      <c r="C94" s="295" t="s">
        <v>97</v>
      </c>
      <c r="D94" s="305">
        <v>0</v>
      </c>
      <c r="E94" s="305">
        <v>0</v>
      </c>
      <c r="F94" s="305">
        <v>0</v>
      </c>
      <c r="G94" s="305">
        <v>0</v>
      </c>
      <c r="H94" s="305">
        <v>0</v>
      </c>
      <c r="I94" s="305">
        <v>0</v>
      </c>
      <c r="J94" s="305">
        <v>0</v>
      </c>
      <c r="K94" s="305">
        <v>0</v>
      </c>
      <c r="L94" s="305">
        <v>0</v>
      </c>
      <c r="M94" s="305">
        <v>0</v>
      </c>
      <c r="N94" s="305">
        <v>0</v>
      </c>
      <c r="O94" s="305">
        <v>0</v>
      </c>
      <c r="P94" s="305">
        <v>0</v>
      </c>
      <c r="Q94" s="305">
        <v>0</v>
      </c>
      <c r="R94" s="305">
        <v>0</v>
      </c>
      <c r="S94" s="305">
        <v>0</v>
      </c>
      <c r="T94" s="305">
        <v>0</v>
      </c>
      <c r="U94" s="305">
        <v>0</v>
      </c>
      <c r="V94" s="305">
        <v>0</v>
      </c>
      <c r="W94" s="305">
        <v>0</v>
      </c>
      <c r="X94" s="305">
        <v>0</v>
      </c>
      <c r="Y94" s="305">
        <v>0</v>
      </c>
      <c r="Z94" s="305">
        <v>0</v>
      </c>
      <c r="AA94" s="305">
        <v>0</v>
      </c>
      <c r="AB94" s="305">
        <v>0</v>
      </c>
      <c r="AC94" s="305">
        <v>0</v>
      </c>
      <c r="AD94" s="305">
        <v>0</v>
      </c>
      <c r="AE94" s="305">
        <v>0</v>
      </c>
      <c r="AF94" s="305">
        <v>0</v>
      </c>
      <c r="AG94" s="305">
        <v>0</v>
      </c>
      <c r="AH94" s="305">
        <v>0</v>
      </c>
      <c r="AI94" s="305">
        <v>0</v>
      </c>
      <c r="AJ94" s="305">
        <v>0</v>
      </c>
      <c r="AK94" s="305">
        <v>0</v>
      </c>
      <c r="AL94" s="305">
        <v>0</v>
      </c>
      <c r="AM94" s="305">
        <v>0</v>
      </c>
      <c r="AN94" s="305">
        <v>0</v>
      </c>
      <c r="AO94" s="305">
        <v>0</v>
      </c>
      <c r="AP94" s="305">
        <v>0</v>
      </c>
      <c r="AQ94" s="305">
        <v>0</v>
      </c>
      <c r="AR94" s="305">
        <v>0</v>
      </c>
      <c r="AS94" s="305">
        <v>0</v>
      </c>
      <c r="AT94" s="305">
        <v>0</v>
      </c>
      <c r="AU94" s="305">
        <v>0</v>
      </c>
      <c r="AV94" s="305">
        <v>0</v>
      </c>
      <c r="AW94" s="305">
        <v>0</v>
      </c>
      <c r="AX94" s="305">
        <v>0</v>
      </c>
      <c r="AY94" s="305">
        <v>0</v>
      </c>
    </row>
    <row r="95" spans="2:51">
      <c r="B95" s="295">
        <v>10288</v>
      </c>
      <c r="C95" s="295" t="s">
        <v>98</v>
      </c>
      <c r="D95" s="305">
        <v>0</v>
      </c>
      <c r="E95" s="305">
        <v>0</v>
      </c>
      <c r="F95" s="305">
        <v>0</v>
      </c>
      <c r="G95" s="305">
        <v>0</v>
      </c>
      <c r="H95" s="305">
        <v>0</v>
      </c>
      <c r="I95" s="305">
        <v>0</v>
      </c>
      <c r="J95" s="305">
        <v>0</v>
      </c>
      <c r="K95" s="305">
        <v>0</v>
      </c>
      <c r="L95" s="305">
        <v>0</v>
      </c>
      <c r="M95" s="305">
        <v>0</v>
      </c>
      <c r="N95" s="305">
        <v>0</v>
      </c>
      <c r="O95" s="305">
        <v>0</v>
      </c>
      <c r="P95" s="305">
        <v>0</v>
      </c>
      <c r="Q95" s="305">
        <v>0</v>
      </c>
      <c r="R95" s="305">
        <v>0</v>
      </c>
      <c r="S95" s="305">
        <v>0</v>
      </c>
      <c r="T95" s="305">
        <v>0</v>
      </c>
      <c r="U95" s="305">
        <v>0</v>
      </c>
      <c r="V95" s="305">
        <v>0</v>
      </c>
      <c r="W95" s="305">
        <v>0</v>
      </c>
      <c r="X95" s="305">
        <v>0</v>
      </c>
      <c r="Y95" s="305">
        <v>0</v>
      </c>
      <c r="Z95" s="305">
        <v>0</v>
      </c>
      <c r="AA95" s="305">
        <v>0</v>
      </c>
      <c r="AB95" s="305">
        <v>0</v>
      </c>
      <c r="AC95" s="305">
        <v>0</v>
      </c>
      <c r="AD95" s="305">
        <v>0</v>
      </c>
      <c r="AE95" s="305">
        <v>0</v>
      </c>
      <c r="AF95" s="305">
        <v>0</v>
      </c>
      <c r="AG95" s="305">
        <v>0</v>
      </c>
      <c r="AH95" s="305">
        <v>0</v>
      </c>
      <c r="AI95" s="305">
        <v>0</v>
      </c>
      <c r="AJ95" s="305">
        <v>0</v>
      </c>
      <c r="AK95" s="305">
        <v>0</v>
      </c>
      <c r="AL95" s="305">
        <v>0</v>
      </c>
      <c r="AM95" s="305">
        <v>0</v>
      </c>
      <c r="AN95" s="305">
        <v>0</v>
      </c>
      <c r="AO95" s="305">
        <v>0</v>
      </c>
      <c r="AP95" s="305">
        <v>0</v>
      </c>
      <c r="AQ95" s="305">
        <v>0</v>
      </c>
      <c r="AR95" s="305">
        <v>0</v>
      </c>
      <c r="AS95" s="305">
        <v>0</v>
      </c>
      <c r="AT95" s="305">
        <v>0</v>
      </c>
      <c r="AU95" s="305">
        <v>0</v>
      </c>
      <c r="AV95" s="305">
        <v>0</v>
      </c>
      <c r="AW95" s="305">
        <v>0</v>
      </c>
      <c r="AX95" s="305">
        <v>0</v>
      </c>
      <c r="AY95" s="305">
        <v>0</v>
      </c>
    </row>
    <row r="96" spans="2:51">
      <c r="B96" s="295">
        <v>10291</v>
      </c>
      <c r="C96" s="295" t="s">
        <v>99</v>
      </c>
      <c r="D96" s="305">
        <v>13237</v>
      </c>
      <c r="E96" s="305">
        <v>0</v>
      </c>
      <c r="F96" s="305">
        <v>12702</v>
      </c>
      <c r="G96" s="305">
        <v>0</v>
      </c>
      <c r="H96" s="305">
        <v>21719</v>
      </c>
      <c r="I96" s="305">
        <v>0</v>
      </c>
      <c r="J96" s="305">
        <v>18516</v>
      </c>
      <c r="K96" s="305">
        <v>0</v>
      </c>
      <c r="L96" s="305">
        <v>13964</v>
      </c>
      <c r="M96" s="305">
        <v>0</v>
      </c>
      <c r="N96" s="305">
        <v>19884</v>
      </c>
      <c r="O96" s="305">
        <v>0</v>
      </c>
      <c r="P96" s="305">
        <v>13045</v>
      </c>
      <c r="Q96" s="305">
        <v>0</v>
      </c>
      <c r="R96" s="305">
        <v>17074</v>
      </c>
      <c r="S96" s="305">
        <v>0</v>
      </c>
      <c r="T96" s="305">
        <v>17030</v>
      </c>
      <c r="U96" s="305">
        <v>0</v>
      </c>
      <c r="V96" s="305">
        <v>12247</v>
      </c>
      <c r="W96" s="305">
        <v>0</v>
      </c>
      <c r="X96" s="305">
        <v>20470</v>
      </c>
      <c r="Y96" s="305">
        <v>0</v>
      </c>
      <c r="Z96" s="305">
        <v>9396</v>
      </c>
      <c r="AA96" s="305">
        <v>0</v>
      </c>
      <c r="AB96" s="305">
        <v>14138</v>
      </c>
      <c r="AC96" s="305">
        <v>0</v>
      </c>
      <c r="AD96" s="305">
        <v>14064</v>
      </c>
      <c r="AE96" s="305">
        <v>0</v>
      </c>
      <c r="AF96" s="305">
        <v>15693</v>
      </c>
      <c r="AG96" s="305">
        <v>0</v>
      </c>
      <c r="AH96" s="305">
        <v>20088</v>
      </c>
      <c r="AI96" s="305">
        <v>0</v>
      </c>
      <c r="AJ96" s="305">
        <v>11622</v>
      </c>
      <c r="AK96" s="305">
        <v>0</v>
      </c>
      <c r="AL96" s="305">
        <v>11696</v>
      </c>
      <c r="AM96" s="305">
        <v>0</v>
      </c>
      <c r="AN96" s="305">
        <v>16136</v>
      </c>
      <c r="AO96" s="305">
        <v>0</v>
      </c>
      <c r="AP96" s="305">
        <v>17041</v>
      </c>
      <c r="AQ96" s="305">
        <v>0</v>
      </c>
      <c r="AR96" s="305">
        <v>13677</v>
      </c>
      <c r="AS96" s="305">
        <v>0</v>
      </c>
      <c r="AT96" s="305">
        <v>16075</v>
      </c>
      <c r="AU96" s="305">
        <v>0</v>
      </c>
      <c r="AV96" s="305">
        <v>20481</v>
      </c>
      <c r="AW96" s="305">
        <v>0</v>
      </c>
      <c r="AX96" s="305">
        <v>9370</v>
      </c>
      <c r="AY96" s="305">
        <v>0</v>
      </c>
    </row>
    <row r="97" spans="2:51">
      <c r="B97" s="295">
        <v>10294</v>
      </c>
      <c r="C97" s="295" t="s">
        <v>100</v>
      </c>
      <c r="D97" s="305">
        <v>0</v>
      </c>
      <c r="E97" s="305">
        <v>0</v>
      </c>
      <c r="F97" s="305">
        <v>0</v>
      </c>
      <c r="G97" s="305">
        <v>0</v>
      </c>
      <c r="H97" s="305">
        <v>0</v>
      </c>
      <c r="I97" s="305">
        <v>0</v>
      </c>
      <c r="J97" s="305">
        <v>0</v>
      </c>
      <c r="K97" s="305">
        <v>0</v>
      </c>
      <c r="L97" s="305">
        <v>0</v>
      </c>
      <c r="M97" s="305">
        <v>0</v>
      </c>
      <c r="N97" s="305">
        <v>0</v>
      </c>
      <c r="O97" s="305">
        <v>0</v>
      </c>
      <c r="P97" s="305">
        <v>0</v>
      </c>
      <c r="Q97" s="305">
        <v>0</v>
      </c>
      <c r="R97" s="305">
        <v>0</v>
      </c>
      <c r="S97" s="305">
        <v>0</v>
      </c>
      <c r="T97" s="305">
        <v>0</v>
      </c>
      <c r="U97" s="305">
        <v>0</v>
      </c>
      <c r="V97" s="305">
        <v>0</v>
      </c>
      <c r="W97" s="305">
        <v>0</v>
      </c>
      <c r="X97" s="305">
        <v>0</v>
      </c>
      <c r="Y97" s="305">
        <v>0</v>
      </c>
      <c r="Z97" s="305">
        <v>0</v>
      </c>
      <c r="AA97" s="305">
        <v>0</v>
      </c>
      <c r="AB97" s="305">
        <v>0</v>
      </c>
      <c r="AC97" s="305">
        <v>0</v>
      </c>
      <c r="AD97" s="305">
        <v>0</v>
      </c>
      <c r="AE97" s="305">
        <v>0</v>
      </c>
      <c r="AF97" s="305">
        <v>0</v>
      </c>
      <c r="AG97" s="305">
        <v>0</v>
      </c>
      <c r="AH97" s="305">
        <v>0</v>
      </c>
      <c r="AI97" s="305">
        <v>0</v>
      </c>
      <c r="AJ97" s="305">
        <v>0</v>
      </c>
      <c r="AK97" s="305">
        <v>0</v>
      </c>
      <c r="AL97" s="305">
        <v>0</v>
      </c>
      <c r="AM97" s="305">
        <v>0</v>
      </c>
      <c r="AN97" s="305">
        <v>0</v>
      </c>
      <c r="AO97" s="305">
        <v>0</v>
      </c>
      <c r="AP97" s="305">
        <v>0</v>
      </c>
      <c r="AQ97" s="305">
        <v>0</v>
      </c>
      <c r="AR97" s="305">
        <v>0</v>
      </c>
      <c r="AS97" s="305">
        <v>0</v>
      </c>
      <c r="AT97" s="305">
        <v>0</v>
      </c>
      <c r="AU97" s="305">
        <v>0</v>
      </c>
      <c r="AV97" s="305">
        <v>0</v>
      </c>
      <c r="AW97" s="305">
        <v>0</v>
      </c>
      <c r="AX97" s="305">
        <v>0</v>
      </c>
      <c r="AY97" s="305">
        <v>0</v>
      </c>
    </row>
    <row r="98" spans="2:51">
      <c r="B98" s="295">
        <v>10304</v>
      </c>
      <c r="C98" s="295" t="s">
        <v>101</v>
      </c>
      <c r="D98" s="305">
        <v>0</v>
      </c>
      <c r="E98" s="305">
        <v>0</v>
      </c>
      <c r="F98" s="305">
        <v>886</v>
      </c>
      <c r="G98" s="305">
        <v>0</v>
      </c>
      <c r="H98" s="305">
        <v>4649</v>
      </c>
      <c r="I98" s="305">
        <v>0</v>
      </c>
      <c r="J98" s="305">
        <v>5152</v>
      </c>
      <c r="K98" s="305">
        <v>0</v>
      </c>
      <c r="L98" s="305">
        <v>2354</v>
      </c>
      <c r="M98" s="305">
        <v>0</v>
      </c>
      <c r="N98" s="305">
        <v>1833</v>
      </c>
      <c r="O98" s="305">
        <v>0</v>
      </c>
      <c r="P98" s="305">
        <v>70</v>
      </c>
      <c r="Q98" s="305">
        <v>0</v>
      </c>
      <c r="R98" s="305">
        <v>939</v>
      </c>
      <c r="S98" s="305">
        <v>0</v>
      </c>
      <c r="T98" s="305">
        <v>2090</v>
      </c>
      <c r="U98" s="305">
        <v>0</v>
      </c>
      <c r="V98" s="305">
        <v>1532</v>
      </c>
      <c r="W98" s="305">
        <v>0</v>
      </c>
      <c r="X98" s="305">
        <v>2452</v>
      </c>
      <c r="Y98" s="305">
        <v>0</v>
      </c>
      <c r="Z98" s="305">
        <v>1726</v>
      </c>
      <c r="AA98" s="305">
        <v>0</v>
      </c>
      <c r="AB98" s="305">
        <v>172</v>
      </c>
      <c r="AC98" s="305">
        <v>0</v>
      </c>
      <c r="AD98" s="305">
        <v>960</v>
      </c>
      <c r="AE98" s="305">
        <v>0</v>
      </c>
      <c r="AF98" s="305">
        <v>4726</v>
      </c>
      <c r="AG98" s="305">
        <v>0</v>
      </c>
      <c r="AH98" s="305">
        <v>5233</v>
      </c>
      <c r="AI98" s="305">
        <v>0</v>
      </c>
      <c r="AJ98" s="305">
        <v>2938</v>
      </c>
      <c r="AK98" s="305">
        <v>0</v>
      </c>
      <c r="AL98" s="305">
        <v>1300</v>
      </c>
      <c r="AM98" s="305">
        <v>0</v>
      </c>
      <c r="AN98" s="305">
        <v>706</v>
      </c>
      <c r="AO98" s="305">
        <v>0</v>
      </c>
      <c r="AP98" s="305">
        <v>1006</v>
      </c>
      <c r="AQ98" s="305">
        <v>0</v>
      </c>
      <c r="AR98" s="305">
        <v>1717</v>
      </c>
      <c r="AS98" s="305">
        <v>0</v>
      </c>
      <c r="AT98" s="305">
        <v>2038</v>
      </c>
      <c r="AU98" s="305">
        <v>0</v>
      </c>
      <c r="AV98" s="305">
        <v>2527</v>
      </c>
      <c r="AW98" s="305">
        <v>0</v>
      </c>
      <c r="AX98" s="305">
        <v>1797</v>
      </c>
      <c r="AY98" s="305">
        <v>0</v>
      </c>
    </row>
    <row r="99" spans="2:51">
      <c r="B99" s="295">
        <v>10306</v>
      </c>
      <c r="C99" s="295" t="s">
        <v>102</v>
      </c>
      <c r="D99" s="305">
        <v>0</v>
      </c>
      <c r="E99" s="305">
        <v>0</v>
      </c>
      <c r="F99" s="305">
        <v>0</v>
      </c>
      <c r="G99" s="305">
        <v>0</v>
      </c>
      <c r="H99" s="305">
        <v>0</v>
      </c>
      <c r="I99" s="305">
        <v>0</v>
      </c>
      <c r="J99" s="305">
        <v>0</v>
      </c>
      <c r="K99" s="305">
        <v>0</v>
      </c>
      <c r="L99" s="305">
        <v>0</v>
      </c>
      <c r="M99" s="305">
        <v>0</v>
      </c>
      <c r="N99" s="305">
        <v>0</v>
      </c>
      <c r="O99" s="305">
        <v>0</v>
      </c>
      <c r="P99" s="305">
        <v>0</v>
      </c>
      <c r="Q99" s="305">
        <v>0</v>
      </c>
      <c r="R99" s="305">
        <v>0</v>
      </c>
      <c r="S99" s="305">
        <v>0</v>
      </c>
      <c r="T99" s="305">
        <v>0</v>
      </c>
      <c r="U99" s="305">
        <v>0</v>
      </c>
      <c r="V99" s="305">
        <v>0</v>
      </c>
      <c r="W99" s="305">
        <v>0</v>
      </c>
      <c r="X99" s="305">
        <v>0</v>
      </c>
      <c r="Y99" s="305">
        <v>0</v>
      </c>
      <c r="Z99" s="305">
        <v>0</v>
      </c>
      <c r="AA99" s="305">
        <v>0</v>
      </c>
      <c r="AB99" s="305">
        <v>0</v>
      </c>
      <c r="AC99" s="305">
        <v>0</v>
      </c>
      <c r="AD99" s="305">
        <v>0</v>
      </c>
      <c r="AE99" s="305">
        <v>0</v>
      </c>
      <c r="AF99" s="305">
        <v>0</v>
      </c>
      <c r="AG99" s="305">
        <v>0</v>
      </c>
      <c r="AH99" s="305">
        <v>0</v>
      </c>
      <c r="AI99" s="305">
        <v>0</v>
      </c>
      <c r="AJ99" s="305">
        <v>0</v>
      </c>
      <c r="AK99" s="305">
        <v>0</v>
      </c>
      <c r="AL99" s="305">
        <v>0</v>
      </c>
      <c r="AM99" s="305">
        <v>0</v>
      </c>
      <c r="AN99" s="305">
        <v>0</v>
      </c>
      <c r="AO99" s="305">
        <v>0</v>
      </c>
      <c r="AP99" s="305">
        <v>0</v>
      </c>
      <c r="AQ99" s="305">
        <v>0</v>
      </c>
      <c r="AR99" s="305">
        <v>0</v>
      </c>
      <c r="AS99" s="305">
        <v>0</v>
      </c>
      <c r="AT99" s="305">
        <v>0</v>
      </c>
      <c r="AU99" s="305">
        <v>0</v>
      </c>
      <c r="AV99" s="305">
        <v>0</v>
      </c>
      <c r="AW99" s="305">
        <v>0</v>
      </c>
      <c r="AX99" s="305">
        <v>0</v>
      </c>
      <c r="AY99" s="305">
        <v>0</v>
      </c>
    </row>
    <row r="100" spans="2:51">
      <c r="B100" s="295">
        <v>10307</v>
      </c>
      <c r="C100" s="295" t="s">
        <v>103</v>
      </c>
      <c r="D100" s="305">
        <v>9236</v>
      </c>
      <c r="E100" s="305">
        <v>0</v>
      </c>
      <c r="F100" s="305">
        <v>2683</v>
      </c>
      <c r="G100" s="305">
        <v>0</v>
      </c>
      <c r="H100" s="305">
        <v>25904</v>
      </c>
      <c r="I100" s="305">
        <v>0</v>
      </c>
      <c r="J100" s="305">
        <v>22374</v>
      </c>
      <c r="K100" s="305">
        <v>0</v>
      </c>
      <c r="L100" s="305">
        <v>10718</v>
      </c>
      <c r="M100" s="305">
        <v>0</v>
      </c>
      <c r="N100" s="305">
        <v>22655</v>
      </c>
      <c r="O100" s="305">
        <v>0</v>
      </c>
      <c r="P100" s="305">
        <v>6483</v>
      </c>
      <c r="Q100" s="305">
        <v>0</v>
      </c>
      <c r="R100" s="305">
        <v>10518</v>
      </c>
      <c r="S100" s="305">
        <v>0</v>
      </c>
      <c r="T100" s="305">
        <v>14226</v>
      </c>
      <c r="U100" s="305">
        <v>0</v>
      </c>
      <c r="V100" s="305">
        <v>13219</v>
      </c>
      <c r="W100" s="305">
        <v>0</v>
      </c>
      <c r="X100" s="305">
        <v>19633</v>
      </c>
      <c r="Y100" s="305">
        <v>0</v>
      </c>
      <c r="Z100" s="305">
        <v>5223</v>
      </c>
      <c r="AA100" s="305">
        <v>0</v>
      </c>
      <c r="AB100" s="305">
        <v>12898</v>
      </c>
      <c r="AC100" s="305">
        <v>0</v>
      </c>
      <c r="AD100" s="305">
        <v>7277</v>
      </c>
      <c r="AE100" s="305">
        <v>0</v>
      </c>
      <c r="AF100" s="305">
        <v>23180</v>
      </c>
      <c r="AG100" s="305">
        <v>0</v>
      </c>
      <c r="AH100" s="305">
        <v>27059</v>
      </c>
      <c r="AI100" s="305">
        <v>0</v>
      </c>
      <c r="AJ100" s="305">
        <v>15270</v>
      </c>
      <c r="AK100" s="305">
        <v>0</v>
      </c>
      <c r="AL100" s="305">
        <v>17769</v>
      </c>
      <c r="AM100" s="305">
        <v>0</v>
      </c>
      <c r="AN100" s="305">
        <v>10306</v>
      </c>
      <c r="AO100" s="305">
        <v>0</v>
      </c>
      <c r="AP100" s="305">
        <v>11589</v>
      </c>
      <c r="AQ100" s="305">
        <v>0</v>
      </c>
      <c r="AR100" s="305">
        <v>13009</v>
      </c>
      <c r="AS100" s="305">
        <v>0</v>
      </c>
      <c r="AT100" s="305">
        <v>16623</v>
      </c>
      <c r="AU100" s="305">
        <v>0</v>
      </c>
      <c r="AV100" s="305">
        <v>20720</v>
      </c>
      <c r="AW100" s="305">
        <v>0</v>
      </c>
      <c r="AX100" s="305">
        <v>6215</v>
      </c>
      <c r="AY100" s="305">
        <v>0</v>
      </c>
    </row>
    <row r="101" spans="2:51">
      <c r="B101" s="295">
        <v>10326</v>
      </c>
      <c r="C101" s="295" t="s">
        <v>104</v>
      </c>
      <c r="D101" s="305">
        <v>157</v>
      </c>
      <c r="E101" s="305">
        <v>0</v>
      </c>
      <c r="F101" s="305">
        <v>1578</v>
      </c>
      <c r="G101" s="305">
        <v>0</v>
      </c>
      <c r="H101" s="305">
        <v>9369</v>
      </c>
      <c r="I101" s="305">
        <v>0</v>
      </c>
      <c r="J101" s="305">
        <v>4636</v>
      </c>
      <c r="K101" s="305">
        <v>0</v>
      </c>
      <c r="L101" s="305">
        <v>6082</v>
      </c>
      <c r="M101" s="305">
        <v>0</v>
      </c>
      <c r="N101" s="305">
        <v>10662</v>
      </c>
      <c r="O101" s="305">
        <v>0</v>
      </c>
      <c r="P101" s="305">
        <v>4737</v>
      </c>
      <c r="Q101" s="305">
        <v>0</v>
      </c>
      <c r="R101" s="305">
        <v>5635</v>
      </c>
      <c r="S101" s="305">
        <v>0</v>
      </c>
      <c r="T101" s="305">
        <v>4702</v>
      </c>
      <c r="U101" s="305">
        <v>0</v>
      </c>
      <c r="V101" s="305">
        <v>3451</v>
      </c>
      <c r="W101" s="305">
        <v>0</v>
      </c>
      <c r="X101" s="305">
        <v>6710</v>
      </c>
      <c r="Y101" s="305">
        <v>0</v>
      </c>
      <c r="Z101" s="305">
        <v>5013</v>
      </c>
      <c r="AA101" s="305">
        <v>0</v>
      </c>
      <c r="AB101" s="305">
        <v>1305</v>
      </c>
      <c r="AC101" s="305">
        <v>0</v>
      </c>
      <c r="AD101" s="305">
        <v>2633</v>
      </c>
      <c r="AE101" s="305">
        <v>0</v>
      </c>
      <c r="AF101" s="305">
        <v>8096</v>
      </c>
      <c r="AG101" s="305">
        <v>0</v>
      </c>
      <c r="AH101" s="305">
        <v>5896</v>
      </c>
      <c r="AI101" s="305">
        <v>0</v>
      </c>
      <c r="AJ101" s="305">
        <v>7571</v>
      </c>
      <c r="AK101" s="305">
        <v>0</v>
      </c>
      <c r="AL101" s="305">
        <v>8176</v>
      </c>
      <c r="AM101" s="305">
        <v>0</v>
      </c>
      <c r="AN101" s="305">
        <v>6065</v>
      </c>
      <c r="AO101" s="305">
        <v>0</v>
      </c>
      <c r="AP101" s="305">
        <v>5635</v>
      </c>
      <c r="AQ101" s="305">
        <v>0</v>
      </c>
      <c r="AR101" s="305">
        <v>3447</v>
      </c>
      <c r="AS101" s="305">
        <v>0</v>
      </c>
      <c r="AT101" s="305">
        <v>4754</v>
      </c>
      <c r="AU101" s="305">
        <v>0</v>
      </c>
      <c r="AV101" s="305">
        <v>6710</v>
      </c>
      <c r="AW101" s="305">
        <v>0</v>
      </c>
      <c r="AX101" s="305">
        <v>5013</v>
      </c>
      <c r="AY101" s="305">
        <v>0</v>
      </c>
    </row>
    <row r="102" spans="2:51">
      <c r="B102" s="295">
        <v>10331</v>
      </c>
      <c r="C102" s="295" t="s">
        <v>105</v>
      </c>
      <c r="D102" s="305">
        <v>0</v>
      </c>
      <c r="E102" s="305">
        <v>0</v>
      </c>
      <c r="F102" s="305">
        <v>0</v>
      </c>
      <c r="G102" s="305">
        <v>0</v>
      </c>
      <c r="H102" s="305">
        <v>0</v>
      </c>
      <c r="I102" s="305">
        <v>0</v>
      </c>
      <c r="J102" s="305">
        <v>0</v>
      </c>
      <c r="K102" s="305">
        <v>0</v>
      </c>
      <c r="L102" s="305">
        <v>0</v>
      </c>
      <c r="M102" s="305">
        <v>0</v>
      </c>
      <c r="N102" s="305">
        <v>0</v>
      </c>
      <c r="O102" s="305">
        <v>0</v>
      </c>
      <c r="P102" s="305">
        <v>0</v>
      </c>
      <c r="Q102" s="305">
        <v>0</v>
      </c>
      <c r="R102" s="305">
        <v>0</v>
      </c>
      <c r="S102" s="305">
        <v>0</v>
      </c>
      <c r="T102" s="305">
        <v>0</v>
      </c>
      <c r="U102" s="305">
        <v>0</v>
      </c>
      <c r="V102" s="305">
        <v>0</v>
      </c>
      <c r="W102" s="305">
        <v>0</v>
      </c>
      <c r="X102" s="305">
        <v>0</v>
      </c>
      <c r="Y102" s="305">
        <v>0</v>
      </c>
      <c r="Z102" s="305">
        <v>0</v>
      </c>
      <c r="AA102" s="305">
        <v>0</v>
      </c>
      <c r="AB102" s="305">
        <v>0</v>
      </c>
      <c r="AC102" s="305">
        <v>0</v>
      </c>
      <c r="AD102" s="305">
        <v>0</v>
      </c>
      <c r="AE102" s="305">
        <v>0</v>
      </c>
      <c r="AF102" s="305">
        <v>0</v>
      </c>
      <c r="AG102" s="305">
        <v>0</v>
      </c>
      <c r="AH102" s="305">
        <v>0</v>
      </c>
      <c r="AI102" s="305">
        <v>0</v>
      </c>
      <c r="AJ102" s="305">
        <v>0</v>
      </c>
      <c r="AK102" s="305">
        <v>0</v>
      </c>
      <c r="AL102" s="305">
        <v>0</v>
      </c>
      <c r="AM102" s="305">
        <v>0</v>
      </c>
      <c r="AN102" s="305">
        <v>0</v>
      </c>
      <c r="AO102" s="305">
        <v>0</v>
      </c>
      <c r="AP102" s="305">
        <v>0</v>
      </c>
      <c r="AQ102" s="305">
        <v>0</v>
      </c>
      <c r="AR102" s="305">
        <v>0</v>
      </c>
      <c r="AS102" s="305">
        <v>0</v>
      </c>
      <c r="AT102" s="305">
        <v>0</v>
      </c>
      <c r="AU102" s="305">
        <v>0</v>
      </c>
      <c r="AV102" s="305">
        <v>0</v>
      </c>
      <c r="AW102" s="305">
        <v>0</v>
      </c>
      <c r="AX102" s="305">
        <v>0</v>
      </c>
      <c r="AY102" s="305">
        <v>0</v>
      </c>
    </row>
    <row r="103" spans="2:51">
      <c r="B103" s="295">
        <v>10333</v>
      </c>
      <c r="C103" s="295" t="s">
        <v>106</v>
      </c>
      <c r="D103" s="305">
        <v>1651</v>
      </c>
      <c r="E103" s="305">
        <v>0</v>
      </c>
      <c r="F103" s="305">
        <v>3701</v>
      </c>
      <c r="G103" s="305">
        <v>0</v>
      </c>
      <c r="H103" s="305">
        <v>4103</v>
      </c>
      <c r="I103" s="305">
        <v>0</v>
      </c>
      <c r="J103" s="305">
        <v>5369</v>
      </c>
      <c r="K103" s="305">
        <v>0</v>
      </c>
      <c r="L103" s="305">
        <v>1913</v>
      </c>
      <c r="M103" s="305">
        <v>0</v>
      </c>
      <c r="N103" s="305">
        <v>3143</v>
      </c>
      <c r="O103" s="305">
        <v>0</v>
      </c>
      <c r="P103" s="305">
        <v>3229</v>
      </c>
      <c r="Q103" s="305">
        <v>0</v>
      </c>
      <c r="R103" s="305">
        <v>3548</v>
      </c>
      <c r="S103" s="305">
        <v>0</v>
      </c>
      <c r="T103" s="305">
        <v>3770</v>
      </c>
      <c r="U103" s="305">
        <v>0</v>
      </c>
      <c r="V103" s="305">
        <v>2576</v>
      </c>
      <c r="W103" s="305">
        <v>0</v>
      </c>
      <c r="X103" s="305">
        <v>3966</v>
      </c>
      <c r="Y103" s="305">
        <v>0</v>
      </c>
      <c r="Z103" s="305">
        <v>2750</v>
      </c>
      <c r="AA103" s="305">
        <v>0</v>
      </c>
      <c r="AB103" s="305">
        <v>2315</v>
      </c>
      <c r="AC103" s="305">
        <v>0</v>
      </c>
      <c r="AD103" s="305">
        <v>3757</v>
      </c>
      <c r="AE103" s="305">
        <v>0</v>
      </c>
      <c r="AF103" s="305">
        <v>4156</v>
      </c>
      <c r="AG103" s="305">
        <v>0</v>
      </c>
      <c r="AH103" s="305">
        <v>5434</v>
      </c>
      <c r="AI103" s="305">
        <v>0</v>
      </c>
      <c r="AJ103" s="305">
        <v>3138</v>
      </c>
      <c r="AK103" s="305">
        <v>0</v>
      </c>
      <c r="AL103" s="305">
        <v>2485</v>
      </c>
      <c r="AM103" s="305">
        <v>0</v>
      </c>
      <c r="AN103" s="305">
        <v>3930</v>
      </c>
      <c r="AO103" s="305">
        <v>0</v>
      </c>
      <c r="AP103" s="305">
        <v>3586</v>
      </c>
      <c r="AQ103" s="305">
        <v>0</v>
      </c>
      <c r="AR103" s="305">
        <v>3086</v>
      </c>
      <c r="AS103" s="305">
        <v>0</v>
      </c>
      <c r="AT103" s="305">
        <v>3443</v>
      </c>
      <c r="AU103" s="305">
        <v>0</v>
      </c>
      <c r="AV103" s="305">
        <v>4002</v>
      </c>
      <c r="AW103" s="305">
        <v>0</v>
      </c>
      <c r="AX103" s="305">
        <v>2781</v>
      </c>
      <c r="AY103" s="305">
        <v>0</v>
      </c>
    </row>
    <row r="104" spans="2:51">
      <c r="B104" s="295">
        <v>10338</v>
      </c>
      <c r="C104" s="295" t="s">
        <v>107</v>
      </c>
      <c r="D104" s="305">
        <v>0</v>
      </c>
      <c r="E104" s="305">
        <v>0</v>
      </c>
      <c r="F104" s="305">
        <v>108</v>
      </c>
      <c r="G104" s="305">
        <v>0</v>
      </c>
      <c r="H104" s="305">
        <v>380</v>
      </c>
      <c r="I104" s="305">
        <v>0</v>
      </c>
      <c r="J104" s="305">
        <v>385</v>
      </c>
      <c r="K104" s="305">
        <v>0</v>
      </c>
      <c r="L104" s="305">
        <v>0</v>
      </c>
      <c r="M104" s="305">
        <v>0</v>
      </c>
      <c r="N104" s="305">
        <v>405</v>
      </c>
      <c r="O104" s="305">
        <v>0</v>
      </c>
      <c r="P104" s="305">
        <v>106</v>
      </c>
      <c r="Q104" s="305">
        <v>0</v>
      </c>
      <c r="R104" s="305">
        <v>767</v>
      </c>
      <c r="S104" s="305">
        <v>0</v>
      </c>
      <c r="T104" s="305">
        <v>452</v>
      </c>
      <c r="U104" s="305">
        <v>0</v>
      </c>
      <c r="V104" s="305">
        <v>258</v>
      </c>
      <c r="W104" s="305">
        <v>0</v>
      </c>
      <c r="X104" s="305">
        <v>532</v>
      </c>
      <c r="Y104" s="305">
        <v>0</v>
      </c>
      <c r="Z104" s="305">
        <v>0</v>
      </c>
      <c r="AA104" s="305">
        <v>0</v>
      </c>
      <c r="AB104" s="305">
        <v>0</v>
      </c>
      <c r="AC104" s="305">
        <v>0</v>
      </c>
      <c r="AD104" s="305">
        <v>197</v>
      </c>
      <c r="AE104" s="305">
        <v>0</v>
      </c>
      <c r="AF104" s="305">
        <v>270</v>
      </c>
      <c r="AG104" s="305">
        <v>0</v>
      </c>
      <c r="AH104" s="305">
        <v>502</v>
      </c>
      <c r="AI104" s="305">
        <v>0</v>
      </c>
      <c r="AJ104" s="305">
        <v>85</v>
      </c>
      <c r="AK104" s="305">
        <v>0</v>
      </c>
      <c r="AL104" s="305">
        <v>265</v>
      </c>
      <c r="AM104" s="305">
        <v>0</v>
      </c>
      <c r="AN104" s="305">
        <v>197</v>
      </c>
      <c r="AO104" s="305">
        <v>0</v>
      </c>
      <c r="AP104" s="305">
        <v>772</v>
      </c>
      <c r="AQ104" s="305">
        <v>0</v>
      </c>
      <c r="AR104" s="305">
        <v>315</v>
      </c>
      <c r="AS104" s="305">
        <v>0</v>
      </c>
      <c r="AT104" s="305">
        <v>408</v>
      </c>
      <c r="AU104" s="305">
        <v>0</v>
      </c>
      <c r="AV104" s="305">
        <v>536</v>
      </c>
      <c r="AW104" s="305">
        <v>0</v>
      </c>
      <c r="AX104" s="305">
        <v>0</v>
      </c>
      <c r="AY104" s="305">
        <v>0</v>
      </c>
    </row>
    <row r="105" spans="2:51">
      <c r="B105" s="295">
        <v>10342</v>
      </c>
      <c r="C105" s="295" t="s">
        <v>108</v>
      </c>
      <c r="D105" s="305">
        <v>4317</v>
      </c>
      <c r="E105" s="305">
        <v>0</v>
      </c>
      <c r="F105" s="305">
        <v>3449</v>
      </c>
      <c r="G105" s="305">
        <v>0</v>
      </c>
      <c r="H105" s="305">
        <v>7186</v>
      </c>
      <c r="I105" s="305">
        <v>0</v>
      </c>
      <c r="J105" s="305">
        <v>8041</v>
      </c>
      <c r="K105" s="305">
        <v>0</v>
      </c>
      <c r="L105" s="305">
        <v>0</v>
      </c>
      <c r="M105" s="305">
        <v>0</v>
      </c>
      <c r="N105" s="305">
        <v>5032</v>
      </c>
      <c r="O105" s="305">
        <v>0</v>
      </c>
      <c r="P105" s="305">
        <v>524</v>
      </c>
      <c r="Q105" s="305">
        <v>0</v>
      </c>
      <c r="R105" s="305">
        <v>5626</v>
      </c>
      <c r="S105" s="305">
        <v>0</v>
      </c>
      <c r="T105" s="305">
        <v>3399</v>
      </c>
      <c r="U105" s="305">
        <v>0</v>
      </c>
      <c r="V105" s="305">
        <v>6431</v>
      </c>
      <c r="W105" s="305">
        <v>0</v>
      </c>
      <c r="X105" s="305">
        <v>12867</v>
      </c>
      <c r="Y105" s="305">
        <v>0</v>
      </c>
      <c r="Z105" s="305">
        <v>9649</v>
      </c>
      <c r="AA105" s="305">
        <v>0</v>
      </c>
      <c r="AB105" s="305">
        <v>5865</v>
      </c>
      <c r="AC105" s="305">
        <v>0</v>
      </c>
      <c r="AD105" s="305">
        <v>5418</v>
      </c>
      <c r="AE105" s="305">
        <v>0</v>
      </c>
      <c r="AF105" s="305">
        <v>5256</v>
      </c>
      <c r="AG105" s="305">
        <v>0</v>
      </c>
      <c r="AH105" s="305">
        <v>10051</v>
      </c>
      <c r="AI105" s="305">
        <v>0</v>
      </c>
      <c r="AJ105" s="305">
        <v>0</v>
      </c>
      <c r="AK105" s="305">
        <v>0</v>
      </c>
      <c r="AL105" s="305">
        <v>1939</v>
      </c>
      <c r="AM105" s="305">
        <v>0</v>
      </c>
      <c r="AN105" s="305">
        <v>2176</v>
      </c>
      <c r="AO105" s="305">
        <v>0</v>
      </c>
      <c r="AP105" s="305">
        <v>5681</v>
      </c>
      <c r="AQ105" s="305">
        <v>0</v>
      </c>
      <c r="AR105" s="305">
        <v>1977</v>
      </c>
      <c r="AS105" s="305">
        <v>0</v>
      </c>
      <c r="AT105" s="305">
        <v>8180</v>
      </c>
      <c r="AU105" s="305">
        <v>0</v>
      </c>
      <c r="AV105" s="305">
        <v>12945</v>
      </c>
      <c r="AW105" s="305">
        <v>0</v>
      </c>
      <c r="AX105" s="305">
        <v>9713</v>
      </c>
      <c r="AY105" s="305">
        <v>0</v>
      </c>
    </row>
    <row r="106" spans="2:51">
      <c r="B106" s="295">
        <v>10343</v>
      </c>
      <c r="C106" s="295" t="s">
        <v>109</v>
      </c>
      <c r="D106" s="305">
        <v>0</v>
      </c>
      <c r="E106" s="305">
        <v>0</v>
      </c>
      <c r="F106" s="305">
        <v>0</v>
      </c>
      <c r="G106" s="305">
        <v>0</v>
      </c>
      <c r="H106" s="305">
        <v>0</v>
      </c>
      <c r="I106" s="305">
        <v>0</v>
      </c>
      <c r="J106" s="305">
        <v>0</v>
      </c>
      <c r="K106" s="305">
        <v>0</v>
      </c>
      <c r="L106" s="305">
        <v>0</v>
      </c>
      <c r="M106" s="305">
        <v>0</v>
      </c>
      <c r="N106" s="305">
        <v>0</v>
      </c>
      <c r="O106" s="305">
        <v>0</v>
      </c>
      <c r="P106" s="305">
        <v>0</v>
      </c>
      <c r="Q106" s="305">
        <v>0</v>
      </c>
      <c r="R106" s="305">
        <v>0</v>
      </c>
      <c r="S106" s="305">
        <v>0</v>
      </c>
      <c r="T106" s="305">
        <v>0</v>
      </c>
      <c r="U106" s="305">
        <v>0</v>
      </c>
      <c r="V106" s="305">
        <v>0</v>
      </c>
      <c r="W106" s="305">
        <v>0</v>
      </c>
      <c r="X106" s="305">
        <v>0</v>
      </c>
      <c r="Y106" s="305">
        <v>0</v>
      </c>
      <c r="Z106" s="305">
        <v>0</v>
      </c>
      <c r="AA106" s="305">
        <v>0</v>
      </c>
      <c r="AB106" s="305">
        <v>0</v>
      </c>
      <c r="AC106" s="305">
        <v>0</v>
      </c>
      <c r="AD106" s="305">
        <v>0</v>
      </c>
      <c r="AE106" s="305">
        <v>0</v>
      </c>
      <c r="AF106" s="305">
        <v>0</v>
      </c>
      <c r="AG106" s="305">
        <v>0</v>
      </c>
      <c r="AH106" s="305">
        <v>0</v>
      </c>
      <c r="AI106" s="305">
        <v>0</v>
      </c>
      <c r="AJ106" s="305">
        <v>0</v>
      </c>
      <c r="AK106" s="305">
        <v>0</v>
      </c>
      <c r="AL106" s="305">
        <v>0</v>
      </c>
      <c r="AM106" s="305">
        <v>0</v>
      </c>
      <c r="AN106" s="305">
        <v>0</v>
      </c>
      <c r="AO106" s="305">
        <v>0</v>
      </c>
      <c r="AP106" s="305">
        <v>0</v>
      </c>
      <c r="AQ106" s="305">
        <v>0</v>
      </c>
      <c r="AR106" s="305">
        <v>0</v>
      </c>
      <c r="AS106" s="305">
        <v>0</v>
      </c>
      <c r="AT106" s="305">
        <v>0</v>
      </c>
      <c r="AU106" s="305">
        <v>0</v>
      </c>
      <c r="AV106" s="305">
        <v>0</v>
      </c>
      <c r="AW106" s="305">
        <v>0</v>
      </c>
      <c r="AX106" s="305">
        <v>0</v>
      </c>
      <c r="AY106" s="305">
        <v>0</v>
      </c>
    </row>
    <row r="107" spans="2:51">
      <c r="B107" s="295">
        <v>10349</v>
      </c>
      <c r="C107" s="295" t="s">
        <v>110</v>
      </c>
      <c r="D107" s="305">
        <v>0</v>
      </c>
      <c r="E107" s="305">
        <v>0</v>
      </c>
      <c r="F107" s="305">
        <v>0</v>
      </c>
      <c r="G107" s="305">
        <v>0</v>
      </c>
      <c r="H107" s="305">
        <v>0</v>
      </c>
      <c r="I107" s="305">
        <v>0</v>
      </c>
      <c r="J107" s="305">
        <v>0</v>
      </c>
      <c r="K107" s="305">
        <v>0</v>
      </c>
      <c r="L107" s="305">
        <v>0</v>
      </c>
      <c r="M107" s="305">
        <v>0</v>
      </c>
      <c r="N107" s="305">
        <v>0</v>
      </c>
      <c r="O107" s="305">
        <v>0</v>
      </c>
      <c r="P107" s="305">
        <v>0</v>
      </c>
      <c r="Q107" s="305">
        <v>0</v>
      </c>
      <c r="R107" s="305">
        <v>0</v>
      </c>
      <c r="S107" s="305">
        <v>0</v>
      </c>
      <c r="T107" s="305">
        <v>0</v>
      </c>
      <c r="U107" s="305">
        <v>0</v>
      </c>
      <c r="V107" s="305">
        <v>0</v>
      </c>
      <c r="W107" s="305">
        <v>0</v>
      </c>
      <c r="X107" s="305">
        <v>0</v>
      </c>
      <c r="Y107" s="305">
        <v>0</v>
      </c>
      <c r="Z107" s="305">
        <v>0</v>
      </c>
      <c r="AA107" s="305">
        <v>0</v>
      </c>
      <c r="AB107" s="305">
        <v>0</v>
      </c>
      <c r="AC107" s="305">
        <v>0</v>
      </c>
      <c r="AD107" s="305">
        <v>0</v>
      </c>
      <c r="AE107" s="305">
        <v>0</v>
      </c>
      <c r="AF107" s="305">
        <v>0</v>
      </c>
      <c r="AG107" s="305">
        <v>0</v>
      </c>
      <c r="AH107" s="305">
        <v>0</v>
      </c>
      <c r="AI107" s="305">
        <v>0</v>
      </c>
      <c r="AJ107" s="305">
        <v>0</v>
      </c>
      <c r="AK107" s="305">
        <v>0</v>
      </c>
      <c r="AL107" s="305">
        <v>0</v>
      </c>
      <c r="AM107" s="305">
        <v>0</v>
      </c>
      <c r="AN107" s="305">
        <v>0</v>
      </c>
      <c r="AO107" s="305">
        <v>0</v>
      </c>
      <c r="AP107" s="305">
        <v>0</v>
      </c>
      <c r="AQ107" s="305">
        <v>0</v>
      </c>
      <c r="AR107" s="305">
        <v>0</v>
      </c>
      <c r="AS107" s="305">
        <v>0</v>
      </c>
      <c r="AT107" s="305">
        <v>0</v>
      </c>
      <c r="AU107" s="305">
        <v>0</v>
      </c>
      <c r="AV107" s="305">
        <v>0</v>
      </c>
      <c r="AW107" s="305">
        <v>0</v>
      </c>
      <c r="AX107" s="305">
        <v>0</v>
      </c>
      <c r="AY107" s="305">
        <v>0</v>
      </c>
    </row>
    <row r="108" spans="2:51">
      <c r="B108" s="295">
        <v>10352</v>
      </c>
      <c r="C108" s="295" t="s">
        <v>111</v>
      </c>
      <c r="D108" s="305">
        <v>1778</v>
      </c>
      <c r="E108" s="305">
        <v>0</v>
      </c>
      <c r="F108" s="305">
        <v>2653</v>
      </c>
      <c r="G108" s="305">
        <v>0</v>
      </c>
      <c r="H108" s="305">
        <v>2156</v>
      </c>
      <c r="I108" s="305">
        <v>0</v>
      </c>
      <c r="J108" s="305">
        <v>4825</v>
      </c>
      <c r="K108" s="305">
        <v>0</v>
      </c>
      <c r="L108" s="305">
        <v>329</v>
      </c>
      <c r="M108" s="305">
        <v>0</v>
      </c>
      <c r="N108" s="305">
        <v>6268</v>
      </c>
      <c r="O108" s="305">
        <v>0</v>
      </c>
      <c r="P108" s="305">
        <v>1642</v>
      </c>
      <c r="Q108" s="305">
        <v>0</v>
      </c>
      <c r="R108" s="305">
        <v>565</v>
      </c>
      <c r="S108" s="305">
        <v>0</v>
      </c>
      <c r="T108" s="305">
        <v>2287</v>
      </c>
      <c r="U108" s="305">
        <v>0</v>
      </c>
      <c r="V108" s="305">
        <v>1345</v>
      </c>
      <c r="W108" s="305">
        <v>0</v>
      </c>
      <c r="X108" s="305">
        <v>3476</v>
      </c>
      <c r="Y108" s="305">
        <v>0</v>
      </c>
      <c r="Z108" s="305">
        <v>1016</v>
      </c>
      <c r="AA108" s="305">
        <v>0</v>
      </c>
      <c r="AB108" s="305">
        <v>2409</v>
      </c>
      <c r="AC108" s="305">
        <v>0</v>
      </c>
      <c r="AD108" s="305">
        <v>3452</v>
      </c>
      <c r="AE108" s="305">
        <v>0</v>
      </c>
      <c r="AF108" s="305">
        <v>1303</v>
      </c>
      <c r="AG108" s="305">
        <v>0</v>
      </c>
      <c r="AH108" s="305">
        <v>5742</v>
      </c>
      <c r="AI108" s="305">
        <v>0</v>
      </c>
      <c r="AJ108" s="305">
        <v>1257</v>
      </c>
      <c r="AK108" s="305">
        <v>0</v>
      </c>
      <c r="AL108" s="305">
        <v>4992</v>
      </c>
      <c r="AM108" s="305">
        <v>0</v>
      </c>
      <c r="AN108" s="305">
        <v>2342</v>
      </c>
      <c r="AO108" s="305">
        <v>0</v>
      </c>
      <c r="AP108" s="305">
        <v>604</v>
      </c>
      <c r="AQ108" s="305">
        <v>0</v>
      </c>
      <c r="AR108" s="305">
        <v>1784</v>
      </c>
      <c r="AS108" s="305">
        <v>0</v>
      </c>
      <c r="AT108" s="305">
        <v>1933</v>
      </c>
      <c r="AU108" s="305">
        <v>0</v>
      </c>
      <c r="AV108" s="305">
        <v>3513</v>
      </c>
      <c r="AW108" s="305">
        <v>0</v>
      </c>
      <c r="AX108" s="305">
        <v>1052</v>
      </c>
      <c r="AY108" s="305">
        <v>0</v>
      </c>
    </row>
    <row r="109" spans="2:51">
      <c r="B109" s="295">
        <v>10354</v>
      </c>
      <c r="C109" s="295" t="s">
        <v>112</v>
      </c>
      <c r="D109" s="305">
        <v>0</v>
      </c>
      <c r="E109" s="305">
        <v>0</v>
      </c>
      <c r="F109" s="305">
        <v>0</v>
      </c>
      <c r="G109" s="305">
        <v>0</v>
      </c>
      <c r="H109" s="305">
        <v>0</v>
      </c>
      <c r="I109" s="305">
        <v>0</v>
      </c>
      <c r="J109" s="305">
        <v>0</v>
      </c>
      <c r="K109" s="305">
        <v>0</v>
      </c>
      <c r="L109" s="305">
        <v>0</v>
      </c>
      <c r="M109" s="305">
        <v>0</v>
      </c>
      <c r="N109" s="305">
        <v>0</v>
      </c>
      <c r="O109" s="305">
        <v>0</v>
      </c>
      <c r="P109" s="305">
        <v>0</v>
      </c>
      <c r="Q109" s="305">
        <v>0</v>
      </c>
      <c r="R109" s="305">
        <v>0</v>
      </c>
      <c r="S109" s="305">
        <v>0</v>
      </c>
      <c r="T109" s="305">
        <v>0</v>
      </c>
      <c r="U109" s="305">
        <v>0</v>
      </c>
      <c r="V109" s="305">
        <v>0</v>
      </c>
      <c r="W109" s="305">
        <v>0</v>
      </c>
      <c r="X109" s="305">
        <v>0</v>
      </c>
      <c r="Y109" s="305">
        <v>0</v>
      </c>
      <c r="Z109" s="305">
        <v>0</v>
      </c>
      <c r="AA109" s="305">
        <v>0</v>
      </c>
      <c r="AB109" s="305">
        <v>0</v>
      </c>
      <c r="AC109" s="305">
        <v>0</v>
      </c>
      <c r="AD109" s="305">
        <v>0</v>
      </c>
      <c r="AE109" s="305">
        <v>0</v>
      </c>
      <c r="AF109" s="305">
        <v>0</v>
      </c>
      <c r="AG109" s="305">
        <v>0</v>
      </c>
      <c r="AH109" s="305">
        <v>0</v>
      </c>
      <c r="AI109" s="305">
        <v>0</v>
      </c>
      <c r="AJ109" s="305">
        <v>0</v>
      </c>
      <c r="AK109" s="305">
        <v>0</v>
      </c>
      <c r="AL109" s="305">
        <v>0</v>
      </c>
      <c r="AM109" s="305">
        <v>0</v>
      </c>
      <c r="AN109" s="305">
        <v>0</v>
      </c>
      <c r="AO109" s="305">
        <v>0</v>
      </c>
      <c r="AP109" s="305">
        <v>0</v>
      </c>
      <c r="AQ109" s="305">
        <v>0</v>
      </c>
      <c r="AR109" s="305">
        <v>0</v>
      </c>
      <c r="AS109" s="305">
        <v>0</v>
      </c>
      <c r="AT109" s="305">
        <v>0</v>
      </c>
      <c r="AU109" s="305">
        <v>0</v>
      </c>
      <c r="AV109" s="305">
        <v>0</v>
      </c>
      <c r="AW109" s="305">
        <v>0</v>
      </c>
      <c r="AX109" s="305">
        <v>0</v>
      </c>
      <c r="AY109" s="305">
        <v>0</v>
      </c>
    </row>
    <row r="110" spans="2:51">
      <c r="B110" s="295">
        <v>10360</v>
      </c>
      <c r="C110" s="295" t="s">
        <v>113</v>
      </c>
      <c r="D110" s="305">
        <v>1110</v>
      </c>
      <c r="E110" s="305">
        <v>0</v>
      </c>
      <c r="F110" s="305">
        <v>855</v>
      </c>
      <c r="G110" s="305">
        <v>0</v>
      </c>
      <c r="H110" s="305">
        <v>953</v>
      </c>
      <c r="I110" s="305">
        <v>0</v>
      </c>
      <c r="J110" s="305">
        <v>1853</v>
      </c>
      <c r="K110" s="305">
        <v>0</v>
      </c>
      <c r="L110" s="305">
        <v>256</v>
      </c>
      <c r="M110" s="305">
        <v>0</v>
      </c>
      <c r="N110" s="305">
        <v>945</v>
      </c>
      <c r="O110" s="305">
        <v>0</v>
      </c>
      <c r="P110" s="305">
        <v>1446</v>
      </c>
      <c r="Q110" s="305">
        <v>0</v>
      </c>
      <c r="R110" s="305">
        <v>1069</v>
      </c>
      <c r="S110" s="305">
        <v>0</v>
      </c>
      <c r="T110" s="305">
        <v>1809</v>
      </c>
      <c r="U110" s="305">
        <v>0</v>
      </c>
      <c r="V110" s="305">
        <v>1865</v>
      </c>
      <c r="W110" s="305">
        <v>0</v>
      </c>
      <c r="X110" s="305">
        <v>1594</v>
      </c>
      <c r="Y110" s="305">
        <v>0</v>
      </c>
      <c r="Z110" s="305">
        <v>816</v>
      </c>
      <c r="AA110" s="305">
        <v>0</v>
      </c>
      <c r="AB110" s="305">
        <v>1267</v>
      </c>
      <c r="AC110" s="305">
        <v>0</v>
      </c>
      <c r="AD110" s="305">
        <v>1032</v>
      </c>
      <c r="AE110" s="305">
        <v>0</v>
      </c>
      <c r="AF110" s="305">
        <v>745</v>
      </c>
      <c r="AG110" s="305">
        <v>0</v>
      </c>
      <c r="AH110" s="305">
        <v>2077</v>
      </c>
      <c r="AI110" s="305">
        <v>0</v>
      </c>
      <c r="AJ110" s="305">
        <v>467</v>
      </c>
      <c r="AK110" s="305">
        <v>0</v>
      </c>
      <c r="AL110" s="305">
        <v>668</v>
      </c>
      <c r="AM110" s="305">
        <v>0</v>
      </c>
      <c r="AN110" s="305">
        <v>1660</v>
      </c>
      <c r="AO110" s="305">
        <v>0</v>
      </c>
      <c r="AP110" s="305">
        <v>1081</v>
      </c>
      <c r="AQ110" s="305">
        <v>0</v>
      </c>
      <c r="AR110" s="305">
        <v>1275</v>
      </c>
      <c r="AS110" s="305">
        <v>0</v>
      </c>
      <c r="AT110" s="305">
        <v>2426</v>
      </c>
      <c r="AU110" s="305">
        <v>0</v>
      </c>
      <c r="AV110" s="305">
        <v>1601</v>
      </c>
      <c r="AW110" s="305">
        <v>0</v>
      </c>
      <c r="AX110" s="305">
        <v>827</v>
      </c>
      <c r="AY110" s="305">
        <v>0</v>
      </c>
    </row>
    <row r="111" spans="2:51">
      <c r="B111" s="295">
        <v>10363</v>
      </c>
      <c r="C111" s="295" t="s">
        <v>114</v>
      </c>
      <c r="D111" s="305">
        <v>5625</v>
      </c>
      <c r="E111" s="305">
        <v>0</v>
      </c>
      <c r="F111" s="305">
        <v>18672</v>
      </c>
      <c r="G111" s="305">
        <v>0</v>
      </c>
      <c r="H111" s="305">
        <v>21500</v>
      </c>
      <c r="I111" s="305">
        <v>0</v>
      </c>
      <c r="J111" s="305">
        <v>21190</v>
      </c>
      <c r="K111" s="305">
        <v>0</v>
      </c>
      <c r="L111" s="305">
        <v>6316</v>
      </c>
      <c r="M111" s="305">
        <v>0</v>
      </c>
      <c r="N111" s="305">
        <v>25000</v>
      </c>
      <c r="O111" s="305">
        <v>0</v>
      </c>
      <c r="P111" s="305">
        <v>9064</v>
      </c>
      <c r="Q111" s="305">
        <v>0</v>
      </c>
      <c r="R111" s="305">
        <v>7390</v>
      </c>
      <c r="S111" s="305">
        <v>0</v>
      </c>
      <c r="T111" s="305">
        <v>14530</v>
      </c>
      <c r="U111" s="305">
        <v>0</v>
      </c>
      <c r="V111" s="305">
        <v>10418</v>
      </c>
      <c r="W111" s="305">
        <v>0</v>
      </c>
      <c r="X111" s="305">
        <v>21956</v>
      </c>
      <c r="Y111" s="305">
        <v>0</v>
      </c>
      <c r="Z111" s="305">
        <v>16385</v>
      </c>
      <c r="AA111" s="305">
        <v>0</v>
      </c>
      <c r="AB111" s="305">
        <v>9347</v>
      </c>
      <c r="AC111" s="305">
        <v>0</v>
      </c>
      <c r="AD111" s="305">
        <v>23377</v>
      </c>
      <c r="AE111" s="305">
        <v>0</v>
      </c>
      <c r="AF111" s="305">
        <v>16501</v>
      </c>
      <c r="AG111" s="305">
        <v>0</v>
      </c>
      <c r="AH111" s="305">
        <v>25997</v>
      </c>
      <c r="AI111" s="305">
        <v>0</v>
      </c>
      <c r="AJ111" s="305">
        <v>11289</v>
      </c>
      <c r="AK111" s="305">
        <v>0</v>
      </c>
      <c r="AL111" s="305">
        <v>17331</v>
      </c>
      <c r="AM111" s="305">
        <v>0</v>
      </c>
      <c r="AN111" s="305">
        <v>13109</v>
      </c>
      <c r="AO111" s="305">
        <v>0</v>
      </c>
      <c r="AP111" s="305">
        <v>7434</v>
      </c>
      <c r="AQ111" s="305">
        <v>0</v>
      </c>
      <c r="AR111" s="305">
        <v>10928</v>
      </c>
      <c r="AS111" s="305">
        <v>0</v>
      </c>
      <c r="AT111" s="305">
        <v>14337</v>
      </c>
      <c r="AU111" s="305">
        <v>0</v>
      </c>
      <c r="AV111" s="305">
        <v>22026</v>
      </c>
      <c r="AW111" s="305">
        <v>0</v>
      </c>
      <c r="AX111" s="305">
        <v>16433</v>
      </c>
      <c r="AY111" s="305">
        <v>0</v>
      </c>
    </row>
    <row r="112" spans="2:51">
      <c r="B112" s="295">
        <v>10369</v>
      </c>
      <c r="C112" s="295" t="s">
        <v>115</v>
      </c>
      <c r="D112" s="305">
        <v>2127</v>
      </c>
      <c r="E112" s="305">
        <v>0</v>
      </c>
      <c r="F112" s="305">
        <v>450</v>
      </c>
      <c r="G112" s="305">
        <v>0</v>
      </c>
      <c r="H112" s="305">
        <v>2255</v>
      </c>
      <c r="I112" s="305">
        <v>0</v>
      </c>
      <c r="J112" s="305">
        <v>2316</v>
      </c>
      <c r="K112" s="305">
        <v>0</v>
      </c>
      <c r="L112" s="305">
        <v>549</v>
      </c>
      <c r="M112" s="305">
        <v>0</v>
      </c>
      <c r="N112" s="305">
        <v>1863</v>
      </c>
      <c r="O112" s="305">
        <v>0</v>
      </c>
      <c r="P112" s="305">
        <v>2687</v>
      </c>
      <c r="Q112" s="305">
        <v>0</v>
      </c>
      <c r="R112" s="305">
        <v>2654</v>
      </c>
      <c r="S112" s="305">
        <v>0</v>
      </c>
      <c r="T112" s="305">
        <v>883</v>
      </c>
      <c r="U112" s="305">
        <v>0</v>
      </c>
      <c r="V112" s="305">
        <v>2851</v>
      </c>
      <c r="W112" s="305">
        <v>0</v>
      </c>
      <c r="X112" s="305">
        <v>5950</v>
      </c>
      <c r="Y112" s="305">
        <v>0</v>
      </c>
      <c r="Z112" s="305">
        <v>1400</v>
      </c>
      <c r="AA112" s="305">
        <v>0</v>
      </c>
      <c r="AB112" s="305">
        <v>2578</v>
      </c>
      <c r="AC112" s="305">
        <v>0</v>
      </c>
      <c r="AD112" s="305">
        <v>873</v>
      </c>
      <c r="AE112" s="305">
        <v>0</v>
      </c>
      <c r="AF112" s="305">
        <v>1737</v>
      </c>
      <c r="AG112" s="305">
        <v>0</v>
      </c>
      <c r="AH112" s="305">
        <v>2847</v>
      </c>
      <c r="AI112" s="305">
        <v>0</v>
      </c>
      <c r="AJ112" s="305">
        <v>1052</v>
      </c>
      <c r="AK112" s="305">
        <v>0</v>
      </c>
      <c r="AL112" s="305">
        <v>1074</v>
      </c>
      <c r="AM112" s="305">
        <v>0</v>
      </c>
      <c r="AN112" s="305">
        <v>3222</v>
      </c>
      <c r="AO112" s="305">
        <v>0</v>
      </c>
      <c r="AP112" s="305">
        <v>2654</v>
      </c>
      <c r="AQ112" s="305">
        <v>0</v>
      </c>
      <c r="AR112" s="305">
        <v>0</v>
      </c>
      <c r="AS112" s="305">
        <v>0</v>
      </c>
      <c r="AT112" s="305">
        <v>4124</v>
      </c>
      <c r="AU112" s="305">
        <v>0</v>
      </c>
      <c r="AV112" s="305">
        <v>5950</v>
      </c>
      <c r="AW112" s="305">
        <v>0</v>
      </c>
      <c r="AX112" s="305">
        <v>1400</v>
      </c>
      <c r="AY112" s="305">
        <v>0</v>
      </c>
    </row>
    <row r="113" spans="2:51">
      <c r="B113" s="295">
        <v>10370</v>
      </c>
      <c r="C113" s="295" t="s">
        <v>116</v>
      </c>
      <c r="D113" s="305">
        <v>0</v>
      </c>
      <c r="E113" s="305">
        <v>0</v>
      </c>
      <c r="F113" s="305">
        <v>0</v>
      </c>
      <c r="G113" s="305">
        <v>0</v>
      </c>
      <c r="H113" s="305">
        <v>0</v>
      </c>
      <c r="I113" s="305">
        <v>0</v>
      </c>
      <c r="J113" s="305">
        <v>0</v>
      </c>
      <c r="K113" s="305">
        <v>0</v>
      </c>
      <c r="L113" s="305">
        <v>0</v>
      </c>
      <c r="M113" s="305">
        <v>0</v>
      </c>
      <c r="N113" s="305">
        <v>0</v>
      </c>
      <c r="O113" s="305">
        <v>0</v>
      </c>
      <c r="P113" s="305">
        <v>0</v>
      </c>
      <c r="Q113" s="305">
        <v>0</v>
      </c>
      <c r="R113" s="305">
        <v>0</v>
      </c>
      <c r="S113" s="305">
        <v>0</v>
      </c>
      <c r="T113" s="305">
        <v>0</v>
      </c>
      <c r="U113" s="305">
        <v>0</v>
      </c>
      <c r="V113" s="305">
        <v>0</v>
      </c>
      <c r="W113" s="305">
        <v>0</v>
      </c>
      <c r="X113" s="305">
        <v>0</v>
      </c>
      <c r="Y113" s="305">
        <v>0</v>
      </c>
      <c r="Z113" s="305">
        <v>0</v>
      </c>
      <c r="AA113" s="305">
        <v>0</v>
      </c>
      <c r="AB113" s="305">
        <v>0</v>
      </c>
      <c r="AC113" s="305">
        <v>0</v>
      </c>
      <c r="AD113" s="305">
        <v>0</v>
      </c>
      <c r="AE113" s="305">
        <v>0</v>
      </c>
      <c r="AF113" s="305">
        <v>0</v>
      </c>
      <c r="AG113" s="305">
        <v>0</v>
      </c>
      <c r="AH113" s="305">
        <v>0</v>
      </c>
      <c r="AI113" s="305">
        <v>0</v>
      </c>
      <c r="AJ113" s="305">
        <v>0</v>
      </c>
      <c r="AK113" s="305">
        <v>0</v>
      </c>
      <c r="AL113" s="305">
        <v>0</v>
      </c>
      <c r="AM113" s="305">
        <v>0</v>
      </c>
      <c r="AN113" s="305">
        <v>0</v>
      </c>
      <c r="AO113" s="305">
        <v>0</v>
      </c>
      <c r="AP113" s="305">
        <v>0</v>
      </c>
      <c r="AQ113" s="305">
        <v>0</v>
      </c>
      <c r="AR113" s="305">
        <v>0</v>
      </c>
      <c r="AS113" s="305">
        <v>0</v>
      </c>
      <c r="AT113" s="305">
        <v>0</v>
      </c>
      <c r="AU113" s="305">
        <v>0</v>
      </c>
      <c r="AV113" s="305">
        <v>0</v>
      </c>
      <c r="AW113" s="305">
        <v>0</v>
      </c>
      <c r="AX113" s="305">
        <v>0</v>
      </c>
      <c r="AY113" s="305">
        <v>0</v>
      </c>
    </row>
    <row r="114" spans="2:51">
      <c r="B114" s="295">
        <v>10371</v>
      </c>
      <c r="C114" s="295" t="s">
        <v>117</v>
      </c>
      <c r="D114" s="305">
        <v>0</v>
      </c>
      <c r="E114" s="305">
        <v>0</v>
      </c>
      <c r="F114" s="305">
        <v>78</v>
      </c>
      <c r="G114" s="305">
        <v>0</v>
      </c>
      <c r="H114" s="305">
        <v>25</v>
      </c>
      <c r="I114" s="305">
        <v>0</v>
      </c>
      <c r="J114" s="305">
        <v>1555</v>
      </c>
      <c r="K114" s="305">
        <v>0</v>
      </c>
      <c r="L114" s="305">
        <v>846</v>
      </c>
      <c r="M114" s="305">
        <v>0</v>
      </c>
      <c r="N114" s="305">
        <v>548</v>
      </c>
      <c r="O114" s="305">
        <v>0</v>
      </c>
      <c r="P114" s="305">
        <v>0</v>
      </c>
      <c r="Q114" s="305">
        <v>0</v>
      </c>
      <c r="R114" s="305">
        <v>511</v>
      </c>
      <c r="S114" s="305">
        <v>0</v>
      </c>
      <c r="T114" s="305">
        <v>1540</v>
      </c>
      <c r="U114" s="305">
        <v>0</v>
      </c>
      <c r="V114" s="305">
        <v>637</v>
      </c>
      <c r="W114" s="305">
        <v>0</v>
      </c>
      <c r="X114" s="305">
        <v>1103</v>
      </c>
      <c r="Y114" s="305">
        <v>0</v>
      </c>
      <c r="Z114" s="305">
        <v>0</v>
      </c>
      <c r="AA114" s="305">
        <v>0</v>
      </c>
      <c r="AB114" s="305">
        <v>0</v>
      </c>
      <c r="AC114" s="305">
        <v>0</v>
      </c>
      <c r="AD114" s="305">
        <v>80</v>
      </c>
      <c r="AE114" s="305">
        <v>0</v>
      </c>
      <c r="AF114" s="305">
        <v>25</v>
      </c>
      <c r="AG114" s="305">
        <v>0</v>
      </c>
      <c r="AH114" s="305">
        <v>1565</v>
      </c>
      <c r="AI114" s="305">
        <v>0</v>
      </c>
      <c r="AJ114" s="305">
        <v>882</v>
      </c>
      <c r="AK114" s="305">
        <v>0</v>
      </c>
      <c r="AL114" s="305">
        <v>65</v>
      </c>
      <c r="AM114" s="305">
        <v>0</v>
      </c>
      <c r="AN114" s="305">
        <v>0</v>
      </c>
      <c r="AO114" s="305">
        <v>0</v>
      </c>
      <c r="AP114" s="305">
        <v>523</v>
      </c>
      <c r="AQ114" s="305">
        <v>0</v>
      </c>
      <c r="AR114" s="305">
        <v>1145</v>
      </c>
      <c r="AS114" s="305">
        <v>0</v>
      </c>
      <c r="AT114" s="305">
        <v>1073</v>
      </c>
      <c r="AU114" s="305">
        <v>0</v>
      </c>
      <c r="AV114" s="305">
        <v>1113</v>
      </c>
      <c r="AW114" s="305">
        <v>0</v>
      </c>
      <c r="AX114" s="305">
        <v>0</v>
      </c>
      <c r="AY114" s="305">
        <v>0</v>
      </c>
    </row>
    <row r="115" spans="2:51">
      <c r="B115" s="295">
        <v>10376</v>
      </c>
      <c r="C115" s="295" t="s">
        <v>118</v>
      </c>
      <c r="D115" s="305">
        <v>4851</v>
      </c>
      <c r="E115" s="305">
        <v>0</v>
      </c>
      <c r="F115" s="305">
        <v>3641</v>
      </c>
      <c r="G115" s="305">
        <v>0</v>
      </c>
      <c r="H115" s="305">
        <v>10234</v>
      </c>
      <c r="I115" s="305">
        <v>0</v>
      </c>
      <c r="J115" s="305">
        <v>15199</v>
      </c>
      <c r="K115" s="305">
        <v>0</v>
      </c>
      <c r="L115" s="305">
        <v>4554</v>
      </c>
      <c r="M115" s="305">
        <v>0</v>
      </c>
      <c r="N115" s="305">
        <v>14934</v>
      </c>
      <c r="O115" s="305">
        <v>0</v>
      </c>
      <c r="P115" s="305">
        <v>6767</v>
      </c>
      <c r="Q115" s="305">
        <v>0</v>
      </c>
      <c r="R115" s="305">
        <v>7250</v>
      </c>
      <c r="S115" s="305">
        <v>0</v>
      </c>
      <c r="T115" s="305">
        <v>2640</v>
      </c>
      <c r="U115" s="305">
        <v>0</v>
      </c>
      <c r="V115" s="305">
        <v>2406</v>
      </c>
      <c r="W115" s="305">
        <v>0</v>
      </c>
      <c r="X115" s="305">
        <v>6665</v>
      </c>
      <c r="Y115" s="305">
        <v>0</v>
      </c>
      <c r="Z115" s="305">
        <v>0</v>
      </c>
      <c r="AA115" s="305">
        <v>0</v>
      </c>
      <c r="AB115" s="305">
        <v>7098</v>
      </c>
      <c r="AC115" s="305">
        <v>0</v>
      </c>
      <c r="AD115" s="305">
        <v>6567</v>
      </c>
      <c r="AE115" s="305">
        <v>0</v>
      </c>
      <c r="AF115" s="305">
        <v>7241</v>
      </c>
      <c r="AG115" s="305">
        <v>0</v>
      </c>
      <c r="AH115" s="305">
        <v>18279</v>
      </c>
      <c r="AI115" s="305">
        <v>0</v>
      </c>
      <c r="AJ115" s="305">
        <v>7406</v>
      </c>
      <c r="AK115" s="305">
        <v>0</v>
      </c>
      <c r="AL115" s="305">
        <v>9940</v>
      </c>
      <c r="AM115" s="305">
        <v>0</v>
      </c>
      <c r="AN115" s="305">
        <v>9182</v>
      </c>
      <c r="AO115" s="305">
        <v>0</v>
      </c>
      <c r="AP115" s="305">
        <v>7304</v>
      </c>
      <c r="AQ115" s="305">
        <v>0</v>
      </c>
      <c r="AR115" s="305">
        <v>657</v>
      </c>
      <c r="AS115" s="305">
        <v>0</v>
      </c>
      <c r="AT115" s="305">
        <v>4419</v>
      </c>
      <c r="AU115" s="305">
        <v>0</v>
      </c>
      <c r="AV115" s="305">
        <v>6683</v>
      </c>
      <c r="AW115" s="305">
        <v>0</v>
      </c>
      <c r="AX115" s="305">
        <v>0</v>
      </c>
      <c r="AY115" s="305">
        <v>0</v>
      </c>
    </row>
    <row r="116" spans="2:51">
      <c r="B116" s="295">
        <v>10378</v>
      </c>
      <c r="C116" s="295" t="s">
        <v>119</v>
      </c>
      <c r="D116" s="305">
        <v>0</v>
      </c>
      <c r="E116" s="305">
        <v>0</v>
      </c>
      <c r="F116" s="305">
        <v>0</v>
      </c>
      <c r="G116" s="305">
        <v>0</v>
      </c>
      <c r="H116" s="305">
        <v>94</v>
      </c>
      <c r="I116" s="305">
        <v>0</v>
      </c>
      <c r="J116" s="305">
        <v>314</v>
      </c>
      <c r="K116" s="305">
        <v>0</v>
      </c>
      <c r="L116" s="305">
        <v>0</v>
      </c>
      <c r="M116" s="305">
        <v>0</v>
      </c>
      <c r="N116" s="305">
        <v>7</v>
      </c>
      <c r="O116" s="305">
        <v>0</v>
      </c>
      <c r="P116" s="305">
        <v>0</v>
      </c>
      <c r="Q116" s="305">
        <v>0</v>
      </c>
      <c r="R116" s="305">
        <v>134</v>
      </c>
      <c r="S116" s="305">
        <v>0</v>
      </c>
      <c r="T116" s="305">
        <v>59</v>
      </c>
      <c r="U116" s="305">
        <v>0</v>
      </c>
      <c r="V116" s="305">
        <v>118</v>
      </c>
      <c r="W116" s="305">
        <v>0</v>
      </c>
      <c r="X116" s="305">
        <v>196</v>
      </c>
      <c r="Y116" s="305">
        <v>0</v>
      </c>
      <c r="Z116" s="305">
        <v>99</v>
      </c>
      <c r="AA116" s="305">
        <v>0</v>
      </c>
      <c r="AB116" s="305">
        <v>0</v>
      </c>
      <c r="AC116" s="305">
        <v>0</v>
      </c>
      <c r="AD116" s="305">
        <v>0</v>
      </c>
      <c r="AE116" s="305">
        <v>0</v>
      </c>
      <c r="AF116" s="305">
        <v>99</v>
      </c>
      <c r="AG116" s="305">
        <v>0</v>
      </c>
      <c r="AH116" s="305">
        <v>322</v>
      </c>
      <c r="AI116" s="305">
        <v>0</v>
      </c>
      <c r="AJ116" s="305">
        <v>0</v>
      </c>
      <c r="AK116" s="305">
        <v>0</v>
      </c>
      <c r="AL116" s="305">
        <v>0</v>
      </c>
      <c r="AM116" s="305">
        <v>0</v>
      </c>
      <c r="AN116" s="305">
        <v>6</v>
      </c>
      <c r="AO116" s="305">
        <v>0</v>
      </c>
      <c r="AP116" s="305">
        <v>138</v>
      </c>
      <c r="AQ116" s="305">
        <v>0</v>
      </c>
      <c r="AR116" s="305">
        <v>0</v>
      </c>
      <c r="AS116" s="305">
        <v>0</v>
      </c>
      <c r="AT116" s="305">
        <v>193</v>
      </c>
      <c r="AU116" s="305">
        <v>0</v>
      </c>
      <c r="AV116" s="305">
        <v>200</v>
      </c>
      <c r="AW116" s="305">
        <v>0</v>
      </c>
      <c r="AX116" s="305">
        <v>101</v>
      </c>
      <c r="AY116" s="305">
        <v>0</v>
      </c>
    </row>
    <row r="117" spans="2:51">
      <c r="B117" s="295">
        <v>10379</v>
      </c>
      <c r="C117" s="295" t="s">
        <v>120</v>
      </c>
      <c r="D117" s="305">
        <v>486</v>
      </c>
      <c r="E117" s="305">
        <v>0</v>
      </c>
      <c r="F117" s="305">
        <v>512</v>
      </c>
      <c r="G117" s="305">
        <v>0</v>
      </c>
      <c r="H117" s="305">
        <v>1439</v>
      </c>
      <c r="I117" s="305">
        <v>0</v>
      </c>
      <c r="J117" s="305">
        <v>1472</v>
      </c>
      <c r="K117" s="305">
        <v>0</v>
      </c>
      <c r="L117" s="305">
        <v>834</v>
      </c>
      <c r="M117" s="305">
        <v>0</v>
      </c>
      <c r="N117" s="305">
        <v>1167</v>
      </c>
      <c r="O117" s="305">
        <v>0</v>
      </c>
      <c r="P117" s="305">
        <v>94</v>
      </c>
      <c r="Q117" s="305">
        <v>0</v>
      </c>
      <c r="R117" s="305">
        <v>517</v>
      </c>
      <c r="S117" s="305">
        <v>0</v>
      </c>
      <c r="T117" s="305">
        <v>1145</v>
      </c>
      <c r="U117" s="305">
        <v>0</v>
      </c>
      <c r="V117" s="305">
        <v>761</v>
      </c>
      <c r="W117" s="305">
        <v>0</v>
      </c>
      <c r="X117" s="305">
        <v>1057</v>
      </c>
      <c r="Y117" s="305">
        <v>0</v>
      </c>
      <c r="Z117" s="305">
        <v>316</v>
      </c>
      <c r="AA117" s="305">
        <v>0</v>
      </c>
      <c r="AB117" s="305">
        <v>674</v>
      </c>
      <c r="AC117" s="305">
        <v>0</v>
      </c>
      <c r="AD117" s="305">
        <v>525</v>
      </c>
      <c r="AE117" s="305">
        <v>0</v>
      </c>
      <c r="AF117" s="305">
        <v>1451</v>
      </c>
      <c r="AG117" s="305">
        <v>0</v>
      </c>
      <c r="AH117" s="305">
        <v>1486</v>
      </c>
      <c r="AI117" s="305">
        <v>0</v>
      </c>
      <c r="AJ117" s="305">
        <v>1042</v>
      </c>
      <c r="AK117" s="305">
        <v>0</v>
      </c>
      <c r="AL117" s="305">
        <v>976</v>
      </c>
      <c r="AM117" s="305">
        <v>0</v>
      </c>
      <c r="AN117" s="305">
        <v>299</v>
      </c>
      <c r="AO117" s="305">
        <v>0</v>
      </c>
      <c r="AP117" s="305">
        <v>529</v>
      </c>
      <c r="AQ117" s="305">
        <v>0</v>
      </c>
      <c r="AR117" s="305">
        <v>1013</v>
      </c>
      <c r="AS117" s="305">
        <v>0</v>
      </c>
      <c r="AT117" s="305">
        <v>922</v>
      </c>
      <c r="AU117" s="305">
        <v>0</v>
      </c>
      <c r="AV117" s="305">
        <v>1071</v>
      </c>
      <c r="AW117" s="305">
        <v>0</v>
      </c>
      <c r="AX117" s="305">
        <v>325</v>
      </c>
      <c r="AY117" s="305">
        <v>0</v>
      </c>
    </row>
    <row r="118" spans="2:51">
      <c r="B118" s="295">
        <v>10388</v>
      </c>
      <c r="C118" s="295" t="s">
        <v>121</v>
      </c>
      <c r="D118" s="305">
        <v>0</v>
      </c>
      <c r="E118" s="305">
        <v>0</v>
      </c>
      <c r="F118" s="305">
        <v>0</v>
      </c>
      <c r="G118" s="305">
        <v>0</v>
      </c>
      <c r="H118" s="305">
        <v>0</v>
      </c>
      <c r="I118" s="305">
        <v>0</v>
      </c>
      <c r="J118" s="305">
        <v>0</v>
      </c>
      <c r="K118" s="305">
        <v>0</v>
      </c>
      <c r="L118" s="305">
        <v>0</v>
      </c>
      <c r="M118" s="305">
        <v>0</v>
      </c>
      <c r="N118" s="305">
        <v>0</v>
      </c>
      <c r="O118" s="305">
        <v>0</v>
      </c>
      <c r="P118" s="305">
        <v>0</v>
      </c>
      <c r="Q118" s="305">
        <v>0</v>
      </c>
      <c r="R118" s="305">
        <v>0</v>
      </c>
      <c r="S118" s="305">
        <v>0</v>
      </c>
      <c r="T118" s="305">
        <v>0</v>
      </c>
      <c r="U118" s="305">
        <v>0</v>
      </c>
      <c r="V118" s="305">
        <v>0</v>
      </c>
      <c r="W118" s="305">
        <v>0</v>
      </c>
      <c r="X118" s="305">
        <v>0</v>
      </c>
      <c r="Y118" s="305">
        <v>0</v>
      </c>
      <c r="Z118" s="305">
        <v>0</v>
      </c>
      <c r="AA118" s="305">
        <v>0</v>
      </c>
      <c r="AB118" s="305">
        <v>0</v>
      </c>
      <c r="AC118" s="305">
        <v>0</v>
      </c>
      <c r="AD118" s="305">
        <v>0</v>
      </c>
      <c r="AE118" s="305">
        <v>0</v>
      </c>
      <c r="AF118" s="305">
        <v>0</v>
      </c>
      <c r="AG118" s="305">
        <v>0</v>
      </c>
      <c r="AH118" s="305">
        <v>0</v>
      </c>
      <c r="AI118" s="305">
        <v>0</v>
      </c>
      <c r="AJ118" s="305">
        <v>0</v>
      </c>
      <c r="AK118" s="305">
        <v>0</v>
      </c>
      <c r="AL118" s="305">
        <v>0</v>
      </c>
      <c r="AM118" s="305">
        <v>0</v>
      </c>
      <c r="AN118" s="305">
        <v>0</v>
      </c>
      <c r="AO118" s="305">
        <v>0</v>
      </c>
      <c r="AP118" s="305">
        <v>0</v>
      </c>
      <c r="AQ118" s="305">
        <v>0</v>
      </c>
      <c r="AR118" s="305">
        <v>0</v>
      </c>
      <c r="AS118" s="305">
        <v>0</v>
      </c>
      <c r="AT118" s="305">
        <v>0</v>
      </c>
      <c r="AU118" s="305">
        <v>0</v>
      </c>
      <c r="AV118" s="305">
        <v>0</v>
      </c>
      <c r="AW118" s="305">
        <v>0</v>
      </c>
      <c r="AX118" s="305">
        <v>0</v>
      </c>
      <c r="AY118" s="305">
        <v>0</v>
      </c>
    </row>
    <row r="119" spans="2:51">
      <c r="B119" s="295">
        <v>10391</v>
      </c>
      <c r="C119" s="295" t="s">
        <v>122</v>
      </c>
      <c r="D119" s="305">
        <v>0</v>
      </c>
      <c r="E119" s="305">
        <v>0</v>
      </c>
      <c r="F119" s="305">
        <v>1657</v>
      </c>
      <c r="G119" s="305">
        <v>0</v>
      </c>
      <c r="H119" s="305">
        <v>3927</v>
      </c>
      <c r="I119" s="305">
        <v>0</v>
      </c>
      <c r="J119" s="305">
        <v>4829</v>
      </c>
      <c r="K119" s="305">
        <v>0</v>
      </c>
      <c r="L119" s="305">
        <v>0</v>
      </c>
      <c r="M119" s="305">
        <v>0</v>
      </c>
      <c r="N119" s="305">
        <v>1137</v>
      </c>
      <c r="O119" s="305">
        <v>0</v>
      </c>
      <c r="P119" s="305">
        <v>0</v>
      </c>
      <c r="Q119" s="305">
        <v>0</v>
      </c>
      <c r="R119" s="305">
        <v>2951</v>
      </c>
      <c r="S119" s="305">
        <v>0</v>
      </c>
      <c r="T119" s="305">
        <v>2224</v>
      </c>
      <c r="U119" s="305">
        <v>0</v>
      </c>
      <c r="V119" s="305">
        <v>7053</v>
      </c>
      <c r="W119" s="305">
        <v>0</v>
      </c>
      <c r="X119" s="305">
        <v>6402</v>
      </c>
      <c r="Y119" s="305">
        <v>0</v>
      </c>
      <c r="Z119" s="305">
        <v>0</v>
      </c>
      <c r="AA119" s="305">
        <v>0</v>
      </c>
      <c r="AB119" s="305">
        <v>1183</v>
      </c>
      <c r="AC119" s="305">
        <v>0</v>
      </c>
      <c r="AD119" s="305">
        <v>1883</v>
      </c>
      <c r="AE119" s="305">
        <v>0</v>
      </c>
      <c r="AF119" s="305">
        <v>4152</v>
      </c>
      <c r="AG119" s="305">
        <v>0</v>
      </c>
      <c r="AH119" s="305">
        <v>5076</v>
      </c>
      <c r="AI119" s="305">
        <v>0</v>
      </c>
      <c r="AJ119" s="305">
        <v>139</v>
      </c>
      <c r="AK119" s="305">
        <v>0</v>
      </c>
      <c r="AL119" s="305">
        <v>219</v>
      </c>
      <c r="AM119" s="305">
        <v>0</v>
      </c>
      <c r="AN119" s="305">
        <v>189</v>
      </c>
      <c r="AO119" s="305">
        <v>0</v>
      </c>
      <c r="AP119" s="305">
        <v>3187</v>
      </c>
      <c r="AQ119" s="305">
        <v>0</v>
      </c>
      <c r="AR119" s="305">
        <v>364</v>
      </c>
      <c r="AS119" s="305">
        <v>0</v>
      </c>
      <c r="AT119" s="305">
        <v>9231</v>
      </c>
      <c r="AU119" s="305">
        <v>0</v>
      </c>
      <c r="AV119" s="305">
        <v>6635</v>
      </c>
      <c r="AW119" s="305">
        <v>0</v>
      </c>
      <c r="AX119" s="305">
        <v>0</v>
      </c>
      <c r="AY119" s="305">
        <v>0</v>
      </c>
    </row>
    <row r="120" spans="2:51">
      <c r="B120" s="295">
        <v>10406</v>
      </c>
      <c r="C120" s="295" t="s">
        <v>123</v>
      </c>
      <c r="D120" s="305">
        <v>99</v>
      </c>
      <c r="E120" s="305">
        <v>0</v>
      </c>
      <c r="F120" s="305">
        <v>166</v>
      </c>
      <c r="G120" s="305">
        <v>0</v>
      </c>
      <c r="H120" s="305">
        <v>48</v>
      </c>
      <c r="I120" s="305">
        <v>0</v>
      </c>
      <c r="J120" s="305">
        <v>172</v>
      </c>
      <c r="K120" s="305">
        <v>0</v>
      </c>
      <c r="L120" s="305">
        <v>68</v>
      </c>
      <c r="M120" s="305">
        <v>0</v>
      </c>
      <c r="N120" s="305">
        <v>276</v>
      </c>
      <c r="O120" s="305">
        <v>0</v>
      </c>
      <c r="P120" s="305">
        <v>18</v>
      </c>
      <c r="Q120" s="305">
        <v>0</v>
      </c>
      <c r="R120" s="305">
        <v>0</v>
      </c>
      <c r="S120" s="305">
        <v>0</v>
      </c>
      <c r="T120" s="305">
        <v>36</v>
      </c>
      <c r="U120" s="305">
        <v>0</v>
      </c>
      <c r="V120" s="305">
        <v>0</v>
      </c>
      <c r="W120" s="305">
        <v>0</v>
      </c>
      <c r="X120" s="305">
        <v>17</v>
      </c>
      <c r="Y120" s="305">
        <v>0</v>
      </c>
      <c r="Z120" s="305">
        <v>0</v>
      </c>
      <c r="AA120" s="305">
        <v>0</v>
      </c>
      <c r="AB120" s="305">
        <v>120</v>
      </c>
      <c r="AC120" s="305">
        <v>0</v>
      </c>
      <c r="AD120" s="305">
        <v>198</v>
      </c>
      <c r="AE120" s="305">
        <v>0</v>
      </c>
      <c r="AF120" s="305">
        <v>10</v>
      </c>
      <c r="AG120" s="305">
        <v>0</v>
      </c>
      <c r="AH120" s="305">
        <v>207</v>
      </c>
      <c r="AI120" s="305">
        <v>0</v>
      </c>
      <c r="AJ120" s="305">
        <v>102</v>
      </c>
      <c r="AK120" s="305">
        <v>0</v>
      </c>
      <c r="AL120" s="305">
        <v>221</v>
      </c>
      <c r="AM120" s="305">
        <v>0</v>
      </c>
      <c r="AN120" s="305">
        <v>45</v>
      </c>
      <c r="AO120" s="305">
        <v>0</v>
      </c>
      <c r="AP120" s="305">
        <v>0</v>
      </c>
      <c r="AQ120" s="305">
        <v>0</v>
      </c>
      <c r="AR120" s="305">
        <v>17</v>
      </c>
      <c r="AS120" s="305">
        <v>0</v>
      </c>
      <c r="AT120" s="305">
        <v>0</v>
      </c>
      <c r="AU120" s="305">
        <v>0</v>
      </c>
      <c r="AV120" s="305">
        <v>17</v>
      </c>
      <c r="AW120" s="305">
        <v>0</v>
      </c>
      <c r="AX120" s="305">
        <v>0</v>
      </c>
      <c r="AY120" s="305">
        <v>0</v>
      </c>
    </row>
    <row r="121" spans="2:51">
      <c r="B121" s="295">
        <v>10408</v>
      </c>
      <c r="C121" s="295" t="s">
        <v>124</v>
      </c>
      <c r="D121" s="305">
        <v>87</v>
      </c>
      <c r="E121" s="305">
        <v>0</v>
      </c>
      <c r="F121" s="305">
        <v>215</v>
      </c>
      <c r="G121" s="305">
        <v>0</v>
      </c>
      <c r="H121" s="305">
        <v>211</v>
      </c>
      <c r="I121" s="305">
        <v>0</v>
      </c>
      <c r="J121" s="305">
        <v>195</v>
      </c>
      <c r="K121" s="305">
        <v>0</v>
      </c>
      <c r="L121" s="305">
        <v>207</v>
      </c>
      <c r="M121" s="305">
        <v>0</v>
      </c>
      <c r="N121" s="305">
        <v>460</v>
      </c>
      <c r="O121" s="305">
        <v>0</v>
      </c>
      <c r="P121" s="305">
        <v>98</v>
      </c>
      <c r="Q121" s="305">
        <v>0</v>
      </c>
      <c r="R121" s="305">
        <v>150</v>
      </c>
      <c r="S121" s="305">
        <v>0</v>
      </c>
      <c r="T121" s="305">
        <v>298</v>
      </c>
      <c r="U121" s="305">
        <v>0</v>
      </c>
      <c r="V121" s="305">
        <v>81</v>
      </c>
      <c r="W121" s="305">
        <v>0</v>
      </c>
      <c r="X121" s="305">
        <v>517</v>
      </c>
      <c r="Y121" s="305">
        <v>0</v>
      </c>
      <c r="Z121" s="305">
        <v>0</v>
      </c>
      <c r="AA121" s="305">
        <v>0</v>
      </c>
      <c r="AB121" s="305">
        <v>151</v>
      </c>
      <c r="AC121" s="305">
        <v>0</v>
      </c>
      <c r="AD121" s="305">
        <v>215</v>
      </c>
      <c r="AE121" s="305">
        <v>0</v>
      </c>
      <c r="AF121" s="305">
        <v>211</v>
      </c>
      <c r="AG121" s="305">
        <v>0</v>
      </c>
      <c r="AH121" s="305">
        <v>195</v>
      </c>
      <c r="AI121" s="305">
        <v>0</v>
      </c>
      <c r="AJ121" s="305">
        <v>266</v>
      </c>
      <c r="AK121" s="305">
        <v>0</v>
      </c>
      <c r="AL121" s="305">
        <v>396</v>
      </c>
      <c r="AM121" s="305">
        <v>0</v>
      </c>
      <c r="AN121" s="305">
        <v>164</v>
      </c>
      <c r="AO121" s="305">
        <v>0</v>
      </c>
      <c r="AP121" s="305">
        <v>150</v>
      </c>
      <c r="AQ121" s="305">
        <v>0</v>
      </c>
      <c r="AR121" s="305">
        <v>240</v>
      </c>
      <c r="AS121" s="305">
        <v>0</v>
      </c>
      <c r="AT121" s="305">
        <v>139</v>
      </c>
      <c r="AU121" s="305">
        <v>0</v>
      </c>
      <c r="AV121" s="305">
        <v>517</v>
      </c>
      <c r="AW121" s="305">
        <v>0</v>
      </c>
      <c r="AX121" s="305">
        <v>0</v>
      </c>
      <c r="AY121" s="305">
        <v>0</v>
      </c>
    </row>
    <row r="122" spans="2:51">
      <c r="B122" s="295">
        <v>10409</v>
      </c>
      <c r="C122" s="295" t="s">
        <v>125</v>
      </c>
      <c r="D122" s="305">
        <v>0</v>
      </c>
      <c r="E122" s="305">
        <v>0</v>
      </c>
      <c r="F122" s="305">
        <v>90</v>
      </c>
      <c r="G122" s="305">
        <v>0</v>
      </c>
      <c r="H122" s="305">
        <v>1354</v>
      </c>
      <c r="I122" s="305">
        <v>0</v>
      </c>
      <c r="J122" s="305">
        <v>993</v>
      </c>
      <c r="K122" s="305">
        <v>0</v>
      </c>
      <c r="L122" s="305">
        <v>613</v>
      </c>
      <c r="M122" s="305">
        <v>0</v>
      </c>
      <c r="N122" s="305">
        <v>1612</v>
      </c>
      <c r="O122" s="305">
        <v>0</v>
      </c>
      <c r="P122" s="305">
        <v>0</v>
      </c>
      <c r="Q122" s="305">
        <v>0</v>
      </c>
      <c r="R122" s="305">
        <v>749</v>
      </c>
      <c r="S122" s="305">
        <v>0</v>
      </c>
      <c r="T122" s="305">
        <v>1009</v>
      </c>
      <c r="U122" s="305">
        <v>0</v>
      </c>
      <c r="V122" s="305">
        <v>244</v>
      </c>
      <c r="W122" s="305">
        <v>0</v>
      </c>
      <c r="X122" s="305">
        <v>1404</v>
      </c>
      <c r="Y122" s="305">
        <v>0</v>
      </c>
      <c r="Z122" s="305">
        <v>0</v>
      </c>
      <c r="AA122" s="305">
        <v>0</v>
      </c>
      <c r="AB122" s="305">
        <v>638</v>
      </c>
      <c r="AC122" s="305">
        <v>0</v>
      </c>
      <c r="AD122" s="305">
        <v>950</v>
      </c>
      <c r="AE122" s="305">
        <v>0</v>
      </c>
      <c r="AF122" s="305">
        <v>373</v>
      </c>
      <c r="AG122" s="305">
        <v>0</v>
      </c>
      <c r="AH122" s="305">
        <v>2573</v>
      </c>
      <c r="AI122" s="305">
        <v>0</v>
      </c>
      <c r="AJ122" s="305">
        <v>2257</v>
      </c>
      <c r="AK122" s="305">
        <v>0</v>
      </c>
      <c r="AL122" s="305">
        <v>782</v>
      </c>
      <c r="AM122" s="305">
        <v>0</v>
      </c>
      <c r="AN122" s="305">
        <v>2409</v>
      </c>
      <c r="AO122" s="305">
        <v>0</v>
      </c>
      <c r="AP122" s="305">
        <v>4077</v>
      </c>
      <c r="AQ122" s="305">
        <v>0</v>
      </c>
      <c r="AR122" s="305">
        <v>3382</v>
      </c>
      <c r="AS122" s="305">
        <v>0</v>
      </c>
      <c r="AT122" s="305">
        <v>4455</v>
      </c>
      <c r="AU122" s="305">
        <v>0</v>
      </c>
      <c r="AV122" s="305">
        <v>4642</v>
      </c>
      <c r="AW122" s="305">
        <v>0</v>
      </c>
      <c r="AX122" s="305">
        <v>2322</v>
      </c>
      <c r="AY122" s="305">
        <v>0</v>
      </c>
    </row>
    <row r="123" spans="2:51">
      <c r="B123" s="295">
        <v>10426</v>
      </c>
      <c r="C123" s="295" t="s">
        <v>126</v>
      </c>
      <c r="D123" s="305">
        <v>0</v>
      </c>
      <c r="E123" s="305">
        <v>0</v>
      </c>
      <c r="F123" s="305">
        <v>0</v>
      </c>
      <c r="G123" s="305">
        <v>0</v>
      </c>
      <c r="H123" s="305">
        <v>0</v>
      </c>
      <c r="I123" s="305">
        <v>0</v>
      </c>
      <c r="J123" s="305">
        <v>0</v>
      </c>
      <c r="K123" s="305">
        <v>0</v>
      </c>
      <c r="L123" s="305">
        <v>0</v>
      </c>
      <c r="M123" s="305">
        <v>0</v>
      </c>
      <c r="N123" s="305">
        <v>0</v>
      </c>
      <c r="O123" s="305">
        <v>0</v>
      </c>
      <c r="P123" s="305">
        <v>0</v>
      </c>
      <c r="Q123" s="305">
        <v>0</v>
      </c>
      <c r="R123" s="305">
        <v>0</v>
      </c>
      <c r="S123" s="305">
        <v>0</v>
      </c>
      <c r="T123" s="305">
        <v>0</v>
      </c>
      <c r="U123" s="305">
        <v>0</v>
      </c>
      <c r="V123" s="305">
        <v>0</v>
      </c>
      <c r="W123" s="305">
        <v>0</v>
      </c>
      <c r="X123" s="305">
        <v>0</v>
      </c>
      <c r="Y123" s="305">
        <v>0</v>
      </c>
      <c r="Z123" s="305">
        <v>0</v>
      </c>
      <c r="AA123" s="305">
        <v>0</v>
      </c>
      <c r="AB123" s="305">
        <v>0</v>
      </c>
      <c r="AC123" s="305">
        <v>0</v>
      </c>
      <c r="AD123" s="305">
        <v>0</v>
      </c>
      <c r="AE123" s="305">
        <v>0</v>
      </c>
      <c r="AF123" s="305">
        <v>0</v>
      </c>
      <c r="AG123" s="305">
        <v>0</v>
      </c>
      <c r="AH123" s="305">
        <v>7459</v>
      </c>
      <c r="AI123" s="305">
        <v>0</v>
      </c>
      <c r="AJ123" s="305">
        <v>0</v>
      </c>
      <c r="AK123" s="305">
        <v>0</v>
      </c>
      <c r="AL123" s="305">
        <v>215</v>
      </c>
      <c r="AM123" s="305">
        <v>0</v>
      </c>
      <c r="AN123" s="305">
        <v>0</v>
      </c>
      <c r="AO123" s="305">
        <v>0</v>
      </c>
      <c r="AP123" s="305">
        <v>0</v>
      </c>
      <c r="AQ123" s="305">
        <v>0</v>
      </c>
      <c r="AR123" s="305">
        <v>0</v>
      </c>
      <c r="AS123" s="305">
        <v>0</v>
      </c>
      <c r="AT123" s="305">
        <v>0</v>
      </c>
      <c r="AU123" s="305">
        <v>0</v>
      </c>
      <c r="AV123" s="305">
        <v>0</v>
      </c>
      <c r="AW123" s="305">
        <v>0</v>
      </c>
      <c r="AX123" s="305">
        <v>0</v>
      </c>
      <c r="AY123" s="305">
        <v>0</v>
      </c>
    </row>
    <row r="124" spans="2:51">
      <c r="B124" s="295">
        <v>10434</v>
      </c>
      <c r="C124" s="295" t="s">
        <v>127</v>
      </c>
      <c r="D124" s="305">
        <v>3665</v>
      </c>
      <c r="E124" s="305">
        <v>0</v>
      </c>
      <c r="F124" s="305">
        <v>4288</v>
      </c>
      <c r="G124" s="305">
        <v>0</v>
      </c>
      <c r="H124" s="305">
        <v>4996</v>
      </c>
      <c r="I124" s="305">
        <v>0</v>
      </c>
      <c r="J124" s="305">
        <v>6261</v>
      </c>
      <c r="K124" s="305">
        <v>0</v>
      </c>
      <c r="L124" s="305">
        <v>1735</v>
      </c>
      <c r="M124" s="305">
        <v>0</v>
      </c>
      <c r="N124" s="305">
        <v>5270</v>
      </c>
      <c r="O124" s="305">
        <v>0</v>
      </c>
      <c r="P124" s="305">
        <v>4295</v>
      </c>
      <c r="Q124" s="305">
        <v>0</v>
      </c>
      <c r="R124" s="305">
        <v>3709</v>
      </c>
      <c r="S124" s="305">
        <v>0</v>
      </c>
      <c r="T124" s="305">
        <v>5487</v>
      </c>
      <c r="U124" s="305">
        <v>0</v>
      </c>
      <c r="V124" s="305">
        <v>4102</v>
      </c>
      <c r="W124" s="305">
        <v>0</v>
      </c>
      <c r="X124" s="305">
        <v>4677</v>
      </c>
      <c r="Y124" s="305">
        <v>0</v>
      </c>
      <c r="Z124" s="305">
        <v>5958</v>
      </c>
      <c r="AA124" s="305">
        <v>0</v>
      </c>
      <c r="AB124" s="305">
        <v>4716</v>
      </c>
      <c r="AC124" s="305">
        <v>0</v>
      </c>
      <c r="AD124" s="305">
        <v>4350</v>
      </c>
      <c r="AE124" s="305">
        <v>0</v>
      </c>
      <c r="AF124" s="305">
        <v>5044</v>
      </c>
      <c r="AG124" s="305">
        <v>0</v>
      </c>
      <c r="AH124" s="305">
        <v>6323</v>
      </c>
      <c r="AI124" s="305">
        <v>0</v>
      </c>
      <c r="AJ124" s="305">
        <v>3278</v>
      </c>
      <c r="AK124" s="305">
        <v>0</v>
      </c>
      <c r="AL124" s="305">
        <v>4212</v>
      </c>
      <c r="AM124" s="305">
        <v>0</v>
      </c>
      <c r="AN124" s="305">
        <v>5426</v>
      </c>
      <c r="AO124" s="305">
        <v>0</v>
      </c>
      <c r="AP124" s="305">
        <v>3756</v>
      </c>
      <c r="AQ124" s="305">
        <v>0</v>
      </c>
      <c r="AR124" s="305">
        <v>4323</v>
      </c>
      <c r="AS124" s="305">
        <v>0</v>
      </c>
      <c r="AT124" s="305">
        <v>5447</v>
      </c>
      <c r="AU124" s="305">
        <v>0</v>
      </c>
      <c r="AV124" s="305">
        <v>4746</v>
      </c>
      <c r="AW124" s="305">
        <v>0</v>
      </c>
      <c r="AX124" s="305">
        <v>6016</v>
      </c>
      <c r="AY124" s="305">
        <v>0</v>
      </c>
    </row>
    <row r="125" spans="2:51">
      <c r="B125" s="295">
        <v>10436</v>
      </c>
      <c r="C125" s="295" t="s">
        <v>128</v>
      </c>
      <c r="D125" s="305">
        <v>2331</v>
      </c>
      <c r="E125" s="305">
        <v>0</v>
      </c>
      <c r="F125" s="305">
        <v>2642</v>
      </c>
      <c r="G125" s="305">
        <v>0</v>
      </c>
      <c r="H125" s="305">
        <v>1907</v>
      </c>
      <c r="I125" s="305">
        <v>0</v>
      </c>
      <c r="J125" s="305">
        <v>4555</v>
      </c>
      <c r="K125" s="305">
        <v>0</v>
      </c>
      <c r="L125" s="305">
        <v>1420</v>
      </c>
      <c r="M125" s="305">
        <v>0</v>
      </c>
      <c r="N125" s="305">
        <v>2514</v>
      </c>
      <c r="O125" s="305">
        <v>0</v>
      </c>
      <c r="P125" s="305">
        <v>3050</v>
      </c>
      <c r="Q125" s="305">
        <v>0</v>
      </c>
      <c r="R125" s="305">
        <v>3929</v>
      </c>
      <c r="S125" s="305">
        <v>0</v>
      </c>
      <c r="T125" s="305">
        <v>5882</v>
      </c>
      <c r="U125" s="305">
        <v>0</v>
      </c>
      <c r="V125" s="305">
        <v>4723</v>
      </c>
      <c r="W125" s="305">
        <v>0</v>
      </c>
      <c r="X125" s="305">
        <v>6071</v>
      </c>
      <c r="Y125" s="305">
        <v>0</v>
      </c>
      <c r="Z125" s="305">
        <v>3280</v>
      </c>
      <c r="AA125" s="305">
        <v>0</v>
      </c>
      <c r="AB125" s="305">
        <v>2927</v>
      </c>
      <c r="AC125" s="305">
        <v>0</v>
      </c>
      <c r="AD125" s="305">
        <v>2714</v>
      </c>
      <c r="AE125" s="305">
        <v>0</v>
      </c>
      <c r="AF125" s="305">
        <v>1976</v>
      </c>
      <c r="AG125" s="305">
        <v>0</v>
      </c>
      <c r="AH125" s="305">
        <v>4637</v>
      </c>
      <c r="AI125" s="305">
        <v>0</v>
      </c>
      <c r="AJ125" s="305">
        <v>2429</v>
      </c>
      <c r="AK125" s="305">
        <v>0</v>
      </c>
      <c r="AL125" s="305">
        <v>1974</v>
      </c>
      <c r="AM125" s="305">
        <v>0</v>
      </c>
      <c r="AN125" s="305">
        <v>3705</v>
      </c>
      <c r="AO125" s="305">
        <v>0</v>
      </c>
      <c r="AP125" s="305">
        <v>4032</v>
      </c>
      <c r="AQ125" s="305">
        <v>0</v>
      </c>
      <c r="AR125" s="305">
        <v>4766</v>
      </c>
      <c r="AS125" s="305">
        <v>0</v>
      </c>
      <c r="AT125" s="305">
        <v>6148</v>
      </c>
      <c r="AU125" s="305">
        <v>0</v>
      </c>
      <c r="AV125" s="305">
        <v>6163</v>
      </c>
      <c r="AW125" s="305">
        <v>0</v>
      </c>
      <c r="AX125" s="305">
        <v>3350</v>
      </c>
      <c r="AY125" s="305">
        <v>0</v>
      </c>
    </row>
    <row r="126" spans="2:51">
      <c r="B126" s="295">
        <v>10440</v>
      </c>
      <c r="C126" s="295" t="s">
        <v>129</v>
      </c>
      <c r="D126" s="305">
        <v>145</v>
      </c>
      <c r="E126" s="305">
        <v>0</v>
      </c>
      <c r="F126" s="305">
        <v>822</v>
      </c>
      <c r="G126" s="305">
        <v>0</v>
      </c>
      <c r="H126" s="305">
        <v>1431</v>
      </c>
      <c r="I126" s="305">
        <v>0</v>
      </c>
      <c r="J126" s="305">
        <v>1427</v>
      </c>
      <c r="K126" s="305">
        <v>0</v>
      </c>
      <c r="L126" s="305">
        <v>785</v>
      </c>
      <c r="M126" s="305">
        <v>0</v>
      </c>
      <c r="N126" s="305">
        <v>1893</v>
      </c>
      <c r="O126" s="305">
        <v>0</v>
      </c>
      <c r="P126" s="305">
        <v>640</v>
      </c>
      <c r="Q126" s="305">
        <v>0</v>
      </c>
      <c r="R126" s="305">
        <v>0</v>
      </c>
      <c r="S126" s="305">
        <v>0</v>
      </c>
      <c r="T126" s="305">
        <v>76</v>
      </c>
      <c r="U126" s="305">
        <v>0</v>
      </c>
      <c r="V126" s="305">
        <v>259</v>
      </c>
      <c r="W126" s="305">
        <v>0</v>
      </c>
      <c r="X126" s="305">
        <v>711</v>
      </c>
      <c r="Y126" s="305">
        <v>0</v>
      </c>
      <c r="Z126" s="305">
        <v>0</v>
      </c>
      <c r="AA126" s="305">
        <v>0</v>
      </c>
      <c r="AB126" s="305">
        <v>327</v>
      </c>
      <c r="AC126" s="305">
        <v>0</v>
      </c>
      <c r="AD126" s="305">
        <v>1110</v>
      </c>
      <c r="AE126" s="305">
        <v>0</v>
      </c>
      <c r="AF126" s="305">
        <v>1104</v>
      </c>
      <c r="AG126" s="305">
        <v>0</v>
      </c>
      <c r="AH126" s="305">
        <v>1730</v>
      </c>
      <c r="AI126" s="305">
        <v>0</v>
      </c>
      <c r="AJ126" s="305">
        <v>1067</v>
      </c>
      <c r="AK126" s="305">
        <v>0</v>
      </c>
      <c r="AL126" s="305">
        <v>1433</v>
      </c>
      <c r="AM126" s="305">
        <v>0</v>
      </c>
      <c r="AN126" s="305">
        <v>849</v>
      </c>
      <c r="AO126" s="305">
        <v>0</v>
      </c>
      <c r="AP126" s="305">
        <v>0</v>
      </c>
      <c r="AQ126" s="305">
        <v>0</v>
      </c>
      <c r="AR126" s="305">
        <v>0</v>
      </c>
      <c r="AS126" s="305">
        <v>0</v>
      </c>
      <c r="AT126" s="305">
        <v>407</v>
      </c>
      <c r="AU126" s="305">
        <v>0</v>
      </c>
      <c r="AV126" s="305">
        <v>711</v>
      </c>
      <c r="AW126" s="305">
        <v>0</v>
      </c>
      <c r="AX126" s="305">
        <v>0</v>
      </c>
      <c r="AY126" s="305">
        <v>0</v>
      </c>
    </row>
    <row r="127" spans="2:51">
      <c r="B127" s="295">
        <v>10442</v>
      </c>
      <c r="C127" s="295" t="s">
        <v>130</v>
      </c>
      <c r="D127" s="305">
        <v>2305</v>
      </c>
      <c r="E127" s="305">
        <v>0</v>
      </c>
      <c r="F127" s="305">
        <v>4906</v>
      </c>
      <c r="G127" s="305">
        <v>0</v>
      </c>
      <c r="H127" s="305">
        <v>5337</v>
      </c>
      <c r="I127" s="305">
        <v>0</v>
      </c>
      <c r="J127" s="305">
        <v>3532</v>
      </c>
      <c r="K127" s="305">
        <v>0</v>
      </c>
      <c r="L127" s="305">
        <v>2444</v>
      </c>
      <c r="M127" s="305">
        <v>0</v>
      </c>
      <c r="N127" s="305">
        <v>3319</v>
      </c>
      <c r="O127" s="305">
        <v>0</v>
      </c>
      <c r="P127" s="305">
        <v>1713</v>
      </c>
      <c r="Q127" s="305">
        <v>0</v>
      </c>
      <c r="R127" s="305">
        <v>2659</v>
      </c>
      <c r="S127" s="305">
        <v>0</v>
      </c>
      <c r="T127" s="305">
        <v>3072</v>
      </c>
      <c r="U127" s="305">
        <v>0</v>
      </c>
      <c r="V127" s="305">
        <v>2438</v>
      </c>
      <c r="W127" s="305">
        <v>0</v>
      </c>
      <c r="X127" s="305">
        <v>3098</v>
      </c>
      <c r="Y127" s="305">
        <v>0</v>
      </c>
      <c r="Z127" s="305">
        <v>689</v>
      </c>
      <c r="AA127" s="305">
        <v>0</v>
      </c>
      <c r="AB127" s="305">
        <v>2698</v>
      </c>
      <c r="AC127" s="305">
        <v>0</v>
      </c>
      <c r="AD127" s="305">
        <v>5470</v>
      </c>
      <c r="AE127" s="305">
        <v>0</v>
      </c>
      <c r="AF127" s="305">
        <v>4621</v>
      </c>
      <c r="AG127" s="305">
        <v>0</v>
      </c>
      <c r="AH127" s="305">
        <v>4167</v>
      </c>
      <c r="AI127" s="305">
        <v>0</v>
      </c>
      <c r="AJ127" s="305">
        <v>1917</v>
      </c>
      <c r="AK127" s="305">
        <v>0</v>
      </c>
      <c r="AL127" s="305">
        <v>2502</v>
      </c>
      <c r="AM127" s="305">
        <v>0</v>
      </c>
      <c r="AN127" s="305">
        <v>2142</v>
      </c>
      <c r="AO127" s="305">
        <v>0</v>
      </c>
      <c r="AP127" s="305">
        <v>2660</v>
      </c>
      <c r="AQ127" s="305">
        <v>0</v>
      </c>
      <c r="AR127" s="305">
        <v>2556</v>
      </c>
      <c r="AS127" s="305">
        <v>0</v>
      </c>
      <c r="AT127" s="305">
        <v>3061</v>
      </c>
      <c r="AU127" s="305">
        <v>0</v>
      </c>
      <c r="AV127" s="305">
        <v>3098</v>
      </c>
      <c r="AW127" s="305">
        <v>0</v>
      </c>
      <c r="AX127" s="305">
        <v>689</v>
      </c>
      <c r="AY127" s="305">
        <v>0</v>
      </c>
    </row>
    <row r="128" spans="2:51">
      <c r="B128" s="295">
        <v>10446</v>
      </c>
      <c r="C128" s="295" t="s">
        <v>131</v>
      </c>
      <c r="D128" s="305">
        <v>3057</v>
      </c>
      <c r="E128" s="305">
        <v>0</v>
      </c>
      <c r="F128" s="305">
        <v>6538</v>
      </c>
      <c r="G128" s="305">
        <v>0</v>
      </c>
      <c r="H128" s="305">
        <v>9813</v>
      </c>
      <c r="I128" s="305">
        <v>0</v>
      </c>
      <c r="J128" s="305">
        <v>9354</v>
      </c>
      <c r="K128" s="305">
        <v>0</v>
      </c>
      <c r="L128" s="305">
        <v>2295</v>
      </c>
      <c r="M128" s="305">
        <v>0</v>
      </c>
      <c r="N128" s="305">
        <v>13204</v>
      </c>
      <c r="O128" s="305">
        <v>0</v>
      </c>
      <c r="P128" s="305">
        <v>4960</v>
      </c>
      <c r="Q128" s="305">
        <v>0</v>
      </c>
      <c r="R128" s="305">
        <v>9454</v>
      </c>
      <c r="S128" s="305">
        <v>0</v>
      </c>
      <c r="T128" s="305">
        <v>9108</v>
      </c>
      <c r="U128" s="305">
        <v>0</v>
      </c>
      <c r="V128" s="305">
        <v>5548</v>
      </c>
      <c r="W128" s="305">
        <v>0</v>
      </c>
      <c r="X128" s="305">
        <v>12566</v>
      </c>
      <c r="Y128" s="305">
        <v>0</v>
      </c>
      <c r="Z128" s="305">
        <v>5655</v>
      </c>
      <c r="AA128" s="305">
        <v>0</v>
      </c>
      <c r="AB128" s="305">
        <v>6530</v>
      </c>
      <c r="AC128" s="305">
        <v>0</v>
      </c>
      <c r="AD128" s="305">
        <v>10309</v>
      </c>
      <c r="AE128" s="305">
        <v>0</v>
      </c>
      <c r="AF128" s="305">
        <v>5889</v>
      </c>
      <c r="AG128" s="305">
        <v>0</v>
      </c>
      <c r="AH128" s="305">
        <v>13200</v>
      </c>
      <c r="AI128" s="305">
        <v>0</v>
      </c>
      <c r="AJ128" s="305">
        <v>6424</v>
      </c>
      <c r="AK128" s="305">
        <v>0</v>
      </c>
      <c r="AL128" s="305">
        <v>6333</v>
      </c>
      <c r="AM128" s="305">
        <v>0</v>
      </c>
      <c r="AN128" s="305">
        <v>8327</v>
      </c>
      <c r="AO128" s="305">
        <v>0</v>
      </c>
      <c r="AP128" s="305">
        <v>9483</v>
      </c>
      <c r="AQ128" s="305">
        <v>0</v>
      </c>
      <c r="AR128" s="305">
        <v>5761</v>
      </c>
      <c r="AS128" s="305">
        <v>0</v>
      </c>
      <c r="AT128" s="305">
        <v>9753</v>
      </c>
      <c r="AU128" s="305">
        <v>0</v>
      </c>
      <c r="AV128" s="305">
        <v>12954</v>
      </c>
      <c r="AW128" s="305">
        <v>0</v>
      </c>
      <c r="AX128" s="305">
        <v>6010</v>
      </c>
      <c r="AY128" s="305">
        <v>0</v>
      </c>
    </row>
    <row r="129" spans="2:51">
      <c r="B129" s="295">
        <v>10448</v>
      </c>
      <c r="C129" s="295" t="s">
        <v>132</v>
      </c>
      <c r="D129" s="305">
        <v>0</v>
      </c>
      <c r="E129" s="305">
        <v>0</v>
      </c>
      <c r="F129" s="305">
        <v>0</v>
      </c>
      <c r="G129" s="305">
        <v>0</v>
      </c>
      <c r="H129" s="305">
        <v>0</v>
      </c>
      <c r="I129" s="305">
        <v>0</v>
      </c>
      <c r="J129" s="305">
        <v>0</v>
      </c>
      <c r="K129" s="305">
        <v>0</v>
      </c>
      <c r="L129" s="305">
        <v>0</v>
      </c>
      <c r="M129" s="305">
        <v>0</v>
      </c>
      <c r="N129" s="305">
        <v>0</v>
      </c>
      <c r="O129" s="305">
        <v>0</v>
      </c>
      <c r="P129" s="305">
        <v>0</v>
      </c>
      <c r="Q129" s="305">
        <v>0</v>
      </c>
      <c r="R129" s="305">
        <v>0</v>
      </c>
      <c r="S129" s="305">
        <v>0</v>
      </c>
      <c r="T129" s="305">
        <v>0</v>
      </c>
      <c r="U129" s="305">
        <v>0</v>
      </c>
      <c r="V129" s="305">
        <v>0</v>
      </c>
      <c r="W129" s="305">
        <v>0</v>
      </c>
      <c r="X129" s="305">
        <v>0</v>
      </c>
      <c r="Y129" s="305">
        <v>0</v>
      </c>
      <c r="Z129" s="305">
        <v>0</v>
      </c>
      <c r="AA129" s="305">
        <v>0</v>
      </c>
      <c r="AB129" s="305">
        <v>0</v>
      </c>
      <c r="AC129" s="305">
        <v>0</v>
      </c>
      <c r="AD129" s="305">
        <v>0</v>
      </c>
      <c r="AE129" s="305">
        <v>0</v>
      </c>
      <c r="AF129" s="305">
        <v>0</v>
      </c>
      <c r="AG129" s="305">
        <v>0</v>
      </c>
      <c r="AH129" s="305">
        <v>0</v>
      </c>
      <c r="AI129" s="305">
        <v>0</v>
      </c>
      <c r="AJ129" s="305">
        <v>0</v>
      </c>
      <c r="AK129" s="305">
        <v>0</v>
      </c>
      <c r="AL129" s="305">
        <v>0</v>
      </c>
      <c r="AM129" s="305">
        <v>0</v>
      </c>
      <c r="AN129" s="305">
        <v>0</v>
      </c>
      <c r="AO129" s="305">
        <v>0</v>
      </c>
      <c r="AP129" s="305">
        <v>0</v>
      </c>
      <c r="AQ129" s="305">
        <v>0</v>
      </c>
      <c r="AR129" s="305">
        <v>0</v>
      </c>
      <c r="AS129" s="305">
        <v>0</v>
      </c>
      <c r="AT129" s="305">
        <v>0</v>
      </c>
      <c r="AU129" s="305">
        <v>0</v>
      </c>
      <c r="AV129" s="305">
        <v>0</v>
      </c>
      <c r="AW129" s="305">
        <v>0</v>
      </c>
      <c r="AX129" s="305">
        <v>0</v>
      </c>
      <c r="AY129" s="305">
        <v>0</v>
      </c>
    </row>
    <row r="130" spans="2:51">
      <c r="B130" s="295">
        <v>10451</v>
      </c>
      <c r="C130" s="295" t="s">
        <v>133</v>
      </c>
      <c r="D130" s="305">
        <v>679</v>
      </c>
      <c r="E130" s="305">
        <v>0</v>
      </c>
      <c r="F130" s="305">
        <v>2129</v>
      </c>
      <c r="G130" s="305">
        <v>0</v>
      </c>
      <c r="H130" s="305">
        <v>2429</v>
      </c>
      <c r="I130" s="305">
        <v>0</v>
      </c>
      <c r="J130" s="305">
        <v>1954</v>
      </c>
      <c r="K130" s="305">
        <v>0</v>
      </c>
      <c r="L130" s="305">
        <v>0</v>
      </c>
      <c r="M130" s="305">
        <v>0</v>
      </c>
      <c r="N130" s="305">
        <v>0</v>
      </c>
      <c r="O130" s="305">
        <v>0</v>
      </c>
      <c r="P130" s="305">
        <v>958</v>
      </c>
      <c r="Q130" s="305">
        <v>0</v>
      </c>
      <c r="R130" s="305">
        <v>2789</v>
      </c>
      <c r="S130" s="305">
        <v>0</v>
      </c>
      <c r="T130" s="305">
        <v>2234</v>
      </c>
      <c r="U130" s="305">
        <v>0</v>
      </c>
      <c r="V130" s="305">
        <v>481</v>
      </c>
      <c r="W130" s="305">
        <v>0</v>
      </c>
      <c r="X130" s="305">
        <v>2772</v>
      </c>
      <c r="Y130" s="305">
        <v>0</v>
      </c>
      <c r="Z130" s="305">
        <v>531</v>
      </c>
      <c r="AA130" s="305">
        <v>0</v>
      </c>
      <c r="AB130" s="305">
        <v>1699</v>
      </c>
      <c r="AC130" s="305">
        <v>0</v>
      </c>
      <c r="AD130" s="305">
        <v>3225</v>
      </c>
      <c r="AE130" s="305">
        <v>0</v>
      </c>
      <c r="AF130" s="305">
        <v>1335</v>
      </c>
      <c r="AG130" s="305">
        <v>0</v>
      </c>
      <c r="AH130" s="305">
        <v>3016</v>
      </c>
      <c r="AI130" s="305">
        <v>0</v>
      </c>
      <c r="AJ130" s="305">
        <v>6047</v>
      </c>
      <c r="AK130" s="305">
        <v>0</v>
      </c>
      <c r="AL130" s="305">
        <v>9947</v>
      </c>
      <c r="AM130" s="305">
        <v>0</v>
      </c>
      <c r="AN130" s="305">
        <v>2018</v>
      </c>
      <c r="AO130" s="305">
        <v>0</v>
      </c>
      <c r="AP130" s="305">
        <v>2789</v>
      </c>
      <c r="AQ130" s="305">
        <v>0</v>
      </c>
      <c r="AR130" s="305">
        <v>1179</v>
      </c>
      <c r="AS130" s="305">
        <v>0</v>
      </c>
      <c r="AT130" s="305">
        <v>1542</v>
      </c>
      <c r="AU130" s="305">
        <v>0</v>
      </c>
      <c r="AV130" s="305">
        <v>2772</v>
      </c>
      <c r="AW130" s="305">
        <v>0</v>
      </c>
      <c r="AX130" s="305">
        <v>531</v>
      </c>
      <c r="AY130" s="305">
        <v>0</v>
      </c>
    </row>
    <row r="131" spans="2:51">
      <c r="B131" s="295">
        <v>10482</v>
      </c>
      <c r="C131" s="295" t="s">
        <v>134</v>
      </c>
      <c r="D131" s="305">
        <v>74</v>
      </c>
      <c r="E131" s="305">
        <v>0</v>
      </c>
      <c r="F131" s="305">
        <v>354</v>
      </c>
      <c r="G131" s="305">
        <v>0</v>
      </c>
      <c r="H131" s="305">
        <v>381</v>
      </c>
      <c r="I131" s="305">
        <v>0</v>
      </c>
      <c r="J131" s="305">
        <v>413</v>
      </c>
      <c r="K131" s="305">
        <v>0</v>
      </c>
      <c r="L131" s="305">
        <v>170</v>
      </c>
      <c r="M131" s="305">
        <v>0</v>
      </c>
      <c r="N131" s="305">
        <v>387</v>
      </c>
      <c r="O131" s="305">
        <v>0</v>
      </c>
      <c r="P131" s="305">
        <v>161</v>
      </c>
      <c r="Q131" s="305">
        <v>0</v>
      </c>
      <c r="R131" s="305">
        <v>426</v>
      </c>
      <c r="S131" s="305">
        <v>0</v>
      </c>
      <c r="T131" s="305">
        <v>541</v>
      </c>
      <c r="U131" s="305">
        <v>0</v>
      </c>
      <c r="V131" s="305">
        <v>397</v>
      </c>
      <c r="W131" s="305">
        <v>0</v>
      </c>
      <c r="X131" s="305">
        <v>815</v>
      </c>
      <c r="Y131" s="305">
        <v>0</v>
      </c>
      <c r="Z131" s="305">
        <v>395</v>
      </c>
      <c r="AA131" s="305">
        <v>0</v>
      </c>
      <c r="AB131" s="305">
        <v>178</v>
      </c>
      <c r="AC131" s="305">
        <v>0</v>
      </c>
      <c r="AD131" s="305">
        <v>480</v>
      </c>
      <c r="AE131" s="305">
        <v>0</v>
      </c>
      <c r="AF131" s="305">
        <v>252</v>
      </c>
      <c r="AG131" s="305">
        <v>0</v>
      </c>
      <c r="AH131" s="305">
        <v>539</v>
      </c>
      <c r="AI131" s="305">
        <v>0</v>
      </c>
      <c r="AJ131" s="305">
        <v>246</v>
      </c>
      <c r="AK131" s="305">
        <v>0</v>
      </c>
      <c r="AL131" s="305">
        <v>160</v>
      </c>
      <c r="AM131" s="305">
        <v>0</v>
      </c>
      <c r="AN131" s="305">
        <v>273</v>
      </c>
      <c r="AO131" s="305">
        <v>0</v>
      </c>
      <c r="AP131" s="305">
        <v>426</v>
      </c>
      <c r="AQ131" s="305">
        <v>0</v>
      </c>
      <c r="AR131" s="305">
        <v>428</v>
      </c>
      <c r="AS131" s="305">
        <v>0</v>
      </c>
      <c r="AT131" s="305">
        <v>513</v>
      </c>
      <c r="AU131" s="305">
        <v>0</v>
      </c>
      <c r="AV131" s="305">
        <v>815</v>
      </c>
      <c r="AW131" s="305">
        <v>0</v>
      </c>
      <c r="AX131" s="305">
        <v>395</v>
      </c>
      <c r="AY131" s="305">
        <v>0</v>
      </c>
    </row>
    <row r="132" spans="2:51">
      <c r="B132" s="295">
        <v>10502</v>
      </c>
      <c r="C132" s="295" t="s">
        <v>135</v>
      </c>
      <c r="D132" s="305">
        <v>3134</v>
      </c>
      <c r="E132" s="305">
        <v>0</v>
      </c>
      <c r="F132" s="305">
        <v>4362</v>
      </c>
      <c r="G132" s="305">
        <v>0</v>
      </c>
      <c r="H132" s="305">
        <v>1858</v>
      </c>
      <c r="I132" s="305">
        <v>0</v>
      </c>
      <c r="J132" s="305">
        <v>2921</v>
      </c>
      <c r="K132" s="305">
        <v>0</v>
      </c>
      <c r="L132" s="305">
        <v>1674</v>
      </c>
      <c r="M132" s="305">
        <v>0</v>
      </c>
      <c r="N132" s="305">
        <v>2934</v>
      </c>
      <c r="O132" s="305">
        <v>0</v>
      </c>
      <c r="P132" s="305">
        <v>3182</v>
      </c>
      <c r="Q132" s="305">
        <v>0</v>
      </c>
      <c r="R132" s="305">
        <v>3230</v>
      </c>
      <c r="S132" s="305">
        <v>0</v>
      </c>
      <c r="T132" s="305">
        <v>4252</v>
      </c>
      <c r="U132" s="305">
        <v>0</v>
      </c>
      <c r="V132" s="305">
        <v>1567</v>
      </c>
      <c r="W132" s="305">
        <v>0</v>
      </c>
      <c r="X132" s="305">
        <v>763</v>
      </c>
      <c r="Y132" s="305">
        <v>0</v>
      </c>
      <c r="Z132" s="305">
        <v>3713</v>
      </c>
      <c r="AA132" s="305">
        <v>0</v>
      </c>
      <c r="AB132" s="305">
        <v>4040</v>
      </c>
      <c r="AC132" s="305">
        <v>0</v>
      </c>
      <c r="AD132" s="305">
        <v>4901</v>
      </c>
      <c r="AE132" s="305">
        <v>0</v>
      </c>
      <c r="AF132" s="305">
        <v>2303</v>
      </c>
      <c r="AG132" s="305">
        <v>0</v>
      </c>
      <c r="AH132" s="305">
        <v>3321</v>
      </c>
      <c r="AI132" s="305">
        <v>0</v>
      </c>
      <c r="AJ132" s="305">
        <v>2456</v>
      </c>
      <c r="AK132" s="305">
        <v>0</v>
      </c>
      <c r="AL132" s="305">
        <v>2783</v>
      </c>
      <c r="AM132" s="305">
        <v>0</v>
      </c>
      <c r="AN132" s="305">
        <v>4045</v>
      </c>
      <c r="AO132" s="305">
        <v>0</v>
      </c>
      <c r="AP132" s="305">
        <v>3555</v>
      </c>
      <c r="AQ132" s="305">
        <v>0</v>
      </c>
      <c r="AR132" s="305">
        <v>3520</v>
      </c>
      <c r="AS132" s="305">
        <v>0</v>
      </c>
      <c r="AT132" s="305">
        <v>3058</v>
      </c>
      <c r="AU132" s="305">
        <v>0</v>
      </c>
      <c r="AV132" s="305">
        <v>1001</v>
      </c>
      <c r="AW132" s="305">
        <v>0</v>
      </c>
      <c r="AX132" s="305">
        <v>3960</v>
      </c>
      <c r="AY132" s="305">
        <v>0</v>
      </c>
    </row>
    <row r="133" spans="2:51">
      <c r="B133" s="295">
        <v>13927</v>
      </c>
      <c r="C133" s="295" t="s">
        <v>269</v>
      </c>
      <c r="D133" s="305">
        <v>162</v>
      </c>
      <c r="E133" s="305">
        <v>0</v>
      </c>
      <c r="F133" s="305">
        <v>139</v>
      </c>
      <c r="G133" s="305">
        <v>0</v>
      </c>
      <c r="H133" s="305">
        <v>585</v>
      </c>
      <c r="I133" s="305">
        <v>0</v>
      </c>
      <c r="J133" s="305">
        <v>327</v>
      </c>
      <c r="K133" s="305">
        <v>0</v>
      </c>
      <c r="L133" s="305">
        <v>0</v>
      </c>
      <c r="M133" s="305">
        <v>0</v>
      </c>
      <c r="N133" s="305">
        <v>438</v>
      </c>
      <c r="O133" s="305">
        <v>0</v>
      </c>
      <c r="P133" s="305">
        <v>0</v>
      </c>
      <c r="Q133" s="305">
        <v>0</v>
      </c>
      <c r="R133" s="305">
        <v>175</v>
      </c>
      <c r="S133" s="305">
        <v>0</v>
      </c>
      <c r="T133" s="305">
        <v>0</v>
      </c>
      <c r="U133" s="305">
        <v>0</v>
      </c>
      <c r="V133" s="305">
        <v>493</v>
      </c>
      <c r="W133" s="305">
        <v>0</v>
      </c>
      <c r="X133" s="305">
        <v>725</v>
      </c>
      <c r="Y133" s="305">
        <v>0</v>
      </c>
      <c r="Z133" s="305">
        <v>0</v>
      </c>
      <c r="AA133" s="305">
        <v>0</v>
      </c>
      <c r="AB133" s="305">
        <v>310</v>
      </c>
      <c r="AC133" s="305">
        <v>0</v>
      </c>
      <c r="AD133" s="305">
        <v>177</v>
      </c>
      <c r="AE133" s="305">
        <v>0</v>
      </c>
      <c r="AF133" s="305">
        <v>633</v>
      </c>
      <c r="AG133" s="305">
        <v>0</v>
      </c>
      <c r="AH133" s="305">
        <v>422</v>
      </c>
      <c r="AI133" s="305">
        <v>0</v>
      </c>
      <c r="AJ133" s="305">
        <v>0</v>
      </c>
      <c r="AK133" s="305">
        <v>0</v>
      </c>
      <c r="AL133" s="305">
        <v>426</v>
      </c>
      <c r="AM133" s="305">
        <v>0</v>
      </c>
      <c r="AN133" s="305">
        <v>0</v>
      </c>
      <c r="AO133" s="305">
        <v>0</v>
      </c>
      <c r="AP133" s="305">
        <v>285</v>
      </c>
      <c r="AQ133" s="305">
        <v>0</v>
      </c>
      <c r="AR133" s="305">
        <v>0</v>
      </c>
      <c r="AS133" s="305">
        <v>0</v>
      </c>
      <c r="AT133" s="305">
        <v>810</v>
      </c>
      <c r="AU133" s="305">
        <v>0</v>
      </c>
      <c r="AV133" s="305">
        <v>916</v>
      </c>
      <c r="AW133" s="305">
        <v>0</v>
      </c>
      <c r="AX133" s="305">
        <v>0</v>
      </c>
      <c r="AY133" s="305">
        <v>0</v>
      </c>
    </row>
    <row r="134" spans="2:51">
      <c r="B134" s="295">
        <v>10597</v>
      </c>
      <c r="C134" s="295" t="s">
        <v>136</v>
      </c>
      <c r="D134" s="305">
        <v>1761</v>
      </c>
      <c r="E134" s="305">
        <v>0</v>
      </c>
      <c r="F134" s="305">
        <v>1187</v>
      </c>
      <c r="G134" s="305">
        <v>0</v>
      </c>
      <c r="H134" s="305">
        <v>2091</v>
      </c>
      <c r="I134" s="305">
        <v>0</v>
      </c>
      <c r="J134" s="305">
        <v>1955</v>
      </c>
      <c r="K134" s="305">
        <v>0</v>
      </c>
      <c r="L134" s="305">
        <v>617</v>
      </c>
      <c r="M134" s="305">
        <v>0</v>
      </c>
      <c r="N134" s="305">
        <v>2187</v>
      </c>
      <c r="O134" s="305">
        <v>0</v>
      </c>
      <c r="P134" s="305">
        <v>1171</v>
      </c>
      <c r="Q134" s="305">
        <v>0</v>
      </c>
      <c r="R134" s="305">
        <v>1233</v>
      </c>
      <c r="S134" s="305">
        <v>0</v>
      </c>
      <c r="T134" s="305">
        <v>2268</v>
      </c>
      <c r="U134" s="305">
        <v>0</v>
      </c>
      <c r="V134" s="305">
        <v>2532</v>
      </c>
      <c r="W134" s="305">
        <v>0</v>
      </c>
      <c r="X134" s="305">
        <v>2311</v>
      </c>
      <c r="Y134" s="305">
        <v>0</v>
      </c>
      <c r="Z134" s="305">
        <v>1130</v>
      </c>
      <c r="AA134" s="305">
        <v>0</v>
      </c>
      <c r="AB134" s="305">
        <v>2197</v>
      </c>
      <c r="AC134" s="305">
        <v>0</v>
      </c>
      <c r="AD134" s="305">
        <v>1177</v>
      </c>
      <c r="AE134" s="305">
        <v>0</v>
      </c>
      <c r="AF134" s="305">
        <v>2075</v>
      </c>
      <c r="AG134" s="305">
        <v>0</v>
      </c>
      <c r="AH134" s="305">
        <v>1941</v>
      </c>
      <c r="AI134" s="305">
        <v>0</v>
      </c>
      <c r="AJ134" s="305">
        <v>1033</v>
      </c>
      <c r="AK134" s="305">
        <v>0</v>
      </c>
      <c r="AL134" s="305">
        <v>1732</v>
      </c>
      <c r="AM134" s="305">
        <v>0</v>
      </c>
      <c r="AN134" s="305">
        <v>1622</v>
      </c>
      <c r="AO134" s="305">
        <v>0</v>
      </c>
      <c r="AP134" s="305">
        <v>1233</v>
      </c>
      <c r="AQ134" s="305">
        <v>0</v>
      </c>
      <c r="AR134" s="305">
        <v>1753</v>
      </c>
      <c r="AS134" s="305">
        <v>0</v>
      </c>
      <c r="AT134" s="305">
        <v>3164</v>
      </c>
      <c r="AU134" s="305">
        <v>0</v>
      </c>
      <c r="AV134" s="305">
        <v>2316</v>
      </c>
      <c r="AW134" s="305">
        <v>0</v>
      </c>
      <c r="AX134" s="305">
        <v>1130</v>
      </c>
      <c r="AY134" s="305">
        <v>0</v>
      </c>
    </row>
    <row r="135" spans="2:51">
      <c r="B135" s="295">
        <v>10706</v>
      </c>
      <c r="C135" s="295" t="s">
        <v>137</v>
      </c>
      <c r="D135" s="305">
        <v>1218</v>
      </c>
      <c r="E135" s="305">
        <v>0</v>
      </c>
      <c r="F135" s="305">
        <v>1742</v>
      </c>
      <c r="G135" s="305">
        <v>0</v>
      </c>
      <c r="H135" s="305">
        <v>1334</v>
      </c>
      <c r="I135" s="305">
        <v>0</v>
      </c>
      <c r="J135" s="305">
        <v>2164</v>
      </c>
      <c r="K135" s="305">
        <v>0</v>
      </c>
      <c r="L135" s="305">
        <v>1144</v>
      </c>
      <c r="M135" s="305">
        <v>0</v>
      </c>
      <c r="N135" s="305">
        <v>2220</v>
      </c>
      <c r="O135" s="305">
        <v>0</v>
      </c>
      <c r="P135" s="305">
        <v>1118</v>
      </c>
      <c r="Q135" s="305">
        <v>0</v>
      </c>
      <c r="R135" s="305">
        <v>1382</v>
      </c>
      <c r="S135" s="305">
        <v>0</v>
      </c>
      <c r="T135" s="305">
        <v>1825</v>
      </c>
      <c r="U135" s="305">
        <v>0</v>
      </c>
      <c r="V135" s="305">
        <v>1305</v>
      </c>
      <c r="W135" s="305">
        <v>0</v>
      </c>
      <c r="X135" s="305">
        <v>3044</v>
      </c>
      <c r="Y135" s="305">
        <v>0</v>
      </c>
      <c r="Z135" s="305">
        <v>1346</v>
      </c>
      <c r="AA135" s="305">
        <v>0</v>
      </c>
      <c r="AB135" s="305">
        <v>1956</v>
      </c>
      <c r="AC135" s="305">
        <v>0</v>
      </c>
      <c r="AD135" s="305">
        <v>1673</v>
      </c>
      <c r="AE135" s="305">
        <v>0</v>
      </c>
      <c r="AF135" s="305">
        <v>1220</v>
      </c>
      <c r="AG135" s="305">
        <v>0</v>
      </c>
      <c r="AH135" s="305">
        <v>2280</v>
      </c>
      <c r="AI135" s="305">
        <v>0</v>
      </c>
      <c r="AJ135" s="305">
        <v>1673</v>
      </c>
      <c r="AK135" s="305">
        <v>0</v>
      </c>
      <c r="AL135" s="305">
        <v>1367</v>
      </c>
      <c r="AM135" s="305">
        <v>0</v>
      </c>
      <c r="AN135" s="305">
        <v>1948</v>
      </c>
      <c r="AO135" s="305">
        <v>0</v>
      </c>
      <c r="AP135" s="305">
        <v>1368</v>
      </c>
      <c r="AQ135" s="305">
        <v>0</v>
      </c>
      <c r="AR135" s="305">
        <v>915</v>
      </c>
      <c r="AS135" s="305">
        <v>0</v>
      </c>
      <c r="AT135" s="305">
        <v>2198</v>
      </c>
      <c r="AU135" s="305">
        <v>0</v>
      </c>
      <c r="AV135" s="305">
        <v>3041</v>
      </c>
      <c r="AW135" s="305">
        <v>0</v>
      </c>
      <c r="AX135" s="305">
        <v>1338</v>
      </c>
      <c r="AY135" s="305">
        <v>0</v>
      </c>
    </row>
    <row r="136" spans="2:51">
      <c r="B136" s="295">
        <v>11680</v>
      </c>
      <c r="C136" s="295" t="s">
        <v>138</v>
      </c>
      <c r="D136" s="305">
        <v>0</v>
      </c>
      <c r="E136" s="305">
        <v>0</v>
      </c>
      <c r="F136" s="305">
        <v>396</v>
      </c>
      <c r="G136" s="305">
        <v>0</v>
      </c>
      <c r="H136" s="305">
        <v>376</v>
      </c>
      <c r="I136" s="305">
        <v>0</v>
      </c>
      <c r="J136" s="305">
        <v>1341</v>
      </c>
      <c r="K136" s="305">
        <v>0</v>
      </c>
      <c r="L136" s="305">
        <v>546</v>
      </c>
      <c r="M136" s="305">
        <v>0</v>
      </c>
      <c r="N136" s="305">
        <v>1026</v>
      </c>
      <c r="O136" s="305">
        <v>0</v>
      </c>
      <c r="P136" s="305">
        <v>0</v>
      </c>
      <c r="Q136" s="305">
        <v>0</v>
      </c>
      <c r="R136" s="305">
        <v>1052</v>
      </c>
      <c r="S136" s="305">
        <v>0</v>
      </c>
      <c r="T136" s="305">
        <v>646</v>
      </c>
      <c r="U136" s="305">
        <v>0</v>
      </c>
      <c r="V136" s="305">
        <v>1191</v>
      </c>
      <c r="W136" s="305">
        <v>0</v>
      </c>
      <c r="X136" s="305">
        <v>557</v>
      </c>
      <c r="Y136" s="305">
        <v>0</v>
      </c>
      <c r="Z136" s="305">
        <v>250</v>
      </c>
      <c r="AA136" s="305">
        <v>0</v>
      </c>
      <c r="AB136" s="305">
        <v>85</v>
      </c>
      <c r="AC136" s="305">
        <v>0</v>
      </c>
      <c r="AD136" s="305">
        <v>684</v>
      </c>
      <c r="AE136" s="305">
        <v>0</v>
      </c>
      <c r="AF136" s="305">
        <v>63</v>
      </c>
      <c r="AG136" s="305">
        <v>0</v>
      </c>
      <c r="AH136" s="305">
        <v>1653</v>
      </c>
      <c r="AI136" s="305">
        <v>0</v>
      </c>
      <c r="AJ136" s="305">
        <v>852</v>
      </c>
      <c r="AK136" s="305">
        <v>0</v>
      </c>
      <c r="AL136" s="305">
        <v>555</v>
      </c>
      <c r="AM136" s="305">
        <v>0</v>
      </c>
      <c r="AN136" s="305">
        <v>169</v>
      </c>
      <c r="AO136" s="305">
        <v>0</v>
      </c>
      <c r="AP136" s="305">
        <v>1058</v>
      </c>
      <c r="AQ136" s="305">
        <v>0</v>
      </c>
      <c r="AR136" s="305">
        <v>402</v>
      </c>
      <c r="AS136" s="305">
        <v>0</v>
      </c>
      <c r="AT136" s="305">
        <v>1521</v>
      </c>
      <c r="AU136" s="305">
        <v>0</v>
      </c>
      <c r="AV136" s="305">
        <v>571</v>
      </c>
      <c r="AW136" s="305">
        <v>0</v>
      </c>
      <c r="AX136" s="305">
        <v>256</v>
      </c>
      <c r="AY136" s="305">
        <v>0</v>
      </c>
    </row>
    <row r="137" spans="2:51" s="156" customFormat="1">
      <c r="B137" s="295">
        <v>12026</v>
      </c>
      <c r="C137" s="295" t="s">
        <v>139</v>
      </c>
      <c r="D137" s="305">
        <v>0</v>
      </c>
      <c r="E137" s="305">
        <v>0</v>
      </c>
      <c r="F137" s="305">
        <v>6582</v>
      </c>
      <c r="G137" s="305">
        <v>0</v>
      </c>
      <c r="H137" s="305">
        <v>9946</v>
      </c>
      <c r="I137" s="305">
        <v>0</v>
      </c>
      <c r="J137" s="305">
        <v>16963</v>
      </c>
      <c r="K137" s="305">
        <v>0</v>
      </c>
      <c r="L137" s="305">
        <v>5533</v>
      </c>
      <c r="M137" s="305">
        <v>0</v>
      </c>
      <c r="N137" s="305">
        <v>8671</v>
      </c>
      <c r="O137" s="305">
        <v>0</v>
      </c>
      <c r="P137" s="305">
        <v>2801</v>
      </c>
      <c r="Q137" s="305">
        <v>0</v>
      </c>
      <c r="R137" s="305">
        <v>1932</v>
      </c>
      <c r="S137" s="305">
        <v>0</v>
      </c>
      <c r="T137" s="305">
        <v>990</v>
      </c>
      <c r="U137" s="305">
        <v>0</v>
      </c>
      <c r="V137" s="305">
        <v>5247</v>
      </c>
      <c r="W137" s="305">
        <v>0</v>
      </c>
      <c r="X137" s="305">
        <v>3682</v>
      </c>
      <c r="Y137" s="305">
        <v>0</v>
      </c>
      <c r="Z137" s="305">
        <v>0</v>
      </c>
      <c r="AA137" s="305">
        <v>0</v>
      </c>
      <c r="AB137" s="305">
        <v>534</v>
      </c>
      <c r="AC137" s="305">
        <v>0</v>
      </c>
      <c r="AD137" s="305">
        <v>8813</v>
      </c>
      <c r="AE137" s="305">
        <v>0</v>
      </c>
      <c r="AF137" s="305">
        <v>7781</v>
      </c>
      <c r="AG137" s="305">
        <v>0</v>
      </c>
      <c r="AH137" s="305">
        <v>19455</v>
      </c>
      <c r="AI137" s="305">
        <v>0</v>
      </c>
      <c r="AJ137" s="305">
        <v>7746</v>
      </c>
      <c r="AK137" s="305">
        <v>0</v>
      </c>
      <c r="AL137" s="305">
        <v>4904</v>
      </c>
      <c r="AM137" s="305">
        <v>0</v>
      </c>
      <c r="AN137" s="305">
        <v>4819</v>
      </c>
      <c r="AO137" s="305">
        <v>0</v>
      </c>
      <c r="AP137" s="305">
        <v>2126</v>
      </c>
      <c r="AQ137" s="305">
        <v>0</v>
      </c>
      <c r="AR137" s="305">
        <v>0</v>
      </c>
      <c r="AS137" s="305">
        <v>0</v>
      </c>
      <c r="AT137" s="305">
        <v>6851</v>
      </c>
      <c r="AU137" s="305">
        <v>0</v>
      </c>
      <c r="AV137" s="305">
        <v>3856</v>
      </c>
      <c r="AW137" s="305">
        <v>0</v>
      </c>
      <c r="AX137" s="305">
        <v>0</v>
      </c>
      <c r="AY137" s="305">
        <v>0</v>
      </c>
    </row>
    <row r="138" spans="2:51">
      <c r="B138" s="295">
        <v>10298</v>
      </c>
      <c r="C138" s="295" t="s">
        <v>140</v>
      </c>
      <c r="D138" s="305">
        <v>28707</v>
      </c>
      <c r="E138" s="305">
        <v>0</v>
      </c>
      <c r="F138" s="305">
        <v>0</v>
      </c>
      <c r="G138" s="305">
        <v>0</v>
      </c>
      <c r="H138" s="305">
        <v>52472</v>
      </c>
      <c r="I138" s="305">
        <v>0</v>
      </c>
      <c r="J138" s="305">
        <v>40028</v>
      </c>
      <c r="K138" s="305">
        <v>0</v>
      </c>
      <c r="L138" s="305">
        <v>0</v>
      </c>
      <c r="M138" s="305">
        <v>0</v>
      </c>
      <c r="N138" s="305">
        <v>177437</v>
      </c>
      <c r="O138" s="305">
        <v>0</v>
      </c>
      <c r="P138" s="305">
        <v>85865</v>
      </c>
      <c r="Q138" s="305">
        <v>0</v>
      </c>
      <c r="R138" s="305">
        <v>185809</v>
      </c>
      <c r="S138" s="305">
        <v>0</v>
      </c>
      <c r="T138" s="305">
        <v>145803</v>
      </c>
      <c r="U138" s="305">
        <v>0</v>
      </c>
      <c r="V138" s="305">
        <v>146997</v>
      </c>
      <c r="W138" s="305">
        <v>0</v>
      </c>
      <c r="X138" s="305">
        <v>213033</v>
      </c>
      <c r="Y138" s="305">
        <v>0</v>
      </c>
      <c r="Z138" s="305">
        <v>163473</v>
      </c>
      <c r="AA138" s="305">
        <v>0</v>
      </c>
      <c r="AB138" s="305">
        <v>106297</v>
      </c>
      <c r="AC138" s="305">
        <v>0</v>
      </c>
      <c r="AD138" s="305">
        <v>24122</v>
      </c>
      <c r="AE138" s="305">
        <v>0</v>
      </c>
      <c r="AF138" s="305">
        <v>99523</v>
      </c>
      <c r="AG138" s="305">
        <v>0</v>
      </c>
      <c r="AH138" s="305">
        <v>107988</v>
      </c>
      <c r="AI138" s="305">
        <v>0</v>
      </c>
      <c r="AJ138" s="305">
        <v>35830</v>
      </c>
      <c r="AK138" s="305">
        <v>0</v>
      </c>
      <c r="AL138" s="305">
        <v>199597</v>
      </c>
      <c r="AM138" s="305">
        <v>0</v>
      </c>
      <c r="AN138" s="305">
        <v>166057</v>
      </c>
      <c r="AO138" s="305">
        <v>0</v>
      </c>
      <c r="AP138" s="305">
        <v>256684</v>
      </c>
      <c r="AQ138" s="305">
        <v>0</v>
      </c>
      <c r="AR138" s="305">
        <v>169721</v>
      </c>
      <c r="AS138" s="305">
        <v>0</v>
      </c>
      <c r="AT138" s="305">
        <v>234688</v>
      </c>
      <c r="AU138" s="305">
        <v>0</v>
      </c>
      <c r="AV138" s="305">
        <v>280647</v>
      </c>
      <c r="AW138" s="305">
        <v>0</v>
      </c>
      <c r="AX138" s="305">
        <v>218271</v>
      </c>
      <c r="AY138" s="305">
        <v>0</v>
      </c>
    </row>
    <row r="139" spans="2:51">
      <c r="B139" s="24" t="s">
        <v>141</v>
      </c>
      <c r="C139" s="25" t="s">
        <v>141</v>
      </c>
      <c r="D139" s="26"/>
      <c r="E139" s="27"/>
      <c r="F139" s="26"/>
      <c r="G139" s="27"/>
      <c r="H139" s="26"/>
      <c r="I139" s="27"/>
      <c r="J139" s="26"/>
      <c r="K139" s="27"/>
      <c r="L139" s="26"/>
      <c r="M139" s="27"/>
      <c r="N139" s="26"/>
      <c r="O139" s="27"/>
      <c r="P139" s="26"/>
      <c r="Q139" s="27"/>
      <c r="R139" s="26"/>
      <c r="S139" s="27"/>
      <c r="T139" s="26"/>
      <c r="U139" s="27"/>
      <c r="V139" s="26"/>
      <c r="W139" s="27"/>
      <c r="X139" s="26"/>
      <c r="Y139" s="27"/>
      <c r="Z139" s="26"/>
      <c r="AA139" s="27"/>
      <c r="AB139" s="26"/>
      <c r="AC139" s="27"/>
      <c r="AD139" s="26"/>
      <c r="AE139" s="27"/>
      <c r="AF139" s="26"/>
      <c r="AG139" s="27"/>
      <c r="AH139" s="26"/>
      <c r="AI139" s="27"/>
      <c r="AJ139" s="26"/>
      <c r="AK139" s="27"/>
      <c r="AL139" s="26"/>
      <c r="AM139" s="27"/>
      <c r="AN139" s="26"/>
      <c r="AO139" s="27"/>
      <c r="AP139" s="26"/>
      <c r="AQ139" s="27"/>
      <c r="AR139" s="26"/>
      <c r="AS139" s="27"/>
      <c r="AT139" s="26"/>
      <c r="AU139" s="27"/>
      <c r="AV139" s="26"/>
      <c r="AW139" s="27"/>
      <c r="AX139" s="26"/>
      <c r="AY139" s="27"/>
    </row>
    <row r="140" spans="2:51">
      <c r="B140" s="24" t="s">
        <v>141</v>
      </c>
      <c r="C140" s="25" t="s">
        <v>141</v>
      </c>
      <c r="D140" s="26" t="s">
        <v>141</v>
      </c>
      <c r="E140" s="27" t="s">
        <v>141</v>
      </c>
      <c r="F140" s="26" t="s">
        <v>141</v>
      </c>
      <c r="G140" s="27" t="s">
        <v>141</v>
      </c>
      <c r="H140" s="26" t="s">
        <v>141</v>
      </c>
      <c r="I140" s="27" t="s">
        <v>141</v>
      </c>
      <c r="J140" s="26" t="s">
        <v>141</v>
      </c>
      <c r="K140" s="27" t="s">
        <v>141</v>
      </c>
      <c r="L140" s="26" t="s">
        <v>141</v>
      </c>
      <c r="M140" s="27" t="s">
        <v>141</v>
      </c>
      <c r="N140" s="26" t="s">
        <v>141</v>
      </c>
      <c r="O140" s="27" t="s">
        <v>141</v>
      </c>
      <c r="P140" s="26" t="s">
        <v>141</v>
      </c>
      <c r="Q140" s="27" t="s">
        <v>141</v>
      </c>
      <c r="R140" s="26" t="s">
        <v>141</v>
      </c>
      <c r="S140" s="27" t="s">
        <v>141</v>
      </c>
      <c r="T140" s="26" t="s">
        <v>141</v>
      </c>
      <c r="U140" s="27" t="s">
        <v>141</v>
      </c>
      <c r="V140" s="26" t="s">
        <v>141</v>
      </c>
      <c r="W140" s="27" t="s">
        <v>141</v>
      </c>
      <c r="X140" s="26" t="s">
        <v>141</v>
      </c>
      <c r="Y140" s="27" t="s">
        <v>141</v>
      </c>
      <c r="Z140" s="26" t="s">
        <v>141</v>
      </c>
      <c r="AA140" s="27" t="s">
        <v>141</v>
      </c>
      <c r="AB140" s="26" t="s">
        <v>141</v>
      </c>
      <c r="AC140" s="27" t="s">
        <v>141</v>
      </c>
      <c r="AD140" s="26" t="s">
        <v>141</v>
      </c>
      <c r="AE140" s="27" t="s">
        <v>141</v>
      </c>
      <c r="AF140" s="26" t="s">
        <v>141</v>
      </c>
      <c r="AG140" s="27" t="s">
        <v>141</v>
      </c>
      <c r="AH140" s="26" t="s">
        <v>141</v>
      </c>
      <c r="AI140" s="27" t="s">
        <v>141</v>
      </c>
      <c r="AJ140" s="26" t="s">
        <v>141</v>
      </c>
      <c r="AK140" s="27" t="s">
        <v>141</v>
      </c>
      <c r="AL140" s="26" t="s">
        <v>141</v>
      </c>
      <c r="AM140" s="27" t="s">
        <v>141</v>
      </c>
      <c r="AN140" s="26" t="s">
        <v>141</v>
      </c>
      <c r="AO140" s="27" t="s">
        <v>141</v>
      </c>
      <c r="AP140" s="26" t="s">
        <v>141</v>
      </c>
      <c r="AQ140" s="27" t="s">
        <v>141</v>
      </c>
      <c r="AR140" s="26" t="s">
        <v>141</v>
      </c>
      <c r="AS140" s="27" t="s">
        <v>141</v>
      </c>
      <c r="AT140" s="26" t="s">
        <v>141</v>
      </c>
      <c r="AU140" s="27" t="s">
        <v>141</v>
      </c>
      <c r="AV140" s="26" t="s">
        <v>141</v>
      </c>
      <c r="AW140" s="27" t="s">
        <v>141</v>
      </c>
      <c r="AX140" s="26" t="s">
        <v>141</v>
      </c>
      <c r="AY140" s="27" t="s">
        <v>141</v>
      </c>
    </row>
    <row r="141" spans="2:51">
      <c r="B141" s="24" t="s">
        <v>141</v>
      </c>
      <c r="C141" s="25" t="s">
        <v>141</v>
      </c>
      <c r="D141" s="26" t="s">
        <v>141</v>
      </c>
      <c r="E141" s="27" t="s">
        <v>141</v>
      </c>
      <c r="F141" s="26" t="s">
        <v>141</v>
      </c>
      <c r="G141" s="27" t="s">
        <v>141</v>
      </c>
      <c r="H141" s="26" t="s">
        <v>141</v>
      </c>
      <c r="I141" s="27" t="s">
        <v>141</v>
      </c>
      <c r="J141" s="26" t="s">
        <v>141</v>
      </c>
      <c r="K141" s="27" t="s">
        <v>141</v>
      </c>
      <c r="L141" s="26" t="s">
        <v>141</v>
      </c>
      <c r="M141" s="27" t="s">
        <v>141</v>
      </c>
      <c r="N141" s="26" t="s">
        <v>141</v>
      </c>
      <c r="O141" s="27" t="s">
        <v>141</v>
      </c>
      <c r="P141" s="26" t="s">
        <v>141</v>
      </c>
      <c r="Q141" s="27" t="s">
        <v>141</v>
      </c>
      <c r="R141" s="26" t="s">
        <v>141</v>
      </c>
      <c r="S141" s="27" t="s">
        <v>141</v>
      </c>
      <c r="T141" s="26" t="s">
        <v>141</v>
      </c>
      <c r="U141" s="27" t="s">
        <v>141</v>
      </c>
      <c r="V141" s="26" t="s">
        <v>141</v>
      </c>
      <c r="W141" s="27" t="s">
        <v>141</v>
      </c>
      <c r="X141" s="26" t="s">
        <v>141</v>
      </c>
      <c r="Y141" s="27" t="s">
        <v>141</v>
      </c>
      <c r="Z141" s="26" t="s">
        <v>141</v>
      </c>
      <c r="AA141" s="27" t="s">
        <v>141</v>
      </c>
      <c r="AB141" s="26" t="s">
        <v>141</v>
      </c>
      <c r="AC141" s="27" t="s">
        <v>141</v>
      </c>
      <c r="AD141" s="26" t="s">
        <v>141</v>
      </c>
      <c r="AE141" s="27" t="s">
        <v>141</v>
      </c>
      <c r="AF141" s="26" t="s">
        <v>141</v>
      </c>
      <c r="AG141" s="27" t="s">
        <v>141</v>
      </c>
      <c r="AH141" s="26" t="s">
        <v>141</v>
      </c>
      <c r="AI141" s="27" t="s">
        <v>141</v>
      </c>
      <c r="AJ141" s="26" t="s">
        <v>141</v>
      </c>
      <c r="AK141" s="27" t="s">
        <v>141</v>
      </c>
      <c r="AL141" s="26" t="s">
        <v>141</v>
      </c>
      <c r="AM141" s="27" t="s">
        <v>141</v>
      </c>
      <c r="AN141" s="26" t="s">
        <v>141</v>
      </c>
      <c r="AO141" s="27" t="s">
        <v>141</v>
      </c>
      <c r="AP141" s="26" t="s">
        <v>141</v>
      </c>
      <c r="AQ141" s="27" t="s">
        <v>141</v>
      </c>
      <c r="AR141" s="26" t="s">
        <v>141</v>
      </c>
      <c r="AS141" s="27" t="s">
        <v>141</v>
      </c>
      <c r="AT141" s="26" t="s">
        <v>141</v>
      </c>
      <c r="AU141" s="27" t="s">
        <v>141</v>
      </c>
      <c r="AV141" s="26" t="s">
        <v>141</v>
      </c>
      <c r="AW141" s="27" t="s">
        <v>141</v>
      </c>
      <c r="AX141" s="26" t="s">
        <v>141</v>
      </c>
      <c r="AY141" s="27" t="s">
        <v>141</v>
      </c>
    </row>
    <row r="142" spans="2:51">
      <c r="B142" s="24" t="s">
        <v>141</v>
      </c>
      <c r="C142" s="25" t="s">
        <v>141</v>
      </c>
      <c r="D142" s="26" t="s">
        <v>141</v>
      </c>
      <c r="E142" s="27" t="s">
        <v>141</v>
      </c>
      <c r="F142" s="26" t="s">
        <v>141</v>
      </c>
      <c r="G142" s="27" t="s">
        <v>141</v>
      </c>
      <c r="H142" s="26" t="s">
        <v>141</v>
      </c>
      <c r="I142" s="27" t="s">
        <v>141</v>
      </c>
      <c r="J142" s="26" t="s">
        <v>141</v>
      </c>
      <c r="K142" s="27" t="s">
        <v>141</v>
      </c>
      <c r="L142" s="26" t="s">
        <v>141</v>
      </c>
      <c r="M142" s="27" t="s">
        <v>141</v>
      </c>
      <c r="N142" s="26" t="s">
        <v>141</v>
      </c>
      <c r="O142" s="27" t="s">
        <v>141</v>
      </c>
      <c r="P142" s="26" t="s">
        <v>141</v>
      </c>
      <c r="Q142" s="27" t="s">
        <v>141</v>
      </c>
      <c r="R142" s="26" t="s">
        <v>141</v>
      </c>
      <c r="S142" s="27" t="s">
        <v>141</v>
      </c>
      <c r="T142" s="26" t="s">
        <v>141</v>
      </c>
      <c r="U142" s="27" t="s">
        <v>141</v>
      </c>
      <c r="V142" s="26" t="s">
        <v>141</v>
      </c>
      <c r="W142" s="27" t="s">
        <v>141</v>
      </c>
      <c r="X142" s="26" t="s">
        <v>141</v>
      </c>
      <c r="Y142" s="27" t="s">
        <v>141</v>
      </c>
      <c r="Z142" s="26" t="s">
        <v>141</v>
      </c>
      <c r="AA142" s="27" t="s">
        <v>141</v>
      </c>
      <c r="AB142" s="26" t="s">
        <v>141</v>
      </c>
      <c r="AC142" s="27" t="s">
        <v>141</v>
      </c>
      <c r="AD142" s="26" t="s">
        <v>141</v>
      </c>
      <c r="AE142" s="27" t="s">
        <v>141</v>
      </c>
      <c r="AF142" s="26" t="s">
        <v>141</v>
      </c>
      <c r="AG142" s="27" t="s">
        <v>141</v>
      </c>
      <c r="AH142" s="26" t="s">
        <v>141</v>
      </c>
      <c r="AI142" s="27" t="s">
        <v>141</v>
      </c>
      <c r="AJ142" s="26" t="s">
        <v>141</v>
      </c>
      <c r="AK142" s="27" t="s">
        <v>141</v>
      </c>
      <c r="AL142" s="26" t="s">
        <v>141</v>
      </c>
      <c r="AM142" s="27" t="s">
        <v>141</v>
      </c>
      <c r="AN142" s="26" t="s">
        <v>141</v>
      </c>
      <c r="AO142" s="27" t="s">
        <v>141</v>
      </c>
      <c r="AP142" s="26" t="s">
        <v>141</v>
      </c>
      <c r="AQ142" s="27" t="s">
        <v>141</v>
      </c>
      <c r="AR142" s="26" t="s">
        <v>141</v>
      </c>
      <c r="AS142" s="27" t="s">
        <v>141</v>
      </c>
      <c r="AT142" s="26" t="s">
        <v>141</v>
      </c>
      <c r="AU142" s="27" t="s">
        <v>141</v>
      </c>
      <c r="AV142" s="26" t="s">
        <v>141</v>
      </c>
      <c r="AW142" s="27" t="s">
        <v>141</v>
      </c>
      <c r="AX142" s="26" t="s">
        <v>141</v>
      </c>
      <c r="AY142" s="27" t="s">
        <v>141</v>
      </c>
    </row>
    <row r="143" spans="2:51">
      <c r="B143" s="24" t="s">
        <v>141</v>
      </c>
      <c r="C143" s="25" t="s">
        <v>141</v>
      </c>
      <c r="D143" s="26" t="s">
        <v>141</v>
      </c>
      <c r="E143" s="27" t="s">
        <v>141</v>
      </c>
      <c r="F143" s="26" t="s">
        <v>141</v>
      </c>
      <c r="G143" s="27" t="s">
        <v>141</v>
      </c>
      <c r="H143" s="26" t="s">
        <v>141</v>
      </c>
      <c r="I143" s="27" t="s">
        <v>141</v>
      </c>
      <c r="J143" s="26" t="s">
        <v>141</v>
      </c>
      <c r="K143" s="27" t="s">
        <v>141</v>
      </c>
      <c r="L143" s="26" t="s">
        <v>141</v>
      </c>
      <c r="M143" s="27" t="s">
        <v>141</v>
      </c>
      <c r="N143" s="26" t="s">
        <v>141</v>
      </c>
      <c r="O143" s="27" t="s">
        <v>141</v>
      </c>
      <c r="P143" s="26" t="s">
        <v>141</v>
      </c>
      <c r="Q143" s="27" t="s">
        <v>141</v>
      </c>
      <c r="R143" s="26" t="s">
        <v>141</v>
      </c>
      <c r="S143" s="27" t="s">
        <v>141</v>
      </c>
      <c r="T143" s="26" t="s">
        <v>141</v>
      </c>
      <c r="U143" s="27" t="s">
        <v>141</v>
      </c>
      <c r="V143" s="26" t="s">
        <v>141</v>
      </c>
      <c r="W143" s="27" t="s">
        <v>141</v>
      </c>
      <c r="X143" s="26" t="s">
        <v>141</v>
      </c>
      <c r="Y143" s="27" t="s">
        <v>141</v>
      </c>
      <c r="Z143" s="26" t="s">
        <v>141</v>
      </c>
      <c r="AA143" s="27" t="s">
        <v>141</v>
      </c>
      <c r="AB143" s="26" t="s">
        <v>141</v>
      </c>
      <c r="AC143" s="27" t="s">
        <v>141</v>
      </c>
      <c r="AD143" s="26" t="s">
        <v>141</v>
      </c>
      <c r="AE143" s="27" t="s">
        <v>141</v>
      </c>
      <c r="AF143" s="26" t="s">
        <v>141</v>
      </c>
      <c r="AG143" s="27" t="s">
        <v>141</v>
      </c>
      <c r="AH143" s="26" t="s">
        <v>141</v>
      </c>
      <c r="AI143" s="27" t="s">
        <v>141</v>
      </c>
      <c r="AJ143" s="26" t="s">
        <v>141</v>
      </c>
      <c r="AK143" s="27" t="s">
        <v>141</v>
      </c>
      <c r="AL143" s="26" t="s">
        <v>141</v>
      </c>
      <c r="AM143" s="27" t="s">
        <v>141</v>
      </c>
      <c r="AN143" s="26" t="s">
        <v>141</v>
      </c>
      <c r="AO143" s="27" t="s">
        <v>141</v>
      </c>
      <c r="AP143" s="26" t="s">
        <v>141</v>
      </c>
      <c r="AQ143" s="27" t="s">
        <v>141</v>
      </c>
      <c r="AR143" s="26" t="s">
        <v>141</v>
      </c>
      <c r="AS143" s="27" t="s">
        <v>141</v>
      </c>
      <c r="AT143" s="26" t="s">
        <v>141</v>
      </c>
      <c r="AU143" s="27" t="s">
        <v>141</v>
      </c>
      <c r="AV143" s="26" t="s">
        <v>141</v>
      </c>
      <c r="AW143" s="27" t="s">
        <v>141</v>
      </c>
      <c r="AX143" s="26" t="s">
        <v>141</v>
      </c>
      <c r="AY143" s="27" t="s">
        <v>141</v>
      </c>
    </row>
    <row r="144" spans="2:51">
      <c r="B144" s="24" t="s">
        <v>141</v>
      </c>
      <c r="C144" s="25" t="s">
        <v>141</v>
      </c>
      <c r="D144" s="26" t="s">
        <v>141</v>
      </c>
      <c r="E144" s="27" t="s">
        <v>141</v>
      </c>
      <c r="F144" s="26" t="s">
        <v>141</v>
      </c>
      <c r="G144" s="27" t="s">
        <v>141</v>
      </c>
      <c r="H144" s="26" t="s">
        <v>141</v>
      </c>
      <c r="I144" s="27" t="s">
        <v>141</v>
      </c>
      <c r="J144" s="26" t="s">
        <v>141</v>
      </c>
      <c r="K144" s="27" t="s">
        <v>141</v>
      </c>
      <c r="L144" s="26" t="s">
        <v>141</v>
      </c>
      <c r="M144" s="27" t="s">
        <v>141</v>
      </c>
      <c r="N144" s="26" t="s">
        <v>141</v>
      </c>
      <c r="O144" s="27" t="s">
        <v>141</v>
      </c>
      <c r="P144" s="26" t="s">
        <v>141</v>
      </c>
      <c r="Q144" s="27" t="s">
        <v>141</v>
      </c>
      <c r="R144" s="26" t="s">
        <v>141</v>
      </c>
      <c r="S144" s="27" t="s">
        <v>141</v>
      </c>
      <c r="T144" s="26" t="s">
        <v>141</v>
      </c>
      <c r="U144" s="27" t="s">
        <v>141</v>
      </c>
      <c r="V144" s="26" t="s">
        <v>141</v>
      </c>
      <c r="W144" s="27" t="s">
        <v>141</v>
      </c>
      <c r="X144" s="26" t="s">
        <v>141</v>
      </c>
      <c r="Y144" s="27" t="s">
        <v>141</v>
      </c>
      <c r="Z144" s="26" t="s">
        <v>141</v>
      </c>
      <c r="AA144" s="27" t="s">
        <v>141</v>
      </c>
      <c r="AB144" s="26" t="s">
        <v>141</v>
      </c>
      <c r="AC144" s="27" t="s">
        <v>141</v>
      </c>
      <c r="AD144" s="26" t="s">
        <v>141</v>
      </c>
      <c r="AE144" s="27" t="s">
        <v>141</v>
      </c>
      <c r="AF144" s="26" t="s">
        <v>141</v>
      </c>
      <c r="AG144" s="27" t="s">
        <v>141</v>
      </c>
      <c r="AH144" s="26" t="s">
        <v>141</v>
      </c>
      <c r="AI144" s="27" t="s">
        <v>141</v>
      </c>
      <c r="AJ144" s="26" t="s">
        <v>141</v>
      </c>
      <c r="AK144" s="27" t="s">
        <v>141</v>
      </c>
      <c r="AL144" s="26" t="s">
        <v>141</v>
      </c>
      <c r="AM144" s="27" t="s">
        <v>141</v>
      </c>
      <c r="AN144" s="26" t="s">
        <v>141</v>
      </c>
      <c r="AO144" s="27" t="s">
        <v>141</v>
      </c>
      <c r="AP144" s="26" t="s">
        <v>141</v>
      </c>
      <c r="AQ144" s="27" t="s">
        <v>141</v>
      </c>
      <c r="AR144" s="26" t="s">
        <v>141</v>
      </c>
      <c r="AS144" s="27" t="s">
        <v>141</v>
      </c>
      <c r="AT144" s="26" t="s">
        <v>141</v>
      </c>
      <c r="AU144" s="27" t="s">
        <v>141</v>
      </c>
      <c r="AV144" s="26" t="s">
        <v>141</v>
      </c>
      <c r="AW144" s="27" t="s">
        <v>141</v>
      </c>
      <c r="AX144" s="26" t="s">
        <v>141</v>
      </c>
      <c r="AY144" s="27" t="s">
        <v>141</v>
      </c>
    </row>
    <row r="145" spans="2:51">
      <c r="B145" s="24" t="s">
        <v>141</v>
      </c>
      <c r="C145" s="25" t="s">
        <v>141</v>
      </c>
      <c r="D145" s="26" t="s">
        <v>141</v>
      </c>
      <c r="E145" s="27" t="s">
        <v>141</v>
      </c>
      <c r="F145" s="26" t="s">
        <v>141</v>
      </c>
      <c r="G145" s="27" t="s">
        <v>141</v>
      </c>
      <c r="H145" s="26" t="s">
        <v>141</v>
      </c>
      <c r="I145" s="27" t="s">
        <v>141</v>
      </c>
      <c r="J145" s="26" t="s">
        <v>141</v>
      </c>
      <c r="K145" s="27" t="s">
        <v>141</v>
      </c>
      <c r="L145" s="26" t="s">
        <v>141</v>
      </c>
      <c r="M145" s="27" t="s">
        <v>141</v>
      </c>
      <c r="N145" s="26" t="s">
        <v>141</v>
      </c>
      <c r="O145" s="27" t="s">
        <v>141</v>
      </c>
      <c r="P145" s="26" t="s">
        <v>141</v>
      </c>
      <c r="Q145" s="27" t="s">
        <v>141</v>
      </c>
      <c r="R145" s="26" t="s">
        <v>141</v>
      </c>
      <c r="S145" s="27" t="s">
        <v>141</v>
      </c>
      <c r="T145" s="26" t="s">
        <v>141</v>
      </c>
      <c r="U145" s="27" t="s">
        <v>141</v>
      </c>
      <c r="V145" s="26" t="s">
        <v>141</v>
      </c>
      <c r="W145" s="27" t="s">
        <v>141</v>
      </c>
      <c r="X145" s="26" t="s">
        <v>141</v>
      </c>
      <c r="Y145" s="27" t="s">
        <v>141</v>
      </c>
      <c r="Z145" s="26" t="s">
        <v>141</v>
      </c>
      <c r="AA145" s="27" t="s">
        <v>141</v>
      </c>
      <c r="AB145" s="26" t="s">
        <v>141</v>
      </c>
      <c r="AC145" s="27" t="s">
        <v>141</v>
      </c>
      <c r="AD145" s="26" t="s">
        <v>141</v>
      </c>
      <c r="AE145" s="27" t="s">
        <v>141</v>
      </c>
      <c r="AF145" s="26" t="s">
        <v>141</v>
      </c>
      <c r="AG145" s="27" t="s">
        <v>141</v>
      </c>
      <c r="AH145" s="26" t="s">
        <v>141</v>
      </c>
      <c r="AI145" s="27" t="s">
        <v>141</v>
      </c>
      <c r="AJ145" s="26" t="s">
        <v>141</v>
      </c>
      <c r="AK145" s="27" t="s">
        <v>141</v>
      </c>
      <c r="AL145" s="26" t="s">
        <v>141</v>
      </c>
      <c r="AM145" s="27" t="s">
        <v>141</v>
      </c>
      <c r="AN145" s="26" t="s">
        <v>141</v>
      </c>
      <c r="AO145" s="27" t="s">
        <v>141</v>
      </c>
      <c r="AP145" s="26" t="s">
        <v>141</v>
      </c>
      <c r="AQ145" s="27" t="s">
        <v>141</v>
      </c>
      <c r="AR145" s="26" t="s">
        <v>141</v>
      </c>
      <c r="AS145" s="27" t="s">
        <v>141</v>
      </c>
      <c r="AT145" s="26" t="s">
        <v>141</v>
      </c>
      <c r="AU145" s="27" t="s">
        <v>141</v>
      </c>
      <c r="AV145" s="26" t="s">
        <v>141</v>
      </c>
      <c r="AW145" s="27" t="s">
        <v>141</v>
      </c>
      <c r="AX145" s="26" t="s">
        <v>141</v>
      </c>
      <c r="AY145" s="27" t="s">
        <v>141</v>
      </c>
    </row>
    <row r="146" spans="2:51">
      <c r="B146" s="24" t="s">
        <v>141</v>
      </c>
      <c r="C146" s="25" t="s">
        <v>141</v>
      </c>
      <c r="D146" s="26" t="s">
        <v>141</v>
      </c>
      <c r="E146" s="27" t="s">
        <v>141</v>
      </c>
      <c r="F146" s="26" t="s">
        <v>141</v>
      </c>
      <c r="G146" s="27" t="s">
        <v>141</v>
      </c>
      <c r="H146" s="26" t="s">
        <v>141</v>
      </c>
      <c r="I146" s="27" t="s">
        <v>141</v>
      </c>
      <c r="J146" s="26" t="s">
        <v>141</v>
      </c>
      <c r="K146" s="27" t="s">
        <v>141</v>
      </c>
      <c r="L146" s="26" t="s">
        <v>141</v>
      </c>
      <c r="M146" s="27" t="s">
        <v>141</v>
      </c>
      <c r="N146" s="26" t="s">
        <v>141</v>
      </c>
      <c r="O146" s="27" t="s">
        <v>141</v>
      </c>
      <c r="P146" s="26" t="s">
        <v>141</v>
      </c>
      <c r="Q146" s="27" t="s">
        <v>141</v>
      </c>
      <c r="R146" s="26" t="s">
        <v>141</v>
      </c>
      <c r="S146" s="27" t="s">
        <v>141</v>
      </c>
      <c r="T146" s="26" t="s">
        <v>141</v>
      </c>
      <c r="U146" s="27" t="s">
        <v>141</v>
      </c>
      <c r="V146" s="26" t="s">
        <v>141</v>
      </c>
      <c r="W146" s="27" t="s">
        <v>141</v>
      </c>
      <c r="X146" s="26" t="s">
        <v>141</v>
      </c>
      <c r="Y146" s="27" t="s">
        <v>141</v>
      </c>
      <c r="Z146" s="26" t="s">
        <v>141</v>
      </c>
      <c r="AA146" s="27" t="s">
        <v>141</v>
      </c>
      <c r="AB146" s="26" t="s">
        <v>141</v>
      </c>
      <c r="AC146" s="27" t="s">
        <v>141</v>
      </c>
      <c r="AD146" s="26" t="s">
        <v>141</v>
      </c>
      <c r="AE146" s="27" t="s">
        <v>141</v>
      </c>
      <c r="AF146" s="26" t="s">
        <v>141</v>
      </c>
      <c r="AG146" s="27" t="s">
        <v>141</v>
      </c>
      <c r="AH146" s="26" t="s">
        <v>141</v>
      </c>
      <c r="AI146" s="27" t="s">
        <v>141</v>
      </c>
      <c r="AJ146" s="26" t="s">
        <v>141</v>
      </c>
      <c r="AK146" s="27" t="s">
        <v>141</v>
      </c>
      <c r="AL146" s="26" t="s">
        <v>141</v>
      </c>
      <c r="AM146" s="27" t="s">
        <v>141</v>
      </c>
      <c r="AN146" s="26" t="s">
        <v>141</v>
      </c>
      <c r="AO146" s="27" t="s">
        <v>141</v>
      </c>
      <c r="AP146" s="26" t="s">
        <v>141</v>
      </c>
      <c r="AQ146" s="27" t="s">
        <v>141</v>
      </c>
      <c r="AR146" s="26" t="s">
        <v>141</v>
      </c>
      <c r="AS146" s="27" t="s">
        <v>141</v>
      </c>
      <c r="AT146" s="26" t="s">
        <v>141</v>
      </c>
      <c r="AU146" s="27" t="s">
        <v>141</v>
      </c>
      <c r="AV146" s="26" t="s">
        <v>141</v>
      </c>
      <c r="AW146" s="27" t="s">
        <v>141</v>
      </c>
      <c r="AX146" s="26" t="s">
        <v>141</v>
      </c>
      <c r="AY146" s="27" t="s">
        <v>141</v>
      </c>
    </row>
    <row r="147" spans="2:51">
      <c r="B147" s="24" t="s">
        <v>141</v>
      </c>
      <c r="C147" s="25" t="s">
        <v>141</v>
      </c>
      <c r="D147" s="26" t="s">
        <v>141</v>
      </c>
      <c r="E147" s="27" t="s">
        <v>141</v>
      </c>
      <c r="F147" s="26" t="s">
        <v>141</v>
      </c>
      <c r="G147" s="27" t="s">
        <v>141</v>
      </c>
      <c r="H147" s="26" t="s">
        <v>141</v>
      </c>
      <c r="I147" s="27" t="s">
        <v>141</v>
      </c>
      <c r="J147" s="26" t="s">
        <v>141</v>
      </c>
      <c r="K147" s="27" t="s">
        <v>141</v>
      </c>
      <c r="L147" s="26" t="s">
        <v>141</v>
      </c>
      <c r="M147" s="27" t="s">
        <v>141</v>
      </c>
      <c r="N147" s="26" t="s">
        <v>141</v>
      </c>
      <c r="O147" s="27" t="s">
        <v>141</v>
      </c>
      <c r="P147" s="26" t="s">
        <v>141</v>
      </c>
      <c r="Q147" s="27" t="s">
        <v>141</v>
      </c>
      <c r="R147" s="26" t="s">
        <v>141</v>
      </c>
      <c r="S147" s="27" t="s">
        <v>141</v>
      </c>
      <c r="T147" s="26" t="s">
        <v>141</v>
      </c>
      <c r="U147" s="27" t="s">
        <v>141</v>
      </c>
      <c r="V147" s="26" t="s">
        <v>141</v>
      </c>
      <c r="W147" s="27" t="s">
        <v>141</v>
      </c>
      <c r="X147" s="26" t="s">
        <v>141</v>
      </c>
      <c r="Y147" s="27" t="s">
        <v>141</v>
      </c>
      <c r="Z147" s="26" t="s">
        <v>141</v>
      </c>
      <c r="AA147" s="27" t="s">
        <v>141</v>
      </c>
      <c r="AB147" s="26" t="s">
        <v>141</v>
      </c>
      <c r="AC147" s="27" t="s">
        <v>141</v>
      </c>
      <c r="AD147" s="26" t="s">
        <v>141</v>
      </c>
      <c r="AE147" s="27" t="s">
        <v>141</v>
      </c>
      <c r="AF147" s="26" t="s">
        <v>141</v>
      </c>
      <c r="AG147" s="27" t="s">
        <v>141</v>
      </c>
      <c r="AH147" s="26" t="s">
        <v>141</v>
      </c>
      <c r="AI147" s="27" t="s">
        <v>141</v>
      </c>
      <c r="AJ147" s="26" t="s">
        <v>141</v>
      </c>
      <c r="AK147" s="27" t="s">
        <v>141</v>
      </c>
      <c r="AL147" s="26" t="s">
        <v>141</v>
      </c>
      <c r="AM147" s="27" t="s">
        <v>141</v>
      </c>
      <c r="AN147" s="26" t="s">
        <v>141</v>
      </c>
      <c r="AO147" s="27" t="s">
        <v>141</v>
      </c>
      <c r="AP147" s="26" t="s">
        <v>141</v>
      </c>
      <c r="AQ147" s="27" t="s">
        <v>141</v>
      </c>
      <c r="AR147" s="26" t="s">
        <v>141</v>
      </c>
      <c r="AS147" s="27" t="s">
        <v>141</v>
      </c>
      <c r="AT147" s="26" t="s">
        <v>141</v>
      </c>
      <c r="AU147" s="27" t="s">
        <v>141</v>
      </c>
      <c r="AV147" s="26" t="s">
        <v>141</v>
      </c>
      <c r="AW147" s="27" t="s">
        <v>141</v>
      </c>
      <c r="AX147" s="26" t="s">
        <v>141</v>
      </c>
      <c r="AY147" s="27" t="s">
        <v>141</v>
      </c>
    </row>
    <row r="148" spans="2:51">
      <c r="B148" s="24">
        <v>1</v>
      </c>
      <c r="C148" s="25">
        <v>2</v>
      </c>
      <c r="D148" s="26">
        <v>3</v>
      </c>
      <c r="E148" s="27">
        <v>4</v>
      </c>
      <c r="F148" s="26">
        <v>5</v>
      </c>
      <c r="G148" s="27">
        <v>6</v>
      </c>
      <c r="H148" s="26">
        <v>7</v>
      </c>
      <c r="I148" s="27">
        <v>8</v>
      </c>
      <c r="J148" s="26">
        <v>9</v>
      </c>
      <c r="K148" s="27">
        <v>10</v>
      </c>
      <c r="L148" s="26">
        <v>11</v>
      </c>
      <c r="M148" s="27">
        <v>12</v>
      </c>
      <c r="N148" s="26">
        <v>13</v>
      </c>
      <c r="O148" s="27">
        <v>14</v>
      </c>
      <c r="P148" s="26">
        <v>15</v>
      </c>
      <c r="Q148" s="27">
        <v>16</v>
      </c>
      <c r="R148" s="26">
        <v>17</v>
      </c>
      <c r="S148" s="27">
        <v>18</v>
      </c>
      <c r="T148" s="26">
        <v>19</v>
      </c>
      <c r="U148" s="27">
        <v>20</v>
      </c>
      <c r="V148" s="26">
        <v>21</v>
      </c>
      <c r="W148" s="27">
        <v>22</v>
      </c>
      <c r="X148" s="26">
        <v>23</v>
      </c>
      <c r="Y148" s="27">
        <v>24</v>
      </c>
      <c r="Z148" s="26">
        <v>25</v>
      </c>
      <c r="AA148" s="27">
        <v>26</v>
      </c>
      <c r="AB148" s="26">
        <v>27</v>
      </c>
      <c r="AC148" s="27">
        <v>28</v>
      </c>
      <c r="AD148" s="26">
        <v>29</v>
      </c>
      <c r="AE148" s="27">
        <v>30</v>
      </c>
      <c r="AF148" s="26">
        <v>31</v>
      </c>
      <c r="AG148" s="27">
        <v>32</v>
      </c>
      <c r="AH148" s="26">
        <v>33</v>
      </c>
      <c r="AI148" s="27">
        <v>34</v>
      </c>
      <c r="AJ148" s="26">
        <v>35</v>
      </c>
      <c r="AK148" s="27">
        <v>36</v>
      </c>
      <c r="AL148" s="26">
        <v>37</v>
      </c>
      <c r="AM148" s="27">
        <v>38</v>
      </c>
      <c r="AN148" s="26">
        <v>39</v>
      </c>
      <c r="AO148" s="27">
        <v>40</v>
      </c>
      <c r="AP148" s="26">
        <v>41</v>
      </c>
      <c r="AQ148" s="27">
        <v>42</v>
      </c>
      <c r="AR148" s="26">
        <v>43</v>
      </c>
      <c r="AS148" s="27">
        <v>44</v>
      </c>
      <c r="AT148" s="26">
        <v>45</v>
      </c>
      <c r="AU148" s="27">
        <v>46</v>
      </c>
      <c r="AV148" s="26">
        <v>47</v>
      </c>
      <c r="AW148" s="27">
        <v>48</v>
      </c>
      <c r="AX148" s="26">
        <v>49</v>
      </c>
      <c r="AY148" s="27">
        <v>50</v>
      </c>
    </row>
    <row r="149" spans="2:51">
      <c r="B149" s="24" t="s">
        <v>141</v>
      </c>
      <c r="C149" s="25" t="s">
        <v>141</v>
      </c>
      <c r="D149" s="26" t="s">
        <v>141</v>
      </c>
      <c r="E149" s="27" t="s">
        <v>141</v>
      </c>
      <c r="F149" s="26" t="s">
        <v>141</v>
      </c>
      <c r="G149" s="27" t="s">
        <v>141</v>
      </c>
      <c r="H149" s="26" t="s">
        <v>141</v>
      </c>
      <c r="I149" s="27" t="s">
        <v>141</v>
      </c>
      <c r="J149" s="26" t="s">
        <v>141</v>
      </c>
      <c r="K149" s="27" t="s">
        <v>141</v>
      </c>
      <c r="L149" s="26" t="s">
        <v>141</v>
      </c>
      <c r="M149" s="27" t="s">
        <v>141</v>
      </c>
      <c r="N149" s="26" t="s">
        <v>141</v>
      </c>
      <c r="O149" s="27" t="s">
        <v>141</v>
      </c>
      <c r="P149" s="26" t="s">
        <v>141</v>
      </c>
      <c r="Q149" s="27" t="s">
        <v>141</v>
      </c>
      <c r="R149" s="26" t="s">
        <v>141</v>
      </c>
      <c r="S149" s="27" t="s">
        <v>141</v>
      </c>
      <c r="T149" s="26" t="s">
        <v>141</v>
      </c>
      <c r="U149" s="27" t="s">
        <v>141</v>
      </c>
      <c r="V149" s="26" t="s">
        <v>141</v>
      </c>
      <c r="W149" s="27" t="s">
        <v>141</v>
      </c>
      <c r="X149" s="26" t="s">
        <v>141</v>
      </c>
      <c r="Y149" s="27" t="s">
        <v>141</v>
      </c>
      <c r="Z149" s="26" t="s">
        <v>141</v>
      </c>
      <c r="AA149" s="27" t="s">
        <v>141</v>
      </c>
      <c r="AB149" s="26" t="s">
        <v>141</v>
      </c>
      <c r="AC149" s="27" t="s">
        <v>141</v>
      </c>
      <c r="AD149" s="26" t="s">
        <v>141</v>
      </c>
      <c r="AE149" s="27" t="s">
        <v>141</v>
      </c>
      <c r="AF149" s="26" t="s">
        <v>141</v>
      </c>
      <c r="AG149" s="27" t="s">
        <v>141</v>
      </c>
      <c r="AH149" s="26" t="s">
        <v>141</v>
      </c>
      <c r="AI149" s="27" t="s">
        <v>141</v>
      </c>
      <c r="AJ149" s="26" t="s">
        <v>141</v>
      </c>
      <c r="AK149" s="27" t="s">
        <v>141</v>
      </c>
      <c r="AL149" s="26" t="s">
        <v>141</v>
      </c>
      <c r="AM149" s="27" t="s">
        <v>141</v>
      </c>
      <c r="AN149" s="26" t="s">
        <v>141</v>
      </c>
      <c r="AO149" s="27" t="s">
        <v>141</v>
      </c>
      <c r="AP149" s="26" t="s">
        <v>141</v>
      </c>
      <c r="AQ149" s="27" t="s">
        <v>141</v>
      </c>
      <c r="AR149" s="26" t="s">
        <v>141</v>
      </c>
      <c r="AS149" s="27" t="s">
        <v>141</v>
      </c>
      <c r="AT149" s="26" t="s">
        <v>141</v>
      </c>
      <c r="AU149" s="27" t="s">
        <v>141</v>
      </c>
      <c r="AV149" s="26" t="s">
        <v>141</v>
      </c>
      <c r="AW149" s="27" t="s">
        <v>141</v>
      </c>
      <c r="AX149" s="26" t="s">
        <v>141</v>
      </c>
      <c r="AY149" s="27" t="s">
        <v>141</v>
      </c>
    </row>
    <row r="150" spans="2:51">
      <c r="B150" s="24" t="s">
        <v>141</v>
      </c>
      <c r="C150" s="25" t="s">
        <v>141</v>
      </c>
      <c r="D150" s="26" t="s">
        <v>141</v>
      </c>
      <c r="E150" s="27" t="s">
        <v>141</v>
      </c>
      <c r="F150" s="26" t="s">
        <v>141</v>
      </c>
      <c r="G150" s="27" t="s">
        <v>141</v>
      </c>
      <c r="H150" s="26" t="s">
        <v>141</v>
      </c>
      <c r="I150" s="27" t="s">
        <v>141</v>
      </c>
      <c r="J150" s="26" t="s">
        <v>141</v>
      </c>
      <c r="K150" s="27" t="s">
        <v>141</v>
      </c>
      <c r="L150" s="26" t="s">
        <v>141</v>
      </c>
      <c r="M150" s="27" t="s">
        <v>141</v>
      </c>
      <c r="N150" s="26" t="s">
        <v>141</v>
      </c>
      <c r="O150" s="27" t="s">
        <v>141</v>
      </c>
      <c r="P150" s="26" t="s">
        <v>141</v>
      </c>
      <c r="Q150" s="27" t="s">
        <v>141</v>
      </c>
      <c r="R150" s="26" t="s">
        <v>141</v>
      </c>
      <c r="S150" s="27" t="s">
        <v>141</v>
      </c>
      <c r="T150" s="26" t="s">
        <v>141</v>
      </c>
      <c r="U150" s="27" t="s">
        <v>141</v>
      </c>
      <c r="V150" s="26" t="s">
        <v>141</v>
      </c>
      <c r="W150" s="27" t="s">
        <v>141</v>
      </c>
      <c r="X150" s="26" t="s">
        <v>141</v>
      </c>
      <c r="Y150" s="27" t="s">
        <v>141</v>
      </c>
      <c r="Z150" s="26" t="s">
        <v>141</v>
      </c>
      <c r="AA150" s="27" t="s">
        <v>141</v>
      </c>
      <c r="AB150" s="26" t="s">
        <v>141</v>
      </c>
      <c r="AC150" s="27" t="s">
        <v>141</v>
      </c>
      <c r="AD150" s="26" t="s">
        <v>141</v>
      </c>
      <c r="AE150" s="27" t="s">
        <v>141</v>
      </c>
      <c r="AF150" s="26" t="s">
        <v>141</v>
      </c>
      <c r="AG150" s="27" t="s">
        <v>141</v>
      </c>
      <c r="AH150" s="26" t="s">
        <v>141</v>
      </c>
      <c r="AI150" s="27" t="s">
        <v>141</v>
      </c>
      <c r="AJ150" s="26" t="s">
        <v>141</v>
      </c>
      <c r="AK150" s="27" t="s">
        <v>141</v>
      </c>
      <c r="AL150" s="26" t="s">
        <v>141</v>
      </c>
      <c r="AM150" s="27" t="s">
        <v>141</v>
      </c>
      <c r="AN150" s="26" t="s">
        <v>141</v>
      </c>
      <c r="AO150" s="27" t="s">
        <v>141</v>
      </c>
      <c r="AP150" s="26" t="s">
        <v>141</v>
      </c>
      <c r="AQ150" s="27" t="s">
        <v>141</v>
      </c>
      <c r="AR150" s="26" t="s">
        <v>141</v>
      </c>
      <c r="AS150" s="27" t="s">
        <v>141</v>
      </c>
      <c r="AT150" s="26" t="s">
        <v>141</v>
      </c>
      <c r="AU150" s="27" t="s">
        <v>141</v>
      </c>
      <c r="AV150" s="26" t="s">
        <v>141</v>
      </c>
      <c r="AW150" s="27" t="s">
        <v>141</v>
      </c>
      <c r="AX150" s="26" t="s">
        <v>141</v>
      </c>
      <c r="AY150" s="27" t="s">
        <v>141</v>
      </c>
    </row>
    <row r="151" spans="2:51">
      <c r="B151" s="24" t="s">
        <v>141</v>
      </c>
      <c r="C151" s="25" t="s">
        <v>141</v>
      </c>
      <c r="D151" s="26" t="s">
        <v>141</v>
      </c>
      <c r="E151" s="27" t="s">
        <v>141</v>
      </c>
      <c r="F151" s="26" t="s">
        <v>141</v>
      </c>
      <c r="G151" s="27" t="s">
        <v>141</v>
      </c>
      <c r="H151" s="26" t="s">
        <v>141</v>
      </c>
      <c r="I151" s="27" t="s">
        <v>141</v>
      </c>
      <c r="J151" s="26" t="s">
        <v>141</v>
      </c>
      <c r="K151" s="27" t="s">
        <v>141</v>
      </c>
      <c r="L151" s="26" t="s">
        <v>141</v>
      </c>
      <c r="M151" s="27" t="s">
        <v>141</v>
      </c>
      <c r="N151" s="26" t="s">
        <v>141</v>
      </c>
      <c r="O151" s="27" t="s">
        <v>141</v>
      </c>
      <c r="P151" s="26" t="s">
        <v>141</v>
      </c>
      <c r="Q151" s="27" t="s">
        <v>141</v>
      </c>
      <c r="R151" s="26" t="s">
        <v>141</v>
      </c>
      <c r="S151" s="27" t="s">
        <v>141</v>
      </c>
      <c r="T151" s="26" t="s">
        <v>141</v>
      </c>
      <c r="U151" s="27" t="s">
        <v>141</v>
      </c>
      <c r="V151" s="26" t="s">
        <v>141</v>
      </c>
      <c r="W151" s="27" t="s">
        <v>141</v>
      </c>
      <c r="X151" s="26" t="s">
        <v>141</v>
      </c>
      <c r="Y151" s="27" t="s">
        <v>141</v>
      </c>
      <c r="Z151" s="26" t="s">
        <v>141</v>
      </c>
      <c r="AA151" s="27" t="s">
        <v>141</v>
      </c>
      <c r="AB151" s="26" t="s">
        <v>141</v>
      </c>
      <c r="AC151" s="27" t="s">
        <v>141</v>
      </c>
      <c r="AD151" s="26" t="s">
        <v>141</v>
      </c>
      <c r="AE151" s="27" t="s">
        <v>141</v>
      </c>
      <c r="AF151" s="26" t="s">
        <v>141</v>
      </c>
      <c r="AG151" s="27" t="s">
        <v>141</v>
      </c>
      <c r="AH151" s="26" t="s">
        <v>141</v>
      </c>
      <c r="AI151" s="27" t="s">
        <v>141</v>
      </c>
      <c r="AJ151" s="26" t="s">
        <v>141</v>
      </c>
      <c r="AK151" s="27" t="s">
        <v>141</v>
      </c>
      <c r="AL151" s="26" t="s">
        <v>141</v>
      </c>
      <c r="AM151" s="27" t="s">
        <v>141</v>
      </c>
      <c r="AN151" s="26" t="s">
        <v>141</v>
      </c>
      <c r="AO151" s="27" t="s">
        <v>141</v>
      </c>
      <c r="AP151" s="26" t="s">
        <v>141</v>
      </c>
      <c r="AQ151" s="27" t="s">
        <v>141</v>
      </c>
      <c r="AR151" s="26" t="s">
        <v>141</v>
      </c>
      <c r="AS151" s="27" t="s">
        <v>141</v>
      </c>
      <c r="AT151" s="26" t="s">
        <v>141</v>
      </c>
      <c r="AU151" s="27" t="s">
        <v>141</v>
      </c>
      <c r="AV151" s="26" t="s">
        <v>141</v>
      </c>
      <c r="AW151" s="27" t="s">
        <v>141</v>
      </c>
      <c r="AX151" s="26" t="s">
        <v>141</v>
      </c>
      <c r="AY151" s="27" t="s">
        <v>141</v>
      </c>
    </row>
    <row r="152" spans="2:51">
      <c r="B152" s="24" t="s">
        <v>141</v>
      </c>
      <c r="C152" s="25" t="s">
        <v>141</v>
      </c>
      <c r="D152" s="26" t="s">
        <v>141</v>
      </c>
      <c r="E152" s="27" t="s">
        <v>141</v>
      </c>
      <c r="F152" s="26" t="s">
        <v>141</v>
      </c>
      <c r="G152" s="27" t="s">
        <v>141</v>
      </c>
      <c r="H152" s="26" t="s">
        <v>141</v>
      </c>
      <c r="I152" s="27" t="s">
        <v>141</v>
      </c>
      <c r="J152" s="26" t="s">
        <v>141</v>
      </c>
      <c r="K152" s="27" t="s">
        <v>141</v>
      </c>
      <c r="L152" s="26" t="s">
        <v>141</v>
      </c>
      <c r="M152" s="27" t="s">
        <v>141</v>
      </c>
      <c r="N152" s="26" t="s">
        <v>141</v>
      </c>
      <c r="O152" s="27" t="s">
        <v>141</v>
      </c>
      <c r="P152" s="26" t="s">
        <v>141</v>
      </c>
      <c r="Q152" s="27" t="s">
        <v>141</v>
      </c>
      <c r="R152" s="26" t="s">
        <v>141</v>
      </c>
      <c r="S152" s="27" t="s">
        <v>141</v>
      </c>
      <c r="T152" s="26" t="s">
        <v>141</v>
      </c>
      <c r="U152" s="27" t="s">
        <v>141</v>
      </c>
      <c r="V152" s="26" t="s">
        <v>141</v>
      </c>
      <c r="W152" s="27" t="s">
        <v>141</v>
      </c>
      <c r="X152" s="26" t="s">
        <v>141</v>
      </c>
      <c r="Y152" s="27" t="s">
        <v>141</v>
      </c>
      <c r="Z152" s="26" t="s">
        <v>141</v>
      </c>
      <c r="AA152" s="27" t="s">
        <v>141</v>
      </c>
      <c r="AB152" s="26" t="s">
        <v>141</v>
      </c>
      <c r="AC152" s="27" t="s">
        <v>141</v>
      </c>
      <c r="AD152" s="26" t="s">
        <v>141</v>
      </c>
      <c r="AE152" s="27" t="s">
        <v>141</v>
      </c>
      <c r="AF152" s="26" t="s">
        <v>141</v>
      </c>
      <c r="AG152" s="27" t="s">
        <v>141</v>
      </c>
      <c r="AH152" s="26" t="s">
        <v>141</v>
      </c>
      <c r="AI152" s="27" t="s">
        <v>141</v>
      </c>
      <c r="AJ152" s="26" t="s">
        <v>141</v>
      </c>
      <c r="AK152" s="27" t="s">
        <v>141</v>
      </c>
      <c r="AL152" s="26" t="s">
        <v>141</v>
      </c>
      <c r="AM152" s="27" t="s">
        <v>141</v>
      </c>
      <c r="AN152" s="26" t="s">
        <v>141</v>
      </c>
      <c r="AO152" s="27" t="s">
        <v>141</v>
      </c>
      <c r="AP152" s="26" t="s">
        <v>141</v>
      </c>
      <c r="AQ152" s="27" t="s">
        <v>141</v>
      </c>
      <c r="AR152" s="26" t="s">
        <v>141</v>
      </c>
      <c r="AS152" s="27" t="s">
        <v>141</v>
      </c>
      <c r="AT152" s="26" t="s">
        <v>141</v>
      </c>
      <c r="AU152" s="27" t="s">
        <v>141</v>
      </c>
      <c r="AV152" s="26" t="s">
        <v>141</v>
      </c>
      <c r="AW152" s="27" t="s">
        <v>141</v>
      </c>
      <c r="AX152" s="26" t="s">
        <v>141</v>
      </c>
      <c r="AY152" s="27" t="s">
        <v>141</v>
      </c>
    </row>
    <row r="153" spans="2:51">
      <c r="B153" s="24" t="s">
        <v>141</v>
      </c>
      <c r="C153" s="25" t="s">
        <v>141</v>
      </c>
      <c r="D153" s="26" t="s">
        <v>141</v>
      </c>
      <c r="E153" s="27" t="s">
        <v>141</v>
      </c>
      <c r="F153" s="26" t="s">
        <v>141</v>
      </c>
      <c r="G153" s="27" t="s">
        <v>141</v>
      </c>
      <c r="H153" s="26" t="s">
        <v>141</v>
      </c>
      <c r="I153" s="27" t="s">
        <v>141</v>
      </c>
      <c r="J153" s="26" t="s">
        <v>141</v>
      </c>
      <c r="K153" s="27" t="s">
        <v>141</v>
      </c>
      <c r="L153" s="26" t="s">
        <v>141</v>
      </c>
      <c r="M153" s="27" t="s">
        <v>141</v>
      </c>
      <c r="N153" s="26" t="s">
        <v>141</v>
      </c>
      <c r="O153" s="27" t="s">
        <v>141</v>
      </c>
      <c r="P153" s="26" t="s">
        <v>141</v>
      </c>
      <c r="Q153" s="27" t="s">
        <v>141</v>
      </c>
      <c r="R153" s="26" t="s">
        <v>141</v>
      </c>
      <c r="S153" s="27" t="s">
        <v>141</v>
      </c>
      <c r="T153" s="26" t="s">
        <v>141</v>
      </c>
      <c r="U153" s="27" t="s">
        <v>141</v>
      </c>
      <c r="V153" s="26" t="s">
        <v>141</v>
      </c>
      <c r="W153" s="27" t="s">
        <v>141</v>
      </c>
      <c r="X153" s="26" t="s">
        <v>141</v>
      </c>
      <c r="Y153" s="27" t="s">
        <v>141</v>
      </c>
      <c r="Z153" s="26" t="s">
        <v>141</v>
      </c>
      <c r="AA153" s="27" t="s">
        <v>141</v>
      </c>
      <c r="AB153" s="26" t="s">
        <v>141</v>
      </c>
      <c r="AC153" s="27" t="s">
        <v>141</v>
      </c>
      <c r="AD153" s="26" t="s">
        <v>141</v>
      </c>
      <c r="AE153" s="27" t="s">
        <v>141</v>
      </c>
      <c r="AF153" s="26" t="s">
        <v>141</v>
      </c>
      <c r="AG153" s="27" t="s">
        <v>141</v>
      </c>
      <c r="AH153" s="26" t="s">
        <v>141</v>
      </c>
      <c r="AI153" s="27" t="s">
        <v>141</v>
      </c>
      <c r="AJ153" s="26" t="s">
        <v>141</v>
      </c>
      <c r="AK153" s="27" t="s">
        <v>141</v>
      </c>
      <c r="AL153" s="26" t="s">
        <v>141</v>
      </c>
      <c r="AM153" s="27" t="s">
        <v>141</v>
      </c>
      <c r="AN153" s="26" t="s">
        <v>141</v>
      </c>
      <c r="AO153" s="27" t="s">
        <v>141</v>
      </c>
      <c r="AP153" s="26" t="s">
        <v>141</v>
      </c>
      <c r="AQ153" s="27" t="s">
        <v>141</v>
      </c>
      <c r="AR153" s="26" t="s">
        <v>141</v>
      </c>
      <c r="AS153" s="27" t="s">
        <v>141</v>
      </c>
      <c r="AT153" s="26" t="s">
        <v>141</v>
      </c>
      <c r="AU153" s="27" t="s">
        <v>141</v>
      </c>
      <c r="AV153" s="26" t="s">
        <v>141</v>
      </c>
      <c r="AW153" s="27" t="s">
        <v>141</v>
      </c>
      <c r="AX153" s="26" t="s">
        <v>141</v>
      </c>
      <c r="AY153" s="27" t="s">
        <v>141</v>
      </c>
    </row>
    <row r="154" spans="2:51">
      <c r="B154" s="24" t="s">
        <v>141</v>
      </c>
      <c r="C154" s="25" t="s">
        <v>141</v>
      </c>
      <c r="D154" s="26" t="s">
        <v>141</v>
      </c>
      <c r="E154" s="27" t="s">
        <v>141</v>
      </c>
      <c r="F154" s="26" t="s">
        <v>141</v>
      </c>
      <c r="G154" s="27" t="s">
        <v>141</v>
      </c>
      <c r="H154" s="26" t="s">
        <v>141</v>
      </c>
      <c r="I154" s="27" t="s">
        <v>141</v>
      </c>
      <c r="J154" s="26" t="s">
        <v>141</v>
      </c>
      <c r="K154" s="27" t="s">
        <v>141</v>
      </c>
      <c r="L154" s="26" t="s">
        <v>141</v>
      </c>
      <c r="M154" s="27" t="s">
        <v>141</v>
      </c>
      <c r="N154" s="26" t="s">
        <v>141</v>
      </c>
      <c r="O154" s="27" t="s">
        <v>141</v>
      </c>
      <c r="P154" s="26" t="s">
        <v>141</v>
      </c>
      <c r="Q154" s="27" t="s">
        <v>141</v>
      </c>
      <c r="R154" s="26" t="s">
        <v>141</v>
      </c>
      <c r="S154" s="27" t="s">
        <v>141</v>
      </c>
      <c r="T154" s="26" t="s">
        <v>141</v>
      </c>
      <c r="U154" s="27" t="s">
        <v>141</v>
      </c>
      <c r="V154" s="26" t="s">
        <v>141</v>
      </c>
      <c r="W154" s="27" t="s">
        <v>141</v>
      </c>
      <c r="X154" s="26" t="s">
        <v>141</v>
      </c>
      <c r="Y154" s="27" t="s">
        <v>141</v>
      </c>
      <c r="Z154" s="26" t="s">
        <v>141</v>
      </c>
      <c r="AA154" s="27" t="s">
        <v>141</v>
      </c>
      <c r="AB154" s="26" t="s">
        <v>141</v>
      </c>
      <c r="AC154" s="27" t="s">
        <v>141</v>
      </c>
      <c r="AD154" s="26" t="s">
        <v>141</v>
      </c>
      <c r="AE154" s="27" t="s">
        <v>141</v>
      </c>
      <c r="AF154" s="26" t="s">
        <v>141</v>
      </c>
      <c r="AG154" s="27" t="s">
        <v>141</v>
      </c>
      <c r="AH154" s="26" t="s">
        <v>141</v>
      </c>
      <c r="AI154" s="27" t="s">
        <v>141</v>
      </c>
      <c r="AJ154" s="26" t="s">
        <v>141</v>
      </c>
      <c r="AK154" s="27" t="s">
        <v>141</v>
      </c>
      <c r="AL154" s="26" t="s">
        <v>141</v>
      </c>
      <c r="AM154" s="27" t="s">
        <v>141</v>
      </c>
      <c r="AN154" s="26" t="s">
        <v>141</v>
      </c>
      <c r="AO154" s="27" t="s">
        <v>141</v>
      </c>
      <c r="AP154" s="26" t="s">
        <v>141</v>
      </c>
      <c r="AQ154" s="27" t="s">
        <v>141</v>
      </c>
      <c r="AR154" s="26" t="s">
        <v>141</v>
      </c>
      <c r="AS154" s="27" t="s">
        <v>141</v>
      </c>
      <c r="AT154" s="26" t="s">
        <v>141</v>
      </c>
      <c r="AU154" s="27" t="s">
        <v>141</v>
      </c>
      <c r="AV154" s="26" t="s">
        <v>141</v>
      </c>
      <c r="AW154" s="27" t="s">
        <v>141</v>
      </c>
      <c r="AX154" s="26" t="s">
        <v>141</v>
      </c>
      <c r="AY154" s="27" t="s">
        <v>141</v>
      </c>
    </row>
    <row r="155" spans="2:51">
      <c r="B155" s="24" t="s">
        <v>141</v>
      </c>
      <c r="C155" s="25" t="s">
        <v>141</v>
      </c>
      <c r="D155" s="26" t="s">
        <v>141</v>
      </c>
      <c r="E155" s="27" t="s">
        <v>141</v>
      </c>
      <c r="F155" s="26" t="s">
        <v>141</v>
      </c>
      <c r="G155" s="27" t="s">
        <v>141</v>
      </c>
      <c r="H155" s="26" t="s">
        <v>141</v>
      </c>
      <c r="I155" s="27" t="s">
        <v>141</v>
      </c>
      <c r="J155" s="26" t="s">
        <v>141</v>
      </c>
      <c r="K155" s="27" t="s">
        <v>141</v>
      </c>
      <c r="L155" s="26" t="s">
        <v>141</v>
      </c>
      <c r="M155" s="27" t="s">
        <v>141</v>
      </c>
      <c r="N155" s="26" t="s">
        <v>141</v>
      </c>
      <c r="O155" s="27" t="s">
        <v>141</v>
      </c>
      <c r="P155" s="26" t="s">
        <v>141</v>
      </c>
      <c r="Q155" s="27" t="s">
        <v>141</v>
      </c>
      <c r="R155" s="26" t="s">
        <v>141</v>
      </c>
      <c r="S155" s="27" t="s">
        <v>141</v>
      </c>
      <c r="T155" s="26" t="s">
        <v>141</v>
      </c>
      <c r="U155" s="27" t="s">
        <v>141</v>
      </c>
      <c r="V155" s="26" t="s">
        <v>141</v>
      </c>
      <c r="W155" s="27" t="s">
        <v>141</v>
      </c>
      <c r="X155" s="26" t="s">
        <v>141</v>
      </c>
      <c r="Y155" s="27" t="s">
        <v>141</v>
      </c>
      <c r="Z155" s="26" t="s">
        <v>141</v>
      </c>
      <c r="AA155" s="27" t="s">
        <v>141</v>
      </c>
      <c r="AB155" s="26" t="s">
        <v>141</v>
      </c>
      <c r="AC155" s="27" t="s">
        <v>141</v>
      </c>
      <c r="AD155" s="26" t="s">
        <v>141</v>
      </c>
      <c r="AE155" s="27" t="s">
        <v>141</v>
      </c>
      <c r="AF155" s="26" t="s">
        <v>141</v>
      </c>
      <c r="AG155" s="27" t="s">
        <v>141</v>
      </c>
      <c r="AH155" s="26" t="s">
        <v>141</v>
      </c>
      <c r="AI155" s="27" t="s">
        <v>141</v>
      </c>
      <c r="AJ155" s="26" t="s">
        <v>141</v>
      </c>
      <c r="AK155" s="27" t="s">
        <v>141</v>
      </c>
      <c r="AL155" s="26" t="s">
        <v>141</v>
      </c>
      <c r="AM155" s="27" t="s">
        <v>141</v>
      </c>
      <c r="AN155" s="26" t="s">
        <v>141</v>
      </c>
      <c r="AO155" s="27" t="s">
        <v>141</v>
      </c>
      <c r="AP155" s="26" t="s">
        <v>141</v>
      </c>
      <c r="AQ155" s="27" t="s">
        <v>141</v>
      </c>
      <c r="AR155" s="26" t="s">
        <v>141</v>
      </c>
      <c r="AS155" s="27" t="s">
        <v>141</v>
      </c>
      <c r="AT155" s="26" t="s">
        <v>141</v>
      </c>
      <c r="AU155" s="27" t="s">
        <v>141</v>
      </c>
      <c r="AV155" s="26" t="s">
        <v>141</v>
      </c>
      <c r="AW155" s="27" t="s">
        <v>141</v>
      </c>
      <c r="AX155" s="26" t="s">
        <v>141</v>
      </c>
      <c r="AY155" s="27" t="s">
        <v>141</v>
      </c>
    </row>
    <row r="156" spans="2:51">
      <c r="B156" s="24" t="s">
        <v>141</v>
      </c>
      <c r="C156" s="25" t="s">
        <v>141</v>
      </c>
      <c r="D156" s="26" t="s">
        <v>141</v>
      </c>
      <c r="E156" s="27" t="s">
        <v>141</v>
      </c>
      <c r="F156" s="26" t="s">
        <v>141</v>
      </c>
      <c r="G156" s="27" t="s">
        <v>141</v>
      </c>
      <c r="H156" s="26" t="s">
        <v>141</v>
      </c>
      <c r="I156" s="27" t="s">
        <v>141</v>
      </c>
      <c r="J156" s="26" t="s">
        <v>141</v>
      </c>
      <c r="K156" s="27" t="s">
        <v>141</v>
      </c>
      <c r="L156" s="26" t="s">
        <v>141</v>
      </c>
      <c r="M156" s="27" t="s">
        <v>141</v>
      </c>
      <c r="N156" s="26" t="s">
        <v>141</v>
      </c>
      <c r="O156" s="27" t="s">
        <v>141</v>
      </c>
      <c r="P156" s="26" t="s">
        <v>141</v>
      </c>
      <c r="Q156" s="27" t="s">
        <v>141</v>
      </c>
      <c r="R156" s="26" t="s">
        <v>141</v>
      </c>
      <c r="S156" s="27" t="s">
        <v>141</v>
      </c>
      <c r="T156" s="26" t="s">
        <v>141</v>
      </c>
      <c r="U156" s="27" t="s">
        <v>141</v>
      </c>
      <c r="V156" s="26" t="s">
        <v>141</v>
      </c>
      <c r="W156" s="27" t="s">
        <v>141</v>
      </c>
      <c r="X156" s="26" t="s">
        <v>141</v>
      </c>
      <c r="Y156" s="27" t="s">
        <v>141</v>
      </c>
      <c r="Z156" s="26" t="s">
        <v>141</v>
      </c>
      <c r="AA156" s="27" t="s">
        <v>141</v>
      </c>
      <c r="AB156" s="26" t="s">
        <v>141</v>
      </c>
      <c r="AC156" s="27" t="s">
        <v>141</v>
      </c>
      <c r="AD156" s="26" t="s">
        <v>141</v>
      </c>
      <c r="AE156" s="27" t="s">
        <v>141</v>
      </c>
      <c r="AF156" s="26" t="s">
        <v>141</v>
      </c>
      <c r="AG156" s="27" t="s">
        <v>141</v>
      </c>
      <c r="AH156" s="26" t="s">
        <v>141</v>
      </c>
      <c r="AI156" s="27" t="s">
        <v>141</v>
      </c>
      <c r="AJ156" s="26" t="s">
        <v>141</v>
      </c>
      <c r="AK156" s="27" t="s">
        <v>141</v>
      </c>
      <c r="AL156" s="26" t="s">
        <v>141</v>
      </c>
      <c r="AM156" s="27" t="s">
        <v>141</v>
      </c>
      <c r="AN156" s="26" t="s">
        <v>141</v>
      </c>
      <c r="AO156" s="27" t="s">
        <v>141</v>
      </c>
      <c r="AP156" s="26" t="s">
        <v>141</v>
      </c>
      <c r="AQ156" s="27" t="s">
        <v>141</v>
      </c>
      <c r="AR156" s="26" t="s">
        <v>141</v>
      </c>
      <c r="AS156" s="27" t="s">
        <v>141</v>
      </c>
      <c r="AT156" s="26" t="s">
        <v>141</v>
      </c>
      <c r="AU156" s="27" t="s">
        <v>141</v>
      </c>
      <c r="AV156" s="26" t="s">
        <v>141</v>
      </c>
      <c r="AW156" s="27" t="s">
        <v>141</v>
      </c>
      <c r="AX156" s="26" t="s">
        <v>141</v>
      </c>
      <c r="AY156" s="27" t="s">
        <v>141</v>
      </c>
    </row>
    <row r="157" spans="2:51">
      <c r="B157" s="24" t="s">
        <v>141</v>
      </c>
      <c r="C157" s="25" t="s">
        <v>141</v>
      </c>
      <c r="D157" s="26" t="s">
        <v>141</v>
      </c>
      <c r="E157" s="27" t="s">
        <v>141</v>
      </c>
      <c r="F157" s="26" t="s">
        <v>141</v>
      </c>
      <c r="G157" s="27" t="s">
        <v>141</v>
      </c>
      <c r="H157" s="26" t="s">
        <v>141</v>
      </c>
      <c r="I157" s="27" t="s">
        <v>141</v>
      </c>
      <c r="J157" s="26" t="s">
        <v>141</v>
      </c>
      <c r="K157" s="27" t="s">
        <v>141</v>
      </c>
      <c r="L157" s="26" t="s">
        <v>141</v>
      </c>
      <c r="M157" s="27" t="s">
        <v>141</v>
      </c>
      <c r="N157" s="26" t="s">
        <v>141</v>
      </c>
      <c r="O157" s="27" t="s">
        <v>141</v>
      </c>
      <c r="P157" s="26" t="s">
        <v>141</v>
      </c>
      <c r="Q157" s="27" t="s">
        <v>141</v>
      </c>
      <c r="R157" s="26" t="s">
        <v>141</v>
      </c>
      <c r="S157" s="27" t="s">
        <v>141</v>
      </c>
      <c r="T157" s="26" t="s">
        <v>141</v>
      </c>
      <c r="U157" s="27" t="s">
        <v>141</v>
      </c>
      <c r="V157" s="26" t="s">
        <v>141</v>
      </c>
      <c r="W157" s="27" t="s">
        <v>141</v>
      </c>
      <c r="X157" s="26" t="s">
        <v>141</v>
      </c>
      <c r="Y157" s="27" t="s">
        <v>141</v>
      </c>
      <c r="Z157" s="26" t="s">
        <v>141</v>
      </c>
      <c r="AA157" s="27" t="s">
        <v>141</v>
      </c>
      <c r="AB157" s="26" t="s">
        <v>141</v>
      </c>
      <c r="AC157" s="27" t="s">
        <v>141</v>
      </c>
      <c r="AD157" s="26" t="s">
        <v>141</v>
      </c>
      <c r="AE157" s="27" t="s">
        <v>141</v>
      </c>
      <c r="AF157" s="26" t="s">
        <v>141</v>
      </c>
      <c r="AG157" s="27" t="s">
        <v>141</v>
      </c>
      <c r="AH157" s="26" t="s">
        <v>141</v>
      </c>
      <c r="AI157" s="27" t="s">
        <v>141</v>
      </c>
      <c r="AJ157" s="26" t="s">
        <v>141</v>
      </c>
      <c r="AK157" s="27" t="s">
        <v>141</v>
      </c>
      <c r="AL157" s="26" t="s">
        <v>141</v>
      </c>
      <c r="AM157" s="27" t="s">
        <v>141</v>
      </c>
      <c r="AN157" s="26" t="s">
        <v>141</v>
      </c>
      <c r="AO157" s="27" t="s">
        <v>141</v>
      </c>
      <c r="AP157" s="26" t="s">
        <v>141</v>
      </c>
      <c r="AQ157" s="27" t="s">
        <v>141</v>
      </c>
      <c r="AR157" s="26" t="s">
        <v>141</v>
      </c>
      <c r="AS157" s="27" t="s">
        <v>141</v>
      </c>
      <c r="AT157" s="26" t="s">
        <v>141</v>
      </c>
      <c r="AU157" s="27" t="s">
        <v>141</v>
      </c>
      <c r="AV157" s="26" t="s">
        <v>141</v>
      </c>
      <c r="AW157" s="27" t="s">
        <v>141</v>
      </c>
      <c r="AX157" s="26" t="s">
        <v>141</v>
      </c>
      <c r="AY157" s="27" t="s">
        <v>141</v>
      </c>
    </row>
    <row r="158" spans="2:51">
      <c r="B158" s="24" t="s">
        <v>141</v>
      </c>
      <c r="C158" s="25" t="s">
        <v>141</v>
      </c>
      <c r="D158" s="26" t="s">
        <v>141</v>
      </c>
      <c r="E158" s="27" t="s">
        <v>141</v>
      </c>
      <c r="F158" s="26" t="s">
        <v>141</v>
      </c>
      <c r="G158" s="27" t="s">
        <v>141</v>
      </c>
      <c r="H158" s="26" t="s">
        <v>141</v>
      </c>
      <c r="I158" s="27" t="s">
        <v>141</v>
      </c>
      <c r="J158" s="26" t="s">
        <v>141</v>
      </c>
      <c r="K158" s="27" t="s">
        <v>141</v>
      </c>
      <c r="L158" s="26" t="s">
        <v>141</v>
      </c>
      <c r="M158" s="27" t="s">
        <v>141</v>
      </c>
      <c r="N158" s="26" t="s">
        <v>141</v>
      </c>
      <c r="O158" s="27" t="s">
        <v>141</v>
      </c>
      <c r="P158" s="26" t="s">
        <v>141</v>
      </c>
      <c r="Q158" s="27" t="s">
        <v>141</v>
      </c>
      <c r="R158" s="26" t="s">
        <v>141</v>
      </c>
      <c r="S158" s="27" t="s">
        <v>141</v>
      </c>
      <c r="T158" s="26" t="s">
        <v>141</v>
      </c>
      <c r="U158" s="27" t="s">
        <v>141</v>
      </c>
      <c r="V158" s="26" t="s">
        <v>141</v>
      </c>
      <c r="W158" s="27" t="s">
        <v>141</v>
      </c>
      <c r="X158" s="26" t="s">
        <v>141</v>
      </c>
      <c r="Y158" s="27" t="s">
        <v>141</v>
      </c>
      <c r="Z158" s="26" t="s">
        <v>141</v>
      </c>
      <c r="AA158" s="27" t="s">
        <v>141</v>
      </c>
      <c r="AB158" s="26" t="s">
        <v>141</v>
      </c>
      <c r="AC158" s="27" t="s">
        <v>141</v>
      </c>
      <c r="AD158" s="26" t="s">
        <v>141</v>
      </c>
      <c r="AE158" s="27" t="s">
        <v>141</v>
      </c>
      <c r="AF158" s="26" t="s">
        <v>141</v>
      </c>
      <c r="AG158" s="27" t="s">
        <v>141</v>
      </c>
      <c r="AH158" s="26" t="s">
        <v>141</v>
      </c>
      <c r="AI158" s="27" t="s">
        <v>141</v>
      </c>
      <c r="AJ158" s="26" t="s">
        <v>141</v>
      </c>
      <c r="AK158" s="27" t="s">
        <v>141</v>
      </c>
      <c r="AL158" s="26" t="s">
        <v>141</v>
      </c>
      <c r="AM158" s="27" t="s">
        <v>141</v>
      </c>
      <c r="AN158" s="26" t="s">
        <v>141</v>
      </c>
      <c r="AO158" s="27" t="s">
        <v>141</v>
      </c>
      <c r="AP158" s="26" t="s">
        <v>141</v>
      </c>
      <c r="AQ158" s="27" t="s">
        <v>141</v>
      </c>
      <c r="AR158" s="26" t="s">
        <v>141</v>
      </c>
      <c r="AS158" s="27" t="s">
        <v>141</v>
      </c>
      <c r="AT158" s="26" t="s">
        <v>141</v>
      </c>
      <c r="AU158" s="27" t="s">
        <v>141</v>
      </c>
      <c r="AV158" s="26" t="s">
        <v>141</v>
      </c>
      <c r="AW158" s="27" t="s">
        <v>141</v>
      </c>
      <c r="AX158" s="26" t="s">
        <v>141</v>
      </c>
      <c r="AY158" s="27" t="s">
        <v>141</v>
      </c>
    </row>
    <row r="159" spans="2:51">
      <c r="B159" s="24" t="s">
        <v>141</v>
      </c>
      <c r="C159" s="25" t="s">
        <v>141</v>
      </c>
      <c r="D159" s="26" t="s">
        <v>141</v>
      </c>
      <c r="E159" s="27" t="s">
        <v>141</v>
      </c>
      <c r="F159" s="26" t="s">
        <v>141</v>
      </c>
      <c r="G159" s="27" t="s">
        <v>141</v>
      </c>
      <c r="H159" s="26" t="s">
        <v>141</v>
      </c>
      <c r="I159" s="27" t="s">
        <v>141</v>
      </c>
      <c r="J159" s="26" t="s">
        <v>141</v>
      </c>
      <c r="K159" s="27" t="s">
        <v>141</v>
      </c>
      <c r="L159" s="26" t="s">
        <v>141</v>
      </c>
      <c r="M159" s="27" t="s">
        <v>141</v>
      </c>
      <c r="N159" s="26" t="s">
        <v>141</v>
      </c>
      <c r="O159" s="27" t="s">
        <v>141</v>
      </c>
      <c r="P159" s="26" t="s">
        <v>141</v>
      </c>
      <c r="Q159" s="27" t="s">
        <v>141</v>
      </c>
      <c r="R159" s="26" t="s">
        <v>141</v>
      </c>
      <c r="S159" s="27" t="s">
        <v>141</v>
      </c>
      <c r="T159" s="26" t="s">
        <v>141</v>
      </c>
      <c r="U159" s="27" t="s">
        <v>141</v>
      </c>
      <c r="V159" s="26" t="s">
        <v>141</v>
      </c>
      <c r="W159" s="27" t="s">
        <v>141</v>
      </c>
      <c r="X159" s="26" t="s">
        <v>141</v>
      </c>
      <c r="Y159" s="27" t="s">
        <v>141</v>
      </c>
      <c r="Z159" s="26" t="s">
        <v>141</v>
      </c>
      <c r="AA159" s="27" t="s">
        <v>141</v>
      </c>
      <c r="AB159" s="26" t="s">
        <v>141</v>
      </c>
      <c r="AC159" s="27" t="s">
        <v>141</v>
      </c>
      <c r="AD159" s="26" t="s">
        <v>141</v>
      </c>
      <c r="AE159" s="27" t="s">
        <v>141</v>
      </c>
      <c r="AF159" s="26" t="s">
        <v>141</v>
      </c>
      <c r="AG159" s="27" t="s">
        <v>141</v>
      </c>
      <c r="AH159" s="26" t="s">
        <v>141</v>
      </c>
      <c r="AI159" s="27" t="s">
        <v>141</v>
      </c>
      <c r="AJ159" s="26" t="s">
        <v>141</v>
      </c>
      <c r="AK159" s="27" t="s">
        <v>141</v>
      </c>
      <c r="AL159" s="26" t="s">
        <v>141</v>
      </c>
      <c r="AM159" s="27" t="s">
        <v>141</v>
      </c>
      <c r="AN159" s="26" t="s">
        <v>141</v>
      </c>
      <c r="AO159" s="27" t="s">
        <v>141</v>
      </c>
      <c r="AP159" s="26" t="s">
        <v>141</v>
      </c>
      <c r="AQ159" s="27" t="s">
        <v>141</v>
      </c>
      <c r="AR159" s="26" t="s">
        <v>141</v>
      </c>
      <c r="AS159" s="27" t="s">
        <v>141</v>
      </c>
      <c r="AT159" s="26" t="s">
        <v>141</v>
      </c>
      <c r="AU159" s="27" t="s">
        <v>141</v>
      </c>
      <c r="AV159" s="26" t="s">
        <v>141</v>
      </c>
      <c r="AW159" s="27" t="s">
        <v>141</v>
      </c>
      <c r="AX159" s="26" t="s">
        <v>141</v>
      </c>
      <c r="AY159" s="27" t="s">
        <v>141</v>
      </c>
    </row>
    <row r="160" spans="2:51">
      <c r="B160" s="24" t="s">
        <v>141</v>
      </c>
      <c r="C160" s="25" t="s">
        <v>141</v>
      </c>
      <c r="D160" s="26" t="s">
        <v>141</v>
      </c>
      <c r="E160" s="27" t="s">
        <v>141</v>
      </c>
      <c r="F160" s="26" t="s">
        <v>141</v>
      </c>
      <c r="G160" s="27" t="s">
        <v>141</v>
      </c>
      <c r="H160" s="26" t="s">
        <v>141</v>
      </c>
      <c r="I160" s="27" t="s">
        <v>141</v>
      </c>
      <c r="J160" s="26" t="s">
        <v>141</v>
      </c>
      <c r="K160" s="27" t="s">
        <v>141</v>
      </c>
      <c r="L160" s="26" t="s">
        <v>141</v>
      </c>
      <c r="M160" s="27" t="s">
        <v>141</v>
      </c>
      <c r="N160" s="26" t="s">
        <v>141</v>
      </c>
      <c r="O160" s="27" t="s">
        <v>141</v>
      </c>
      <c r="P160" s="26" t="s">
        <v>141</v>
      </c>
      <c r="Q160" s="27" t="s">
        <v>141</v>
      </c>
      <c r="R160" s="26" t="s">
        <v>141</v>
      </c>
      <c r="S160" s="27" t="s">
        <v>141</v>
      </c>
      <c r="T160" s="26" t="s">
        <v>141</v>
      </c>
      <c r="U160" s="27" t="s">
        <v>141</v>
      </c>
      <c r="V160" s="26" t="s">
        <v>141</v>
      </c>
      <c r="W160" s="27" t="s">
        <v>141</v>
      </c>
      <c r="X160" s="26" t="s">
        <v>141</v>
      </c>
      <c r="Y160" s="27" t="s">
        <v>141</v>
      </c>
      <c r="Z160" s="26" t="s">
        <v>141</v>
      </c>
      <c r="AA160" s="27" t="s">
        <v>141</v>
      </c>
      <c r="AB160" s="26" t="s">
        <v>141</v>
      </c>
      <c r="AC160" s="27" t="s">
        <v>141</v>
      </c>
      <c r="AD160" s="26" t="s">
        <v>141</v>
      </c>
      <c r="AE160" s="27" t="s">
        <v>141</v>
      </c>
      <c r="AF160" s="26" t="s">
        <v>141</v>
      </c>
      <c r="AG160" s="27" t="s">
        <v>141</v>
      </c>
      <c r="AH160" s="26" t="s">
        <v>141</v>
      </c>
      <c r="AI160" s="27" t="s">
        <v>141</v>
      </c>
      <c r="AJ160" s="26" t="s">
        <v>141</v>
      </c>
      <c r="AK160" s="27" t="s">
        <v>141</v>
      </c>
      <c r="AL160" s="26" t="s">
        <v>141</v>
      </c>
      <c r="AM160" s="27" t="s">
        <v>141</v>
      </c>
      <c r="AN160" s="26" t="s">
        <v>141</v>
      </c>
      <c r="AO160" s="27" t="s">
        <v>141</v>
      </c>
      <c r="AP160" s="26" t="s">
        <v>141</v>
      </c>
      <c r="AQ160" s="27" t="s">
        <v>141</v>
      </c>
      <c r="AR160" s="26" t="s">
        <v>141</v>
      </c>
      <c r="AS160" s="27" t="s">
        <v>141</v>
      </c>
      <c r="AT160" s="26" t="s">
        <v>141</v>
      </c>
      <c r="AU160" s="27" t="s">
        <v>141</v>
      </c>
      <c r="AV160" s="26" t="s">
        <v>141</v>
      </c>
      <c r="AW160" s="27" t="s">
        <v>141</v>
      </c>
      <c r="AX160" s="26" t="s">
        <v>141</v>
      </c>
      <c r="AY160" s="27" t="s">
        <v>141</v>
      </c>
    </row>
    <row r="161" spans="2:51">
      <c r="B161" s="24" t="s">
        <v>141</v>
      </c>
      <c r="C161" s="25" t="s">
        <v>141</v>
      </c>
      <c r="D161" s="26" t="s">
        <v>141</v>
      </c>
      <c r="E161" s="27" t="s">
        <v>141</v>
      </c>
      <c r="F161" s="26" t="s">
        <v>141</v>
      </c>
      <c r="G161" s="27" t="s">
        <v>141</v>
      </c>
      <c r="H161" s="26" t="s">
        <v>141</v>
      </c>
      <c r="I161" s="27" t="s">
        <v>141</v>
      </c>
      <c r="J161" s="26" t="s">
        <v>141</v>
      </c>
      <c r="K161" s="27" t="s">
        <v>141</v>
      </c>
      <c r="L161" s="26" t="s">
        <v>141</v>
      </c>
      <c r="M161" s="27" t="s">
        <v>141</v>
      </c>
      <c r="N161" s="26" t="s">
        <v>141</v>
      </c>
      <c r="O161" s="27" t="s">
        <v>141</v>
      </c>
      <c r="P161" s="26" t="s">
        <v>141</v>
      </c>
      <c r="Q161" s="27" t="s">
        <v>141</v>
      </c>
      <c r="R161" s="26" t="s">
        <v>141</v>
      </c>
      <c r="S161" s="27" t="s">
        <v>141</v>
      </c>
      <c r="T161" s="26" t="s">
        <v>141</v>
      </c>
      <c r="U161" s="27" t="s">
        <v>141</v>
      </c>
      <c r="V161" s="26" t="s">
        <v>141</v>
      </c>
      <c r="W161" s="27" t="s">
        <v>141</v>
      </c>
      <c r="X161" s="26" t="s">
        <v>141</v>
      </c>
      <c r="Y161" s="27" t="s">
        <v>141</v>
      </c>
      <c r="Z161" s="26" t="s">
        <v>141</v>
      </c>
      <c r="AA161" s="27" t="s">
        <v>141</v>
      </c>
      <c r="AB161" s="26" t="s">
        <v>141</v>
      </c>
      <c r="AC161" s="27" t="s">
        <v>141</v>
      </c>
      <c r="AD161" s="26" t="s">
        <v>141</v>
      </c>
      <c r="AE161" s="27" t="s">
        <v>141</v>
      </c>
      <c r="AF161" s="26" t="s">
        <v>141</v>
      </c>
      <c r="AG161" s="27" t="s">
        <v>141</v>
      </c>
      <c r="AH161" s="26" t="s">
        <v>141</v>
      </c>
      <c r="AI161" s="27" t="s">
        <v>141</v>
      </c>
      <c r="AJ161" s="26" t="s">
        <v>141</v>
      </c>
      <c r="AK161" s="27" t="s">
        <v>141</v>
      </c>
      <c r="AL161" s="26" t="s">
        <v>141</v>
      </c>
      <c r="AM161" s="27" t="s">
        <v>141</v>
      </c>
      <c r="AN161" s="26" t="s">
        <v>141</v>
      </c>
      <c r="AO161" s="27" t="s">
        <v>141</v>
      </c>
      <c r="AP161" s="26" t="s">
        <v>141</v>
      </c>
      <c r="AQ161" s="27" t="s">
        <v>141</v>
      </c>
      <c r="AR161" s="26" t="s">
        <v>141</v>
      </c>
      <c r="AS161" s="27" t="s">
        <v>141</v>
      </c>
      <c r="AT161" s="26" t="s">
        <v>141</v>
      </c>
      <c r="AU161" s="27" t="s">
        <v>141</v>
      </c>
      <c r="AV161" s="26" t="s">
        <v>141</v>
      </c>
      <c r="AW161" s="27" t="s">
        <v>141</v>
      </c>
      <c r="AX161" s="26" t="s">
        <v>141</v>
      </c>
      <c r="AY161" s="27" t="s">
        <v>141</v>
      </c>
    </row>
    <row r="162" spans="2:51">
      <c r="B162" s="24" t="s">
        <v>141</v>
      </c>
      <c r="C162" s="25" t="s">
        <v>141</v>
      </c>
      <c r="D162" s="26" t="s">
        <v>141</v>
      </c>
      <c r="E162" s="27" t="s">
        <v>141</v>
      </c>
      <c r="F162" s="26" t="s">
        <v>141</v>
      </c>
      <c r="G162" s="27" t="s">
        <v>141</v>
      </c>
      <c r="H162" s="26" t="s">
        <v>141</v>
      </c>
      <c r="I162" s="27" t="s">
        <v>141</v>
      </c>
      <c r="J162" s="26" t="s">
        <v>141</v>
      </c>
      <c r="K162" s="27" t="s">
        <v>141</v>
      </c>
      <c r="L162" s="26" t="s">
        <v>141</v>
      </c>
      <c r="M162" s="27" t="s">
        <v>141</v>
      </c>
      <c r="N162" s="26" t="s">
        <v>141</v>
      </c>
      <c r="O162" s="27" t="s">
        <v>141</v>
      </c>
      <c r="P162" s="26" t="s">
        <v>141</v>
      </c>
      <c r="Q162" s="27" t="s">
        <v>141</v>
      </c>
      <c r="R162" s="26" t="s">
        <v>141</v>
      </c>
      <c r="S162" s="27" t="s">
        <v>141</v>
      </c>
      <c r="T162" s="26" t="s">
        <v>141</v>
      </c>
      <c r="U162" s="27" t="s">
        <v>141</v>
      </c>
      <c r="V162" s="26" t="s">
        <v>141</v>
      </c>
      <c r="W162" s="27" t="s">
        <v>141</v>
      </c>
      <c r="X162" s="26" t="s">
        <v>141</v>
      </c>
      <c r="Y162" s="27" t="s">
        <v>141</v>
      </c>
      <c r="Z162" s="26" t="s">
        <v>141</v>
      </c>
      <c r="AA162" s="27" t="s">
        <v>141</v>
      </c>
      <c r="AB162" s="26" t="s">
        <v>141</v>
      </c>
      <c r="AC162" s="27" t="s">
        <v>141</v>
      </c>
      <c r="AD162" s="26" t="s">
        <v>141</v>
      </c>
      <c r="AE162" s="27" t="s">
        <v>141</v>
      </c>
      <c r="AF162" s="26" t="s">
        <v>141</v>
      </c>
      <c r="AG162" s="27" t="s">
        <v>141</v>
      </c>
      <c r="AH162" s="26" t="s">
        <v>141</v>
      </c>
      <c r="AI162" s="27" t="s">
        <v>141</v>
      </c>
      <c r="AJ162" s="26" t="s">
        <v>141</v>
      </c>
      <c r="AK162" s="27" t="s">
        <v>141</v>
      </c>
      <c r="AL162" s="26" t="s">
        <v>141</v>
      </c>
      <c r="AM162" s="27" t="s">
        <v>141</v>
      </c>
      <c r="AN162" s="26" t="s">
        <v>141</v>
      </c>
      <c r="AO162" s="27" t="s">
        <v>141</v>
      </c>
      <c r="AP162" s="26" t="s">
        <v>141</v>
      </c>
      <c r="AQ162" s="27" t="s">
        <v>141</v>
      </c>
      <c r="AR162" s="26" t="s">
        <v>141</v>
      </c>
      <c r="AS162" s="27" t="s">
        <v>141</v>
      </c>
      <c r="AT162" s="26" t="s">
        <v>141</v>
      </c>
      <c r="AU162" s="27" t="s">
        <v>141</v>
      </c>
      <c r="AV162" s="26" t="s">
        <v>141</v>
      </c>
      <c r="AW162" s="27" t="s">
        <v>141</v>
      </c>
      <c r="AX162" s="26" t="s">
        <v>141</v>
      </c>
      <c r="AY162" s="27" t="s">
        <v>141</v>
      </c>
    </row>
    <row r="163" spans="2:51">
      <c r="B163" s="24" t="s">
        <v>141</v>
      </c>
      <c r="C163" s="25" t="s">
        <v>141</v>
      </c>
      <c r="D163" s="26" t="s">
        <v>141</v>
      </c>
      <c r="E163" s="27" t="s">
        <v>141</v>
      </c>
      <c r="F163" s="26" t="s">
        <v>141</v>
      </c>
      <c r="G163" s="27" t="s">
        <v>141</v>
      </c>
      <c r="H163" s="26" t="s">
        <v>141</v>
      </c>
      <c r="I163" s="27" t="s">
        <v>141</v>
      </c>
      <c r="J163" s="26" t="s">
        <v>141</v>
      </c>
      <c r="K163" s="27" t="s">
        <v>141</v>
      </c>
      <c r="L163" s="26" t="s">
        <v>141</v>
      </c>
      <c r="M163" s="27" t="s">
        <v>141</v>
      </c>
      <c r="N163" s="26" t="s">
        <v>141</v>
      </c>
      <c r="O163" s="27" t="s">
        <v>141</v>
      </c>
      <c r="P163" s="26" t="s">
        <v>141</v>
      </c>
      <c r="Q163" s="27" t="s">
        <v>141</v>
      </c>
      <c r="R163" s="26" t="s">
        <v>141</v>
      </c>
      <c r="S163" s="27" t="s">
        <v>141</v>
      </c>
      <c r="T163" s="26" t="s">
        <v>141</v>
      </c>
      <c r="U163" s="27" t="s">
        <v>141</v>
      </c>
      <c r="V163" s="26" t="s">
        <v>141</v>
      </c>
      <c r="W163" s="27" t="s">
        <v>141</v>
      </c>
      <c r="X163" s="26" t="s">
        <v>141</v>
      </c>
      <c r="Y163" s="27" t="s">
        <v>141</v>
      </c>
      <c r="Z163" s="26" t="s">
        <v>141</v>
      </c>
      <c r="AA163" s="27" t="s">
        <v>141</v>
      </c>
      <c r="AB163" s="26" t="s">
        <v>141</v>
      </c>
      <c r="AC163" s="27" t="s">
        <v>141</v>
      </c>
      <c r="AD163" s="26" t="s">
        <v>141</v>
      </c>
      <c r="AE163" s="27" t="s">
        <v>141</v>
      </c>
      <c r="AF163" s="26" t="s">
        <v>141</v>
      </c>
      <c r="AG163" s="27" t="s">
        <v>141</v>
      </c>
      <c r="AH163" s="26" t="s">
        <v>141</v>
      </c>
      <c r="AI163" s="27" t="s">
        <v>141</v>
      </c>
      <c r="AJ163" s="26" t="s">
        <v>141</v>
      </c>
      <c r="AK163" s="27" t="s">
        <v>141</v>
      </c>
      <c r="AL163" s="26" t="s">
        <v>141</v>
      </c>
      <c r="AM163" s="27" t="s">
        <v>141</v>
      </c>
      <c r="AN163" s="26" t="s">
        <v>141</v>
      </c>
      <c r="AO163" s="27" t="s">
        <v>141</v>
      </c>
      <c r="AP163" s="26" t="s">
        <v>141</v>
      </c>
      <c r="AQ163" s="27" t="s">
        <v>141</v>
      </c>
      <c r="AR163" s="26" t="s">
        <v>141</v>
      </c>
      <c r="AS163" s="27" t="s">
        <v>141</v>
      </c>
      <c r="AT163" s="26" t="s">
        <v>141</v>
      </c>
      <c r="AU163" s="27" t="s">
        <v>141</v>
      </c>
      <c r="AV163" s="26" t="s">
        <v>141</v>
      </c>
      <c r="AW163" s="27" t="s">
        <v>141</v>
      </c>
      <c r="AX163" s="26" t="s">
        <v>141</v>
      </c>
      <c r="AY163" s="27" t="s">
        <v>141</v>
      </c>
    </row>
    <row r="164" spans="2:51">
      <c r="B164" s="24" t="s">
        <v>141</v>
      </c>
      <c r="C164" s="25" t="s">
        <v>141</v>
      </c>
      <c r="D164" s="26" t="s">
        <v>141</v>
      </c>
      <c r="E164" s="27" t="s">
        <v>141</v>
      </c>
      <c r="F164" s="26" t="s">
        <v>141</v>
      </c>
      <c r="G164" s="27" t="s">
        <v>141</v>
      </c>
      <c r="H164" s="26" t="s">
        <v>141</v>
      </c>
      <c r="I164" s="27" t="s">
        <v>141</v>
      </c>
      <c r="J164" s="26" t="s">
        <v>141</v>
      </c>
      <c r="K164" s="27" t="s">
        <v>141</v>
      </c>
      <c r="L164" s="26" t="s">
        <v>141</v>
      </c>
      <c r="M164" s="27" t="s">
        <v>141</v>
      </c>
      <c r="N164" s="26" t="s">
        <v>141</v>
      </c>
      <c r="O164" s="27" t="s">
        <v>141</v>
      </c>
      <c r="P164" s="26" t="s">
        <v>141</v>
      </c>
      <c r="Q164" s="27" t="s">
        <v>141</v>
      </c>
      <c r="R164" s="26" t="s">
        <v>141</v>
      </c>
      <c r="S164" s="27" t="s">
        <v>141</v>
      </c>
      <c r="T164" s="26" t="s">
        <v>141</v>
      </c>
      <c r="U164" s="27" t="s">
        <v>141</v>
      </c>
      <c r="V164" s="26" t="s">
        <v>141</v>
      </c>
      <c r="W164" s="27" t="s">
        <v>141</v>
      </c>
      <c r="X164" s="26" t="s">
        <v>141</v>
      </c>
      <c r="Y164" s="27" t="s">
        <v>141</v>
      </c>
      <c r="Z164" s="26" t="s">
        <v>141</v>
      </c>
      <c r="AA164" s="27" t="s">
        <v>141</v>
      </c>
      <c r="AB164" s="26" t="s">
        <v>141</v>
      </c>
      <c r="AC164" s="27" t="s">
        <v>141</v>
      </c>
      <c r="AD164" s="26" t="s">
        <v>141</v>
      </c>
      <c r="AE164" s="27" t="s">
        <v>141</v>
      </c>
      <c r="AF164" s="26" t="s">
        <v>141</v>
      </c>
      <c r="AG164" s="27" t="s">
        <v>141</v>
      </c>
      <c r="AH164" s="26" t="s">
        <v>141</v>
      </c>
      <c r="AI164" s="27" t="s">
        <v>141</v>
      </c>
      <c r="AJ164" s="26" t="s">
        <v>141</v>
      </c>
      <c r="AK164" s="27" t="s">
        <v>141</v>
      </c>
      <c r="AL164" s="26" t="s">
        <v>141</v>
      </c>
      <c r="AM164" s="27" t="s">
        <v>141</v>
      </c>
      <c r="AN164" s="26" t="s">
        <v>141</v>
      </c>
      <c r="AO164" s="27" t="s">
        <v>141</v>
      </c>
      <c r="AP164" s="26" t="s">
        <v>141</v>
      </c>
      <c r="AQ164" s="27" t="s">
        <v>141</v>
      </c>
      <c r="AR164" s="26" t="s">
        <v>141</v>
      </c>
      <c r="AS164" s="27" t="s">
        <v>141</v>
      </c>
      <c r="AT164" s="26" t="s">
        <v>141</v>
      </c>
      <c r="AU164" s="27" t="s">
        <v>141</v>
      </c>
      <c r="AV164" s="26" t="s">
        <v>141</v>
      </c>
      <c r="AW164" s="27" t="s">
        <v>141</v>
      </c>
      <c r="AX164" s="26" t="s">
        <v>141</v>
      </c>
      <c r="AY164" s="27" t="s">
        <v>141</v>
      </c>
    </row>
    <row r="165" spans="2:51">
      <c r="B165" s="24" t="s">
        <v>141</v>
      </c>
      <c r="C165" s="25" t="s">
        <v>141</v>
      </c>
      <c r="D165" s="26" t="s">
        <v>141</v>
      </c>
      <c r="E165" s="27" t="s">
        <v>141</v>
      </c>
      <c r="F165" s="26" t="s">
        <v>141</v>
      </c>
      <c r="G165" s="27" t="s">
        <v>141</v>
      </c>
      <c r="H165" s="26" t="s">
        <v>141</v>
      </c>
      <c r="I165" s="27" t="s">
        <v>141</v>
      </c>
      <c r="J165" s="26" t="s">
        <v>141</v>
      </c>
      <c r="K165" s="27" t="s">
        <v>141</v>
      </c>
      <c r="L165" s="26" t="s">
        <v>141</v>
      </c>
      <c r="M165" s="27" t="s">
        <v>141</v>
      </c>
      <c r="N165" s="26" t="s">
        <v>141</v>
      </c>
      <c r="O165" s="27" t="s">
        <v>141</v>
      </c>
      <c r="P165" s="26" t="s">
        <v>141</v>
      </c>
      <c r="Q165" s="27" t="s">
        <v>141</v>
      </c>
      <c r="R165" s="26" t="s">
        <v>141</v>
      </c>
      <c r="S165" s="27" t="s">
        <v>141</v>
      </c>
      <c r="T165" s="26" t="s">
        <v>141</v>
      </c>
      <c r="U165" s="27" t="s">
        <v>141</v>
      </c>
      <c r="V165" s="26" t="s">
        <v>141</v>
      </c>
      <c r="W165" s="27" t="s">
        <v>141</v>
      </c>
      <c r="X165" s="26" t="s">
        <v>141</v>
      </c>
      <c r="Y165" s="27" t="s">
        <v>141</v>
      </c>
      <c r="Z165" s="26" t="s">
        <v>141</v>
      </c>
      <c r="AA165" s="27" t="s">
        <v>141</v>
      </c>
      <c r="AB165" s="26" t="s">
        <v>141</v>
      </c>
      <c r="AC165" s="27" t="s">
        <v>141</v>
      </c>
      <c r="AD165" s="26" t="s">
        <v>141</v>
      </c>
      <c r="AE165" s="27" t="s">
        <v>141</v>
      </c>
      <c r="AF165" s="26" t="s">
        <v>141</v>
      </c>
      <c r="AG165" s="27" t="s">
        <v>141</v>
      </c>
      <c r="AH165" s="26" t="s">
        <v>141</v>
      </c>
      <c r="AI165" s="27" t="s">
        <v>141</v>
      </c>
      <c r="AJ165" s="26" t="s">
        <v>141</v>
      </c>
      <c r="AK165" s="27" t="s">
        <v>141</v>
      </c>
      <c r="AL165" s="26" t="s">
        <v>141</v>
      </c>
      <c r="AM165" s="27" t="s">
        <v>141</v>
      </c>
      <c r="AN165" s="26" t="s">
        <v>141</v>
      </c>
      <c r="AO165" s="27" t="s">
        <v>141</v>
      </c>
      <c r="AP165" s="26" t="s">
        <v>141</v>
      </c>
      <c r="AQ165" s="27" t="s">
        <v>141</v>
      </c>
      <c r="AR165" s="26" t="s">
        <v>141</v>
      </c>
      <c r="AS165" s="27" t="s">
        <v>141</v>
      </c>
      <c r="AT165" s="26" t="s">
        <v>141</v>
      </c>
      <c r="AU165" s="27" t="s">
        <v>141</v>
      </c>
      <c r="AV165" s="26" t="s">
        <v>141</v>
      </c>
      <c r="AW165" s="27" t="s">
        <v>141</v>
      </c>
      <c r="AX165" s="26" t="s">
        <v>141</v>
      </c>
      <c r="AY165" s="27" t="s">
        <v>141</v>
      </c>
    </row>
    <row r="166" spans="2:51">
      <c r="B166" s="24" t="s">
        <v>141</v>
      </c>
      <c r="C166" s="25" t="s">
        <v>141</v>
      </c>
      <c r="D166" s="26" t="s">
        <v>141</v>
      </c>
      <c r="E166" s="27" t="s">
        <v>141</v>
      </c>
      <c r="F166" s="26" t="s">
        <v>141</v>
      </c>
      <c r="G166" s="27" t="s">
        <v>141</v>
      </c>
      <c r="H166" s="26" t="s">
        <v>141</v>
      </c>
      <c r="I166" s="27" t="s">
        <v>141</v>
      </c>
      <c r="J166" s="26" t="s">
        <v>141</v>
      </c>
      <c r="K166" s="27" t="s">
        <v>141</v>
      </c>
      <c r="L166" s="26" t="s">
        <v>141</v>
      </c>
      <c r="M166" s="27" t="s">
        <v>141</v>
      </c>
      <c r="N166" s="26" t="s">
        <v>141</v>
      </c>
      <c r="O166" s="27" t="s">
        <v>141</v>
      </c>
      <c r="P166" s="26" t="s">
        <v>141</v>
      </c>
      <c r="Q166" s="27" t="s">
        <v>141</v>
      </c>
      <c r="R166" s="26" t="s">
        <v>141</v>
      </c>
      <c r="S166" s="27" t="s">
        <v>141</v>
      </c>
      <c r="T166" s="26" t="s">
        <v>141</v>
      </c>
      <c r="U166" s="27" t="s">
        <v>141</v>
      </c>
      <c r="V166" s="26" t="s">
        <v>141</v>
      </c>
      <c r="W166" s="27" t="s">
        <v>141</v>
      </c>
      <c r="X166" s="26" t="s">
        <v>141</v>
      </c>
      <c r="Y166" s="27" t="s">
        <v>141</v>
      </c>
      <c r="Z166" s="26" t="s">
        <v>141</v>
      </c>
      <c r="AA166" s="27" t="s">
        <v>141</v>
      </c>
      <c r="AB166" s="26" t="s">
        <v>141</v>
      </c>
      <c r="AC166" s="27" t="s">
        <v>141</v>
      </c>
      <c r="AD166" s="26" t="s">
        <v>141</v>
      </c>
      <c r="AE166" s="27" t="s">
        <v>141</v>
      </c>
      <c r="AF166" s="26" t="s">
        <v>141</v>
      </c>
      <c r="AG166" s="27" t="s">
        <v>141</v>
      </c>
      <c r="AH166" s="26" t="s">
        <v>141</v>
      </c>
      <c r="AI166" s="27" t="s">
        <v>141</v>
      </c>
      <c r="AJ166" s="26" t="s">
        <v>141</v>
      </c>
      <c r="AK166" s="27" t="s">
        <v>141</v>
      </c>
      <c r="AL166" s="26" t="s">
        <v>141</v>
      </c>
      <c r="AM166" s="27" t="s">
        <v>141</v>
      </c>
      <c r="AN166" s="26" t="s">
        <v>141</v>
      </c>
      <c r="AO166" s="27" t="s">
        <v>141</v>
      </c>
      <c r="AP166" s="26" t="s">
        <v>141</v>
      </c>
      <c r="AQ166" s="27" t="s">
        <v>141</v>
      </c>
      <c r="AR166" s="26" t="s">
        <v>141</v>
      </c>
      <c r="AS166" s="27" t="s">
        <v>141</v>
      </c>
      <c r="AT166" s="26" t="s">
        <v>141</v>
      </c>
      <c r="AU166" s="27" t="s">
        <v>141</v>
      </c>
      <c r="AV166" s="26" t="s">
        <v>141</v>
      </c>
      <c r="AW166" s="27" t="s">
        <v>141</v>
      </c>
      <c r="AX166" s="26" t="s">
        <v>141</v>
      </c>
      <c r="AY166" s="27" t="s">
        <v>141</v>
      </c>
    </row>
    <row r="167" spans="2:51">
      <c r="B167" s="152" t="s">
        <v>141</v>
      </c>
      <c r="C167" s="152" t="s">
        <v>141</v>
      </c>
      <c r="D167" s="152" t="s">
        <v>141</v>
      </c>
      <c r="E167" s="152" t="s">
        <v>141</v>
      </c>
      <c r="F167" s="152" t="s">
        <v>141</v>
      </c>
      <c r="G167" s="152" t="s">
        <v>141</v>
      </c>
      <c r="H167" s="152" t="s">
        <v>141</v>
      </c>
      <c r="I167" s="152" t="s">
        <v>141</v>
      </c>
      <c r="J167" s="152" t="s">
        <v>141</v>
      </c>
      <c r="K167" s="152" t="s">
        <v>141</v>
      </c>
      <c r="L167" s="152" t="s">
        <v>141</v>
      </c>
      <c r="M167" s="152" t="s">
        <v>141</v>
      </c>
      <c r="N167" s="152" t="s">
        <v>141</v>
      </c>
      <c r="O167" s="152" t="s">
        <v>141</v>
      </c>
      <c r="P167" s="152" t="s">
        <v>141</v>
      </c>
      <c r="Q167" s="152" t="s">
        <v>141</v>
      </c>
      <c r="R167" s="152" t="s">
        <v>141</v>
      </c>
      <c r="S167" s="152" t="s">
        <v>141</v>
      </c>
      <c r="T167" s="152" t="s">
        <v>141</v>
      </c>
      <c r="U167" s="152" t="s">
        <v>141</v>
      </c>
      <c r="V167" s="152" t="s">
        <v>141</v>
      </c>
      <c r="W167" s="152" t="s">
        <v>141</v>
      </c>
      <c r="X167" s="152" t="s">
        <v>141</v>
      </c>
      <c r="Y167" s="152" t="s">
        <v>141</v>
      </c>
      <c r="Z167" s="152" t="s">
        <v>141</v>
      </c>
      <c r="AA167" s="152" t="s">
        <v>141</v>
      </c>
      <c r="AB167" s="152" t="s">
        <v>141</v>
      </c>
      <c r="AC167" s="152" t="s">
        <v>141</v>
      </c>
      <c r="AD167" s="152" t="s">
        <v>141</v>
      </c>
      <c r="AE167" s="152" t="s">
        <v>141</v>
      </c>
      <c r="AF167" s="152" t="s">
        <v>141</v>
      </c>
      <c r="AG167" s="152" t="s">
        <v>141</v>
      </c>
      <c r="AH167" s="152" t="s">
        <v>141</v>
      </c>
      <c r="AI167" s="152" t="s">
        <v>141</v>
      </c>
      <c r="AJ167" s="152" t="s">
        <v>141</v>
      </c>
      <c r="AK167" s="152" t="s">
        <v>141</v>
      </c>
      <c r="AL167" s="152" t="s">
        <v>141</v>
      </c>
      <c r="AM167" s="152" t="s">
        <v>141</v>
      </c>
      <c r="AN167" s="152" t="s">
        <v>141</v>
      </c>
      <c r="AO167" s="152" t="s">
        <v>141</v>
      </c>
      <c r="AP167" s="152" t="s">
        <v>141</v>
      </c>
      <c r="AQ167" s="152" t="s">
        <v>141</v>
      </c>
      <c r="AR167" s="152" t="s">
        <v>141</v>
      </c>
      <c r="AS167" s="152" t="s">
        <v>141</v>
      </c>
      <c r="AT167" s="152" t="s">
        <v>141</v>
      </c>
      <c r="AU167" s="152" t="s">
        <v>141</v>
      </c>
      <c r="AV167" s="152" t="s">
        <v>141</v>
      </c>
      <c r="AW167" s="152" t="s">
        <v>141</v>
      </c>
      <c r="AX167" s="152" t="s">
        <v>141</v>
      </c>
      <c r="AY167" s="152" t="s">
        <v>141</v>
      </c>
    </row>
  </sheetData>
  <hyperlinks>
    <hyperlink ref="A2" location="TOC!A1" display="TOC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F0"/>
  </sheetPr>
  <dimension ref="A1:AY167"/>
  <sheetViews>
    <sheetView topLeftCell="A37" workbookViewId="0">
      <selection activeCell="D49" sqref="D49:AY49"/>
    </sheetView>
  </sheetViews>
  <sheetFormatPr defaultRowHeight="15"/>
  <cols>
    <col min="3" max="3" width="29.42578125" bestFit="1" customWidth="1"/>
    <col min="4" max="4" width="11.5703125" bestFit="1" customWidth="1"/>
    <col min="5" max="5" width="9.28515625" bestFit="1" customWidth="1"/>
    <col min="6" max="6" width="11.5703125" bestFit="1" customWidth="1"/>
    <col min="7" max="7" width="9.28515625" bestFit="1" customWidth="1"/>
    <col min="8" max="8" width="11.5703125" bestFit="1" customWidth="1"/>
    <col min="9" max="9" width="9.28515625" bestFit="1" customWidth="1"/>
    <col min="10" max="10" width="11.5703125" bestFit="1" customWidth="1"/>
    <col min="11" max="11" width="9.28515625" bestFit="1" customWidth="1"/>
    <col min="12" max="12" width="11.5703125" bestFit="1" customWidth="1"/>
    <col min="13" max="13" width="9.28515625" bestFit="1" customWidth="1"/>
    <col min="14" max="14" width="11.5703125" bestFit="1" customWidth="1"/>
    <col min="15" max="15" width="9.28515625" bestFit="1" customWidth="1"/>
    <col min="16" max="16" width="11.5703125" bestFit="1" customWidth="1"/>
    <col min="17" max="17" width="9.28515625" bestFit="1" customWidth="1"/>
    <col min="18" max="18" width="11.5703125" bestFit="1" customWidth="1"/>
    <col min="19" max="19" width="9.28515625" bestFit="1" customWidth="1"/>
    <col min="20" max="20" width="11.5703125" bestFit="1" customWidth="1"/>
    <col min="21" max="21" width="9.28515625" bestFit="1" customWidth="1"/>
    <col min="22" max="22" width="11.5703125" bestFit="1" customWidth="1"/>
    <col min="23" max="23" width="9.28515625" bestFit="1" customWidth="1"/>
    <col min="24" max="24" width="11.5703125" bestFit="1" customWidth="1"/>
    <col min="25" max="25" width="9.28515625" bestFit="1" customWidth="1"/>
    <col min="26" max="26" width="11.5703125" bestFit="1" customWidth="1"/>
    <col min="27" max="27" width="9.28515625" bestFit="1" customWidth="1"/>
    <col min="28" max="28" width="11.5703125" bestFit="1" customWidth="1"/>
    <col min="29" max="29" width="9.28515625" bestFit="1" customWidth="1"/>
    <col min="30" max="30" width="11.5703125" bestFit="1" customWidth="1"/>
    <col min="31" max="31" width="9.28515625" bestFit="1" customWidth="1"/>
    <col min="32" max="32" width="11.5703125" bestFit="1" customWidth="1"/>
    <col min="33" max="33" width="9.28515625" bestFit="1" customWidth="1"/>
    <col min="34" max="34" width="11.5703125" bestFit="1" customWidth="1"/>
    <col min="35" max="35" width="9.28515625" bestFit="1" customWidth="1"/>
    <col min="36" max="36" width="11.5703125" bestFit="1" customWidth="1"/>
    <col min="37" max="37" width="9.28515625" bestFit="1" customWidth="1"/>
    <col min="38" max="38" width="11.5703125" bestFit="1" customWidth="1"/>
    <col min="39" max="39" width="9.28515625" bestFit="1" customWidth="1"/>
    <col min="40" max="40" width="11.5703125" bestFit="1" customWidth="1"/>
    <col min="41" max="41" width="9.28515625" bestFit="1" customWidth="1"/>
    <col min="42" max="42" width="11.5703125" bestFit="1" customWidth="1"/>
    <col min="43" max="43" width="9.28515625" bestFit="1" customWidth="1"/>
    <col min="44" max="44" width="11.5703125" bestFit="1" customWidth="1"/>
    <col min="45" max="45" width="9.28515625" bestFit="1" customWidth="1"/>
    <col min="46" max="46" width="11.5703125" bestFit="1" customWidth="1"/>
    <col min="47" max="47" width="9.28515625" bestFit="1" customWidth="1"/>
    <col min="48" max="48" width="11.5703125" bestFit="1" customWidth="1"/>
    <col min="49" max="49" width="9.28515625" bestFit="1" customWidth="1"/>
    <col min="50" max="50" width="11.5703125" bestFit="1" customWidth="1"/>
    <col min="51" max="51" width="9.28515625" bestFit="1" customWidth="1"/>
    <col min="259" max="259" width="29.42578125" bestFit="1" customWidth="1"/>
    <col min="260" max="260" width="11.5703125" bestFit="1" customWidth="1"/>
    <col min="261" max="261" width="9.28515625" bestFit="1" customWidth="1"/>
    <col min="262" max="262" width="11.5703125" bestFit="1" customWidth="1"/>
    <col min="263" max="263" width="9.28515625" bestFit="1" customWidth="1"/>
    <col min="264" max="264" width="11.5703125" bestFit="1" customWidth="1"/>
    <col min="265" max="265" width="9.28515625" bestFit="1" customWidth="1"/>
    <col min="266" max="266" width="11.5703125" bestFit="1" customWidth="1"/>
    <col min="267" max="267" width="9.28515625" bestFit="1" customWidth="1"/>
    <col min="268" max="268" width="11.5703125" bestFit="1" customWidth="1"/>
    <col min="269" max="269" width="9.28515625" bestFit="1" customWidth="1"/>
    <col min="270" max="270" width="11.5703125" bestFit="1" customWidth="1"/>
    <col min="271" max="271" width="9.28515625" bestFit="1" customWidth="1"/>
    <col min="272" max="272" width="11.5703125" bestFit="1" customWidth="1"/>
    <col min="273" max="273" width="9.28515625" bestFit="1" customWidth="1"/>
    <col min="274" max="274" width="11.5703125" bestFit="1" customWidth="1"/>
    <col min="275" max="275" width="9.28515625" bestFit="1" customWidth="1"/>
    <col min="276" max="276" width="11.5703125" bestFit="1" customWidth="1"/>
    <col min="277" max="277" width="9.28515625" bestFit="1" customWidth="1"/>
    <col min="278" max="278" width="11.5703125" bestFit="1" customWidth="1"/>
    <col min="279" max="279" width="9.28515625" bestFit="1" customWidth="1"/>
    <col min="280" max="280" width="11.5703125" bestFit="1" customWidth="1"/>
    <col min="281" max="281" width="9.28515625" bestFit="1" customWidth="1"/>
    <col min="282" max="282" width="11.5703125" bestFit="1" customWidth="1"/>
    <col min="283" max="283" width="9.28515625" bestFit="1" customWidth="1"/>
    <col min="284" max="284" width="11.5703125" bestFit="1" customWidth="1"/>
    <col min="285" max="285" width="9.28515625" bestFit="1" customWidth="1"/>
    <col min="286" max="286" width="11.5703125" bestFit="1" customWidth="1"/>
    <col min="287" max="287" width="9.28515625" bestFit="1" customWidth="1"/>
    <col min="288" max="288" width="11.5703125" bestFit="1" customWidth="1"/>
    <col min="289" max="289" width="9.28515625" bestFit="1" customWidth="1"/>
    <col min="290" max="290" width="11.5703125" bestFit="1" customWidth="1"/>
    <col min="291" max="291" width="9.28515625" bestFit="1" customWidth="1"/>
    <col min="292" max="292" width="11.5703125" bestFit="1" customWidth="1"/>
    <col min="293" max="293" width="9.28515625" bestFit="1" customWidth="1"/>
    <col min="294" max="294" width="11.5703125" bestFit="1" customWidth="1"/>
    <col min="295" max="295" width="9.28515625" bestFit="1" customWidth="1"/>
    <col min="296" max="296" width="11.5703125" bestFit="1" customWidth="1"/>
    <col min="297" max="297" width="9.28515625" bestFit="1" customWidth="1"/>
    <col min="298" max="298" width="11.5703125" bestFit="1" customWidth="1"/>
    <col min="299" max="299" width="9.28515625" bestFit="1" customWidth="1"/>
    <col min="300" max="300" width="11.5703125" bestFit="1" customWidth="1"/>
    <col min="301" max="301" width="9.28515625" bestFit="1" customWidth="1"/>
    <col min="302" max="302" width="11.5703125" bestFit="1" customWidth="1"/>
    <col min="303" max="303" width="9.28515625" bestFit="1" customWidth="1"/>
    <col min="304" max="304" width="11.5703125" bestFit="1" customWidth="1"/>
    <col min="305" max="305" width="9.28515625" bestFit="1" customWidth="1"/>
    <col min="306" max="306" width="11.5703125" bestFit="1" customWidth="1"/>
    <col min="307" max="307" width="9.28515625" bestFit="1" customWidth="1"/>
    <col min="515" max="515" width="29.42578125" bestFit="1" customWidth="1"/>
    <col min="516" max="516" width="11.5703125" bestFit="1" customWidth="1"/>
    <col min="517" max="517" width="9.28515625" bestFit="1" customWidth="1"/>
    <col min="518" max="518" width="11.5703125" bestFit="1" customWidth="1"/>
    <col min="519" max="519" width="9.28515625" bestFit="1" customWidth="1"/>
    <col min="520" max="520" width="11.5703125" bestFit="1" customWidth="1"/>
    <col min="521" max="521" width="9.28515625" bestFit="1" customWidth="1"/>
    <col min="522" max="522" width="11.5703125" bestFit="1" customWidth="1"/>
    <col min="523" max="523" width="9.28515625" bestFit="1" customWidth="1"/>
    <col min="524" max="524" width="11.5703125" bestFit="1" customWidth="1"/>
    <col min="525" max="525" width="9.28515625" bestFit="1" customWidth="1"/>
    <col min="526" max="526" width="11.5703125" bestFit="1" customWidth="1"/>
    <col min="527" max="527" width="9.28515625" bestFit="1" customWidth="1"/>
    <col min="528" max="528" width="11.5703125" bestFit="1" customWidth="1"/>
    <col min="529" max="529" width="9.28515625" bestFit="1" customWidth="1"/>
    <col min="530" max="530" width="11.5703125" bestFit="1" customWidth="1"/>
    <col min="531" max="531" width="9.28515625" bestFit="1" customWidth="1"/>
    <col min="532" max="532" width="11.5703125" bestFit="1" customWidth="1"/>
    <col min="533" max="533" width="9.28515625" bestFit="1" customWidth="1"/>
    <col min="534" max="534" width="11.5703125" bestFit="1" customWidth="1"/>
    <col min="535" max="535" width="9.28515625" bestFit="1" customWidth="1"/>
    <col min="536" max="536" width="11.5703125" bestFit="1" customWidth="1"/>
    <col min="537" max="537" width="9.28515625" bestFit="1" customWidth="1"/>
    <col min="538" max="538" width="11.5703125" bestFit="1" customWidth="1"/>
    <col min="539" max="539" width="9.28515625" bestFit="1" customWidth="1"/>
    <col min="540" max="540" width="11.5703125" bestFit="1" customWidth="1"/>
    <col min="541" max="541" width="9.28515625" bestFit="1" customWidth="1"/>
    <col min="542" max="542" width="11.5703125" bestFit="1" customWidth="1"/>
    <col min="543" max="543" width="9.28515625" bestFit="1" customWidth="1"/>
    <col min="544" max="544" width="11.5703125" bestFit="1" customWidth="1"/>
    <col min="545" max="545" width="9.28515625" bestFit="1" customWidth="1"/>
    <col min="546" max="546" width="11.5703125" bestFit="1" customWidth="1"/>
    <col min="547" max="547" width="9.28515625" bestFit="1" customWidth="1"/>
    <col min="548" max="548" width="11.5703125" bestFit="1" customWidth="1"/>
    <col min="549" max="549" width="9.28515625" bestFit="1" customWidth="1"/>
    <col min="550" max="550" width="11.5703125" bestFit="1" customWidth="1"/>
    <col min="551" max="551" width="9.28515625" bestFit="1" customWidth="1"/>
    <col min="552" max="552" width="11.5703125" bestFit="1" customWidth="1"/>
    <col min="553" max="553" width="9.28515625" bestFit="1" customWidth="1"/>
    <col min="554" max="554" width="11.5703125" bestFit="1" customWidth="1"/>
    <col min="555" max="555" width="9.28515625" bestFit="1" customWidth="1"/>
    <col min="556" max="556" width="11.5703125" bestFit="1" customWidth="1"/>
    <col min="557" max="557" width="9.28515625" bestFit="1" customWidth="1"/>
    <col min="558" max="558" width="11.5703125" bestFit="1" customWidth="1"/>
    <col min="559" max="559" width="9.28515625" bestFit="1" customWidth="1"/>
    <col min="560" max="560" width="11.5703125" bestFit="1" customWidth="1"/>
    <col min="561" max="561" width="9.28515625" bestFit="1" customWidth="1"/>
    <col min="562" max="562" width="11.5703125" bestFit="1" customWidth="1"/>
    <col min="563" max="563" width="9.28515625" bestFit="1" customWidth="1"/>
    <col min="771" max="771" width="29.42578125" bestFit="1" customWidth="1"/>
    <col min="772" max="772" width="11.5703125" bestFit="1" customWidth="1"/>
    <col min="773" max="773" width="9.28515625" bestFit="1" customWidth="1"/>
    <col min="774" max="774" width="11.5703125" bestFit="1" customWidth="1"/>
    <col min="775" max="775" width="9.28515625" bestFit="1" customWidth="1"/>
    <col min="776" max="776" width="11.5703125" bestFit="1" customWidth="1"/>
    <col min="777" max="777" width="9.28515625" bestFit="1" customWidth="1"/>
    <col min="778" max="778" width="11.5703125" bestFit="1" customWidth="1"/>
    <col min="779" max="779" width="9.28515625" bestFit="1" customWidth="1"/>
    <col min="780" max="780" width="11.5703125" bestFit="1" customWidth="1"/>
    <col min="781" max="781" width="9.28515625" bestFit="1" customWidth="1"/>
    <col min="782" max="782" width="11.5703125" bestFit="1" customWidth="1"/>
    <col min="783" max="783" width="9.28515625" bestFit="1" customWidth="1"/>
    <col min="784" max="784" width="11.5703125" bestFit="1" customWidth="1"/>
    <col min="785" max="785" width="9.28515625" bestFit="1" customWidth="1"/>
    <col min="786" max="786" width="11.5703125" bestFit="1" customWidth="1"/>
    <col min="787" max="787" width="9.28515625" bestFit="1" customWidth="1"/>
    <col min="788" max="788" width="11.5703125" bestFit="1" customWidth="1"/>
    <col min="789" max="789" width="9.28515625" bestFit="1" customWidth="1"/>
    <col min="790" max="790" width="11.5703125" bestFit="1" customWidth="1"/>
    <col min="791" max="791" width="9.28515625" bestFit="1" customWidth="1"/>
    <col min="792" max="792" width="11.5703125" bestFit="1" customWidth="1"/>
    <col min="793" max="793" width="9.28515625" bestFit="1" customWidth="1"/>
    <col min="794" max="794" width="11.5703125" bestFit="1" customWidth="1"/>
    <col min="795" max="795" width="9.28515625" bestFit="1" customWidth="1"/>
    <col min="796" max="796" width="11.5703125" bestFit="1" customWidth="1"/>
    <col min="797" max="797" width="9.28515625" bestFit="1" customWidth="1"/>
    <col min="798" max="798" width="11.5703125" bestFit="1" customWidth="1"/>
    <col min="799" max="799" width="9.28515625" bestFit="1" customWidth="1"/>
    <col min="800" max="800" width="11.5703125" bestFit="1" customWidth="1"/>
    <col min="801" max="801" width="9.28515625" bestFit="1" customWidth="1"/>
    <col min="802" max="802" width="11.5703125" bestFit="1" customWidth="1"/>
    <col min="803" max="803" width="9.28515625" bestFit="1" customWidth="1"/>
    <col min="804" max="804" width="11.5703125" bestFit="1" customWidth="1"/>
    <col min="805" max="805" width="9.28515625" bestFit="1" customWidth="1"/>
    <col min="806" max="806" width="11.5703125" bestFit="1" customWidth="1"/>
    <col min="807" max="807" width="9.28515625" bestFit="1" customWidth="1"/>
    <col min="808" max="808" width="11.5703125" bestFit="1" customWidth="1"/>
    <col min="809" max="809" width="9.28515625" bestFit="1" customWidth="1"/>
    <col min="810" max="810" width="11.5703125" bestFit="1" customWidth="1"/>
    <col min="811" max="811" width="9.28515625" bestFit="1" customWidth="1"/>
    <col min="812" max="812" width="11.5703125" bestFit="1" customWidth="1"/>
    <col min="813" max="813" width="9.28515625" bestFit="1" customWidth="1"/>
    <col min="814" max="814" width="11.5703125" bestFit="1" customWidth="1"/>
    <col min="815" max="815" width="9.28515625" bestFit="1" customWidth="1"/>
    <col min="816" max="816" width="11.5703125" bestFit="1" customWidth="1"/>
    <col min="817" max="817" width="9.28515625" bestFit="1" customWidth="1"/>
    <col min="818" max="818" width="11.5703125" bestFit="1" customWidth="1"/>
    <col min="819" max="819" width="9.28515625" bestFit="1" customWidth="1"/>
    <col min="1027" max="1027" width="29.42578125" bestFit="1" customWidth="1"/>
    <col min="1028" max="1028" width="11.5703125" bestFit="1" customWidth="1"/>
    <col min="1029" max="1029" width="9.28515625" bestFit="1" customWidth="1"/>
    <col min="1030" max="1030" width="11.5703125" bestFit="1" customWidth="1"/>
    <col min="1031" max="1031" width="9.28515625" bestFit="1" customWidth="1"/>
    <col min="1032" max="1032" width="11.5703125" bestFit="1" customWidth="1"/>
    <col min="1033" max="1033" width="9.28515625" bestFit="1" customWidth="1"/>
    <col min="1034" max="1034" width="11.5703125" bestFit="1" customWidth="1"/>
    <col min="1035" max="1035" width="9.28515625" bestFit="1" customWidth="1"/>
    <col min="1036" max="1036" width="11.5703125" bestFit="1" customWidth="1"/>
    <col min="1037" max="1037" width="9.28515625" bestFit="1" customWidth="1"/>
    <col min="1038" max="1038" width="11.5703125" bestFit="1" customWidth="1"/>
    <col min="1039" max="1039" width="9.28515625" bestFit="1" customWidth="1"/>
    <col min="1040" max="1040" width="11.5703125" bestFit="1" customWidth="1"/>
    <col min="1041" max="1041" width="9.28515625" bestFit="1" customWidth="1"/>
    <col min="1042" max="1042" width="11.5703125" bestFit="1" customWidth="1"/>
    <col min="1043" max="1043" width="9.28515625" bestFit="1" customWidth="1"/>
    <col min="1044" max="1044" width="11.5703125" bestFit="1" customWidth="1"/>
    <col min="1045" max="1045" width="9.28515625" bestFit="1" customWidth="1"/>
    <col min="1046" max="1046" width="11.5703125" bestFit="1" customWidth="1"/>
    <col min="1047" max="1047" width="9.28515625" bestFit="1" customWidth="1"/>
    <col min="1048" max="1048" width="11.5703125" bestFit="1" customWidth="1"/>
    <col min="1049" max="1049" width="9.28515625" bestFit="1" customWidth="1"/>
    <col min="1050" max="1050" width="11.5703125" bestFit="1" customWidth="1"/>
    <col min="1051" max="1051" width="9.28515625" bestFit="1" customWidth="1"/>
    <col min="1052" max="1052" width="11.5703125" bestFit="1" customWidth="1"/>
    <col min="1053" max="1053" width="9.28515625" bestFit="1" customWidth="1"/>
    <col min="1054" max="1054" width="11.5703125" bestFit="1" customWidth="1"/>
    <col min="1055" max="1055" width="9.28515625" bestFit="1" customWidth="1"/>
    <col min="1056" max="1056" width="11.5703125" bestFit="1" customWidth="1"/>
    <col min="1057" max="1057" width="9.28515625" bestFit="1" customWidth="1"/>
    <col min="1058" max="1058" width="11.5703125" bestFit="1" customWidth="1"/>
    <col min="1059" max="1059" width="9.28515625" bestFit="1" customWidth="1"/>
    <col min="1060" max="1060" width="11.5703125" bestFit="1" customWidth="1"/>
    <col min="1061" max="1061" width="9.28515625" bestFit="1" customWidth="1"/>
    <col min="1062" max="1062" width="11.5703125" bestFit="1" customWidth="1"/>
    <col min="1063" max="1063" width="9.28515625" bestFit="1" customWidth="1"/>
    <col min="1064" max="1064" width="11.5703125" bestFit="1" customWidth="1"/>
    <col min="1065" max="1065" width="9.28515625" bestFit="1" customWidth="1"/>
    <col min="1066" max="1066" width="11.5703125" bestFit="1" customWidth="1"/>
    <col min="1067" max="1067" width="9.28515625" bestFit="1" customWidth="1"/>
    <col min="1068" max="1068" width="11.5703125" bestFit="1" customWidth="1"/>
    <col min="1069" max="1069" width="9.28515625" bestFit="1" customWidth="1"/>
    <col min="1070" max="1070" width="11.5703125" bestFit="1" customWidth="1"/>
    <col min="1071" max="1071" width="9.28515625" bestFit="1" customWidth="1"/>
    <col min="1072" max="1072" width="11.5703125" bestFit="1" customWidth="1"/>
    <col min="1073" max="1073" width="9.28515625" bestFit="1" customWidth="1"/>
    <col min="1074" max="1074" width="11.5703125" bestFit="1" customWidth="1"/>
    <col min="1075" max="1075" width="9.28515625" bestFit="1" customWidth="1"/>
    <col min="1283" max="1283" width="29.42578125" bestFit="1" customWidth="1"/>
    <col min="1284" max="1284" width="11.5703125" bestFit="1" customWidth="1"/>
    <col min="1285" max="1285" width="9.28515625" bestFit="1" customWidth="1"/>
    <col min="1286" max="1286" width="11.5703125" bestFit="1" customWidth="1"/>
    <col min="1287" max="1287" width="9.28515625" bestFit="1" customWidth="1"/>
    <col min="1288" max="1288" width="11.5703125" bestFit="1" customWidth="1"/>
    <col min="1289" max="1289" width="9.28515625" bestFit="1" customWidth="1"/>
    <col min="1290" max="1290" width="11.5703125" bestFit="1" customWidth="1"/>
    <col min="1291" max="1291" width="9.28515625" bestFit="1" customWidth="1"/>
    <col min="1292" max="1292" width="11.5703125" bestFit="1" customWidth="1"/>
    <col min="1293" max="1293" width="9.28515625" bestFit="1" customWidth="1"/>
    <col min="1294" max="1294" width="11.5703125" bestFit="1" customWidth="1"/>
    <col min="1295" max="1295" width="9.28515625" bestFit="1" customWidth="1"/>
    <col min="1296" max="1296" width="11.5703125" bestFit="1" customWidth="1"/>
    <col min="1297" max="1297" width="9.28515625" bestFit="1" customWidth="1"/>
    <col min="1298" max="1298" width="11.5703125" bestFit="1" customWidth="1"/>
    <col min="1299" max="1299" width="9.28515625" bestFit="1" customWidth="1"/>
    <col min="1300" max="1300" width="11.5703125" bestFit="1" customWidth="1"/>
    <col min="1301" max="1301" width="9.28515625" bestFit="1" customWidth="1"/>
    <col min="1302" max="1302" width="11.5703125" bestFit="1" customWidth="1"/>
    <col min="1303" max="1303" width="9.28515625" bestFit="1" customWidth="1"/>
    <col min="1304" max="1304" width="11.5703125" bestFit="1" customWidth="1"/>
    <col min="1305" max="1305" width="9.28515625" bestFit="1" customWidth="1"/>
    <col min="1306" max="1306" width="11.5703125" bestFit="1" customWidth="1"/>
    <col min="1307" max="1307" width="9.28515625" bestFit="1" customWidth="1"/>
    <col min="1308" max="1308" width="11.5703125" bestFit="1" customWidth="1"/>
    <col min="1309" max="1309" width="9.28515625" bestFit="1" customWidth="1"/>
    <col min="1310" max="1310" width="11.5703125" bestFit="1" customWidth="1"/>
    <col min="1311" max="1311" width="9.28515625" bestFit="1" customWidth="1"/>
    <col min="1312" max="1312" width="11.5703125" bestFit="1" customWidth="1"/>
    <col min="1313" max="1313" width="9.28515625" bestFit="1" customWidth="1"/>
    <col min="1314" max="1314" width="11.5703125" bestFit="1" customWidth="1"/>
    <col min="1315" max="1315" width="9.28515625" bestFit="1" customWidth="1"/>
    <col min="1316" max="1316" width="11.5703125" bestFit="1" customWidth="1"/>
    <col min="1317" max="1317" width="9.28515625" bestFit="1" customWidth="1"/>
    <col min="1318" max="1318" width="11.5703125" bestFit="1" customWidth="1"/>
    <col min="1319" max="1319" width="9.28515625" bestFit="1" customWidth="1"/>
    <col min="1320" max="1320" width="11.5703125" bestFit="1" customWidth="1"/>
    <col min="1321" max="1321" width="9.28515625" bestFit="1" customWidth="1"/>
    <col min="1322" max="1322" width="11.5703125" bestFit="1" customWidth="1"/>
    <col min="1323" max="1323" width="9.28515625" bestFit="1" customWidth="1"/>
    <col min="1324" max="1324" width="11.5703125" bestFit="1" customWidth="1"/>
    <col min="1325" max="1325" width="9.28515625" bestFit="1" customWidth="1"/>
    <col min="1326" max="1326" width="11.5703125" bestFit="1" customWidth="1"/>
    <col min="1327" max="1327" width="9.28515625" bestFit="1" customWidth="1"/>
    <col min="1328" max="1328" width="11.5703125" bestFit="1" customWidth="1"/>
    <col min="1329" max="1329" width="9.28515625" bestFit="1" customWidth="1"/>
    <col min="1330" max="1330" width="11.5703125" bestFit="1" customWidth="1"/>
    <col min="1331" max="1331" width="9.28515625" bestFit="1" customWidth="1"/>
    <col min="1539" max="1539" width="29.42578125" bestFit="1" customWidth="1"/>
    <col min="1540" max="1540" width="11.5703125" bestFit="1" customWidth="1"/>
    <col min="1541" max="1541" width="9.28515625" bestFit="1" customWidth="1"/>
    <col min="1542" max="1542" width="11.5703125" bestFit="1" customWidth="1"/>
    <col min="1543" max="1543" width="9.28515625" bestFit="1" customWidth="1"/>
    <col min="1544" max="1544" width="11.5703125" bestFit="1" customWidth="1"/>
    <col min="1545" max="1545" width="9.28515625" bestFit="1" customWidth="1"/>
    <col min="1546" max="1546" width="11.5703125" bestFit="1" customWidth="1"/>
    <col min="1547" max="1547" width="9.28515625" bestFit="1" customWidth="1"/>
    <col min="1548" max="1548" width="11.5703125" bestFit="1" customWidth="1"/>
    <col min="1549" max="1549" width="9.28515625" bestFit="1" customWidth="1"/>
    <col min="1550" max="1550" width="11.5703125" bestFit="1" customWidth="1"/>
    <col min="1551" max="1551" width="9.28515625" bestFit="1" customWidth="1"/>
    <col min="1552" max="1552" width="11.5703125" bestFit="1" customWidth="1"/>
    <col min="1553" max="1553" width="9.28515625" bestFit="1" customWidth="1"/>
    <col min="1554" max="1554" width="11.5703125" bestFit="1" customWidth="1"/>
    <col min="1555" max="1555" width="9.28515625" bestFit="1" customWidth="1"/>
    <col min="1556" max="1556" width="11.5703125" bestFit="1" customWidth="1"/>
    <col min="1557" max="1557" width="9.28515625" bestFit="1" customWidth="1"/>
    <col min="1558" max="1558" width="11.5703125" bestFit="1" customWidth="1"/>
    <col min="1559" max="1559" width="9.28515625" bestFit="1" customWidth="1"/>
    <col min="1560" max="1560" width="11.5703125" bestFit="1" customWidth="1"/>
    <col min="1561" max="1561" width="9.28515625" bestFit="1" customWidth="1"/>
    <col min="1562" max="1562" width="11.5703125" bestFit="1" customWidth="1"/>
    <col min="1563" max="1563" width="9.28515625" bestFit="1" customWidth="1"/>
    <col min="1564" max="1564" width="11.5703125" bestFit="1" customWidth="1"/>
    <col min="1565" max="1565" width="9.28515625" bestFit="1" customWidth="1"/>
    <col min="1566" max="1566" width="11.5703125" bestFit="1" customWidth="1"/>
    <col min="1567" max="1567" width="9.28515625" bestFit="1" customWidth="1"/>
    <col min="1568" max="1568" width="11.5703125" bestFit="1" customWidth="1"/>
    <col min="1569" max="1569" width="9.28515625" bestFit="1" customWidth="1"/>
    <col min="1570" max="1570" width="11.5703125" bestFit="1" customWidth="1"/>
    <col min="1571" max="1571" width="9.28515625" bestFit="1" customWidth="1"/>
    <col min="1572" max="1572" width="11.5703125" bestFit="1" customWidth="1"/>
    <col min="1573" max="1573" width="9.28515625" bestFit="1" customWidth="1"/>
    <col min="1574" max="1574" width="11.5703125" bestFit="1" customWidth="1"/>
    <col min="1575" max="1575" width="9.28515625" bestFit="1" customWidth="1"/>
    <col min="1576" max="1576" width="11.5703125" bestFit="1" customWidth="1"/>
    <col min="1577" max="1577" width="9.28515625" bestFit="1" customWidth="1"/>
    <col min="1578" max="1578" width="11.5703125" bestFit="1" customWidth="1"/>
    <col min="1579" max="1579" width="9.28515625" bestFit="1" customWidth="1"/>
    <col min="1580" max="1580" width="11.5703125" bestFit="1" customWidth="1"/>
    <col min="1581" max="1581" width="9.28515625" bestFit="1" customWidth="1"/>
    <col min="1582" max="1582" width="11.5703125" bestFit="1" customWidth="1"/>
    <col min="1583" max="1583" width="9.28515625" bestFit="1" customWidth="1"/>
    <col min="1584" max="1584" width="11.5703125" bestFit="1" customWidth="1"/>
    <col min="1585" max="1585" width="9.28515625" bestFit="1" customWidth="1"/>
    <col min="1586" max="1586" width="11.5703125" bestFit="1" customWidth="1"/>
    <col min="1587" max="1587" width="9.28515625" bestFit="1" customWidth="1"/>
    <col min="1795" max="1795" width="29.42578125" bestFit="1" customWidth="1"/>
    <col min="1796" max="1796" width="11.5703125" bestFit="1" customWidth="1"/>
    <col min="1797" max="1797" width="9.28515625" bestFit="1" customWidth="1"/>
    <col min="1798" max="1798" width="11.5703125" bestFit="1" customWidth="1"/>
    <col min="1799" max="1799" width="9.28515625" bestFit="1" customWidth="1"/>
    <col min="1800" max="1800" width="11.5703125" bestFit="1" customWidth="1"/>
    <col min="1801" max="1801" width="9.28515625" bestFit="1" customWidth="1"/>
    <col min="1802" max="1802" width="11.5703125" bestFit="1" customWidth="1"/>
    <col min="1803" max="1803" width="9.28515625" bestFit="1" customWidth="1"/>
    <col min="1804" max="1804" width="11.5703125" bestFit="1" customWidth="1"/>
    <col min="1805" max="1805" width="9.28515625" bestFit="1" customWidth="1"/>
    <col min="1806" max="1806" width="11.5703125" bestFit="1" customWidth="1"/>
    <col min="1807" max="1807" width="9.28515625" bestFit="1" customWidth="1"/>
    <col min="1808" max="1808" width="11.5703125" bestFit="1" customWidth="1"/>
    <col min="1809" max="1809" width="9.28515625" bestFit="1" customWidth="1"/>
    <col min="1810" max="1810" width="11.5703125" bestFit="1" customWidth="1"/>
    <col min="1811" max="1811" width="9.28515625" bestFit="1" customWidth="1"/>
    <col min="1812" max="1812" width="11.5703125" bestFit="1" customWidth="1"/>
    <col min="1813" max="1813" width="9.28515625" bestFit="1" customWidth="1"/>
    <col min="1814" max="1814" width="11.5703125" bestFit="1" customWidth="1"/>
    <col min="1815" max="1815" width="9.28515625" bestFit="1" customWidth="1"/>
    <col min="1816" max="1816" width="11.5703125" bestFit="1" customWidth="1"/>
    <col min="1817" max="1817" width="9.28515625" bestFit="1" customWidth="1"/>
    <col min="1818" max="1818" width="11.5703125" bestFit="1" customWidth="1"/>
    <col min="1819" max="1819" width="9.28515625" bestFit="1" customWidth="1"/>
    <col min="1820" max="1820" width="11.5703125" bestFit="1" customWidth="1"/>
    <col min="1821" max="1821" width="9.28515625" bestFit="1" customWidth="1"/>
    <col min="1822" max="1822" width="11.5703125" bestFit="1" customWidth="1"/>
    <col min="1823" max="1823" width="9.28515625" bestFit="1" customWidth="1"/>
    <col min="1824" max="1824" width="11.5703125" bestFit="1" customWidth="1"/>
    <col min="1825" max="1825" width="9.28515625" bestFit="1" customWidth="1"/>
    <col min="1826" max="1826" width="11.5703125" bestFit="1" customWidth="1"/>
    <col min="1827" max="1827" width="9.28515625" bestFit="1" customWidth="1"/>
    <col min="1828" max="1828" width="11.5703125" bestFit="1" customWidth="1"/>
    <col min="1829" max="1829" width="9.28515625" bestFit="1" customWidth="1"/>
    <col min="1830" max="1830" width="11.5703125" bestFit="1" customWidth="1"/>
    <col min="1831" max="1831" width="9.28515625" bestFit="1" customWidth="1"/>
    <col min="1832" max="1832" width="11.5703125" bestFit="1" customWidth="1"/>
    <col min="1833" max="1833" width="9.28515625" bestFit="1" customWidth="1"/>
    <col min="1834" max="1834" width="11.5703125" bestFit="1" customWidth="1"/>
    <col min="1835" max="1835" width="9.28515625" bestFit="1" customWidth="1"/>
    <col min="1836" max="1836" width="11.5703125" bestFit="1" customWidth="1"/>
    <col min="1837" max="1837" width="9.28515625" bestFit="1" customWidth="1"/>
    <col min="1838" max="1838" width="11.5703125" bestFit="1" customWidth="1"/>
    <col min="1839" max="1839" width="9.28515625" bestFit="1" customWidth="1"/>
    <col min="1840" max="1840" width="11.5703125" bestFit="1" customWidth="1"/>
    <col min="1841" max="1841" width="9.28515625" bestFit="1" customWidth="1"/>
    <col min="1842" max="1842" width="11.5703125" bestFit="1" customWidth="1"/>
    <col min="1843" max="1843" width="9.28515625" bestFit="1" customWidth="1"/>
    <col min="2051" max="2051" width="29.42578125" bestFit="1" customWidth="1"/>
    <col min="2052" max="2052" width="11.5703125" bestFit="1" customWidth="1"/>
    <col min="2053" max="2053" width="9.28515625" bestFit="1" customWidth="1"/>
    <col min="2054" max="2054" width="11.5703125" bestFit="1" customWidth="1"/>
    <col min="2055" max="2055" width="9.28515625" bestFit="1" customWidth="1"/>
    <col min="2056" max="2056" width="11.5703125" bestFit="1" customWidth="1"/>
    <col min="2057" max="2057" width="9.28515625" bestFit="1" customWidth="1"/>
    <col min="2058" max="2058" width="11.5703125" bestFit="1" customWidth="1"/>
    <col min="2059" max="2059" width="9.28515625" bestFit="1" customWidth="1"/>
    <col min="2060" max="2060" width="11.5703125" bestFit="1" customWidth="1"/>
    <col min="2061" max="2061" width="9.28515625" bestFit="1" customWidth="1"/>
    <col min="2062" max="2062" width="11.5703125" bestFit="1" customWidth="1"/>
    <col min="2063" max="2063" width="9.28515625" bestFit="1" customWidth="1"/>
    <col min="2064" max="2064" width="11.5703125" bestFit="1" customWidth="1"/>
    <col min="2065" max="2065" width="9.28515625" bestFit="1" customWidth="1"/>
    <col min="2066" max="2066" width="11.5703125" bestFit="1" customWidth="1"/>
    <col min="2067" max="2067" width="9.28515625" bestFit="1" customWidth="1"/>
    <col min="2068" max="2068" width="11.5703125" bestFit="1" customWidth="1"/>
    <col min="2069" max="2069" width="9.28515625" bestFit="1" customWidth="1"/>
    <col min="2070" max="2070" width="11.5703125" bestFit="1" customWidth="1"/>
    <col min="2071" max="2071" width="9.28515625" bestFit="1" customWidth="1"/>
    <col min="2072" max="2072" width="11.5703125" bestFit="1" customWidth="1"/>
    <col min="2073" max="2073" width="9.28515625" bestFit="1" customWidth="1"/>
    <col min="2074" max="2074" width="11.5703125" bestFit="1" customWidth="1"/>
    <col min="2075" max="2075" width="9.28515625" bestFit="1" customWidth="1"/>
    <col min="2076" max="2076" width="11.5703125" bestFit="1" customWidth="1"/>
    <col min="2077" max="2077" width="9.28515625" bestFit="1" customWidth="1"/>
    <col min="2078" max="2078" width="11.5703125" bestFit="1" customWidth="1"/>
    <col min="2079" max="2079" width="9.28515625" bestFit="1" customWidth="1"/>
    <col min="2080" max="2080" width="11.5703125" bestFit="1" customWidth="1"/>
    <col min="2081" max="2081" width="9.28515625" bestFit="1" customWidth="1"/>
    <col min="2082" max="2082" width="11.5703125" bestFit="1" customWidth="1"/>
    <col min="2083" max="2083" width="9.28515625" bestFit="1" customWidth="1"/>
    <col min="2084" max="2084" width="11.5703125" bestFit="1" customWidth="1"/>
    <col min="2085" max="2085" width="9.28515625" bestFit="1" customWidth="1"/>
    <col min="2086" max="2086" width="11.5703125" bestFit="1" customWidth="1"/>
    <col min="2087" max="2087" width="9.28515625" bestFit="1" customWidth="1"/>
    <col min="2088" max="2088" width="11.5703125" bestFit="1" customWidth="1"/>
    <col min="2089" max="2089" width="9.28515625" bestFit="1" customWidth="1"/>
    <col min="2090" max="2090" width="11.5703125" bestFit="1" customWidth="1"/>
    <col min="2091" max="2091" width="9.28515625" bestFit="1" customWidth="1"/>
    <col min="2092" max="2092" width="11.5703125" bestFit="1" customWidth="1"/>
    <col min="2093" max="2093" width="9.28515625" bestFit="1" customWidth="1"/>
    <col min="2094" max="2094" width="11.5703125" bestFit="1" customWidth="1"/>
    <col min="2095" max="2095" width="9.28515625" bestFit="1" customWidth="1"/>
    <col min="2096" max="2096" width="11.5703125" bestFit="1" customWidth="1"/>
    <col min="2097" max="2097" width="9.28515625" bestFit="1" customWidth="1"/>
    <col min="2098" max="2098" width="11.5703125" bestFit="1" customWidth="1"/>
    <col min="2099" max="2099" width="9.28515625" bestFit="1" customWidth="1"/>
    <col min="2307" max="2307" width="29.42578125" bestFit="1" customWidth="1"/>
    <col min="2308" max="2308" width="11.5703125" bestFit="1" customWidth="1"/>
    <col min="2309" max="2309" width="9.28515625" bestFit="1" customWidth="1"/>
    <col min="2310" max="2310" width="11.5703125" bestFit="1" customWidth="1"/>
    <col min="2311" max="2311" width="9.28515625" bestFit="1" customWidth="1"/>
    <col min="2312" max="2312" width="11.5703125" bestFit="1" customWidth="1"/>
    <col min="2313" max="2313" width="9.28515625" bestFit="1" customWidth="1"/>
    <col min="2314" max="2314" width="11.5703125" bestFit="1" customWidth="1"/>
    <col min="2315" max="2315" width="9.28515625" bestFit="1" customWidth="1"/>
    <col min="2316" max="2316" width="11.5703125" bestFit="1" customWidth="1"/>
    <col min="2317" max="2317" width="9.28515625" bestFit="1" customWidth="1"/>
    <col min="2318" max="2318" width="11.5703125" bestFit="1" customWidth="1"/>
    <col min="2319" max="2319" width="9.28515625" bestFit="1" customWidth="1"/>
    <col min="2320" max="2320" width="11.5703125" bestFit="1" customWidth="1"/>
    <col min="2321" max="2321" width="9.28515625" bestFit="1" customWidth="1"/>
    <col min="2322" max="2322" width="11.5703125" bestFit="1" customWidth="1"/>
    <col min="2323" max="2323" width="9.28515625" bestFit="1" customWidth="1"/>
    <col min="2324" max="2324" width="11.5703125" bestFit="1" customWidth="1"/>
    <col min="2325" max="2325" width="9.28515625" bestFit="1" customWidth="1"/>
    <col min="2326" max="2326" width="11.5703125" bestFit="1" customWidth="1"/>
    <col min="2327" max="2327" width="9.28515625" bestFit="1" customWidth="1"/>
    <col min="2328" max="2328" width="11.5703125" bestFit="1" customWidth="1"/>
    <col min="2329" max="2329" width="9.28515625" bestFit="1" customWidth="1"/>
    <col min="2330" max="2330" width="11.5703125" bestFit="1" customWidth="1"/>
    <col min="2331" max="2331" width="9.28515625" bestFit="1" customWidth="1"/>
    <col min="2332" max="2332" width="11.5703125" bestFit="1" customWidth="1"/>
    <col min="2333" max="2333" width="9.28515625" bestFit="1" customWidth="1"/>
    <col min="2334" max="2334" width="11.5703125" bestFit="1" customWidth="1"/>
    <col min="2335" max="2335" width="9.28515625" bestFit="1" customWidth="1"/>
    <col min="2336" max="2336" width="11.5703125" bestFit="1" customWidth="1"/>
    <col min="2337" max="2337" width="9.28515625" bestFit="1" customWidth="1"/>
    <col min="2338" max="2338" width="11.5703125" bestFit="1" customWidth="1"/>
    <col min="2339" max="2339" width="9.28515625" bestFit="1" customWidth="1"/>
    <col min="2340" max="2340" width="11.5703125" bestFit="1" customWidth="1"/>
    <col min="2341" max="2341" width="9.28515625" bestFit="1" customWidth="1"/>
    <col min="2342" max="2342" width="11.5703125" bestFit="1" customWidth="1"/>
    <col min="2343" max="2343" width="9.28515625" bestFit="1" customWidth="1"/>
    <col min="2344" max="2344" width="11.5703125" bestFit="1" customWidth="1"/>
    <col min="2345" max="2345" width="9.28515625" bestFit="1" customWidth="1"/>
    <col min="2346" max="2346" width="11.5703125" bestFit="1" customWidth="1"/>
    <col min="2347" max="2347" width="9.28515625" bestFit="1" customWidth="1"/>
    <col min="2348" max="2348" width="11.5703125" bestFit="1" customWidth="1"/>
    <col min="2349" max="2349" width="9.28515625" bestFit="1" customWidth="1"/>
    <col min="2350" max="2350" width="11.5703125" bestFit="1" customWidth="1"/>
    <col min="2351" max="2351" width="9.28515625" bestFit="1" customWidth="1"/>
    <col min="2352" max="2352" width="11.5703125" bestFit="1" customWidth="1"/>
    <col min="2353" max="2353" width="9.28515625" bestFit="1" customWidth="1"/>
    <col min="2354" max="2354" width="11.5703125" bestFit="1" customWidth="1"/>
    <col min="2355" max="2355" width="9.28515625" bestFit="1" customWidth="1"/>
    <col min="2563" max="2563" width="29.42578125" bestFit="1" customWidth="1"/>
    <col min="2564" max="2564" width="11.5703125" bestFit="1" customWidth="1"/>
    <col min="2565" max="2565" width="9.28515625" bestFit="1" customWidth="1"/>
    <col min="2566" max="2566" width="11.5703125" bestFit="1" customWidth="1"/>
    <col min="2567" max="2567" width="9.28515625" bestFit="1" customWidth="1"/>
    <col min="2568" max="2568" width="11.5703125" bestFit="1" customWidth="1"/>
    <col min="2569" max="2569" width="9.28515625" bestFit="1" customWidth="1"/>
    <col min="2570" max="2570" width="11.5703125" bestFit="1" customWidth="1"/>
    <col min="2571" max="2571" width="9.28515625" bestFit="1" customWidth="1"/>
    <col min="2572" max="2572" width="11.5703125" bestFit="1" customWidth="1"/>
    <col min="2573" max="2573" width="9.28515625" bestFit="1" customWidth="1"/>
    <col min="2574" max="2574" width="11.5703125" bestFit="1" customWidth="1"/>
    <col min="2575" max="2575" width="9.28515625" bestFit="1" customWidth="1"/>
    <col min="2576" max="2576" width="11.5703125" bestFit="1" customWidth="1"/>
    <col min="2577" max="2577" width="9.28515625" bestFit="1" customWidth="1"/>
    <col min="2578" max="2578" width="11.5703125" bestFit="1" customWidth="1"/>
    <col min="2579" max="2579" width="9.28515625" bestFit="1" customWidth="1"/>
    <col min="2580" max="2580" width="11.5703125" bestFit="1" customWidth="1"/>
    <col min="2581" max="2581" width="9.28515625" bestFit="1" customWidth="1"/>
    <col min="2582" max="2582" width="11.5703125" bestFit="1" customWidth="1"/>
    <col min="2583" max="2583" width="9.28515625" bestFit="1" customWidth="1"/>
    <col min="2584" max="2584" width="11.5703125" bestFit="1" customWidth="1"/>
    <col min="2585" max="2585" width="9.28515625" bestFit="1" customWidth="1"/>
    <col min="2586" max="2586" width="11.5703125" bestFit="1" customWidth="1"/>
    <col min="2587" max="2587" width="9.28515625" bestFit="1" customWidth="1"/>
    <col min="2588" max="2588" width="11.5703125" bestFit="1" customWidth="1"/>
    <col min="2589" max="2589" width="9.28515625" bestFit="1" customWidth="1"/>
    <col min="2590" max="2590" width="11.5703125" bestFit="1" customWidth="1"/>
    <col min="2591" max="2591" width="9.28515625" bestFit="1" customWidth="1"/>
    <col min="2592" max="2592" width="11.5703125" bestFit="1" customWidth="1"/>
    <col min="2593" max="2593" width="9.28515625" bestFit="1" customWidth="1"/>
    <col min="2594" max="2594" width="11.5703125" bestFit="1" customWidth="1"/>
    <col min="2595" max="2595" width="9.28515625" bestFit="1" customWidth="1"/>
    <col min="2596" max="2596" width="11.5703125" bestFit="1" customWidth="1"/>
    <col min="2597" max="2597" width="9.28515625" bestFit="1" customWidth="1"/>
    <col min="2598" max="2598" width="11.5703125" bestFit="1" customWidth="1"/>
    <col min="2599" max="2599" width="9.28515625" bestFit="1" customWidth="1"/>
    <col min="2600" max="2600" width="11.5703125" bestFit="1" customWidth="1"/>
    <col min="2601" max="2601" width="9.28515625" bestFit="1" customWidth="1"/>
    <col min="2602" max="2602" width="11.5703125" bestFit="1" customWidth="1"/>
    <col min="2603" max="2603" width="9.28515625" bestFit="1" customWidth="1"/>
    <col min="2604" max="2604" width="11.5703125" bestFit="1" customWidth="1"/>
    <col min="2605" max="2605" width="9.28515625" bestFit="1" customWidth="1"/>
    <col min="2606" max="2606" width="11.5703125" bestFit="1" customWidth="1"/>
    <col min="2607" max="2607" width="9.28515625" bestFit="1" customWidth="1"/>
    <col min="2608" max="2608" width="11.5703125" bestFit="1" customWidth="1"/>
    <col min="2609" max="2609" width="9.28515625" bestFit="1" customWidth="1"/>
    <col min="2610" max="2610" width="11.5703125" bestFit="1" customWidth="1"/>
    <col min="2611" max="2611" width="9.28515625" bestFit="1" customWidth="1"/>
    <col min="2819" max="2819" width="29.42578125" bestFit="1" customWidth="1"/>
    <col min="2820" max="2820" width="11.5703125" bestFit="1" customWidth="1"/>
    <col min="2821" max="2821" width="9.28515625" bestFit="1" customWidth="1"/>
    <col min="2822" max="2822" width="11.5703125" bestFit="1" customWidth="1"/>
    <col min="2823" max="2823" width="9.28515625" bestFit="1" customWidth="1"/>
    <col min="2824" max="2824" width="11.5703125" bestFit="1" customWidth="1"/>
    <col min="2825" max="2825" width="9.28515625" bestFit="1" customWidth="1"/>
    <col min="2826" max="2826" width="11.5703125" bestFit="1" customWidth="1"/>
    <col min="2827" max="2827" width="9.28515625" bestFit="1" customWidth="1"/>
    <col min="2828" max="2828" width="11.5703125" bestFit="1" customWidth="1"/>
    <col min="2829" max="2829" width="9.28515625" bestFit="1" customWidth="1"/>
    <col min="2830" max="2830" width="11.5703125" bestFit="1" customWidth="1"/>
    <col min="2831" max="2831" width="9.28515625" bestFit="1" customWidth="1"/>
    <col min="2832" max="2832" width="11.5703125" bestFit="1" customWidth="1"/>
    <col min="2833" max="2833" width="9.28515625" bestFit="1" customWidth="1"/>
    <col min="2834" max="2834" width="11.5703125" bestFit="1" customWidth="1"/>
    <col min="2835" max="2835" width="9.28515625" bestFit="1" customWidth="1"/>
    <col min="2836" max="2836" width="11.5703125" bestFit="1" customWidth="1"/>
    <col min="2837" max="2837" width="9.28515625" bestFit="1" customWidth="1"/>
    <col min="2838" max="2838" width="11.5703125" bestFit="1" customWidth="1"/>
    <col min="2839" max="2839" width="9.28515625" bestFit="1" customWidth="1"/>
    <col min="2840" max="2840" width="11.5703125" bestFit="1" customWidth="1"/>
    <col min="2841" max="2841" width="9.28515625" bestFit="1" customWidth="1"/>
    <col min="2842" max="2842" width="11.5703125" bestFit="1" customWidth="1"/>
    <col min="2843" max="2843" width="9.28515625" bestFit="1" customWidth="1"/>
    <col min="2844" max="2844" width="11.5703125" bestFit="1" customWidth="1"/>
    <col min="2845" max="2845" width="9.28515625" bestFit="1" customWidth="1"/>
    <col min="2846" max="2846" width="11.5703125" bestFit="1" customWidth="1"/>
    <col min="2847" max="2847" width="9.28515625" bestFit="1" customWidth="1"/>
    <col min="2848" max="2848" width="11.5703125" bestFit="1" customWidth="1"/>
    <col min="2849" max="2849" width="9.28515625" bestFit="1" customWidth="1"/>
    <col min="2850" max="2850" width="11.5703125" bestFit="1" customWidth="1"/>
    <col min="2851" max="2851" width="9.28515625" bestFit="1" customWidth="1"/>
    <col min="2852" max="2852" width="11.5703125" bestFit="1" customWidth="1"/>
    <col min="2853" max="2853" width="9.28515625" bestFit="1" customWidth="1"/>
    <col min="2854" max="2854" width="11.5703125" bestFit="1" customWidth="1"/>
    <col min="2855" max="2855" width="9.28515625" bestFit="1" customWidth="1"/>
    <col min="2856" max="2856" width="11.5703125" bestFit="1" customWidth="1"/>
    <col min="2857" max="2857" width="9.28515625" bestFit="1" customWidth="1"/>
    <col min="2858" max="2858" width="11.5703125" bestFit="1" customWidth="1"/>
    <col min="2859" max="2859" width="9.28515625" bestFit="1" customWidth="1"/>
    <col min="2860" max="2860" width="11.5703125" bestFit="1" customWidth="1"/>
    <col min="2861" max="2861" width="9.28515625" bestFit="1" customWidth="1"/>
    <col min="2862" max="2862" width="11.5703125" bestFit="1" customWidth="1"/>
    <col min="2863" max="2863" width="9.28515625" bestFit="1" customWidth="1"/>
    <col min="2864" max="2864" width="11.5703125" bestFit="1" customWidth="1"/>
    <col min="2865" max="2865" width="9.28515625" bestFit="1" customWidth="1"/>
    <col min="2866" max="2866" width="11.5703125" bestFit="1" customWidth="1"/>
    <col min="2867" max="2867" width="9.28515625" bestFit="1" customWidth="1"/>
    <col min="3075" max="3075" width="29.42578125" bestFit="1" customWidth="1"/>
    <col min="3076" max="3076" width="11.5703125" bestFit="1" customWidth="1"/>
    <col min="3077" max="3077" width="9.28515625" bestFit="1" customWidth="1"/>
    <col min="3078" max="3078" width="11.5703125" bestFit="1" customWidth="1"/>
    <col min="3079" max="3079" width="9.28515625" bestFit="1" customWidth="1"/>
    <col min="3080" max="3080" width="11.5703125" bestFit="1" customWidth="1"/>
    <col min="3081" max="3081" width="9.28515625" bestFit="1" customWidth="1"/>
    <col min="3082" max="3082" width="11.5703125" bestFit="1" customWidth="1"/>
    <col min="3083" max="3083" width="9.28515625" bestFit="1" customWidth="1"/>
    <col min="3084" max="3084" width="11.5703125" bestFit="1" customWidth="1"/>
    <col min="3085" max="3085" width="9.28515625" bestFit="1" customWidth="1"/>
    <col min="3086" max="3086" width="11.5703125" bestFit="1" customWidth="1"/>
    <col min="3087" max="3087" width="9.28515625" bestFit="1" customWidth="1"/>
    <col min="3088" max="3088" width="11.5703125" bestFit="1" customWidth="1"/>
    <col min="3089" max="3089" width="9.28515625" bestFit="1" customWidth="1"/>
    <col min="3090" max="3090" width="11.5703125" bestFit="1" customWidth="1"/>
    <col min="3091" max="3091" width="9.28515625" bestFit="1" customWidth="1"/>
    <col min="3092" max="3092" width="11.5703125" bestFit="1" customWidth="1"/>
    <col min="3093" max="3093" width="9.28515625" bestFit="1" customWidth="1"/>
    <col min="3094" max="3094" width="11.5703125" bestFit="1" customWidth="1"/>
    <col min="3095" max="3095" width="9.28515625" bestFit="1" customWidth="1"/>
    <col min="3096" max="3096" width="11.5703125" bestFit="1" customWidth="1"/>
    <col min="3097" max="3097" width="9.28515625" bestFit="1" customWidth="1"/>
    <col min="3098" max="3098" width="11.5703125" bestFit="1" customWidth="1"/>
    <col min="3099" max="3099" width="9.28515625" bestFit="1" customWidth="1"/>
    <col min="3100" max="3100" width="11.5703125" bestFit="1" customWidth="1"/>
    <col min="3101" max="3101" width="9.28515625" bestFit="1" customWidth="1"/>
    <col min="3102" max="3102" width="11.5703125" bestFit="1" customWidth="1"/>
    <col min="3103" max="3103" width="9.28515625" bestFit="1" customWidth="1"/>
    <col min="3104" max="3104" width="11.5703125" bestFit="1" customWidth="1"/>
    <col min="3105" max="3105" width="9.28515625" bestFit="1" customWidth="1"/>
    <col min="3106" max="3106" width="11.5703125" bestFit="1" customWidth="1"/>
    <col min="3107" max="3107" width="9.28515625" bestFit="1" customWidth="1"/>
    <col min="3108" max="3108" width="11.5703125" bestFit="1" customWidth="1"/>
    <col min="3109" max="3109" width="9.28515625" bestFit="1" customWidth="1"/>
    <col min="3110" max="3110" width="11.5703125" bestFit="1" customWidth="1"/>
    <col min="3111" max="3111" width="9.28515625" bestFit="1" customWidth="1"/>
    <col min="3112" max="3112" width="11.5703125" bestFit="1" customWidth="1"/>
    <col min="3113" max="3113" width="9.28515625" bestFit="1" customWidth="1"/>
    <col min="3114" max="3114" width="11.5703125" bestFit="1" customWidth="1"/>
    <col min="3115" max="3115" width="9.28515625" bestFit="1" customWidth="1"/>
    <col min="3116" max="3116" width="11.5703125" bestFit="1" customWidth="1"/>
    <col min="3117" max="3117" width="9.28515625" bestFit="1" customWidth="1"/>
    <col min="3118" max="3118" width="11.5703125" bestFit="1" customWidth="1"/>
    <col min="3119" max="3119" width="9.28515625" bestFit="1" customWidth="1"/>
    <col min="3120" max="3120" width="11.5703125" bestFit="1" customWidth="1"/>
    <col min="3121" max="3121" width="9.28515625" bestFit="1" customWidth="1"/>
    <col min="3122" max="3122" width="11.5703125" bestFit="1" customWidth="1"/>
    <col min="3123" max="3123" width="9.28515625" bestFit="1" customWidth="1"/>
    <col min="3331" max="3331" width="29.42578125" bestFit="1" customWidth="1"/>
    <col min="3332" max="3332" width="11.5703125" bestFit="1" customWidth="1"/>
    <col min="3333" max="3333" width="9.28515625" bestFit="1" customWidth="1"/>
    <col min="3334" max="3334" width="11.5703125" bestFit="1" customWidth="1"/>
    <col min="3335" max="3335" width="9.28515625" bestFit="1" customWidth="1"/>
    <col min="3336" max="3336" width="11.5703125" bestFit="1" customWidth="1"/>
    <col min="3337" max="3337" width="9.28515625" bestFit="1" customWidth="1"/>
    <col min="3338" max="3338" width="11.5703125" bestFit="1" customWidth="1"/>
    <col min="3339" max="3339" width="9.28515625" bestFit="1" customWidth="1"/>
    <col min="3340" max="3340" width="11.5703125" bestFit="1" customWidth="1"/>
    <col min="3341" max="3341" width="9.28515625" bestFit="1" customWidth="1"/>
    <col min="3342" max="3342" width="11.5703125" bestFit="1" customWidth="1"/>
    <col min="3343" max="3343" width="9.28515625" bestFit="1" customWidth="1"/>
    <col min="3344" max="3344" width="11.5703125" bestFit="1" customWidth="1"/>
    <col min="3345" max="3345" width="9.28515625" bestFit="1" customWidth="1"/>
    <col min="3346" max="3346" width="11.5703125" bestFit="1" customWidth="1"/>
    <col min="3347" max="3347" width="9.28515625" bestFit="1" customWidth="1"/>
    <col min="3348" max="3348" width="11.5703125" bestFit="1" customWidth="1"/>
    <col min="3349" max="3349" width="9.28515625" bestFit="1" customWidth="1"/>
    <col min="3350" max="3350" width="11.5703125" bestFit="1" customWidth="1"/>
    <col min="3351" max="3351" width="9.28515625" bestFit="1" customWidth="1"/>
    <col min="3352" max="3352" width="11.5703125" bestFit="1" customWidth="1"/>
    <col min="3353" max="3353" width="9.28515625" bestFit="1" customWidth="1"/>
    <col min="3354" max="3354" width="11.5703125" bestFit="1" customWidth="1"/>
    <col min="3355" max="3355" width="9.28515625" bestFit="1" customWidth="1"/>
    <col min="3356" max="3356" width="11.5703125" bestFit="1" customWidth="1"/>
    <col min="3357" max="3357" width="9.28515625" bestFit="1" customWidth="1"/>
    <col min="3358" max="3358" width="11.5703125" bestFit="1" customWidth="1"/>
    <col min="3359" max="3359" width="9.28515625" bestFit="1" customWidth="1"/>
    <col min="3360" max="3360" width="11.5703125" bestFit="1" customWidth="1"/>
    <col min="3361" max="3361" width="9.28515625" bestFit="1" customWidth="1"/>
    <col min="3362" max="3362" width="11.5703125" bestFit="1" customWidth="1"/>
    <col min="3363" max="3363" width="9.28515625" bestFit="1" customWidth="1"/>
    <col min="3364" max="3364" width="11.5703125" bestFit="1" customWidth="1"/>
    <col min="3365" max="3365" width="9.28515625" bestFit="1" customWidth="1"/>
    <col min="3366" max="3366" width="11.5703125" bestFit="1" customWidth="1"/>
    <col min="3367" max="3367" width="9.28515625" bestFit="1" customWidth="1"/>
    <col min="3368" max="3368" width="11.5703125" bestFit="1" customWidth="1"/>
    <col min="3369" max="3369" width="9.28515625" bestFit="1" customWidth="1"/>
    <col min="3370" max="3370" width="11.5703125" bestFit="1" customWidth="1"/>
    <col min="3371" max="3371" width="9.28515625" bestFit="1" customWidth="1"/>
    <col min="3372" max="3372" width="11.5703125" bestFit="1" customWidth="1"/>
    <col min="3373" max="3373" width="9.28515625" bestFit="1" customWidth="1"/>
    <col min="3374" max="3374" width="11.5703125" bestFit="1" customWidth="1"/>
    <col min="3375" max="3375" width="9.28515625" bestFit="1" customWidth="1"/>
    <col min="3376" max="3376" width="11.5703125" bestFit="1" customWidth="1"/>
    <col min="3377" max="3377" width="9.28515625" bestFit="1" customWidth="1"/>
    <col min="3378" max="3378" width="11.5703125" bestFit="1" customWidth="1"/>
    <col min="3379" max="3379" width="9.28515625" bestFit="1" customWidth="1"/>
    <col min="3587" max="3587" width="29.42578125" bestFit="1" customWidth="1"/>
    <col min="3588" max="3588" width="11.5703125" bestFit="1" customWidth="1"/>
    <col min="3589" max="3589" width="9.28515625" bestFit="1" customWidth="1"/>
    <col min="3590" max="3590" width="11.5703125" bestFit="1" customWidth="1"/>
    <col min="3591" max="3591" width="9.28515625" bestFit="1" customWidth="1"/>
    <col min="3592" max="3592" width="11.5703125" bestFit="1" customWidth="1"/>
    <col min="3593" max="3593" width="9.28515625" bestFit="1" customWidth="1"/>
    <col min="3594" max="3594" width="11.5703125" bestFit="1" customWidth="1"/>
    <col min="3595" max="3595" width="9.28515625" bestFit="1" customWidth="1"/>
    <col min="3596" max="3596" width="11.5703125" bestFit="1" customWidth="1"/>
    <col min="3597" max="3597" width="9.28515625" bestFit="1" customWidth="1"/>
    <col min="3598" max="3598" width="11.5703125" bestFit="1" customWidth="1"/>
    <col min="3599" max="3599" width="9.28515625" bestFit="1" customWidth="1"/>
    <col min="3600" max="3600" width="11.5703125" bestFit="1" customWidth="1"/>
    <col min="3601" max="3601" width="9.28515625" bestFit="1" customWidth="1"/>
    <col min="3602" max="3602" width="11.5703125" bestFit="1" customWidth="1"/>
    <col min="3603" max="3603" width="9.28515625" bestFit="1" customWidth="1"/>
    <col min="3604" max="3604" width="11.5703125" bestFit="1" customWidth="1"/>
    <col min="3605" max="3605" width="9.28515625" bestFit="1" customWidth="1"/>
    <col min="3606" max="3606" width="11.5703125" bestFit="1" customWidth="1"/>
    <col min="3607" max="3607" width="9.28515625" bestFit="1" customWidth="1"/>
    <col min="3608" max="3608" width="11.5703125" bestFit="1" customWidth="1"/>
    <col min="3609" max="3609" width="9.28515625" bestFit="1" customWidth="1"/>
    <col min="3610" max="3610" width="11.5703125" bestFit="1" customWidth="1"/>
    <col min="3611" max="3611" width="9.28515625" bestFit="1" customWidth="1"/>
    <col min="3612" max="3612" width="11.5703125" bestFit="1" customWidth="1"/>
    <col min="3613" max="3613" width="9.28515625" bestFit="1" customWidth="1"/>
    <col min="3614" max="3614" width="11.5703125" bestFit="1" customWidth="1"/>
    <col min="3615" max="3615" width="9.28515625" bestFit="1" customWidth="1"/>
    <col min="3616" max="3616" width="11.5703125" bestFit="1" customWidth="1"/>
    <col min="3617" max="3617" width="9.28515625" bestFit="1" customWidth="1"/>
    <col min="3618" max="3618" width="11.5703125" bestFit="1" customWidth="1"/>
    <col min="3619" max="3619" width="9.28515625" bestFit="1" customWidth="1"/>
    <col min="3620" max="3620" width="11.5703125" bestFit="1" customWidth="1"/>
    <col min="3621" max="3621" width="9.28515625" bestFit="1" customWidth="1"/>
    <col min="3622" max="3622" width="11.5703125" bestFit="1" customWidth="1"/>
    <col min="3623" max="3623" width="9.28515625" bestFit="1" customWidth="1"/>
    <col min="3624" max="3624" width="11.5703125" bestFit="1" customWidth="1"/>
    <col min="3625" max="3625" width="9.28515625" bestFit="1" customWidth="1"/>
    <col min="3626" max="3626" width="11.5703125" bestFit="1" customWidth="1"/>
    <col min="3627" max="3627" width="9.28515625" bestFit="1" customWidth="1"/>
    <col min="3628" max="3628" width="11.5703125" bestFit="1" customWidth="1"/>
    <col min="3629" max="3629" width="9.28515625" bestFit="1" customWidth="1"/>
    <col min="3630" max="3630" width="11.5703125" bestFit="1" customWidth="1"/>
    <col min="3631" max="3631" width="9.28515625" bestFit="1" customWidth="1"/>
    <col min="3632" max="3632" width="11.5703125" bestFit="1" customWidth="1"/>
    <col min="3633" max="3633" width="9.28515625" bestFit="1" customWidth="1"/>
    <col min="3634" max="3634" width="11.5703125" bestFit="1" customWidth="1"/>
    <col min="3635" max="3635" width="9.28515625" bestFit="1" customWidth="1"/>
    <col min="3843" max="3843" width="29.42578125" bestFit="1" customWidth="1"/>
    <col min="3844" max="3844" width="11.5703125" bestFit="1" customWidth="1"/>
    <col min="3845" max="3845" width="9.28515625" bestFit="1" customWidth="1"/>
    <col min="3846" max="3846" width="11.5703125" bestFit="1" customWidth="1"/>
    <col min="3847" max="3847" width="9.28515625" bestFit="1" customWidth="1"/>
    <col min="3848" max="3848" width="11.5703125" bestFit="1" customWidth="1"/>
    <col min="3849" max="3849" width="9.28515625" bestFit="1" customWidth="1"/>
    <col min="3850" max="3850" width="11.5703125" bestFit="1" customWidth="1"/>
    <col min="3851" max="3851" width="9.28515625" bestFit="1" customWidth="1"/>
    <col min="3852" max="3852" width="11.5703125" bestFit="1" customWidth="1"/>
    <col min="3853" max="3853" width="9.28515625" bestFit="1" customWidth="1"/>
    <col min="3854" max="3854" width="11.5703125" bestFit="1" customWidth="1"/>
    <col min="3855" max="3855" width="9.28515625" bestFit="1" customWidth="1"/>
    <col min="3856" max="3856" width="11.5703125" bestFit="1" customWidth="1"/>
    <col min="3857" max="3857" width="9.28515625" bestFit="1" customWidth="1"/>
    <col min="3858" max="3858" width="11.5703125" bestFit="1" customWidth="1"/>
    <col min="3859" max="3859" width="9.28515625" bestFit="1" customWidth="1"/>
    <col min="3860" max="3860" width="11.5703125" bestFit="1" customWidth="1"/>
    <col min="3861" max="3861" width="9.28515625" bestFit="1" customWidth="1"/>
    <col min="3862" max="3862" width="11.5703125" bestFit="1" customWidth="1"/>
    <col min="3863" max="3863" width="9.28515625" bestFit="1" customWidth="1"/>
    <col min="3864" max="3864" width="11.5703125" bestFit="1" customWidth="1"/>
    <col min="3865" max="3865" width="9.28515625" bestFit="1" customWidth="1"/>
    <col min="3866" max="3866" width="11.5703125" bestFit="1" customWidth="1"/>
    <col min="3867" max="3867" width="9.28515625" bestFit="1" customWidth="1"/>
    <col min="3868" max="3868" width="11.5703125" bestFit="1" customWidth="1"/>
    <col min="3869" max="3869" width="9.28515625" bestFit="1" customWidth="1"/>
    <col min="3870" max="3870" width="11.5703125" bestFit="1" customWidth="1"/>
    <col min="3871" max="3871" width="9.28515625" bestFit="1" customWidth="1"/>
    <col min="3872" max="3872" width="11.5703125" bestFit="1" customWidth="1"/>
    <col min="3873" max="3873" width="9.28515625" bestFit="1" customWidth="1"/>
    <col min="3874" max="3874" width="11.5703125" bestFit="1" customWidth="1"/>
    <col min="3875" max="3875" width="9.28515625" bestFit="1" customWidth="1"/>
    <col min="3876" max="3876" width="11.5703125" bestFit="1" customWidth="1"/>
    <col min="3877" max="3877" width="9.28515625" bestFit="1" customWidth="1"/>
    <col min="3878" max="3878" width="11.5703125" bestFit="1" customWidth="1"/>
    <col min="3879" max="3879" width="9.28515625" bestFit="1" customWidth="1"/>
    <col min="3880" max="3880" width="11.5703125" bestFit="1" customWidth="1"/>
    <col min="3881" max="3881" width="9.28515625" bestFit="1" customWidth="1"/>
    <col min="3882" max="3882" width="11.5703125" bestFit="1" customWidth="1"/>
    <col min="3883" max="3883" width="9.28515625" bestFit="1" customWidth="1"/>
    <col min="3884" max="3884" width="11.5703125" bestFit="1" customWidth="1"/>
    <col min="3885" max="3885" width="9.28515625" bestFit="1" customWidth="1"/>
    <col min="3886" max="3886" width="11.5703125" bestFit="1" customWidth="1"/>
    <col min="3887" max="3887" width="9.28515625" bestFit="1" customWidth="1"/>
    <col min="3888" max="3888" width="11.5703125" bestFit="1" customWidth="1"/>
    <col min="3889" max="3889" width="9.28515625" bestFit="1" customWidth="1"/>
    <col min="3890" max="3890" width="11.5703125" bestFit="1" customWidth="1"/>
    <col min="3891" max="3891" width="9.28515625" bestFit="1" customWidth="1"/>
    <col min="4099" max="4099" width="29.42578125" bestFit="1" customWidth="1"/>
    <col min="4100" max="4100" width="11.5703125" bestFit="1" customWidth="1"/>
    <col min="4101" max="4101" width="9.28515625" bestFit="1" customWidth="1"/>
    <col min="4102" max="4102" width="11.5703125" bestFit="1" customWidth="1"/>
    <col min="4103" max="4103" width="9.28515625" bestFit="1" customWidth="1"/>
    <col min="4104" max="4104" width="11.5703125" bestFit="1" customWidth="1"/>
    <col min="4105" max="4105" width="9.28515625" bestFit="1" customWidth="1"/>
    <col min="4106" max="4106" width="11.5703125" bestFit="1" customWidth="1"/>
    <col min="4107" max="4107" width="9.28515625" bestFit="1" customWidth="1"/>
    <col min="4108" max="4108" width="11.5703125" bestFit="1" customWidth="1"/>
    <col min="4109" max="4109" width="9.28515625" bestFit="1" customWidth="1"/>
    <col min="4110" max="4110" width="11.5703125" bestFit="1" customWidth="1"/>
    <col min="4111" max="4111" width="9.28515625" bestFit="1" customWidth="1"/>
    <col min="4112" max="4112" width="11.5703125" bestFit="1" customWidth="1"/>
    <col min="4113" max="4113" width="9.28515625" bestFit="1" customWidth="1"/>
    <col min="4114" max="4114" width="11.5703125" bestFit="1" customWidth="1"/>
    <col min="4115" max="4115" width="9.28515625" bestFit="1" customWidth="1"/>
    <col min="4116" max="4116" width="11.5703125" bestFit="1" customWidth="1"/>
    <col min="4117" max="4117" width="9.28515625" bestFit="1" customWidth="1"/>
    <col min="4118" max="4118" width="11.5703125" bestFit="1" customWidth="1"/>
    <col min="4119" max="4119" width="9.28515625" bestFit="1" customWidth="1"/>
    <col min="4120" max="4120" width="11.5703125" bestFit="1" customWidth="1"/>
    <col min="4121" max="4121" width="9.28515625" bestFit="1" customWidth="1"/>
    <col min="4122" max="4122" width="11.5703125" bestFit="1" customWidth="1"/>
    <col min="4123" max="4123" width="9.28515625" bestFit="1" customWidth="1"/>
    <col min="4124" max="4124" width="11.5703125" bestFit="1" customWidth="1"/>
    <col min="4125" max="4125" width="9.28515625" bestFit="1" customWidth="1"/>
    <col min="4126" max="4126" width="11.5703125" bestFit="1" customWidth="1"/>
    <col min="4127" max="4127" width="9.28515625" bestFit="1" customWidth="1"/>
    <col min="4128" max="4128" width="11.5703125" bestFit="1" customWidth="1"/>
    <col min="4129" max="4129" width="9.28515625" bestFit="1" customWidth="1"/>
    <col min="4130" max="4130" width="11.5703125" bestFit="1" customWidth="1"/>
    <col min="4131" max="4131" width="9.28515625" bestFit="1" customWidth="1"/>
    <col min="4132" max="4132" width="11.5703125" bestFit="1" customWidth="1"/>
    <col min="4133" max="4133" width="9.28515625" bestFit="1" customWidth="1"/>
    <col min="4134" max="4134" width="11.5703125" bestFit="1" customWidth="1"/>
    <col min="4135" max="4135" width="9.28515625" bestFit="1" customWidth="1"/>
    <col min="4136" max="4136" width="11.5703125" bestFit="1" customWidth="1"/>
    <col min="4137" max="4137" width="9.28515625" bestFit="1" customWidth="1"/>
    <col min="4138" max="4138" width="11.5703125" bestFit="1" customWidth="1"/>
    <col min="4139" max="4139" width="9.28515625" bestFit="1" customWidth="1"/>
    <col min="4140" max="4140" width="11.5703125" bestFit="1" customWidth="1"/>
    <col min="4141" max="4141" width="9.28515625" bestFit="1" customWidth="1"/>
    <col min="4142" max="4142" width="11.5703125" bestFit="1" customWidth="1"/>
    <col min="4143" max="4143" width="9.28515625" bestFit="1" customWidth="1"/>
    <col min="4144" max="4144" width="11.5703125" bestFit="1" customWidth="1"/>
    <col min="4145" max="4145" width="9.28515625" bestFit="1" customWidth="1"/>
    <col min="4146" max="4146" width="11.5703125" bestFit="1" customWidth="1"/>
    <col min="4147" max="4147" width="9.28515625" bestFit="1" customWidth="1"/>
    <col min="4355" max="4355" width="29.42578125" bestFit="1" customWidth="1"/>
    <col min="4356" max="4356" width="11.5703125" bestFit="1" customWidth="1"/>
    <col min="4357" max="4357" width="9.28515625" bestFit="1" customWidth="1"/>
    <col min="4358" max="4358" width="11.5703125" bestFit="1" customWidth="1"/>
    <col min="4359" max="4359" width="9.28515625" bestFit="1" customWidth="1"/>
    <col min="4360" max="4360" width="11.5703125" bestFit="1" customWidth="1"/>
    <col min="4361" max="4361" width="9.28515625" bestFit="1" customWidth="1"/>
    <col min="4362" max="4362" width="11.5703125" bestFit="1" customWidth="1"/>
    <col min="4363" max="4363" width="9.28515625" bestFit="1" customWidth="1"/>
    <col min="4364" max="4364" width="11.5703125" bestFit="1" customWidth="1"/>
    <col min="4365" max="4365" width="9.28515625" bestFit="1" customWidth="1"/>
    <col min="4366" max="4366" width="11.5703125" bestFit="1" customWidth="1"/>
    <col min="4367" max="4367" width="9.28515625" bestFit="1" customWidth="1"/>
    <col min="4368" max="4368" width="11.5703125" bestFit="1" customWidth="1"/>
    <col min="4369" max="4369" width="9.28515625" bestFit="1" customWidth="1"/>
    <col min="4370" max="4370" width="11.5703125" bestFit="1" customWidth="1"/>
    <col min="4371" max="4371" width="9.28515625" bestFit="1" customWidth="1"/>
    <col min="4372" max="4372" width="11.5703125" bestFit="1" customWidth="1"/>
    <col min="4373" max="4373" width="9.28515625" bestFit="1" customWidth="1"/>
    <col min="4374" max="4374" width="11.5703125" bestFit="1" customWidth="1"/>
    <col min="4375" max="4375" width="9.28515625" bestFit="1" customWidth="1"/>
    <col min="4376" max="4376" width="11.5703125" bestFit="1" customWidth="1"/>
    <col min="4377" max="4377" width="9.28515625" bestFit="1" customWidth="1"/>
    <col min="4378" max="4378" width="11.5703125" bestFit="1" customWidth="1"/>
    <col min="4379" max="4379" width="9.28515625" bestFit="1" customWidth="1"/>
    <col min="4380" max="4380" width="11.5703125" bestFit="1" customWidth="1"/>
    <col min="4381" max="4381" width="9.28515625" bestFit="1" customWidth="1"/>
    <col min="4382" max="4382" width="11.5703125" bestFit="1" customWidth="1"/>
    <col min="4383" max="4383" width="9.28515625" bestFit="1" customWidth="1"/>
    <col min="4384" max="4384" width="11.5703125" bestFit="1" customWidth="1"/>
    <col min="4385" max="4385" width="9.28515625" bestFit="1" customWidth="1"/>
    <col min="4386" max="4386" width="11.5703125" bestFit="1" customWidth="1"/>
    <col min="4387" max="4387" width="9.28515625" bestFit="1" customWidth="1"/>
    <col min="4388" max="4388" width="11.5703125" bestFit="1" customWidth="1"/>
    <col min="4389" max="4389" width="9.28515625" bestFit="1" customWidth="1"/>
    <col min="4390" max="4390" width="11.5703125" bestFit="1" customWidth="1"/>
    <col min="4391" max="4391" width="9.28515625" bestFit="1" customWidth="1"/>
    <col min="4392" max="4392" width="11.5703125" bestFit="1" customWidth="1"/>
    <col min="4393" max="4393" width="9.28515625" bestFit="1" customWidth="1"/>
    <col min="4394" max="4394" width="11.5703125" bestFit="1" customWidth="1"/>
    <col min="4395" max="4395" width="9.28515625" bestFit="1" customWidth="1"/>
    <col min="4396" max="4396" width="11.5703125" bestFit="1" customWidth="1"/>
    <col min="4397" max="4397" width="9.28515625" bestFit="1" customWidth="1"/>
    <col min="4398" max="4398" width="11.5703125" bestFit="1" customWidth="1"/>
    <col min="4399" max="4399" width="9.28515625" bestFit="1" customWidth="1"/>
    <col min="4400" max="4400" width="11.5703125" bestFit="1" customWidth="1"/>
    <col min="4401" max="4401" width="9.28515625" bestFit="1" customWidth="1"/>
    <col min="4402" max="4402" width="11.5703125" bestFit="1" customWidth="1"/>
    <col min="4403" max="4403" width="9.28515625" bestFit="1" customWidth="1"/>
    <col min="4611" max="4611" width="29.42578125" bestFit="1" customWidth="1"/>
    <col min="4612" max="4612" width="11.5703125" bestFit="1" customWidth="1"/>
    <col min="4613" max="4613" width="9.28515625" bestFit="1" customWidth="1"/>
    <col min="4614" max="4614" width="11.5703125" bestFit="1" customWidth="1"/>
    <col min="4615" max="4615" width="9.28515625" bestFit="1" customWidth="1"/>
    <col min="4616" max="4616" width="11.5703125" bestFit="1" customWidth="1"/>
    <col min="4617" max="4617" width="9.28515625" bestFit="1" customWidth="1"/>
    <col min="4618" max="4618" width="11.5703125" bestFit="1" customWidth="1"/>
    <col min="4619" max="4619" width="9.28515625" bestFit="1" customWidth="1"/>
    <col min="4620" max="4620" width="11.5703125" bestFit="1" customWidth="1"/>
    <col min="4621" max="4621" width="9.28515625" bestFit="1" customWidth="1"/>
    <col min="4622" max="4622" width="11.5703125" bestFit="1" customWidth="1"/>
    <col min="4623" max="4623" width="9.28515625" bestFit="1" customWidth="1"/>
    <col min="4624" max="4624" width="11.5703125" bestFit="1" customWidth="1"/>
    <col min="4625" max="4625" width="9.28515625" bestFit="1" customWidth="1"/>
    <col min="4626" max="4626" width="11.5703125" bestFit="1" customWidth="1"/>
    <col min="4627" max="4627" width="9.28515625" bestFit="1" customWidth="1"/>
    <col min="4628" max="4628" width="11.5703125" bestFit="1" customWidth="1"/>
    <col min="4629" max="4629" width="9.28515625" bestFit="1" customWidth="1"/>
    <col min="4630" max="4630" width="11.5703125" bestFit="1" customWidth="1"/>
    <col min="4631" max="4631" width="9.28515625" bestFit="1" customWidth="1"/>
    <col min="4632" max="4632" width="11.5703125" bestFit="1" customWidth="1"/>
    <col min="4633" max="4633" width="9.28515625" bestFit="1" customWidth="1"/>
    <col min="4634" max="4634" width="11.5703125" bestFit="1" customWidth="1"/>
    <col min="4635" max="4635" width="9.28515625" bestFit="1" customWidth="1"/>
    <col min="4636" max="4636" width="11.5703125" bestFit="1" customWidth="1"/>
    <col min="4637" max="4637" width="9.28515625" bestFit="1" customWidth="1"/>
    <col min="4638" max="4638" width="11.5703125" bestFit="1" customWidth="1"/>
    <col min="4639" max="4639" width="9.28515625" bestFit="1" customWidth="1"/>
    <col min="4640" max="4640" width="11.5703125" bestFit="1" customWidth="1"/>
    <col min="4641" max="4641" width="9.28515625" bestFit="1" customWidth="1"/>
    <col min="4642" max="4642" width="11.5703125" bestFit="1" customWidth="1"/>
    <col min="4643" max="4643" width="9.28515625" bestFit="1" customWidth="1"/>
    <col min="4644" max="4644" width="11.5703125" bestFit="1" customWidth="1"/>
    <col min="4645" max="4645" width="9.28515625" bestFit="1" customWidth="1"/>
    <col min="4646" max="4646" width="11.5703125" bestFit="1" customWidth="1"/>
    <col min="4647" max="4647" width="9.28515625" bestFit="1" customWidth="1"/>
    <col min="4648" max="4648" width="11.5703125" bestFit="1" customWidth="1"/>
    <col min="4649" max="4649" width="9.28515625" bestFit="1" customWidth="1"/>
    <col min="4650" max="4650" width="11.5703125" bestFit="1" customWidth="1"/>
    <col min="4651" max="4651" width="9.28515625" bestFit="1" customWidth="1"/>
    <col min="4652" max="4652" width="11.5703125" bestFit="1" customWidth="1"/>
    <col min="4653" max="4653" width="9.28515625" bestFit="1" customWidth="1"/>
    <col min="4654" max="4654" width="11.5703125" bestFit="1" customWidth="1"/>
    <col min="4655" max="4655" width="9.28515625" bestFit="1" customWidth="1"/>
    <col min="4656" max="4656" width="11.5703125" bestFit="1" customWidth="1"/>
    <col min="4657" max="4657" width="9.28515625" bestFit="1" customWidth="1"/>
    <col min="4658" max="4658" width="11.5703125" bestFit="1" customWidth="1"/>
    <col min="4659" max="4659" width="9.28515625" bestFit="1" customWidth="1"/>
    <col min="4867" max="4867" width="29.42578125" bestFit="1" customWidth="1"/>
    <col min="4868" max="4868" width="11.5703125" bestFit="1" customWidth="1"/>
    <col min="4869" max="4869" width="9.28515625" bestFit="1" customWidth="1"/>
    <col min="4870" max="4870" width="11.5703125" bestFit="1" customWidth="1"/>
    <col min="4871" max="4871" width="9.28515625" bestFit="1" customWidth="1"/>
    <col min="4872" max="4872" width="11.5703125" bestFit="1" customWidth="1"/>
    <col min="4873" max="4873" width="9.28515625" bestFit="1" customWidth="1"/>
    <col min="4874" max="4874" width="11.5703125" bestFit="1" customWidth="1"/>
    <col min="4875" max="4875" width="9.28515625" bestFit="1" customWidth="1"/>
    <col min="4876" max="4876" width="11.5703125" bestFit="1" customWidth="1"/>
    <col min="4877" max="4877" width="9.28515625" bestFit="1" customWidth="1"/>
    <col min="4878" max="4878" width="11.5703125" bestFit="1" customWidth="1"/>
    <col min="4879" max="4879" width="9.28515625" bestFit="1" customWidth="1"/>
    <col min="4880" max="4880" width="11.5703125" bestFit="1" customWidth="1"/>
    <col min="4881" max="4881" width="9.28515625" bestFit="1" customWidth="1"/>
    <col min="4882" max="4882" width="11.5703125" bestFit="1" customWidth="1"/>
    <col min="4883" max="4883" width="9.28515625" bestFit="1" customWidth="1"/>
    <col min="4884" max="4884" width="11.5703125" bestFit="1" customWidth="1"/>
    <col min="4885" max="4885" width="9.28515625" bestFit="1" customWidth="1"/>
    <col min="4886" max="4886" width="11.5703125" bestFit="1" customWidth="1"/>
    <col min="4887" max="4887" width="9.28515625" bestFit="1" customWidth="1"/>
    <col min="4888" max="4888" width="11.5703125" bestFit="1" customWidth="1"/>
    <col min="4889" max="4889" width="9.28515625" bestFit="1" customWidth="1"/>
    <col min="4890" max="4890" width="11.5703125" bestFit="1" customWidth="1"/>
    <col min="4891" max="4891" width="9.28515625" bestFit="1" customWidth="1"/>
    <col min="4892" max="4892" width="11.5703125" bestFit="1" customWidth="1"/>
    <col min="4893" max="4893" width="9.28515625" bestFit="1" customWidth="1"/>
    <col min="4894" max="4894" width="11.5703125" bestFit="1" customWidth="1"/>
    <col min="4895" max="4895" width="9.28515625" bestFit="1" customWidth="1"/>
    <col min="4896" max="4896" width="11.5703125" bestFit="1" customWidth="1"/>
    <col min="4897" max="4897" width="9.28515625" bestFit="1" customWidth="1"/>
    <col min="4898" max="4898" width="11.5703125" bestFit="1" customWidth="1"/>
    <col min="4899" max="4899" width="9.28515625" bestFit="1" customWidth="1"/>
    <col min="4900" max="4900" width="11.5703125" bestFit="1" customWidth="1"/>
    <col min="4901" max="4901" width="9.28515625" bestFit="1" customWidth="1"/>
    <col min="4902" max="4902" width="11.5703125" bestFit="1" customWidth="1"/>
    <col min="4903" max="4903" width="9.28515625" bestFit="1" customWidth="1"/>
    <col min="4904" max="4904" width="11.5703125" bestFit="1" customWidth="1"/>
    <col min="4905" max="4905" width="9.28515625" bestFit="1" customWidth="1"/>
    <col min="4906" max="4906" width="11.5703125" bestFit="1" customWidth="1"/>
    <col min="4907" max="4907" width="9.28515625" bestFit="1" customWidth="1"/>
    <col min="4908" max="4908" width="11.5703125" bestFit="1" customWidth="1"/>
    <col min="4909" max="4909" width="9.28515625" bestFit="1" customWidth="1"/>
    <col min="4910" max="4910" width="11.5703125" bestFit="1" customWidth="1"/>
    <col min="4911" max="4911" width="9.28515625" bestFit="1" customWidth="1"/>
    <col min="4912" max="4912" width="11.5703125" bestFit="1" customWidth="1"/>
    <col min="4913" max="4913" width="9.28515625" bestFit="1" customWidth="1"/>
    <col min="4914" max="4914" width="11.5703125" bestFit="1" customWidth="1"/>
    <col min="4915" max="4915" width="9.28515625" bestFit="1" customWidth="1"/>
    <col min="5123" max="5123" width="29.42578125" bestFit="1" customWidth="1"/>
    <col min="5124" max="5124" width="11.5703125" bestFit="1" customWidth="1"/>
    <col min="5125" max="5125" width="9.28515625" bestFit="1" customWidth="1"/>
    <col min="5126" max="5126" width="11.5703125" bestFit="1" customWidth="1"/>
    <col min="5127" max="5127" width="9.28515625" bestFit="1" customWidth="1"/>
    <col min="5128" max="5128" width="11.5703125" bestFit="1" customWidth="1"/>
    <col min="5129" max="5129" width="9.28515625" bestFit="1" customWidth="1"/>
    <col min="5130" max="5130" width="11.5703125" bestFit="1" customWidth="1"/>
    <col min="5131" max="5131" width="9.28515625" bestFit="1" customWidth="1"/>
    <col min="5132" max="5132" width="11.5703125" bestFit="1" customWidth="1"/>
    <col min="5133" max="5133" width="9.28515625" bestFit="1" customWidth="1"/>
    <col min="5134" max="5134" width="11.5703125" bestFit="1" customWidth="1"/>
    <col min="5135" max="5135" width="9.28515625" bestFit="1" customWidth="1"/>
    <col min="5136" max="5136" width="11.5703125" bestFit="1" customWidth="1"/>
    <col min="5137" max="5137" width="9.28515625" bestFit="1" customWidth="1"/>
    <col min="5138" max="5138" width="11.5703125" bestFit="1" customWidth="1"/>
    <col min="5139" max="5139" width="9.28515625" bestFit="1" customWidth="1"/>
    <col min="5140" max="5140" width="11.5703125" bestFit="1" customWidth="1"/>
    <col min="5141" max="5141" width="9.28515625" bestFit="1" customWidth="1"/>
    <col min="5142" max="5142" width="11.5703125" bestFit="1" customWidth="1"/>
    <col min="5143" max="5143" width="9.28515625" bestFit="1" customWidth="1"/>
    <col min="5144" max="5144" width="11.5703125" bestFit="1" customWidth="1"/>
    <col min="5145" max="5145" width="9.28515625" bestFit="1" customWidth="1"/>
    <col min="5146" max="5146" width="11.5703125" bestFit="1" customWidth="1"/>
    <col min="5147" max="5147" width="9.28515625" bestFit="1" customWidth="1"/>
    <col min="5148" max="5148" width="11.5703125" bestFit="1" customWidth="1"/>
    <col min="5149" max="5149" width="9.28515625" bestFit="1" customWidth="1"/>
    <col min="5150" max="5150" width="11.5703125" bestFit="1" customWidth="1"/>
    <col min="5151" max="5151" width="9.28515625" bestFit="1" customWidth="1"/>
    <col min="5152" max="5152" width="11.5703125" bestFit="1" customWidth="1"/>
    <col min="5153" max="5153" width="9.28515625" bestFit="1" customWidth="1"/>
    <col min="5154" max="5154" width="11.5703125" bestFit="1" customWidth="1"/>
    <col min="5155" max="5155" width="9.28515625" bestFit="1" customWidth="1"/>
    <col min="5156" max="5156" width="11.5703125" bestFit="1" customWidth="1"/>
    <col min="5157" max="5157" width="9.28515625" bestFit="1" customWidth="1"/>
    <col min="5158" max="5158" width="11.5703125" bestFit="1" customWidth="1"/>
    <col min="5159" max="5159" width="9.28515625" bestFit="1" customWidth="1"/>
    <col min="5160" max="5160" width="11.5703125" bestFit="1" customWidth="1"/>
    <col min="5161" max="5161" width="9.28515625" bestFit="1" customWidth="1"/>
    <col min="5162" max="5162" width="11.5703125" bestFit="1" customWidth="1"/>
    <col min="5163" max="5163" width="9.28515625" bestFit="1" customWidth="1"/>
    <col min="5164" max="5164" width="11.5703125" bestFit="1" customWidth="1"/>
    <col min="5165" max="5165" width="9.28515625" bestFit="1" customWidth="1"/>
    <col min="5166" max="5166" width="11.5703125" bestFit="1" customWidth="1"/>
    <col min="5167" max="5167" width="9.28515625" bestFit="1" customWidth="1"/>
    <col min="5168" max="5168" width="11.5703125" bestFit="1" customWidth="1"/>
    <col min="5169" max="5169" width="9.28515625" bestFit="1" customWidth="1"/>
    <col min="5170" max="5170" width="11.5703125" bestFit="1" customWidth="1"/>
    <col min="5171" max="5171" width="9.28515625" bestFit="1" customWidth="1"/>
    <col min="5379" max="5379" width="29.42578125" bestFit="1" customWidth="1"/>
    <col min="5380" max="5380" width="11.5703125" bestFit="1" customWidth="1"/>
    <col min="5381" max="5381" width="9.28515625" bestFit="1" customWidth="1"/>
    <col min="5382" max="5382" width="11.5703125" bestFit="1" customWidth="1"/>
    <col min="5383" max="5383" width="9.28515625" bestFit="1" customWidth="1"/>
    <col min="5384" max="5384" width="11.5703125" bestFit="1" customWidth="1"/>
    <col min="5385" max="5385" width="9.28515625" bestFit="1" customWidth="1"/>
    <col min="5386" max="5386" width="11.5703125" bestFit="1" customWidth="1"/>
    <col min="5387" max="5387" width="9.28515625" bestFit="1" customWidth="1"/>
    <col min="5388" max="5388" width="11.5703125" bestFit="1" customWidth="1"/>
    <col min="5389" max="5389" width="9.28515625" bestFit="1" customWidth="1"/>
    <col min="5390" max="5390" width="11.5703125" bestFit="1" customWidth="1"/>
    <col min="5391" max="5391" width="9.28515625" bestFit="1" customWidth="1"/>
    <col min="5392" max="5392" width="11.5703125" bestFit="1" customWidth="1"/>
    <col min="5393" max="5393" width="9.28515625" bestFit="1" customWidth="1"/>
    <col min="5394" max="5394" width="11.5703125" bestFit="1" customWidth="1"/>
    <col min="5395" max="5395" width="9.28515625" bestFit="1" customWidth="1"/>
    <col min="5396" max="5396" width="11.5703125" bestFit="1" customWidth="1"/>
    <col min="5397" max="5397" width="9.28515625" bestFit="1" customWidth="1"/>
    <col min="5398" max="5398" width="11.5703125" bestFit="1" customWidth="1"/>
    <col min="5399" max="5399" width="9.28515625" bestFit="1" customWidth="1"/>
    <col min="5400" max="5400" width="11.5703125" bestFit="1" customWidth="1"/>
    <col min="5401" max="5401" width="9.28515625" bestFit="1" customWidth="1"/>
    <col min="5402" max="5402" width="11.5703125" bestFit="1" customWidth="1"/>
    <col min="5403" max="5403" width="9.28515625" bestFit="1" customWidth="1"/>
    <col min="5404" max="5404" width="11.5703125" bestFit="1" customWidth="1"/>
    <col min="5405" max="5405" width="9.28515625" bestFit="1" customWidth="1"/>
    <col min="5406" max="5406" width="11.5703125" bestFit="1" customWidth="1"/>
    <col min="5407" max="5407" width="9.28515625" bestFit="1" customWidth="1"/>
    <col min="5408" max="5408" width="11.5703125" bestFit="1" customWidth="1"/>
    <col min="5409" max="5409" width="9.28515625" bestFit="1" customWidth="1"/>
    <col min="5410" max="5410" width="11.5703125" bestFit="1" customWidth="1"/>
    <col min="5411" max="5411" width="9.28515625" bestFit="1" customWidth="1"/>
    <col min="5412" max="5412" width="11.5703125" bestFit="1" customWidth="1"/>
    <col min="5413" max="5413" width="9.28515625" bestFit="1" customWidth="1"/>
    <col min="5414" max="5414" width="11.5703125" bestFit="1" customWidth="1"/>
    <col min="5415" max="5415" width="9.28515625" bestFit="1" customWidth="1"/>
    <col min="5416" max="5416" width="11.5703125" bestFit="1" customWidth="1"/>
    <col min="5417" max="5417" width="9.28515625" bestFit="1" customWidth="1"/>
    <col min="5418" max="5418" width="11.5703125" bestFit="1" customWidth="1"/>
    <col min="5419" max="5419" width="9.28515625" bestFit="1" customWidth="1"/>
    <col min="5420" max="5420" width="11.5703125" bestFit="1" customWidth="1"/>
    <col min="5421" max="5421" width="9.28515625" bestFit="1" customWidth="1"/>
    <col min="5422" max="5422" width="11.5703125" bestFit="1" customWidth="1"/>
    <col min="5423" max="5423" width="9.28515625" bestFit="1" customWidth="1"/>
    <col min="5424" max="5424" width="11.5703125" bestFit="1" customWidth="1"/>
    <col min="5425" max="5425" width="9.28515625" bestFit="1" customWidth="1"/>
    <col min="5426" max="5426" width="11.5703125" bestFit="1" customWidth="1"/>
    <col min="5427" max="5427" width="9.28515625" bestFit="1" customWidth="1"/>
    <col min="5635" max="5635" width="29.42578125" bestFit="1" customWidth="1"/>
    <col min="5636" max="5636" width="11.5703125" bestFit="1" customWidth="1"/>
    <col min="5637" max="5637" width="9.28515625" bestFit="1" customWidth="1"/>
    <col min="5638" max="5638" width="11.5703125" bestFit="1" customWidth="1"/>
    <col min="5639" max="5639" width="9.28515625" bestFit="1" customWidth="1"/>
    <col min="5640" max="5640" width="11.5703125" bestFit="1" customWidth="1"/>
    <col min="5641" max="5641" width="9.28515625" bestFit="1" customWidth="1"/>
    <col min="5642" max="5642" width="11.5703125" bestFit="1" customWidth="1"/>
    <col min="5643" max="5643" width="9.28515625" bestFit="1" customWidth="1"/>
    <col min="5644" max="5644" width="11.5703125" bestFit="1" customWidth="1"/>
    <col min="5645" max="5645" width="9.28515625" bestFit="1" customWidth="1"/>
    <col min="5646" max="5646" width="11.5703125" bestFit="1" customWidth="1"/>
    <col min="5647" max="5647" width="9.28515625" bestFit="1" customWidth="1"/>
    <col min="5648" max="5648" width="11.5703125" bestFit="1" customWidth="1"/>
    <col min="5649" max="5649" width="9.28515625" bestFit="1" customWidth="1"/>
    <col min="5650" max="5650" width="11.5703125" bestFit="1" customWidth="1"/>
    <col min="5651" max="5651" width="9.28515625" bestFit="1" customWidth="1"/>
    <col min="5652" max="5652" width="11.5703125" bestFit="1" customWidth="1"/>
    <col min="5653" max="5653" width="9.28515625" bestFit="1" customWidth="1"/>
    <col min="5654" max="5654" width="11.5703125" bestFit="1" customWidth="1"/>
    <col min="5655" max="5655" width="9.28515625" bestFit="1" customWidth="1"/>
    <col min="5656" max="5656" width="11.5703125" bestFit="1" customWidth="1"/>
    <col min="5657" max="5657" width="9.28515625" bestFit="1" customWidth="1"/>
    <col min="5658" max="5658" width="11.5703125" bestFit="1" customWidth="1"/>
    <col min="5659" max="5659" width="9.28515625" bestFit="1" customWidth="1"/>
    <col min="5660" max="5660" width="11.5703125" bestFit="1" customWidth="1"/>
    <col min="5661" max="5661" width="9.28515625" bestFit="1" customWidth="1"/>
    <col min="5662" max="5662" width="11.5703125" bestFit="1" customWidth="1"/>
    <col min="5663" max="5663" width="9.28515625" bestFit="1" customWidth="1"/>
    <col min="5664" max="5664" width="11.5703125" bestFit="1" customWidth="1"/>
    <col min="5665" max="5665" width="9.28515625" bestFit="1" customWidth="1"/>
    <col min="5666" max="5666" width="11.5703125" bestFit="1" customWidth="1"/>
    <col min="5667" max="5667" width="9.28515625" bestFit="1" customWidth="1"/>
    <col min="5668" max="5668" width="11.5703125" bestFit="1" customWidth="1"/>
    <col min="5669" max="5669" width="9.28515625" bestFit="1" customWidth="1"/>
    <col min="5670" max="5670" width="11.5703125" bestFit="1" customWidth="1"/>
    <col min="5671" max="5671" width="9.28515625" bestFit="1" customWidth="1"/>
    <col min="5672" max="5672" width="11.5703125" bestFit="1" customWidth="1"/>
    <col min="5673" max="5673" width="9.28515625" bestFit="1" customWidth="1"/>
    <col min="5674" max="5674" width="11.5703125" bestFit="1" customWidth="1"/>
    <col min="5675" max="5675" width="9.28515625" bestFit="1" customWidth="1"/>
    <col min="5676" max="5676" width="11.5703125" bestFit="1" customWidth="1"/>
    <col min="5677" max="5677" width="9.28515625" bestFit="1" customWidth="1"/>
    <col min="5678" max="5678" width="11.5703125" bestFit="1" customWidth="1"/>
    <col min="5679" max="5679" width="9.28515625" bestFit="1" customWidth="1"/>
    <col min="5680" max="5680" width="11.5703125" bestFit="1" customWidth="1"/>
    <col min="5681" max="5681" width="9.28515625" bestFit="1" customWidth="1"/>
    <col min="5682" max="5682" width="11.5703125" bestFit="1" customWidth="1"/>
    <col min="5683" max="5683" width="9.28515625" bestFit="1" customWidth="1"/>
    <col min="5891" max="5891" width="29.42578125" bestFit="1" customWidth="1"/>
    <col min="5892" max="5892" width="11.5703125" bestFit="1" customWidth="1"/>
    <col min="5893" max="5893" width="9.28515625" bestFit="1" customWidth="1"/>
    <col min="5894" max="5894" width="11.5703125" bestFit="1" customWidth="1"/>
    <col min="5895" max="5895" width="9.28515625" bestFit="1" customWidth="1"/>
    <col min="5896" max="5896" width="11.5703125" bestFit="1" customWidth="1"/>
    <col min="5897" max="5897" width="9.28515625" bestFit="1" customWidth="1"/>
    <col min="5898" max="5898" width="11.5703125" bestFit="1" customWidth="1"/>
    <col min="5899" max="5899" width="9.28515625" bestFit="1" customWidth="1"/>
    <col min="5900" max="5900" width="11.5703125" bestFit="1" customWidth="1"/>
    <col min="5901" max="5901" width="9.28515625" bestFit="1" customWidth="1"/>
    <col min="5902" max="5902" width="11.5703125" bestFit="1" customWidth="1"/>
    <col min="5903" max="5903" width="9.28515625" bestFit="1" customWidth="1"/>
    <col min="5904" max="5904" width="11.5703125" bestFit="1" customWidth="1"/>
    <col min="5905" max="5905" width="9.28515625" bestFit="1" customWidth="1"/>
    <col min="5906" max="5906" width="11.5703125" bestFit="1" customWidth="1"/>
    <col min="5907" max="5907" width="9.28515625" bestFit="1" customWidth="1"/>
    <col min="5908" max="5908" width="11.5703125" bestFit="1" customWidth="1"/>
    <col min="5909" max="5909" width="9.28515625" bestFit="1" customWidth="1"/>
    <col min="5910" max="5910" width="11.5703125" bestFit="1" customWidth="1"/>
    <col min="5911" max="5911" width="9.28515625" bestFit="1" customWidth="1"/>
    <col min="5912" max="5912" width="11.5703125" bestFit="1" customWidth="1"/>
    <col min="5913" max="5913" width="9.28515625" bestFit="1" customWidth="1"/>
    <col min="5914" max="5914" width="11.5703125" bestFit="1" customWidth="1"/>
    <col min="5915" max="5915" width="9.28515625" bestFit="1" customWidth="1"/>
    <col min="5916" max="5916" width="11.5703125" bestFit="1" customWidth="1"/>
    <col min="5917" max="5917" width="9.28515625" bestFit="1" customWidth="1"/>
    <col min="5918" max="5918" width="11.5703125" bestFit="1" customWidth="1"/>
    <col min="5919" max="5919" width="9.28515625" bestFit="1" customWidth="1"/>
    <col min="5920" max="5920" width="11.5703125" bestFit="1" customWidth="1"/>
    <col min="5921" max="5921" width="9.28515625" bestFit="1" customWidth="1"/>
    <col min="5922" max="5922" width="11.5703125" bestFit="1" customWidth="1"/>
    <col min="5923" max="5923" width="9.28515625" bestFit="1" customWidth="1"/>
    <col min="5924" max="5924" width="11.5703125" bestFit="1" customWidth="1"/>
    <col min="5925" max="5925" width="9.28515625" bestFit="1" customWidth="1"/>
    <col min="5926" max="5926" width="11.5703125" bestFit="1" customWidth="1"/>
    <col min="5927" max="5927" width="9.28515625" bestFit="1" customWidth="1"/>
    <col min="5928" max="5928" width="11.5703125" bestFit="1" customWidth="1"/>
    <col min="5929" max="5929" width="9.28515625" bestFit="1" customWidth="1"/>
    <col min="5930" max="5930" width="11.5703125" bestFit="1" customWidth="1"/>
    <col min="5931" max="5931" width="9.28515625" bestFit="1" customWidth="1"/>
    <col min="5932" max="5932" width="11.5703125" bestFit="1" customWidth="1"/>
    <col min="5933" max="5933" width="9.28515625" bestFit="1" customWidth="1"/>
    <col min="5934" max="5934" width="11.5703125" bestFit="1" customWidth="1"/>
    <col min="5935" max="5935" width="9.28515625" bestFit="1" customWidth="1"/>
    <col min="5936" max="5936" width="11.5703125" bestFit="1" customWidth="1"/>
    <col min="5937" max="5937" width="9.28515625" bestFit="1" customWidth="1"/>
    <col min="5938" max="5938" width="11.5703125" bestFit="1" customWidth="1"/>
    <col min="5939" max="5939" width="9.28515625" bestFit="1" customWidth="1"/>
    <col min="6147" max="6147" width="29.42578125" bestFit="1" customWidth="1"/>
    <col min="6148" max="6148" width="11.5703125" bestFit="1" customWidth="1"/>
    <col min="6149" max="6149" width="9.28515625" bestFit="1" customWidth="1"/>
    <col min="6150" max="6150" width="11.5703125" bestFit="1" customWidth="1"/>
    <col min="6151" max="6151" width="9.28515625" bestFit="1" customWidth="1"/>
    <col min="6152" max="6152" width="11.5703125" bestFit="1" customWidth="1"/>
    <col min="6153" max="6153" width="9.28515625" bestFit="1" customWidth="1"/>
    <col min="6154" max="6154" width="11.5703125" bestFit="1" customWidth="1"/>
    <col min="6155" max="6155" width="9.28515625" bestFit="1" customWidth="1"/>
    <col min="6156" max="6156" width="11.5703125" bestFit="1" customWidth="1"/>
    <col min="6157" max="6157" width="9.28515625" bestFit="1" customWidth="1"/>
    <col min="6158" max="6158" width="11.5703125" bestFit="1" customWidth="1"/>
    <col min="6159" max="6159" width="9.28515625" bestFit="1" customWidth="1"/>
    <col min="6160" max="6160" width="11.5703125" bestFit="1" customWidth="1"/>
    <col min="6161" max="6161" width="9.28515625" bestFit="1" customWidth="1"/>
    <col min="6162" max="6162" width="11.5703125" bestFit="1" customWidth="1"/>
    <col min="6163" max="6163" width="9.28515625" bestFit="1" customWidth="1"/>
    <col min="6164" max="6164" width="11.5703125" bestFit="1" customWidth="1"/>
    <col min="6165" max="6165" width="9.28515625" bestFit="1" customWidth="1"/>
    <col min="6166" max="6166" width="11.5703125" bestFit="1" customWidth="1"/>
    <col min="6167" max="6167" width="9.28515625" bestFit="1" customWidth="1"/>
    <col min="6168" max="6168" width="11.5703125" bestFit="1" customWidth="1"/>
    <col min="6169" max="6169" width="9.28515625" bestFit="1" customWidth="1"/>
    <col min="6170" max="6170" width="11.5703125" bestFit="1" customWidth="1"/>
    <col min="6171" max="6171" width="9.28515625" bestFit="1" customWidth="1"/>
    <col min="6172" max="6172" width="11.5703125" bestFit="1" customWidth="1"/>
    <col min="6173" max="6173" width="9.28515625" bestFit="1" customWidth="1"/>
    <col min="6174" max="6174" width="11.5703125" bestFit="1" customWidth="1"/>
    <col min="6175" max="6175" width="9.28515625" bestFit="1" customWidth="1"/>
    <col min="6176" max="6176" width="11.5703125" bestFit="1" customWidth="1"/>
    <col min="6177" max="6177" width="9.28515625" bestFit="1" customWidth="1"/>
    <col min="6178" max="6178" width="11.5703125" bestFit="1" customWidth="1"/>
    <col min="6179" max="6179" width="9.28515625" bestFit="1" customWidth="1"/>
    <col min="6180" max="6180" width="11.5703125" bestFit="1" customWidth="1"/>
    <col min="6181" max="6181" width="9.28515625" bestFit="1" customWidth="1"/>
    <col min="6182" max="6182" width="11.5703125" bestFit="1" customWidth="1"/>
    <col min="6183" max="6183" width="9.28515625" bestFit="1" customWidth="1"/>
    <col min="6184" max="6184" width="11.5703125" bestFit="1" customWidth="1"/>
    <col min="6185" max="6185" width="9.28515625" bestFit="1" customWidth="1"/>
    <col min="6186" max="6186" width="11.5703125" bestFit="1" customWidth="1"/>
    <col min="6187" max="6187" width="9.28515625" bestFit="1" customWidth="1"/>
    <col min="6188" max="6188" width="11.5703125" bestFit="1" customWidth="1"/>
    <col min="6189" max="6189" width="9.28515625" bestFit="1" customWidth="1"/>
    <col min="6190" max="6190" width="11.5703125" bestFit="1" customWidth="1"/>
    <col min="6191" max="6191" width="9.28515625" bestFit="1" customWidth="1"/>
    <col min="6192" max="6192" width="11.5703125" bestFit="1" customWidth="1"/>
    <col min="6193" max="6193" width="9.28515625" bestFit="1" customWidth="1"/>
    <col min="6194" max="6194" width="11.5703125" bestFit="1" customWidth="1"/>
    <col min="6195" max="6195" width="9.28515625" bestFit="1" customWidth="1"/>
    <col min="6403" max="6403" width="29.42578125" bestFit="1" customWidth="1"/>
    <col min="6404" max="6404" width="11.5703125" bestFit="1" customWidth="1"/>
    <col min="6405" max="6405" width="9.28515625" bestFit="1" customWidth="1"/>
    <col min="6406" max="6406" width="11.5703125" bestFit="1" customWidth="1"/>
    <col min="6407" max="6407" width="9.28515625" bestFit="1" customWidth="1"/>
    <col min="6408" max="6408" width="11.5703125" bestFit="1" customWidth="1"/>
    <col min="6409" max="6409" width="9.28515625" bestFit="1" customWidth="1"/>
    <col min="6410" max="6410" width="11.5703125" bestFit="1" customWidth="1"/>
    <col min="6411" max="6411" width="9.28515625" bestFit="1" customWidth="1"/>
    <col min="6412" max="6412" width="11.5703125" bestFit="1" customWidth="1"/>
    <col min="6413" max="6413" width="9.28515625" bestFit="1" customWidth="1"/>
    <col min="6414" max="6414" width="11.5703125" bestFit="1" customWidth="1"/>
    <col min="6415" max="6415" width="9.28515625" bestFit="1" customWidth="1"/>
    <col min="6416" max="6416" width="11.5703125" bestFit="1" customWidth="1"/>
    <col min="6417" max="6417" width="9.28515625" bestFit="1" customWidth="1"/>
    <col min="6418" max="6418" width="11.5703125" bestFit="1" customWidth="1"/>
    <col min="6419" max="6419" width="9.28515625" bestFit="1" customWidth="1"/>
    <col min="6420" max="6420" width="11.5703125" bestFit="1" customWidth="1"/>
    <col min="6421" max="6421" width="9.28515625" bestFit="1" customWidth="1"/>
    <col min="6422" max="6422" width="11.5703125" bestFit="1" customWidth="1"/>
    <col min="6423" max="6423" width="9.28515625" bestFit="1" customWidth="1"/>
    <col min="6424" max="6424" width="11.5703125" bestFit="1" customWidth="1"/>
    <col min="6425" max="6425" width="9.28515625" bestFit="1" customWidth="1"/>
    <col min="6426" max="6426" width="11.5703125" bestFit="1" customWidth="1"/>
    <col min="6427" max="6427" width="9.28515625" bestFit="1" customWidth="1"/>
    <col min="6428" max="6428" width="11.5703125" bestFit="1" customWidth="1"/>
    <col min="6429" max="6429" width="9.28515625" bestFit="1" customWidth="1"/>
    <col min="6430" max="6430" width="11.5703125" bestFit="1" customWidth="1"/>
    <col min="6431" max="6431" width="9.28515625" bestFit="1" customWidth="1"/>
    <col min="6432" max="6432" width="11.5703125" bestFit="1" customWidth="1"/>
    <col min="6433" max="6433" width="9.28515625" bestFit="1" customWidth="1"/>
    <col min="6434" max="6434" width="11.5703125" bestFit="1" customWidth="1"/>
    <col min="6435" max="6435" width="9.28515625" bestFit="1" customWidth="1"/>
    <col min="6436" max="6436" width="11.5703125" bestFit="1" customWidth="1"/>
    <col min="6437" max="6437" width="9.28515625" bestFit="1" customWidth="1"/>
    <col min="6438" max="6438" width="11.5703125" bestFit="1" customWidth="1"/>
    <col min="6439" max="6439" width="9.28515625" bestFit="1" customWidth="1"/>
    <col min="6440" max="6440" width="11.5703125" bestFit="1" customWidth="1"/>
    <col min="6441" max="6441" width="9.28515625" bestFit="1" customWidth="1"/>
    <col min="6442" max="6442" width="11.5703125" bestFit="1" customWidth="1"/>
    <col min="6443" max="6443" width="9.28515625" bestFit="1" customWidth="1"/>
    <col min="6444" max="6444" width="11.5703125" bestFit="1" customWidth="1"/>
    <col min="6445" max="6445" width="9.28515625" bestFit="1" customWidth="1"/>
    <col min="6446" max="6446" width="11.5703125" bestFit="1" customWidth="1"/>
    <col min="6447" max="6447" width="9.28515625" bestFit="1" customWidth="1"/>
    <col min="6448" max="6448" width="11.5703125" bestFit="1" customWidth="1"/>
    <col min="6449" max="6449" width="9.28515625" bestFit="1" customWidth="1"/>
    <col min="6450" max="6450" width="11.5703125" bestFit="1" customWidth="1"/>
    <col min="6451" max="6451" width="9.28515625" bestFit="1" customWidth="1"/>
    <col min="6659" max="6659" width="29.42578125" bestFit="1" customWidth="1"/>
    <col min="6660" max="6660" width="11.5703125" bestFit="1" customWidth="1"/>
    <col min="6661" max="6661" width="9.28515625" bestFit="1" customWidth="1"/>
    <col min="6662" max="6662" width="11.5703125" bestFit="1" customWidth="1"/>
    <col min="6663" max="6663" width="9.28515625" bestFit="1" customWidth="1"/>
    <col min="6664" max="6664" width="11.5703125" bestFit="1" customWidth="1"/>
    <col min="6665" max="6665" width="9.28515625" bestFit="1" customWidth="1"/>
    <col min="6666" max="6666" width="11.5703125" bestFit="1" customWidth="1"/>
    <col min="6667" max="6667" width="9.28515625" bestFit="1" customWidth="1"/>
    <col min="6668" max="6668" width="11.5703125" bestFit="1" customWidth="1"/>
    <col min="6669" max="6669" width="9.28515625" bestFit="1" customWidth="1"/>
    <col min="6670" max="6670" width="11.5703125" bestFit="1" customWidth="1"/>
    <col min="6671" max="6671" width="9.28515625" bestFit="1" customWidth="1"/>
    <col min="6672" max="6672" width="11.5703125" bestFit="1" customWidth="1"/>
    <col min="6673" max="6673" width="9.28515625" bestFit="1" customWidth="1"/>
    <col min="6674" max="6674" width="11.5703125" bestFit="1" customWidth="1"/>
    <col min="6675" max="6675" width="9.28515625" bestFit="1" customWidth="1"/>
    <col min="6676" max="6676" width="11.5703125" bestFit="1" customWidth="1"/>
    <col min="6677" max="6677" width="9.28515625" bestFit="1" customWidth="1"/>
    <col min="6678" max="6678" width="11.5703125" bestFit="1" customWidth="1"/>
    <col min="6679" max="6679" width="9.28515625" bestFit="1" customWidth="1"/>
    <col min="6680" max="6680" width="11.5703125" bestFit="1" customWidth="1"/>
    <col min="6681" max="6681" width="9.28515625" bestFit="1" customWidth="1"/>
    <col min="6682" max="6682" width="11.5703125" bestFit="1" customWidth="1"/>
    <col min="6683" max="6683" width="9.28515625" bestFit="1" customWidth="1"/>
    <col min="6684" max="6684" width="11.5703125" bestFit="1" customWidth="1"/>
    <col min="6685" max="6685" width="9.28515625" bestFit="1" customWidth="1"/>
    <col min="6686" max="6686" width="11.5703125" bestFit="1" customWidth="1"/>
    <col min="6687" max="6687" width="9.28515625" bestFit="1" customWidth="1"/>
    <col min="6688" max="6688" width="11.5703125" bestFit="1" customWidth="1"/>
    <col min="6689" max="6689" width="9.28515625" bestFit="1" customWidth="1"/>
    <col min="6690" max="6690" width="11.5703125" bestFit="1" customWidth="1"/>
    <col min="6691" max="6691" width="9.28515625" bestFit="1" customWidth="1"/>
    <col min="6692" max="6692" width="11.5703125" bestFit="1" customWidth="1"/>
    <col min="6693" max="6693" width="9.28515625" bestFit="1" customWidth="1"/>
    <col min="6694" max="6694" width="11.5703125" bestFit="1" customWidth="1"/>
    <col min="6695" max="6695" width="9.28515625" bestFit="1" customWidth="1"/>
    <col min="6696" max="6696" width="11.5703125" bestFit="1" customWidth="1"/>
    <col min="6697" max="6697" width="9.28515625" bestFit="1" customWidth="1"/>
    <col min="6698" max="6698" width="11.5703125" bestFit="1" customWidth="1"/>
    <col min="6699" max="6699" width="9.28515625" bestFit="1" customWidth="1"/>
    <col min="6700" max="6700" width="11.5703125" bestFit="1" customWidth="1"/>
    <col min="6701" max="6701" width="9.28515625" bestFit="1" customWidth="1"/>
    <col min="6702" max="6702" width="11.5703125" bestFit="1" customWidth="1"/>
    <col min="6703" max="6703" width="9.28515625" bestFit="1" customWidth="1"/>
    <col min="6704" max="6704" width="11.5703125" bestFit="1" customWidth="1"/>
    <col min="6705" max="6705" width="9.28515625" bestFit="1" customWidth="1"/>
    <col min="6706" max="6706" width="11.5703125" bestFit="1" customWidth="1"/>
    <col min="6707" max="6707" width="9.28515625" bestFit="1" customWidth="1"/>
    <col min="6915" max="6915" width="29.42578125" bestFit="1" customWidth="1"/>
    <col min="6916" max="6916" width="11.5703125" bestFit="1" customWidth="1"/>
    <col min="6917" max="6917" width="9.28515625" bestFit="1" customWidth="1"/>
    <col min="6918" max="6918" width="11.5703125" bestFit="1" customWidth="1"/>
    <col min="6919" max="6919" width="9.28515625" bestFit="1" customWidth="1"/>
    <col min="6920" max="6920" width="11.5703125" bestFit="1" customWidth="1"/>
    <col min="6921" max="6921" width="9.28515625" bestFit="1" customWidth="1"/>
    <col min="6922" max="6922" width="11.5703125" bestFit="1" customWidth="1"/>
    <col min="6923" max="6923" width="9.28515625" bestFit="1" customWidth="1"/>
    <col min="6924" max="6924" width="11.5703125" bestFit="1" customWidth="1"/>
    <col min="6925" max="6925" width="9.28515625" bestFit="1" customWidth="1"/>
    <col min="6926" max="6926" width="11.5703125" bestFit="1" customWidth="1"/>
    <col min="6927" max="6927" width="9.28515625" bestFit="1" customWidth="1"/>
    <col min="6928" max="6928" width="11.5703125" bestFit="1" customWidth="1"/>
    <col min="6929" max="6929" width="9.28515625" bestFit="1" customWidth="1"/>
    <col min="6930" max="6930" width="11.5703125" bestFit="1" customWidth="1"/>
    <col min="6931" max="6931" width="9.28515625" bestFit="1" customWidth="1"/>
    <col min="6932" max="6932" width="11.5703125" bestFit="1" customWidth="1"/>
    <col min="6933" max="6933" width="9.28515625" bestFit="1" customWidth="1"/>
    <col min="6934" max="6934" width="11.5703125" bestFit="1" customWidth="1"/>
    <col min="6935" max="6935" width="9.28515625" bestFit="1" customWidth="1"/>
    <col min="6936" max="6936" width="11.5703125" bestFit="1" customWidth="1"/>
    <col min="6937" max="6937" width="9.28515625" bestFit="1" customWidth="1"/>
    <col min="6938" max="6938" width="11.5703125" bestFit="1" customWidth="1"/>
    <col min="6939" max="6939" width="9.28515625" bestFit="1" customWidth="1"/>
    <col min="6940" max="6940" width="11.5703125" bestFit="1" customWidth="1"/>
    <col min="6941" max="6941" width="9.28515625" bestFit="1" customWidth="1"/>
    <col min="6942" max="6942" width="11.5703125" bestFit="1" customWidth="1"/>
    <col min="6943" max="6943" width="9.28515625" bestFit="1" customWidth="1"/>
    <col min="6944" max="6944" width="11.5703125" bestFit="1" customWidth="1"/>
    <col min="6945" max="6945" width="9.28515625" bestFit="1" customWidth="1"/>
    <col min="6946" max="6946" width="11.5703125" bestFit="1" customWidth="1"/>
    <col min="6947" max="6947" width="9.28515625" bestFit="1" customWidth="1"/>
    <col min="6948" max="6948" width="11.5703125" bestFit="1" customWidth="1"/>
    <col min="6949" max="6949" width="9.28515625" bestFit="1" customWidth="1"/>
    <col min="6950" max="6950" width="11.5703125" bestFit="1" customWidth="1"/>
    <col min="6951" max="6951" width="9.28515625" bestFit="1" customWidth="1"/>
    <col min="6952" max="6952" width="11.5703125" bestFit="1" customWidth="1"/>
    <col min="6953" max="6953" width="9.28515625" bestFit="1" customWidth="1"/>
    <col min="6954" max="6954" width="11.5703125" bestFit="1" customWidth="1"/>
    <col min="6955" max="6955" width="9.28515625" bestFit="1" customWidth="1"/>
    <col min="6956" max="6956" width="11.5703125" bestFit="1" customWidth="1"/>
    <col min="6957" max="6957" width="9.28515625" bestFit="1" customWidth="1"/>
    <col min="6958" max="6958" width="11.5703125" bestFit="1" customWidth="1"/>
    <col min="6959" max="6959" width="9.28515625" bestFit="1" customWidth="1"/>
    <col min="6960" max="6960" width="11.5703125" bestFit="1" customWidth="1"/>
    <col min="6961" max="6961" width="9.28515625" bestFit="1" customWidth="1"/>
    <col min="6962" max="6962" width="11.5703125" bestFit="1" customWidth="1"/>
    <col min="6963" max="6963" width="9.28515625" bestFit="1" customWidth="1"/>
    <col min="7171" max="7171" width="29.42578125" bestFit="1" customWidth="1"/>
    <col min="7172" max="7172" width="11.5703125" bestFit="1" customWidth="1"/>
    <col min="7173" max="7173" width="9.28515625" bestFit="1" customWidth="1"/>
    <col min="7174" max="7174" width="11.5703125" bestFit="1" customWidth="1"/>
    <col min="7175" max="7175" width="9.28515625" bestFit="1" customWidth="1"/>
    <col min="7176" max="7176" width="11.5703125" bestFit="1" customWidth="1"/>
    <col min="7177" max="7177" width="9.28515625" bestFit="1" customWidth="1"/>
    <col min="7178" max="7178" width="11.5703125" bestFit="1" customWidth="1"/>
    <col min="7179" max="7179" width="9.28515625" bestFit="1" customWidth="1"/>
    <col min="7180" max="7180" width="11.5703125" bestFit="1" customWidth="1"/>
    <col min="7181" max="7181" width="9.28515625" bestFit="1" customWidth="1"/>
    <col min="7182" max="7182" width="11.5703125" bestFit="1" customWidth="1"/>
    <col min="7183" max="7183" width="9.28515625" bestFit="1" customWidth="1"/>
    <col min="7184" max="7184" width="11.5703125" bestFit="1" customWidth="1"/>
    <col min="7185" max="7185" width="9.28515625" bestFit="1" customWidth="1"/>
    <col min="7186" max="7186" width="11.5703125" bestFit="1" customWidth="1"/>
    <col min="7187" max="7187" width="9.28515625" bestFit="1" customWidth="1"/>
    <col min="7188" max="7188" width="11.5703125" bestFit="1" customWidth="1"/>
    <col min="7189" max="7189" width="9.28515625" bestFit="1" customWidth="1"/>
    <col min="7190" max="7190" width="11.5703125" bestFit="1" customWidth="1"/>
    <col min="7191" max="7191" width="9.28515625" bestFit="1" customWidth="1"/>
    <col min="7192" max="7192" width="11.5703125" bestFit="1" customWidth="1"/>
    <col min="7193" max="7193" width="9.28515625" bestFit="1" customWidth="1"/>
    <col min="7194" max="7194" width="11.5703125" bestFit="1" customWidth="1"/>
    <col min="7195" max="7195" width="9.28515625" bestFit="1" customWidth="1"/>
    <col min="7196" max="7196" width="11.5703125" bestFit="1" customWidth="1"/>
    <col min="7197" max="7197" width="9.28515625" bestFit="1" customWidth="1"/>
    <col min="7198" max="7198" width="11.5703125" bestFit="1" customWidth="1"/>
    <col min="7199" max="7199" width="9.28515625" bestFit="1" customWidth="1"/>
    <col min="7200" max="7200" width="11.5703125" bestFit="1" customWidth="1"/>
    <col min="7201" max="7201" width="9.28515625" bestFit="1" customWidth="1"/>
    <col min="7202" max="7202" width="11.5703125" bestFit="1" customWidth="1"/>
    <col min="7203" max="7203" width="9.28515625" bestFit="1" customWidth="1"/>
    <col min="7204" max="7204" width="11.5703125" bestFit="1" customWidth="1"/>
    <col min="7205" max="7205" width="9.28515625" bestFit="1" customWidth="1"/>
    <col min="7206" max="7206" width="11.5703125" bestFit="1" customWidth="1"/>
    <col min="7207" max="7207" width="9.28515625" bestFit="1" customWidth="1"/>
    <col min="7208" max="7208" width="11.5703125" bestFit="1" customWidth="1"/>
    <col min="7209" max="7209" width="9.28515625" bestFit="1" customWidth="1"/>
    <col min="7210" max="7210" width="11.5703125" bestFit="1" customWidth="1"/>
    <col min="7211" max="7211" width="9.28515625" bestFit="1" customWidth="1"/>
    <col min="7212" max="7212" width="11.5703125" bestFit="1" customWidth="1"/>
    <col min="7213" max="7213" width="9.28515625" bestFit="1" customWidth="1"/>
    <col min="7214" max="7214" width="11.5703125" bestFit="1" customWidth="1"/>
    <col min="7215" max="7215" width="9.28515625" bestFit="1" customWidth="1"/>
    <col min="7216" max="7216" width="11.5703125" bestFit="1" customWidth="1"/>
    <col min="7217" max="7217" width="9.28515625" bestFit="1" customWidth="1"/>
    <col min="7218" max="7218" width="11.5703125" bestFit="1" customWidth="1"/>
    <col min="7219" max="7219" width="9.28515625" bestFit="1" customWidth="1"/>
    <col min="7427" max="7427" width="29.42578125" bestFit="1" customWidth="1"/>
    <col min="7428" max="7428" width="11.5703125" bestFit="1" customWidth="1"/>
    <col min="7429" max="7429" width="9.28515625" bestFit="1" customWidth="1"/>
    <col min="7430" max="7430" width="11.5703125" bestFit="1" customWidth="1"/>
    <col min="7431" max="7431" width="9.28515625" bestFit="1" customWidth="1"/>
    <col min="7432" max="7432" width="11.5703125" bestFit="1" customWidth="1"/>
    <col min="7433" max="7433" width="9.28515625" bestFit="1" customWidth="1"/>
    <col min="7434" max="7434" width="11.5703125" bestFit="1" customWidth="1"/>
    <col min="7435" max="7435" width="9.28515625" bestFit="1" customWidth="1"/>
    <col min="7436" max="7436" width="11.5703125" bestFit="1" customWidth="1"/>
    <col min="7437" max="7437" width="9.28515625" bestFit="1" customWidth="1"/>
    <col min="7438" max="7438" width="11.5703125" bestFit="1" customWidth="1"/>
    <col min="7439" max="7439" width="9.28515625" bestFit="1" customWidth="1"/>
    <col min="7440" max="7440" width="11.5703125" bestFit="1" customWidth="1"/>
    <col min="7441" max="7441" width="9.28515625" bestFit="1" customWidth="1"/>
    <col min="7442" max="7442" width="11.5703125" bestFit="1" customWidth="1"/>
    <col min="7443" max="7443" width="9.28515625" bestFit="1" customWidth="1"/>
    <col min="7444" max="7444" width="11.5703125" bestFit="1" customWidth="1"/>
    <col min="7445" max="7445" width="9.28515625" bestFit="1" customWidth="1"/>
    <col min="7446" max="7446" width="11.5703125" bestFit="1" customWidth="1"/>
    <col min="7447" max="7447" width="9.28515625" bestFit="1" customWidth="1"/>
    <col min="7448" max="7448" width="11.5703125" bestFit="1" customWidth="1"/>
    <col min="7449" max="7449" width="9.28515625" bestFit="1" customWidth="1"/>
    <col min="7450" max="7450" width="11.5703125" bestFit="1" customWidth="1"/>
    <col min="7451" max="7451" width="9.28515625" bestFit="1" customWidth="1"/>
    <col min="7452" max="7452" width="11.5703125" bestFit="1" customWidth="1"/>
    <col min="7453" max="7453" width="9.28515625" bestFit="1" customWidth="1"/>
    <col min="7454" max="7454" width="11.5703125" bestFit="1" customWidth="1"/>
    <col min="7455" max="7455" width="9.28515625" bestFit="1" customWidth="1"/>
    <col min="7456" max="7456" width="11.5703125" bestFit="1" customWidth="1"/>
    <col min="7457" max="7457" width="9.28515625" bestFit="1" customWidth="1"/>
    <col min="7458" max="7458" width="11.5703125" bestFit="1" customWidth="1"/>
    <col min="7459" max="7459" width="9.28515625" bestFit="1" customWidth="1"/>
    <col min="7460" max="7460" width="11.5703125" bestFit="1" customWidth="1"/>
    <col min="7461" max="7461" width="9.28515625" bestFit="1" customWidth="1"/>
    <col min="7462" max="7462" width="11.5703125" bestFit="1" customWidth="1"/>
    <col min="7463" max="7463" width="9.28515625" bestFit="1" customWidth="1"/>
    <col min="7464" max="7464" width="11.5703125" bestFit="1" customWidth="1"/>
    <col min="7465" max="7465" width="9.28515625" bestFit="1" customWidth="1"/>
    <col min="7466" max="7466" width="11.5703125" bestFit="1" customWidth="1"/>
    <col min="7467" max="7467" width="9.28515625" bestFit="1" customWidth="1"/>
    <col min="7468" max="7468" width="11.5703125" bestFit="1" customWidth="1"/>
    <col min="7469" max="7469" width="9.28515625" bestFit="1" customWidth="1"/>
    <col min="7470" max="7470" width="11.5703125" bestFit="1" customWidth="1"/>
    <col min="7471" max="7471" width="9.28515625" bestFit="1" customWidth="1"/>
    <col min="7472" max="7472" width="11.5703125" bestFit="1" customWidth="1"/>
    <col min="7473" max="7473" width="9.28515625" bestFit="1" customWidth="1"/>
    <col min="7474" max="7474" width="11.5703125" bestFit="1" customWidth="1"/>
    <col min="7475" max="7475" width="9.28515625" bestFit="1" customWidth="1"/>
    <col min="7683" max="7683" width="29.42578125" bestFit="1" customWidth="1"/>
    <col min="7684" max="7684" width="11.5703125" bestFit="1" customWidth="1"/>
    <col min="7685" max="7685" width="9.28515625" bestFit="1" customWidth="1"/>
    <col min="7686" max="7686" width="11.5703125" bestFit="1" customWidth="1"/>
    <col min="7687" max="7687" width="9.28515625" bestFit="1" customWidth="1"/>
    <col min="7688" max="7688" width="11.5703125" bestFit="1" customWidth="1"/>
    <col min="7689" max="7689" width="9.28515625" bestFit="1" customWidth="1"/>
    <col min="7690" max="7690" width="11.5703125" bestFit="1" customWidth="1"/>
    <col min="7691" max="7691" width="9.28515625" bestFit="1" customWidth="1"/>
    <col min="7692" max="7692" width="11.5703125" bestFit="1" customWidth="1"/>
    <col min="7693" max="7693" width="9.28515625" bestFit="1" customWidth="1"/>
    <col min="7694" max="7694" width="11.5703125" bestFit="1" customWidth="1"/>
    <col min="7695" max="7695" width="9.28515625" bestFit="1" customWidth="1"/>
    <col min="7696" max="7696" width="11.5703125" bestFit="1" customWidth="1"/>
    <col min="7697" max="7697" width="9.28515625" bestFit="1" customWidth="1"/>
    <col min="7698" max="7698" width="11.5703125" bestFit="1" customWidth="1"/>
    <col min="7699" max="7699" width="9.28515625" bestFit="1" customWidth="1"/>
    <col min="7700" max="7700" width="11.5703125" bestFit="1" customWidth="1"/>
    <col min="7701" max="7701" width="9.28515625" bestFit="1" customWidth="1"/>
    <col min="7702" max="7702" width="11.5703125" bestFit="1" customWidth="1"/>
    <col min="7703" max="7703" width="9.28515625" bestFit="1" customWidth="1"/>
    <col min="7704" max="7704" width="11.5703125" bestFit="1" customWidth="1"/>
    <col min="7705" max="7705" width="9.28515625" bestFit="1" customWidth="1"/>
    <col min="7706" max="7706" width="11.5703125" bestFit="1" customWidth="1"/>
    <col min="7707" max="7707" width="9.28515625" bestFit="1" customWidth="1"/>
    <col min="7708" max="7708" width="11.5703125" bestFit="1" customWidth="1"/>
    <col min="7709" max="7709" width="9.28515625" bestFit="1" customWidth="1"/>
    <col min="7710" max="7710" width="11.5703125" bestFit="1" customWidth="1"/>
    <col min="7711" max="7711" width="9.28515625" bestFit="1" customWidth="1"/>
    <col min="7712" max="7712" width="11.5703125" bestFit="1" customWidth="1"/>
    <col min="7713" max="7713" width="9.28515625" bestFit="1" customWidth="1"/>
    <col min="7714" max="7714" width="11.5703125" bestFit="1" customWidth="1"/>
    <col min="7715" max="7715" width="9.28515625" bestFit="1" customWidth="1"/>
    <col min="7716" max="7716" width="11.5703125" bestFit="1" customWidth="1"/>
    <col min="7717" max="7717" width="9.28515625" bestFit="1" customWidth="1"/>
    <col min="7718" max="7718" width="11.5703125" bestFit="1" customWidth="1"/>
    <col min="7719" max="7719" width="9.28515625" bestFit="1" customWidth="1"/>
    <col min="7720" max="7720" width="11.5703125" bestFit="1" customWidth="1"/>
    <col min="7721" max="7721" width="9.28515625" bestFit="1" customWidth="1"/>
    <col min="7722" max="7722" width="11.5703125" bestFit="1" customWidth="1"/>
    <col min="7723" max="7723" width="9.28515625" bestFit="1" customWidth="1"/>
    <col min="7724" max="7724" width="11.5703125" bestFit="1" customWidth="1"/>
    <col min="7725" max="7725" width="9.28515625" bestFit="1" customWidth="1"/>
    <col min="7726" max="7726" width="11.5703125" bestFit="1" customWidth="1"/>
    <col min="7727" max="7727" width="9.28515625" bestFit="1" customWidth="1"/>
    <col min="7728" max="7728" width="11.5703125" bestFit="1" customWidth="1"/>
    <col min="7729" max="7729" width="9.28515625" bestFit="1" customWidth="1"/>
    <col min="7730" max="7730" width="11.5703125" bestFit="1" customWidth="1"/>
    <col min="7731" max="7731" width="9.28515625" bestFit="1" customWidth="1"/>
    <col min="7939" max="7939" width="29.42578125" bestFit="1" customWidth="1"/>
    <col min="7940" max="7940" width="11.5703125" bestFit="1" customWidth="1"/>
    <col min="7941" max="7941" width="9.28515625" bestFit="1" customWidth="1"/>
    <col min="7942" max="7942" width="11.5703125" bestFit="1" customWidth="1"/>
    <col min="7943" max="7943" width="9.28515625" bestFit="1" customWidth="1"/>
    <col min="7944" max="7944" width="11.5703125" bestFit="1" customWidth="1"/>
    <col min="7945" max="7945" width="9.28515625" bestFit="1" customWidth="1"/>
    <col min="7946" max="7946" width="11.5703125" bestFit="1" customWidth="1"/>
    <col min="7947" max="7947" width="9.28515625" bestFit="1" customWidth="1"/>
    <col min="7948" max="7948" width="11.5703125" bestFit="1" customWidth="1"/>
    <col min="7949" max="7949" width="9.28515625" bestFit="1" customWidth="1"/>
    <col min="7950" max="7950" width="11.5703125" bestFit="1" customWidth="1"/>
    <col min="7951" max="7951" width="9.28515625" bestFit="1" customWidth="1"/>
    <col min="7952" max="7952" width="11.5703125" bestFit="1" customWidth="1"/>
    <col min="7953" max="7953" width="9.28515625" bestFit="1" customWidth="1"/>
    <col min="7954" max="7954" width="11.5703125" bestFit="1" customWidth="1"/>
    <col min="7955" max="7955" width="9.28515625" bestFit="1" customWidth="1"/>
    <col min="7956" max="7956" width="11.5703125" bestFit="1" customWidth="1"/>
    <col min="7957" max="7957" width="9.28515625" bestFit="1" customWidth="1"/>
    <col min="7958" max="7958" width="11.5703125" bestFit="1" customWidth="1"/>
    <col min="7959" max="7959" width="9.28515625" bestFit="1" customWidth="1"/>
    <col min="7960" max="7960" width="11.5703125" bestFit="1" customWidth="1"/>
    <col min="7961" max="7961" width="9.28515625" bestFit="1" customWidth="1"/>
    <col min="7962" max="7962" width="11.5703125" bestFit="1" customWidth="1"/>
    <col min="7963" max="7963" width="9.28515625" bestFit="1" customWidth="1"/>
    <col min="7964" max="7964" width="11.5703125" bestFit="1" customWidth="1"/>
    <col min="7965" max="7965" width="9.28515625" bestFit="1" customWidth="1"/>
    <col min="7966" max="7966" width="11.5703125" bestFit="1" customWidth="1"/>
    <col min="7967" max="7967" width="9.28515625" bestFit="1" customWidth="1"/>
    <col min="7968" max="7968" width="11.5703125" bestFit="1" customWidth="1"/>
    <col min="7969" max="7969" width="9.28515625" bestFit="1" customWidth="1"/>
    <col min="7970" max="7970" width="11.5703125" bestFit="1" customWidth="1"/>
    <col min="7971" max="7971" width="9.28515625" bestFit="1" customWidth="1"/>
    <col min="7972" max="7972" width="11.5703125" bestFit="1" customWidth="1"/>
    <col min="7973" max="7973" width="9.28515625" bestFit="1" customWidth="1"/>
    <col min="7974" max="7974" width="11.5703125" bestFit="1" customWidth="1"/>
    <col min="7975" max="7975" width="9.28515625" bestFit="1" customWidth="1"/>
    <col min="7976" max="7976" width="11.5703125" bestFit="1" customWidth="1"/>
    <col min="7977" max="7977" width="9.28515625" bestFit="1" customWidth="1"/>
    <col min="7978" max="7978" width="11.5703125" bestFit="1" customWidth="1"/>
    <col min="7979" max="7979" width="9.28515625" bestFit="1" customWidth="1"/>
    <col min="7980" max="7980" width="11.5703125" bestFit="1" customWidth="1"/>
    <col min="7981" max="7981" width="9.28515625" bestFit="1" customWidth="1"/>
    <col min="7982" max="7982" width="11.5703125" bestFit="1" customWidth="1"/>
    <col min="7983" max="7983" width="9.28515625" bestFit="1" customWidth="1"/>
    <col min="7984" max="7984" width="11.5703125" bestFit="1" customWidth="1"/>
    <col min="7985" max="7985" width="9.28515625" bestFit="1" customWidth="1"/>
    <col min="7986" max="7986" width="11.5703125" bestFit="1" customWidth="1"/>
    <col min="7987" max="7987" width="9.28515625" bestFit="1" customWidth="1"/>
    <col min="8195" max="8195" width="29.42578125" bestFit="1" customWidth="1"/>
    <col min="8196" max="8196" width="11.5703125" bestFit="1" customWidth="1"/>
    <col min="8197" max="8197" width="9.28515625" bestFit="1" customWidth="1"/>
    <col min="8198" max="8198" width="11.5703125" bestFit="1" customWidth="1"/>
    <col min="8199" max="8199" width="9.28515625" bestFit="1" customWidth="1"/>
    <col min="8200" max="8200" width="11.5703125" bestFit="1" customWidth="1"/>
    <col min="8201" max="8201" width="9.28515625" bestFit="1" customWidth="1"/>
    <col min="8202" max="8202" width="11.5703125" bestFit="1" customWidth="1"/>
    <col min="8203" max="8203" width="9.28515625" bestFit="1" customWidth="1"/>
    <col min="8204" max="8204" width="11.5703125" bestFit="1" customWidth="1"/>
    <col min="8205" max="8205" width="9.28515625" bestFit="1" customWidth="1"/>
    <col min="8206" max="8206" width="11.5703125" bestFit="1" customWidth="1"/>
    <col min="8207" max="8207" width="9.28515625" bestFit="1" customWidth="1"/>
    <col min="8208" max="8208" width="11.5703125" bestFit="1" customWidth="1"/>
    <col min="8209" max="8209" width="9.28515625" bestFit="1" customWidth="1"/>
    <col min="8210" max="8210" width="11.5703125" bestFit="1" customWidth="1"/>
    <col min="8211" max="8211" width="9.28515625" bestFit="1" customWidth="1"/>
    <col min="8212" max="8212" width="11.5703125" bestFit="1" customWidth="1"/>
    <col min="8213" max="8213" width="9.28515625" bestFit="1" customWidth="1"/>
    <col min="8214" max="8214" width="11.5703125" bestFit="1" customWidth="1"/>
    <col min="8215" max="8215" width="9.28515625" bestFit="1" customWidth="1"/>
    <col min="8216" max="8216" width="11.5703125" bestFit="1" customWidth="1"/>
    <col min="8217" max="8217" width="9.28515625" bestFit="1" customWidth="1"/>
    <col min="8218" max="8218" width="11.5703125" bestFit="1" customWidth="1"/>
    <col min="8219" max="8219" width="9.28515625" bestFit="1" customWidth="1"/>
    <col min="8220" max="8220" width="11.5703125" bestFit="1" customWidth="1"/>
    <col min="8221" max="8221" width="9.28515625" bestFit="1" customWidth="1"/>
    <col min="8222" max="8222" width="11.5703125" bestFit="1" customWidth="1"/>
    <col min="8223" max="8223" width="9.28515625" bestFit="1" customWidth="1"/>
    <col min="8224" max="8224" width="11.5703125" bestFit="1" customWidth="1"/>
    <col min="8225" max="8225" width="9.28515625" bestFit="1" customWidth="1"/>
    <col min="8226" max="8226" width="11.5703125" bestFit="1" customWidth="1"/>
    <col min="8227" max="8227" width="9.28515625" bestFit="1" customWidth="1"/>
    <col min="8228" max="8228" width="11.5703125" bestFit="1" customWidth="1"/>
    <col min="8229" max="8229" width="9.28515625" bestFit="1" customWidth="1"/>
    <col min="8230" max="8230" width="11.5703125" bestFit="1" customWidth="1"/>
    <col min="8231" max="8231" width="9.28515625" bestFit="1" customWidth="1"/>
    <col min="8232" max="8232" width="11.5703125" bestFit="1" customWidth="1"/>
    <col min="8233" max="8233" width="9.28515625" bestFit="1" customWidth="1"/>
    <col min="8234" max="8234" width="11.5703125" bestFit="1" customWidth="1"/>
    <col min="8235" max="8235" width="9.28515625" bestFit="1" customWidth="1"/>
    <col min="8236" max="8236" width="11.5703125" bestFit="1" customWidth="1"/>
    <col min="8237" max="8237" width="9.28515625" bestFit="1" customWidth="1"/>
    <col min="8238" max="8238" width="11.5703125" bestFit="1" customWidth="1"/>
    <col min="8239" max="8239" width="9.28515625" bestFit="1" customWidth="1"/>
    <col min="8240" max="8240" width="11.5703125" bestFit="1" customWidth="1"/>
    <col min="8241" max="8241" width="9.28515625" bestFit="1" customWidth="1"/>
    <col min="8242" max="8242" width="11.5703125" bestFit="1" customWidth="1"/>
    <col min="8243" max="8243" width="9.28515625" bestFit="1" customWidth="1"/>
    <col min="8451" max="8451" width="29.42578125" bestFit="1" customWidth="1"/>
    <col min="8452" max="8452" width="11.5703125" bestFit="1" customWidth="1"/>
    <col min="8453" max="8453" width="9.28515625" bestFit="1" customWidth="1"/>
    <col min="8454" max="8454" width="11.5703125" bestFit="1" customWidth="1"/>
    <col min="8455" max="8455" width="9.28515625" bestFit="1" customWidth="1"/>
    <col min="8456" max="8456" width="11.5703125" bestFit="1" customWidth="1"/>
    <col min="8457" max="8457" width="9.28515625" bestFit="1" customWidth="1"/>
    <col min="8458" max="8458" width="11.5703125" bestFit="1" customWidth="1"/>
    <col min="8459" max="8459" width="9.28515625" bestFit="1" customWidth="1"/>
    <col min="8460" max="8460" width="11.5703125" bestFit="1" customWidth="1"/>
    <col min="8461" max="8461" width="9.28515625" bestFit="1" customWidth="1"/>
    <col min="8462" max="8462" width="11.5703125" bestFit="1" customWidth="1"/>
    <col min="8463" max="8463" width="9.28515625" bestFit="1" customWidth="1"/>
    <col min="8464" max="8464" width="11.5703125" bestFit="1" customWidth="1"/>
    <col min="8465" max="8465" width="9.28515625" bestFit="1" customWidth="1"/>
    <col min="8466" max="8466" width="11.5703125" bestFit="1" customWidth="1"/>
    <col min="8467" max="8467" width="9.28515625" bestFit="1" customWidth="1"/>
    <col min="8468" max="8468" width="11.5703125" bestFit="1" customWidth="1"/>
    <col min="8469" max="8469" width="9.28515625" bestFit="1" customWidth="1"/>
    <col min="8470" max="8470" width="11.5703125" bestFit="1" customWidth="1"/>
    <col min="8471" max="8471" width="9.28515625" bestFit="1" customWidth="1"/>
    <col min="8472" max="8472" width="11.5703125" bestFit="1" customWidth="1"/>
    <col min="8473" max="8473" width="9.28515625" bestFit="1" customWidth="1"/>
    <col min="8474" max="8474" width="11.5703125" bestFit="1" customWidth="1"/>
    <col min="8475" max="8475" width="9.28515625" bestFit="1" customWidth="1"/>
    <col min="8476" max="8476" width="11.5703125" bestFit="1" customWidth="1"/>
    <col min="8477" max="8477" width="9.28515625" bestFit="1" customWidth="1"/>
    <col min="8478" max="8478" width="11.5703125" bestFit="1" customWidth="1"/>
    <col min="8479" max="8479" width="9.28515625" bestFit="1" customWidth="1"/>
    <col min="8480" max="8480" width="11.5703125" bestFit="1" customWidth="1"/>
    <col min="8481" max="8481" width="9.28515625" bestFit="1" customWidth="1"/>
    <col min="8482" max="8482" width="11.5703125" bestFit="1" customWidth="1"/>
    <col min="8483" max="8483" width="9.28515625" bestFit="1" customWidth="1"/>
    <col min="8484" max="8484" width="11.5703125" bestFit="1" customWidth="1"/>
    <col min="8485" max="8485" width="9.28515625" bestFit="1" customWidth="1"/>
    <col min="8486" max="8486" width="11.5703125" bestFit="1" customWidth="1"/>
    <col min="8487" max="8487" width="9.28515625" bestFit="1" customWidth="1"/>
    <col min="8488" max="8488" width="11.5703125" bestFit="1" customWidth="1"/>
    <col min="8489" max="8489" width="9.28515625" bestFit="1" customWidth="1"/>
    <col min="8490" max="8490" width="11.5703125" bestFit="1" customWidth="1"/>
    <col min="8491" max="8491" width="9.28515625" bestFit="1" customWidth="1"/>
    <col min="8492" max="8492" width="11.5703125" bestFit="1" customWidth="1"/>
    <col min="8493" max="8493" width="9.28515625" bestFit="1" customWidth="1"/>
    <col min="8494" max="8494" width="11.5703125" bestFit="1" customWidth="1"/>
    <col min="8495" max="8495" width="9.28515625" bestFit="1" customWidth="1"/>
    <col min="8496" max="8496" width="11.5703125" bestFit="1" customWidth="1"/>
    <col min="8497" max="8497" width="9.28515625" bestFit="1" customWidth="1"/>
    <col min="8498" max="8498" width="11.5703125" bestFit="1" customWidth="1"/>
    <col min="8499" max="8499" width="9.28515625" bestFit="1" customWidth="1"/>
    <col min="8707" max="8707" width="29.42578125" bestFit="1" customWidth="1"/>
    <col min="8708" max="8708" width="11.5703125" bestFit="1" customWidth="1"/>
    <col min="8709" max="8709" width="9.28515625" bestFit="1" customWidth="1"/>
    <col min="8710" max="8710" width="11.5703125" bestFit="1" customWidth="1"/>
    <col min="8711" max="8711" width="9.28515625" bestFit="1" customWidth="1"/>
    <col min="8712" max="8712" width="11.5703125" bestFit="1" customWidth="1"/>
    <col min="8713" max="8713" width="9.28515625" bestFit="1" customWidth="1"/>
    <col min="8714" max="8714" width="11.5703125" bestFit="1" customWidth="1"/>
    <col min="8715" max="8715" width="9.28515625" bestFit="1" customWidth="1"/>
    <col min="8716" max="8716" width="11.5703125" bestFit="1" customWidth="1"/>
    <col min="8717" max="8717" width="9.28515625" bestFit="1" customWidth="1"/>
    <col min="8718" max="8718" width="11.5703125" bestFit="1" customWidth="1"/>
    <col min="8719" max="8719" width="9.28515625" bestFit="1" customWidth="1"/>
    <col min="8720" max="8720" width="11.5703125" bestFit="1" customWidth="1"/>
    <col min="8721" max="8721" width="9.28515625" bestFit="1" customWidth="1"/>
    <col min="8722" max="8722" width="11.5703125" bestFit="1" customWidth="1"/>
    <col min="8723" max="8723" width="9.28515625" bestFit="1" customWidth="1"/>
    <col min="8724" max="8724" width="11.5703125" bestFit="1" customWidth="1"/>
    <col min="8725" max="8725" width="9.28515625" bestFit="1" customWidth="1"/>
    <col min="8726" max="8726" width="11.5703125" bestFit="1" customWidth="1"/>
    <col min="8727" max="8727" width="9.28515625" bestFit="1" customWidth="1"/>
    <col min="8728" max="8728" width="11.5703125" bestFit="1" customWidth="1"/>
    <col min="8729" max="8729" width="9.28515625" bestFit="1" customWidth="1"/>
    <col min="8730" max="8730" width="11.5703125" bestFit="1" customWidth="1"/>
    <col min="8731" max="8731" width="9.28515625" bestFit="1" customWidth="1"/>
    <col min="8732" max="8732" width="11.5703125" bestFit="1" customWidth="1"/>
    <col min="8733" max="8733" width="9.28515625" bestFit="1" customWidth="1"/>
    <col min="8734" max="8734" width="11.5703125" bestFit="1" customWidth="1"/>
    <col min="8735" max="8735" width="9.28515625" bestFit="1" customWidth="1"/>
    <col min="8736" max="8736" width="11.5703125" bestFit="1" customWidth="1"/>
    <col min="8737" max="8737" width="9.28515625" bestFit="1" customWidth="1"/>
    <col min="8738" max="8738" width="11.5703125" bestFit="1" customWidth="1"/>
    <col min="8739" max="8739" width="9.28515625" bestFit="1" customWidth="1"/>
    <col min="8740" max="8740" width="11.5703125" bestFit="1" customWidth="1"/>
    <col min="8741" max="8741" width="9.28515625" bestFit="1" customWidth="1"/>
    <col min="8742" max="8742" width="11.5703125" bestFit="1" customWidth="1"/>
    <col min="8743" max="8743" width="9.28515625" bestFit="1" customWidth="1"/>
    <col min="8744" max="8744" width="11.5703125" bestFit="1" customWidth="1"/>
    <col min="8745" max="8745" width="9.28515625" bestFit="1" customWidth="1"/>
    <col min="8746" max="8746" width="11.5703125" bestFit="1" customWidth="1"/>
    <col min="8747" max="8747" width="9.28515625" bestFit="1" customWidth="1"/>
    <col min="8748" max="8748" width="11.5703125" bestFit="1" customWidth="1"/>
    <col min="8749" max="8749" width="9.28515625" bestFit="1" customWidth="1"/>
    <col min="8750" max="8750" width="11.5703125" bestFit="1" customWidth="1"/>
    <col min="8751" max="8751" width="9.28515625" bestFit="1" customWidth="1"/>
    <col min="8752" max="8752" width="11.5703125" bestFit="1" customWidth="1"/>
    <col min="8753" max="8753" width="9.28515625" bestFit="1" customWidth="1"/>
    <col min="8754" max="8754" width="11.5703125" bestFit="1" customWidth="1"/>
    <col min="8755" max="8755" width="9.28515625" bestFit="1" customWidth="1"/>
    <col min="8963" max="8963" width="29.42578125" bestFit="1" customWidth="1"/>
    <col min="8964" max="8964" width="11.5703125" bestFit="1" customWidth="1"/>
    <col min="8965" max="8965" width="9.28515625" bestFit="1" customWidth="1"/>
    <col min="8966" max="8966" width="11.5703125" bestFit="1" customWidth="1"/>
    <col min="8967" max="8967" width="9.28515625" bestFit="1" customWidth="1"/>
    <col min="8968" max="8968" width="11.5703125" bestFit="1" customWidth="1"/>
    <col min="8969" max="8969" width="9.28515625" bestFit="1" customWidth="1"/>
    <col min="8970" max="8970" width="11.5703125" bestFit="1" customWidth="1"/>
    <col min="8971" max="8971" width="9.28515625" bestFit="1" customWidth="1"/>
    <col min="8972" max="8972" width="11.5703125" bestFit="1" customWidth="1"/>
    <col min="8973" max="8973" width="9.28515625" bestFit="1" customWidth="1"/>
    <col min="8974" max="8974" width="11.5703125" bestFit="1" customWidth="1"/>
    <col min="8975" max="8975" width="9.28515625" bestFit="1" customWidth="1"/>
    <col min="8976" max="8976" width="11.5703125" bestFit="1" customWidth="1"/>
    <col min="8977" max="8977" width="9.28515625" bestFit="1" customWidth="1"/>
    <col min="8978" max="8978" width="11.5703125" bestFit="1" customWidth="1"/>
    <col min="8979" max="8979" width="9.28515625" bestFit="1" customWidth="1"/>
    <col min="8980" max="8980" width="11.5703125" bestFit="1" customWidth="1"/>
    <col min="8981" max="8981" width="9.28515625" bestFit="1" customWidth="1"/>
    <col min="8982" max="8982" width="11.5703125" bestFit="1" customWidth="1"/>
    <col min="8983" max="8983" width="9.28515625" bestFit="1" customWidth="1"/>
    <col min="8984" max="8984" width="11.5703125" bestFit="1" customWidth="1"/>
    <col min="8985" max="8985" width="9.28515625" bestFit="1" customWidth="1"/>
    <col min="8986" max="8986" width="11.5703125" bestFit="1" customWidth="1"/>
    <col min="8987" max="8987" width="9.28515625" bestFit="1" customWidth="1"/>
    <col min="8988" max="8988" width="11.5703125" bestFit="1" customWidth="1"/>
    <col min="8989" max="8989" width="9.28515625" bestFit="1" customWidth="1"/>
    <col min="8990" max="8990" width="11.5703125" bestFit="1" customWidth="1"/>
    <col min="8991" max="8991" width="9.28515625" bestFit="1" customWidth="1"/>
    <col min="8992" max="8992" width="11.5703125" bestFit="1" customWidth="1"/>
    <col min="8993" max="8993" width="9.28515625" bestFit="1" customWidth="1"/>
    <col min="8994" max="8994" width="11.5703125" bestFit="1" customWidth="1"/>
    <col min="8995" max="8995" width="9.28515625" bestFit="1" customWidth="1"/>
    <col min="8996" max="8996" width="11.5703125" bestFit="1" customWidth="1"/>
    <col min="8997" max="8997" width="9.28515625" bestFit="1" customWidth="1"/>
    <col min="8998" max="8998" width="11.5703125" bestFit="1" customWidth="1"/>
    <col min="8999" max="8999" width="9.28515625" bestFit="1" customWidth="1"/>
    <col min="9000" max="9000" width="11.5703125" bestFit="1" customWidth="1"/>
    <col min="9001" max="9001" width="9.28515625" bestFit="1" customWidth="1"/>
    <col min="9002" max="9002" width="11.5703125" bestFit="1" customWidth="1"/>
    <col min="9003" max="9003" width="9.28515625" bestFit="1" customWidth="1"/>
    <col min="9004" max="9004" width="11.5703125" bestFit="1" customWidth="1"/>
    <col min="9005" max="9005" width="9.28515625" bestFit="1" customWidth="1"/>
    <col min="9006" max="9006" width="11.5703125" bestFit="1" customWidth="1"/>
    <col min="9007" max="9007" width="9.28515625" bestFit="1" customWidth="1"/>
    <col min="9008" max="9008" width="11.5703125" bestFit="1" customWidth="1"/>
    <col min="9009" max="9009" width="9.28515625" bestFit="1" customWidth="1"/>
    <col min="9010" max="9010" width="11.5703125" bestFit="1" customWidth="1"/>
    <col min="9011" max="9011" width="9.28515625" bestFit="1" customWidth="1"/>
    <col min="9219" max="9219" width="29.42578125" bestFit="1" customWidth="1"/>
    <col min="9220" max="9220" width="11.5703125" bestFit="1" customWidth="1"/>
    <col min="9221" max="9221" width="9.28515625" bestFit="1" customWidth="1"/>
    <col min="9222" max="9222" width="11.5703125" bestFit="1" customWidth="1"/>
    <col min="9223" max="9223" width="9.28515625" bestFit="1" customWidth="1"/>
    <col min="9224" max="9224" width="11.5703125" bestFit="1" customWidth="1"/>
    <col min="9225" max="9225" width="9.28515625" bestFit="1" customWidth="1"/>
    <col min="9226" max="9226" width="11.5703125" bestFit="1" customWidth="1"/>
    <col min="9227" max="9227" width="9.28515625" bestFit="1" customWidth="1"/>
    <col min="9228" max="9228" width="11.5703125" bestFit="1" customWidth="1"/>
    <col min="9229" max="9229" width="9.28515625" bestFit="1" customWidth="1"/>
    <col min="9230" max="9230" width="11.5703125" bestFit="1" customWidth="1"/>
    <col min="9231" max="9231" width="9.28515625" bestFit="1" customWidth="1"/>
    <col min="9232" max="9232" width="11.5703125" bestFit="1" customWidth="1"/>
    <col min="9233" max="9233" width="9.28515625" bestFit="1" customWidth="1"/>
    <col min="9234" max="9234" width="11.5703125" bestFit="1" customWidth="1"/>
    <col min="9235" max="9235" width="9.28515625" bestFit="1" customWidth="1"/>
    <col min="9236" max="9236" width="11.5703125" bestFit="1" customWidth="1"/>
    <col min="9237" max="9237" width="9.28515625" bestFit="1" customWidth="1"/>
    <col min="9238" max="9238" width="11.5703125" bestFit="1" customWidth="1"/>
    <col min="9239" max="9239" width="9.28515625" bestFit="1" customWidth="1"/>
    <col min="9240" max="9240" width="11.5703125" bestFit="1" customWidth="1"/>
    <col min="9241" max="9241" width="9.28515625" bestFit="1" customWidth="1"/>
    <col min="9242" max="9242" width="11.5703125" bestFit="1" customWidth="1"/>
    <col min="9243" max="9243" width="9.28515625" bestFit="1" customWidth="1"/>
    <col min="9244" max="9244" width="11.5703125" bestFit="1" customWidth="1"/>
    <col min="9245" max="9245" width="9.28515625" bestFit="1" customWidth="1"/>
    <col min="9246" max="9246" width="11.5703125" bestFit="1" customWidth="1"/>
    <col min="9247" max="9247" width="9.28515625" bestFit="1" customWidth="1"/>
    <col min="9248" max="9248" width="11.5703125" bestFit="1" customWidth="1"/>
    <col min="9249" max="9249" width="9.28515625" bestFit="1" customWidth="1"/>
    <col min="9250" max="9250" width="11.5703125" bestFit="1" customWidth="1"/>
    <col min="9251" max="9251" width="9.28515625" bestFit="1" customWidth="1"/>
    <col min="9252" max="9252" width="11.5703125" bestFit="1" customWidth="1"/>
    <col min="9253" max="9253" width="9.28515625" bestFit="1" customWidth="1"/>
    <col min="9254" max="9254" width="11.5703125" bestFit="1" customWidth="1"/>
    <col min="9255" max="9255" width="9.28515625" bestFit="1" customWidth="1"/>
    <col min="9256" max="9256" width="11.5703125" bestFit="1" customWidth="1"/>
    <col min="9257" max="9257" width="9.28515625" bestFit="1" customWidth="1"/>
    <col min="9258" max="9258" width="11.5703125" bestFit="1" customWidth="1"/>
    <col min="9259" max="9259" width="9.28515625" bestFit="1" customWidth="1"/>
    <col min="9260" max="9260" width="11.5703125" bestFit="1" customWidth="1"/>
    <col min="9261" max="9261" width="9.28515625" bestFit="1" customWidth="1"/>
    <col min="9262" max="9262" width="11.5703125" bestFit="1" customWidth="1"/>
    <col min="9263" max="9263" width="9.28515625" bestFit="1" customWidth="1"/>
    <col min="9264" max="9264" width="11.5703125" bestFit="1" customWidth="1"/>
    <col min="9265" max="9265" width="9.28515625" bestFit="1" customWidth="1"/>
    <col min="9266" max="9266" width="11.5703125" bestFit="1" customWidth="1"/>
    <col min="9267" max="9267" width="9.28515625" bestFit="1" customWidth="1"/>
    <col min="9475" max="9475" width="29.42578125" bestFit="1" customWidth="1"/>
    <col min="9476" max="9476" width="11.5703125" bestFit="1" customWidth="1"/>
    <col min="9477" max="9477" width="9.28515625" bestFit="1" customWidth="1"/>
    <col min="9478" max="9478" width="11.5703125" bestFit="1" customWidth="1"/>
    <col min="9479" max="9479" width="9.28515625" bestFit="1" customWidth="1"/>
    <col min="9480" max="9480" width="11.5703125" bestFit="1" customWidth="1"/>
    <col min="9481" max="9481" width="9.28515625" bestFit="1" customWidth="1"/>
    <col min="9482" max="9482" width="11.5703125" bestFit="1" customWidth="1"/>
    <col min="9483" max="9483" width="9.28515625" bestFit="1" customWidth="1"/>
    <col min="9484" max="9484" width="11.5703125" bestFit="1" customWidth="1"/>
    <col min="9485" max="9485" width="9.28515625" bestFit="1" customWidth="1"/>
    <col min="9486" max="9486" width="11.5703125" bestFit="1" customWidth="1"/>
    <col min="9487" max="9487" width="9.28515625" bestFit="1" customWidth="1"/>
    <col min="9488" max="9488" width="11.5703125" bestFit="1" customWidth="1"/>
    <col min="9489" max="9489" width="9.28515625" bestFit="1" customWidth="1"/>
    <col min="9490" max="9490" width="11.5703125" bestFit="1" customWidth="1"/>
    <col min="9491" max="9491" width="9.28515625" bestFit="1" customWidth="1"/>
    <col min="9492" max="9492" width="11.5703125" bestFit="1" customWidth="1"/>
    <col min="9493" max="9493" width="9.28515625" bestFit="1" customWidth="1"/>
    <col min="9494" max="9494" width="11.5703125" bestFit="1" customWidth="1"/>
    <col min="9495" max="9495" width="9.28515625" bestFit="1" customWidth="1"/>
    <col min="9496" max="9496" width="11.5703125" bestFit="1" customWidth="1"/>
    <col min="9497" max="9497" width="9.28515625" bestFit="1" customWidth="1"/>
    <col min="9498" max="9498" width="11.5703125" bestFit="1" customWidth="1"/>
    <col min="9499" max="9499" width="9.28515625" bestFit="1" customWidth="1"/>
    <col min="9500" max="9500" width="11.5703125" bestFit="1" customWidth="1"/>
    <col min="9501" max="9501" width="9.28515625" bestFit="1" customWidth="1"/>
    <col min="9502" max="9502" width="11.5703125" bestFit="1" customWidth="1"/>
    <col min="9503" max="9503" width="9.28515625" bestFit="1" customWidth="1"/>
    <col min="9504" max="9504" width="11.5703125" bestFit="1" customWidth="1"/>
    <col min="9505" max="9505" width="9.28515625" bestFit="1" customWidth="1"/>
    <col min="9506" max="9506" width="11.5703125" bestFit="1" customWidth="1"/>
    <col min="9507" max="9507" width="9.28515625" bestFit="1" customWidth="1"/>
    <col min="9508" max="9508" width="11.5703125" bestFit="1" customWidth="1"/>
    <col min="9509" max="9509" width="9.28515625" bestFit="1" customWidth="1"/>
    <col min="9510" max="9510" width="11.5703125" bestFit="1" customWidth="1"/>
    <col min="9511" max="9511" width="9.28515625" bestFit="1" customWidth="1"/>
    <col min="9512" max="9512" width="11.5703125" bestFit="1" customWidth="1"/>
    <col min="9513" max="9513" width="9.28515625" bestFit="1" customWidth="1"/>
    <col min="9514" max="9514" width="11.5703125" bestFit="1" customWidth="1"/>
    <col min="9515" max="9515" width="9.28515625" bestFit="1" customWidth="1"/>
    <col min="9516" max="9516" width="11.5703125" bestFit="1" customWidth="1"/>
    <col min="9517" max="9517" width="9.28515625" bestFit="1" customWidth="1"/>
    <col min="9518" max="9518" width="11.5703125" bestFit="1" customWidth="1"/>
    <col min="9519" max="9519" width="9.28515625" bestFit="1" customWidth="1"/>
    <col min="9520" max="9520" width="11.5703125" bestFit="1" customWidth="1"/>
    <col min="9521" max="9521" width="9.28515625" bestFit="1" customWidth="1"/>
    <col min="9522" max="9522" width="11.5703125" bestFit="1" customWidth="1"/>
    <col min="9523" max="9523" width="9.28515625" bestFit="1" customWidth="1"/>
    <col min="9731" max="9731" width="29.42578125" bestFit="1" customWidth="1"/>
    <col min="9732" max="9732" width="11.5703125" bestFit="1" customWidth="1"/>
    <col min="9733" max="9733" width="9.28515625" bestFit="1" customWidth="1"/>
    <col min="9734" max="9734" width="11.5703125" bestFit="1" customWidth="1"/>
    <col min="9735" max="9735" width="9.28515625" bestFit="1" customWidth="1"/>
    <col min="9736" max="9736" width="11.5703125" bestFit="1" customWidth="1"/>
    <col min="9737" max="9737" width="9.28515625" bestFit="1" customWidth="1"/>
    <col min="9738" max="9738" width="11.5703125" bestFit="1" customWidth="1"/>
    <col min="9739" max="9739" width="9.28515625" bestFit="1" customWidth="1"/>
    <col min="9740" max="9740" width="11.5703125" bestFit="1" customWidth="1"/>
    <col min="9741" max="9741" width="9.28515625" bestFit="1" customWidth="1"/>
    <col min="9742" max="9742" width="11.5703125" bestFit="1" customWidth="1"/>
    <col min="9743" max="9743" width="9.28515625" bestFit="1" customWidth="1"/>
    <col min="9744" max="9744" width="11.5703125" bestFit="1" customWidth="1"/>
    <col min="9745" max="9745" width="9.28515625" bestFit="1" customWidth="1"/>
    <col min="9746" max="9746" width="11.5703125" bestFit="1" customWidth="1"/>
    <col min="9747" max="9747" width="9.28515625" bestFit="1" customWidth="1"/>
    <col min="9748" max="9748" width="11.5703125" bestFit="1" customWidth="1"/>
    <col min="9749" max="9749" width="9.28515625" bestFit="1" customWidth="1"/>
    <col min="9750" max="9750" width="11.5703125" bestFit="1" customWidth="1"/>
    <col min="9751" max="9751" width="9.28515625" bestFit="1" customWidth="1"/>
    <col min="9752" max="9752" width="11.5703125" bestFit="1" customWidth="1"/>
    <col min="9753" max="9753" width="9.28515625" bestFit="1" customWidth="1"/>
    <col min="9754" max="9754" width="11.5703125" bestFit="1" customWidth="1"/>
    <col min="9755" max="9755" width="9.28515625" bestFit="1" customWidth="1"/>
    <col min="9756" max="9756" width="11.5703125" bestFit="1" customWidth="1"/>
    <col min="9757" max="9757" width="9.28515625" bestFit="1" customWidth="1"/>
    <col min="9758" max="9758" width="11.5703125" bestFit="1" customWidth="1"/>
    <col min="9759" max="9759" width="9.28515625" bestFit="1" customWidth="1"/>
    <col min="9760" max="9760" width="11.5703125" bestFit="1" customWidth="1"/>
    <col min="9761" max="9761" width="9.28515625" bestFit="1" customWidth="1"/>
    <col min="9762" max="9762" width="11.5703125" bestFit="1" customWidth="1"/>
    <col min="9763" max="9763" width="9.28515625" bestFit="1" customWidth="1"/>
    <col min="9764" max="9764" width="11.5703125" bestFit="1" customWidth="1"/>
    <col min="9765" max="9765" width="9.28515625" bestFit="1" customWidth="1"/>
    <col min="9766" max="9766" width="11.5703125" bestFit="1" customWidth="1"/>
    <col min="9767" max="9767" width="9.28515625" bestFit="1" customWidth="1"/>
    <col min="9768" max="9768" width="11.5703125" bestFit="1" customWidth="1"/>
    <col min="9769" max="9769" width="9.28515625" bestFit="1" customWidth="1"/>
    <col min="9770" max="9770" width="11.5703125" bestFit="1" customWidth="1"/>
    <col min="9771" max="9771" width="9.28515625" bestFit="1" customWidth="1"/>
    <col min="9772" max="9772" width="11.5703125" bestFit="1" customWidth="1"/>
    <col min="9773" max="9773" width="9.28515625" bestFit="1" customWidth="1"/>
    <col min="9774" max="9774" width="11.5703125" bestFit="1" customWidth="1"/>
    <col min="9775" max="9775" width="9.28515625" bestFit="1" customWidth="1"/>
    <col min="9776" max="9776" width="11.5703125" bestFit="1" customWidth="1"/>
    <col min="9777" max="9777" width="9.28515625" bestFit="1" customWidth="1"/>
    <col min="9778" max="9778" width="11.5703125" bestFit="1" customWidth="1"/>
    <col min="9779" max="9779" width="9.28515625" bestFit="1" customWidth="1"/>
    <col min="9987" max="9987" width="29.42578125" bestFit="1" customWidth="1"/>
    <col min="9988" max="9988" width="11.5703125" bestFit="1" customWidth="1"/>
    <col min="9989" max="9989" width="9.28515625" bestFit="1" customWidth="1"/>
    <col min="9990" max="9990" width="11.5703125" bestFit="1" customWidth="1"/>
    <col min="9991" max="9991" width="9.28515625" bestFit="1" customWidth="1"/>
    <col min="9992" max="9992" width="11.5703125" bestFit="1" customWidth="1"/>
    <col min="9993" max="9993" width="9.28515625" bestFit="1" customWidth="1"/>
    <col min="9994" max="9994" width="11.5703125" bestFit="1" customWidth="1"/>
    <col min="9995" max="9995" width="9.28515625" bestFit="1" customWidth="1"/>
    <col min="9996" max="9996" width="11.5703125" bestFit="1" customWidth="1"/>
    <col min="9997" max="9997" width="9.28515625" bestFit="1" customWidth="1"/>
    <col min="9998" max="9998" width="11.5703125" bestFit="1" customWidth="1"/>
    <col min="9999" max="9999" width="9.28515625" bestFit="1" customWidth="1"/>
    <col min="10000" max="10000" width="11.5703125" bestFit="1" customWidth="1"/>
    <col min="10001" max="10001" width="9.28515625" bestFit="1" customWidth="1"/>
    <col min="10002" max="10002" width="11.5703125" bestFit="1" customWidth="1"/>
    <col min="10003" max="10003" width="9.28515625" bestFit="1" customWidth="1"/>
    <col min="10004" max="10004" width="11.5703125" bestFit="1" customWidth="1"/>
    <col min="10005" max="10005" width="9.28515625" bestFit="1" customWidth="1"/>
    <col min="10006" max="10006" width="11.5703125" bestFit="1" customWidth="1"/>
    <col min="10007" max="10007" width="9.28515625" bestFit="1" customWidth="1"/>
    <col min="10008" max="10008" width="11.5703125" bestFit="1" customWidth="1"/>
    <col min="10009" max="10009" width="9.28515625" bestFit="1" customWidth="1"/>
    <col min="10010" max="10010" width="11.5703125" bestFit="1" customWidth="1"/>
    <col min="10011" max="10011" width="9.28515625" bestFit="1" customWidth="1"/>
    <col min="10012" max="10012" width="11.5703125" bestFit="1" customWidth="1"/>
    <col min="10013" max="10013" width="9.28515625" bestFit="1" customWidth="1"/>
    <col min="10014" max="10014" width="11.5703125" bestFit="1" customWidth="1"/>
    <col min="10015" max="10015" width="9.28515625" bestFit="1" customWidth="1"/>
    <col min="10016" max="10016" width="11.5703125" bestFit="1" customWidth="1"/>
    <col min="10017" max="10017" width="9.28515625" bestFit="1" customWidth="1"/>
    <col min="10018" max="10018" width="11.5703125" bestFit="1" customWidth="1"/>
    <col min="10019" max="10019" width="9.28515625" bestFit="1" customWidth="1"/>
    <col min="10020" max="10020" width="11.5703125" bestFit="1" customWidth="1"/>
    <col min="10021" max="10021" width="9.28515625" bestFit="1" customWidth="1"/>
    <col min="10022" max="10022" width="11.5703125" bestFit="1" customWidth="1"/>
    <col min="10023" max="10023" width="9.28515625" bestFit="1" customWidth="1"/>
    <col min="10024" max="10024" width="11.5703125" bestFit="1" customWidth="1"/>
    <col min="10025" max="10025" width="9.28515625" bestFit="1" customWidth="1"/>
    <col min="10026" max="10026" width="11.5703125" bestFit="1" customWidth="1"/>
    <col min="10027" max="10027" width="9.28515625" bestFit="1" customWidth="1"/>
    <col min="10028" max="10028" width="11.5703125" bestFit="1" customWidth="1"/>
    <col min="10029" max="10029" width="9.28515625" bestFit="1" customWidth="1"/>
    <col min="10030" max="10030" width="11.5703125" bestFit="1" customWidth="1"/>
    <col min="10031" max="10031" width="9.28515625" bestFit="1" customWidth="1"/>
    <col min="10032" max="10032" width="11.5703125" bestFit="1" customWidth="1"/>
    <col min="10033" max="10033" width="9.28515625" bestFit="1" customWidth="1"/>
    <col min="10034" max="10034" width="11.5703125" bestFit="1" customWidth="1"/>
    <col min="10035" max="10035" width="9.28515625" bestFit="1" customWidth="1"/>
    <col min="10243" max="10243" width="29.42578125" bestFit="1" customWidth="1"/>
    <col min="10244" max="10244" width="11.5703125" bestFit="1" customWidth="1"/>
    <col min="10245" max="10245" width="9.28515625" bestFit="1" customWidth="1"/>
    <col min="10246" max="10246" width="11.5703125" bestFit="1" customWidth="1"/>
    <col min="10247" max="10247" width="9.28515625" bestFit="1" customWidth="1"/>
    <col min="10248" max="10248" width="11.5703125" bestFit="1" customWidth="1"/>
    <col min="10249" max="10249" width="9.28515625" bestFit="1" customWidth="1"/>
    <col min="10250" max="10250" width="11.5703125" bestFit="1" customWidth="1"/>
    <col min="10251" max="10251" width="9.28515625" bestFit="1" customWidth="1"/>
    <col min="10252" max="10252" width="11.5703125" bestFit="1" customWidth="1"/>
    <col min="10253" max="10253" width="9.28515625" bestFit="1" customWidth="1"/>
    <col min="10254" max="10254" width="11.5703125" bestFit="1" customWidth="1"/>
    <col min="10255" max="10255" width="9.28515625" bestFit="1" customWidth="1"/>
    <col min="10256" max="10256" width="11.5703125" bestFit="1" customWidth="1"/>
    <col min="10257" max="10257" width="9.28515625" bestFit="1" customWidth="1"/>
    <col min="10258" max="10258" width="11.5703125" bestFit="1" customWidth="1"/>
    <col min="10259" max="10259" width="9.28515625" bestFit="1" customWidth="1"/>
    <col min="10260" max="10260" width="11.5703125" bestFit="1" customWidth="1"/>
    <col min="10261" max="10261" width="9.28515625" bestFit="1" customWidth="1"/>
    <col min="10262" max="10262" width="11.5703125" bestFit="1" customWidth="1"/>
    <col min="10263" max="10263" width="9.28515625" bestFit="1" customWidth="1"/>
    <col min="10264" max="10264" width="11.5703125" bestFit="1" customWidth="1"/>
    <col min="10265" max="10265" width="9.28515625" bestFit="1" customWidth="1"/>
    <col min="10266" max="10266" width="11.5703125" bestFit="1" customWidth="1"/>
    <col min="10267" max="10267" width="9.28515625" bestFit="1" customWidth="1"/>
    <col min="10268" max="10268" width="11.5703125" bestFit="1" customWidth="1"/>
    <col min="10269" max="10269" width="9.28515625" bestFit="1" customWidth="1"/>
    <col min="10270" max="10270" width="11.5703125" bestFit="1" customWidth="1"/>
    <col min="10271" max="10271" width="9.28515625" bestFit="1" customWidth="1"/>
    <col min="10272" max="10272" width="11.5703125" bestFit="1" customWidth="1"/>
    <col min="10273" max="10273" width="9.28515625" bestFit="1" customWidth="1"/>
    <col min="10274" max="10274" width="11.5703125" bestFit="1" customWidth="1"/>
    <col min="10275" max="10275" width="9.28515625" bestFit="1" customWidth="1"/>
    <col min="10276" max="10276" width="11.5703125" bestFit="1" customWidth="1"/>
    <col min="10277" max="10277" width="9.28515625" bestFit="1" customWidth="1"/>
    <col min="10278" max="10278" width="11.5703125" bestFit="1" customWidth="1"/>
    <col min="10279" max="10279" width="9.28515625" bestFit="1" customWidth="1"/>
    <col min="10280" max="10280" width="11.5703125" bestFit="1" customWidth="1"/>
    <col min="10281" max="10281" width="9.28515625" bestFit="1" customWidth="1"/>
    <col min="10282" max="10282" width="11.5703125" bestFit="1" customWidth="1"/>
    <col min="10283" max="10283" width="9.28515625" bestFit="1" customWidth="1"/>
    <col min="10284" max="10284" width="11.5703125" bestFit="1" customWidth="1"/>
    <col min="10285" max="10285" width="9.28515625" bestFit="1" customWidth="1"/>
    <col min="10286" max="10286" width="11.5703125" bestFit="1" customWidth="1"/>
    <col min="10287" max="10287" width="9.28515625" bestFit="1" customWidth="1"/>
    <col min="10288" max="10288" width="11.5703125" bestFit="1" customWidth="1"/>
    <col min="10289" max="10289" width="9.28515625" bestFit="1" customWidth="1"/>
    <col min="10290" max="10290" width="11.5703125" bestFit="1" customWidth="1"/>
    <col min="10291" max="10291" width="9.28515625" bestFit="1" customWidth="1"/>
    <col min="10499" max="10499" width="29.42578125" bestFit="1" customWidth="1"/>
    <col min="10500" max="10500" width="11.5703125" bestFit="1" customWidth="1"/>
    <col min="10501" max="10501" width="9.28515625" bestFit="1" customWidth="1"/>
    <col min="10502" max="10502" width="11.5703125" bestFit="1" customWidth="1"/>
    <col min="10503" max="10503" width="9.28515625" bestFit="1" customWidth="1"/>
    <col min="10504" max="10504" width="11.5703125" bestFit="1" customWidth="1"/>
    <col min="10505" max="10505" width="9.28515625" bestFit="1" customWidth="1"/>
    <col min="10506" max="10506" width="11.5703125" bestFit="1" customWidth="1"/>
    <col min="10507" max="10507" width="9.28515625" bestFit="1" customWidth="1"/>
    <col min="10508" max="10508" width="11.5703125" bestFit="1" customWidth="1"/>
    <col min="10509" max="10509" width="9.28515625" bestFit="1" customWidth="1"/>
    <col min="10510" max="10510" width="11.5703125" bestFit="1" customWidth="1"/>
    <col min="10511" max="10511" width="9.28515625" bestFit="1" customWidth="1"/>
    <col min="10512" max="10512" width="11.5703125" bestFit="1" customWidth="1"/>
    <col min="10513" max="10513" width="9.28515625" bestFit="1" customWidth="1"/>
    <col min="10514" max="10514" width="11.5703125" bestFit="1" customWidth="1"/>
    <col min="10515" max="10515" width="9.28515625" bestFit="1" customWidth="1"/>
    <col min="10516" max="10516" width="11.5703125" bestFit="1" customWidth="1"/>
    <col min="10517" max="10517" width="9.28515625" bestFit="1" customWidth="1"/>
    <col min="10518" max="10518" width="11.5703125" bestFit="1" customWidth="1"/>
    <col min="10519" max="10519" width="9.28515625" bestFit="1" customWidth="1"/>
    <col min="10520" max="10520" width="11.5703125" bestFit="1" customWidth="1"/>
    <col min="10521" max="10521" width="9.28515625" bestFit="1" customWidth="1"/>
    <col min="10522" max="10522" width="11.5703125" bestFit="1" customWidth="1"/>
    <col min="10523" max="10523" width="9.28515625" bestFit="1" customWidth="1"/>
    <col min="10524" max="10524" width="11.5703125" bestFit="1" customWidth="1"/>
    <col min="10525" max="10525" width="9.28515625" bestFit="1" customWidth="1"/>
    <col min="10526" max="10526" width="11.5703125" bestFit="1" customWidth="1"/>
    <col min="10527" max="10527" width="9.28515625" bestFit="1" customWidth="1"/>
    <col min="10528" max="10528" width="11.5703125" bestFit="1" customWidth="1"/>
    <col min="10529" max="10529" width="9.28515625" bestFit="1" customWidth="1"/>
    <col min="10530" max="10530" width="11.5703125" bestFit="1" customWidth="1"/>
    <col min="10531" max="10531" width="9.28515625" bestFit="1" customWidth="1"/>
    <col min="10532" max="10532" width="11.5703125" bestFit="1" customWidth="1"/>
    <col min="10533" max="10533" width="9.28515625" bestFit="1" customWidth="1"/>
    <col min="10534" max="10534" width="11.5703125" bestFit="1" customWidth="1"/>
    <col min="10535" max="10535" width="9.28515625" bestFit="1" customWidth="1"/>
    <col min="10536" max="10536" width="11.5703125" bestFit="1" customWidth="1"/>
    <col min="10537" max="10537" width="9.28515625" bestFit="1" customWidth="1"/>
    <col min="10538" max="10538" width="11.5703125" bestFit="1" customWidth="1"/>
    <col min="10539" max="10539" width="9.28515625" bestFit="1" customWidth="1"/>
    <col min="10540" max="10540" width="11.5703125" bestFit="1" customWidth="1"/>
    <col min="10541" max="10541" width="9.28515625" bestFit="1" customWidth="1"/>
    <col min="10542" max="10542" width="11.5703125" bestFit="1" customWidth="1"/>
    <col min="10543" max="10543" width="9.28515625" bestFit="1" customWidth="1"/>
    <col min="10544" max="10544" width="11.5703125" bestFit="1" customWidth="1"/>
    <col min="10545" max="10545" width="9.28515625" bestFit="1" customWidth="1"/>
    <col min="10546" max="10546" width="11.5703125" bestFit="1" customWidth="1"/>
    <col min="10547" max="10547" width="9.28515625" bestFit="1" customWidth="1"/>
    <col min="10755" max="10755" width="29.42578125" bestFit="1" customWidth="1"/>
    <col min="10756" max="10756" width="11.5703125" bestFit="1" customWidth="1"/>
    <col min="10757" max="10757" width="9.28515625" bestFit="1" customWidth="1"/>
    <col min="10758" max="10758" width="11.5703125" bestFit="1" customWidth="1"/>
    <col min="10759" max="10759" width="9.28515625" bestFit="1" customWidth="1"/>
    <col min="10760" max="10760" width="11.5703125" bestFit="1" customWidth="1"/>
    <col min="10761" max="10761" width="9.28515625" bestFit="1" customWidth="1"/>
    <col min="10762" max="10762" width="11.5703125" bestFit="1" customWidth="1"/>
    <col min="10763" max="10763" width="9.28515625" bestFit="1" customWidth="1"/>
    <col min="10764" max="10764" width="11.5703125" bestFit="1" customWidth="1"/>
    <col min="10765" max="10765" width="9.28515625" bestFit="1" customWidth="1"/>
    <col min="10766" max="10766" width="11.5703125" bestFit="1" customWidth="1"/>
    <col min="10767" max="10767" width="9.28515625" bestFit="1" customWidth="1"/>
    <col min="10768" max="10768" width="11.5703125" bestFit="1" customWidth="1"/>
    <col min="10769" max="10769" width="9.28515625" bestFit="1" customWidth="1"/>
    <col min="10770" max="10770" width="11.5703125" bestFit="1" customWidth="1"/>
    <col min="10771" max="10771" width="9.28515625" bestFit="1" customWidth="1"/>
    <col min="10772" max="10772" width="11.5703125" bestFit="1" customWidth="1"/>
    <col min="10773" max="10773" width="9.28515625" bestFit="1" customWidth="1"/>
    <col min="10774" max="10774" width="11.5703125" bestFit="1" customWidth="1"/>
    <col min="10775" max="10775" width="9.28515625" bestFit="1" customWidth="1"/>
    <col min="10776" max="10776" width="11.5703125" bestFit="1" customWidth="1"/>
    <col min="10777" max="10777" width="9.28515625" bestFit="1" customWidth="1"/>
    <col min="10778" max="10778" width="11.5703125" bestFit="1" customWidth="1"/>
    <col min="10779" max="10779" width="9.28515625" bestFit="1" customWidth="1"/>
    <col min="10780" max="10780" width="11.5703125" bestFit="1" customWidth="1"/>
    <col min="10781" max="10781" width="9.28515625" bestFit="1" customWidth="1"/>
    <col min="10782" max="10782" width="11.5703125" bestFit="1" customWidth="1"/>
    <col min="10783" max="10783" width="9.28515625" bestFit="1" customWidth="1"/>
    <col min="10784" max="10784" width="11.5703125" bestFit="1" customWidth="1"/>
    <col min="10785" max="10785" width="9.28515625" bestFit="1" customWidth="1"/>
    <col min="10786" max="10786" width="11.5703125" bestFit="1" customWidth="1"/>
    <col min="10787" max="10787" width="9.28515625" bestFit="1" customWidth="1"/>
    <col min="10788" max="10788" width="11.5703125" bestFit="1" customWidth="1"/>
    <col min="10789" max="10789" width="9.28515625" bestFit="1" customWidth="1"/>
    <col min="10790" max="10790" width="11.5703125" bestFit="1" customWidth="1"/>
    <col min="10791" max="10791" width="9.28515625" bestFit="1" customWidth="1"/>
    <col min="10792" max="10792" width="11.5703125" bestFit="1" customWidth="1"/>
    <col min="10793" max="10793" width="9.28515625" bestFit="1" customWidth="1"/>
    <col min="10794" max="10794" width="11.5703125" bestFit="1" customWidth="1"/>
    <col min="10795" max="10795" width="9.28515625" bestFit="1" customWidth="1"/>
    <col min="10796" max="10796" width="11.5703125" bestFit="1" customWidth="1"/>
    <col min="10797" max="10797" width="9.28515625" bestFit="1" customWidth="1"/>
    <col min="10798" max="10798" width="11.5703125" bestFit="1" customWidth="1"/>
    <col min="10799" max="10799" width="9.28515625" bestFit="1" customWidth="1"/>
    <col min="10800" max="10800" width="11.5703125" bestFit="1" customWidth="1"/>
    <col min="10801" max="10801" width="9.28515625" bestFit="1" customWidth="1"/>
    <col min="10802" max="10802" width="11.5703125" bestFit="1" customWidth="1"/>
    <col min="10803" max="10803" width="9.28515625" bestFit="1" customWidth="1"/>
    <col min="11011" max="11011" width="29.42578125" bestFit="1" customWidth="1"/>
    <col min="11012" max="11012" width="11.5703125" bestFit="1" customWidth="1"/>
    <col min="11013" max="11013" width="9.28515625" bestFit="1" customWidth="1"/>
    <col min="11014" max="11014" width="11.5703125" bestFit="1" customWidth="1"/>
    <col min="11015" max="11015" width="9.28515625" bestFit="1" customWidth="1"/>
    <col min="11016" max="11016" width="11.5703125" bestFit="1" customWidth="1"/>
    <col min="11017" max="11017" width="9.28515625" bestFit="1" customWidth="1"/>
    <col min="11018" max="11018" width="11.5703125" bestFit="1" customWidth="1"/>
    <col min="11019" max="11019" width="9.28515625" bestFit="1" customWidth="1"/>
    <col min="11020" max="11020" width="11.5703125" bestFit="1" customWidth="1"/>
    <col min="11021" max="11021" width="9.28515625" bestFit="1" customWidth="1"/>
    <col min="11022" max="11022" width="11.5703125" bestFit="1" customWidth="1"/>
    <col min="11023" max="11023" width="9.28515625" bestFit="1" customWidth="1"/>
    <col min="11024" max="11024" width="11.5703125" bestFit="1" customWidth="1"/>
    <col min="11025" max="11025" width="9.28515625" bestFit="1" customWidth="1"/>
    <col min="11026" max="11026" width="11.5703125" bestFit="1" customWidth="1"/>
    <col min="11027" max="11027" width="9.28515625" bestFit="1" customWidth="1"/>
    <col min="11028" max="11028" width="11.5703125" bestFit="1" customWidth="1"/>
    <col min="11029" max="11029" width="9.28515625" bestFit="1" customWidth="1"/>
    <col min="11030" max="11030" width="11.5703125" bestFit="1" customWidth="1"/>
    <col min="11031" max="11031" width="9.28515625" bestFit="1" customWidth="1"/>
    <col min="11032" max="11032" width="11.5703125" bestFit="1" customWidth="1"/>
    <col min="11033" max="11033" width="9.28515625" bestFit="1" customWidth="1"/>
    <col min="11034" max="11034" width="11.5703125" bestFit="1" customWidth="1"/>
    <col min="11035" max="11035" width="9.28515625" bestFit="1" customWidth="1"/>
    <col min="11036" max="11036" width="11.5703125" bestFit="1" customWidth="1"/>
    <col min="11037" max="11037" width="9.28515625" bestFit="1" customWidth="1"/>
    <col min="11038" max="11038" width="11.5703125" bestFit="1" customWidth="1"/>
    <col min="11039" max="11039" width="9.28515625" bestFit="1" customWidth="1"/>
    <col min="11040" max="11040" width="11.5703125" bestFit="1" customWidth="1"/>
    <col min="11041" max="11041" width="9.28515625" bestFit="1" customWidth="1"/>
    <col min="11042" max="11042" width="11.5703125" bestFit="1" customWidth="1"/>
    <col min="11043" max="11043" width="9.28515625" bestFit="1" customWidth="1"/>
    <col min="11044" max="11044" width="11.5703125" bestFit="1" customWidth="1"/>
    <col min="11045" max="11045" width="9.28515625" bestFit="1" customWidth="1"/>
    <col min="11046" max="11046" width="11.5703125" bestFit="1" customWidth="1"/>
    <col min="11047" max="11047" width="9.28515625" bestFit="1" customWidth="1"/>
    <col min="11048" max="11048" width="11.5703125" bestFit="1" customWidth="1"/>
    <col min="11049" max="11049" width="9.28515625" bestFit="1" customWidth="1"/>
    <col min="11050" max="11050" width="11.5703125" bestFit="1" customWidth="1"/>
    <col min="11051" max="11051" width="9.28515625" bestFit="1" customWidth="1"/>
    <col min="11052" max="11052" width="11.5703125" bestFit="1" customWidth="1"/>
    <col min="11053" max="11053" width="9.28515625" bestFit="1" customWidth="1"/>
    <col min="11054" max="11054" width="11.5703125" bestFit="1" customWidth="1"/>
    <col min="11055" max="11055" width="9.28515625" bestFit="1" customWidth="1"/>
    <col min="11056" max="11056" width="11.5703125" bestFit="1" customWidth="1"/>
    <col min="11057" max="11057" width="9.28515625" bestFit="1" customWidth="1"/>
    <col min="11058" max="11058" width="11.5703125" bestFit="1" customWidth="1"/>
    <col min="11059" max="11059" width="9.28515625" bestFit="1" customWidth="1"/>
    <col min="11267" max="11267" width="29.42578125" bestFit="1" customWidth="1"/>
    <col min="11268" max="11268" width="11.5703125" bestFit="1" customWidth="1"/>
    <col min="11269" max="11269" width="9.28515625" bestFit="1" customWidth="1"/>
    <col min="11270" max="11270" width="11.5703125" bestFit="1" customWidth="1"/>
    <col min="11271" max="11271" width="9.28515625" bestFit="1" customWidth="1"/>
    <col min="11272" max="11272" width="11.5703125" bestFit="1" customWidth="1"/>
    <col min="11273" max="11273" width="9.28515625" bestFit="1" customWidth="1"/>
    <col min="11274" max="11274" width="11.5703125" bestFit="1" customWidth="1"/>
    <col min="11275" max="11275" width="9.28515625" bestFit="1" customWidth="1"/>
    <col min="11276" max="11276" width="11.5703125" bestFit="1" customWidth="1"/>
    <col min="11277" max="11277" width="9.28515625" bestFit="1" customWidth="1"/>
    <col min="11278" max="11278" width="11.5703125" bestFit="1" customWidth="1"/>
    <col min="11279" max="11279" width="9.28515625" bestFit="1" customWidth="1"/>
    <col min="11280" max="11280" width="11.5703125" bestFit="1" customWidth="1"/>
    <col min="11281" max="11281" width="9.28515625" bestFit="1" customWidth="1"/>
    <col min="11282" max="11282" width="11.5703125" bestFit="1" customWidth="1"/>
    <col min="11283" max="11283" width="9.28515625" bestFit="1" customWidth="1"/>
    <col min="11284" max="11284" width="11.5703125" bestFit="1" customWidth="1"/>
    <col min="11285" max="11285" width="9.28515625" bestFit="1" customWidth="1"/>
    <col min="11286" max="11286" width="11.5703125" bestFit="1" customWidth="1"/>
    <col min="11287" max="11287" width="9.28515625" bestFit="1" customWidth="1"/>
    <col min="11288" max="11288" width="11.5703125" bestFit="1" customWidth="1"/>
    <col min="11289" max="11289" width="9.28515625" bestFit="1" customWidth="1"/>
    <col min="11290" max="11290" width="11.5703125" bestFit="1" customWidth="1"/>
    <col min="11291" max="11291" width="9.28515625" bestFit="1" customWidth="1"/>
    <col min="11292" max="11292" width="11.5703125" bestFit="1" customWidth="1"/>
    <col min="11293" max="11293" width="9.28515625" bestFit="1" customWidth="1"/>
    <col min="11294" max="11294" width="11.5703125" bestFit="1" customWidth="1"/>
    <col min="11295" max="11295" width="9.28515625" bestFit="1" customWidth="1"/>
    <col min="11296" max="11296" width="11.5703125" bestFit="1" customWidth="1"/>
    <col min="11297" max="11297" width="9.28515625" bestFit="1" customWidth="1"/>
    <col min="11298" max="11298" width="11.5703125" bestFit="1" customWidth="1"/>
    <col min="11299" max="11299" width="9.28515625" bestFit="1" customWidth="1"/>
    <col min="11300" max="11300" width="11.5703125" bestFit="1" customWidth="1"/>
    <col min="11301" max="11301" width="9.28515625" bestFit="1" customWidth="1"/>
    <col min="11302" max="11302" width="11.5703125" bestFit="1" customWidth="1"/>
    <col min="11303" max="11303" width="9.28515625" bestFit="1" customWidth="1"/>
    <col min="11304" max="11304" width="11.5703125" bestFit="1" customWidth="1"/>
    <col min="11305" max="11305" width="9.28515625" bestFit="1" customWidth="1"/>
    <col min="11306" max="11306" width="11.5703125" bestFit="1" customWidth="1"/>
    <col min="11307" max="11307" width="9.28515625" bestFit="1" customWidth="1"/>
    <col min="11308" max="11308" width="11.5703125" bestFit="1" customWidth="1"/>
    <col min="11309" max="11309" width="9.28515625" bestFit="1" customWidth="1"/>
    <col min="11310" max="11310" width="11.5703125" bestFit="1" customWidth="1"/>
    <col min="11311" max="11311" width="9.28515625" bestFit="1" customWidth="1"/>
    <col min="11312" max="11312" width="11.5703125" bestFit="1" customWidth="1"/>
    <col min="11313" max="11313" width="9.28515625" bestFit="1" customWidth="1"/>
    <col min="11314" max="11314" width="11.5703125" bestFit="1" customWidth="1"/>
    <col min="11315" max="11315" width="9.28515625" bestFit="1" customWidth="1"/>
    <col min="11523" max="11523" width="29.42578125" bestFit="1" customWidth="1"/>
    <col min="11524" max="11524" width="11.5703125" bestFit="1" customWidth="1"/>
    <col min="11525" max="11525" width="9.28515625" bestFit="1" customWidth="1"/>
    <col min="11526" max="11526" width="11.5703125" bestFit="1" customWidth="1"/>
    <col min="11527" max="11527" width="9.28515625" bestFit="1" customWidth="1"/>
    <col min="11528" max="11528" width="11.5703125" bestFit="1" customWidth="1"/>
    <col min="11529" max="11529" width="9.28515625" bestFit="1" customWidth="1"/>
    <col min="11530" max="11530" width="11.5703125" bestFit="1" customWidth="1"/>
    <col min="11531" max="11531" width="9.28515625" bestFit="1" customWidth="1"/>
    <col min="11532" max="11532" width="11.5703125" bestFit="1" customWidth="1"/>
    <col min="11533" max="11533" width="9.28515625" bestFit="1" customWidth="1"/>
    <col min="11534" max="11534" width="11.5703125" bestFit="1" customWidth="1"/>
    <col min="11535" max="11535" width="9.28515625" bestFit="1" customWidth="1"/>
    <col min="11536" max="11536" width="11.5703125" bestFit="1" customWidth="1"/>
    <col min="11537" max="11537" width="9.28515625" bestFit="1" customWidth="1"/>
    <col min="11538" max="11538" width="11.5703125" bestFit="1" customWidth="1"/>
    <col min="11539" max="11539" width="9.28515625" bestFit="1" customWidth="1"/>
    <col min="11540" max="11540" width="11.5703125" bestFit="1" customWidth="1"/>
    <col min="11541" max="11541" width="9.28515625" bestFit="1" customWidth="1"/>
    <col min="11542" max="11542" width="11.5703125" bestFit="1" customWidth="1"/>
    <col min="11543" max="11543" width="9.28515625" bestFit="1" customWidth="1"/>
    <col min="11544" max="11544" width="11.5703125" bestFit="1" customWidth="1"/>
    <col min="11545" max="11545" width="9.28515625" bestFit="1" customWidth="1"/>
    <col min="11546" max="11546" width="11.5703125" bestFit="1" customWidth="1"/>
    <col min="11547" max="11547" width="9.28515625" bestFit="1" customWidth="1"/>
    <col min="11548" max="11548" width="11.5703125" bestFit="1" customWidth="1"/>
    <col min="11549" max="11549" width="9.28515625" bestFit="1" customWidth="1"/>
    <col min="11550" max="11550" width="11.5703125" bestFit="1" customWidth="1"/>
    <col min="11551" max="11551" width="9.28515625" bestFit="1" customWidth="1"/>
    <col min="11552" max="11552" width="11.5703125" bestFit="1" customWidth="1"/>
    <col min="11553" max="11553" width="9.28515625" bestFit="1" customWidth="1"/>
    <col min="11554" max="11554" width="11.5703125" bestFit="1" customWidth="1"/>
    <col min="11555" max="11555" width="9.28515625" bestFit="1" customWidth="1"/>
    <col min="11556" max="11556" width="11.5703125" bestFit="1" customWidth="1"/>
    <col min="11557" max="11557" width="9.28515625" bestFit="1" customWidth="1"/>
    <col min="11558" max="11558" width="11.5703125" bestFit="1" customWidth="1"/>
    <col min="11559" max="11559" width="9.28515625" bestFit="1" customWidth="1"/>
    <col min="11560" max="11560" width="11.5703125" bestFit="1" customWidth="1"/>
    <col min="11561" max="11561" width="9.28515625" bestFit="1" customWidth="1"/>
    <col min="11562" max="11562" width="11.5703125" bestFit="1" customWidth="1"/>
    <col min="11563" max="11563" width="9.28515625" bestFit="1" customWidth="1"/>
    <col min="11564" max="11564" width="11.5703125" bestFit="1" customWidth="1"/>
    <col min="11565" max="11565" width="9.28515625" bestFit="1" customWidth="1"/>
    <col min="11566" max="11566" width="11.5703125" bestFit="1" customWidth="1"/>
    <col min="11567" max="11567" width="9.28515625" bestFit="1" customWidth="1"/>
    <col min="11568" max="11568" width="11.5703125" bestFit="1" customWidth="1"/>
    <col min="11569" max="11569" width="9.28515625" bestFit="1" customWidth="1"/>
    <col min="11570" max="11570" width="11.5703125" bestFit="1" customWidth="1"/>
    <col min="11571" max="11571" width="9.28515625" bestFit="1" customWidth="1"/>
    <col min="11779" max="11779" width="29.42578125" bestFit="1" customWidth="1"/>
    <col min="11780" max="11780" width="11.5703125" bestFit="1" customWidth="1"/>
    <col min="11781" max="11781" width="9.28515625" bestFit="1" customWidth="1"/>
    <col min="11782" max="11782" width="11.5703125" bestFit="1" customWidth="1"/>
    <col min="11783" max="11783" width="9.28515625" bestFit="1" customWidth="1"/>
    <col min="11784" max="11784" width="11.5703125" bestFit="1" customWidth="1"/>
    <col min="11785" max="11785" width="9.28515625" bestFit="1" customWidth="1"/>
    <col min="11786" max="11786" width="11.5703125" bestFit="1" customWidth="1"/>
    <col min="11787" max="11787" width="9.28515625" bestFit="1" customWidth="1"/>
    <col min="11788" max="11788" width="11.5703125" bestFit="1" customWidth="1"/>
    <col min="11789" max="11789" width="9.28515625" bestFit="1" customWidth="1"/>
    <col min="11790" max="11790" width="11.5703125" bestFit="1" customWidth="1"/>
    <col min="11791" max="11791" width="9.28515625" bestFit="1" customWidth="1"/>
    <col min="11792" max="11792" width="11.5703125" bestFit="1" customWidth="1"/>
    <col min="11793" max="11793" width="9.28515625" bestFit="1" customWidth="1"/>
    <col min="11794" max="11794" width="11.5703125" bestFit="1" customWidth="1"/>
    <col min="11795" max="11795" width="9.28515625" bestFit="1" customWidth="1"/>
    <col min="11796" max="11796" width="11.5703125" bestFit="1" customWidth="1"/>
    <col min="11797" max="11797" width="9.28515625" bestFit="1" customWidth="1"/>
    <col min="11798" max="11798" width="11.5703125" bestFit="1" customWidth="1"/>
    <col min="11799" max="11799" width="9.28515625" bestFit="1" customWidth="1"/>
    <col min="11800" max="11800" width="11.5703125" bestFit="1" customWidth="1"/>
    <col min="11801" max="11801" width="9.28515625" bestFit="1" customWidth="1"/>
    <col min="11802" max="11802" width="11.5703125" bestFit="1" customWidth="1"/>
    <col min="11803" max="11803" width="9.28515625" bestFit="1" customWidth="1"/>
    <col min="11804" max="11804" width="11.5703125" bestFit="1" customWidth="1"/>
    <col min="11805" max="11805" width="9.28515625" bestFit="1" customWidth="1"/>
    <col min="11806" max="11806" width="11.5703125" bestFit="1" customWidth="1"/>
    <col min="11807" max="11807" width="9.28515625" bestFit="1" customWidth="1"/>
    <col min="11808" max="11808" width="11.5703125" bestFit="1" customWidth="1"/>
    <col min="11809" max="11809" width="9.28515625" bestFit="1" customWidth="1"/>
    <col min="11810" max="11810" width="11.5703125" bestFit="1" customWidth="1"/>
    <col min="11811" max="11811" width="9.28515625" bestFit="1" customWidth="1"/>
    <col min="11812" max="11812" width="11.5703125" bestFit="1" customWidth="1"/>
    <col min="11813" max="11813" width="9.28515625" bestFit="1" customWidth="1"/>
    <col min="11814" max="11814" width="11.5703125" bestFit="1" customWidth="1"/>
    <col min="11815" max="11815" width="9.28515625" bestFit="1" customWidth="1"/>
    <col min="11816" max="11816" width="11.5703125" bestFit="1" customWidth="1"/>
    <col min="11817" max="11817" width="9.28515625" bestFit="1" customWidth="1"/>
    <col min="11818" max="11818" width="11.5703125" bestFit="1" customWidth="1"/>
    <col min="11819" max="11819" width="9.28515625" bestFit="1" customWidth="1"/>
    <col min="11820" max="11820" width="11.5703125" bestFit="1" customWidth="1"/>
    <col min="11821" max="11821" width="9.28515625" bestFit="1" customWidth="1"/>
    <col min="11822" max="11822" width="11.5703125" bestFit="1" customWidth="1"/>
    <col min="11823" max="11823" width="9.28515625" bestFit="1" customWidth="1"/>
    <col min="11824" max="11824" width="11.5703125" bestFit="1" customWidth="1"/>
    <col min="11825" max="11825" width="9.28515625" bestFit="1" customWidth="1"/>
    <col min="11826" max="11826" width="11.5703125" bestFit="1" customWidth="1"/>
    <col min="11827" max="11827" width="9.28515625" bestFit="1" customWidth="1"/>
    <col min="12035" max="12035" width="29.42578125" bestFit="1" customWidth="1"/>
    <col min="12036" max="12036" width="11.5703125" bestFit="1" customWidth="1"/>
    <col min="12037" max="12037" width="9.28515625" bestFit="1" customWidth="1"/>
    <col min="12038" max="12038" width="11.5703125" bestFit="1" customWidth="1"/>
    <col min="12039" max="12039" width="9.28515625" bestFit="1" customWidth="1"/>
    <col min="12040" max="12040" width="11.5703125" bestFit="1" customWidth="1"/>
    <col min="12041" max="12041" width="9.28515625" bestFit="1" customWidth="1"/>
    <col min="12042" max="12042" width="11.5703125" bestFit="1" customWidth="1"/>
    <col min="12043" max="12043" width="9.28515625" bestFit="1" customWidth="1"/>
    <col min="12044" max="12044" width="11.5703125" bestFit="1" customWidth="1"/>
    <col min="12045" max="12045" width="9.28515625" bestFit="1" customWidth="1"/>
    <col min="12046" max="12046" width="11.5703125" bestFit="1" customWidth="1"/>
    <col min="12047" max="12047" width="9.28515625" bestFit="1" customWidth="1"/>
    <col min="12048" max="12048" width="11.5703125" bestFit="1" customWidth="1"/>
    <col min="12049" max="12049" width="9.28515625" bestFit="1" customWidth="1"/>
    <col min="12050" max="12050" width="11.5703125" bestFit="1" customWidth="1"/>
    <col min="12051" max="12051" width="9.28515625" bestFit="1" customWidth="1"/>
    <col min="12052" max="12052" width="11.5703125" bestFit="1" customWidth="1"/>
    <col min="12053" max="12053" width="9.28515625" bestFit="1" customWidth="1"/>
    <col min="12054" max="12054" width="11.5703125" bestFit="1" customWidth="1"/>
    <col min="12055" max="12055" width="9.28515625" bestFit="1" customWidth="1"/>
    <col min="12056" max="12056" width="11.5703125" bestFit="1" customWidth="1"/>
    <col min="12057" max="12057" width="9.28515625" bestFit="1" customWidth="1"/>
    <col min="12058" max="12058" width="11.5703125" bestFit="1" customWidth="1"/>
    <col min="12059" max="12059" width="9.28515625" bestFit="1" customWidth="1"/>
    <col min="12060" max="12060" width="11.5703125" bestFit="1" customWidth="1"/>
    <col min="12061" max="12061" width="9.28515625" bestFit="1" customWidth="1"/>
    <col min="12062" max="12062" width="11.5703125" bestFit="1" customWidth="1"/>
    <col min="12063" max="12063" width="9.28515625" bestFit="1" customWidth="1"/>
    <col min="12064" max="12064" width="11.5703125" bestFit="1" customWidth="1"/>
    <col min="12065" max="12065" width="9.28515625" bestFit="1" customWidth="1"/>
    <col min="12066" max="12066" width="11.5703125" bestFit="1" customWidth="1"/>
    <col min="12067" max="12067" width="9.28515625" bestFit="1" customWidth="1"/>
    <col min="12068" max="12068" width="11.5703125" bestFit="1" customWidth="1"/>
    <col min="12069" max="12069" width="9.28515625" bestFit="1" customWidth="1"/>
    <col min="12070" max="12070" width="11.5703125" bestFit="1" customWidth="1"/>
    <col min="12071" max="12071" width="9.28515625" bestFit="1" customWidth="1"/>
    <col min="12072" max="12072" width="11.5703125" bestFit="1" customWidth="1"/>
    <col min="12073" max="12073" width="9.28515625" bestFit="1" customWidth="1"/>
    <col min="12074" max="12074" width="11.5703125" bestFit="1" customWidth="1"/>
    <col min="12075" max="12075" width="9.28515625" bestFit="1" customWidth="1"/>
    <col min="12076" max="12076" width="11.5703125" bestFit="1" customWidth="1"/>
    <col min="12077" max="12077" width="9.28515625" bestFit="1" customWidth="1"/>
    <col min="12078" max="12078" width="11.5703125" bestFit="1" customWidth="1"/>
    <col min="12079" max="12079" width="9.28515625" bestFit="1" customWidth="1"/>
    <col min="12080" max="12080" width="11.5703125" bestFit="1" customWidth="1"/>
    <col min="12081" max="12081" width="9.28515625" bestFit="1" customWidth="1"/>
    <col min="12082" max="12082" width="11.5703125" bestFit="1" customWidth="1"/>
    <col min="12083" max="12083" width="9.28515625" bestFit="1" customWidth="1"/>
    <col min="12291" max="12291" width="29.42578125" bestFit="1" customWidth="1"/>
    <col min="12292" max="12292" width="11.5703125" bestFit="1" customWidth="1"/>
    <col min="12293" max="12293" width="9.28515625" bestFit="1" customWidth="1"/>
    <col min="12294" max="12294" width="11.5703125" bestFit="1" customWidth="1"/>
    <col min="12295" max="12295" width="9.28515625" bestFit="1" customWidth="1"/>
    <col min="12296" max="12296" width="11.5703125" bestFit="1" customWidth="1"/>
    <col min="12297" max="12297" width="9.28515625" bestFit="1" customWidth="1"/>
    <col min="12298" max="12298" width="11.5703125" bestFit="1" customWidth="1"/>
    <col min="12299" max="12299" width="9.28515625" bestFit="1" customWidth="1"/>
    <col min="12300" max="12300" width="11.5703125" bestFit="1" customWidth="1"/>
    <col min="12301" max="12301" width="9.28515625" bestFit="1" customWidth="1"/>
    <col min="12302" max="12302" width="11.5703125" bestFit="1" customWidth="1"/>
    <col min="12303" max="12303" width="9.28515625" bestFit="1" customWidth="1"/>
    <col min="12304" max="12304" width="11.5703125" bestFit="1" customWidth="1"/>
    <col min="12305" max="12305" width="9.28515625" bestFit="1" customWidth="1"/>
    <col min="12306" max="12306" width="11.5703125" bestFit="1" customWidth="1"/>
    <col min="12307" max="12307" width="9.28515625" bestFit="1" customWidth="1"/>
    <col min="12308" max="12308" width="11.5703125" bestFit="1" customWidth="1"/>
    <col min="12309" max="12309" width="9.28515625" bestFit="1" customWidth="1"/>
    <col min="12310" max="12310" width="11.5703125" bestFit="1" customWidth="1"/>
    <col min="12311" max="12311" width="9.28515625" bestFit="1" customWidth="1"/>
    <col min="12312" max="12312" width="11.5703125" bestFit="1" customWidth="1"/>
    <col min="12313" max="12313" width="9.28515625" bestFit="1" customWidth="1"/>
    <col min="12314" max="12314" width="11.5703125" bestFit="1" customWidth="1"/>
    <col min="12315" max="12315" width="9.28515625" bestFit="1" customWidth="1"/>
    <col min="12316" max="12316" width="11.5703125" bestFit="1" customWidth="1"/>
    <col min="12317" max="12317" width="9.28515625" bestFit="1" customWidth="1"/>
    <col min="12318" max="12318" width="11.5703125" bestFit="1" customWidth="1"/>
    <col min="12319" max="12319" width="9.28515625" bestFit="1" customWidth="1"/>
    <col min="12320" max="12320" width="11.5703125" bestFit="1" customWidth="1"/>
    <col min="12321" max="12321" width="9.28515625" bestFit="1" customWidth="1"/>
    <col min="12322" max="12322" width="11.5703125" bestFit="1" customWidth="1"/>
    <col min="12323" max="12323" width="9.28515625" bestFit="1" customWidth="1"/>
    <col min="12324" max="12324" width="11.5703125" bestFit="1" customWidth="1"/>
    <col min="12325" max="12325" width="9.28515625" bestFit="1" customWidth="1"/>
    <col min="12326" max="12326" width="11.5703125" bestFit="1" customWidth="1"/>
    <col min="12327" max="12327" width="9.28515625" bestFit="1" customWidth="1"/>
    <col min="12328" max="12328" width="11.5703125" bestFit="1" customWidth="1"/>
    <col min="12329" max="12329" width="9.28515625" bestFit="1" customWidth="1"/>
    <col min="12330" max="12330" width="11.5703125" bestFit="1" customWidth="1"/>
    <col min="12331" max="12331" width="9.28515625" bestFit="1" customWidth="1"/>
    <col min="12332" max="12332" width="11.5703125" bestFit="1" customWidth="1"/>
    <col min="12333" max="12333" width="9.28515625" bestFit="1" customWidth="1"/>
    <col min="12334" max="12334" width="11.5703125" bestFit="1" customWidth="1"/>
    <col min="12335" max="12335" width="9.28515625" bestFit="1" customWidth="1"/>
    <col min="12336" max="12336" width="11.5703125" bestFit="1" customWidth="1"/>
    <col min="12337" max="12337" width="9.28515625" bestFit="1" customWidth="1"/>
    <col min="12338" max="12338" width="11.5703125" bestFit="1" customWidth="1"/>
    <col min="12339" max="12339" width="9.28515625" bestFit="1" customWidth="1"/>
    <col min="12547" max="12547" width="29.42578125" bestFit="1" customWidth="1"/>
    <col min="12548" max="12548" width="11.5703125" bestFit="1" customWidth="1"/>
    <col min="12549" max="12549" width="9.28515625" bestFit="1" customWidth="1"/>
    <col min="12550" max="12550" width="11.5703125" bestFit="1" customWidth="1"/>
    <col min="12551" max="12551" width="9.28515625" bestFit="1" customWidth="1"/>
    <col min="12552" max="12552" width="11.5703125" bestFit="1" customWidth="1"/>
    <col min="12553" max="12553" width="9.28515625" bestFit="1" customWidth="1"/>
    <col min="12554" max="12554" width="11.5703125" bestFit="1" customWidth="1"/>
    <col min="12555" max="12555" width="9.28515625" bestFit="1" customWidth="1"/>
    <col min="12556" max="12556" width="11.5703125" bestFit="1" customWidth="1"/>
    <col min="12557" max="12557" width="9.28515625" bestFit="1" customWidth="1"/>
    <col min="12558" max="12558" width="11.5703125" bestFit="1" customWidth="1"/>
    <col min="12559" max="12559" width="9.28515625" bestFit="1" customWidth="1"/>
    <col min="12560" max="12560" width="11.5703125" bestFit="1" customWidth="1"/>
    <col min="12561" max="12561" width="9.28515625" bestFit="1" customWidth="1"/>
    <col min="12562" max="12562" width="11.5703125" bestFit="1" customWidth="1"/>
    <col min="12563" max="12563" width="9.28515625" bestFit="1" customWidth="1"/>
    <col min="12564" max="12564" width="11.5703125" bestFit="1" customWidth="1"/>
    <col min="12565" max="12565" width="9.28515625" bestFit="1" customWidth="1"/>
    <col min="12566" max="12566" width="11.5703125" bestFit="1" customWidth="1"/>
    <col min="12567" max="12567" width="9.28515625" bestFit="1" customWidth="1"/>
    <col min="12568" max="12568" width="11.5703125" bestFit="1" customWidth="1"/>
    <col min="12569" max="12569" width="9.28515625" bestFit="1" customWidth="1"/>
    <col min="12570" max="12570" width="11.5703125" bestFit="1" customWidth="1"/>
    <col min="12571" max="12571" width="9.28515625" bestFit="1" customWidth="1"/>
    <col min="12572" max="12572" width="11.5703125" bestFit="1" customWidth="1"/>
    <col min="12573" max="12573" width="9.28515625" bestFit="1" customWidth="1"/>
    <col min="12574" max="12574" width="11.5703125" bestFit="1" customWidth="1"/>
    <col min="12575" max="12575" width="9.28515625" bestFit="1" customWidth="1"/>
    <col min="12576" max="12576" width="11.5703125" bestFit="1" customWidth="1"/>
    <col min="12577" max="12577" width="9.28515625" bestFit="1" customWidth="1"/>
    <col min="12578" max="12578" width="11.5703125" bestFit="1" customWidth="1"/>
    <col min="12579" max="12579" width="9.28515625" bestFit="1" customWidth="1"/>
    <col min="12580" max="12580" width="11.5703125" bestFit="1" customWidth="1"/>
    <col min="12581" max="12581" width="9.28515625" bestFit="1" customWidth="1"/>
    <col min="12582" max="12582" width="11.5703125" bestFit="1" customWidth="1"/>
    <col min="12583" max="12583" width="9.28515625" bestFit="1" customWidth="1"/>
    <col min="12584" max="12584" width="11.5703125" bestFit="1" customWidth="1"/>
    <col min="12585" max="12585" width="9.28515625" bestFit="1" customWidth="1"/>
    <col min="12586" max="12586" width="11.5703125" bestFit="1" customWidth="1"/>
    <col min="12587" max="12587" width="9.28515625" bestFit="1" customWidth="1"/>
    <col min="12588" max="12588" width="11.5703125" bestFit="1" customWidth="1"/>
    <col min="12589" max="12589" width="9.28515625" bestFit="1" customWidth="1"/>
    <col min="12590" max="12590" width="11.5703125" bestFit="1" customWidth="1"/>
    <col min="12591" max="12591" width="9.28515625" bestFit="1" customWidth="1"/>
    <col min="12592" max="12592" width="11.5703125" bestFit="1" customWidth="1"/>
    <col min="12593" max="12593" width="9.28515625" bestFit="1" customWidth="1"/>
    <col min="12594" max="12594" width="11.5703125" bestFit="1" customWidth="1"/>
    <col min="12595" max="12595" width="9.28515625" bestFit="1" customWidth="1"/>
    <col min="12803" max="12803" width="29.42578125" bestFit="1" customWidth="1"/>
    <col min="12804" max="12804" width="11.5703125" bestFit="1" customWidth="1"/>
    <col min="12805" max="12805" width="9.28515625" bestFit="1" customWidth="1"/>
    <col min="12806" max="12806" width="11.5703125" bestFit="1" customWidth="1"/>
    <col min="12807" max="12807" width="9.28515625" bestFit="1" customWidth="1"/>
    <col min="12808" max="12808" width="11.5703125" bestFit="1" customWidth="1"/>
    <col min="12809" max="12809" width="9.28515625" bestFit="1" customWidth="1"/>
    <col min="12810" max="12810" width="11.5703125" bestFit="1" customWidth="1"/>
    <col min="12811" max="12811" width="9.28515625" bestFit="1" customWidth="1"/>
    <col min="12812" max="12812" width="11.5703125" bestFit="1" customWidth="1"/>
    <col min="12813" max="12813" width="9.28515625" bestFit="1" customWidth="1"/>
    <col min="12814" max="12814" width="11.5703125" bestFit="1" customWidth="1"/>
    <col min="12815" max="12815" width="9.28515625" bestFit="1" customWidth="1"/>
    <col min="12816" max="12816" width="11.5703125" bestFit="1" customWidth="1"/>
    <col min="12817" max="12817" width="9.28515625" bestFit="1" customWidth="1"/>
    <col min="12818" max="12818" width="11.5703125" bestFit="1" customWidth="1"/>
    <col min="12819" max="12819" width="9.28515625" bestFit="1" customWidth="1"/>
    <col min="12820" max="12820" width="11.5703125" bestFit="1" customWidth="1"/>
    <col min="12821" max="12821" width="9.28515625" bestFit="1" customWidth="1"/>
    <col min="12822" max="12822" width="11.5703125" bestFit="1" customWidth="1"/>
    <col min="12823" max="12823" width="9.28515625" bestFit="1" customWidth="1"/>
    <col min="12824" max="12824" width="11.5703125" bestFit="1" customWidth="1"/>
    <col min="12825" max="12825" width="9.28515625" bestFit="1" customWidth="1"/>
    <col min="12826" max="12826" width="11.5703125" bestFit="1" customWidth="1"/>
    <col min="12827" max="12827" width="9.28515625" bestFit="1" customWidth="1"/>
    <col min="12828" max="12828" width="11.5703125" bestFit="1" customWidth="1"/>
    <col min="12829" max="12829" width="9.28515625" bestFit="1" customWidth="1"/>
    <col min="12830" max="12830" width="11.5703125" bestFit="1" customWidth="1"/>
    <col min="12831" max="12831" width="9.28515625" bestFit="1" customWidth="1"/>
    <col min="12832" max="12832" width="11.5703125" bestFit="1" customWidth="1"/>
    <col min="12833" max="12833" width="9.28515625" bestFit="1" customWidth="1"/>
    <col min="12834" max="12834" width="11.5703125" bestFit="1" customWidth="1"/>
    <col min="12835" max="12835" width="9.28515625" bestFit="1" customWidth="1"/>
    <col min="12836" max="12836" width="11.5703125" bestFit="1" customWidth="1"/>
    <col min="12837" max="12837" width="9.28515625" bestFit="1" customWidth="1"/>
    <col min="12838" max="12838" width="11.5703125" bestFit="1" customWidth="1"/>
    <col min="12839" max="12839" width="9.28515625" bestFit="1" customWidth="1"/>
    <col min="12840" max="12840" width="11.5703125" bestFit="1" customWidth="1"/>
    <col min="12841" max="12841" width="9.28515625" bestFit="1" customWidth="1"/>
    <col min="12842" max="12842" width="11.5703125" bestFit="1" customWidth="1"/>
    <col min="12843" max="12843" width="9.28515625" bestFit="1" customWidth="1"/>
    <col min="12844" max="12844" width="11.5703125" bestFit="1" customWidth="1"/>
    <col min="12845" max="12845" width="9.28515625" bestFit="1" customWidth="1"/>
    <col min="12846" max="12846" width="11.5703125" bestFit="1" customWidth="1"/>
    <col min="12847" max="12847" width="9.28515625" bestFit="1" customWidth="1"/>
    <col min="12848" max="12848" width="11.5703125" bestFit="1" customWidth="1"/>
    <col min="12849" max="12849" width="9.28515625" bestFit="1" customWidth="1"/>
    <col min="12850" max="12850" width="11.5703125" bestFit="1" customWidth="1"/>
    <col min="12851" max="12851" width="9.28515625" bestFit="1" customWidth="1"/>
    <col min="13059" max="13059" width="29.42578125" bestFit="1" customWidth="1"/>
    <col min="13060" max="13060" width="11.5703125" bestFit="1" customWidth="1"/>
    <col min="13061" max="13061" width="9.28515625" bestFit="1" customWidth="1"/>
    <col min="13062" max="13062" width="11.5703125" bestFit="1" customWidth="1"/>
    <col min="13063" max="13063" width="9.28515625" bestFit="1" customWidth="1"/>
    <col min="13064" max="13064" width="11.5703125" bestFit="1" customWidth="1"/>
    <col min="13065" max="13065" width="9.28515625" bestFit="1" customWidth="1"/>
    <col min="13066" max="13066" width="11.5703125" bestFit="1" customWidth="1"/>
    <col min="13067" max="13067" width="9.28515625" bestFit="1" customWidth="1"/>
    <col min="13068" max="13068" width="11.5703125" bestFit="1" customWidth="1"/>
    <col min="13069" max="13069" width="9.28515625" bestFit="1" customWidth="1"/>
    <col min="13070" max="13070" width="11.5703125" bestFit="1" customWidth="1"/>
    <col min="13071" max="13071" width="9.28515625" bestFit="1" customWidth="1"/>
    <col min="13072" max="13072" width="11.5703125" bestFit="1" customWidth="1"/>
    <col min="13073" max="13073" width="9.28515625" bestFit="1" customWidth="1"/>
    <col min="13074" max="13074" width="11.5703125" bestFit="1" customWidth="1"/>
    <col min="13075" max="13075" width="9.28515625" bestFit="1" customWidth="1"/>
    <col min="13076" max="13076" width="11.5703125" bestFit="1" customWidth="1"/>
    <col min="13077" max="13077" width="9.28515625" bestFit="1" customWidth="1"/>
    <col min="13078" max="13078" width="11.5703125" bestFit="1" customWidth="1"/>
    <col min="13079" max="13079" width="9.28515625" bestFit="1" customWidth="1"/>
    <col min="13080" max="13080" width="11.5703125" bestFit="1" customWidth="1"/>
    <col min="13081" max="13081" width="9.28515625" bestFit="1" customWidth="1"/>
    <col min="13082" max="13082" width="11.5703125" bestFit="1" customWidth="1"/>
    <col min="13083" max="13083" width="9.28515625" bestFit="1" customWidth="1"/>
    <col min="13084" max="13084" width="11.5703125" bestFit="1" customWidth="1"/>
    <col min="13085" max="13085" width="9.28515625" bestFit="1" customWidth="1"/>
    <col min="13086" max="13086" width="11.5703125" bestFit="1" customWidth="1"/>
    <col min="13087" max="13087" width="9.28515625" bestFit="1" customWidth="1"/>
    <col min="13088" max="13088" width="11.5703125" bestFit="1" customWidth="1"/>
    <col min="13089" max="13089" width="9.28515625" bestFit="1" customWidth="1"/>
    <col min="13090" max="13090" width="11.5703125" bestFit="1" customWidth="1"/>
    <col min="13091" max="13091" width="9.28515625" bestFit="1" customWidth="1"/>
    <col min="13092" max="13092" width="11.5703125" bestFit="1" customWidth="1"/>
    <col min="13093" max="13093" width="9.28515625" bestFit="1" customWidth="1"/>
    <col min="13094" max="13094" width="11.5703125" bestFit="1" customWidth="1"/>
    <col min="13095" max="13095" width="9.28515625" bestFit="1" customWidth="1"/>
    <col min="13096" max="13096" width="11.5703125" bestFit="1" customWidth="1"/>
    <col min="13097" max="13097" width="9.28515625" bestFit="1" customWidth="1"/>
    <col min="13098" max="13098" width="11.5703125" bestFit="1" customWidth="1"/>
    <col min="13099" max="13099" width="9.28515625" bestFit="1" customWidth="1"/>
    <col min="13100" max="13100" width="11.5703125" bestFit="1" customWidth="1"/>
    <col min="13101" max="13101" width="9.28515625" bestFit="1" customWidth="1"/>
    <col min="13102" max="13102" width="11.5703125" bestFit="1" customWidth="1"/>
    <col min="13103" max="13103" width="9.28515625" bestFit="1" customWidth="1"/>
    <col min="13104" max="13104" width="11.5703125" bestFit="1" customWidth="1"/>
    <col min="13105" max="13105" width="9.28515625" bestFit="1" customWidth="1"/>
    <col min="13106" max="13106" width="11.5703125" bestFit="1" customWidth="1"/>
    <col min="13107" max="13107" width="9.28515625" bestFit="1" customWidth="1"/>
    <col min="13315" max="13315" width="29.42578125" bestFit="1" customWidth="1"/>
    <col min="13316" max="13316" width="11.5703125" bestFit="1" customWidth="1"/>
    <col min="13317" max="13317" width="9.28515625" bestFit="1" customWidth="1"/>
    <col min="13318" max="13318" width="11.5703125" bestFit="1" customWidth="1"/>
    <col min="13319" max="13319" width="9.28515625" bestFit="1" customWidth="1"/>
    <col min="13320" max="13320" width="11.5703125" bestFit="1" customWidth="1"/>
    <col min="13321" max="13321" width="9.28515625" bestFit="1" customWidth="1"/>
    <col min="13322" max="13322" width="11.5703125" bestFit="1" customWidth="1"/>
    <col min="13323" max="13323" width="9.28515625" bestFit="1" customWidth="1"/>
    <col min="13324" max="13324" width="11.5703125" bestFit="1" customWidth="1"/>
    <col min="13325" max="13325" width="9.28515625" bestFit="1" customWidth="1"/>
    <col min="13326" max="13326" width="11.5703125" bestFit="1" customWidth="1"/>
    <col min="13327" max="13327" width="9.28515625" bestFit="1" customWidth="1"/>
    <col min="13328" max="13328" width="11.5703125" bestFit="1" customWidth="1"/>
    <col min="13329" max="13329" width="9.28515625" bestFit="1" customWidth="1"/>
    <col min="13330" max="13330" width="11.5703125" bestFit="1" customWidth="1"/>
    <col min="13331" max="13331" width="9.28515625" bestFit="1" customWidth="1"/>
    <col min="13332" max="13332" width="11.5703125" bestFit="1" customWidth="1"/>
    <col min="13333" max="13333" width="9.28515625" bestFit="1" customWidth="1"/>
    <col min="13334" max="13334" width="11.5703125" bestFit="1" customWidth="1"/>
    <col min="13335" max="13335" width="9.28515625" bestFit="1" customWidth="1"/>
    <col min="13336" max="13336" width="11.5703125" bestFit="1" customWidth="1"/>
    <col min="13337" max="13337" width="9.28515625" bestFit="1" customWidth="1"/>
    <col min="13338" max="13338" width="11.5703125" bestFit="1" customWidth="1"/>
    <col min="13339" max="13339" width="9.28515625" bestFit="1" customWidth="1"/>
    <col min="13340" max="13340" width="11.5703125" bestFit="1" customWidth="1"/>
    <col min="13341" max="13341" width="9.28515625" bestFit="1" customWidth="1"/>
    <col min="13342" max="13342" width="11.5703125" bestFit="1" customWidth="1"/>
    <col min="13343" max="13343" width="9.28515625" bestFit="1" customWidth="1"/>
    <col min="13344" max="13344" width="11.5703125" bestFit="1" customWidth="1"/>
    <col min="13345" max="13345" width="9.28515625" bestFit="1" customWidth="1"/>
    <col min="13346" max="13346" width="11.5703125" bestFit="1" customWidth="1"/>
    <col min="13347" max="13347" width="9.28515625" bestFit="1" customWidth="1"/>
    <col min="13348" max="13348" width="11.5703125" bestFit="1" customWidth="1"/>
    <col min="13349" max="13349" width="9.28515625" bestFit="1" customWidth="1"/>
    <col min="13350" max="13350" width="11.5703125" bestFit="1" customWidth="1"/>
    <col min="13351" max="13351" width="9.28515625" bestFit="1" customWidth="1"/>
    <col min="13352" max="13352" width="11.5703125" bestFit="1" customWidth="1"/>
    <col min="13353" max="13353" width="9.28515625" bestFit="1" customWidth="1"/>
    <col min="13354" max="13354" width="11.5703125" bestFit="1" customWidth="1"/>
    <col min="13355" max="13355" width="9.28515625" bestFit="1" customWidth="1"/>
    <col min="13356" max="13356" width="11.5703125" bestFit="1" customWidth="1"/>
    <col min="13357" max="13357" width="9.28515625" bestFit="1" customWidth="1"/>
    <col min="13358" max="13358" width="11.5703125" bestFit="1" customWidth="1"/>
    <col min="13359" max="13359" width="9.28515625" bestFit="1" customWidth="1"/>
    <col min="13360" max="13360" width="11.5703125" bestFit="1" customWidth="1"/>
    <col min="13361" max="13361" width="9.28515625" bestFit="1" customWidth="1"/>
    <col min="13362" max="13362" width="11.5703125" bestFit="1" customWidth="1"/>
    <col min="13363" max="13363" width="9.28515625" bestFit="1" customWidth="1"/>
    <col min="13571" max="13571" width="29.42578125" bestFit="1" customWidth="1"/>
    <col min="13572" max="13572" width="11.5703125" bestFit="1" customWidth="1"/>
    <col min="13573" max="13573" width="9.28515625" bestFit="1" customWidth="1"/>
    <col min="13574" max="13574" width="11.5703125" bestFit="1" customWidth="1"/>
    <col min="13575" max="13575" width="9.28515625" bestFit="1" customWidth="1"/>
    <col min="13576" max="13576" width="11.5703125" bestFit="1" customWidth="1"/>
    <col min="13577" max="13577" width="9.28515625" bestFit="1" customWidth="1"/>
    <col min="13578" max="13578" width="11.5703125" bestFit="1" customWidth="1"/>
    <col min="13579" max="13579" width="9.28515625" bestFit="1" customWidth="1"/>
    <col min="13580" max="13580" width="11.5703125" bestFit="1" customWidth="1"/>
    <col min="13581" max="13581" width="9.28515625" bestFit="1" customWidth="1"/>
    <col min="13582" max="13582" width="11.5703125" bestFit="1" customWidth="1"/>
    <col min="13583" max="13583" width="9.28515625" bestFit="1" customWidth="1"/>
    <col min="13584" max="13584" width="11.5703125" bestFit="1" customWidth="1"/>
    <col min="13585" max="13585" width="9.28515625" bestFit="1" customWidth="1"/>
    <col min="13586" max="13586" width="11.5703125" bestFit="1" customWidth="1"/>
    <col min="13587" max="13587" width="9.28515625" bestFit="1" customWidth="1"/>
    <col min="13588" max="13588" width="11.5703125" bestFit="1" customWidth="1"/>
    <col min="13589" max="13589" width="9.28515625" bestFit="1" customWidth="1"/>
    <col min="13590" max="13590" width="11.5703125" bestFit="1" customWidth="1"/>
    <col min="13591" max="13591" width="9.28515625" bestFit="1" customWidth="1"/>
    <col min="13592" max="13592" width="11.5703125" bestFit="1" customWidth="1"/>
    <col min="13593" max="13593" width="9.28515625" bestFit="1" customWidth="1"/>
    <col min="13594" max="13594" width="11.5703125" bestFit="1" customWidth="1"/>
    <col min="13595" max="13595" width="9.28515625" bestFit="1" customWidth="1"/>
    <col min="13596" max="13596" width="11.5703125" bestFit="1" customWidth="1"/>
    <col min="13597" max="13597" width="9.28515625" bestFit="1" customWidth="1"/>
    <col min="13598" max="13598" width="11.5703125" bestFit="1" customWidth="1"/>
    <col min="13599" max="13599" width="9.28515625" bestFit="1" customWidth="1"/>
    <col min="13600" max="13600" width="11.5703125" bestFit="1" customWidth="1"/>
    <col min="13601" max="13601" width="9.28515625" bestFit="1" customWidth="1"/>
    <col min="13602" max="13602" width="11.5703125" bestFit="1" customWidth="1"/>
    <col min="13603" max="13603" width="9.28515625" bestFit="1" customWidth="1"/>
    <col min="13604" max="13604" width="11.5703125" bestFit="1" customWidth="1"/>
    <col min="13605" max="13605" width="9.28515625" bestFit="1" customWidth="1"/>
    <col min="13606" max="13606" width="11.5703125" bestFit="1" customWidth="1"/>
    <col min="13607" max="13607" width="9.28515625" bestFit="1" customWidth="1"/>
    <col min="13608" max="13608" width="11.5703125" bestFit="1" customWidth="1"/>
    <col min="13609" max="13609" width="9.28515625" bestFit="1" customWidth="1"/>
    <col min="13610" max="13610" width="11.5703125" bestFit="1" customWidth="1"/>
    <col min="13611" max="13611" width="9.28515625" bestFit="1" customWidth="1"/>
    <col min="13612" max="13612" width="11.5703125" bestFit="1" customWidth="1"/>
    <col min="13613" max="13613" width="9.28515625" bestFit="1" customWidth="1"/>
    <col min="13614" max="13614" width="11.5703125" bestFit="1" customWidth="1"/>
    <col min="13615" max="13615" width="9.28515625" bestFit="1" customWidth="1"/>
    <col min="13616" max="13616" width="11.5703125" bestFit="1" customWidth="1"/>
    <col min="13617" max="13617" width="9.28515625" bestFit="1" customWidth="1"/>
    <col min="13618" max="13618" width="11.5703125" bestFit="1" customWidth="1"/>
    <col min="13619" max="13619" width="9.28515625" bestFit="1" customWidth="1"/>
    <col min="13827" max="13827" width="29.42578125" bestFit="1" customWidth="1"/>
    <col min="13828" max="13828" width="11.5703125" bestFit="1" customWidth="1"/>
    <col min="13829" max="13829" width="9.28515625" bestFit="1" customWidth="1"/>
    <col min="13830" max="13830" width="11.5703125" bestFit="1" customWidth="1"/>
    <col min="13831" max="13831" width="9.28515625" bestFit="1" customWidth="1"/>
    <col min="13832" max="13832" width="11.5703125" bestFit="1" customWidth="1"/>
    <col min="13833" max="13833" width="9.28515625" bestFit="1" customWidth="1"/>
    <col min="13834" max="13834" width="11.5703125" bestFit="1" customWidth="1"/>
    <col min="13835" max="13835" width="9.28515625" bestFit="1" customWidth="1"/>
    <col min="13836" max="13836" width="11.5703125" bestFit="1" customWidth="1"/>
    <col min="13837" max="13837" width="9.28515625" bestFit="1" customWidth="1"/>
    <col min="13838" max="13838" width="11.5703125" bestFit="1" customWidth="1"/>
    <col min="13839" max="13839" width="9.28515625" bestFit="1" customWidth="1"/>
    <col min="13840" max="13840" width="11.5703125" bestFit="1" customWidth="1"/>
    <col min="13841" max="13841" width="9.28515625" bestFit="1" customWidth="1"/>
    <col min="13842" max="13842" width="11.5703125" bestFit="1" customWidth="1"/>
    <col min="13843" max="13843" width="9.28515625" bestFit="1" customWidth="1"/>
    <col min="13844" max="13844" width="11.5703125" bestFit="1" customWidth="1"/>
    <col min="13845" max="13845" width="9.28515625" bestFit="1" customWidth="1"/>
    <col min="13846" max="13846" width="11.5703125" bestFit="1" customWidth="1"/>
    <col min="13847" max="13847" width="9.28515625" bestFit="1" customWidth="1"/>
    <col min="13848" max="13848" width="11.5703125" bestFit="1" customWidth="1"/>
    <col min="13849" max="13849" width="9.28515625" bestFit="1" customWidth="1"/>
    <col min="13850" max="13850" width="11.5703125" bestFit="1" customWidth="1"/>
    <col min="13851" max="13851" width="9.28515625" bestFit="1" customWidth="1"/>
    <col min="13852" max="13852" width="11.5703125" bestFit="1" customWidth="1"/>
    <col min="13853" max="13853" width="9.28515625" bestFit="1" customWidth="1"/>
    <col min="13854" max="13854" width="11.5703125" bestFit="1" customWidth="1"/>
    <col min="13855" max="13855" width="9.28515625" bestFit="1" customWidth="1"/>
    <col min="13856" max="13856" width="11.5703125" bestFit="1" customWidth="1"/>
    <col min="13857" max="13857" width="9.28515625" bestFit="1" customWidth="1"/>
    <col min="13858" max="13858" width="11.5703125" bestFit="1" customWidth="1"/>
    <col min="13859" max="13859" width="9.28515625" bestFit="1" customWidth="1"/>
    <col min="13860" max="13860" width="11.5703125" bestFit="1" customWidth="1"/>
    <col min="13861" max="13861" width="9.28515625" bestFit="1" customWidth="1"/>
    <col min="13862" max="13862" width="11.5703125" bestFit="1" customWidth="1"/>
    <col min="13863" max="13863" width="9.28515625" bestFit="1" customWidth="1"/>
    <col min="13864" max="13864" width="11.5703125" bestFit="1" customWidth="1"/>
    <col min="13865" max="13865" width="9.28515625" bestFit="1" customWidth="1"/>
    <col min="13866" max="13866" width="11.5703125" bestFit="1" customWidth="1"/>
    <col min="13867" max="13867" width="9.28515625" bestFit="1" customWidth="1"/>
    <col min="13868" max="13868" width="11.5703125" bestFit="1" customWidth="1"/>
    <col min="13869" max="13869" width="9.28515625" bestFit="1" customWidth="1"/>
    <col min="13870" max="13870" width="11.5703125" bestFit="1" customWidth="1"/>
    <col min="13871" max="13871" width="9.28515625" bestFit="1" customWidth="1"/>
    <col min="13872" max="13872" width="11.5703125" bestFit="1" customWidth="1"/>
    <col min="13873" max="13873" width="9.28515625" bestFit="1" customWidth="1"/>
    <col min="13874" max="13874" width="11.5703125" bestFit="1" customWidth="1"/>
    <col min="13875" max="13875" width="9.28515625" bestFit="1" customWidth="1"/>
    <col min="14083" max="14083" width="29.42578125" bestFit="1" customWidth="1"/>
    <col min="14084" max="14084" width="11.5703125" bestFit="1" customWidth="1"/>
    <col min="14085" max="14085" width="9.28515625" bestFit="1" customWidth="1"/>
    <col min="14086" max="14086" width="11.5703125" bestFit="1" customWidth="1"/>
    <col min="14087" max="14087" width="9.28515625" bestFit="1" customWidth="1"/>
    <col min="14088" max="14088" width="11.5703125" bestFit="1" customWidth="1"/>
    <col min="14089" max="14089" width="9.28515625" bestFit="1" customWidth="1"/>
    <col min="14090" max="14090" width="11.5703125" bestFit="1" customWidth="1"/>
    <col min="14091" max="14091" width="9.28515625" bestFit="1" customWidth="1"/>
    <col min="14092" max="14092" width="11.5703125" bestFit="1" customWidth="1"/>
    <col min="14093" max="14093" width="9.28515625" bestFit="1" customWidth="1"/>
    <col min="14094" max="14094" width="11.5703125" bestFit="1" customWidth="1"/>
    <col min="14095" max="14095" width="9.28515625" bestFit="1" customWidth="1"/>
    <col min="14096" max="14096" width="11.5703125" bestFit="1" customWidth="1"/>
    <col min="14097" max="14097" width="9.28515625" bestFit="1" customWidth="1"/>
    <col min="14098" max="14098" width="11.5703125" bestFit="1" customWidth="1"/>
    <col min="14099" max="14099" width="9.28515625" bestFit="1" customWidth="1"/>
    <col min="14100" max="14100" width="11.5703125" bestFit="1" customWidth="1"/>
    <col min="14101" max="14101" width="9.28515625" bestFit="1" customWidth="1"/>
    <col min="14102" max="14102" width="11.5703125" bestFit="1" customWidth="1"/>
    <col min="14103" max="14103" width="9.28515625" bestFit="1" customWidth="1"/>
    <col min="14104" max="14104" width="11.5703125" bestFit="1" customWidth="1"/>
    <col min="14105" max="14105" width="9.28515625" bestFit="1" customWidth="1"/>
    <col min="14106" max="14106" width="11.5703125" bestFit="1" customWidth="1"/>
    <col min="14107" max="14107" width="9.28515625" bestFit="1" customWidth="1"/>
    <col min="14108" max="14108" width="11.5703125" bestFit="1" customWidth="1"/>
    <col min="14109" max="14109" width="9.28515625" bestFit="1" customWidth="1"/>
    <col min="14110" max="14110" width="11.5703125" bestFit="1" customWidth="1"/>
    <col min="14111" max="14111" width="9.28515625" bestFit="1" customWidth="1"/>
    <col min="14112" max="14112" width="11.5703125" bestFit="1" customWidth="1"/>
    <col min="14113" max="14113" width="9.28515625" bestFit="1" customWidth="1"/>
    <col min="14114" max="14114" width="11.5703125" bestFit="1" customWidth="1"/>
    <col min="14115" max="14115" width="9.28515625" bestFit="1" customWidth="1"/>
    <col min="14116" max="14116" width="11.5703125" bestFit="1" customWidth="1"/>
    <col min="14117" max="14117" width="9.28515625" bestFit="1" customWidth="1"/>
    <col min="14118" max="14118" width="11.5703125" bestFit="1" customWidth="1"/>
    <col min="14119" max="14119" width="9.28515625" bestFit="1" customWidth="1"/>
    <col min="14120" max="14120" width="11.5703125" bestFit="1" customWidth="1"/>
    <col min="14121" max="14121" width="9.28515625" bestFit="1" customWidth="1"/>
    <col min="14122" max="14122" width="11.5703125" bestFit="1" customWidth="1"/>
    <col min="14123" max="14123" width="9.28515625" bestFit="1" customWidth="1"/>
    <col min="14124" max="14124" width="11.5703125" bestFit="1" customWidth="1"/>
    <col min="14125" max="14125" width="9.28515625" bestFit="1" customWidth="1"/>
    <col min="14126" max="14126" width="11.5703125" bestFit="1" customWidth="1"/>
    <col min="14127" max="14127" width="9.28515625" bestFit="1" customWidth="1"/>
    <col min="14128" max="14128" width="11.5703125" bestFit="1" customWidth="1"/>
    <col min="14129" max="14129" width="9.28515625" bestFit="1" customWidth="1"/>
    <col min="14130" max="14130" width="11.5703125" bestFit="1" customWidth="1"/>
    <col min="14131" max="14131" width="9.28515625" bestFit="1" customWidth="1"/>
    <col min="14339" max="14339" width="29.42578125" bestFit="1" customWidth="1"/>
    <col min="14340" max="14340" width="11.5703125" bestFit="1" customWidth="1"/>
    <col min="14341" max="14341" width="9.28515625" bestFit="1" customWidth="1"/>
    <col min="14342" max="14342" width="11.5703125" bestFit="1" customWidth="1"/>
    <col min="14343" max="14343" width="9.28515625" bestFit="1" customWidth="1"/>
    <col min="14344" max="14344" width="11.5703125" bestFit="1" customWidth="1"/>
    <col min="14345" max="14345" width="9.28515625" bestFit="1" customWidth="1"/>
    <col min="14346" max="14346" width="11.5703125" bestFit="1" customWidth="1"/>
    <col min="14347" max="14347" width="9.28515625" bestFit="1" customWidth="1"/>
    <col min="14348" max="14348" width="11.5703125" bestFit="1" customWidth="1"/>
    <col min="14349" max="14349" width="9.28515625" bestFit="1" customWidth="1"/>
    <col min="14350" max="14350" width="11.5703125" bestFit="1" customWidth="1"/>
    <col min="14351" max="14351" width="9.28515625" bestFit="1" customWidth="1"/>
    <col min="14352" max="14352" width="11.5703125" bestFit="1" customWidth="1"/>
    <col min="14353" max="14353" width="9.28515625" bestFit="1" customWidth="1"/>
    <col min="14354" max="14354" width="11.5703125" bestFit="1" customWidth="1"/>
    <col min="14355" max="14355" width="9.28515625" bestFit="1" customWidth="1"/>
    <col min="14356" max="14356" width="11.5703125" bestFit="1" customWidth="1"/>
    <col min="14357" max="14357" width="9.28515625" bestFit="1" customWidth="1"/>
    <col min="14358" max="14358" width="11.5703125" bestFit="1" customWidth="1"/>
    <col min="14359" max="14359" width="9.28515625" bestFit="1" customWidth="1"/>
    <col min="14360" max="14360" width="11.5703125" bestFit="1" customWidth="1"/>
    <col min="14361" max="14361" width="9.28515625" bestFit="1" customWidth="1"/>
    <col min="14362" max="14362" width="11.5703125" bestFit="1" customWidth="1"/>
    <col min="14363" max="14363" width="9.28515625" bestFit="1" customWidth="1"/>
    <col min="14364" max="14364" width="11.5703125" bestFit="1" customWidth="1"/>
    <col min="14365" max="14365" width="9.28515625" bestFit="1" customWidth="1"/>
    <col min="14366" max="14366" width="11.5703125" bestFit="1" customWidth="1"/>
    <col min="14367" max="14367" width="9.28515625" bestFit="1" customWidth="1"/>
    <col min="14368" max="14368" width="11.5703125" bestFit="1" customWidth="1"/>
    <col min="14369" max="14369" width="9.28515625" bestFit="1" customWidth="1"/>
    <col min="14370" max="14370" width="11.5703125" bestFit="1" customWidth="1"/>
    <col min="14371" max="14371" width="9.28515625" bestFit="1" customWidth="1"/>
    <col min="14372" max="14372" width="11.5703125" bestFit="1" customWidth="1"/>
    <col min="14373" max="14373" width="9.28515625" bestFit="1" customWidth="1"/>
    <col min="14374" max="14374" width="11.5703125" bestFit="1" customWidth="1"/>
    <col min="14375" max="14375" width="9.28515625" bestFit="1" customWidth="1"/>
    <col min="14376" max="14376" width="11.5703125" bestFit="1" customWidth="1"/>
    <col min="14377" max="14377" width="9.28515625" bestFit="1" customWidth="1"/>
    <col min="14378" max="14378" width="11.5703125" bestFit="1" customWidth="1"/>
    <col min="14379" max="14379" width="9.28515625" bestFit="1" customWidth="1"/>
    <col min="14380" max="14380" width="11.5703125" bestFit="1" customWidth="1"/>
    <col min="14381" max="14381" width="9.28515625" bestFit="1" customWidth="1"/>
    <col min="14382" max="14382" width="11.5703125" bestFit="1" customWidth="1"/>
    <col min="14383" max="14383" width="9.28515625" bestFit="1" customWidth="1"/>
    <col min="14384" max="14384" width="11.5703125" bestFit="1" customWidth="1"/>
    <col min="14385" max="14385" width="9.28515625" bestFit="1" customWidth="1"/>
    <col min="14386" max="14386" width="11.5703125" bestFit="1" customWidth="1"/>
    <col min="14387" max="14387" width="9.28515625" bestFit="1" customWidth="1"/>
    <col min="14595" max="14595" width="29.42578125" bestFit="1" customWidth="1"/>
    <col min="14596" max="14596" width="11.5703125" bestFit="1" customWidth="1"/>
    <col min="14597" max="14597" width="9.28515625" bestFit="1" customWidth="1"/>
    <col min="14598" max="14598" width="11.5703125" bestFit="1" customWidth="1"/>
    <col min="14599" max="14599" width="9.28515625" bestFit="1" customWidth="1"/>
    <col min="14600" max="14600" width="11.5703125" bestFit="1" customWidth="1"/>
    <col min="14601" max="14601" width="9.28515625" bestFit="1" customWidth="1"/>
    <col min="14602" max="14602" width="11.5703125" bestFit="1" customWidth="1"/>
    <col min="14603" max="14603" width="9.28515625" bestFit="1" customWidth="1"/>
    <col min="14604" max="14604" width="11.5703125" bestFit="1" customWidth="1"/>
    <col min="14605" max="14605" width="9.28515625" bestFit="1" customWidth="1"/>
    <col min="14606" max="14606" width="11.5703125" bestFit="1" customWidth="1"/>
    <col min="14607" max="14607" width="9.28515625" bestFit="1" customWidth="1"/>
    <col min="14608" max="14608" width="11.5703125" bestFit="1" customWidth="1"/>
    <col min="14609" max="14609" width="9.28515625" bestFit="1" customWidth="1"/>
    <col min="14610" max="14610" width="11.5703125" bestFit="1" customWidth="1"/>
    <col min="14611" max="14611" width="9.28515625" bestFit="1" customWidth="1"/>
    <col min="14612" max="14612" width="11.5703125" bestFit="1" customWidth="1"/>
    <col min="14613" max="14613" width="9.28515625" bestFit="1" customWidth="1"/>
    <col min="14614" max="14614" width="11.5703125" bestFit="1" customWidth="1"/>
    <col min="14615" max="14615" width="9.28515625" bestFit="1" customWidth="1"/>
    <col min="14616" max="14616" width="11.5703125" bestFit="1" customWidth="1"/>
    <col min="14617" max="14617" width="9.28515625" bestFit="1" customWidth="1"/>
    <col min="14618" max="14618" width="11.5703125" bestFit="1" customWidth="1"/>
    <col min="14619" max="14619" width="9.28515625" bestFit="1" customWidth="1"/>
    <col min="14620" max="14620" width="11.5703125" bestFit="1" customWidth="1"/>
    <col min="14621" max="14621" width="9.28515625" bestFit="1" customWidth="1"/>
    <col min="14622" max="14622" width="11.5703125" bestFit="1" customWidth="1"/>
    <col min="14623" max="14623" width="9.28515625" bestFit="1" customWidth="1"/>
    <col min="14624" max="14624" width="11.5703125" bestFit="1" customWidth="1"/>
    <col min="14625" max="14625" width="9.28515625" bestFit="1" customWidth="1"/>
    <col min="14626" max="14626" width="11.5703125" bestFit="1" customWidth="1"/>
    <col min="14627" max="14627" width="9.28515625" bestFit="1" customWidth="1"/>
    <col min="14628" max="14628" width="11.5703125" bestFit="1" customWidth="1"/>
    <col min="14629" max="14629" width="9.28515625" bestFit="1" customWidth="1"/>
    <col min="14630" max="14630" width="11.5703125" bestFit="1" customWidth="1"/>
    <col min="14631" max="14631" width="9.28515625" bestFit="1" customWidth="1"/>
    <col min="14632" max="14632" width="11.5703125" bestFit="1" customWidth="1"/>
    <col min="14633" max="14633" width="9.28515625" bestFit="1" customWidth="1"/>
    <col min="14634" max="14634" width="11.5703125" bestFit="1" customWidth="1"/>
    <col min="14635" max="14635" width="9.28515625" bestFit="1" customWidth="1"/>
    <col min="14636" max="14636" width="11.5703125" bestFit="1" customWidth="1"/>
    <col min="14637" max="14637" width="9.28515625" bestFit="1" customWidth="1"/>
    <col min="14638" max="14638" width="11.5703125" bestFit="1" customWidth="1"/>
    <col min="14639" max="14639" width="9.28515625" bestFit="1" customWidth="1"/>
    <col min="14640" max="14640" width="11.5703125" bestFit="1" customWidth="1"/>
    <col min="14641" max="14641" width="9.28515625" bestFit="1" customWidth="1"/>
    <col min="14642" max="14642" width="11.5703125" bestFit="1" customWidth="1"/>
    <col min="14643" max="14643" width="9.28515625" bestFit="1" customWidth="1"/>
    <col min="14851" max="14851" width="29.42578125" bestFit="1" customWidth="1"/>
    <col min="14852" max="14852" width="11.5703125" bestFit="1" customWidth="1"/>
    <col min="14853" max="14853" width="9.28515625" bestFit="1" customWidth="1"/>
    <col min="14854" max="14854" width="11.5703125" bestFit="1" customWidth="1"/>
    <col min="14855" max="14855" width="9.28515625" bestFit="1" customWidth="1"/>
    <col min="14856" max="14856" width="11.5703125" bestFit="1" customWidth="1"/>
    <col min="14857" max="14857" width="9.28515625" bestFit="1" customWidth="1"/>
    <col min="14858" max="14858" width="11.5703125" bestFit="1" customWidth="1"/>
    <col min="14859" max="14859" width="9.28515625" bestFit="1" customWidth="1"/>
    <col min="14860" max="14860" width="11.5703125" bestFit="1" customWidth="1"/>
    <col min="14861" max="14861" width="9.28515625" bestFit="1" customWidth="1"/>
    <col min="14862" max="14862" width="11.5703125" bestFit="1" customWidth="1"/>
    <col min="14863" max="14863" width="9.28515625" bestFit="1" customWidth="1"/>
    <col min="14864" max="14864" width="11.5703125" bestFit="1" customWidth="1"/>
    <col min="14865" max="14865" width="9.28515625" bestFit="1" customWidth="1"/>
    <col min="14866" max="14866" width="11.5703125" bestFit="1" customWidth="1"/>
    <col min="14867" max="14867" width="9.28515625" bestFit="1" customWidth="1"/>
    <col min="14868" max="14868" width="11.5703125" bestFit="1" customWidth="1"/>
    <col min="14869" max="14869" width="9.28515625" bestFit="1" customWidth="1"/>
    <col min="14870" max="14870" width="11.5703125" bestFit="1" customWidth="1"/>
    <col min="14871" max="14871" width="9.28515625" bestFit="1" customWidth="1"/>
    <col min="14872" max="14872" width="11.5703125" bestFit="1" customWidth="1"/>
    <col min="14873" max="14873" width="9.28515625" bestFit="1" customWidth="1"/>
    <col min="14874" max="14874" width="11.5703125" bestFit="1" customWidth="1"/>
    <col min="14875" max="14875" width="9.28515625" bestFit="1" customWidth="1"/>
    <col min="14876" max="14876" width="11.5703125" bestFit="1" customWidth="1"/>
    <col min="14877" max="14877" width="9.28515625" bestFit="1" customWidth="1"/>
    <col min="14878" max="14878" width="11.5703125" bestFit="1" customWidth="1"/>
    <col min="14879" max="14879" width="9.28515625" bestFit="1" customWidth="1"/>
    <col min="14880" max="14880" width="11.5703125" bestFit="1" customWidth="1"/>
    <col min="14881" max="14881" width="9.28515625" bestFit="1" customWidth="1"/>
    <col min="14882" max="14882" width="11.5703125" bestFit="1" customWidth="1"/>
    <col min="14883" max="14883" width="9.28515625" bestFit="1" customWidth="1"/>
    <col min="14884" max="14884" width="11.5703125" bestFit="1" customWidth="1"/>
    <col min="14885" max="14885" width="9.28515625" bestFit="1" customWidth="1"/>
    <col min="14886" max="14886" width="11.5703125" bestFit="1" customWidth="1"/>
    <col min="14887" max="14887" width="9.28515625" bestFit="1" customWidth="1"/>
    <col min="14888" max="14888" width="11.5703125" bestFit="1" customWidth="1"/>
    <col min="14889" max="14889" width="9.28515625" bestFit="1" customWidth="1"/>
    <col min="14890" max="14890" width="11.5703125" bestFit="1" customWidth="1"/>
    <col min="14891" max="14891" width="9.28515625" bestFit="1" customWidth="1"/>
    <col min="14892" max="14892" width="11.5703125" bestFit="1" customWidth="1"/>
    <col min="14893" max="14893" width="9.28515625" bestFit="1" customWidth="1"/>
    <col min="14894" max="14894" width="11.5703125" bestFit="1" customWidth="1"/>
    <col min="14895" max="14895" width="9.28515625" bestFit="1" customWidth="1"/>
    <col min="14896" max="14896" width="11.5703125" bestFit="1" customWidth="1"/>
    <col min="14897" max="14897" width="9.28515625" bestFit="1" customWidth="1"/>
    <col min="14898" max="14898" width="11.5703125" bestFit="1" customWidth="1"/>
    <col min="14899" max="14899" width="9.28515625" bestFit="1" customWidth="1"/>
    <col min="15107" max="15107" width="29.42578125" bestFit="1" customWidth="1"/>
    <col min="15108" max="15108" width="11.5703125" bestFit="1" customWidth="1"/>
    <col min="15109" max="15109" width="9.28515625" bestFit="1" customWidth="1"/>
    <col min="15110" max="15110" width="11.5703125" bestFit="1" customWidth="1"/>
    <col min="15111" max="15111" width="9.28515625" bestFit="1" customWidth="1"/>
    <col min="15112" max="15112" width="11.5703125" bestFit="1" customWidth="1"/>
    <col min="15113" max="15113" width="9.28515625" bestFit="1" customWidth="1"/>
    <col min="15114" max="15114" width="11.5703125" bestFit="1" customWidth="1"/>
    <col min="15115" max="15115" width="9.28515625" bestFit="1" customWidth="1"/>
    <col min="15116" max="15116" width="11.5703125" bestFit="1" customWidth="1"/>
    <col min="15117" max="15117" width="9.28515625" bestFit="1" customWidth="1"/>
    <col min="15118" max="15118" width="11.5703125" bestFit="1" customWidth="1"/>
    <col min="15119" max="15119" width="9.28515625" bestFit="1" customWidth="1"/>
    <col min="15120" max="15120" width="11.5703125" bestFit="1" customWidth="1"/>
    <col min="15121" max="15121" width="9.28515625" bestFit="1" customWidth="1"/>
    <col min="15122" max="15122" width="11.5703125" bestFit="1" customWidth="1"/>
    <col min="15123" max="15123" width="9.28515625" bestFit="1" customWidth="1"/>
    <col min="15124" max="15124" width="11.5703125" bestFit="1" customWidth="1"/>
    <col min="15125" max="15125" width="9.28515625" bestFit="1" customWidth="1"/>
    <col min="15126" max="15126" width="11.5703125" bestFit="1" customWidth="1"/>
    <col min="15127" max="15127" width="9.28515625" bestFit="1" customWidth="1"/>
    <col min="15128" max="15128" width="11.5703125" bestFit="1" customWidth="1"/>
    <col min="15129" max="15129" width="9.28515625" bestFit="1" customWidth="1"/>
    <col min="15130" max="15130" width="11.5703125" bestFit="1" customWidth="1"/>
    <col min="15131" max="15131" width="9.28515625" bestFit="1" customWidth="1"/>
    <col min="15132" max="15132" width="11.5703125" bestFit="1" customWidth="1"/>
    <col min="15133" max="15133" width="9.28515625" bestFit="1" customWidth="1"/>
    <col min="15134" max="15134" width="11.5703125" bestFit="1" customWidth="1"/>
    <col min="15135" max="15135" width="9.28515625" bestFit="1" customWidth="1"/>
    <col min="15136" max="15136" width="11.5703125" bestFit="1" customWidth="1"/>
    <col min="15137" max="15137" width="9.28515625" bestFit="1" customWidth="1"/>
    <col min="15138" max="15138" width="11.5703125" bestFit="1" customWidth="1"/>
    <col min="15139" max="15139" width="9.28515625" bestFit="1" customWidth="1"/>
    <col min="15140" max="15140" width="11.5703125" bestFit="1" customWidth="1"/>
    <col min="15141" max="15141" width="9.28515625" bestFit="1" customWidth="1"/>
    <col min="15142" max="15142" width="11.5703125" bestFit="1" customWidth="1"/>
    <col min="15143" max="15143" width="9.28515625" bestFit="1" customWidth="1"/>
    <col min="15144" max="15144" width="11.5703125" bestFit="1" customWidth="1"/>
    <col min="15145" max="15145" width="9.28515625" bestFit="1" customWidth="1"/>
    <col min="15146" max="15146" width="11.5703125" bestFit="1" customWidth="1"/>
    <col min="15147" max="15147" width="9.28515625" bestFit="1" customWidth="1"/>
    <col min="15148" max="15148" width="11.5703125" bestFit="1" customWidth="1"/>
    <col min="15149" max="15149" width="9.28515625" bestFit="1" customWidth="1"/>
    <col min="15150" max="15150" width="11.5703125" bestFit="1" customWidth="1"/>
    <col min="15151" max="15151" width="9.28515625" bestFit="1" customWidth="1"/>
    <col min="15152" max="15152" width="11.5703125" bestFit="1" customWidth="1"/>
    <col min="15153" max="15153" width="9.28515625" bestFit="1" customWidth="1"/>
    <col min="15154" max="15154" width="11.5703125" bestFit="1" customWidth="1"/>
    <col min="15155" max="15155" width="9.28515625" bestFit="1" customWidth="1"/>
    <col min="15363" max="15363" width="29.42578125" bestFit="1" customWidth="1"/>
    <col min="15364" max="15364" width="11.5703125" bestFit="1" customWidth="1"/>
    <col min="15365" max="15365" width="9.28515625" bestFit="1" customWidth="1"/>
    <col min="15366" max="15366" width="11.5703125" bestFit="1" customWidth="1"/>
    <col min="15367" max="15367" width="9.28515625" bestFit="1" customWidth="1"/>
    <col min="15368" max="15368" width="11.5703125" bestFit="1" customWidth="1"/>
    <col min="15369" max="15369" width="9.28515625" bestFit="1" customWidth="1"/>
    <col min="15370" max="15370" width="11.5703125" bestFit="1" customWidth="1"/>
    <col min="15371" max="15371" width="9.28515625" bestFit="1" customWidth="1"/>
    <col min="15372" max="15372" width="11.5703125" bestFit="1" customWidth="1"/>
    <col min="15373" max="15373" width="9.28515625" bestFit="1" customWidth="1"/>
    <col min="15374" max="15374" width="11.5703125" bestFit="1" customWidth="1"/>
    <col min="15375" max="15375" width="9.28515625" bestFit="1" customWidth="1"/>
    <col min="15376" max="15376" width="11.5703125" bestFit="1" customWidth="1"/>
    <col min="15377" max="15377" width="9.28515625" bestFit="1" customWidth="1"/>
    <col min="15378" max="15378" width="11.5703125" bestFit="1" customWidth="1"/>
    <col min="15379" max="15379" width="9.28515625" bestFit="1" customWidth="1"/>
    <col min="15380" max="15380" width="11.5703125" bestFit="1" customWidth="1"/>
    <col min="15381" max="15381" width="9.28515625" bestFit="1" customWidth="1"/>
    <col min="15382" max="15382" width="11.5703125" bestFit="1" customWidth="1"/>
    <col min="15383" max="15383" width="9.28515625" bestFit="1" customWidth="1"/>
    <col min="15384" max="15384" width="11.5703125" bestFit="1" customWidth="1"/>
    <col min="15385" max="15385" width="9.28515625" bestFit="1" customWidth="1"/>
    <col min="15386" max="15386" width="11.5703125" bestFit="1" customWidth="1"/>
    <col min="15387" max="15387" width="9.28515625" bestFit="1" customWidth="1"/>
    <col min="15388" max="15388" width="11.5703125" bestFit="1" customWidth="1"/>
    <col min="15389" max="15389" width="9.28515625" bestFit="1" customWidth="1"/>
    <col min="15390" max="15390" width="11.5703125" bestFit="1" customWidth="1"/>
    <col min="15391" max="15391" width="9.28515625" bestFit="1" customWidth="1"/>
    <col min="15392" max="15392" width="11.5703125" bestFit="1" customWidth="1"/>
    <col min="15393" max="15393" width="9.28515625" bestFit="1" customWidth="1"/>
    <col min="15394" max="15394" width="11.5703125" bestFit="1" customWidth="1"/>
    <col min="15395" max="15395" width="9.28515625" bestFit="1" customWidth="1"/>
    <col min="15396" max="15396" width="11.5703125" bestFit="1" customWidth="1"/>
    <col min="15397" max="15397" width="9.28515625" bestFit="1" customWidth="1"/>
    <col min="15398" max="15398" width="11.5703125" bestFit="1" customWidth="1"/>
    <col min="15399" max="15399" width="9.28515625" bestFit="1" customWidth="1"/>
    <col min="15400" max="15400" width="11.5703125" bestFit="1" customWidth="1"/>
    <col min="15401" max="15401" width="9.28515625" bestFit="1" customWidth="1"/>
    <col min="15402" max="15402" width="11.5703125" bestFit="1" customWidth="1"/>
    <col min="15403" max="15403" width="9.28515625" bestFit="1" customWidth="1"/>
    <col min="15404" max="15404" width="11.5703125" bestFit="1" customWidth="1"/>
    <col min="15405" max="15405" width="9.28515625" bestFit="1" customWidth="1"/>
    <col min="15406" max="15406" width="11.5703125" bestFit="1" customWidth="1"/>
    <col min="15407" max="15407" width="9.28515625" bestFit="1" customWidth="1"/>
    <col min="15408" max="15408" width="11.5703125" bestFit="1" customWidth="1"/>
    <col min="15409" max="15409" width="9.28515625" bestFit="1" customWidth="1"/>
    <col min="15410" max="15410" width="11.5703125" bestFit="1" customWidth="1"/>
    <col min="15411" max="15411" width="9.28515625" bestFit="1" customWidth="1"/>
    <col min="15619" max="15619" width="29.42578125" bestFit="1" customWidth="1"/>
    <col min="15620" max="15620" width="11.5703125" bestFit="1" customWidth="1"/>
    <col min="15621" max="15621" width="9.28515625" bestFit="1" customWidth="1"/>
    <col min="15622" max="15622" width="11.5703125" bestFit="1" customWidth="1"/>
    <col min="15623" max="15623" width="9.28515625" bestFit="1" customWidth="1"/>
    <col min="15624" max="15624" width="11.5703125" bestFit="1" customWidth="1"/>
    <col min="15625" max="15625" width="9.28515625" bestFit="1" customWidth="1"/>
    <col min="15626" max="15626" width="11.5703125" bestFit="1" customWidth="1"/>
    <col min="15627" max="15627" width="9.28515625" bestFit="1" customWidth="1"/>
    <col min="15628" max="15628" width="11.5703125" bestFit="1" customWidth="1"/>
    <col min="15629" max="15629" width="9.28515625" bestFit="1" customWidth="1"/>
    <col min="15630" max="15630" width="11.5703125" bestFit="1" customWidth="1"/>
    <col min="15631" max="15631" width="9.28515625" bestFit="1" customWidth="1"/>
    <col min="15632" max="15632" width="11.5703125" bestFit="1" customWidth="1"/>
    <col min="15633" max="15633" width="9.28515625" bestFit="1" customWidth="1"/>
    <col min="15634" max="15634" width="11.5703125" bestFit="1" customWidth="1"/>
    <col min="15635" max="15635" width="9.28515625" bestFit="1" customWidth="1"/>
    <col min="15636" max="15636" width="11.5703125" bestFit="1" customWidth="1"/>
    <col min="15637" max="15637" width="9.28515625" bestFit="1" customWidth="1"/>
    <col min="15638" max="15638" width="11.5703125" bestFit="1" customWidth="1"/>
    <col min="15639" max="15639" width="9.28515625" bestFit="1" customWidth="1"/>
    <col min="15640" max="15640" width="11.5703125" bestFit="1" customWidth="1"/>
    <col min="15641" max="15641" width="9.28515625" bestFit="1" customWidth="1"/>
    <col min="15642" max="15642" width="11.5703125" bestFit="1" customWidth="1"/>
    <col min="15643" max="15643" width="9.28515625" bestFit="1" customWidth="1"/>
    <col min="15644" max="15644" width="11.5703125" bestFit="1" customWidth="1"/>
    <col min="15645" max="15645" width="9.28515625" bestFit="1" customWidth="1"/>
    <col min="15646" max="15646" width="11.5703125" bestFit="1" customWidth="1"/>
    <col min="15647" max="15647" width="9.28515625" bestFit="1" customWidth="1"/>
    <col min="15648" max="15648" width="11.5703125" bestFit="1" customWidth="1"/>
    <col min="15649" max="15649" width="9.28515625" bestFit="1" customWidth="1"/>
    <col min="15650" max="15650" width="11.5703125" bestFit="1" customWidth="1"/>
    <col min="15651" max="15651" width="9.28515625" bestFit="1" customWidth="1"/>
    <col min="15652" max="15652" width="11.5703125" bestFit="1" customWidth="1"/>
    <col min="15653" max="15653" width="9.28515625" bestFit="1" customWidth="1"/>
    <col min="15654" max="15654" width="11.5703125" bestFit="1" customWidth="1"/>
    <col min="15655" max="15655" width="9.28515625" bestFit="1" customWidth="1"/>
    <col min="15656" max="15656" width="11.5703125" bestFit="1" customWidth="1"/>
    <col min="15657" max="15657" width="9.28515625" bestFit="1" customWidth="1"/>
    <col min="15658" max="15658" width="11.5703125" bestFit="1" customWidth="1"/>
    <col min="15659" max="15659" width="9.28515625" bestFit="1" customWidth="1"/>
    <col min="15660" max="15660" width="11.5703125" bestFit="1" customWidth="1"/>
    <col min="15661" max="15661" width="9.28515625" bestFit="1" customWidth="1"/>
    <col min="15662" max="15662" width="11.5703125" bestFit="1" customWidth="1"/>
    <col min="15663" max="15663" width="9.28515625" bestFit="1" customWidth="1"/>
    <col min="15664" max="15664" width="11.5703125" bestFit="1" customWidth="1"/>
    <col min="15665" max="15665" width="9.28515625" bestFit="1" customWidth="1"/>
    <col min="15666" max="15666" width="11.5703125" bestFit="1" customWidth="1"/>
    <col min="15667" max="15667" width="9.28515625" bestFit="1" customWidth="1"/>
    <col min="15875" max="15875" width="29.42578125" bestFit="1" customWidth="1"/>
    <col min="15876" max="15876" width="11.5703125" bestFit="1" customWidth="1"/>
    <col min="15877" max="15877" width="9.28515625" bestFit="1" customWidth="1"/>
    <col min="15878" max="15878" width="11.5703125" bestFit="1" customWidth="1"/>
    <col min="15879" max="15879" width="9.28515625" bestFit="1" customWidth="1"/>
    <col min="15880" max="15880" width="11.5703125" bestFit="1" customWidth="1"/>
    <col min="15881" max="15881" width="9.28515625" bestFit="1" customWidth="1"/>
    <col min="15882" max="15882" width="11.5703125" bestFit="1" customWidth="1"/>
    <col min="15883" max="15883" width="9.28515625" bestFit="1" customWidth="1"/>
    <col min="15884" max="15884" width="11.5703125" bestFit="1" customWidth="1"/>
    <col min="15885" max="15885" width="9.28515625" bestFit="1" customWidth="1"/>
    <col min="15886" max="15886" width="11.5703125" bestFit="1" customWidth="1"/>
    <col min="15887" max="15887" width="9.28515625" bestFit="1" customWidth="1"/>
    <col min="15888" max="15888" width="11.5703125" bestFit="1" customWidth="1"/>
    <col min="15889" max="15889" width="9.28515625" bestFit="1" customWidth="1"/>
    <col min="15890" max="15890" width="11.5703125" bestFit="1" customWidth="1"/>
    <col min="15891" max="15891" width="9.28515625" bestFit="1" customWidth="1"/>
    <col min="15892" max="15892" width="11.5703125" bestFit="1" customWidth="1"/>
    <col min="15893" max="15893" width="9.28515625" bestFit="1" customWidth="1"/>
    <col min="15894" max="15894" width="11.5703125" bestFit="1" customWidth="1"/>
    <col min="15895" max="15895" width="9.28515625" bestFit="1" customWidth="1"/>
    <col min="15896" max="15896" width="11.5703125" bestFit="1" customWidth="1"/>
    <col min="15897" max="15897" width="9.28515625" bestFit="1" customWidth="1"/>
    <col min="15898" max="15898" width="11.5703125" bestFit="1" customWidth="1"/>
    <col min="15899" max="15899" width="9.28515625" bestFit="1" customWidth="1"/>
    <col min="15900" max="15900" width="11.5703125" bestFit="1" customWidth="1"/>
    <col min="15901" max="15901" width="9.28515625" bestFit="1" customWidth="1"/>
    <col min="15902" max="15902" width="11.5703125" bestFit="1" customWidth="1"/>
    <col min="15903" max="15903" width="9.28515625" bestFit="1" customWidth="1"/>
    <col min="15904" max="15904" width="11.5703125" bestFit="1" customWidth="1"/>
    <col min="15905" max="15905" width="9.28515625" bestFit="1" customWidth="1"/>
    <col min="15906" max="15906" width="11.5703125" bestFit="1" customWidth="1"/>
    <col min="15907" max="15907" width="9.28515625" bestFit="1" customWidth="1"/>
    <col min="15908" max="15908" width="11.5703125" bestFit="1" customWidth="1"/>
    <col min="15909" max="15909" width="9.28515625" bestFit="1" customWidth="1"/>
    <col min="15910" max="15910" width="11.5703125" bestFit="1" customWidth="1"/>
    <col min="15911" max="15911" width="9.28515625" bestFit="1" customWidth="1"/>
    <col min="15912" max="15912" width="11.5703125" bestFit="1" customWidth="1"/>
    <col min="15913" max="15913" width="9.28515625" bestFit="1" customWidth="1"/>
    <col min="15914" max="15914" width="11.5703125" bestFit="1" customWidth="1"/>
    <col min="15915" max="15915" width="9.28515625" bestFit="1" customWidth="1"/>
    <col min="15916" max="15916" width="11.5703125" bestFit="1" customWidth="1"/>
    <col min="15917" max="15917" width="9.28515625" bestFit="1" customWidth="1"/>
    <col min="15918" max="15918" width="11.5703125" bestFit="1" customWidth="1"/>
    <col min="15919" max="15919" width="9.28515625" bestFit="1" customWidth="1"/>
    <col min="15920" max="15920" width="11.5703125" bestFit="1" customWidth="1"/>
    <col min="15921" max="15921" width="9.28515625" bestFit="1" customWidth="1"/>
    <col min="15922" max="15922" width="11.5703125" bestFit="1" customWidth="1"/>
    <col min="15923" max="15923" width="9.28515625" bestFit="1" customWidth="1"/>
    <col min="16131" max="16131" width="29.42578125" bestFit="1" customWidth="1"/>
    <col min="16132" max="16132" width="11.5703125" bestFit="1" customWidth="1"/>
    <col min="16133" max="16133" width="9.28515625" bestFit="1" customWidth="1"/>
    <col min="16134" max="16134" width="11.5703125" bestFit="1" customWidth="1"/>
    <col min="16135" max="16135" width="9.28515625" bestFit="1" customWidth="1"/>
    <col min="16136" max="16136" width="11.5703125" bestFit="1" customWidth="1"/>
    <col min="16137" max="16137" width="9.28515625" bestFit="1" customWidth="1"/>
    <col min="16138" max="16138" width="11.5703125" bestFit="1" customWidth="1"/>
    <col min="16139" max="16139" width="9.28515625" bestFit="1" customWidth="1"/>
    <col min="16140" max="16140" width="11.5703125" bestFit="1" customWidth="1"/>
    <col min="16141" max="16141" width="9.28515625" bestFit="1" customWidth="1"/>
    <col min="16142" max="16142" width="11.5703125" bestFit="1" customWidth="1"/>
    <col min="16143" max="16143" width="9.28515625" bestFit="1" customWidth="1"/>
    <col min="16144" max="16144" width="11.5703125" bestFit="1" customWidth="1"/>
    <col min="16145" max="16145" width="9.28515625" bestFit="1" customWidth="1"/>
    <col min="16146" max="16146" width="11.5703125" bestFit="1" customWidth="1"/>
    <col min="16147" max="16147" width="9.28515625" bestFit="1" customWidth="1"/>
    <col min="16148" max="16148" width="11.5703125" bestFit="1" customWidth="1"/>
    <col min="16149" max="16149" width="9.28515625" bestFit="1" customWidth="1"/>
    <col min="16150" max="16150" width="11.5703125" bestFit="1" customWidth="1"/>
    <col min="16151" max="16151" width="9.28515625" bestFit="1" customWidth="1"/>
    <col min="16152" max="16152" width="11.5703125" bestFit="1" customWidth="1"/>
    <col min="16153" max="16153" width="9.28515625" bestFit="1" customWidth="1"/>
    <col min="16154" max="16154" width="11.5703125" bestFit="1" customWidth="1"/>
    <col min="16155" max="16155" width="9.28515625" bestFit="1" customWidth="1"/>
    <col min="16156" max="16156" width="11.5703125" bestFit="1" customWidth="1"/>
    <col min="16157" max="16157" width="9.28515625" bestFit="1" customWidth="1"/>
    <col min="16158" max="16158" width="11.5703125" bestFit="1" customWidth="1"/>
    <col min="16159" max="16159" width="9.28515625" bestFit="1" customWidth="1"/>
    <col min="16160" max="16160" width="11.5703125" bestFit="1" customWidth="1"/>
    <col min="16161" max="16161" width="9.28515625" bestFit="1" customWidth="1"/>
    <col min="16162" max="16162" width="11.5703125" bestFit="1" customWidth="1"/>
    <col min="16163" max="16163" width="9.28515625" bestFit="1" customWidth="1"/>
    <col min="16164" max="16164" width="11.5703125" bestFit="1" customWidth="1"/>
    <col min="16165" max="16165" width="9.28515625" bestFit="1" customWidth="1"/>
    <col min="16166" max="16166" width="11.5703125" bestFit="1" customWidth="1"/>
    <col min="16167" max="16167" width="9.28515625" bestFit="1" customWidth="1"/>
    <col min="16168" max="16168" width="11.5703125" bestFit="1" customWidth="1"/>
    <col min="16169" max="16169" width="9.28515625" bestFit="1" customWidth="1"/>
    <col min="16170" max="16170" width="11.5703125" bestFit="1" customWidth="1"/>
    <col min="16171" max="16171" width="9.28515625" bestFit="1" customWidth="1"/>
    <col min="16172" max="16172" width="11.5703125" bestFit="1" customWidth="1"/>
    <col min="16173" max="16173" width="9.28515625" bestFit="1" customWidth="1"/>
    <col min="16174" max="16174" width="11.5703125" bestFit="1" customWidth="1"/>
    <col min="16175" max="16175" width="9.28515625" bestFit="1" customWidth="1"/>
    <col min="16176" max="16176" width="11.5703125" bestFit="1" customWidth="1"/>
    <col min="16177" max="16177" width="9.28515625" bestFit="1" customWidth="1"/>
    <col min="16178" max="16178" width="11.5703125" bestFit="1" customWidth="1"/>
    <col min="16179" max="16179" width="9.28515625" bestFit="1" customWidth="1"/>
  </cols>
  <sheetData>
    <row r="1" spans="1:51" s="23" customFormat="1">
      <c r="A1" s="147"/>
      <c r="B1" s="148" t="s">
        <v>145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7"/>
      <c r="AX1" s="147"/>
      <c r="AY1" s="147"/>
    </row>
    <row r="2" spans="1:51" s="23" customFormat="1">
      <c r="A2" s="149"/>
      <c r="B2" s="274"/>
      <c r="C2" s="274"/>
      <c r="D2" s="277">
        <v>43739</v>
      </c>
      <c r="E2" s="278">
        <v>43739</v>
      </c>
      <c r="F2" s="277">
        <v>43770</v>
      </c>
      <c r="G2" s="278">
        <v>43770</v>
      </c>
      <c r="H2" s="277">
        <v>43800</v>
      </c>
      <c r="I2" s="278">
        <v>43800</v>
      </c>
      <c r="J2" s="277">
        <v>43831</v>
      </c>
      <c r="K2" s="278">
        <v>43831</v>
      </c>
      <c r="L2" s="277">
        <v>43862</v>
      </c>
      <c r="M2" s="278">
        <v>43862</v>
      </c>
      <c r="N2" s="277">
        <v>43891</v>
      </c>
      <c r="O2" s="278">
        <v>43891</v>
      </c>
      <c r="P2" s="277">
        <v>43922</v>
      </c>
      <c r="Q2" s="278">
        <v>43922</v>
      </c>
      <c r="R2" s="277">
        <v>43952</v>
      </c>
      <c r="S2" s="278">
        <v>43952</v>
      </c>
      <c r="T2" s="277">
        <v>43983</v>
      </c>
      <c r="U2" s="278">
        <v>43983</v>
      </c>
      <c r="V2" s="277">
        <v>44013</v>
      </c>
      <c r="W2" s="278">
        <v>44013</v>
      </c>
      <c r="X2" s="277">
        <v>44044</v>
      </c>
      <c r="Y2" s="278">
        <v>44044</v>
      </c>
      <c r="Z2" s="277">
        <v>44075</v>
      </c>
      <c r="AA2" s="278">
        <v>44075</v>
      </c>
      <c r="AB2" s="277">
        <v>44105</v>
      </c>
      <c r="AC2" s="278">
        <v>44105</v>
      </c>
      <c r="AD2" s="277">
        <v>44136</v>
      </c>
      <c r="AE2" s="278">
        <v>44136</v>
      </c>
      <c r="AF2" s="277">
        <v>44166</v>
      </c>
      <c r="AG2" s="278">
        <v>44166</v>
      </c>
      <c r="AH2" s="277">
        <v>44197</v>
      </c>
      <c r="AI2" s="278">
        <v>44197</v>
      </c>
      <c r="AJ2" s="277">
        <v>44228</v>
      </c>
      <c r="AK2" s="278">
        <v>44228</v>
      </c>
      <c r="AL2" s="277">
        <v>44256</v>
      </c>
      <c r="AM2" s="278">
        <v>44256</v>
      </c>
      <c r="AN2" s="277">
        <v>44287</v>
      </c>
      <c r="AO2" s="278">
        <v>44287</v>
      </c>
      <c r="AP2" s="277">
        <v>44317</v>
      </c>
      <c r="AQ2" s="278">
        <v>44317</v>
      </c>
      <c r="AR2" s="277">
        <v>44348</v>
      </c>
      <c r="AS2" s="278">
        <v>44348</v>
      </c>
      <c r="AT2" s="277">
        <v>44378</v>
      </c>
      <c r="AU2" s="278">
        <v>44378</v>
      </c>
      <c r="AV2" s="277">
        <v>44409</v>
      </c>
      <c r="AW2" s="278">
        <v>44409</v>
      </c>
      <c r="AX2" s="277">
        <v>44440</v>
      </c>
      <c r="AY2" s="278">
        <v>44440</v>
      </c>
    </row>
    <row r="3" spans="1:51" s="23" customFormat="1">
      <c r="A3" s="147"/>
      <c r="B3" s="275" t="s">
        <v>2</v>
      </c>
      <c r="C3" s="275" t="s">
        <v>147</v>
      </c>
      <c r="D3" s="279" t="s">
        <v>143</v>
      </c>
      <c r="E3" s="280" t="s">
        <v>144</v>
      </c>
      <c r="F3" s="279" t="s">
        <v>143</v>
      </c>
      <c r="G3" s="280" t="s">
        <v>144</v>
      </c>
      <c r="H3" s="279" t="s">
        <v>143</v>
      </c>
      <c r="I3" s="280" t="s">
        <v>144</v>
      </c>
      <c r="J3" s="279" t="s">
        <v>143</v>
      </c>
      <c r="K3" s="280" t="s">
        <v>144</v>
      </c>
      <c r="L3" s="279" t="s">
        <v>143</v>
      </c>
      <c r="M3" s="280" t="s">
        <v>144</v>
      </c>
      <c r="N3" s="279" t="s">
        <v>143</v>
      </c>
      <c r="O3" s="280" t="s">
        <v>144</v>
      </c>
      <c r="P3" s="279" t="s">
        <v>143</v>
      </c>
      <c r="Q3" s="280" t="s">
        <v>144</v>
      </c>
      <c r="R3" s="279" t="s">
        <v>143</v>
      </c>
      <c r="S3" s="280" t="s">
        <v>144</v>
      </c>
      <c r="T3" s="279" t="s">
        <v>143</v>
      </c>
      <c r="U3" s="280" t="s">
        <v>144</v>
      </c>
      <c r="V3" s="279" t="s">
        <v>143</v>
      </c>
      <c r="W3" s="280" t="s">
        <v>144</v>
      </c>
      <c r="X3" s="279" t="s">
        <v>143</v>
      </c>
      <c r="Y3" s="280" t="s">
        <v>144</v>
      </c>
      <c r="Z3" s="279" t="s">
        <v>143</v>
      </c>
      <c r="AA3" s="280" t="s">
        <v>144</v>
      </c>
      <c r="AB3" s="279" t="s">
        <v>143</v>
      </c>
      <c r="AC3" s="280" t="s">
        <v>144</v>
      </c>
      <c r="AD3" s="279" t="s">
        <v>143</v>
      </c>
      <c r="AE3" s="280" t="s">
        <v>144</v>
      </c>
      <c r="AF3" s="279" t="s">
        <v>143</v>
      </c>
      <c r="AG3" s="280" t="s">
        <v>144</v>
      </c>
      <c r="AH3" s="279" t="s">
        <v>143</v>
      </c>
      <c r="AI3" s="280" t="s">
        <v>144</v>
      </c>
      <c r="AJ3" s="279" t="s">
        <v>143</v>
      </c>
      <c r="AK3" s="280" t="s">
        <v>144</v>
      </c>
      <c r="AL3" s="279" t="s">
        <v>143</v>
      </c>
      <c r="AM3" s="280" t="s">
        <v>144</v>
      </c>
      <c r="AN3" s="279" t="s">
        <v>143</v>
      </c>
      <c r="AO3" s="280" t="s">
        <v>144</v>
      </c>
      <c r="AP3" s="279" t="s">
        <v>143</v>
      </c>
      <c r="AQ3" s="280" t="s">
        <v>144</v>
      </c>
      <c r="AR3" s="279" t="s">
        <v>143</v>
      </c>
      <c r="AS3" s="280" t="s">
        <v>144</v>
      </c>
      <c r="AT3" s="279" t="s">
        <v>143</v>
      </c>
      <c r="AU3" s="280" t="s">
        <v>144</v>
      </c>
      <c r="AV3" s="279" t="s">
        <v>143</v>
      </c>
      <c r="AW3" s="280" t="s">
        <v>144</v>
      </c>
      <c r="AX3" s="279" t="s">
        <v>143</v>
      </c>
      <c r="AY3" s="280" t="s">
        <v>144</v>
      </c>
    </row>
    <row r="4" spans="1:51" s="23" customFormat="1">
      <c r="A4" s="147"/>
      <c r="B4" s="274">
        <v>10005</v>
      </c>
      <c r="C4" s="274" t="s">
        <v>7</v>
      </c>
      <c r="D4" s="276">
        <v>42</v>
      </c>
      <c r="E4" s="276">
        <v>0</v>
      </c>
      <c r="F4" s="276">
        <v>103</v>
      </c>
      <c r="G4" s="276">
        <v>0</v>
      </c>
      <c r="H4" s="276">
        <v>30</v>
      </c>
      <c r="I4" s="276">
        <v>0</v>
      </c>
      <c r="J4" s="276">
        <v>127</v>
      </c>
      <c r="K4" s="276">
        <v>0</v>
      </c>
      <c r="L4" s="276">
        <v>121</v>
      </c>
      <c r="M4" s="276">
        <v>0</v>
      </c>
      <c r="N4" s="276">
        <v>135</v>
      </c>
      <c r="O4" s="276">
        <v>0</v>
      </c>
      <c r="P4" s="276">
        <v>62</v>
      </c>
      <c r="Q4" s="276">
        <v>0</v>
      </c>
      <c r="R4" s="276">
        <v>21</v>
      </c>
      <c r="S4" s="276">
        <v>0</v>
      </c>
      <c r="T4" s="276">
        <v>43</v>
      </c>
      <c r="U4" s="276">
        <v>0</v>
      </c>
      <c r="V4" s="276">
        <v>52</v>
      </c>
      <c r="W4" s="276">
        <v>0</v>
      </c>
      <c r="X4" s="276">
        <v>89</v>
      </c>
      <c r="Y4" s="276">
        <v>0</v>
      </c>
      <c r="Z4" s="276">
        <v>0</v>
      </c>
      <c r="AA4" s="276">
        <v>0</v>
      </c>
      <c r="AB4" s="276">
        <v>37</v>
      </c>
      <c r="AC4" s="276">
        <v>0</v>
      </c>
      <c r="AD4" s="276">
        <v>115</v>
      </c>
      <c r="AE4" s="276">
        <v>0</v>
      </c>
      <c r="AF4" s="276">
        <v>26</v>
      </c>
      <c r="AG4" s="276">
        <v>0</v>
      </c>
      <c r="AH4" s="276">
        <v>139</v>
      </c>
      <c r="AI4" s="276">
        <v>0</v>
      </c>
      <c r="AJ4" s="276">
        <v>105</v>
      </c>
      <c r="AK4" s="276">
        <v>0</v>
      </c>
      <c r="AL4" s="276">
        <v>133</v>
      </c>
      <c r="AM4" s="276">
        <v>0</v>
      </c>
      <c r="AN4" s="276">
        <v>67</v>
      </c>
      <c r="AO4" s="276">
        <v>0</v>
      </c>
      <c r="AP4" s="276">
        <v>25</v>
      </c>
      <c r="AQ4" s="276">
        <v>0</v>
      </c>
      <c r="AR4" s="276">
        <v>47</v>
      </c>
      <c r="AS4" s="276">
        <v>0</v>
      </c>
      <c r="AT4" s="276">
        <v>56</v>
      </c>
      <c r="AU4" s="276">
        <v>0</v>
      </c>
      <c r="AV4" s="276">
        <v>93</v>
      </c>
      <c r="AW4" s="276">
        <v>0</v>
      </c>
      <c r="AX4" s="276">
        <v>0</v>
      </c>
      <c r="AY4" s="276">
        <v>0</v>
      </c>
    </row>
    <row r="5" spans="1:51">
      <c r="A5" s="147"/>
      <c r="B5" s="274">
        <v>10015</v>
      </c>
      <c r="C5" s="274" t="s">
        <v>8</v>
      </c>
      <c r="D5" s="276">
        <v>547</v>
      </c>
      <c r="E5" s="276">
        <v>0</v>
      </c>
      <c r="F5" s="276">
        <v>0</v>
      </c>
      <c r="G5" s="276">
        <v>0</v>
      </c>
      <c r="H5" s="276">
        <v>0</v>
      </c>
      <c r="I5" s="276">
        <v>0</v>
      </c>
      <c r="J5" s="276">
        <v>247</v>
      </c>
      <c r="K5" s="276">
        <v>0</v>
      </c>
      <c r="L5" s="276">
        <v>170</v>
      </c>
      <c r="M5" s="276">
        <v>0</v>
      </c>
      <c r="N5" s="276">
        <v>212</v>
      </c>
      <c r="O5" s="276">
        <v>0</v>
      </c>
      <c r="P5" s="276">
        <v>700</v>
      </c>
      <c r="Q5" s="276">
        <v>0</v>
      </c>
      <c r="R5" s="276">
        <v>604</v>
      </c>
      <c r="S5" s="276">
        <v>0</v>
      </c>
      <c r="T5" s="276">
        <v>501</v>
      </c>
      <c r="U5" s="276">
        <v>0</v>
      </c>
      <c r="V5" s="276">
        <v>653</v>
      </c>
      <c r="W5" s="276">
        <v>0</v>
      </c>
      <c r="X5" s="276">
        <v>259</v>
      </c>
      <c r="Y5" s="276">
        <v>0</v>
      </c>
      <c r="Z5" s="276">
        <v>539</v>
      </c>
      <c r="AA5" s="276">
        <v>0</v>
      </c>
      <c r="AB5" s="276">
        <v>562</v>
      </c>
      <c r="AC5" s="276">
        <v>0</v>
      </c>
      <c r="AD5" s="276">
        <v>0</v>
      </c>
      <c r="AE5" s="276">
        <v>0</v>
      </c>
      <c r="AF5" s="276">
        <v>0</v>
      </c>
      <c r="AG5" s="276">
        <v>0</v>
      </c>
      <c r="AH5" s="276">
        <v>248</v>
      </c>
      <c r="AI5" s="276">
        <v>0</v>
      </c>
      <c r="AJ5" s="276">
        <v>218</v>
      </c>
      <c r="AK5" s="276">
        <v>0</v>
      </c>
      <c r="AL5" s="276">
        <v>229</v>
      </c>
      <c r="AM5" s="276">
        <v>0</v>
      </c>
      <c r="AN5" s="276">
        <v>712</v>
      </c>
      <c r="AO5" s="276">
        <v>0</v>
      </c>
      <c r="AP5" s="276">
        <v>619</v>
      </c>
      <c r="AQ5" s="276">
        <v>0</v>
      </c>
      <c r="AR5" s="276">
        <v>516</v>
      </c>
      <c r="AS5" s="276">
        <v>0</v>
      </c>
      <c r="AT5" s="276">
        <v>667</v>
      </c>
      <c r="AU5" s="276">
        <v>0</v>
      </c>
      <c r="AV5" s="276">
        <v>273</v>
      </c>
      <c r="AW5" s="276">
        <v>0</v>
      </c>
      <c r="AX5" s="276">
        <v>553</v>
      </c>
      <c r="AY5" s="276">
        <v>0</v>
      </c>
    </row>
    <row r="6" spans="1:51">
      <c r="A6" s="147"/>
      <c r="B6" s="274">
        <v>10024</v>
      </c>
      <c r="C6" s="274" t="s">
        <v>9</v>
      </c>
      <c r="D6" s="276">
        <v>0</v>
      </c>
      <c r="E6" s="276">
        <v>0</v>
      </c>
      <c r="F6" s="276">
        <v>0</v>
      </c>
      <c r="G6" s="276">
        <v>0</v>
      </c>
      <c r="H6" s="276">
        <v>0</v>
      </c>
      <c r="I6" s="276">
        <v>0</v>
      </c>
      <c r="J6" s="276">
        <v>0</v>
      </c>
      <c r="K6" s="276">
        <v>0</v>
      </c>
      <c r="L6" s="276">
        <v>0</v>
      </c>
      <c r="M6" s="276">
        <v>0</v>
      </c>
      <c r="N6" s="276">
        <v>0</v>
      </c>
      <c r="O6" s="276">
        <v>0</v>
      </c>
      <c r="P6" s="276">
        <v>0</v>
      </c>
      <c r="Q6" s="276">
        <v>0</v>
      </c>
      <c r="R6" s="276">
        <v>0</v>
      </c>
      <c r="S6" s="276">
        <v>0</v>
      </c>
      <c r="T6" s="276">
        <v>0</v>
      </c>
      <c r="U6" s="276">
        <v>0</v>
      </c>
      <c r="V6" s="276">
        <v>0</v>
      </c>
      <c r="W6" s="276">
        <v>0</v>
      </c>
      <c r="X6" s="276">
        <v>0</v>
      </c>
      <c r="Y6" s="276">
        <v>0</v>
      </c>
      <c r="Z6" s="276">
        <v>0</v>
      </c>
      <c r="AA6" s="276">
        <v>0</v>
      </c>
      <c r="AB6" s="276">
        <v>0</v>
      </c>
      <c r="AC6" s="276">
        <v>0</v>
      </c>
      <c r="AD6" s="276">
        <v>0</v>
      </c>
      <c r="AE6" s="276">
        <v>0</v>
      </c>
      <c r="AF6" s="276">
        <v>0</v>
      </c>
      <c r="AG6" s="276">
        <v>0</v>
      </c>
      <c r="AH6" s="276">
        <v>0</v>
      </c>
      <c r="AI6" s="276">
        <v>0</v>
      </c>
      <c r="AJ6" s="276">
        <v>0</v>
      </c>
      <c r="AK6" s="276">
        <v>0</v>
      </c>
      <c r="AL6" s="276">
        <v>0</v>
      </c>
      <c r="AM6" s="276">
        <v>0</v>
      </c>
      <c r="AN6" s="276">
        <v>0</v>
      </c>
      <c r="AO6" s="276">
        <v>0</v>
      </c>
      <c r="AP6" s="276">
        <v>0</v>
      </c>
      <c r="AQ6" s="276">
        <v>0</v>
      </c>
      <c r="AR6" s="276">
        <v>0</v>
      </c>
      <c r="AS6" s="276">
        <v>0</v>
      </c>
      <c r="AT6" s="276">
        <v>0</v>
      </c>
      <c r="AU6" s="276">
        <v>0</v>
      </c>
      <c r="AV6" s="276">
        <v>0</v>
      </c>
      <c r="AW6" s="276">
        <v>0</v>
      </c>
      <c r="AX6" s="276">
        <v>0</v>
      </c>
      <c r="AY6" s="276">
        <v>0</v>
      </c>
    </row>
    <row r="7" spans="1:51">
      <c r="A7" s="147"/>
      <c r="B7" s="274">
        <v>10025</v>
      </c>
      <c r="C7" s="274" t="s">
        <v>10</v>
      </c>
      <c r="D7" s="276">
        <v>7908</v>
      </c>
      <c r="E7" s="276">
        <v>0</v>
      </c>
      <c r="F7" s="276">
        <v>3272</v>
      </c>
      <c r="G7" s="276">
        <v>0</v>
      </c>
      <c r="H7" s="276">
        <v>10751</v>
      </c>
      <c r="I7" s="276">
        <v>0</v>
      </c>
      <c r="J7" s="276">
        <v>6722</v>
      </c>
      <c r="K7" s="276">
        <v>0</v>
      </c>
      <c r="L7" s="276">
        <v>4934</v>
      </c>
      <c r="M7" s="276">
        <v>0</v>
      </c>
      <c r="N7" s="276">
        <v>4684</v>
      </c>
      <c r="O7" s="276">
        <v>0</v>
      </c>
      <c r="P7" s="276">
        <v>1815</v>
      </c>
      <c r="Q7" s="276">
        <v>0</v>
      </c>
      <c r="R7" s="276">
        <v>3047</v>
      </c>
      <c r="S7" s="276">
        <v>0</v>
      </c>
      <c r="T7" s="276">
        <v>17376</v>
      </c>
      <c r="U7" s="276">
        <v>0</v>
      </c>
      <c r="V7" s="276">
        <v>14753</v>
      </c>
      <c r="W7" s="276">
        <v>0</v>
      </c>
      <c r="X7" s="276">
        <v>11418</v>
      </c>
      <c r="Y7" s="276">
        <v>0</v>
      </c>
      <c r="Z7" s="276">
        <v>15761</v>
      </c>
      <c r="AA7" s="276">
        <v>0</v>
      </c>
      <c r="AB7" s="276">
        <v>8696</v>
      </c>
      <c r="AC7" s="276">
        <v>0</v>
      </c>
      <c r="AD7" s="276">
        <v>1548</v>
      </c>
      <c r="AE7" s="276">
        <v>0</v>
      </c>
      <c r="AF7" s="276">
        <v>14427</v>
      </c>
      <c r="AG7" s="276">
        <v>0</v>
      </c>
      <c r="AH7" s="276">
        <v>4687</v>
      </c>
      <c r="AI7" s="276">
        <v>0</v>
      </c>
      <c r="AJ7" s="276">
        <v>4980</v>
      </c>
      <c r="AK7" s="276">
        <v>0</v>
      </c>
      <c r="AL7" s="276">
        <v>7412</v>
      </c>
      <c r="AM7" s="276">
        <v>0</v>
      </c>
      <c r="AN7" s="276">
        <v>2605</v>
      </c>
      <c r="AO7" s="276">
        <v>0</v>
      </c>
      <c r="AP7" s="276">
        <v>3776</v>
      </c>
      <c r="AQ7" s="276">
        <v>0</v>
      </c>
      <c r="AR7" s="276">
        <v>18197</v>
      </c>
      <c r="AS7" s="276">
        <v>0</v>
      </c>
      <c r="AT7" s="276">
        <v>15494</v>
      </c>
      <c r="AU7" s="276">
        <v>0</v>
      </c>
      <c r="AV7" s="276">
        <v>12102</v>
      </c>
      <c r="AW7" s="276">
        <v>0</v>
      </c>
      <c r="AX7" s="276">
        <v>16538</v>
      </c>
      <c r="AY7" s="276">
        <v>0</v>
      </c>
    </row>
    <row r="8" spans="1:51">
      <c r="A8" s="147"/>
      <c r="B8" s="274">
        <v>10027</v>
      </c>
      <c r="C8" s="274" t="s">
        <v>11</v>
      </c>
      <c r="D8" s="276">
        <v>14119</v>
      </c>
      <c r="E8" s="276">
        <v>0</v>
      </c>
      <c r="F8" s="276">
        <v>8667</v>
      </c>
      <c r="G8" s="276">
        <v>0</v>
      </c>
      <c r="H8" s="276">
        <v>9994</v>
      </c>
      <c r="I8" s="276">
        <v>0</v>
      </c>
      <c r="J8" s="276">
        <v>11384</v>
      </c>
      <c r="K8" s="276">
        <v>0</v>
      </c>
      <c r="L8" s="276">
        <v>5901</v>
      </c>
      <c r="M8" s="276">
        <v>0</v>
      </c>
      <c r="N8" s="276">
        <v>8592</v>
      </c>
      <c r="O8" s="276">
        <v>0</v>
      </c>
      <c r="P8" s="276">
        <v>13006</v>
      </c>
      <c r="Q8" s="276">
        <v>0</v>
      </c>
      <c r="R8" s="276">
        <v>6574</v>
      </c>
      <c r="S8" s="276">
        <v>0</v>
      </c>
      <c r="T8" s="276">
        <v>15631</v>
      </c>
      <c r="U8" s="276">
        <v>0</v>
      </c>
      <c r="V8" s="276">
        <v>19921</v>
      </c>
      <c r="W8" s="276">
        <v>0</v>
      </c>
      <c r="X8" s="276">
        <v>18596</v>
      </c>
      <c r="Y8" s="276">
        <v>0</v>
      </c>
      <c r="Z8" s="276">
        <v>15702</v>
      </c>
      <c r="AA8" s="276">
        <v>0</v>
      </c>
      <c r="AB8" s="276">
        <v>14614</v>
      </c>
      <c r="AC8" s="276">
        <v>0</v>
      </c>
      <c r="AD8" s="276">
        <v>7497</v>
      </c>
      <c r="AE8" s="276">
        <v>0</v>
      </c>
      <c r="AF8" s="276">
        <v>12244</v>
      </c>
      <c r="AG8" s="276">
        <v>0</v>
      </c>
      <c r="AH8" s="276">
        <v>10151</v>
      </c>
      <c r="AI8" s="276">
        <v>0</v>
      </c>
      <c r="AJ8" s="276">
        <v>5452</v>
      </c>
      <c r="AK8" s="276">
        <v>0</v>
      </c>
      <c r="AL8" s="276">
        <v>10478</v>
      </c>
      <c r="AM8" s="276">
        <v>0</v>
      </c>
      <c r="AN8" s="276">
        <v>13485</v>
      </c>
      <c r="AO8" s="276">
        <v>0</v>
      </c>
      <c r="AP8" s="276">
        <v>7054</v>
      </c>
      <c r="AQ8" s="276">
        <v>0</v>
      </c>
      <c r="AR8" s="276">
        <v>16111</v>
      </c>
      <c r="AS8" s="276">
        <v>0</v>
      </c>
      <c r="AT8" s="276">
        <v>20420</v>
      </c>
      <c r="AU8" s="276">
        <v>0</v>
      </c>
      <c r="AV8" s="276">
        <v>19077</v>
      </c>
      <c r="AW8" s="276">
        <v>0</v>
      </c>
      <c r="AX8" s="276">
        <v>16180</v>
      </c>
      <c r="AY8" s="276">
        <v>0</v>
      </c>
    </row>
    <row r="9" spans="1:51">
      <c r="A9" s="147"/>
      <c r="B9" s="274">
        <v>10029</v>
      </c>
      <c r="C9" s="274" t="s">
        <v>12</v>
      </c>
      <c r="D9" s="276">
        <v>0</v>
      </c>
      <c r="E9" s="276">
        <v>0</v>
      </c>
      <c r="F9" s="276">
        <v>0</v>
      </c>
      <c r="G9" s="276">
        <v>0</v>
      </c>
      <c r="H9" s="276">
        <v>0</v>
      </c>
      <c r="I9" s="276">
        <v>0</v>
      </c>
      <c r="J9" s="276">
        <v>0</v>
      </c>
      <c r="K9" s="276">
        <v>0</v>
      </c>
      <c r="L9" s="276">
        <v>0</v>
      </c>
      <c r="M9" s="276">
        <v>0</v>
      </c>
      <c r="N9" s="276">
        <v>0</v>
      </c>
      <c r="O9" s="276">
        <v>0</v>
      </c>
      <c r="P9" s="276">
        <v>0</v>
      </c>
      <c r="Q9" s="276">
        <v>0</v>
      </c>
      <c r="R9" s="276">
        <v>0</v>
      </c>
      <c r="S9" s="276">
        <v>0</v>
      </c>
      <c r="T9" s="276">
        <v>0</v>
      </c>
      <c r="U9" s="276">
        <v>0</v>
      </c>
      <c r="V9" s="276">
        <v>0</v>
      </c>
      <c r="W9" s="276">
        <v>0</v>
      </c>
      <c r="X9" s="276">
        <v>0</v>
      </c>
      <c r="Y9" s="276">
        <v>0</v>
      </c>
      <c r="Z9" s="276">
        <v>0</v>
      </c>
      <c r="AA9" s="276">
        <v>0</v>
      </c>
      <c r="AB9" s="276">
        <v>0</v>
      </c>
      <c r="AC9" s="276">
        <v>0</v>
      </c>
      <c r="AD9" s="276">
        <v>0</v>
      </c>
      <c r="AE9" s="276">
        <v>0</v>
      </c>
      <c r="AF9" s="276">
        <v>0</v>
      </c>
      <c r="AG9" s="276">
        <v>0</v>
      </c>
      <c r="AH9" s="276">
        <v>0</v>
      </c>
      <c r="AI9" s="276">
        <v>0</v>
      </c>
      <c r="AJ9" s="276">
        <v>0</v>
      </c>
      <c r="AK9" s="276">
        <v>0</v>
      </c>
      <c r="AL9" s="276">
        <v>0</v>
      </c>
      <c r="AM9" s="276">
        <v>0</v>
      </c>
      <c r="AN9" s="276">
        <v>0</v>
      </c>
      <c r="AO9" s="276">
        <v>0</v>
      </c>
      <c r="AP9" s="276">
        <v>0</v>
      </c>
      <c r="AQ9" s="276">
        <v>0</v>
      </c>
      <c r="AR9" s="276">
        <v>0</v>
      </c>
      <c r="AS9" s="276">
        <v>0</v>
      </c>
      <c r="AT9" s="276">
        <v>0</v>
      </c>
      <c r="AU9" s="276">
        <v>0</v>
      </c>
      <c r="AV9" s="276">
        <v>0</v>
      </c>
      <c r="AW9" s="276">
        <v>0</v>
      </c>
      <c r="AX9" s="276">
        <v>0</v>
      </c>
      <c r="AY9" s="276">
        <v>0</v>
      </c>
    </row>
    <row r="10" spans="1:51">
      <c r="A10" s="147"/>
      <c r="B10" s="274">
        <v>10044</v>
      </c>
      <c r="C10" s="274" t="s">
        <v>13</v>
      </c>
      <c r="D10" s="276">
        <v>2102</v>
      </c>
      <c r="E10" s="276">
        <v>0</v>
      </c>
      <c r="F10" s="276">
        <v>709</v>
      </c>
      <c r="G10" s="276">
        <v>0</v>
      </c>
      <c r="H10" s="276">
        <v>1840</v>
      </c>
      <c r="I10" s="276">
        <v>0</v>
      </c>
      <c r="J10" s="276">
        <v>4034</v>
      </c>
      <c r="K10" s="276">
        <v>0</v>
      </c>
      <c r="L10" s="276">
        <v>2027</v>
      </c>
      <c r="M10" s="276">
        <v>0</v>
      </c>
      <c r="N10" s="276">
        <v>3331</v>
      </c>
      <c r="O10" s="276">
        <v>0</v>
      </c>
      <c r="P10" s="276">
        <v>2098</v>
      </c>
      <c r="Q10" s="276">
        <v>0</v>
      </c>
      <c r="R10" s="276">
        <v>1399</v>
      </c>
      <c r="S10" s="276">
        <v>0</v>
      </c>
      <c r="T10" s="276">
        <v>1811</v>
      </c>
      <c r="U10" s="276">
        <v>0</v>
      </c>
      <c r="V10" s="276">
        <v>1629</v>
      </c>
      <c r="W10" s="276">
        <v>0</v>
      </c>
      <c r="X10" s="276">
        <v>3005</v>
      </c>
      <c r="Y10" s="276">
        <v>0</v>
      </c>
      <c r="Z10" s="276">
        <v>3257</v>
      </c>
      <c r="AA10" s="276">
        <v>0</v>
      </c>
      <c r="AB10" s="276">
        <v>2137</v>
      </c>
      <c r="AC10" s="276">
        <v>0</v>
      </c>
      <c r="AD10" s="276">
        <v>591</v>
      </c>
      <c r="AE10" s="276">
        <v>0</v>
      </c>
      <c r="AF10" s="276">
        <v>2018</v>
      </c>
      <c r="AG10" s="276">
        <v>0</v>
      </c>
      <c r="AH10" s="276">
        <v>3919</v>
      </c>
      <c r="AI10" s="276">
        <v>0</v>
      </c>
      <c r="AJ10" s="276">
        <v>1627</v>
      </c>
      <c r="AK10" s="276">
        <v>0</v>
      </c>
      <c r="AL10" s="276">
        <v>3469</v>
      </c>
      <c r="AM10" s="276">
        <v>0</v>
      </c>
      <c r="AN10" s="276">
        <v>2116</v>
      </c>
      <c r="AO10" s="276">
        <v>0</v>
      </c>
      <c r="AP10" s="276">
        <v>1421</v>
      </c>
      <c r="AQ10" s="276">
        <v>0</v>
      </c>
      <c r="AR10" s="276">
        <v>1831</v>
      </c>
      <c r="AS10" s="276">
        <v>0</v>
      </c>
      <c r="AT10" s="276">
        <v>1651</v>
      </c>
      <c r="AU10" s="276">
        <v>0</v>
      </c>
      <c r="AV10" s="276">
        <v>3027</v>
      </c>
      <c r="AW10" s="276">
        <v>0</v>
      </c>
      <c r="AX10" s="276">
        <v>3276</v>
      </c>
      <c r="AY10" s="276">
        <v>0</v>
      </c>
    </row>
    <row r="11" spans="1:51">
      <c r="A11" s="147"/>
      <c r="B11" s="274">
        <v>10046</v>
      </c>
      <c r="C11" s="274" t="s">
        <v>14</v>
      </c>
      <c r="D11" s="276">
        <v>0</v>
      </c>
      <c r="E11" s="276">
        <v>0</v>
      </c>
      <c r="F11" s="276">
        <v>0</v>
      </c>
      <c r="G11" s="276">
        <v>0</v>
      </c>
      <c r="H11" s="276">
        <v>0</v>
      </c>
      <c r="I11" s="276">
        <v>0</v>
      </c>
      <c r="J11" s="276">
        <v>0</v>
      </c>
      <c r="K11" s="276">
        <v>0</v>
      </c>
      <c r="L11" s="276">
        <v>0</v>
      </c>
      <c r="M11" s="276">
        <v>0</v>
      </c>
      <c r="N11" s="276">
        <v>0</v>
      </c>
      <c r="O11" s="276">
        <v>0</v>
      </c>
      <c r="P11" s="276">
        <v>0</v>
      </c>
      <c r="Q11" s="276">
        <v>0</v>
      </c>
      <c r="R11" s="276">
        <v>0</v>
      </c>
      <c r="S11" s="276">
        <v>0</v>
      </c>
      <c r="T11" s="276">
        <v>0</v>
      </c>
      <c r="U11" s="276">
        <v>0</v>
      </c>
      <c r="V11" s="276">
        <v>0</v>
      </c>
      <c r="W11" s="276">
        <v>0</v>
      </c>
      <c r="X11" s="276">
        <v>0</v>
      </c>
      <c r="Y11" s="276">
        <v>0</v>
      </c>
      <c r="Z11" s="276">
        <v>0</v>
      </c>
      <c r="AA11" s="276">
        <v>0</v>
      </c>
      <c r="AB11" s="276">
        <v>0</v>
      </c>
      <c r="AC11" s="276">
        <v>0</v>
      </c>
      <c r="AD11" s="276">
        <v>0</v>
      </c>
      <c r="AE11" s="276">
        <v>0</v>
      </c>
      <c r="AF11" s="276">
        <v>0</v>
      </c>
      <c r="AG11" s="276">
        <v>0</v>
      </c>
      <c r="AH11" s="276">
        <v>0</v>
      </c>
      <c r="AI11" s="276">
        <v>0</v>
      </c>
      <c r="AJ11" s="276">
        <v>0</v>
      </c>
      <c r="AK11" s="276">
        <v>0</v>
      </c>
      <c r="AL11" s="276">
        <v>0</v>
      </c>
      <c r="AM11" s="276">
        <v>0</v>
      </c>
      <c r="AN11" s="276">
        <v>0</v>
      </c>
      <c r="AO11" s="276">
        <v>0</v>
      </c>
      <c r="AP11" s="276">
        <v>0</v>
      </c>
      <c r="AQ11" s="276">
        <v>0</v>
      </c>
      <c r="AR11" s="276">
        <v>0</v>
      </c>
      <c r="AS11" s="276">
        <v>0</v>
      </c>
      <c r="AT11" s="276">
        <v>0</v>
      </c>
      <c r="AU11" s="276">
        <v>0</v>
      </c>
      <c r="AV11" s="276">
        <v>0</v>
      </c>
      <c r="AW11" s="276">
        <v>0</v>
      </c>
      <c r="AX11" s="276">
        <v>0</v>
      </c>
      <c r="AY11" s="276">
        <v>0</v>
      </c>
    </row>
    <row r="12" spans="1:51">
      <c r="A12" s="147"/>
      <c r="B12" s="274">
        <v>10047</v>
      </c>
      <c r="C12" s="274" t="s">
        <v>15</v>
      </c>
      <c r="D12" s="276">
        <v>10361</v>
      </c>
      <c r="E12" s="276">
        <v>0</v>
      </c>
      <c r="F12" s="276">
        <v>5622</v>
      </c>
      <c r="G12" s="276">
        <v>0</v>
      </c>
      <c r="H12" s="276">
        <v>28724</v>
      </c>
      <c r="I12" s="276">
        <v>0</v>
      </c>
      <c r="J12" s="276">
        <v>23023</v>
      </c>
      <c r="K12" s="276">
        <v>0</v>
      </c>
      <c r="L12" s="276">
        <v>14010</v>
      </c>
      <c r="M12" s="276">
        <v>0</v>
      </c>
      <c r="N12" s="276">
        <v>22555</v>
      </c>
      <c r="O12" s="276">
        <v>0</v>
      </c>
      <c r="P12" s="276">
        <v>26595</v>
      </c>
      <c r="Q12" s="276">
        <v>0</v>
      </c>
      <c r="R12" s="276">
        <v>0</v>
      </c>
      <c r="S12" s="276">
        <v>0</v>
      </c>
      <c r="T12" s="276">
        <v>3199</v>
      </c>
      <c r="U12" s="276">
        <v>0</v>
      </c>
      <c r="V12" s="276">
        <v>9843</v>
      </c>
      <c r="W12" s="276">
        <v>0</v>
      </c>
      <c r="X12" s="276">
        <v>12674</v>
      </c>
      <c r="Y12" s="276">
        <v>0</v>
      </c>
      <c r="Z12" s="276">
        <v>0</v>
      </c>
      <c r="AA12" s="276">
        <v>0</v>
      </c>
      <c r="AB12" s="276">
        <v>10458</v>
      </c>
      <c r="AC12" s="276">
        <v>0</v>
      </c>
      <c r="AD12" s="276">
        <v>5677</v>
      </c>
      <c r="AE12" s="276">
        <v>0</v>
      </c>
      <c r="AF12" s="276">
        <v>28985</v>
      </c>
      <c r="AG12" s="276">
        <v>0</v>
      </c>
      <c r="AH12" s="276">
        <v>23115</v>
      </c>
      <c r="AI12" s="276">
        <v>0</v>
      </c>
      <c r="AJ12" s="276">
        <v>14066</v>
      </c>
      <c r="AK12" s="276">
        <v>0</v>
      </c>
      <c r="AL12" s="276">
        <v>22754</v>
      </c>
      <c r="AM12" s="276">
        <v>0</v>
      </c>
      <c r="AN12" s="276">
        <v>26741</v>
      </c>
      <c r="AO12" s="276">
        <v>0</v>
      </c>
      <c r="AP12" s="276">
        <v>0</v>
      </c>
      <c r="AQ12" s="276">
        <v>0</v>
      </c>
      <c r="AR12" s="276">
        <v>3221</v>
      </c>
      <c r="AS12" s="276">
        <v>0</v>
      </c>
      <c r="AT12" s="276">
        <v>9869</v>
      </c>
      <c r="AU12" s="276">
        <v>0</v>
      </c>
      <c r="AV12" s="276">
        <v>12701</v>
      </c>
      <c r="AW12" s="276">
        <v>0</v>
      </c>
      <c r="AX12" s="276">
        <v>0</v>
      </c>
      <c r="AY12" s="276">
        <v>0</v>
      </c>
    </row>
    <row r="13" spans="1:51">
      <c r="A13" s="147"/>
      <c r="B13" s="274">
        <v>10055</v>
      </c>
      <c r="C13" s="274" t="s">
        <v>16</v>
      </c>
      <c r="D13" s="276">
        <v>109</v>
      </c>
      <c r="E13" s="276">
        <v>0</v>
      </c>
      <c r="F13" s="276">
        <v>92</v>
      </c>
      <c r="G13" s="276">
        <v>0</v>
      </c>
      <c r="H13" s="276">
        <v>283</v>
      </c>
      <c r="I13" s="276">
        <v>0</v>
      </c>
      <c r="J13" s="276">
        <v>229</v>
      </c>
      <c r="K13" s="276">
        <v>0</v>
      </c>
      <c r="L13" s="276">
        <v>106</v>
      </c>
      <c r="M13" s="276">
        <v>0</v>
      </c>
      <c r="N13" s="276">
        <v>167</v>
      </c>
      <c r="O13" s="276">
        <v>0</v>
      </c>
      <c r="P13" s="276">
        <v>0</v>
      </c>
      <c r="Q13" s="276">
        <v>0</v>
      </c>
      <c r="R13" s="276">
        <v>30</v>
      </c>
      <c r="S13" s="276">
        <v>0</v>
      </c>
      <c r="T13" s="276">
        <v>23</v>
      </c>
      <c r="U13" s="276">
        <v>0</v>
      </c>
      <c r="V13" s="276">
        <v>56</v>
      </c>
      <c r="W13" s="276">
        <v>0</v>
      </c>
      <c r="X13" s="276">
        <v>65</v>
      </c>
      <c r="Y13" s="276">
        <v>0</v>
      </c>
      <c r="Z13" s="276">
        <v>0</v>
      </c>
      <c r="AA13" s="276">
        <v>0</v>
      </c>
      <c r="AB13" s="276">
        <v>109</v>
      </c>
      <c r="AC13" s="276">
        <v>0</v>
      </c>
      <c r="AD13" s="276">
        <v>93</v>
      </c>
      <c r="AE13" s="276">
        <v>0</v>
      </c>
      <c r="AF13" s="276">
        <v>282</v>
      </c>
      <c r="AG13" s="276">
        <v>0</v>
      </c>
      <c r="AH13" s="276">
        <v>230</v>
      </c>
      <c r="AI13" s="276">
        <v>0</v>
      </c>
      <c r="AJ13" s="276">
        <v>106</v>
      </c>
      <c r="AK13" s="276">
        <v>0</v>
      </c>
      <c r="AL13" s="276">
        <v>166</v>
      </c>
      <c r="AM13" s="276">
        <v>0</v>
      </c>
      <c r="AN13" s="276">
        <v>0</v>
      </c>
      <c r="AO13" s="276">
        <v>0</v>
      </c>
      <c r="AP13" s="276">
        <v>30</v>
      </c>
      <c r="AQ13" s="276">
        <v>0</v>
      </c>
      <c r="AR13" s="276">
        <v>23</v>
      </c>
      <c r="AS13" s="276">
        <v>0</v>
      </c>
      <c r="AT13" s="276">
        <v>56</v>
      </c>
      <c r="AU13" s="276">
        <v>0</v>
      </c>
      <c r="AV13" s="276">
        <v>65</v>
      </c>
      <c r="AW13" s="276">
        <v>0</v>
      </c>
      <c r="AX13" s="276">
        <v>0</v>
      </c>
      <c r="AY13" s="276">
        <v>0</v>
      </c>
    </row>
    <row r="14" spans="1:51">
      <c r="A14" s="147"/>
      <c r="B14" s="274">
        <v>10057</v>
      </c>
      <c r="C14" s="274" t="s">
        <v>17</v>
      </c>
      <c r="D14" s="276">
        <v>1275</v>
      </c>
      <c r="E14" s="276">
        <v>0</v>
      </c>
      <c r="F14" s="276">
        <v>0</v>
      </c>
      <c r="G14" s="276">
        <v>0</v>
      </c>
      <c r="H14" s="276">
        <v>2809</v>
      </c>
      <c r="I14" s="276">
        <v>0</v>
      </c>
      <c r="J14" s="276">
        <v>1671</v>
      </c>
      <c r="K14" s="276">
        <v>0</v>
      </c>
      <c r="L14" s="276">
        <v>2620</v>
      </c>
      <c r="M14" s="276">
        <v>0</v>
      </c>
      <c r="N14" s="276">
        <v>4081</v>
      </c>
      <c r="O14" s="276">
        <v>0</v>
      </c>
      <c r="P14" s="276">
        <v>2593</v>
      </c>
      <c r="Q14" s="276">
        <v>0</v>
      </c>
      <c r="R14" s="276">
        <v>0</v>
      </c>
      <c r="S14" s="276">
        <v>0</v>
      </c>
      <c r="T14" s="276">
        <v>3933</v>
      </c>
      <c r="U14" s="276">
        <v>0</v>
      </c>
      <c r="V14" s="276">
        <v>4328</v>
      </c>
      <c r="W14" s="276">
        <v>0</v>
      </c>
      <c r="X14" s="276">
        <v>3581</v>
      </c>
      <c r="Y14" s="276">
        <v>0</v>
      </c>
      <c r="Z14" s="276">
        <v>5099</v>
      </c>
      <c r="AA14" s="276">
        <v>0</v>
      </c>
      <c r="AB14" s="276">
        <v>1275</v>
      </c>
      <c r="AC14" s="276">
        <v>0</v>
      </c>
      <c r="AD14" s="276">
        <v>0</v>
      </c>
      <c r="AE14" s="276">
        <v>0</v>
      </c>
      <c r="AF14" s="276">
        <v>2820</v>
      </c>
      <c r="AG14" s="276">
        <v>0</v>
      </c>
      <c r="AH14" s="276">
        <v>1660</v>
      </c>
      <c r="AI14" s="276">
        <v>0</v>
      </c>
      <c r="AJ14" s="276">
        <v>2602</v>
      </c>
      <c r="AK14" s="276">
        <v>0</v>
      </c>
      <c r="AL14" s="276">
        <v>4087</v>
      </c>
      <c r="AM14" s="276">
        <v>0</v>
      </c>
      <c r="AN14" s="276">
        <v>2593</v>
      </c>
      <c r="AO14" s="276">
        <v>0</v>
      </c>
      <c r="AP14" s="276">
        <v>0</v>
      </c>
      <c r="AQ14" s="276">
        <v>0</v>
      </c>
      <c r="AR14" s="276">
        <v>3933</v>
      </c>
      <c r="AS14" s="276">
        <v>0</v>
      </c>
      <c r="AT14" s="276">
        <v>4328</v>
      </c>
      <c r="AU14" s="276">
        <v>0</v>
      </c>
      <c r="AV14" s="276">
        <v>3581</v>
      </c>
      <c r="AW14" s="276">
        <v>0</v>
      </c>
      <c r="AX14" s="276">
        <v>5099</v>
      </c>
      <c r="AY14" s="276">
        <v>0</v>
      </c>
    </row>
    <row r="15" spans="1:51">
      <c r="A15" s="147"/>
      <c r="B15" s="274">
        <v>10059</v>
      </c>
      <c r="C15" s="274" t="s">
        <v>18</v>
      </c>
      <c r="D15" s="276">
        <v>115</v>
      </c>
      <c r="E15" s="276">
        <v>0</v>
      </c>
      <c r="F15" s="276">
        <v>1099</v>
      </c>
      <c r="G15" s="276">
        <v>0</v>
      </c>
      <c r="H15" s="276">
        <v>2187</v>
      </c>
      <c r="I15" s="276">
        <v>0</v>
      </c>
      <c r="J15" s="276">
        <v>2919</v>
      </c>
      <c r="K15" s="276">
        <v>0</v>
      </c>
      <c r="L15" s="276">
        <v>1947</v>
      </c>
      <c r="M15" s="276">
        <v>0</v>
      </c>
      <c r="N15" s="276">
        <v>2955</v>
      </c>
      <c r="O15" s="276">
        <v>0</v>
      </c>
      <c r="P15" s="276">
        <v>1358</v>
      </c>
      <c r="Q15" s="276">
        <v>0</v>
      </c>
      <c r="R15" s="276">
        <v>0</v>
      </c>
      <c r="S15" s="276">
        <v>0</v>
      </c>
      <c r="T15" s="276">
        <v>38</v>
      </c>
      <c r="U15" s="276">
        <v>0</v>
      </c>
      <c r="V15" s="276">
        <v>360</v>
      </c>
      <c r="W15" s="276">
        <v>0</v>
      </c>
      <c r="X15" s="276">
        <v>350</v>
      </c>
      <c r="Y15" s="276">
        <v>0</v>
      </c>
      <c r="Z15" s="276">
        <v>0</v>
      </c>
      <c r="AA15" s="276">
        <v>0</v>
      </c>
      <c r="AB15" s="276">
        <v>124</v>
      </c>
      <c r="AC15" s="276">
        <v>0</v>
      </c>
      <c r="AD15" s="276">
        <v>1125</v>
      </c>
      <c r="AE15" s="276">
        <v>0</v>
      </c>
      <c r="AF15" s="276">
        <v>2184</v>
      </c>
      <c r="AG15" s="276">
        <v>0</v>
      </c>
      <c r="AH15" s="276">
        <v>2955</v>
      </c>
      <c r="AI15" s="276">
        <v>0</v>
      </c>
      <c r="AJ15" s="276">
        <v>1752</v>
      </c>
      <c r="AK15" s="276">
        <v>0</v>
      </c>
      <c r="AL15" s="276">
        <v>2954</v>
      </c>
      <c r="AM15" s="276">
        <v>0</v>
      </c>
      <c r="AN15" s="276">
        <v>1371</v>
      </c>
      <c r="AO15" s="276">
        <v>0</v>
      </c>
      <c r="AP15" s="276">
        <v>0</v>
      </c>
      <c r="AQ15" s="276">
        <v>0</v>
      </c>
      <c r="AR15" s="276">
        <v>41</v>
      </c>
      <c r="AS15" s="276">
        <v>0</v>
      </c>
      <c r="AT15" s="276">
        <v>363</v>
      </c>
      <c r="AU15" s="276">
        <v>0</v>
      </c>
      <c r="AV15" s="276">
        <v>353</v>
      </c>
      <c r="AW15" s="276">
        <v>0</v>
      </c>
      <c r="AX15" s="276">
        <v>0</v>
      </c>
      <c r="AY15" s="276">
        <v>0</v>
      </c>
    </row>
    <row r="16" spans="1:51">
      <c r="A16" s="147"/>
      <c r="B16" s="274">
        <v>10061</v>
      </c>
      <c r="C16" s="274" t="s">
        <v>19</v>
      </c>
      <c r="D16" s="276">
        <v>806</v>
      </c>
      <c r="E16" s="276">
        <v>0</v>
      </c>
      <c r="F16" s="276">
        <v>986</v>
      </c>
      <c r="G16" s="276">
        <v>0</v>
      </c>
      <c r="H16" s="276">
        <v>1690</v>
      </c>
      <c r="I16" s="276">
        <v>0</v>
      </c>
      <c r="J16" s="276">
        <v>1352</v>
      </c>
      <c r="K16" s="276">
        <v>0</v>
      </c>
      <c r="L16" s="276">
        <v>1165</v>
      </c>
      <c r="M16" s="276">
        <v>0</v>
      </c>
      <c r="N16" s="276">
        <v>1359</v>
      </c>
      <c r="O16" s="276">
        <v>0</v>
      </c>
      <c r="P16" s="276">
        <v>1142</v>
      </c>
      <c r="Q16" s="276">
        <v>0</v>
      </c>
      <c r="R16" s="276">
        <v>825</v>
      </c>
      <c r="S16" s="276">
        <v>0</v>
      </c>
      <c r="T16" s="276">
        <v>998</v>
      </c>
      <c r="U16" s="276">
        <v>0</v>
      </c>
      <c r="V16" s="276">
        <v>932</v>
      </c>
      <c r="W16" s="276">
        <v>0</v>
      </c>
      <c r="X16" s="276">
        <v>1295</v>
      </c>
      <c r="Y16" s="276">
        <v>0</v>
      </c>
      <c r="Z16" s="276">
        <v>1082</v>
      </c>
      <c r="AA16" s="276">
        <v>0</v>
      </c>
      <c r="AB16" s="276">
        <v>823</v>
      </c>
      <c r="AC16" s="276">
        <v>0</v>
      </c>
      <c r="AD16" s="276">
        <v>980</v>
      </c>
      <c r="AE16" s="276">
        <v>0</v>
      </c>
      <c r="AF16" s="276">
        <v>1705</v>
      </c>
      <c r="AG16" s="276">
        <v>0</v>
      </c>
      <c r="AH16" s="276">
        <v>1338</v>
      </c>
      <c r="AI16" s="276">
        <v>0</v>
      </c>
      <c r="AJ16" s="276">
        <v>1162</v>
      </c>
      <c r="AK16" s="276">
        <v>0</v>
      </c>
      <c r="AL16" s="276">
        <v>1367</v>
      </c>
      <c r="AM16" s="276">
        <v>0</v>
      </c>
      <c r="AN16" s="276">
        <v>1142</v>
      </c>
      <c r="AO16" s="276">
        <v>0</v>
      </c>
      <c r="AP16" s="276">
        <v>825</v>
      </c>
      <c r="AQ16" s="276">
        <v>0</v>
      </c>
      <c r="AR16" s="276">
        <v>998</v>
      </c>
      <c r="AS16" s="276">
        <v>0</v>
      </c>
      <c r="AT16" s="276">
        <v>932</v>
      </c>
      <c r="AU16" s="276">
        <v>0</v>
      </c>
      <c r="AV16" s="276">
        <v>1295</v>
      </c>
      <c r="AW16" s="276">
        <v>0</v>
      </c>
      <c r="AX16" s="276">
        <v>1082</v>
      </c>
      <c r="AY16" s="276">
        <v>0</v>
      </c>
    </row>
    <row r="17" spans="2:51">
      <c r="B17" s="274">
        <v>10062</v>
      </c>
      <c r="C17" s="274" t="s">
        <v>20</v>
      </c>
      <c r="D17" s="276">
        <v>236</v>
      </c>
      <c r="E17" s="276">
        <v>0</v>
      </c>
      <c r="F17" s="276">
        <v>479</v>
      </c>
      <c r="G17" s="276">
        <v>0</v>
      </c>
      <c r="H17" s="276">
        <v>1423</v>
      </c>
      <c r="I17" s="276">
        <v>0</v>
      </c>
      <c r="J17" s="276">
        <v>1155</v>
      </c>
      <c r="K17" s="276">
        <v>0</v>
      </c>
      <c r="L17" s="276">
        <v>824</v>
      </c>
      <c r="M17" s="276">
        <v>0</v>
      </c>
      <c r="N17" s="276">
        <v>55</v>
      </c>
      <c r="O17" s="276">
        <v>0</v>
      </c>
      <c r="P17" s="276">
        <v>902</v>
      </c>
      <c r="Q17" s="276">
        <v>0</v>
      </c>
      <c r="R17" s="276">
        <v>177</v>
      </c>
      <c r="S17" s="276">
        <v>0</v>
      </c>
      <c r="T17" s="276">
        <v>910</v>
      </c>
      <c r="U17" s="276">
        <v>0</v>
      </c>
      <c r="V17" s="276">
        <v>437</v>
      </c>
      <c r="W17" s="276">
        <v>0</v>
      </c>
      <c r="X17" s="276">
        <v>34</v>
      </c>
      <c r="Y17" s="276">
        <v>0</v>
      </c>
      <c r="Z17" s="276">
        <v>647</v>
      </c>
      <c r="AA17" s="276">
        <v>0</v>
      </c>
      <c r="AB17" s="276">
        <v>185</v>
      </c>
      <c r="AC17" s="276">
        <v>0</v>
      </c>
      <c r="AD17" s="276">
        <v>0</v>
      </c>
      <c r="AE17" s="276">
        <v>0</v>
      </c>
      <c r="AF17" s="276">
        <v>1870</v>
      </c>
      <c r="AG17" s="276">
        <v>0</v>
      </c>
      <c r="AH17" s="276">
        <v>645</v>
      </c>
      <c r="AI17" s="276">
        <v>0</v>
      </c>
      <c r="AJ17" s="276">
        <v>1005</v>
      </c>
      <c r="AK17" s="276">
        <v>0</v>
      </c>
      <c r="AL17" s="276">
        <v>432</v>
      </c>
      <c r="AM17" s="276">
        <v>0</v>
      </c>
      <c r="AN17" s="276">
        <v>869</v>
      </c>
      <c r="AO17" s="276">
        <v>0</v>
      </c>
      <c r="AP17" s="276">
        <v>135</v>
      </c>
      <c r="AQ17" s="276">
        <v>0</v>
      </c>
      <c r="AR17" s="276">
        <v>863</v>
      </c>
      <c r="AS17" s="276">
        <v>0</v>
      </c>
      <c r="AT17" s="276">
        <v>398</v>
      </c>
      <c r="AU17" s="276">
        <v>0</v>
      </c>
      <c r="AV17" s="276">
        <v>0</v>
      </c>
      <c r="AW17" s="276">
        <v>0</v>
      </c>
      <c r="AX17" s="276">
        <v>601</v>
      </c>
      <c r="AY17" s="276">
        <v>0</v>
      </c>
    </row>
    <row r="18" spans="2:51">
      <c r="B18" s="274">
        <v>10064</v>
      </c>
      <c r="C18" s="274" t="s">
        <v>21</v>
      </c>
      <c r="D18" s="276">
        <v>2007</v>
      </c>
      <c r="E18" s="276">
        <v>0</v>
      </c>
      <c r="F18" s="276">
        <v>932</v>
      </c>
      <c r="G18" s="276">
        <v>0</v>
      </c>
      <c r="H18" s="276">
        <v>1822</v>
      </c>
      <c r="I18" s="276">
        <v>0</v>
      </c>
      <c r="J18" s="276">
        <v>2276</v>
      </c>
      <c r="K18" s="276">
        <v>0</v>
      </c>
      <c r="L18" s="276">
        <v>747</v>
      </c>
      <c r="M18" s="276">
        <v>0</v>
      </c>
      <c r="N18" s="276">
        <v>2670</v>
      </c>
      <c r="O18" s="276">
        <v>0</v>
      </c>
      <c r="P18" s="276">
        <v>1297</v>
      </c>
      <c r="Q18" s="276">
        <v>0</v>
      </c>
      <c r="R18" s="276">
        <v>1406</v>
      </c>
      <c r="S18" s="276">
        <v>0</v>
      </c>
      <c r="T18" s="276">
        <v>2464</v>
      </c>
      <c r="U18" s="276">
        <v>0</v>
      </c>
      <c r="V18" s="276">
        <v>2695</v>
      </c>
      <c r="W18" s="276">
        <v>0</v>
      </c>
      <c r="X18" s="276">
        <v>2198</v>
      </c>
      <c r="Y18" s="276">
        <v>0</v>
      </c>
      <c r="Z18" s="276">
        <v>2348</v>
      </c>
      <c r="AA18" s="276">
        <v>0</v>
      </c>
      <c r="AB18" s="276">
        <v>2033</v>
      </c>
      <c r="AC18" s="276">
        <v>0</v>
      </c>
      <c r="AD18" s="276">
        <v>921</v>
      </c>
      <c r="AE18" s="276">
        <v>0</v>
      </c>
      <c r="AF18" s="276">
        <v>1893</v>
      </c>
      <c r="AG18" s="276">
        <v>0</v>
      </c>
      <c r="AH18" s="276">
        <v>2268</v>
      </c>
      <c r="AI18" s="276">
        <v>0</v>
      </c>
      <c r="AJ18" s="276">
        <v>770</v>
      </c>
      <c r="AK18" s="276">
        <v>0</v>
      </c>
      <c r="AL18" s="276">
        <v>2732</v>
      </c>
      <c r="AM18" s="276">
        <v>0</v>
      </c>
      <c r="AN18" s="276">
        <v>1323</v>
      </c>
      <c r="AO18" s="276">
        <v>0</v>
      </c>
      <c r="AP18" s="276">
        <v>1430</v>
      </c>
      <c r="AQ18" s="276">
        <v>0</v>
      </c>
      <c r="AR18" s="276">
        <v>2493</v>
      </c>
      <c r="AS18" s="276">
        <v>0</v>
      </c>
      <c r="AT18" s="276">
        <v>2726</v>
      </c>
      <c r="AU18" s="276">
        <v>0</v>
      </c>
      <c r="AV18" s="276">
        <v>2228</v>
      </c>
      <c r="AW18" s="276">
        <v>0</v>
      </c>
      <c r="AX18" s="276">
        <v>2375</v>
      </c>
      <c r="AY18" s="276">
        <v>0</v>
      </c>
    </row>
    <row r="19" spans="2:51">
      <c r="B19" s="274">
        <v>10065</v>
      </c>
      <c r="C19" s="274" t="s">
        <v>22</v>
      </c>
      <c r="D19" s="276">
        <v>319</v>
      </c>
      <c r="E19" s="276">
        <v>0</v>
      </c>
      <c r="F19" s="276">
        <v>805</v>
      </c>
      <c r="G19" s="276">
        <v>0</v>
      </c>
      <c r="H19" s="276">
        <v>923</v>
      </c>
      <c r="I19" s="276">
        <v>0</v>
      </c>
      <c r="J19" s="276">
        <v>637</v>
      </c>
      <c r="K19" s="276">
        <v>0</v>
      </c>
      <c r="L19" s="276">
        <v>497</v>
      </c>
      <c r="M19" s="276">
        <v>0</v>
      </c>
      <c r="N19" s="276">
        <v>523</v>
      </c>
      <c r="O19" s="276">
        <v>0</v>
      </c>
      <c r="P19" s="276">
        <v>425</v>
      </c>
      <c r="Q19" s="276">
        <v>0</v>
      </c>
      <c r="R19" s="276">
        <v>297</v>
      </c>
      <c r="S19" s="276">
        <v>0</v>
      </c>
      <c r="T19" s="276">
        <v>352</v>
      </c>
      <c r="U19" s="276">
        <v>0</v>
      </c>
      <c r="V19" s="276">
        <v>293</v>
      </c>
      <c r="W19" s="276">
        <v>0</v>
      </c>
      <c r="X19" s="276">
        <v>630</v>
      </c>
      <c r="Y19" s="276">
        <v>0</v>
      </c>
      <c r="Z19" s="276">
        <v>283</v>
      </c>
      <c r="AA19" s="276">
        <v>0</v>
      </c>
      <c r="AB19" s="276">
        <v>333</v>
      </c>
      <c r="AC19" s="276">
        <v>0</v>
      </c>
      <c r="AD19" s="276">
        <v>764</v>
      </c>
      <c r="AE19" s="276">
        <v>0</v>
      </c>
      <c r="AF19" s="276">
        <v>951</v>
      </c>
      <c r="AG19" s="276">
        <v>0</v>
      </c>
      <c r="AH19" s="276">
        <v>619</v>
      </c>
      <c r="AI19" s="276">
        <v>0</v>
      </c>
      <c r="AJ19" s="276">
        <v>485</v>
      </c>
      <c r="AK19" s="276">
        <v>0</v>
      </c>
      <c r="AL19" s="276">
        <v>548</v>
      </c>
      <c r="AM19" s="276">
        <v>0</v>
      </c>
      <c r="AN19" s="276">
        <v>429</v>
      </c>
      <c r="AO19" s="276">
        <v>0</v>
      </c>
      <c r="AP19" s="276">
        <v>298</v>
      </c>
      <c r="AQ19" s="276">
        <v>0</v>
      </c>
      <c r="AR19" s="276">
        <v>352</v>
      </c>
      <c r="AS19" s="276">
        <v>0</v>
      </c>
      <c r="AT19" s="276">
        <v>293</v>
      </c>
      <c r="AU19" s="276">
        <v>0</v>
      </c>
      <c r="AV19" s="276">
        <v>630</v>
      </c>
      <c r="AW19" s="276">
        <v>0</v>
      </c>
      <c r="AX19" s="276">
        <v>283</v>
      </c>
      <c r="AY19" s="276">
        <v>0</v>
      </c>
    </row>
    <row r="20" spans="2:51">
      <c r="B20" s="274">
        <v>10066</v>
      </c>
      <c r="C20" s="274" t="s">
        <v>23</v>
      </c>
      <c r="D20" s="276">
        <v>689</v>
      </c>
      <c r="E20" s="276">
        <v>0</v>
      </c>
      <c r="F20" s="276">
        <v>6734</v>
      </c>
      <c r="G20" s="276">
        <v>0</v>
      </c>
      <c r="H20" s="276">
        <v>12387</v>
      </c>
      <c r="I20" s="276">
        <v>0</v>
      </c>
      <c r="J20" s="276">
        <v>7779</v>
      </c>
      <c r="K20" s="276">
        <v>0</v>
      </c>
      <c r="L20" s="276">
        <v>6279</v>
      </c>
      <c r="M20" s="276">
        <v>0</v>
      </c>
      <c r="N20" s="276">
        <v>6795</v>
      </c>
      <c r="O20" s="276">
        <v>0</v>
      </c>
      <c r="P20" s="276">
        <v>3975</v>
      </c>
      <c r="Q20" s="276">
        <v>0</v>
      </c>
      <c r="R20" s="276">
        <v>2342</v>
      </c>
      <c r="S20" s="276">
        <v>0</v>
      </c>
      <c r="T20" s="276">
        <v>3340</v>
      </c>
      <c r="U20" s="276">
        <v>0</v>
      </c>
      <c r="V20" s="276">
        <v>2271</v>
      </c>
      <c r="W20" s="276">
        <v>0</v>
      </c>
      <c r="X20" s="276">
        <v>5345</v>
      </c>
      <c r="Y20" s="276">
        <v>0</v>
      </c>
      <c r="Z20" s="276">
        <v>1270</v>
      </c>
      <c r="AA20" s="276">
        <v>0</v>
      </c>
      <c r="AB20" s="276">
        <v>1666</v>
      </c>
      <c r="AC20" s="276">
        <v>0</v>
      </c>
      <c r="AD20" s="276">
        <v>7295</v>
      </c>
      <c r="AE20" s="276">
        <v>0</v>
      </c>
      <c r="AF20" s="276">
        <v>13657</v>
      </c>
      <c r="AG20" s="276">
        <v>0</v>
      </c>
      <c r="AH20" s="276">
        <v>8288</v>
      </c>
      <c r="AI20" s="276">
        <v>0</v>
      </c>
      <c r="AJ20" s="276">
        <v>6545</v>
      </c>
      <c r="AK20" s="276">
        <v>0</v>
      </c>
      <c r="AL20" s="276">
        <v>7687</v>
      </c>
      <c r="AM20" s="276">
        <v>0</v>
      </c>
      <c r="AN20" s="276">
        <v>4560</v>
      </c>
      <c r="AO20" s="276">
        <v>0</v>
      </c>
      <c r="AP20" s="276">
        <v>2807</v>
      </c>
      <c r="AQ20" s="276">
        <v>0</v>
      </c>
      <c r="AR20" s="276">
        <v>3725</v>
      </c>
      <c r="AS20" s="276">
        <v>0</v>
      </c>
      <c r="AT20" s="276">
        <v>2542</v>
      </c>
      <c r="AU20" s="276">
        <v>0</v>
      </c>
      <c r="AV20" s="276">
        <v>5518</v>
      </c>
      <c r="AW20" s="276">
        <v>0</v>
      </c>
      <c r="AX20" s="276">
        <v>1462</v>
      </c>
      <c r="AY20" s="276">
        <v>0</v>
      </c>
    </row>
    <row r="21" spans="2:51">
      <c r="B21" s="274">
        <v>10067</v>
      </c>
      <c r="C21" s="274" t="s">
        <v>24</v>
      </c>
      <c r="D21" s="276">
        <v>3858</v>
      </c>
      <c r="E21" s="276">
        <v>0</v>
      </c>
      <c r="F21" s="276">
        <v>4598</v>
      </c>
      <c r="G21" s="276">
        <v>0</v>
      </c>
      <c r="H21" s="276">
        <v>3376</v>
      </c>
      <c r="I21" s="276">
        <v>0</v>
      </c>
      <c r="J21" s="276">
        <v>5458</v>
      </c>
      <c r="K21" s="276">
        <v>0</v>
      </c>
      <c r="L21" s="276">
        <v>3878</v>
      </c>
      <c r="M21" s="276">
        <v>0</v>
      </c>
      <c r="N21" s="276">
        <v>4442</v>
      </c>
      <c r="O21" s="276">
        <v>0</v>
      </c>
      <c r="P21" s="276">
        <v>5711</v>
      </c>
      <c r="Q21" s="276">
        <v>0</v>
      </c>
      <c r="R21" s="276">
        <v>3454</v>
      </c>
      <c r="S21" s="276">
        <v>0</v>
      </c>
      <c r="T21" s="276">
        <v>3417</v>
      </c>
      <c r="U21" s="276">
        <v>0</v>
      </c>
      <c r="V21" s="276">
        <v>5005</v>
      </c>
      <c r="W21" s="276">
        <v>0</v>
      </c>
      <c r="X21" s="276">
        <v>3919</v>
      </c>
      <c r="Y21" s="276">
        <v>0</v>
      </c>
      <c r="Z21" s="276">
        <v>5426</v>
      </c>
      <c r="AA21" s="276">
        <v>0</v>
      </c>
      <c r="AB21" s="276">
        <v>3996</v>
      </c>
      <c r="AC21" s="276">
        <v>0</v>
      </c>
      <c r="AD21" s="276">
        <v>3989</v>
      </c>
      <c r="AE21" s="276">
        <v>0</v>
      </c>
      <c r="AF21" s="276">
        <v>4371</v>
      </c>
      <c r="AG21" s="276">
        <v>0</v>
      </c>
      <c r="AH21" s="276">
        <v>4737</v>
      </c>
      <c r="AI21" s="276">
        <v>0</v>
      </c>
      <c r="AJ21" s="276">
        <v>3192</v>
      </c>
      <c r="AK21" s="276">
        <v>0</v>
      </c>
      <c r="AL21" s="276">
        <v>5291</v>
      </c>
      <c r="AM21" s="276">
        <v>0</v>
      </c>
      <c r="AN21" s="276">
        <v>5872</v>
      </c>
      <c r="AO21" s="276">
        <v>0</v>
      </c>
      <c r="AP21" s="276">
        <v>3582</v>
      </c>
      <c r="AQ21" s="276">
        <v>0</v>
      </c>
      <c r="AR21" s="276">
        <v>3549</v>
      </c>
      <c r="AS21" s="276">
        <v>0</v>
      </c>
      <c r="AT21" s="276">
        <v>5160</v>
      </c>
      <c r="AU21" s="276">
        <v>0</v>
      </c>
      <c r="AV21" s="276">
        <v>4060</v>
      </c>
      <c r="AW21" s="276">
        <v>0</v>
      </c>
      <c r="AX21" s="276">
        <v>5569</v>
      </c>
      <c r="AY21" s="276">
        <v>0</v>
      </c>
    </row>
    <row r="22" spans="2:51">
      <c r="B22" s="274">
        <v>10068</v>
      </c>
      <c r="C22" s="274" t="s">
        <v>25</v>
      </c>
      <c r="D22" s="276">
        <v>0</v>
      </c>
      <c r="E22" s="276">
        <v>0</v>
      </c>
      <c r="F22" s="276">
        <v>187</v>
      </c>
      <c r="G22" s="276">
        <v>0</v>
      </c>
      <c r="H22" s="276">
        <v>240</v>
      </c>
      <c r="I22" s="276">
        <v>0</v>
      </c>
      <c r="J22" s="276">
        <v>532</v>
      </c>
      <c r="K22" s="276">
        <v>0</v>
      </c>
      <c r="L22" s="276">
        <v>567</v>
      </c>
      <c r="M22" s="276">
        <v>0</v>
      </c>
      <c r="N22" s="276">
        <v>358</v>
      </c>
      <c r="O22" s="276">
        <v>0</v>
      </c>
      <c r="P22" s="276">
        <v>397</v>
      </c>
      <c r="Q22" s="276">
        <v>0</v>
      </c>
      <c r="R22" s="276">
        <v>97</v>
      </c>
      <c r="S22" s="276">
        <v>0</v>
      </c>
      <c r="T22" s="276">
        <v>18</v>
      </c>
      <c r="U22" s="276">
        <v>0</v>
      </c>
      <c r="V22" s="276">
        <v>645</v>
      </c>
      <c r="W22" s="276">
        <v>0</v>
      </c>
      <c r="X22" s="276">
        <v>363</v>
      </c>
      <c r="Y22" s="276">
        <v>0</v>
      </c>
      <c r="Z22" s="276">
        <v>39</v>
      </c>
      <c r="AA22" s="276">
        <v>0</v>
      </c>
      <c r="AB22" s="276">
        <v>0</v>
      </c>
      <c r="AC22" s="276">
        <v>0</v>
      </c>
      <c r="AD22" s="276">
        <v>53</v>
      </c>
      <c r="AE22" s="276">
        <v>0</v>
      </c>
      <c r="AF22" s="276">
        <v>390</v>
      </c>
      <c r="AG22" s="276">
        <v>0</v>
      </c>
      <c r="AH22" s="276">
        <v>392</v>
      </c>
      <c r="AI22" s="276">
        <v>0</v>
      </c>
      <c r="AJ22" s="276">
        <v>557</v>
      </c>
      <c r="AK22" s="276">
        <v>0</v>
      </c>
      <c r="AL22" s="276">
        <v>469</v>
      </c>
      <c r="AM22" s="276">
        <v>0</v>
      </c>
      <c r="AN22" s="276">
        <v>399</v>
      </c>
      <c r="AO22" s="276">
        <v>0</v>
      </c>
      <c r="AP22" s="276">
        <v>98</v>
      </c>
      <c r="AQ22" s="276">
        <v>0</v>
      </c>
      <c r="AR22" s="276">
        <v>18</v>
      </c>
      <c r="AS22" s="276">
        <v>0</v>
      </c>
      <c r="AT22" s="276">
        <v>648</v>
      </c>
      <c r="AU22" s="276">
        <v>0</v>
      </c>
      <c r="AV22" s="276">
        <v>364</v>
      </c>
      <c r="AW22" s="276">
        <v>0</v>
      </c>
      <c r="AX22" s="276">
        <v>39</v>
      </c>
      <c r="AY22" s="276">
        <v>0</v>
      </c>
    </row>
    <row r="23" spans="2:51">
      <c r="B23" s="274">
        <v>10070</v>
      </c>
      <c r="C23" s="274" t="s">
        <v>26</v>
      </c>
      <c r="D23" s="276">
        <v>62</v>
      </c>
      <c r="E23" s="276">
        <v>0</v>
      </c>
      <c r="F23" s="276">
        <v>36</v>
      </c>
      <c r="G23" s="276">
        <v>0</v>
      </c>
      <c r="H23" s="276">
        <v>106</v>
      </c>
      <c r="I23" s="276">
        <v>0</v>
      </c>
      <c r="J23" s="276">
        <v>78</v>
      </c>
      <c r="K23" s="276">
        <v>0</v>
      </c>
      <c r="L23" s="276">
        <v>58</v>
      </c>
      <c r="M23" s="276">
        <v>0</v>
      </c>
      <c r="N23" s="276">
        <v>71</v>
      </c>
      <c r="O23" s="276">
        <v>0</v>
      </c>
      <c r="P23" s="276">
        <v>37</v>
      </c>
      <c r="Q23" s="276">
        <v>0</v>
      </c>
      <c r="R23" s="276">
        <v>34</v>
      </c>
      <c r="S23" s="276">
        <v>0</v>
      </c>
      <c r="T23" s="276">
        <v>55</v>
      </c>
      <c r="U23" s="276">
        <v>0</v>
      </c>
      <c r="V23" s="276">
        <v>55</v>
      </c>
      <c r="W23" s="276">
        <v>0</v>
      </c>
      <c r="X23" s="276">
        <v>72</v>
      </c>
      <c r="Y23" s="276">
        <v>0</v>
      </c>
      <c r="Z23" s="276">
        <v>56</v>
      </c>
      <c r="AA23" s="276">
        <v>0</v>
      </c>
      <c r="AB23" s="276">
        <v>62</v>
      </c>
      <c r="AC23" s="276">
        <v>0</v>
      </c>
      <c r="AD23" s="276">
        <v>36</v>
      </c>
      <c r="AE23" s="276">
        <v>0</v>
      </c>
      <c r="AF23" s="276">
        <v>107</v>
      </c>
      <c r="AG23" s="276">
        <v>0</v>
      </c>
      <c r="AH23" s="276">
        <v>77</v>
      </c>
      <c r="AI23" s="276">
        <v>0</v>
      </c>
      <c r="AJ23" s="276">
        <v>59</v>
      </c>
      <c r="AK23" s="276">
        <v>0</v>
      </c>
      <c r="AL23" s="276">
        <v>72</v>
      </c>
      <c r="AM23" s="276">
        <v>0</v>
      </c>
      <c r="AN23" s="276">
        <v>37</v>
      </c>
      <c r="AO23" s="276">
        <v>0</v>
      </c>
      <c r="AP23" s="276">
        <v>33</v>
      </c>
      <c r="AQ23" s="276">
        <v>0</v>
      </c>
      <c r="AR23" s="276">
        <v>55</v>
      </c>
      <c r="AS23" s="276">
        <v>0</v>
      </c>
      <c r="AT23" s="276">
        <v>56</v>
      </c>
      <c r="AU23" s="276">
        <v>0</v>
      </c>
      <c r="AV23" s="276">
        <v>71</v>
      </c>
      <c r="AW23" s="276">
        <v>0</v>
      </c>
      <c r="AX23" s="276">
        <v>57</v>
      </c>
      <c r="AY23" s="276">
        <v>0</v>
      </c>
    </row>
    <row r="24" spans="2:51">
      <c r="B24" s="274">
        <v>10071</v>
      </c>
      <c r="C24" s="274" t="s">
        <v>27</v>
      </c>
      <c r="D24" s="276">
        <v>183</v>
      </c>
      <c r="E24" s="276">
        <v>0</v>
      </c>
      <c r="F24" s="276">
        <v>0</v>
      </c>
      <c r="G24" s="276">
        <v>0</v>
      </c>
      <c r="H24" s="276">
        <v>404</v>
      </c>
      <c r="I24" s="276">
        <v>0</v>
      </c>
      <c r="J24" s="276">
        <v>387</v>
      </c>
      <c r="K24" s="276">
        <v>0</v>
      </c>
      <c r="L24" s="276">
        <v>118</v>
      </c>
      <c r="M24" s="276">
        <v>0</v>
      </c>
      <c r="N24" s="276">
        <v>467</v>
      </c>
      <c r="O24" s="276">
        <v>0</v>
      </c>
      <c r="P24" s="276">
        <v>332</v>
      </c>
      <c r="Q24" s="276">
        <v>0</v>
      </c>
      <c r="R24" s="276">
        <v>0</v>
      </c>
      <c r="S24" s="276">
        <v>0</v>
      </c>
      <c r="T24" s="276">
        <v>53</v>
      </c>
      <c r="U24" s="276">
        <v>0</v>
      </c>
      <c r="V24" s="276">
        <v>161</v>
      </c>
      <c r="W24" s="276">
        <v>0</v>
      </c>
      <c r="X24" s="276">
        <v>230</v>
      </c>
      <c r="Y24" s="276">
        <v>0</v>
      </c>
      <c r="Z24" s="276">
        <v>0</v>
      </c>
      <c r="AA24" s="276">
        <v>0</v>
      </c>
      <c r="AB24" s="276">
        <v>183</v>
      </c>
      <c r="AC24" s="276">
        <v>0</v>
      </c>
      <c r="AD24" s="276">
        <v>0</v>
      </c>
      <c r="AE24" s="276">
        <v>0</v>
      </c>
      <c r="AF24" s="276">
        <v>414</v>
      </c>
      <c r="AG24" s="276">
        <v>0</v>
      </c>
      <c r="AH24" s="276">
        <v>377</v>
      </c>
      <c r="AI24" s="276">
        <v>0</v>
      </c>
      <c r="AJ24" s="276">
        <v>117</v>
      </c>
      <c r="AK24" s="276">
        <v>0</v>
      </c>
      <c r="AL24" s="276">
        <v>475</v>
      </c>
      <c r="AM24" s="276">
        <v>0</v>
      </c>
      <c r="AN24" s="276">
        <v>332</v>
      </c>
      <c r="AO24" s="276">
        <v>0</v>
      </c>
      <c r="AP24" s="276">
        <v>0</v>
      </c>
      <c r="AQ24" s="276">
        <v>0</v>
      </c>
      <c r="AR24" s="276">
        <v>53</v>
      </c>
      <c r="AS24" s="276">
        <v>0</v>
      </c>
      <c r="AT24" s="276">
        <v>161</v>
      </c>
      <c r="AU24" s="276">
        <v>0</v>
      </c>
      <c r="AV24" s="276">
        <v>230</v>
      </c>
      <c r="AW24" s="276">
        <v>0</v>
      </c>
      <c r="AX24" s="276">
        <v>0</v>
      </c>
      <c r="AY24" s="276">
        <v>0</v>
      </c>
    </row>
    <row r="25" spans="2:51">
      <c r="B25" s="274">
        <v>10072</v>
      </c>
      <c r="C25" s="274" t="s">
        <v>28</v>
      </c>
      <c r="D25" s="276">
        <v>4841</v>
      </c>
      <c r="E25" s="276">
        <v>0</v>
      </c>
      <c r="F25" s="276">
        <v>2056</v>
      </c>
      <c r="G25" s="276">
        <v>0</v>
      </c>
      <c r="H25" s="276">
        <v>2848</v>
      </c>
      <c r="I25" s="276">
        <v>0</v>
      </c>
      <c r="J25" s="276">
        <v>5752</v>
      </c>
      <c r="K25" s="276">
        <v>0</v>
      </c>
      <c r="L25" s="276">
        <v>5682</v>
      </c>
      <c r="M25" s="276">
        <v>0</v>
      </c>
      <c r="N25" s="276">
        <v>4182</v>
      </c>
      <c r="O25" s="276">
        <v>0</v>
      </c>
      <c r="P25" s="276">
        <v>4345</v>
      </c>
      <c r="Q25" s="276">
        <v>0</v>
      </c>
      <c r="R25" s="276">
        <v>1719</v>
      </c>
      <c r="S25" s="276">
        <v>0</v>
      </c>
      <c r="T25" s="276">
        <v>3094</v>
      </c>
      <c r="U25" s="276">
        <v>0</v>
      </c>
      <c r="V25" s="276">
        <v>3425</v>
      </c>
      <c r="W25" s="276">
        <v>0</v>
      </c>
      <c r="X25" s="276">
        <v>3649</v>
      </c>
      <c r="Y25" s="276">
        <v>0</v>
      </c>
      <c r="Z25" s="276">
        <v>4654</v>
      </c>
      <c r="AA25" s="276">
        <v>0</v>
      </c>
      <c r="AB25" s="276">
        <v>4864</v>
      </c>
      <c r="AC25" s="276">
        <v>0</v>
      </c>
      <c r="AD25" s="276">
        <v>861</v>
      </c>
      <c r="AE25" s="276">
        <v>0</v>
      </c>
      <c r="AF25" s="276">
        <v>4160</v>
      </c>
      <c r="AG25" s="276">
        <v>0</v>
      </c>
      <c r="AH25" s="276">
        <v>4447</v>
      </c>
      <c r="AI25" s="276">
        <v>0</v>
      </c>
      <c r="AJ25" s="276">
        <v>5517</v>
      </c>
      <c r="AK25" s="276">
        <v>0</v>
      </c>
      <c r="AL25" s="276">
        <v>5193</v>
      </c>
      <c r="AM25" s="276">
        <v>0</v>
      </c>
      <c r="AN25" s="276">
        <v>4364</v>
      </c>
      <c r="AO25" s="276">
        <v>0</v>
      </c>
      <c r="AP25" s="276">
        <v>1731</v>
      </c>
      <c r="AQ25" s="276">
        <v>0</v>
      </c>
      <c r="AR25" s="276">
        <v>3118</v>
      </c>
      <c r="AS25" s="276">
        <v>0</v>
      </c>
      <c r="AT25" s="276">
        <v>3458</v>
      </c>
      <c r="AU25" s="276">
        <v>0</v>
      </c>
      <c r="AV25" s="276">
        <v>3690</v>
      </c>
      <c r="AW25" s="276">
        <v>0</v>
      </c>
      <c r="AX25" s="276">
        <v>4690</v>
      </c>
      <c r="AY25" s="276">
        <v>0</v>
      </c>
    </row>
    <row r="26" spans="2:51">
      <c r="B26" s="274">
        <v>10074</v>
      </c>
      <c r="C26" s="274" t="s">
        <v>29</v>
      </c>
      <c r="D26" s="276">
        <v>4391</v>
      </c>
      <c r="E26" s="276">
        <v>0</v>
      </c>
      <c r="F26" s="276">
        <v>3225</v>
      </c>
      <c r="G26" s="276">
        <v>0</v>
      </c>
      <c r="H26" s="276">
        <v>5737</v>
      </c>
      <c r="I26" s="276">
        <v>0</v>
      </c>
      <c r="J26" s="276">
        <v>5533</v>
      </c>
      <c r="K26" s="276">
        <v>0</v>
      </c>
      <c r="L26" s="276">
        <v>3429</v>
      </c>
      <c r="M26" s="276">
        <v>0</v>
      </c>
      <c r="N26" s="276">
        <v>4652</v>
      </c>
      <c r="O26" s="276">
        <v>0</v>
      </c>
      <c r="P26" s="276">
        <v>2880</v>
      </c>
      <c r="Q26" s="276">
        <v>0</v>
      </c>
      <c r="R26" s="276">
        <v>1339</v>
      </c>
      <c r="S26" s="276">
        <v>0</v>
      </c>
      <c r="T26" s="276">
        <v>5303</v>
      </c>
      <c r="U26" s="276">
        <v>0</v>
      </c>
      <c r="V26" s="276">
        <v>5481</v>
      </c>
      <c r="W26" s="276">
        <v>0</v>
      </c>
      <c r="X26" s="276">
        <v>5186</v>
      </c>
      <c r="Y26" s="276">
        <v>0</v>
      </c>
      <c r="Z26" s="276">
        <v>6798</v>
      </c>
      <c r="AA26" s="276">
        <v>0</v>
      </c>
      <c r="AB26" s="276">
        <v>4434</v>
      </c>
      <c r="AC26" s="276">
        <v>0</v>
      </c>
      <c r="AD26" s="276">
        <v>3098</v>
      </c>
      <c r="AE26" s="276">
        <v>0</v>
      </c>
      <c r="AF26" s="276">
        <v>5951</v>
      </c>
      <c r="AG26" s="276">
        <v>0</v>
      </c>
      <c r="AH26" s="276">
        <v>5415</v>
      </c>
      <c r="AI26" s="276">
        <v>0</v>
      </c>
      <c r="AJ26" s="276">
        <v>3391</v>
      </c>
      <c r="AK26" s="276">
        <v>0</v>
      </c>
      <c r="AL26" s="276">
        <v>4841</v>
      </c>
      <c r="AM26" s="276">
        <v>0</v>
      </c>
      <c r="AN26" s="276">
        <v>2921</v>
      </c>
      <c r="AO26" s="276">
        <v>0</v>
      </c>
      <c r="AP26" s="276">
        <v>1366</v>
      </c>
      <c r="AQ26" s="276">
        <v>0</v>
      </c>
      <c r="AR26" s="276">
        <v>5342</v>
      </c>
      <c r="AS26" s="276">
        <v>0</v>
      </c>
      <c r="AT26" s="276">
        <v>5523</v>
      </c>
      <c r="AU26" s="276">
        <v>0</v>
      </c>
      <c r="AV26" s="276">
        <v>5226</v>
      </c>
      <c r="AW26" s="276">
        <v>0</v>
      </c>
      <c r="AX26" s="276">
        <v>6837</v>
      </c>
      <c r="AY26" s="276">
        <v>0</v>
      </c>
    </row>
    <row r="27" spans="2:51">
      <c r="B27" s="274">
        <v>10076</v>
      </c>
      <c r="C27" s="274" t="s">
        <v>30</v>
      </c>
      <c r="D27" s="276">
        <v>565</v>
      </c>
      <c r="E27" s="276">
        <v>0</v>
      </c>
      <c r="F27" s="276">
        <v>236</v>
      </c>
      <c r="G27" s="276">
        <v>0</v>
      </c>
      <c r="H27" s="276">
        <v>433</v>
      </c>
      <c r="I27" s="276">
        <v>0</v>
      </c>
      <c r="J27" s="276">
        <v>534</v>
      </c>
      <c r="K27" s="276">
        <v>0</v>
      </c>
      <c r="L27" s="276">
        <v>0</v>
      </c>
      <c r="M27" s="276">
        <v>0</v>
      </c>
      <c r="N27" s="276">
        <v>547</v>
      </c>
      <c r="O27" s="276">
        <v>0</v>
      </c>
      <c r="P27" s="276">
        <v>297</v>
      </c>
      <c r="Q27" s="276">
        <v>0</v>
      </c>
      <c r="R27" s="276">
        <v>110</v>
      </c>
      <c r="S27" s="276">
        <v>0</v>
      </c>
      <c r="T27" s="276">
        <v>832</v>
      </c>
      <c r="U27" s="276">
        <v>0</v>
      </c>
      <c r="V27" s="276">
        <v>743</v>
      </c>
      <c r="W27" s="276">
        <v>0</v>
      </c>
      <c r="X27" s="276">
        <v>573</v>
      </c>
      <c r="Y27" s="276">
        <v>0</v>
      </c>
      <c r="Z27" s="276">
        <v>491</v>
      </c>
      <c r="AA27" s="276">
        <v>0</v>
      </c>
      <c r="AB27" s="276">
        <v>566</v>
      </c>
      <c r="AC27" s="276">
        <v>0</v>
      </c>
      <c r="AD27" s="276">
        <v>246</v>
      </c>
      <c r="AE27" s="276">
        <v>0</v>
      </c>
      <c r="AF27" s="276">
        <v>437</v>
      </c>
      <c r="AG27" s="276">
        <v>0</v>
      </c>
      <c r="AH27" s="276">
        <v>550</v>
      </c>
      <c r="AI27" s="276">
        <v>0</v>
      </c>
      <c r="AJ27" s="276">
        <v>0</v>
      </c>
      <c r="AK27" s="276">
        <v>0</v>
      </c>
      <c r="AL27" s="276">
        <v>545</v>
      </c>
      <c r="AM27" s="276">
        <v>0</v>
      </c>
      <c r="AN27" s="276">
        <v>298</v>
      </c>
      <c r="AO27" s="276">
        <v>0</v>
      </c>
      <c r="AP27" s="276">
        <v>107</v>
      </c>
      <c r="AQ27" s="276">
        <v>0</v>
      </c>
      <c r="AR27" s="276">
        <v>832</v>
      </c>
      <c r="AS27" s="276">
        <v>0</v>
      </c>
      <c r="AT27" s="276">
        <v>744</v>
      </c>
      <c r="AU27" s="276">
        <v>0</v>
      </c>
      <c r="AV27" s="276">
        <v>574</v>
      </c>
      <c r="AW27" s="276">
        <v>0</v>
      </c>
      <c r="AX27" s="276">
        <v>488</v>
      </c>
      <c r="AY27" s="276">
        <v>0</v>
      </c>
    </row>
    <row r="28" spans="2:51">
      <c r="B28" s="274">
        <v>10078</v>
      </c>
      <c r="C28" s="274" t="s">
        <v>31</v>
      </c>
      <c r="D28" s="276">
        <v>991</v>
      </c>
      <c r="E28" s="276">
        <v>0</v>
      </c>
      <c r="F28" s="276">
        <v>1335</v>
      </c>
      <c r="G28" s="276">
        <v>0</v>
      </c>
      <c r="H28" s="276">
        <v>1411</v>
      </c>
      <c r="I28" s="276">
        <v>0</v>
      </c>
      <c r="J28" s="276">
        <v>1755</v>
      </c>
      <c r="K28" s="276">
        <v>0</v>
      </c>
      <c r="L28" s="276">
        <v>1016</v>
      </c>
      <c r="M28" s="276">
        <v>0</v>
      </c>
      <c r="N28" s="276">
        <v>1097</v>
      </c>
      <c r="O28" s="276">
        <v>0</v>
      </c>
      <c r="P28" s="276">
        <v>1357</v>
      </c>
      <c r="Q28" s="276">
        <v>0</v>
      </c>
      <c r="R28" s="276">
        <v>378</v>
      </c>
      <c r="S28" s="276">
        <v>0</v>
      </c>
      <c r="T28" s="276">
        <v>0</v>
      </c>
      <c r="U28" s="276">
        <v>0</v>
      </c>
      <c r="V28" s="276">
        <v>0</v>
      </c>
      <c r="W28" s="276">
        <v>0</v>
      </c>
      <c r="X28" s="276">
        <v>518</v>
      </c>
      <c r="Y28" s="276">
        <v>0</v>
      </c>
      <c r="Z28" s="276">
        <v>0</v>
      </c>
      <c r="AA28" s="276">
        <v>0</v>
      </c>
      <c r="AB28" s="276">
        <v>975</v>
      </c>
      <c r="AC28" s="276">
        <v>0</v>
      </c>
      <c r="AD28" s="276">
        <v>1288</v>
      </c>
      <c r="AE28" s="276">
        <v>0</v>
      </c>
      <c r="AF28" s="276">
        <v>1425</v>
      </c>
      <c r="AG28" s="276">
        <v>0</v>
      </c>
      <c r="AH28" s="276">
        <v>1710</v>
      </c>
      <c r="AI28" s="276">
        <v>0</v>
      </c>
      <c r="AJ28" s="276">
        <v>816</v>
      </c>
      <c r="AK28" s="276">
        <v>0</v>
      </c>
      <c r="AL28" s="276">
        <v>1109</v>
      </c>
      <c r="AM28" s="276">
        <v>0</v>
      </c>
      <c r="AN28" s="276">
        <v>1342</v>
      </c>
      <c r="AO28" s="276">
        <v>0</v>
      </c>
      <c r="AP28" s="276">
        <v>371</v>
      </c>
      <c r="AQ28" s="276">
        <v>0</v>
      </c>
      <c r="AR28" s="276">
        <v>0</v>
      </c>
      <c r="AS28" s="276">
        <v>0</v>
      </c>
      <c r="AT28" s="276">
        <v>0</v>
      </c>
      <c r="AU28" s="276">
        <v>0</v>
      </c>
      <c r="AV28" s="276">
        <v>502</v>
      </c>
      <c r="AW28" s="276">
        <v>0</v>
      </c>
      <c r="AX28" s="276">
        <v>0</v>
      </c>
      <c r="AY28" s="276">
        <v>0</v>
      </c>
    </row>
    <row r="29" spans="2:51">
      <c r="B29" s="274">
        <v>10079</v>
      </c>
      <c r="C29" s="274" t="s">
        <v>32</v>
      </c>
      <c r="D29" s="276">
        <v>24897</v>
      </c>
      <c r="E29" s="276">
        <v>0</v>
      </c>
      <c r="F29" s="276">
        <v>24974</v>
      </c>
      <c r="G29" s="276">
        <v>0</v>
      </c>
      <c r="H29" s="276">
        <v>15941</v>
      </c>
      <c r="I29" s="276">
        <v>0</v>
      </c>
      <c r="J29" s="276">
        <v>21416</v>
      </c>
      <c r="K29" s="276">
        <v>0</v>
      </c>
      <c r="L29" s="276">
        <v>8732</v>
      </c>
      <c r="M29" s="276">
        <v>0</v>
      </c>
      <c r="N29" s="276">
        <v>25259</v>
      </c>
      <c r="O29" s="276">
        <v>0</v>
      </c>
      <c r="P29" s="276">
        <v>17165</v>
      </c>
      <c r="Q29" s="276">
        <v>0</v>
      </c>
      <c r="R29" s="276">
        <v>16785</v>
      </c>
      <c r="S29" s="276">
        <v>0</v>
      </c>
      <c r="T29" s="276">
        <v>24809</v>
      </c>
      <c r="U29" s="276">
        <v>0</v>
      </c>
      <c r="V29" s="276">
        <v>15965</v>
      </c>
      <c r="W29" s="276">
        <v>0</v>
      </c>
      <c r="X29" s="276">
        <v>18046</v>
      </c>
      <c r="Y29" s="276">
        <v>0</v>
      </c>
      <c r="Z29" s="276">
        <v>5415</v>
      </c>
      <c r="AA29" s="276">
        <v>0</v>
      </c>
      <c r="AB29" s="276">
        <v>20677</v>
      </c>
      <c r="AC29" s="276">
        <v>0</v>
      </c>
      <c r="AD29" s="276">
        <v>28877</v>
      </c>
      <c r="AE29" s="276">
        <v>0</v>
      </c>
      <c r="AF29" s="276">
        <v>28186</v>
      </c>
      <c r="AG29" s="276">
        <v>0</v>
      </c>
      <c r="AH29" s="276">
        <v>19233</v>
      </c>
      <c r="AI29" s="276">
        <v>0</v>
      </c>
      <c r="AJ29" s="276">
        <v>0</v>
      </c>
      <c r="AK29" s="276">
        <v>0</v>
      </c>
      <c r="AL29" s="276">
        <v>19480</v>
      </c>
      <c r="AM29" s="276">
        <v>0</v>
      </c>
      <c r="AN29" s="276">
        <v>19167</v>
      </c>
      <c r="AO29" s="276">
        <v>0</v>
      </c>
      <c r="AP29" s="276">
        <v>16255</v>
      </c>
      <c r="AQ29" s="276">
        <v>0</v>
      </c>
      <c r="AR29" s="276">
        <v>20099</v>
      </c>
      <c r="AS29" s="276">
        <v>0</v>
      </c>
      <c r="AT29" s="276">
        <v>13929</v>
      </c>
      <c r="AU29" s="276">
        <v>0</v>
      </c>
      <c r="AV29" s="276">
        <v>17472</v>
      </c>
      <c r="AW29" s="276">
        <v>0</v>
      </c>
      <c r="AX29" s="276">
        <v>10994</v>
      </c>
      <c r="AY29" s="276">
        <v>0</v>
      </c>
    </row>
    <row r="30" spans="2:51">
      <c r="B30" s="274">
        <v>10080</v>
      </c>
      <c r="C30" s="274" t="s">
        <v>33</v>
      </c>
      <c r="D30" s="276">
        <v>410</v>
      </c>
      <c r="E30" s="276">
        <v>0</v>
      </c>
      <c r="F30" s="276">
        <v>0</v>
      </c>
      <c r="G30" s="276">
        <v>0</v>
      </c>
      <c r="H30" s="276">
        <v>1617</v>
      </c>
      <c r="I30" s="276">
        <v>0</v>
      </c>
      <c r="J30" s="276">
        <v>1195</v>
      </c>
      <c r="K30" s="276">
        <v>0</v>
      </c>
      <c r="L30" s="276">
        <v>456</v>
      </c>
      <c r="M30" s="276">
        <v>0</v>
      </c>
      <c r="N30" s="276">
        <v>919</v>
      </c>
      <c r="O30" s="276">
        <v>0</v>
      </c>
      <c r="P30" s="276">
        <v>583</v>
      </c>
      <c r="Q30" s="276">
        <v>0</v>
      </c>
      <c r="R30" s="276">
        <v>812</v>
      </c>
      <c r="S30" s="276">
        <v>0</v>
      </c>
      <c r="T30" s="276">
        <v>851</v>
      </c>
      <c r="U30" s="276">
        <v>0</v>
      </c>
      <c r="V30" s="276">
        <v>1013</v>
      </c>
      <c r="W30" s="276">
        <v>0</v>
      </c>
      <c r="X30" s="276">
        <v>1175</v>
      </c>
      <c r="Y30" s="276">
        <v>0</v>
      </c>
      <c r="Z30" s="276">
        <v>854</v>
      </c>
      <c r="AA30" s="276">
        <v>0</v>
      </c>
      <c r="AB30" s="276">
        <v>391</v>
      </c>
      <c r="AC30" s="276">
        <v>0</v>
      </c>
      <c r="AD30" s="276">
        <v>0</v>
      </c>
      <c r="AE30" s="276">
        <v>0</v>
      </c>
      <c r="AF30" s="276">
        <v>1625</v>
      </c>
      <c r="AG30" s="276">
        <v>0</v>
      </c>
      <c r="AH30" s="276">
        <v>1161</v>
      </c>
      <c r="AI30" s="276">
        <v>0</v>
      </c>
      <c r="AJ30" s="276">
        <v>403</v>
      </c>
      <c r="AK30" s="276">
        <v>0</v>
      </c>
      <c r="AL30" s="276">
        <v>916</v>
      </c>
      <c r="AM30" s="276">
        <v>0</v>
      </c>
      <c r="AN30" s="276">
        <v>563</v>
      </c>
      <c r="AO30" s="276">
        <v>0</v>
      </c>
      <c r="AP30" s="276">
        <v>805</v>
      </c>
      <c r="AQ30" s="276">
        <v>0</v>
      </c>
      <c r="AR30" s="276">
        <v>864</v>
      </c>
      <c r="AS30" s="276">
        <v>0</v>
      </c>
      <c r="AT30" s="276">
        <v>1046</v>
      </c>
      <c r="AU30" s="276">
        <v>0</v>
      </c>
      <c r="AV30" s="276">
        <v>1201</v>
      </c>
      <c r="AW30" s="276">
        <v>0</v>
      </c>
      <c r="AX30" s="276">
        <v>863</v>
      </c>
      <c r="AY30" s="276">
        <v>0</v>
      </c>
    </row>
    <row r="31" spans="2:51">
      <c r="B31" s="274">
        <v>10081</v>
      </c>
      <c r="C31" s="274" t="s">
        <v>34</v>
      </c>
      <c r="D31" s="276">
        <v>1730</v>
      </c>
      <c r="E31" s="276">
        <v>0</v>
      </c>
      <c r="F31" s="276">
        <v>1442</v>
      </c>
      <c r="G31" s="276">
        <v>0</v>
      </c>
      <c r="H31" s="276">
        <v>3728</v>
      </c>
      <c r="I31" s="276">
        <v>0</v>
      </c>
      <c r="J31" s="276">
        <v>2706</v>
      </c>
      <c r="K31" s="276">
        <v>0</v>
      </c>
      <c r="L31" s="276">
        <v>2742</v>
      </c>
      <c r="M31" s="276">
        <v>0</v>
      </c>
      <c r="N31" s="276">
        <v>3784</v>
      </c>
      <c r="O31" s="276">
        <v>0</v>
      </c>
      <c r="P31" s="276">
        <v>1334</v>
      </c>
      <c r="Q31" s="276">
        <v>0</v>
      </c>
      <c r="R31" s="276">
        <v>1772</v>
      </c>
      <c r="S31" s="276">
        <v>0</v>
      </c>
      <c r="T31" s="276">
        <v>1963</v>
      </c>
      <c r="U31" s="276">
        <v>0</v>
      </c>
      <c r="V31" s="276">
        <v>3107</v>
      </c>
      <c r="W31" s="276">
        <v>0</v>
      </c>
      <c r="X31" s="276">
        <v>2118</v>
      </c>
      <c r="Y31" s="276">
        <v>0</v>
      </c>
      <c r="Z31" s="276">
        <v>2873</v>
      </c>
      <c r="AA31" s="276">
        <v>0</v>
      </c>
      <c r="AB31" s="276">
        <v>1730</v>
      </c>
      <c r="AC31" s="276">
        <v>0</v>
      </c>
      <c r="AD31" s="276">
        <v>1446</v>
      </c>
      <c r="AE31" s="276">
        <v>0</v>
      </c>
      <c r="AF31" s="276">
        <v>3713</v>
      </c>
      <c r="AG31" s="276">
        <v>0</v>
      </c>
      <c r="AH31" s="276">
        <v>2722</v>
      </c>
      <c r="AI31" s="276">
        <v>0</v>
      </c>
      <c r="AJ31" s="276">
        <v>2763</v>
      </c>
      <c r="AK31" s="276">
        <v>0</v>
      </c>
      <c r="AL31" s="276">
        <v>3780</v>
      </c>
      <c r="AM31" s="276">
        <v>0</v>
      </c>
      <c r="AN31" s="276">
        <v>1334</v>
      </c>
      <c r="AO31" s="276">
        <v>0</v>
      </c>
      <c r="AP31" s="276">
        <v>1772</v>
      </c>
      <c r="AQ31" s="276">
        <v>0</v>
      </c>
      <c r="AR31" s="276">
        <v>1963</v>
      </c>
      <c r="AS31" s="276">
        <v>0</v>
      </c>
      <c r="AT31" s="276">
        <v>3107</v>
      </c>
      <c r="AU31" s="276">
        <v>0</v>
      </c>
      <c r="AV31" s="276">
        <v>2118</v>
      </c>
      <c r="AW31" s="276">
        <v>0</v>
      </c>
      <c r="AX31" s="276">
        <v>2873</v>
      </c>
      <c r="AY31" s="276">
        <v>0</v>
      </c>
    </row>
    <row r="32" spans="2:51">
      <c r="B32" s="274">
        <v>10082</v>
      </c>
      <c r="C32" s="274" t="s">
        <v>35</v>
      </c>
      <c r="D32" s="276">
        <v>19</v>
      </c>
      <c r="E32" s="276">
        <v>0</v>
      </c>
      <c r="F32" s="276">
        <v>27</v>
      </c>
      <c r="G32" s="276">
        <v>0</v>
      </c>
      <c r="H32" s="276">
        <v>16</v>
      </c>
      <c r="I32" s="276">
        <v>0</v>
      </c>
      <c r="J32" s="276">
        <v>44</v>
      </c>
      <c r="K32" s="276">
        <v>0</v>
      </c>
      <c r="L32" s="276">
        <v>21</v>
      </c>
      <c r="M32" s="276">
        <v>0</v>
      </c>
      <c r="N32" s="276">
        <v>22</v>
      </c>
      <c r="O32" s="276">
        <v>0</v>
      </c>
      <c r="P32" s="276">
        <v>9</v>
      </c>
      <c r="Q32" s="276">
        <v>0</v>
      </c>
      <c r="R32" s="276">
        <v>0</v>
      </c>
      <c r="S32" s="276">
        <v>0</v>
      </c>
      <c r="T32" s="276">
        <v>0</v>
      </c>
      <c r="U32" s="276">
        <v>0</v>
      </c>
      <c r="V32" s="276">
        <v>13</v>
      </c>
      <c r="W32" s="276">
        <v>0</v>
      </c>
      <c r="X32" s="276">
        <v>12</v>
      </c>
      <c r="Y32" s="276">
        <v>0</v>
      </c>
      <c r="Z32" s="276">
        <v>2</v>
      </c>
      <c r="AA32" s="276">
        <v>0</v>
      </c>
      <c r="AB32" s="276">
        <v>19</v>
      </c>
      <c r="AC32" s="276">
        <v>0</v>
      </c>
      <c r="AD32" s="276">
        <v>27</v>
      </c>
      <c r="AE32" s="276">
        <v>0</v>
      </c>
      <c r="AF32" s="276">
        <v>16</v>
      </c>
      <c r="AG32" s="276">
        <v>0</v>
      </c>
      <c r="AH32" s="276">
        <v>44</v>
      </c>
      <c r="AI32" s="276">
        <v>0</v>
      </c>
      <c r="AJ32" s="276">
        <v>21</v>
      </c>
      <c r="AK32" s="276">
        <v>0</v>
      </c>
      <c r="AL32" s="276">
        <v>22</v>
      </c>
      <c r="AM32" s="276">
        <v>0</v>
      </c>
      <c r="AN32" s="276">
        <v>9</v>
      </c>
      <c r="AO32" s="276">
        <v>0</v>
      </c>
      <c r="AP32" s="276">
        <v>0</v>
      </c>
      <c r="AQ32" s="276">
        <v>0</v>
      </c>
      <c r="AR32" s="276">
        <v>0</v>
      </c>
      <c r="AS32" s="276">
        <v>0</v>
      </c>
      <c r="AT32" s="276">
        <v>13</v>
      </c>
      <c r="AU32" s="276">
        <v>0</v>
      </c>
      <c r="AV32" s="276">
        <v>12</v>
      </c>
      <c r="AW32" s="276">
        <v>0</v>
      </c>
      <c r="AX32" s="276">
        <v>2</v>
      </c>
      <c r="AY32" s="276">
        <v>0</v>
      </c>
    </row>
    <row r="33" spans="2:51">
      <c r="B33" s="274">
        <v>10083</v>
      </c>
      <c r="C33" s="274" t="s">
        <v>36</v>
      </c>
      <c r="D33" s="276">
        <v>723</v>
      </c>
      <c r="E33" s="276">
        <v>0</v>
      </c>
      <c r="F33" s="276">
        <v>1091</v>
      </c>
      <c r="G33" s="276">
        <v>0</v>
      </c>
      <c r="H33" s="276">
        <v>1810</v>
      </c>
      <c r="I33" s="276">
        <v>0</v>
      </c>
      <c r="J33" s="276">
        <v>1446</v>
      </c>
      <c r="K33" s="276">
        <v>0</v>
      </c>
      <c r="L33" s="276">
        <v>1089</v>
      </c>
      <c r="M33" s="276">
        <v>0</v>
      </c>
      <c r="N33" s="276">
        <v>1450</v>
      </c>
      <c r="O33" s="276">
        <v>0</v>
      </c>
      <c r="P33" s="276">
        <v>1116</v>
      </c>
      <c r="Q33" s="276">
        <v>0</v>
      </c>
      <c r="R33" s="276">
        <v>587</v>
      </c>
      <c r="S33" s="276">
        <v>0</v>
      </c>
      <c r="T33" s="276">
        <v>703</v>
      </c>
      <c r="U33" s="276">
        <v>0</v>
      </c>
      <c r="V33" s="276">
        <v>1157</v>
      </c>
      <c r="W33" s="276">
        <v>0</v>
      </c>
      <c r="X33" s="276">
        <v>1917</v>
      </c>
      <c r="Y33" s="276">
        <v>0</v>
      </c>
      <c r="Z33" s="276">
        <v>1466</v>
      </c>
      <c r="AA33" s="276">
        <v>0</v>
      </c>
      <c r="AB33" s="276">
        <v>732</v>
      </c>
      <c r="AC33" s="276">
        <v>0</v>
      </c>
      <c r="AD33" s="276">
        <v>1114</v>
      </c>
      <c r="AE33" s="276">
        <v>0</v>
      </c>
      <c r="AF33" s="276">
        <v>1804</v>
      </c>
      <c r="AG33" s="276">
        <v>0</v>
      </c>
      <c r="AH33" s="276">
        <v>1475</v>
      </c>
      <c r="AI33" s="276">
        <v>0</v>
      </c>
      <c r="AJ33" s="276">
        <v>1009</v>
      </c>
      <c r="AK33" s="276">
        <v>0</v>
      </c>
      <c r="AL33" s="276">
        <v>1447</v>
      </c>
      <c r="AM33" s="276">
        <v>0</v>
      </c>
      <c r="AN33" s="276">
        <v>1125</v>
      </c>
      <c r="AO33" s="276">
        <v>0</v>
      </c>
      <c r="AP33" s="276">
        <v>598</v>
      </c>
      <c r="AQ33" s="276">
        <v>0</v>
      </c>
      <c r="AR33" s="276">
        <v>710</v>
      </c>
      <c r="AS33" s="276">
        <v>0</v>
      </c>
      <c r="AT33" s="276">
        <v>1166</v>
      </c>
      <c r="AU33" s="276">
        <v>0</v>
      </c>
      <c r="AV33" s="276">
        <v>1926</v>
      </c>
      <c r="AW33" s="276">
        <v>0</v>
      </c>
      <c r="AX33" s="276">
        <v>1472</v>
      </c>
      <c r="AY33" s="276">
        <v>0</v>
      </c>
    </row>
    <row r="34" spans="2:51">
      <c r="B34" s="274">
        <v>10086</v>
      </c>
      <c r="C34" s="274" t="s">
        <v>37</v>
      </c>
      <c r="D34" s="276">
        <v>914</v>
      </c>
      <c r="E34" s="276">
        <v>0</v>
      </c>
      <c r="F34" s="276">
        <v>501</v>
      </c>
      <c r="G34" s="276">
        <v>0</v>
      </c>
      <c r="H34" s="276">
        <v>698</v>
      </c>
      <c r="I34" s="276">
        <v>0</v>
      </c>
      <c r="J34" s="276">
        <v>1102</v>
      </c>
      <c r="K34" s="276">
        <v>0</v>
      </c>
      <c r="L34" s="276">
        <v>1054</v>
      </c>
      <c r="M34" s="276">
        <v>0</v>
      </c>
      <c r="N34" s="276">
        <v>968</v>
      </c>
      <c r="O34" s="276">
        <v>0</v>
      </c>
      <c r="P34" s="276">
        <v>1124</v>
      </c>
      <c r="Q34" s="276">
        <v>0</v>
      </c>
      <c r="R34" s="276">
        <v>253</v>
      </c>
      <c r="S34" s="276">
        <v>0</v>
      </c>
      <c r="T34" s="276">
        <v>388</v>
      </c>
      <c r="U34" s="276">
        <v>0</v>
      </c>
      <c r="V34" s="276">
        <v>439</v>
      </c>
      <c r="W34" s="276">
        <v>0</v>
      </c>
      <c r="X34" s="276">
        <v>504</v>
      </c>
      <c r="Y34" s="276">
        <v>0</v>
      </c>
      <c r="Z34" s="276">
        <v>361</v>
      </c>
      <c r="AA34" s="276">
        <v>0</v>
      </c>
      <c r="AB34" s="276">
        <v>919</v>
      </c>
      <c r="AC34" s="276">
        <v>0</v>
      </c>
      <c r="AD34" s="276">
        <v>484</v>
      </c>
      <c r="AE34" s="276">
        <v>0</v>
      </c>
      <c r="AF34" s="276">
        <v>721</v>
      </c>
      <c r="AG34" s="276">
        <v>0</v>
      </c>
      <c r="AH34" s="276">
        <v>1087</v>
      </c>
      <c r="AI34" s="276">
        <v>0</v>
      </c>
      <c r="AJ34" s="276">
        <v>1058</v>
      </c>
      <c r="AK34" s="276">
        <v>0</v>
      </c>
      <c r="AL34" s="276">
        <v>987</v>
      </c>
      <c r="AM34" s="276">
        <v>0</v>
      </c>
      <c r="AN34" s="276">
        <v>1128</v>
      </c>
      <c r="AO34" s="276">
        <v>0</v>
      </c>
      <c r="AP34" s="276">
        <v>256</v>
      </c>
      <c r="AQ34" s="276">
        <v>0</v>
      </c>
      <c r="AR34" s="276">
        <v>390</v>
      </c>
      <c r="AS34" s="276">
        <v>0</v>
      </c>
      <c r="AT34" s="276">
        <v>441</v>
      </c>
      <c r="AU34" s="276">
        <v>0</v>
      </c>
      <c r="AV34" s="276">
        <v>506</v>
      </c>
      <c r="AW34" s="276">
        <v>0</v>
      </c>
      <c r="AX34" s="276">
        <v>364</v>
      </c>
      <c r="AY34" s="276">
        <v>0</v>
      </c>
    </row>
    <row r="35" spans="2:51">
      <c r="B35" s="274">
        <v>10087</v>
      </c>
      <c r="C35" s="274" t="s">
        <v>38</v>
      </c>
      <c r="D35" s="276">
        <v>0</v>
      </c>
      <c r="E35" s="276">
        <v>0</v>
      </c>
      <c r="F35" s="276">
        <v>0</v>
      </c>
      <c r="G35" s="276">
        <v>0</v>
      </c>
      <c r="H35" s="276">
        <v>1558</v>
      </c>
      <c r="I35" s="276">
        <v>0</v>
      </c>
      <c r="J35" s="276">
        <v>0</v>
      </c>
      <c r="K35" s="276">
        <v>0</v>
      </c>
      <c r="L35" s="276">
        <v>642</v>
      </c>
      <c r="M35" s="276">
        <v>0</v>
      </c>
      <c r="N35" s="276">
        <v>0</v>
      </c>
      <c r="O35" s="276">
        <v>0</v>
      </c>
      <c r="P35" s="276">
        <v>0</v>
      </c>
      <c r="Q35" s="276">
        <v>0</v>
      </c>
      <c r="R35" s="276">
        <v>0</v>
      </c>
      <c r="S35" s="276">
        <v>0</v>
      </c>
      <c r="T35" s="276">
        <v>0</v>
      </c>
      <c r="U35" s="276">
        <v>0</v>
      </c>
      <c r="V35" s="276">
        <v>0</v>
      </c>
      <c r="W35" s="276">
        <v>0</v>
      </c>
      <c r="X35" s="276">
        <v>0</v>
      </c>
      <c r="Y35" s="276">
        <v>0</v>
      </c>
      <c r="Z35" s="276">
        <v>0</v>
      </c>
      <c r="AA35" s="276">
        <v>0</v>
      </c>
      <c r="AB35" s="276">
        <v>0</v>
      </c>
      <c r="AC35" s="276">
        <v>0</v>
      </c>
      <c r="AD35" s="276">
        <v>0</v>
      </c>
      <c r="AE35" s="276">
        <v>0</v>
      </c>
      <c r="AF35" s="276">
        <v>3302</v>
      </c>
      <c r="AG35" s="276">
        <v>0</v>
      </c>
      <c r="AH35" s="276">
        <v>0</v>
      </c>
      <c r="AI35" s="276">
        <v>0</v>
      </c>
      <c r="AJ35" s="276">
        <v>405</v>
      </c>
      <c r="AK35" s="276">
        <v>0</v>
      </c>
      <c r="AL35" s="276">
        <v>0</v>
      </c>
      <c r="AM35" s="276">
        <v>0</v>
      </c>
      <c r="AN35" s="276">
        <v>0</v>
      </c>
      <c r="AO35" s="276">
        <v>0</v>
      </c>
      <c r="AP35" s="276">
        <v>0</v>
      </c>
      <c r="AQ35" s="276">
        <v>0</v>
      </c>
      <c r="AR35" s="276">
        <v>0</v>
      </c>
      <c r="AS35" s="276">
        <v>0</v>
      </c>
      <c r="AT35" s="276">
        <v>0</v>
      </c>
      <c r="AU35" s="276">
        <v>0</v>
      </c>
      <c r="AV35" s="276">
        <v>0</v>
      </c>
      <c r="AW35" s="276">
        <v>0</v>
      </c>
      <c r="AX35" s="276">
        <v>0</v>
      </c>
      <c r="AY35" s="276">
        <v>0</v>
      </c>
    </row>
    <row r="36" spans="2:51">
      <c r="B36" s="274">
        <v>10089</v>
      </c>
      <c r="C36" s="274" t="s">
        <v>39</v>
      </c>
      <c r="D36" s="276">
        <v>2567</v>
      </c>
      <c r="E36" s="276">
        <v>0</v>
      </c>
      <c r="F36" s="276">
        <v>1121</v>
      </c>
      <c r="G36" s="276">
        <v>0</v>
      </c>
      <c r="H36" s="276">
        <v>19718</v>
      </c>
      <c r="I36" s="276">
        <v>0</v>
      </c>
      <c r="J36" s="276">
        <v>13846</v>
      </c>
      <c r="K36" s="276">
        <v>0</v>
      </c>
      <c r="L36" s="276">
        <v>10572</v>
      </c>
      <c r="M36" s="276">
        <v>0</v>
      </c>
      <c r="N36" s="276">
        <v>15749</v>
      </c>
      <c r="O36" s="276">
        <v>0</v>
      </c>
      <c r="P36" s="276">
        <v>8563</v>
      </c>
      <c r="Q36" s="276">
        <v>0</v>
      </c>
      <c r="R36" s="276">
        <v>3782</v>
      </c>
      <c r="S36" s="276">
        <v>0</v>
      </c>
      <c r="T36" s="276">
        <v>8341</v>
      </c>
      <c r="U36" s="276">
        <v>0</v>
      </c>
      <c r="V36" s="276">
        <v>14569</v>
      </c>
      <c r="W36" s="276">
        <v>0</v>
      </c>
      <c r="X36" s="276">
        <v>21283</v>
      </c>
      <c r="Y36" s="276">
        <v>0</v>
      </c>
      <c r="Z36" s="276">
        <v>21698</v>
      </c>
      <c r="AA36" s="276">
        <v>0</v>
      </c>
      <c r="AB36" s="276">
        <v>2785</v>
      </c>
      <c r="AC36" s="276">
        <v>0</v>
      </c>
      <c r="AD36" s="276">
        <v>1519</v>
      </c>
      <c r="AE36" s="276">
        <v>0</v>
      </c>
      <c r="AF36" s="276">
        <v>19874</v>
      </c>
      <c r="AG36" s="276">
        <v>0</v>
      </c>
      <c r="AH36" s="276">
        <v>14367</v>
      </c>
      <c r="AI36" s="276">
        <v>0</v>
      </c>
      <c r="AJ36" s="276">
        <v>9364</v>
      </c>
      <c r="AK36" s="276">
        <v>0</v>
      </c>
      <c r="AL36" s="276">
        <v>15951</v>
      </c>
      <c r="AM36" s="276">
        <v>0</v>
      </c>
      <c r="AN36" s="276">
        <v>8756</v>
      </c>
      <c r="AO36" s="276">
        <v>0</v>
      </c>
      <c r="AP36" s="276">
        <v>4021</v>
      </c>
      <c r="AQ36" s="276">
        <v>0</v>
      </c>
      <c r="AR36" s="276">
        <v>8640</v>
      </c>
      <c r="AS36" s="276">
        <v>0</v>
      </c>
      <c r="AT36" s="276">
        <v>14876</v>
      </c>
      <c r="AU36" s="276">
        <v>0</v>
      </c>
      <c r="AV36" s="276">
        <v>21638</v>
      </c>
      <c r="AW36" s="276">
        <v>0</v>
      </c>
      <c r="AX36" s="276">
        <v>22038</v>
      </c>
      <c r="AY36" s="276">
        <v>0</v>
      </c>
    </row>
    <row r="37" spans="2:51">
      <c r="B37" s="274">
        <v>10091</v>
      </c>
      <c r="C37" s="274" t="s">
        <v>40</v>
      </c>
      <c r="D37" s="276">
        <v>1626</v>
      </c>
      <c r="E37" s="276">
        <v>0</v>
      </c>
      <c r="F37" s="276">
        <v>2288</v>
      </c>
      <c r="G37" s="276">
        <v>0</v>
      </c>
      <c r="H37" s="276">
        <v>1710</v>
      </c>
      <c r="I37" s="276">
        <v>0</v>
      </c>
      <c r="J37" s="276">
        <v>1884</v>
      </c>
      <c r="K37" s="276">
        <v>0</v>
      </c>
      <c r="L37" s="276">
        <v>1899</v>
      </c>
      <c r="M37" s="276">
        <v>0</v>
      </c>
      <c r="N37" s="276">
        <v>1144</v>
      </c>
      <c r="O37" s="276">
        <v>0</v>
      </c>
      <c r="P37" s="276">
        <v>1944</v>
      </c>
      <c r="Q37" s="276">
        <v>0</v>
      </c>
      <c r="R37" s="276">
        <v>745</v>
      </c>
      <c r="S37" s="276">
        <v>0</v>
      </c>
      <c r="T37" s="276">
        <v>2770</v>
      </c>
      <c r="U37" s="276">
        <v>0</v>
      </c>
      <c r="V37" s="276">
        <v>2736</v>
      </c>
      <c r="W37" s="276">
        <v>0</v>
      </c>
      <c r="X37" s="276">
        <v>2168</v>
      </c>
      <c r="Y37" s="276">
        <v>0</v>
      </c>
      <c r="Z37" s="276">
        <v>1464</v>
      </c>
      <c r="AA37" s="276">
        <v>0</v>
      </c>
      <c r="AB37" s="276">
        <v>1567</v>
      </c>
      <c r="AC37" s="276">
        <v>0</v>
      </c>
      <c r="AD37" s="276">
        <v>1760</v>
      </c>
      <c r="AE37" s="276">
        <v>0</v>
      </c>
      <c r="AF37" s="276">
        <v>2184</v>
      </c>
      <c r="AG37" s="276">
        <v>0</v>
      </c>
      <c r="AH37" s="276">
        <v>1287</v>
      </c>
      <c r="AI37" s="276">
        <v>0</v>
      </c>
      <c r="AJ37" s="276">
        <v>1663</v>
      </c>
      <c r="AK37" s="276">
        <v>0</v>
      </c>
      <c r="AL37" s="276">
        <v>1480</v>
      </c>
      <c r="AM37" s="276">
        <v>0</v>
      </c>
      <c r="AN37" s="276">
        <v>1883</v>
      </c>
      <c r="AO37" s="276">
        <v>0</v>
      </c>
      <c r="AP37" s="276">
        <v>668</v>
      </c>
      <c r="AQ37" s="276">
        <v>0</v>
      </c>
      <c r="AR37" s="276">
        <v>2693</v>
      </c>
      <c r="AS37" s="276">
        <v>0</v>
      </c>
      <c r="AT37" s="276">
        <v>2658</v>
      </c>
      <c r="AU37" s="276">
        <v>0</v>
      </c>
      <c r="AV37" s="276">
        <v>2089</v>
      </c>
      <c r="AW37" s="276">
        <v>0</v>
      </c>
      <c r="AX37" s="276">
        <v>1386</v>
      </c>
      <c r="AY37" s="276">
        <v>0</v>
      </c>
    </row>
    <row r="38" spans="2:51">
      <c r="B38" s="274">
        <v>10094</v>
      </c>
      <c r="C38" s="274" t="s">
        <v>41</v>
      </c>
      <c r="D38" s="276">
        <v>580</v>
      </c>
      <c r="E38" s="276">
        <v>0</v>
      </c>
      <c r="F38" s="276">
        <v>253</v>
      </c>
      <c r="G38" s="276">
        <v>0</v>
      </c>
      <c r="H38" s="276">
        <v>300</v>
      </c>
      <c r="I38" s="276">
        <v>0</v>
      </c>
      <c r="J38" s="276">
        <v>630</v>
      </c>
      <c r="K38" s="276">
        <v>0</v>
      </c>
      <c r="L38" s="276">
        <v>473</v>
      </c>
      <c r="M38" s="276">
        <v>0</v>
      </c>
      <c r="N38" s="276">
        <v>473</v>
      </c>
      <c r="O38" s="276">
        <v>0</v>
      </c>
      <c r="P38" s="276">
        <v>563</v>
      </c>
      <c r="Q38" s="276">
        <v>0</v>
      </c>
      <c r="R38" s="276">
        <v>377</v>
      </c>
      <c r="S38" s="276">
        <v>0</v>
      </c>
      <c r="T38" s="276">
        <v>463</v>
      </c>
      <c r="U38" s="276">
        <v>0</v>
      </c>
      <c r="V38" s="276">
        <v>619</v>
      </c>
      <c r="W38" s="276">
        <v>0</v>
      </c>
      <c r="X38" s="276">
        <v>419</v>
      </c>
      <c r="Y38" s="276">
        <v>0</v>
      </c>
      <c r="Z38" s="276">
        <v>449</v>
      </c>
      <c r="AA38" s="276">
        <v>0</v>
      </c>
      <c r="AB38" s="276">
        <v>580</v>
      </c>
      <c r="AC38" s="276">
        <v>0</v>
      </c>
      <c r="AD38" s="276">
        <v>100</v>
      </c>
      <c r="AE38" s="276">
        <v>0</v>
      </c>
      <c r="AF38" s="276">
        <v>466</v>
      </c>
      <c r="AG38" s="276">
        <v>0</v>
      </c>
      <c r="AH38" s="276">
        <v>463</v>
      </c>
      <c r="AI38" s="276">
        <v>0</v>
      </c>
      <c r="AJ38" s="276">
        <v>451</v>
      </c>
      <c r="AK38" s="276">
        <v>0</v>
      </c>
      <c r="AL38" s="276">
        <v>610</v>
      </c>
      <c r="AM38" s="276">
        <v>0</v>
      </c>
      <c r="AN38" s="276">
        <v>563</v>
      </c>
      <c r="AO38" s="276">
        <v>0</v>
      </c>
      <c r="AP38" s="276">
        <v>377</v>
      </c>
      <c r="AQ38" s="276">
        <v>0</v>
      </c>
      <c r="AR38" s="276">
        <v>463</v>
      </c>
      <c r="AS38" s="276">
        <v>0</v>
      </c>
      <c r="AT38" s="276">
        <v>619</v>
      </c>
      <c r="AU38" s="276">
        <v>0</v>
      </c>
      <c r="AV38" s="276">
        <v>419</v>
      </c>
      <c r="AW38" s="276">
        <v>0</v>
      </c>
      <c r="AX38" s="276">
        <v>449</v>
      </c>
      <c r="AY38" s="276">
        <v>0</v>
      </c>
    </row>
    <row r="39" spans="2:51">
      <c r="B39" s="274">
        <v>10095</v>
      </c>
      <c r="C39" s="274" t="s">
        <v>42</v>
      </c>
      <c r="D39" s="276">
        <v>561</v>
      </c>
      <c r="E39" s="276">
        <v>0</v>
      </c>
      <c r="F39" s="276">
        <v>247</v>
      </c>
      <c r="G39" s="276">
        <v>0</v>
      </c>
      <c r="H39" s="276">
        <v>690</v>
      </c>
      <c r="I39" s="276">
        <v>0</v>
      </c>
      <c r="J39" s="276">
        <v>675</v>
      </c>
      <c r="K39" s="276">
        <v>0</v>
      </c>
      <c r="L39" s="276">
        <v>279</v>
      </c>
      <c r="M39" s="276">
        <v>0</v>
      </c>
      <c r="N39" s="276">
        <v>157</v>
      </c>
      <c r="O39" s="276">
        <v>0</v>
      </c>
      <c r="P39" s="276">
        <v>151</v>
      </c>
      <c r="Q39" s="276">
        <v>0</v>
      </c>
      <c r="R39" s="276">
        <v>13</v>
      </c>
      <c r="S39" s="276">
        <v>0</v>
      </c>
      <c r="T39" s="276">
        <v>187</v>
      </c>
      <c r="U39" s="276">
        <v>0</v>
      </c>
      <c r="V39" s="276">
        <v>217</v>
      </c>
      <c r="W39" s="276">
        <v>0</v>
      </c>
      <c r="X39" s="276">
        <v>251</v>
      </c>
      <c r="Y39" s="276">
        <v>0</v>
      </c>
      <c r="Z39" s="276">
        <v>215</v>
      </c>
      <c r="AA39" s="276">
        <v>0</v>
      </c>
      <c r="AB39" s="276">
        <v>569</v>
      </c>
      <c r="AC39" s="276">
        <v>0</v>
      </c>
      <c r="AD39" s="276">
        <v>210</v>
      </c>
      <c r="AE39" s="276">
        <v>0</v>
      </c>
      <c r="AF39" s="276">
        <v>746</v>
      </c>
      <c r="AG39" s="276">
        <v>0</v>
      </c>
      <c r="AH39" s="276">
        <v>614</v>
      </c>
      <c r="AI39" s="276">
        <v>0</v>
      </c>
      <c r="AJ39" s="276">
        <v>244</v>
      </c>
      <c r="AK39" s="276">
        <v>0</v>
      </c>
      <c r="AL39" s="276">
        <v>189</v>
      </c>
      <c r="AM39" s="276">
        <v>0</v>
      </c>
      <c r="AN39" s="276">
        <v>138</v>
      </c>
      <c r="AO39" s="276">
        <v>0</v>
      </c>
      <c r="AP39" s="276">
        <v>0</v>
      </c>
      <c r="AQ39" s="276">
        <v>0</v>
      </c>
      <c r="AR39" s="276">
        <v>174</v>
      </c>
      <c r="AS39" s="276">
        <v>0</v>
      </c>
      <c r="AT39" s="276">
        <v>203</v>
      </c>
      <c r="AU39" s="276">
        <v>0</v>
      </c>
      <c r="AV39" s="276">
        <v>237</v>
      </c>
      <c r="AW39" s="276">
        <v>0</v>
      </c>
      <c r="AX39" s="276">
        <v>201</v>
      </c>
      <c r="AY39" s="276">
        <v>0</v>
      </c>
    </row>
    <row r="40" spans="2:51">
      <c r="B40" s="274">
        <v>10097</v>
      </c>
      <c r="C40" s="274" t="s">
        <v>43</v>
      </c>
      <c r="D40" s="276">
        <v>292</v>
      </c>
      <c r="E40" s="276">
        <v>0</v>
      </c>
      <c r="F40" s="276">
        <v>455</v>
      </c>
      <c r="G40" s="276">
        <v>0</v>
      </c>
      <c r="H40" s="276">
        <v>289</v>
      </c>
      <c r="I40" s="276">
        <v>0</v>
      </c>
      <c r="J40" s="276">
        <v>507</v>
      </c>
      <c r="K40" s="276">
        <v>0</v>
      </c>
      <c r="L40" s="276">
        <v>585</v>
      </c>
      <c r="M40" s="276">
        <v>0</v>
      </c>
      <c r="N40" s="276">
        <v>321</v>
      </c>
      <c r="O40" s="276">
        <v>0</v>
      </c>
      <c r="P40" s="276">
        <v>423</v>
      </c>
      <c r="Q40" s="276">
        <v>0</v>
      </c>
      <c r="R40" s="276">
        <v>216</v>
      </c>
      <c r="S40" s="276">
        <v>0</v>
      </c>
      <c r="T40" s="276">
        <v>273</v>
      </c>
      <c r="U40" s="276">
        <v>0</v>
      </c>
      <c r="V40" s="276">
        <v>192</v>
      </c>
      <c r="W40" s="276">
        <v>0</v>
      </c>
      <c r="X40" s="276">
        <v>163</v>
      </c>
      <c r="Y40" s="276">
        <v>0</v>
      </c>
      <c r="Z40" s="276">
        <v>224</v>
      </c>
      <c r="AA40" s="276">
        <v>0</v>
      </c>
      <c r="AB40" s="276">
        <v>294</v>
      </c>
      <c r="AC40" s="276">
        <v>0</v>
      </c>
      <c r="AD40" s="276">
        <v>352</v>
      </c>
      <c r="AE40" s="276">
        <v>0</v>
      </c>
      <c r="AF40" s="276">
        <v>408</v>
      </c>
      <c r="AG40" s="276">
        <v>0</v>
      </c>
      <c r="AH40" s="276">
        <v>392</v>
      </c>
      <c r="AI40" s="276">
        <v>0</v>
      </c>
      <c r="AJ40" s="276">
        <v>328</v>
      </c>
      <c r="AK40" s="276">
        <v>0</v>
      </c>
      <c r="AL40" s="276">
        <v>419</v>
      </c>
      <c r="AM40" s="276">
        <v>0</v>
      </c>
      <c r="AN40" s="276">
        <v>426</v>
      </c>
      <c r="AO40" s="276">
        <v>0</v>
      </c>
      <c r="AP40" s="276">
        <v>219</v>
      </c>
      <c r="AQ40" s="276">
        <v>0</v>
      </c>
      <c r="AR40" s="276">
        <v>275</v>
      </c>
      <c r="AS40" s="276">
        <v>0</v>
      </c>
      <c r="AT40" s="276">
        <v>193</v>
      </c>
      <c r="AU40" s="276">
        <v>0</v>
      </c>
      <c r="AV40" s="276">
        <v>163</v>
      </c>
      <c r="AW40" s="276">
        <v>0</v>
      </c>
      <c r="AX40" s="276">
        <v>225</v>
      </c>
      <c r="AY40" s="276">
        <v>0</v>
      </c>
    </row>
    <row r="41" spans="2:51">
      <c r="B41" s="274">
        <v>10101</v>
      </c>
      <c r="C41" s="274" t="s">
        <v>44</v>
      </c>
      <c r="D41" s="276">
        <v>9825</v>
      </c>
      <c r="E41" s="276">
        <v>0</v>
      </c>
      <c r="F41" s="276">
        <v>8576</v>
      </c>
      <c r="G41" s="276">
        <v>0</v>
      </c>
      <c r="H41" s="276">
        <v>24386</v>
      </c>
      <c r="I41" s="276">
        <v>0</v>
      </c>
      <c r="J41" s="276">
        <v>30587</v>
      </c>
      <c r="K41" s="276">
        <v>0</v>
      </c>
      <c r="L41" s="276">
        <v>33436</v>
      </c>
      <c r="M41" s="276">
        <v>0</v>
      </c>
      <c r="N41" s="276">
        <v>28740</v>
      </c>
      <c r="O41" s="276">
        <v>0</v>
      </c>
      <c r="P41" s="276">
        <v>24022</v>
      </c>
      <c r="Q41" s="276">
        <v>0</v>
      </c>
      <c r="R41" s="276">
        <v>10524</v>
      </c>
      <c r="S41" s="276">
        <v>0</v>
      </c>
      <c r="T41" s="276">
        <v>11459</v>
      </c>
      <c r="U41" s="276">
        <v>0</v>
      </c>
      <c r="V41" s="276">
        <v>16860</v>
      </c>
      <c r="W41" s="276">
        <v>0</v>
      </c>
      <c r="X41" s="276">
        <v>16420</v>
      </c>
      <c r="Y41" s="276">
        <v>0</v>
      </c>
      <c r="Z41" s="276">
        <v>9015</v>
      </c>
      <c r="AA41" s="276">
        <v>0</v>
      </c>
      <c r="AB41" s="276">
        <v>10365</v>
      </c>
      <c r="AC41" s="276">
        <v>0</v>
      </c>
      <c r="AD41" s="276">
        <v>4806</v>
      </c>
      <c r="AE41" s="276">
        <v>0</v>
      </c>
      <c r="AF41" s="276">
        <v>29658</v>
      </c>
      <c r="AG41" s="276">
        <v>0</v>
      </c>
      <c r="AH41" s="276">
        <v>26362</v>
      </c>
      <c r="AI41" s="276">
        <v>0</v>
      </c>
      <c r="AJ41" s="276">
        <v>31287</v>
      </c>
      <c r="AK41" s="276">
        <v>0</v>
      </c>
      <c r="AL41" s="276">
        <v>32739</v>
      </c>
      <c r="AM41" s="276">
        <v>0</v>
      </c>
      <c r="AN41" s="276">
        <v>24561</v>
      </c>
      <c r="AO41" s="276">
        <v>0</v>
      </c>
      <c r="AP41" s="276">
        <v>11163</v>
      </c>
      <c r="AQ41" s="276">
        <v>0</v>
      </c>
      <c r="AR41" s="276">
        <v>12014</v>
      </c>
      <c r="AS41" s="276">
        <v>0</v>
      </c>
      <c r="AT41" s="276">
        <v>17429</v>
      </c>
      <c r="AU41" s="276">
        <v>0</v>
      </c>
      <c r="AV41" s="276">
        <v>16968</v>
      </c>
      <c r="AW41" s="276">
        <v>0</v>
      </c>
      <c r="AX41" s="276">
        <v>9561</v>
      </c>
      <c r="AY41" s="276">
        <v>0</v>
      </c>
    </row>
    <row r="42" spans="2:51">
      <c r="B42" s="274">
        <v>10103</v>
      </c>
      <c r="C42" s="274" t="s">
        <v>45</v>
      </c>
      <c r="D42" s="276">
        <v>0</v>
      </c>
      <c r="E42" s="276">
        <v>0</v>
      </c>
      <c r="F42" s="276">
        <v>0</v>
      </c>
      <c r="G42" s="276">
        <v>0</v>
      </c>
      <c r="H42" s="276">
        <v>0</v>
      </c>
      <c r="I42" s="276">
        <v>0</v>
      </c>
      <c r="J42" s="276">
        <v>0</v>
      </c>
      <c r="K42" s="276">
        <v>0</v>
      </c>
      <c r="L42" s="276">
        <v>0</v>
      </c>
      <c r="M42" s="276">
        <v>0</v>
      </c>
      <c r="N42" s="276">
        <v>0</v>
      </c>
      <c r="O42" s="276">
        <v>0</v>
      </c>
      <c r="P42" s="276">
        <v>0</v>
      </c>
      <c r="Q42" s="276">
        <v>0</v>
      </c>
      <c r="R42" s="276">
        <v>0</v>
      </c>
      <c r="S42" s="276">
        <v>0</v>
      </c>
      <c r="T42" s="276">
        <v>0</v>
      </c>
      <c r="U42" s="276">
        <v>0</v>
      </c>
      <c r="V42" s="276">
        <v>0</v>
      </c>
      <c r="W42" s="276">
        <v>0</v>
      </c>
      <c r="X42" s="276">
        <v>0</v>
      </c>
      <c r="Y42" s="276">
        <v>0</v>
      </c>
      <c r="Z42" s="276">
        <v>0</v>
      </c>
      <c r="AA42" s="276">
        <v>0</v>
      </c>
      <c r="AB42" s="276">
        <v>0</v>
      </c>
      <c r="AC42" s="276">
        <v>0</v>
      </c>
      <c r="AD42" s="276">
        <v>0</v>
      </c>
      <c r="AE42" s="276">
        <v>0</v>
      </c>
      <c r="AF42" s="276">
        <v>0</v>
      </c>
      <c r="AG42" s="276">
        <v>0</v>
      </c>
      <c r="AH42" s="276">
        <v>0</v>
      </c>
      <c r="AI42" s="276">
        <v>0</v>
      </c>
      <c r="AJ42" s="276">
        <v>0</v>
      </c>
      <c r="AK42" s="276">
        <v>0</v>
      </c>
      <c r="AL42" s="276">
        <v>0</v>
      </c>
      <c r="AM42" s="276">
        <v>0</v>
      </c>
      <c r="AN42" s="276">
        <v>0</v>
      </c>
      <c r="AO42" s="276">
        <v>0</v>
      </c>
      <c r="AP42" s="276">
        <v>0</v>
      </c>
      <c r="AQ42" s="276">
        <v>0</v>
      </c>
      <c r="AR42" s="276">
        <v>0</v>
      </c>
      <c r="AS42" s="276">
        <v>0</v>
      </c>
      <c r="AT42" s="276">
        <v>0</v>
      </c>
      <c r="AU42" s="276">
        <v>0</v>
      </c>
      <c r="AV42" s="276">
        <v>0</v>
      </c>
      <c r="AW42" s="276">
        <v>0</v>
      </c>
      <c r="AX42" s="276">
        <v>0</v>
      </c>
      <c r="AY42" s="276">
        <v>0</v>
      </c>
    </row>
    <row r="43" spans="2:51">
      <c r="B43" s="274">
        <v>10105</v>
      </c>
      <c r="C43" s="274" t="s">
        <v>46</v>
      </c>
      <c r="D43" s="276">
        <v>0</v>
      </c>
      <c r="E43" s="276">
        <v>0</v>
      </c>
      <c r="F43" s="276">
        <v>0</v>
      </c>
      <c r="G43" s="276">
        <v>0</v>
      </c>
      <c r="H43" s="276">
        <v>0</v>
      </c>
      <c r="I43" s="276">
        <v>0</v>
      </c>
      <c r="J43" s="276">
        <v>0</v>
      </c>
      <c r="K43" s="276">
        <v>0</v>
      </c>
      <c r="L43" s="276">
        <v>0</v>
      </c>
      <c r="M43" s="276">
        <v>0</v>
      </c>
      <c r="N43" s="276">
        <v>0</v>
      </c>
      <c r="O43" s="276">
        <v>0</v>
      </c>
      <c r="P43" s="276">
        <v>0</v>
      </c>
      <c r="Q43" s="276">
        <v>0</v>
      </c>
      <c r="R43" s="276">
        <v>0</v>
      </c>
      <c r="S43" s="276">
        <v>0</v>
      </c>
      <c r="T43" s="276">
        <v>0</v>
      </c>
      <c r="U43" s="276">
        <v>0</v>
      </c>
      <c r="V43" s="276">
        <v>0</v>
      </c>
      <c r="W43" s="276">
        <v>0</v>
      </c>
      <c r="X43" s="276">
        <v>0</v>
      </c>
      <c r="Y43" s="276">
        <v>0</v>
      </c>
      <c r="Z43" s="276">
        <v>0</v>
      </c>
      <c r="AA43" s="276">
        <v>0</v>
      </c>
      <c r="AB43" s="276">
        <v>0</v>
      </c>
      <c r="AC43" s="276">
        <v>0</v>
      </c>
      <c r="AD43" s="276">
        <v>0</v>
      </c>
      <c r="AE43" s="276">
        <v>0</v>
      </c>
      <c r="AF43" s="276">
        <v>0</v>
      </c>
      <c r="AG43" s="276">
        <v>0</v>
      </c>
      <c r="AH43" s="276">
        <v>0</v>
      </c>
      <c r="AI43" s="276">
        <v>0</v>
      </c>
      <c r="AJ43" s="276">
        <v>0</v>
      </c>
      <c r="AK43" s="276">
        <v>0</v>
      </c>
      <c r="AL43" s="276">
        <v>0</v>
      </c>
      <c r="AM43" s="276">
        <v>0</v>
      </c>
      <c r="AN43" s="276">
        <v>0</v>
      </c>
      <c r="AO43" s="276">
        <v>0</v>
      </c>
      <c r="AP43" s="276">
        <v>0</v>
      </c>
      <c r="AQ43" s="276">
        <v>0</v>
      </c>
      <c r="AR43" s="276">
        <v>0</v>
      </c>
      <c r="AS43" s="276">
        <v>0</v>
      </c>
      <c r="AT43" s="276">
        <v>0</v>
      </c>
      <c r="AU43" s="276">
        <v>0</v>
      </c>
      <c r="AV43" s="276">
        <v>0</v>
      </c>
      <c r="AW43" s="276">
        <v>0</v>
      </c>
      <c r="AX43" s="276">
        <v>0</v>
      </c>
      <c r="AY43" s="276">
        <v>0</v>
      </c>
    </row>
    <row r="44" spans="2:51">
      <c r="B44" s="274">
        <v>10106</v>
      </c>
      <c r="C44" s="274" t="s">
        <v>47</v>
      </c>
      <c r="D44" s="276">
        <v>0</v>
      </c>
      <c r="E44" s="276">
        <v>0</v>
      </c>
      <c r="F44" s="276">
        <v>0</v>
      </c>
      <c r="G44" s="276">
        <v>0</v>
      </c>
      <c r="H44" s="276">
        <v>0</v>
      </c>
      <c r="I44" s="276">
        <v>0</v>
      </c>
      <c r="J44" s="276">
        <v>0</v>
      </c>
      <c r="K44" s="276">
        <v>0</v>
      </c>
      <c r="L44" s="276">
        <v>0</v>
      </c>
      <c r="M44" s="276">
        <v>0</v>
      </c>
      <c r="N44" s="276">
        <v>0</v>
      </c>
      <c r="O44" s="276">
        <v>0</v>
      </c>
      <c r="P44" s="276">
        <v>0</v>
      </c>
      <c r="Q44" s="276">
        <v>0</v>
      </c>
      <c r="R44" s="276">
        <v>0</v>
      </c>
      <c r="S44" s="276">
        <v>0</v>
      </c>
      <c r="T44" s="276">
        <v>0</v>
      </c>
      <c r="U44" s="276">
        <v>0</v>
      </c>
      <c r="V44" s="276">
        <v>0</v>
      </c>
      <c r="W44" s="276">
        <v>0</v>
      </c>
      <c r="X44" s="276">
        <v>0</v>
      </c>
      <c r="Y44" s="276">
        <v>0</v>
      </c>
      <c r="Z44" s="276">
        <v>0</v>
      </c>
      <c r="AA44" s="276">
        <v>0</v>
      </c>
      <c r="AB44" s="276">
        <v>0</v>
      </c>
      <c r="AC44" s="276">
        <v>0</v>
      </c>
      <c r="AD44" s="276">
        <v>0</v>
      </c>
      <c r="AE44" s="276">
        <v>0</v>
      </c>
      <c r="AF44" s="276">
        <v>0</v>
      </c>
      <c r="AG44" s="276">
        <v>0</v>
      </c>
      <c r="AH44" s="276">
        <v>0</v>
      </c>
      <c r="AI44" s="276">
        <v>0</v>
      </c>
      <c r="AJ44" s="276">
        <v>0</v>
      </c>
      <c r="AK44" s="276">
        <v>0</v>
      </c>
      <c r="AL44" s="276">
        <v>0</v>
      </c>
      <c r="AM44" s="276">
        <v>0</v>
      </c>
      <c r="AN44" s="276">
        <v>0</v>
      </c>
      <c r="AO44" s="276">
        <v>0</v>
      </c>
      <c r="AP44" s="276">
        <v>0</v>
      </c>
      <c r="AQ44" s="276">
        <v>0</v>
      </c>
      <c r="AR44" s="276">
        <v>0</v>
      </c>
      <c r="AS44" s="276">
        <v>0</v>
      </c>
      <c r="AT44" s="276">
        <v>0</v>
      </c>
      <c r="AU44" s="276">
        <v>0</v>
      </c>
      <c r="AV44" s="276">
        <v>0</v>
      </c>
      <c r="AW44" s="276">
        <v>0</v>
      </c>
      <c r="AX44" s="276">
        <v>0</v>
      </c>
      <c r="AY44" s="276">
        <v>0</v>
      </c>
    </row>
    <row r="45" spans="2:51">
      <c r="B45" s="274">
        <v>10109</v>
      </c>
      <c r="C45" s="274" t="s">
        <v>48</v>
      </c>
      <c r="D45" s="276">
        <v>4091</v>
      </c>
      <c r="E45" s="276">
        <v>0</v>
      </c>
      <c r="F45" s="276">
        <v>2225</v>
      </c>
      <c r="G45" s="276">
        <v>0</v>
      </c>
      <c r="H45" s="276">
        <v>3816</v>
      </c>
      <c r="I45" s="276">
        <v>0</v>
      </c>
      <c r="J45" s="276">
        <v>3665</v>
      </c>
      <c r="K45" s="276">
        <v>0</v>
      </c>
      <c r="L45" s="276">
        <v>3962</v>
      </c>
      <c r="M45" s="276">
        <v>0</v>
      </c>
      <c r="N45" s="276">
        <v>2972</v>
      </c>
      <c r="O45" s="276">
        <v>0</v>
      </c>
      <c r="P45" s="276">
        <v>3348</v>
      </c>
      <c r="Q45" s="276">
        <v>0</v>
      </c>
      <c r="R45" s="276">
        <v>1748</v>
      </c>
      <c r="S45" s="276">
        <v>0</v>
      </c>
      <c r="T45" s="276">
        <v>2772</v>
      </c>
      <c r="U45" s="276">
        <v>0</v>
      </c>
      <c r="V45" s="276">
        <v>3514</v>
      </c>
      <c r="W45" s="276">
        <v>0</v>
      </c>
      <c r="X45" s="276">
        <v>3718</v>
      </c>
      <c r="Y45" s="276">
        <v>0</v>
      </c>
      <c r="Z45" s="276">
        <v>4151</v>
      </c>
      <c r="AA45" s="276">
        <v>0</v>
      </c>
      <c r="AB45" s="276">
        <v>4091</v>
      </c>
      <c r="AC45" s="276">
        <v>0</v>
      </c>
      <c r="AD45" s="276">
        <v>2210</v>
      </c>
      <c r="AE45" s="276">
        <v>0</v>
      </c>
      <c r="AF45" s="276">
        <v>3831</v>
      </c>
      <c r="AG45" s="276">
        <v>0</v>
      </c>
      <c r="AH45" s="276">
        <v>3652</v>
      </c>
      <c r="AI45" s="276">
        <v>0</v>
      </c>
      <c r="AJ45" s="276">
        <v>3620</v>
      </c>
      <c r="AK45" s="276">
        <v>0</v>
      </c>
      <c r="AL45" s="276">
        <v>2983</v>
      </c>
      <c r="AM45" s="276">
        <v>0</v>
      </c>
      <c r="AN45" s="276">
        <v>3348</v>
      </c>
      <c r="AO45" s="276">
        <v>0</v>
      </c>
      <c r="AP45" s="276">
        <v>1748</v>
      </c>
      <c r="AQ45" s="276">
        <v>0</v>
      </c>
      <c r="AR45" s="276">
        <v>2772</v>
      </c>
      <c r="AS45" s="276">
        <v>0</v>
      </c>
      <c r="AT45" s="276">
        <v>3514</v>
      </c>
      <c r="AU45" s="276">
        <v>0</v>
      </c>
      <c r="AV45" s="276">
        <v>3718</v>
      </c>
      <c r="AW45" s="276">
        <v>0</v>
      </c>
      <c r="AX45" s="276">
        <v>4151</v>
      </c>
      <c r="AY45" s="276">
        <v>0</v>
      </c>
    </row>
    <row r="46" spans="2:51">
      <c r="B46" s="274">
        <v>10111</v>
      </c>
      <c r="C46" s="274" t="s">
        <v>49</v>
      </c>
      <c r="D46" s="276">
        <v>634</v>
      </c>
      <c r="E46" s="276">
        <v>0</v>
      </c>
      <c r="F46" s="276">
        <v>478</v>
      </c>
      <c r="G46" s="276">
        <v>0</v>
      </c>
      <c r="H46" s="276">
        <v>1161</v>
      </c>
      <c r="I46" s="276">
        <v>0</v>
      </c>
      <c r="J46" s="276">
        <v>1173</v>
      </c>
      <c r="K46" s="276">
        <v>0</v>
      </c>
      <c r="L46" s="276">
        <v>514</v>
      </c>
      <c r="M46" s="276">
        <v>0</v>
      </c>
      <c r="N46" s="276">
        <v>828</v>
      </c>
      <c r="O46" s="276">
        <v>0</v>
      </c>
      <c r="P46" s="276">
        <v>349</v>
      </c>
      <c r="Q46" s="276">
        <v>0</v>
      </c>
      <c r="R46" s="276">
        <v>0</v>
      </c>
      <c r="S46" s="276">
        <v>0</v>
      </c>
      <c r="T46" s="276">
        <v>417</v>
      </c>
      <c r="U46" s="276">
        <v>0</v>
      </c>
      <c r="V46" s="276">
        <v>813</v>
      </c>
      <c r="W46" s="276">
        <v>0</v>
      </c>
      <c r="X46" s="276">
        <v>840</v>
      </c>
      <c r="Y46" s="276">
        <v>0</v>
      </c>
      <c r="Z46" s="276">
        <v>688</v>
      </c>
      <c r="AA46" s="276">
        <v>0</v>
      </c>
      <c r="AB46" s="276">
        <v>630</v>
      </c>
      <c r="AC46" s="276">
        <v>0</v>
      </c>
      <c r="AD46" s="276">
        <v>485</v>
      </c>
      <c r="AE46" s="276">
        <v>0</v>
      </c>
      <c r="AF46" s="276">
        <v>1144</v>
      </c>
      <c r="AG46" s="276">
        <v>0</v>
      </c>
      <c r="AH46" s="276">
        <v>1184</v>
      </c>
      <c r="AI46" s="276">
        <v>0</v>
      </c>
      <c r="AJ46" s="276">
        <v>510</v>
      </c>
      <c r="AK46" s="276">
        <v>0</v>
      </c>
      <c r="AL46" s="276">
        <v>816</v>
      </c>
      <c r="AM46" s="276">
        <v>0</v>
      </c>
      <c r="AN46" s="276">
        <v>347</v>
      </c>
      <c r="AO46" s="276">
        <v>0</v>
      </c>
      <c r="AP46" s="276">
        <v>0</v>
      </c>
      <c r="AQ46" s="276">
        <v>0</v>
      </c>
      <c r="AR46" s="276">
        <v>416</v>
      </c>
      <c r="AS46" s="276">
        <v>0</v>
      </c>
      <c r="AT46" s="276">
        <v>812</v>
      </c>
      <c r="AU46" s="276">
        <v>0</v>
      </c>
      <c r="AV46" s="276">
        <v>839</v>
      </c>
      <c r="AW46" s="276">
        <v>0</v>
      </c>
      <c r="AX46" s="276">
        <v>688</v>
      </c>
      <c r="AY46" s="276">
        <v>0</v>
      </c>
    </row>
    <row r="47" spans="2:51">
      <c r="B47" s="274">
        <v>10112</v>
      </c>
      <c r="C47" s="274" t="s">
        <v>50</v>
      </c>
      <c r="D47" s="276">
        <v>9565</v>
      </c>
      <c r="E47" s="276">
        <v>0</v>
      </c>
      <c r="F47" s="276">
        <v>7432</v>
      </c>
      <c r="G47" s="276">
        <v>0</v>
      </c>
      <c r="H47" s="276">
        <v>9332</v>
      </c>
      <c r="I47" s="276">
        <v>0</v>
      </c>
      <c r="J47" s="276">
        <v>11258</v>
      </c>
      <c r="K47" s="276">
        <v>0</v>
      </c>
      <c r="L47" s="276">
        <v>7425</v>
      </c>
      <c r="M47" s="276">
        <v>0</v>
      </c>
      <c r="N47" s="276">
        <v>2567</v>
      </c>
      <c r="O47" s="276">
        <v>0</v>
      </c>
      <c r="P47" s="276">
        <v>10846</v>
      </c>
      <c r="Q47" s="276">
        <v>0</v>
      </c>
      <c r="R47" s="276">
        <v>5200</v>
      </c>
      <c r="S47" s="276">
        <v>0</v>
      </c>
      <c r="T47" s="276">
        <v>6814</v>
      </c>
      <c r="U47" s="276">
        <v>0</v>
      </c>
      <c r="V47" s="276">
        <v>10225</v>
      </c>
      <c r="W47" s="276">
        <v>0</v>
      </c>
      <c r="X47" s="276">
        <v>11574</v>
      </c>
      <c r="Y47" s="276">
        <v>0</v>
      </c>
      <c r="Z47" s="276">
        <v>11219</v>
      </c>
      <c r="AA47" s="276">
        <v>0</v>
      </c>
      <c r="AB47" s="276">
        <v>9598</v>
      </c>
      <c r="AC47" s="276">
        <v>0</v>
      </c>
      <c r="AD47" s="276">
        <v>4794</v>
      </c>
      <c r="AE47" s="276">
        <v>0</v>
      </c>
      <c r="AF47" s="276">
        <v>12184</v>
      </c>
      <c r="AG47" s="276">
        <v>0</v>
      </c>
      <c r="AH47" s="276">
        <v>8526</v>
      </c>
      <c r="AI47" s="276">
        <v>0</v>
      </c>
      <c r="AJ47" s="276">
        <v>7342</v>
      </c>
      <c r="AK47" s="276">
        <v>0</v>
      </c>
      <c r="AL47" s="276">
        <v>4803</v>
      </c>
      <c r="AM47" s="276">
        <v>0</v>
      </c>
      <c r="AN47" s="276">
        <v>10883</v>
      </c>
      <c r="AO47" s="276">
        <v>0</v>
      </c>
      <c r="AP47" s="276">
        <v>5217</v>
      </c>
      <c r="AQ47" s="276">
        <v>0</v>
      </c>
      <c r="AR47" s="276">
        <v>6837</v>
      </c>
      <c r="AS47" s="276">
        <v>0</v>
      </c>
      <c r="AT47" s="276">
        <v>10259</v>
      </c>
      <c r="AU47" s="276">
        <v>0</v>
      </c>
      <c r="AV47" s="276">
        <v>11606</v>
      </c>
      <c r="AW47" s="276">
        <v>0</v>
      </c>
      <c r="AX47" s="276">
        <v>11246</v>
      </c>
      <c r="AY47" s="276">
        <v>0</v>
      </c>
    </row>
    <row r="48" spans="2:51">
      <c r="B48" s="274">
        <v>10113</v>
      </c>
      <c r="C48" s="274" t="s">
        <v>51</v>
      </c>
      <c r="D48" s="306">
        <v>5182</v>
      </c>
      <c r="E48" s="306">
        <v>0</v>
      </c>
      <c r="F48" s="306">
        <v>2419</v>
      </c>
      <c r="G48" s="306">
        <v>0</v>
      </c>
      <c r="H48" s="306">
        <v>3810</v>
      </c>
      <c r="I48" s="306">
        <v>0</v>
      </c>
      <c r="J48" s="306">
        <v>3797</v>
      </c>
      <c r="K48" s="306">
        <v>0</v>
      </c>
      <c r="L48" s="306">
        <v>2567</v>
      </c>
      <c r="M48" s="306">
        <v>0</v>
      </c>
      <c r="N48" s="306">
        <v>4104</v>
      </c>
      <c r="O48" s="306">
        <v>0</v>
      </c>
      <c r="P48" s="306">
        <v>2967</v>
      </c>
      <c r="Q48" s="306">
        <v>0</v>
      </c>
      <c r="R48" s="306">
        <v>5952</v>
      </c>
      <c r="S48" s="306">
        <v>0</v>
      </c>
      <c r="T48" s="306">
        <v>15636</v>
      </c>
      <c r="U48" s="306">
        <v>0</v>
      </c>
      <c r="V48" s="306">
        <v>16658</v>
      </c>
      <c r="W48" s="306">
        <v>0</v>
      </c>
      <c r="X48" s="306">
        <v>15327</v>
      </c>
      <c r="Y48" s="306">
        <v>0</v>
      </c>
      <c r="Z48" s="306">
        <v>15876</v>
      </c>
      <c r="AA48" s="306">
        <v>0</v>
      </c>
      <c r="AB48" s="306">
        <v>5115</v>
      </c>
      <c r="AC48" s="306">
        <v>0</v>
      </c>
      <c r="AD48" s="306">
        <v>2323</v>
      </c>
      <c r="AE48" s="306">
        <v>0</v>
      </c>
      <c r="AF48" s="306">
        <v>3942</v>
      </c>
      <c r="AG48" s="306">
        <v>0</v>
      </c>
      <c r="AH48" s="306">
        <v>3727</v>
      </c>
      <c r="AI48" s="306">
        <v>0</v>
      </c>
      <c r="AJ48" s="306">
        <v>2439</v>
      </c>
      <c r="AK48" s="306">
        <v>0</v>
      </c>
      <c r="AL48" s="306">
        <v>4236</v>
      </c>
      <c r="AM48" s="306">
        <v>0</v>
      </c>
      <c r="AN48" s="306">
        <v>2871</v>
      </c>
      <c r="AO48" s="306">
        <v>0</v>
      </c>
      <c r="AP48" s="306">
        <v>5680</v>
      </c>
      <c r="AQ48" s="306">
        <v>0</v>
      </c>
      <c r="AR48" s="306">
        <v>15240</v>
      </c>
      <c r="AS48" s="306">
        <v>0</v>
      </c>
      <c r="AT48" s="306">
        <v>16167</v>
      </c>
      <c r="AU48" s="306">
        <v>0</v>
      </c>
      <c r="AV48" s="306">
        <v>14902</v>
      </c>
      <c r="AW48" s="306">
        <v>0</v>
      </c>
      <c r="AX48" s="306">
        <v>15690</v>
      </c>
      <c r="AY48" s="306">
        <v>0</v>
      </c>
    </row>
    <row r="49" spans="2:51">
      <c r="B49" s="274">
        <v>10116</v>
      </c>
      <c r="C49" s="274" t="s">
        <v>52</v>
      </c>
      <c r="D49" s="306">
        <v>60.758163876003692</v>
      </c>
      <c r="E49" s="306">
        <v>0</v>
      </c>
      <c r="F49" s="306">
        <v>0</v>
      </c>
      <c r="G49" s="306">
        <v>0</v>
      </c>
      <c r="H49" s="306">
        <v>47.722500000000004</v>
      </c>
      <c r="I49" s="306">
        <v>0</v>
      </c>
      <c r="J49" s="306">
        <v>36.100961538461569</v>
      </c>
      <c r="K49" s="306">
        <v>0</v>
      </c>
      <c r="L49" s="306">
        <v>86.884999999999977</v>
      </c>
      <c r="M49" s="306">
        <v>0</v>
      </c>
      <c r="N49" s="306">
        <v>80.052884615384613</v>
      </c>
      <c r="O49" s="306">
        <v>0</v>
      </c>
      <c r="P49" s="306">
        <v>57.648076923076943</v>
      </c>
      <c r="Q49" s="306">
        <v>0</v>
      </c>
      <c r="R49" s="306">
        <v>27.474000000000025</v>
      </c>
      <c r="S49" s="306">
        <v>0</v>
      </c>
      <c r="T49" s="306">
        <v>43.854086538461551</v>
      </c>
      <c r="U49" s="306">
        <v>0</v>
      </c>
      <c r="V49" s="306">
        <v>45.060096153846168</v>
      </c>
      <c r="W49" s="306">
        <v>0</v>
      </c>
      <c r="X49" s="306">
        <v>29.854086538461555</v>
      </c>
      <c r="Y49" s="306">
        <v>0</v>
      </c>
      <c r="Z49" s="306">
        <v>42.474000000000011</v>
      </c>
      <c r="AA49" s="306">
        <v>0</v>
      </c>
      <c r="AB49" s="306">
        <v>65.06851851851853</v>
      </c>
      <c r="AC49" s="306">
        <v>0</v>
      </c>
      <c r="AD49" s="306">
        <v>0</v>
      </c>
      <c r="AE49" s="306">
        <v>0</v>
      </c>
      <c r="AF49" s="306">
        <v>58.920673076923116</v>
      </c>
      <c r="AG49" s="306">
        <v>0</v>
      </c>
      <c r="AH49" s="306">
        <v>25.989999999999984</v>
      </c>
      <c r="AI49" s="306">
        <v>0</v>
      </c>
      <c r="AJ49" s="306">
        <v>77.161458333333314</v>
      </c>
      <c r="AK49" s="306">
        <v>0</v>
      </c>
      <c r="AL49" s="306">
        <v>90.300925925925938</v>
      </c>
      <c r="AM49" s="306">
        <v>0</v>
      </c>
      <c r="AN49" s="306">
        <v>58.376442307692287</v>
      </c>
      <c r="AO49" s="306">
        <v>0</v>
      </c>
      <c r="AP49" s="306">
        <v>28.151500000000024</v>
      </c>
      <c r="AQ49" s="306">
        <v>0</v>
      </c>
      <c r="AR49" s="306">
        <v>44.423497596153865</v>
      </c>
      <c r="AS49" s="306">
        <v>0</v>
      </c>
      <c r="AT49" s="306">
        <v>45.470552884615394</v>
      </c>
      <c r="AU49" s="306">
        <v>0</v>
      </c>
      <c r="AV49" s="306">
        <v>30.423497596153869</v>
      </c>
      <c r="AW49" s="306">
        <v>0</v>
      </c>
      <c r="AX49" s="306">
        <v>43.151500000000013</v>
      </c>
      <c r="AY49" s="306">
        <v>0</v>
      </c>
    </row>
    <row r="50" spans="2:51">
      <c r="B50" s="274">
        <v>10118</v>
      </c>
      <c r="C50" s="274" t="s">
        <v>53</v>
      </c>
      <c r="D50" s="276">
        <v>0</v>
      </c>
      <c r="E50" s="276">
        <v>0</v>
      </c>
      <c r="F50" s="276">
        <v>0</v>
      </c>
      <c r="G50" s="276">
        <v>0</v>
      </c>
      <c r="H50" s="276">
        <v>0</v>
      </c>
      <c r="I50" s="276">
        <v>0</v>
      </c>
      <c r="J50" s="276">
        <v>0</v>
      </c>
      <c r="K50" s="276">
        <v>0</v>
      </c>
      <c r="L50" s="276">
        <v>0</v>
      </c>
      <c r="M50" s="276">
        <v>0</v>
      </c>
      <c r="N50" s="276">
        <v>0</v>
      </c>
      <c r="O50" s="276">
        <v>0</v>
      </c>
      <c r="P50" s="276">
        <v>0</v>
      </c>
      <c r="Q50" s="276">
        <v>0</v>
      </c>
      <c r="R50" s="276">
        <v>0</v>
      </c>
      <c r="S50" s="276">
        <v>0</v>
      </c>
      <c r="T50" s="276">
        <v>0</v>
      </c>
      <c r="U50" s="276">
        <v>0</v>
      </c>
      <c r="V50" s="276">
        <v>0</v>
      </c>
      <c r="W50" s="276">
        <v>0</v>
      </c>
      <c r="X50" s="276">
        <v>0</v>
      </c>
      <c r="Y50" s="276">
        <v>0</v>
      </c>
      <c r="Z50" s="276">
        <v>0</v>
      </c>
      <c r="AA50" s="276">
        <v>0</v>
      </c>
      <c r="AB50" s="276">
        <v>0</v>
      </c>
      <c r="AC50" s="276">
        <v>0</v>
      </c>
      <c r="AD50" s="276">
        <v>0</v>
      </c>
      <c r="AE50" s="276">
        <v>0</v>
      </c>
      <c r="AF50" s="276">
        <v>0</v>
      </c>
      <c r="AG50" s="276">
        <v>0</v>
      </c>
      <c r="AH50" s="276">
        <v>0</v>
      </c>
      <c r="AI50" s="276">
        <v>0</v>
      </c>
      <c r="AJ50" s="276">
        <v>0</v>
      </c>
      <c r="AK50" s="276">
        <v>0</v>
      </c>
      <c r="AL50" s="276">
        <v>0</v>
      </c>
      <c r="AM50" s="276">
        <v>0</v>
      </c>
      <c r="AN50" s="276">
        <v>0</v>
      </c>
      <c r="AO50" s="276">
        <v>0</v>
      </c>
      <c r="AP50" s="276">
        <v>0</v>
      </c>
      <c r="AQ50" s="276">
        <v>0</v>
      </c>
      <c r="AR50" s="276">
        <v>0</v>
      </c>
      <c r="AS50" s="276">
        <v>0</v>
      </c>
      <c r="AT50" s="276">
        <v>0</v>
      </c>
      <c r="AU50" s="276">
        <v>0</v>
      </c>
      <c r="AV50" s="276">
        <v>0</v>
      </c>
      <c r="AW50" s="276">
        <v>0</v>
      </c>
      <c r="AX50" s="276">
        <v>0</v>
      </c>
      <c r="AY50" s="276">
        <v>0</v>
      </c>
    </row>
    <row r="51" spans="2:51">
      <c r="B51" s="274">
        <v>10121</v>
      </c>
      <c r="C51" s="274" t="s">
        <v>54</v>
      </c>
      <c r="D51" s="276">
        <v>0</v>
      </c>
      <c r="E51" s="276">
        <v>0</v>
      </c>
      <c r="F51" s="276">
        <v>0</v>
      </c>
      <c r="G51" s="276">
        <v>0</v>
      </c>
      <c r="H51" s="276">
        <v>0</v>
      </c>
      <c r="I51" s="276">
        <v>0</v>
      </c>
      <c r="J51" s="276">
        <v>0</v>
      </c>
      <c r="K51" s="276">
        <v>0</v>
      </c>
      <c r="L51" s="276">
        <v>0</v>
      </c>
      <c r="M51" s="276">
        <v>0</v>
      </c>
      <c r="N51" s="276">
        <v>0</v>
      </c>
      <c r="O51" s="276">
        <v>0</v>
      </c>
      <c r="P51" s="276">
        <v>0</v>
      </c>
      <c r="Q51" s="276">
        <v>0</v>
      </c>
      <c r="R51" s="276">
        <v>0</v>
      </c>
      <c r="S51" s="276">
        <v>0</v>
      </c>
      <c r="T51" s="276">
        <v>0</v>
      </c>
      <c r="U51" s="276">
        <v>0</v>
      </c>
      <c r="V51" s="276">
        <v>0</v>
      </c>
      <c r="W51" s="276">
        <v>0</v>
      </c>
      <c r="X51" s="276">
        <v>0</v>
      </c>
      <c r="Y51" s="276">
        <v>0</v>
      </c>
      <c r="Z51" s="276">
        <v>0</v>
      </c>
      <c r="AA51" s="276">
        <v>0</v>
      </c>
      <c r="AB51" s="276">
        <v>0</v>
      </c>
      <c r="AC51" s="276">
        <v>0</v>
      </c>
      <c r="AD51" s="276">
        <v>0</v>
      </c>
      <c r="AE51" s="276">
        <v>0</v>
      </c>
      <c r="AF51" s="276">
        <v>0</v>
      </c>
      <c r="AG51" s="276">
        <v>0</v>
      </c>
      <c r="AH51" s="276">
        <v>0</v>
      </c>
      <c r="AI51" s="276">
        <v>0</v>
      </c>
      <c r="AJ51" s="276">
        <v>0</v>
      </c>
      <c r="AK51" s="276">
        <v>0</v>
      </c>
      <c r="AL51" s="276">
        <v>0</v>
      </c>
      <c r="AM51" s="276">
        <v>0</v>
      </c>
      <c r="AN51" s="276">
        <v>0</v>
      </c>
      <c r="AO51" s="276">
        <v>0</v>
      </c>
      <c r="AP51" s="276">
        <v>0</v>
      </c>
      <c r="AQ51" s="276">
        <v>0</v>
      </c>
      <c r="AR51" s="276">
        <v>0</v>
      </c>
      <c r="AS51" s="276">
        <v>0</v>
      </c>
      <c r="AT51" s="276">
        <v>0</v>
      </c>
      <c r="AU51" s="276">
        <v>0</v>
      </c>
      <c r="AV51" s="276">
        <v>0</v>
      </c>
      <c r="AW51" s="276">
        <v>0</v>
      </c>
      <c r="AX51" s="276">
        <v>0</v>
      </c>
      <c r="AY51" s="276">
        <v>0</v>
      </c>
    </row>
    <row r="52" spans="2:51">
      <c r="B52" s="274">
        <v>10123</v>
      </c>
      <c r="C52" s="274" t="s">
        <v>55</v>
      </c>
      <c r="D52" s="276">
        <v>0</v>
      </c>
      <c r="E52" s="276">
        <v>0</v>
      </c>
      <c r="F52" s="276">
        <v>0</v>
      </c>
      <c r="G52" s="276">
        <v>0</v>
      </c>
      <c r="H52" s="276">
        <v>0</v>
      </c>
      <c r="I52" s="276">
        <v>0</v>
      </c>
      <c r="J52" s="276">
        <v>0</v>
      </c>
      <c r="K52" s="276">
        <v>0</v>
      </c>
      <c r="L52" s="276">
        <v>0</v>
      </c>
      <c r="M52" s="276">
        <v>0</v>
      </c>
      <c r="N52" s="276">
        <v>0</v>
      </c>
      <c r="O52" s="276">
        <v>0</v>
      </c>
      <c r="P52" s="276">
        <v>0</v>
      </c>
      <c r="Q52" s="276">
        <v>0</v>
      </c>
      <c r="R52" s="276">
        <v>0</v>
      </c>
      <c r="S52" s="276">
        <v>0</v>
      </c>
      <c r="T52" s="276">
        <v>0</v>
      </c>
      <c r="U52" s="276">
        <v>0</v>
      </c>
      <c r="V52" s="276">
        <v>0</v>
      </c>
      <c r="W52" s="276">
        <v>0</v>
      </c>
      <c r="X52" s="276">
        <v>0</v>
      </c>
      <c r="Y52" s="276">
        <v>0</v>
      </c>
      <c r="Z52" s="276">
        <v>0</v>
      </c>
      <c r="AA52" s="276">
        <v>0</v>
      </c>
      <c r="AB52" s="276">
        <v>0</v>
      </c>
      <c r="AC52" s="276">
        <v>0</v>
      </c>
      <c r="AD52" s="276">
        <v>0</v>
      </c>
      <c r="AE52" s="276">
        <v>0</v>
      </c>
      <c r="AF52" s="276">
        <v>0</v>
      </c>
      <c r="AG52" s="276">
        <v>0</v>
      </c>
      <c r="AH52" s="276">
        <v>0</v>
      </c>
      <c r="AI52" s="276">
        <v>0</v>
      </c>
      <c r="AJ52" s="276">
        <v>0</v>
      </c>
      <c r="AK52" s="276">
        <v>0</v>
      </c>
      <c r="AL52" s="276">
        <v>0</v>
      </c>
      <c r="AM52" s="276">
        <v>0</v>
      </c>
      <c r="AN52" s="276">
        <v>0</v>
      </c>
      <c r="AO52" s="276">
        <v>0</v>
      </c>
      <c r="AP52" s="276">
        <v>0</v>
      </c>
      <c r="AQ52" s="276">
        <v>0</v>
      </c>
      <c r="AR52" s="276">
        <v>0</v>
      </c>
      <c r="AS52" s="276">
        <v>0</v>
      </c>
      <c r="AT52" s="276">
        <v>0</v>
      </c>
      <c r="AU52" s="276">
        <v>0</v>
      </c>
      <c r="AV52" s="276">
        <v>0</v>
      </c>
      <c r="AW52" s="276">
        <v>0</v>
      </c>
      <c r="AX52" s="276">
        <v>0</v>
      </c>
      <c r="AY52" s="276">
        <v>0</v>
      </c>
    </row>
    <row r="53" spans="2:51">
      <c r="B53" s="274">
        <v>10136</v>
      </c>
      <c r="C53" s="274" t="s">
        <v>56</v>
      </c>
      <c r="D53" s="276">
        <v>0</v>
      </c>
      <c r="E53" s="276">
        <v>0</v>
      </c>
      <c r="F53" s="276">
        <v>0</v>
      </c>
      <c r="G53" s="276">
        <v>0</v>
      </c>
      <c r="H53" s="276">
        <v>0</v>
      </c>
      <c r="I53" s="276">
        <v>0</v>
      </c>
      <c r="J53" s="276">
        <v>0</v>
      </c>
      <c r="K53" s="276">
        <v>0</v>
      </c>
      <c r="L53" s="276">
        <v>0</v>
      </c>
      <c r="M53" s="276">
        <v>0</v>
      </c>
      <c r="N53" s="276">
        <v>0</v>
      </c>
      <c r="O53" s="276">
        <v>0</v>
      </c>
      <c r="P53" s="276">
        <v>0</v>
      </c>
      <c r="Q53" s="276">
        <v>0</v>
      </c>
      <c r="R53" s="276">
        <v>0</v>
      </c>
      <c r="S53" s="276">
        <v>0</v>
      </c>
      <c r="T53" s="276">
        <v>0</v>
      </c>
      <c r="U53" s="276">
        <v>0</v>
      </c>
      <c r="V53" s="276">
        <v>0</v>
      </c>
      <c r="W53" s="276">
        <v>0</v>
      </c>
      <c r="X53" s="276">
        <v>0</v>
      </c>
      <c r="Y53" s="276">
        <v>0</v>
      </c>
      <c r="Z53" s="276">
        <v>0</v>
      </c>
      <c r="AA53" s="276">
        <v>0</v>
      </c>
      <c r="AB53" s="276">
        <v>0</v>
      </c>
      <c r="AC53" s="276">
        <v>0</v>
      </c>
      <c r="AD53" s="276">
        <v>0</v>
      </c>
      <c r="AE53" s="276">
        <v>0</v>
      </c>
      <c r="AF53" s="276">
        <v>0</v>
      </c>
      <c r="AG53" s="276">
        <v>0</v>
      </c>
      <c r="AH53" s="276">
        <v>0</v>
      </c>
      <c r="AI53" s="276">
        <v>0</v>
      </c>
      <c r="AJ53" s="276">
        <v>0</v>
      </c>
      <c r="AK53" s="276">
        <v>0</v>
      </c>
      <c r="AL53" s="276">
        <v>0</v>
      </c>
      <c r="AM53" s="276">
        <v>0</v>
      </c>
      <c r="AN53" s="276">
        <v>0</v>
      </c>
      <c r="AO53" s="276">
        <v>0</v>
      </c>
      <c r="AP53" s="276">
        <v>0</v>
      </c>
      <c r="AQ53" s="276">
        <v>0</v>
      </c>
      <c r="AR53" s="276">
        <v>0</v>
      </c>
      <c r="AS53" s="276">
        <v>0</v>
      </c>
      <c r="AT53" s="276">
        <v>0</v>
      </c>
      <c r="AU53" s="276">
        <v>0</v>
      </c>
      <c r="AV53" s="276">
        <v>0</v>
      </c>
      <c r="AW53" s="276">
        <v>0</v>
      </c>
      <c r="AX53" s="276">
        <v>0</v>
      </c>
      <c r="AY53" s="276">
        <v>0</v>
      </c>
    </row>
    <row r="54" spans="2:51">
      <c r="B54" s="274">
        <v>10142</v>
      </c>
      <c r="C54" s="274" t="s">
        <v>57</v>
      </c>
      <c r="D54" s="276">
        <v>709</v>
      </c>
      <c r="E54" s="276">
        <v>0</v>
      </c>
      <c r="F54" s="276">
        <v>422</v>
      </c>
      <c r="G54" s="276">
        <v>0</v>
      </c>
      <c r="H54" s="276">
        <v>947</v>
      </c>
      <c r="I54" s="276">
        <v>0</v>
      </c>
      <c r="J54" s="276">
        <v>430</v>
      </c>
      <c r="K54" s="276">
        <v>0</v>
      </c>
      <c r="L54" s="276">
        <v>328</v>
      </c>
      <c r="M54" s="276">
        <v>0</v>
      </c>
      <c r="N54" s="276">
        <v>411</v>
      </c>
      <c r="O54" s="276">
        <v>0</v>
      </c>
      <c r="P54" s="276">
        <v>354</v>
      </c>
      <c r="Q54" s="276">
        <v>0</v>
      </c>
      <c r="R54" s="276">
        <v>190</v>
      </c>
      <c r="S54" s="276">
        <v>0</v>
      </c>
      <c r="T54" s="276">
        <v>741</v>
      </c>
      <c r="U54" s="276">
        <v>0</v>
      </c>
      <c r="V54" s="276">
        <v>1015</v>
      </c>
      <c r="W54" s="276">
        <v>0</v>
      </c>
      <c r="X54" s="276">
        <v>735</v>
      </c>
      <c r="Y54" s="276">
        <v>0</v>
      </c>
      <c r="Z54" s="276">
        <v>332</v>
      </c>
      <c r="AA54" s="276">
        <v>0</v>
      </c>
      <c r="AB54" s="276">
        <v>712</v>
      </c>
      <c r="AC54" s="276">
        <v>0</v>
      </c>
      <c r="AD54" s="276">
        <v>420</v>
      </c>
      <c r="AE54" s="276">
        <v>0</v>
      </c>
      <c r="AF54" s="276">
        <v>957</v>
      </c>
      <c r="AG54" s="276">
        <v>0</v>
      </c>
      <c r="AH54" s="276">
        <v>427</v>
      </c>
      <c r="AI54" s="276">
        <v>0</v>
      </c>
      <c r="AJ54" s="276">
        <v>332</v>
      </c>
      <c r="AK54" s="276">
        <v>0</v>
      </c>
      <c r="AL54" s="276">
        <v>418</v>
      </c>
      <c r="AM54" s="276">
        <v>0</v>
      </c>
      <c r="AN54" s="276">
        <v>356</v>
      </c>
      <c r="AO54" s="276">
        <v>0</v>
      </c>
      <c r="AP54" s="276">
        <v>193</v>
      </c>
      <c r="AQ54" s="276">
        <v>0</v>
      </c>
      <c r="AR54" s="276">
        <v>744</v>
      </c>
      <c r="AS54" s="276">
        <v>0</v>
      </c>
      <c r="AT54" s="276">
        <v>1018</v>
      </c>
      <c r="AU54" s="276">
        <v>0</v>
      </c>
      <c r="AV54" s="276">
        <v>737</v>
      </c>
      <c r="AW54" s="276">
        <v>0</v>
      </c>
      <c r="AX54" s="276">
        <v>334</v>
      </c>
      <c r="AY54" s="276">
        <v>0</v>
      </c>
    </row>
    <row r="55" spans="2:51">
      <c r="B55" s="274">
        <v>10144</v>
      </c>
      <c r="C55" s="274" t="s">
        <v>58</v>
      </c>
      <c r="D55" s="276">
        <v>557</v>
      </c>
      <c r="E55" s="276">
        <v>0</v>
      </c>
      <c r="F55" s="276">
        <v>690</v>
      </c>
      <c r="G55" s="276">
        <v>0</v>
      </c>
      <c r="H55" s="276">
        <v>1421</v>
      </c>
      <c r="I55" s="276">
        <v>0</v>
      </c>
      <c r="J55" s="276">
        <v>1387</v>
      </c>
      <c r="K55" s="276">
        <v>0</v>
      </c>
      <c r="L55" s="276">
        <v>1135</v>
      </c>
      <c r="M55" s="276">
        <v>0</v>
      </c>
      <c r="N55" s="276">
        <v>1317</v>
      </c>
      <c r="O55" s="276">
        <v>0</v>
      </c>
      <c r="P55" s="276">
        <v>682</v>
      </c>
      <c r="Q55" s="276">
        <v>0</v>
      </c>
      <c r="R55" s="276">
        <v>458</v>
      </c>
      <c r="S55" s="276">
        <v>0</v>
      </c>
      <c r="T55" s="276">
        <v>558</v>
      </c>
      <c r="U55" s="276">
        <v>0</v>
      </c>
      <c r="V55" s="276">
        <v>531</v>
      </c>
      <c r="W55" s="276">
        <v>0</v>
      </c>
      <c r="X55" s="276">
        <v>617</v>
      </c>
      <c r="Y55" s="276">
        <v>0</v>
      </c>
      <c r="Z55" s="276">
        <v>487</v>
      </c>
      <c r="AA55" s="276">
        <v>0</v>
      </c>
      <c r="AB55" s="276">
        <v>572</v>
      </c>
      <c r="AC55" s="276">
        <v>0</v>
      </c>
      <c r="AD55" s="276">
        <v>702</v>
      </c>
      <c r="AE55" s="276">
        <v>0</v>
      </c>
      <c r="AF55" s="276">
        <v>1418</v>
      </c>
      <c r="AG55" s="276">
        <v>0</v>
      </c>
      <c r="AH55" s="276">
        <v>1401</v>
      </c>
      <c r="AI55" s="276">
        <v>0</v>
      </c>
      <c r="AJ55" s="276">
        <v>1078</v>
      </c>
      <c r="AK55" s="276">
        <v>0</v>
      </c>
      <c r="AL55" s="276">
        <v>1316</v>
      </c>
      <c r="AM55" s="276">
        <v>0</v>
      </c>
      <c r="AN55" s="276">
        <v>686</v>
      </c>
      <c r="AO55" s="276">
        <v>0</v>
      </c>
      <c r="AP55" s="276">
        <v>462</v>
      </c>
      <c r="AQ55" s="276">
        <v>0</v>
      </c>
      <c r="AR55" s="276">
        <v>572</v>
      </c>
      <c r="AS55" s="276">
        <v>0</v>
      </c>
      <c r="AT55" s="276">
        <v>537</v>
      </c>
      <c r="AU55" s="276">
        <v>0</v>
      </c>
      <c r="AV55" s="276">
        <v>623</v>
      </c>
      <c r="AW55" s="276">
        <v>0</v>
      </c>
      <c r="AX55" s="276">
        <v>492</v>
      </c>
      <c r="AY55" s="276">
        <v>0</v>
      </c>
    </row>
    <row r="56" spans="2:51">
      <c r="B56" s="274">
        <v>10156</v>
      </c>
      <c r="C56" s="274" t="s">
        <v>59</v>
      </c>
      <c r="D56" s="276">
        <v>3584</v>
      </c>
      <c r="E56" s="276">
        <v>0</v>
      </c>
      <c r="F56" s="276">
        <v>3463</v>
      </c>
      <c r="G56" s="276">
        <v>0</v>
      </c>
      <c r="H56" s="276">
        <v>12257</v>
      </c>
      <c r="I56" s="276">
        <v>0</v>
      </c>
      <c r="J56" s="276">
        <v>12015</v>
      </c>
      <c r="K56" s="276">
        <v>0</v>
      </c>
      <c r="L56" s="276">
        <v>8314</v>
      </c>
      <c r="M56" s="276">
        <v>0</v>
      </c>
      <c r="N56" s="276">
        <v>3988</v>
      </c>
      <c r="O56" s="276">
        <v>0</v>
      </c>
      <c r="P56" s="276">
        <v>4268</v>
      </c>
      <c r="Q56" s="276">
        <v>0</v>
      </c>
      <c r="R56" s="276">
        <v>0</v>
      </c>
      <c r="S56" s="276">
        <v>0</v>
      </c>
      <c r="T56" s="276">
        <v>7684</v>
      </c>
      <c r="U56" s="276">
        <v>0</v>
      </c>
      <c r="V56" s="276">
        <v>7727</v>
      </c>
      <c r="W56" s="276">
        <v>0</v>
      </c>
      <c r="X56" s="276">
        <v>8619</v>
      </c>
      <c r="Y56" s="276">
        <v>0</v>
      </c>
      <c r="Z56" s="276">
        <v>3574</v>
      </c>
      <c r="AA56" s="276">
        <v>0</v>
      </c>
      <c r="AB56" s="276">
        <v>3731</v>
      </c>
      <c r="AC56" s="276">
        <v>0</v>
      </c>
      <c r="AD56" s="276">
        <v>1777</v>
      </c>
      <c r="AE56" s="276">
        <v>0</v>
      </c>
      <c r="AF56" s="276">
        <v>14274</v>
      </c>
      <c r="AG56" s="276">
        <v>0</v>
      </c>
      <c r="AH56" s="276">
        <v>10228</v>
      </c>
      <c r="AI56" s="276">
        <v>0</v>
      </c>
      <c r="AJ56" s="276">
        <v>7854</v>
      </c>
      <c r="AK56" s="276">
        <v>0</v>
      </c>
      <c r="AL56" s="276">
        <v>5561</v>
      </c>
      <c r="AM56" s="276">
        <v>0</v>
      </c>
      <c r="AN56" s="276">
        <v>4378</v>
      </c>
      <c r="AO56" s="276">
        <v>0</v>
      </c>
      <c r="AP56" s="276">
        <v>0</v>
      </c>
      <c r="AQ56" s="276">
        <v>0</v>
      </c>
      <c r="AR56" s="276">
        <v>7828</v>
      </c>
      <c r="AS56" s="276">
        <v>0</v>
      </c>
      <c r="AT56" s="276">
        <v>7875</v>
      </c>
      <c r="AU56" s="276">
        <v>0</v>
      </c>
      <c r="AV56" s="276">
        <v>8761</v>
      </c>
      <c r="AW56" s="276">
        <v>0</v>
      </c>
      <c r="AX56" s="276">
        <v>3701</v>
      </c>
      <c r="AY56" s="276">
        <v>0</v>
      </c>
    </row>
    <row r="57" spans="2:51">
      <c r="B57" s="274">
        <v>10157</v>
      </c>
      <c r="C57" s="274" t="s">
        <v>60</v>
      </c>
      <c r="D57" s="276">
        <v>0</v>
      </c>
      <c r="E57" s="276">
        <v>0</v>
      </c>
      <c r="F57" s="276">
        <v>0</v>
      </c>
      <c r="G57" s="276">
        <v>0</v>
      </c>
      <c r="H57" s="276">
        <v>0</v>
      </c>
      <c r="I57" s="276">
        <v>0</v>
      </c>
      <c r="J57" s="276">
        <v>0</v>
      </c>
      <c r="K57" s="276">
        <v>0</v>
      </c>
      <c r="L57" s="276">
        <v>0</v>
      </c>
      <c r="M57" s="276">
        <v>0</v>
      </c>
      <c r="N57" s="276">
        <v>0</v>
      </c>
      <c r="O57" s="276">
        <v>0</v>
      </c>
      <c r="P57" s="276">
        <v>0</v>
      </c>
      <c r="Q57" s="276">
        <v>0</v>
      </c>
      <c r="R57" s="276">
        <v>0</v>
      </c>
      <c r="S57" s="276">
        <v>0</v>
      </c>
      <c r="T57" s="276">
        <v>0</v>
      </c>
      <c r="U57" s="276">
        <v>0</v>
      </c>
      <c r="V57" s="276">
        <v>0</v>
      </c>
      <c r="W57" s="276">
        <v>0</v>
      </c>
      <c r="X57" s="276">
        <v>0</v>
      </c>
      <c r="Y57" s="276">
        <v>0</v>
      </c>
      <c r="Z57" s="276">
        <v>0</v>
      </c>
      <c r="AA57" s="276">
        <v>0</v>
      </c>
      <c r="AB57" s="276">
        <v>0</v>
      </c>
      <c r="AC57" s="276">
        <v>0</v>
      </c>
      <c r="AD57" s="276">
        <v>0</v>
      </c>
      <c r="AE57" s="276">
        <v>0</v>
      </c>
      <c r="AF57" s="276">
        <v>0</v>
      </c>
      <c r="AG57" s="276">
        <v>0</v>
      </c>
      <c r="AH57" s="276">
        <v>0</v>
      </c>
      <c r="AI57" s="276">
        <v>0</v>
      </c>
      <c r="AJ57" s="276">
        <v>0</v>
      </c>
      <c r="AK57" s="276">
        <v>0</v>
      </c>
      <c r="AL57" s="276">
        <v>0</v>
      </c>
      <c r="AM57" s="276">
        <v>0</v>
      </c>
      <c r="AN57" s="276">
        <v>0</v>
      </c>
      <c r="AO57" s="276">
        <v>0</v>
      </c>
      <c r="AP57" s="276">
        <v>0</v>
      </c>
      <c r="AQ57" s="276">
        <v>0</v>
      </c>
      <c r="AR57" s="276">
        <v>0</v>
      </c>
      <c r="AS57" s="276">
        <v>0</v>
      </c>
      <c r="AT57" s="276">
        <v>0</v>
      </c>
      <c r="AU57" s="276">
        <v>0</v>
      </c>
      <c r="AV57" s="276">
        <v>0</v>
      </c>
      <c r="AW57" s="276">
        <v>0</v>
      </c>
      <c r="AX57" s="276">
        <v>0</v>
      </c>
      <c r="AY57" s="276">
        <v>0</v>
      </c>
    </row>
    <row r="58" spans="2:51">
      <c r="B58" s="274">
        <v>10158</v>
      </c>
      <c r="C58" s="274" t="s">
        <v>61</v>
      </c>
      <c r="D58" s="276">
        <v>0</v>
      </c>
      <c r="E58" s="276">
        <v>0</v>
      </c>
      <c r="F58" s="276">
        <v>0</v>
      </c>
      <c r="G58" s="276">
        <v>0</v>
      </c>
      <c r="H58" s="276">
        <v>448</v>
      </c>
      <c r="I58" s="276">
        <v>0</v>
      </c>
      <c r="J58" s="276">
        <v>510</v>
      </c>
      <c r="K58" s="276">
        <v>0</v>
      </c>
      <c r="L58" s="276">
        <v>250</v>
      </c>
      <c r="M58" s="276">
        <v>0</v>
      </c>
      <c r="N58" s="276">
        <v>168</v>
      </c>
      <c r="O58" s="276">
        <v>0</v>
      </c>
      <c r="P58" s="276">
        <v>0</v>
      </c>
      <c r="Q58" s="276">
        <v>0</v>
      </c>
      <c r="R58" s="276">
        <v>0</v>
      </c>
      <c r="S58" s="276">
        <v>0</v>
      </c>
      <c r="T58" s="276">
        <v>0</v>
      </c>
      <c r="U58" s="276">
        <v>0</v>
      </c>
      <c r="V58" s="276">
        <v>0</v>
      </c>
      <c r="W58" s="276">
        <v>0</v>
      </c>
      <c r="X58" s="276">
        <v>0</v>
      </c>
      <c r="Y58" s="276">
        <v>0</v>
      </c>
      <c r="Z58" s="276">
        <v>0</v>
      </c>
      <c r="AA58" s="276">
        <v>0</v>
      </c>
      <c r="AB58" s="276">
        <v>0</v>
      </c>
      <c r="AC58" s="276">
        <v>0</v>
      </c>
      <c r="AD58" s="276">
        <v>0</v>
      </c>
      <c r="AE58" s="276">
        <v>0</v>
      </c>
      <c r="AF58" s="276">
        <v>445</v>
      </c>
      <c r="AG58" s="276">
        <v>0</v>
      </c>
      <c r="AH58" s="276">
        <v>513</v>
      </c>
      <c r="AI58" s="276">
        <v>0</v>
      </c>
      <c r="AJ58" s="276">
        <v>263</v>
      </c>
      <c r="AK58" s="276">
        <v>0</v>
      </c>
      <c r="AL58" s="276">
        <v>164</v>
      </c>
      <c r="AM58" s="276">
        <v>0</v>
      </c>
      <c r="AN58" s="276">
        <v>0</v>
      </c>
      <c r="AO58" s="276">
        <v>0</v>
      </c>
      <c r="AP58" s="276">
        <v>0</v>
      </c>
      <c r="AQ58" s="276">
        <v>0</v>
      </c>
      <c r="AR58" s="276">
        <v>0</v>
      </c>
      <c r="AS58" s="276">
        <v>0</v>
      </c>
      <c r="AT58" s="276">
        <v>0</v>
      </c>
      <c r="AU58" s="276">
        <v>0</v>
      </c>
      <c r="AV58" s="276">
        <v>0</v>
      </c>
      <c r="AW58" s="276">
        <v>0</v>
      </c>
      <c r="AX58" s="276">
        <v>0</v>
      </c>
      <c r="AY58" s="276">
        <v>0</v>
      </c>
    </row>
    <row r="59" spans="2:51">
      <c r="B59" s="274">
        <v>10170</v>
      </c>
      <c r="C59" s="274" t="s">
        <v>62</v>
      </c>
      <c r="D59" s="276">
        <v>0</v>
      </c>
      <c r="E59" s="276">
        <v>0</v>
      </c>
      <c r="F59" s="276">
        <v>0</v>
      </c>
      <c r="G59" s="276">
        <v>0</v>
      </c>
      <c r="H59" s="276">
        <v>0</v>
      </c>
      <c r="I59" s="276">
        <v>0</v>
      </c>
      <c r="J59" s="276">
        <v>0</v>
      </c>
      <c r="K59" s="276">
        <v>0</v>
      </c>
      <c r="L59" s="276">
        <v>0</v>
      </c>
      <c r="M59" s="276">
        <v>0</v>
      </c>
      <c r="N59" s="276">
        <v>0</v>
      </c>
      <c r="O59" s="276">
        <v>0</v>
      </c>
      <c r="P59" s="276">
        <v>0</v>
      </c>
      <c r="Q59" s="276">
        <v>0</v>
      </c>
      <c r="R59" s="276">
        <v>0</v>
      </c>
      <c r="S59" s="276">
        <v>0</v>
      </c>
      <c r="T59" s="276">
        <v>0</v>
      </c>
      <c r="U59" s="276">
        <v>0</v>
      </c>
      <c r="V59" s="276">
        <v>0</v>
      </c>
      <c r="W59" s="276">
        <v>0</v>
      </c>
      <c r="X59" s="276">
        <v>0</v>
      </c>
      <c r="Y59" s="276">
        <v>0</v>
      </c>
      <c r="Z59" s="276">
        <v>0</v>
      </c>
      <c r="AA59" s="276">
        <v>0</v>
      </c>
      <c r="AB59" s="276">
        <v>0</v>
      </c>
      <c r="AC59" s="276">
        <v>0</v>
      </c>
      <c r="AD59" s="276">
        <v>0</v>
      </c>
      <c r="AE59" s="276">
        <v>0</v>
      </c>
      <c r="AF59" s="276">
        <v>0</v>
      </c>
      <c r="AG59" s="276">
        <v>0</v>
      </c>
      <c r="AH59" s="276">
        <v>0</v>
      </c>
      <c r="AI59" s="276">
        <v>0</v>
      </c>
      <c r="AJ59" s="276">
        <v>0</v>
      </c>
      <c r="AK59" s="276">
        <v>0</v>
      </c>
      <c r="AL59" s="276">
        <v>0</v>
      </c>
      <c r="AM59" s="276">
        <v>0</v>
      </c>
      <c r="AN59" s="276">
        <v>0</v>
      </c>
      <c r="AO59" s="276">
        <v>0</v>
      </c>
      <c r="AP59" s="276">
        <v>0</v>
      </c>
      <c r="AQ59" s="276">
        <v>0</v>
      </c>
      <c r="AR59" s="276">
        <v>0</v>
      </c>
      <c r="AS59" s="276">
        <v>0</v>
      </c>
      <c r="AT59" s="276">
        <v>0</v>
      </c>
      <c r="AU59" s="276">
        <v>0</v>
      </c>
      <c r="AV59" s="276">
        <v>0</v>
      </c>
      <c r="AW59" s="276">
        <v>0</v>
      </c>
      <c r="AX59" s="276">
        <v>0</v>
      </c>
      <c r="AY59" s="276">
        <v>0</v>
      </c>
    </row>
    <row r="60" spans="2:51">
      <c r="B60" s="274">
        <v>10172</v>
      </c>
      <c r="C60" s="274" t="s">
        <v>63</v>
      </c>
      <c r="D60" s="276">
        <v>947</v>
      </c>
      <c r="E60" s="276">
        <v>0</v>
      </c>
      <c r="F60" s="276">
        <v>1070</v>
      </c>
      <c r="G60" s="276">
        <v>0</v>
      </c>
      <c r="H60" s="276">
        <v>860</v>
      </c>
      <c r="I60" s="276">
        <v>0</v>
      </c>
      <c r="J60" s="276">
        <v>1205</v>
      </c>
      <c r="K60" s="276">
        <v>0</v>
      </c>
      <c r="L60" s="276">
        <v>1362</v>
      </c>
      <c r="M60" s="276">
        <v>0</v>
      </c>
      <c r="N60" s="276">
        <v>839</v>
      </c>
      <c r="O60" s="276">
        <v>0</v>
      </c>
      <c r="P60" s="276">
        <v>912</v>
      </c>
      <c r="Q60" s="276">
        <v>0</v>
      </c>
      <c r="R60" s="276">
        <v>1054</v>
      </c>
      <c r="S60" s="276">
        <v>0</v>
      </c>
      <c r="T60" s="276">
        <v>1002</v>
      </c>
      <c r="U60" s="276">
        <v>0</v>
      </c>
      <c r="V60" s="276">
        <v>918</v>
      </c>
      <c r="W60" s="276">
        <v>0</v>
      </c>
      <c r="X60" s="276">
        <v>998</v>
      </c>
      <c r="Y60" s="276">
        <v>0</v>
      </c>
      <c r="Z60" s="276">
        <v>515</v>
      </c>
      <c r="AA60" s="276">
        <v>0</v>
      </c>
      <c r="AB60" s="276">
        <v>952</v>
      </c>
      <c r="AC60" s="276">
        <v>0</v>
      </c>
      <c r="AD60" s="276">
        <v>836</v>
      </c>
      <c r="AE60" s="276">
        <v>0</v>
      </c>
      <c r="AF60" s="276">
        <v>1119</v>
      </c>
      <c r="AG60" s="276">
        <v>0</v>
      </c>
      <c r="AH60" s="276">
        <v>950</v>
      </c>
      <c r="AI60" s="276">
        <v>0</v>
      </c>
      <c r="AJ60" s="276">
        <v>1396</v>
      </c>
      <c r="AK60" s="276">
        <v>0</v>
      </c>
      <c r="AL60" s="276">
        <v>1057</v>
      </c>
      <c r="AM60" s="276">
        <v>0</v>
      </c>
      <c r="AN60" s="276">
        <v>915</v>
      </c>
      <c r="AO60" s="276">
        <v>0</v>
      </c>
      <c r="AP60" s="276">
        <v>1059</v>
      </c>
      <c r="AQ60" s="276">
        <v>0</v>
      </c>
      <c r="AR60" s="276">
        <v>1008</v>
      </c>
      <c r="AS60" s="276">
        <v>0</v>
      </c>
      <c r="AT60" s="276">
        <v>923</v>
      </c>
      <c r="AU60" s="276">
        <v>0</v>
      </c>
      <c r="AV60" s="276">
        <v>1005</v>
      </c>
      <c r="AW60" s="276">
        <v>0</v>
      </c>
      <c r="AX60" s="276">
        <v>519</v>
      </c>
      <c r="AY60" s="276">
        <v>0</v>
      </c>
    </row>
    <row r="61" spans="2:51">
      <c r="B61" s="274">
        <v>10173</v>
      </c>
      <c r="C61" s="274" t="s">
        <v>64</v>
      </c>
      <c r="D61" s="276">
        <v>0</v>
      </c>
      <c r="E61" s="276">
        <v>0</v>
      </c>
      <c r="F61" s="276">
        <v>0</v>
      </c>
      <c r="G61" s="276">
        <v>0</v>
      </c>
      <c r="H61" s="276">
        <v>0</v>
      </c>
      <c r="I61" s="276">
        <v>0</v>
      </c>
      <c r="J61" s="276">
        <v>0</v>
      </c>
      <c r="K61" s="276">
        <v>0</v>
      </c>
      <c r="L61" s="276">
        <v>0</v>
      </c>
      <c r="M61" s="276">
        <v>0</v>
      </c>
      <c r="N61" s="276">
        <v>0</v>
      </c>
      <c r="O61" s="276">
        <v>0</v>
      </c>
      <c r="P61" s="276">
        <v>0</v>
      </c>
      <c r="Q61" s="276">
        <v>0</v>
      </c>
      <c r="R61" s="276">
        <v>0</v>
      </c>
      <c r="S61" s="276">
        <v>0</v>
      </c>
      <c r="T61" s="276">
        <v>0</v>
      </c>
      <c r="U61" s="276">
        <v>0</v>
      </c>
      <c r="V61" s="276">
        <v>0</v>
      </c>
      <c r="W61" s="276">
        <v>0</v>
      </c>
      <c r="X61" s="276">
        <v>0</v>
      </c>
      <c r="Y61" s="276">
        <v>0</v>
      </c>
      <c r="Z61" s="276">
        <v>0</v>
      </c>
      <c r="AA61" s="276">
        <v>0</v>
      </c>
      <c r="AB61" s="276">
        <v>0</v>
      </c>
      <c r="AC61" s="276">
        <v>0</v>
      </c>
      <c r="AD61" s="276">
        <v>0</v>
      </c>
      <c r="AE61" s="276">
        <v>0</v>
      </c>
      <c r="AF61" s="276">
        <v>0</v>
      </c>
      <c r="AG61" s="276">
        <v>0</v>
      </c>
      <c r="AH61" s="276">
        <v>0</v>
      </c>
      <c r="AI61" s="276">
        <v>0</v>
      </c>
      <c r="AJ61" s="276">
        <v>0</v>
      </c>
      <c r="AK61" s="276">
        <v>0</v>
      </c>
      <c r="AL61" s="276">
        <v>0</v>
      </c>
      <c r="AM61" s="276">
        <v>0</v>
      </c>
      <c r="AN61" s="276">
        <v>0</v>
      </c>
      <c r="AO61" s="276">
        <v>0</v>
      </c>
      <c r="AP61" s="276">
        <v>0</v>
      </c>
      <c r="AQ61" s="276">
        <v>0</v>
      </c>
      <c r="AR61" s="276">
        <v>0</v>
      </c>
      <c r="AS61" s="276">
        <v>0</v>
      </c>
      <c r="AT61" s="276">
        <v>0</v>
      </c>
      <c r="AU61" s="276">
        <v>0</v>
      </c>
      <c r="AV61" s="276">
        <v>0</v>
      </c>
      <c r="AW61" s="276">
        <v>0</v>
      </c>
      <c r="AX61" s="276">
        <v>0</v>
      </c>
      <c r="AY61" s="276">
        <v>0</v>
      </c>
    </row>
    <row r="62" spans="2:51">
      <c r="B62" s="274">
        <v>10174</v>
      </c>
      <c r="C62" s="274" t="s">
        <v>65</v>
      </c>
      <c r="D62" s="276">
        <v>96</v>
      </c>
      <c r="E62" s="276">
        <v>0</v>
      </c>
      <c r="F62" s="276">
        <v>48</v>
      </c>
      <c r="G62" s="276">
        <v>0</v>
      </c>
      <c r="H62" s="276">
        <v>211</v>
      </c>
      <c r="I62" s="276">
        <v>0</v>
      </c>
      <c r="J62" s="276">
        <v>209</v>
      </c>
      <c r="K62" s="276">
        <v>0</v>
      </c>
      <c r="L62" s="276">
        <v>84</v>
      </c>
      <c r="M62" s="276">
        <v>0</v>
      </c>
      <c r="N62" s="276">
        <v>166</v>
      </c>
      <c r="O62" s="276">
        <v>0</v>
      </c>
      <c r="P62" s="276">
        <v>62</v>
      </c>
      <c r="Q62" s="276">
        <v>0</v>
      </c>
      <c r="R62" s="276">
        <v>58</v>
      </c>
      <c r="S62" s="276">
        <v>0</v>
      </c>
      <c r="T62" s="276">
        <v>82</v>
      </c>
      <c r="U62" s="276">
        <v>0</v>
      </c>
      <c r="V62" s="276">
        <v>61</v>
      </c>
      <c r="W62" s="276">
        <v>0</v>
      </c>
      <c r="X62" s="276">
        <v>41</v>
      </c>
      <c r="Y62" s="276">
        <v>0</v>
      </c>
      <c r="Z62" s="276">
        <v>0</v>
      </c>
      <c r="AA62" s="276">
        <v>0</v>
      </c>
      <c r="AB62" s="276">
        <v>96</v>
      </c>
      <c r="AC62" s="276">
        <v>0</v>
      </c>
      <c r="AD62" s="276">
        <v>49</v>
      </c>
      <c r="AE62" s="276">
        <v>0</v>
      </c>
      <c r="AF62" s="276">
        <v>209</v>
      </c>
      <c r="AG62" s="276">
        <v>0</v>
      </c>
      <c r="AH62" s="276">
        <v>211</v>
      </c>
      <c r="AI62" s="276">
        <v>0</v>
      </c>
      <c r="AJ62" s="276">
        <v>84</v>
      </c>
      <c r="AK62" s="276">
        <v>0</v>
      </c>
      <c r="AL62" s="276">
        <v>165</v>
      </c>
      <c r="AM62" s="276">
        <v>0</v>
      </c>
      <c r="AN62" s="276">
        <v>62</v>
      </c>
      <c r="AO62" s="276">
        <v>0</v>
      </c>
      <c r="AP62" s="276">
        <v>58</v>
      </c>
      <c r="AQ62" s="276">
        <v>0</v>
      </c>
      <c r="AR62" s="276">
        <v>82</v>
      </c>
      <c r="AS62" s="276">
        <v>0</v>
      </c>
      <c r="AT62" s="276">
        <v>61</v>
      </c>
      <c r="AU62" s="276">
        <v>0</v>
      </c>
      <c r="AV62" s="276">
        <v>41</v>
      </c>
      <c r="AW62" s="276">
        <v>0</v>
      </c>
      <c r="AX62" s="276">
        <v>0</v>
      </c>
      <c r="AY62" s="276">
        <v>0</v>
      </c>
    </row>
    <row r="63" spans="2:51">
      <c r="B63" s="274">
        <v>10177</v>
      </c>
      <c r="C63" s="274" t="s">
        <v>66</v>
      </c>
      <c r="D63" s="276">
        <v>157</v>
      </c>
      <c r="E63" s="276">
        <v>0</v>
      </c>
      <c r="F63" s="276">
        <v>426</v>
      </c>
      <c r="G63" s="276">
        <v>0</v>
      </c>
      <c r="H63" s="276">
        <v>986</v>
      </c>
      <c r="I63" s="276">
        <v>0</v>
      </c>
      <c r="J63" s="276">
        <v>1462</v>
      </c>
      <c r="K63" s="276">
        <v>0</v>
      </c>
      <c r="L63" s="276">
        <v>592</v>
      </c>
      <c r="M63" s="276">
        <v>0</v>
      </c>
      <c r="N63" s="276">
        <v>229</v>
      </c>
      <c r="O63" s="276">
        <v>0</v>
      </c>
      <c r="P63" s="276">
        <v>297</v>
      </c>
      <c r="Q63" s="276">
        <v>0</v>
      </c>
      <c r="R63" s="276">
        <v>209</v>
      </c>
      <c r="S63" s="276">
        <v>0</v>
      </c>
      <c r="T63" s="276">
        <v>698</v>
      </c>
      <c r="U63" s="276">
        <v>0</v>
      </c>
      <c r="V63" s="276">
        <v>459</v>
      </c>
      <c r="W63" s="276">
        <v>0</v>
      </c>
      <c r="X63" s="276">
        <v>597</v>
      </c>
      <c r="Y63" s="276">
        <v>0</v>
      </c>
      <c r="Z63" s="276">
        <v>3</v>
      </c>
      <c r="AA63" s="276">
        <v>0</v>
      </c>
      <c r="AB63" s="276">
        <v>166</v>
      </c>
      <c r="AC63" s="276">
        <v>0</v>
      </c>
      <c r="AD63" s="276">
        <v>5</v>
      </c>
      <c r="AE63" s="276">
        <v>0</v>
      </c>
      <c r="AF63" s="276">
        <v>1511</v>
      </c>
      <c r="AG63" s="276">
        <v>0</v>
      </c>
      <c r="AH63" s="276">
        <v>989</v>
      </c>
      <c r="AI63" s="276">
        <v>0</v>
      </c>
      <c r="AJ63" s="276">
        <v>720</v>
      </c>
      <c r="AK63" s="276">
        <v>0</v>
      </c>
      <c r="AL63" s="276">
        <v>604</v>
      </c>
      <c r="AM63" s="276">
        <v>0</v>
      </c>
      <c r="AN63" s="276">
        <v>307</v>
      </c>
      <c r="AO63" s="276">
        <v>0</v>
      </c>
      <c r="AP63" s="276">
        <v>216</v>
      </c>
      <c r="AQ63" s="276">
        <v>0</v>
      </c>
      <c r="AR63" s="276">
        <v>703</v>
      </c>
      <c r="AS63" s="276">
        <v>0</v>
      </c>
      <c r="AT63" s="276">
        <v>463</v>
      </c>
      <c r="AU63" s="276">
        <v>0</v>
      </c>
      <c r="AV63" s="276">
        <v>600</v>
      </c>
      <c r="AW63" s="276">
        <v>0</v>
      </c>
      <c r="AX63" s="276">
        <v>11</v>
      </c>
      <c r="AY63" s="276">
        <v>0</v>
      </c>
    </row>
    <row r="64" spans="2:51">
      <c r="B64" s="274">
        <v>10179</v>
      </c>
      <c r="C64" s="274" t="s">
        <v>67</v>
      </c>
      <c r="D64" s="276">
        <v>48721</v>
      </c>
      <c r="E64" s="276">
        <v>0</v>
      </c>
      <c r="F64" s="276">
        <v>48271</v>
      </c>
      <c r="G64" s="276">
        <v>0</v>
      </c>
      <c r="H64" s="276">
        <v>18047</v>
      </c>
      <c r="I64" s="276">
        <v>0</v>
      </c>
      <c r="J64" s="276">
        <v>40898</v>
      </c>
      <c r="K64" s="276">
        <v>0</v>
      </c>
      <c r="L64" s="276">
        <v>40569</v>
      </c>
      <c r="M64" s="276">
        <v>0</v>
      </c>
      <c r="N64" s="276">
        <v>26403</v>
      </c>
      <c r="O64" s="276">
        <v>0</v>
      </c>
      <c r="P64" s="276">
        <v>47739</v>
      </c>
      <c r="Q64" s="276">
        <v>0</v>
      </c>
      <c r="R64" s="276">
        <v>28417</v>
      </c>
      <c r="S64" s="276">
        <v>0</v>
      </c>
      <c r="T64" s="276">
        <v>25962</v>
      </c>
      <c r="U64" s="276">
        <v>0</v>
      </c>
      <c r="V64" s="276">
        <v>37061</v>
      </c>
      <c r="W64" s="276">
        <v>0</v>
      </c>
      <c r="X64" s="276">
        <v>27772</v>
      </c>
      <c r="Y64" s="276">
        <v>0</v>
      </c>
      <c r="Z64" s="276">
        <v>40247</v>
      </c>
      <c r="AA64" s="276">
        <v>0</v>
      </c>
      <c r="AB64" s="276">
        <v>49422</v>
      </c>
      <c r="AC64" s="276">
        <v>0</v>
      </c>
      <c r="AD64" s="276">
        <v>40220</v>
      </c>
      <c r="AE64" s="276">
        <v>0</v>
      </c>
      <c r="AF64" s="276">
        <v>28671</v>
      </c>
      <c r="AG64" s="276">
        <v>0</v>
      </c>
      <c r="AH64" s="276">
        <v>30983</v>
      </c>
      <c r="AI64" s="276">
        <v>0</v>
      </c>
      <c r="AJ64" s="276">
        <v>20441</v>
      </c>
      <c r="AK64" s="276">
        <v>0</v>
      </c>
      <c r="AL64" s="276">
        <v>34839</v>
      </c>
      <c r="AM64" s="276">
        <v>0</v>
      </c>
      <c r="AN64" s="276">
        <v>48335</v>
      </c>
      <c r="AO64" s="276">
        <v>0</v>
      </c>
      <c r="AP64" s="276">
        <v>28668</v>
      </c>
      <c r="AQ64" s="276">
        <v>0</v>
      </c>
      <c r="AR64" s="276">
        <v>26134</v>
      </c>
      <c r="AS64" s="276">
        <v>0</v>
      </c>
      <c r="AT64" s="276">
        <v>37390</v>
      </c>
      <c r="AU64" s="276">
        <v>0</v>
      </c>
      <c r="AV64" s="276">
        <v>27992</v>
      </c>
      <c r="AW64" s="276">
        <v>0</v>
      </c>
      <c r="AX64" s="276">
        <v>40716</v>
      </c>
      <c r="AY64" s="276">
        <v>0</v>
      </c>
    </row>
    <row r="65" spans="2:51">
      <c r="B65" s="274">
        <v>10183</v>
      </c>
      <c r="C65" s="274" t="s">
        <v>68</v>
      </c>
      <c r="D65" s="276">
        <v>0</v>
      </c>
      <c r="E65" s="276">
        <v>0</v>
      </c>
      <c r="F65" s="276">
        <v>0</v>
      </c>
      <c r="G65" s="276">
        <v>0</v>
      </c>
      <c r="H65" s="276">
        <v>0</v>
      </c>
      <c r="I65" s="276">
        <v>0</v>
      </c>
      <c r="J65" s="276">
        <v>0</v>
      </c>
      <c r="K65" s="276">
        <v>0</v>
      </c>
      <c r="L65" s="276">
        <v>0</v>
      </c>
      <c r="M65" s="276">
        <v>0</v>
      </c>
      <c r="N65" s="276">
        <v>0</v>
      </c>
      <c r="O65" s="276">
        <v>0</v>
      </c>
      <c r="P65" s="276">
        <v>0</v>
      </c>
      <c r="Q65" s="276">
        <v>0</v>
      </c>
      <c r="R65" s="276">
        <v>0</v>
      </c>
      <c r="S65" s="276">
        <v>0</v>
      </c>
      <c r="T65" s="276">
        <v>0</v>
      </c>
      <c r="U65" s="276">
        <v>0</v>
      </c>
      <c r="V65" s="276">
        <v>0</v>
      </c>
      <c r="W65" s="276">
        <v>0</v>
      </c>
      <c r="X65" s="276">
        <v>0</v>
      </c>
      <c r="Y65" s="276">
        <v>0</v>
      </c>
      <c r="Z65" s="276">
        <v>0</v>
      </c>
      <c r="AA65" s="276">
        <v>0</v>
      </c>
      <c r="AB65" s="276">
        <v>0</v>
      </c>
      <c r="AC65" s="276">
        <v>0</v>
      </c>
      <c r="AD65" s="276">
        <v>0</v>
      </c>
      <c r="AE65" s="276">
        <v>0</v>
      </c>
      <c r="AF65" s="276">
        <v>0</v>
      </c>
      <c r="AG65" s="276">
        <v>0</v>
      </c>
      <c r="AH65" s="276">
        <v>0</v>
      </c>
      <c r="AI65" s="276">
        <v>0</v>
      </c>
      <c r="AJ65" s="276">
        <v>0</v>
      </c>
      <c r="AK65" s="276">
        <v>0</v>
      </c>
      <c r="AL65" s="276">
        <v>0</v>
      </c>
      <c r="AM65" s="276">
        <v>0</v>
      </c>
      <c r="AN65" s="276">
        <v>0</v>
      </c>
      <c r="AO65" s="276">
        <v>0</v>
      </c>
      <c r="AP65" s="276">
        <v>0</v>
      </c>
      <c r="AQ65" s="276">
        <v>0</v>
      </c>
      <c r="AR65" s="276">
        <v>0</v>
      </c>
      <c r="AS65" s="276">
        <v>0</v>
      </c>
      <c r="AT65" s="276">
        <v>0</v>
      </c>
      <c r="AU65" s="276">
        <v>0</v>
      </c>
      <c r="AV65" s="276">
        <v>0</v>
      </c>
      <c r="AW65" s="276">
        <v>0</v>
      </c>
      <c r="AX65" s="276">
        <v>0</v>
      </c>
      <c r="AY65" s="276">
        <v>0</v>
      </c>
    </row>
    <row r="66" spans="2:51">
      <c r="B66" s="274">
        <v>10186</v>
      </c>
      <c r="C66" s="274" t="s">
        <v>69</v>
      </c>
      <c r="D66" s="276">
        <v>2604</v>
      </c>
      <c r="E66" s="276">
        <v>0</v>
      </c>
      <c r="F66" s="276">
        <v>2000</v>
      </c>
      <c r="G66" s="276">
        <v>0</v>
      </c>
      <c r="H66" s="276">
        <v>2973</v>
      </c>
      <c r="I66" s="276">
        <v>0</v>
      </c>
      <c r="J66" s="276">
        <v>3940</v>
      </c>
      <c r="K66" s="276">
        <v>0</v>
      </c>
      <c r="L66" s="276">
        <v>4020</v>
      </c>
      <c r="M66" s="276">
        <v>0</v>
      </c>
      <c r="N66" s="276">
        <v>3832</v>
      </c>
      <c r="O66" s="276">
        <v>0</v>
      </c>
      <c r="P66" s="276">
        <v>3553</v>
      </c>
      <c r="Q66" s="276">
        <v>0</v>
      </c>
      <c r="R66" s="276">
        <v>2127</v>
      </c>
      <c r="S66" s="276">
        <v>0</v>
      </c>
      <c r="T66" s="276">
        <v>3219</v>
      </c>
      <c r="U66" s="276">
        <v>0</v>
      </c>
      <c r="V66" s="276">
        <v>2668</v>
      </c>
      <c r="W66" s="276">
        <v>0</v>
      </c>
      <c r="X66" s="276">
        <v>1726</v>
      </c>
      <c r="Y66" s="276">
        <v>0</v>
      </c>
      <c r="Z66" s="276">
        <v>3027</v>
      </c>
      <c r="AA66" s="276">
        <v>0</v>
      </c>
      <c r="AB66" s="276">
        <v>2633</v>
      </c>
      <c r="AC66" s="276">
        <v>0</v>
      </c>
      <c r="AD66" s="276">
        <v>1086</v>
      </c>
      <c r="AE66" s="276">
        <v>0</v>
      </c>
      <c r="AF66" s="276">
        <v>4039</v>
      </c>
      <c r="AG66" s="276">
        <v>0</v>
      </c>
      <c r="AH66" s="276">
        <v>2943</v>
      </c>
      <c r="AI66" s="276">
        <v>0</v>
      </c>
      <c r="AJ66" s="276">
        <v>4189</v>
      </c>
      <c r="AK66" s="276">
        <v>0</v>
      </c>
      <c r="AL66" s="276">
        <v>4744</v>
      </c>
      <c r="AM66" s="276">
        <v>0</v>
      </c>
      <c r="AN66" s="276">
        <v>3584</v>
      </c>
      <c r="AO66" s="276">
        <v>0</v>
      </c>
      <c r="AP66" s="276">
        <v>2146</v>
      </c>
      <c r="AQ66" s="276">
        <v>0</v>
      </c>
      <c r="AR66" s="276">
        <v>3242</v>
      </c>
      <c r="AS66" s="276">
        <v>0</v>
      </c>
      <c r="AT66" s="276">
        <v>2684</v>
      </c>
      <c r="AU66" s="276">
        <v>0</v>
      </c>
      <c r="AV66" s="276">
        <v>1738</v>
      </c>
      <c r="AW66" s="276">
        <v>0</v>
      </c>
      <c r="AX66" s="276">
        <v>3054</v>
      </c>
      <c r="AY66" s="276">
        <v>0</v>
      </c>
    </row>
    <row r="67" spans="2:51">
      <c r="B67" s="274">
        <v>10190</v>
      </c>
      <c r="C67" s="274" t="s">
        <v>70</v>
      </c>
      <c r="D67" s="276">
        <v>0</v>
      </c>
      <c r="E67" s="276">
        <v>0</v>
      </c>
      <c r="F67" s="276">
        <v>1125</v>
      </c>
      <c r="G67" s="276">
        <v>0</v>
      </c>
      <c r="H67" s="276">
        <v>2144</v>
      </c>
      <c r="I67" s="276">
        <v>0</v>
      </c>
      <c r="J67" s="276">
        <v>1497</v>
      </c>
      <c r="K67" s="276">
        <v>0</v>
      </c>
      <c r="L67" s="276">
        <v>0</v>
      </c>
      <c r="M67" s="276">
        <v>0</v>
      </c>
      <c r="N67" s="276">
        <v>578</v>
      </c>
      <c r="O67" s="276">
        <v>0</v>
      </c>
      <c r="P67" s="276">
        <v>628</v>
      </c>
      <c r="Q67" s="276">
        <v>0</v>
      </c>
      <c r="R67" s="276">
        <v>545</v>
      </c>
      <c r="S67" s="276">
        <v>0</v>
      </c>
      <c r="T67" s="276">
        <v>339</v>
      </c>
      <c r="U67" s="276">
        <v>0</v>
      </c>
      <c r="V67" s="276">
        <v>624</v>
      </c>
      <c r="W67" s="276">
        <v>0</v>
      </c>
      <c r="X67" s="276">
        <v>485</v>
      </c>
      <c r="Y67" s="276">
        <v>0</v>
      </c>
      <c r="Z67" s="276">
        <v>608</v>
      </c>
      <c r="AA67" s="276">
        <v>0</v>
      </c>
      <c r="AB67" s="276">
        <v>0</v>
      </c>
      <c r="AC67" s="276">
        <v>0</v>
      </c>
      <c r="AD67" s="276">
        <v>823</v>
      </c>
      <c r="AE67" s="276">
        <v>0</v>
      </c>
      <c r="AF67" s="276">
        <v>2511</v>
      </c>
      <c r="AG67" s="276">
        <v>0</v>
      </c>
      <c r="AH67" s="276">
        <v>1134</v>
      </c>
      <c r="AI67" s="276">
        <v>0</v>
      </c>
      <c r="AJ67" s="276">
        <v>0</v>
      </c>
      <c r="AK67" s="276">
        <v>0</v>
      </c>
      <c r="AL67" s="276">
        <v>779</v>
      </c>
      <c r="AM67" s="276">
        <v>0</v>
      </c>
      <c r="AN67" s="276">
        <v>625</v>
      </c>
      <c r="AO67" s="276">
        <v>0</v>
      </c>
      <c r="AP67" s="276">
        <v>541</v>
      </c>
      <c r="AQ67" s="276">
        <v>0</v>
      </c>
      <c r="AR67" s="276">
        <v>334</v>
      </c>
      <c r="AS67" s="276">
        <v>0</v>
      </c>
      <c r="AT67" s="276">
        <v>620</v>
      </c>
      <c r="AU67" s="276">
        <v>0</v>
      </c>
      <c r="AV67" s="276">
        <v>480</v>
      </c>
      <c r="AW67" s="276">
        <v>0</v>
      </c>
      <c r="AX67" s="276">
        <v>604</v>
      </c>
      <c r="AY67" s="276">
        <v>0</v>
      </c>
    </row>
    <row r="68" spans="2:51">
      <c r="B68" s="274">
        <v>10191</v>
      </c>
      <c r="C68" s="274" t="s">
        <v>71</v>
      </c>
      <c r="D68" s="276">
        <v>0</v>
      </c>
      <c r="E68" s="276">
        <v>0</v>
      </c>
      <c r="F68" s="276">
        <v>0</v>
      </c>
      <c r="G68" s="276">
        <v>0</v>
      </c>
      <c r="H68" s="276">
        <v>0</v>
      </c>
      <c r="I68" s="276">
        <v>0</v>
      </c>
      <c r="J68" s="276">
        <v>0</v>
      </c>
      <c r="K68" s="276">
        <v>0</v>
      </c>
      <c r="L68" s="276">
        <v>0</v>
      </c>
      <c r="M68" s="276">
        <v>0</v>
      </c>
      <c r="N68" s="276">
        <v>0</v>
      </c>
      <c r="O68" s="276">
        <v>0</v>
      </c>
      <c r="P68" s="276">
        <v>0</v>
      </c>
      <c r="Q68" s="276">
        <v>0</v>
      </c>
      <c r="R68" s="276">
        <v>0</v>
      </c>
      <c r="S68" s="276">
        <v>0</v>
      </c>
      <c r="T68" s="276">
        <v>0</v>
      </c>
      <c r="U68" s="276">
        <v>0</v>
      </c>
      <c r="V68" s="276">
        <v>0</v>
      </c>
      <c r="W68" s="276">
        <v>0</v>
      </c>
      <c r="X68" s="276">
        <v>0</v>
      </c>
      <c r="Y68" s="276">
        <v>0</v>
      </c>
      <c r="Z68" s="276">
        <v>0</v>
      </c>
      <c r="AA68" s="276">
        <v>0</v>
      </c>
      <c r="AB68" s="276">
        <v>0</v>
      </c>
      <c r="AC68" s="276">
        <v>0</v>
      </c>
      <c r="AD68" s="276">
        <v>0</v>
      </c>
      <c r="AE68" s="276">
        <v>0</v>
      </c>
      <c r="AF68" s="276">
        <v>0</v>
      </c>
      <c r="AG68" s="276">
        <v>0</v>
      </c>
      <c r="AH68" s="276">
        <v>0</v>
      </c>
      <c r="AI68" s="276">
        <v>0</v>
      </c>
      <c r="AJ68" s="276">
        <v>0</v>
      </c>
      <c r="AK68" s="276">
        <v>0</v>
      </c>
      <c r="AL68" s="276">
        <v>0</v>
      </c>
      <c r="AM68" s="276">
        <v>0</v>
      </c>
      <c r="AN68" s="276">
        <v>0</v>
      </c>
      <c r="AO68" s="276">
        <v>0</v>
      </c>
      <c r="AP68" s="276">
        <v>0</v>
      </c>
      <c r="AQ68" s="276">
        <v>0</v>
      </c>
      <c r="AR68" s="276">
        <v>0</v>
      </c>
      <c r="AS68" s="276">
        <v>0</v>
      </c>
      <c r="AT68" s="276">
        <v>0</v>
      </c>
      <c r="AU68" s="276">
        <v>0</v>
      </c>
      <c r="AV68" s="276">
        <v>0</v>
      </c>
      <c r="AW68" s="276">
        <v>0</v>
      </c>
      <c r="AX68" s="276">
        <v>0</v>
      </c>
      <c r="AY68" s="276">
        <v>0</v>
      </c>
    </row>
    <row r="69" spans="2:51">
      <c r="B69" s="274">
        <v>10197</v>
      </c>
      <c r="C69" s="274" t="s">
        <v>72</v>
      </c>
      <c r="D69" s="276">
        <v>4491</v>
      </c>
      <c r="E69" s="276">
        <v>0</v>
      </c>
      <c r="F69" s="276">
        <v>1053</v>
      </c>
      <c r="G69" s="276">
        <v>0</v>
      </c>
      <c r="H69" s="276">
        <v>2372</v>
      </c>
      <c r="I69" s="276">
        <v>0</v>
      </c>
      <c r="J69" s="276">
        <v>2262</v>
      </c>
      <c r="K69" s="276">
        <v>0</v>
      </c>
      <c r="L69" s="276">
        <v>648</v>
      </c>
      <c r="M69" s="276">
        <v>0</v>
      </c>
      <c r="N69" s="276">
        <v>1926</v>
      </c>
      <c r="O69" s="276">
        <v>0</v>
      </c>
      <c r="P69" s="276">
        <v>8345</v>
      </c>
      <c r="Q69" s="276">
        <v>0</v>
      </c>
      <c r="R69" s="276">
        <v>2756</v>
      </c>
      <c r="S69" s="276">
        <v>0</v>
      </c>
      <c r="T69" s="276">
        <v>7571</v>
      </c>
      <c r="U69" s="276">
        <v>0</v>
      </c>
      <c r="V69" s="276">
        <v>7713</v>
      </c>
      <c r="W69" s="276">
        <v>0</v>
      </c>
      <c r="X69" s="276">
        <v>6890</v>
      </c>
      <c r="Y69" s="276">
        <v>0</v>
      </c>
      <c r="Z69" s="276">
        <v>2845</v>
      </c>
      <c r="AA69" s="276">
        <v>0</v>
      </c>
      <c r="AB69" s="276">
        <v>4491</v>
      </c>
      <c r="AC69" s="276">
        <v>0</v>
      </c>
      <c r="AD69" s="276">
        <v>1066</v>
      </c>
      <c r="AE69" s="276">
        <v>0</v>
      </c>
      <c r="AF69" s="276">
        <v>2356</v>
      </c>
      <c r="AG69" s="276">
        <v>0</v>
      </c>
      <c r="AH69" s="276">
        <v>2282</v>
      </c>
      <c r="AI69" s="276">
        <v>0</v>
      </c>
      <c r="AJ69" s="276">
        <v>652</v>
      </c>
      <c r="AK69" s="276">
        <v>0</v>
      </c>
      <c r="AL69" s="276">
        <v>1913</v>
      </c>
      <c r="AM69" s="276">
        <v>0</v>
      </c>
      <c r="AN69" s="276">
        <v>8345</v>
      </c>
      <c r="AO69" s="276">
        <v>0</v>
      </c>
      <c r="AP69" s="276">
        <v>2756</v>
      </c>
      <c r="AQ69" s="276">
        <v>0</v>
      </c>
      <c r="AR69" s="276">
        <v>7571</v>
      </c>
      <c r="AS69" s="276">
        <v>0</v>
      </c>
      <c r="AT69" s="276">
        <v>7713</v>
      </c>
      <c r="AU69" s="276">
        <v>0</v>
      </c>
      <c r="AV69" s="276">
        <v>6890</v>
      </c>
      <c r="AW69" s="276">
        <v>0</v>
      </c>
      <c r="AX69" s="276">
        <v>2845</v>
      </c>
      <c r="AY69" s="276">
        <v>0</v>
      </c>
    </row>
    <row r="70" spans="2:51">
      <c r="B70" s="274">
        <v>10202</v>
      </c>
      <c r="C70" s="274" t="s">
        <v>73</v>
      </c>
      <c r="D70" s="276">
        <v>3314</v>
      </c>
      <c r="E70" s="276">
        <v>0</v>
      </c>
      <c r="F70" s="276">
        <v>3126</v>
      </c>
      <c r="G70" s="276">
        <v>0</v>
      </c>
      <c r="H70" s="276">
        <v>3685</v>
      </c>
      <c r="I70" s="276">
        <v>0</v>
      </c>
      <c r="J70" s="276">
        <v>2706</v>
      </c>
      <c r="K70" s="276">
        <v>0</v>
      </c>
      <c r="L70" s="276">
        <v>3405</v>
      </c>
      <c r="M70" s="276">
        <v>0</v>
      </c>
      <c r="N70" s="276">
        <v>3985</v>
      </c>
      <c r="O70" s="276">
        <v>0</v>
      </c>
      <c r="P70" s="276">
        <v>0</v>
      </c>
      <c r="Q70" s="276">
        <v>0</v>
      </c>
      <c r="R70" s="276">
        <v>459</v>
      </c>
      <c r="S70" s="276">
        <v>0</v>
      </c>
      <c r="T70" s="276">
        <v>968</v>
      </c>
      <c r="U70" s="276">
        <v>0</v>
      </c>
      <c r="V70" s="276">
        <v>2045</v>
      </c>
      <c r="W70" s="276">
        <v>0</v>
      </c>
      <c r="X70" s="276">
        <v>2051</v>
      </c>
      <c r="Y70" s="276">
        <v>0</v>
      </c>
      <c r="Z70" s="276">
        <v>1605</v>
      </c>
      <c r="AA70" s="276">
        <v>0</v>
      </c>
      <c r="AB70" s="276">
        <v>3395</v>
      </c>
      <c r="AC70" s="276">
        <v>0</v>
      </c>
      <c r="AD70" s="276">
        <v>3171</v>
      </c>
      <c r="AE70" s="276">
        <v>0</v>
      </c>
      <c r="AF70" s="276">
        <v>3798</v>
      </c>
      <c r="AG70" s="276">
        <v>0</v>
      </c>
      <c r="AH70" s="276">
        <v>2765</v>
      </c>
      <c r="AI70" s="276">
        <v>0</v>
      </c>
      <c r="AJ70" s="276">
        <v>2883</v>
      </c>
      <c r="AK70" s="276">
        <v>0</v>
      </c>
      <c r="AL70" s="276">
        <v>4092</v>
      </c>
      <c r="AM70" s="276">
        <v>0</v>
      </c>
      <c r="AN70" s="276">
        <v>0</v>
      </c>
      <c r="AO70" s="276">
        <v>0</v>
      </c>
      <c r="AP70" s="276">
        <v>539</v>
      </c>
      <c r="AQ70" s="276">
        <v>0</v>
      </c>
      <c r="AR70" s="276">
        <v>1044</v>
      </c>
      <c r="AS70" s="276">
        <v>0</v>
      </c>
      <c r="AT70" s="276">
        <v>2126</v>
      </c>
      <c r="AU70" s="276">
        <v>0</v>
      </c>
      <c r="AV70" s="276">
        <v>2134</v>
      </c>
      <c r="AW70" s="276">
        <v>0</v>
      </c>
      <c r="AX70" s="276">
        <v>1685</v>
      </c>
      <c r="AY70" s="276">
        <v>0</v>
      </c>
    </row>
    <row r="71" spans="2:51">
      <c r="B71" s="274">
        <v>10203</v>
      </c>
      <c r="C71" s="274" t="s">
        <v>74</v>
      </c>
      <c r="D71" s="276">
        <v>764</v>
      </c>
      <c r="E71" s="276">
        <v>0</v>
      </c>
      <c r="F71" s="276">
        <v>1292</v>
      </c>
      <c r="G71" s="276">
        <v>0</v>
      </c>
      <c r="H71" s="276">
        <v>1119</v>
      </c>
      <c r="I71" s="276">
        <v>0</v>
      </c>
      <c r="J71" s="276">
        <v>1772</v>
      </c>
      <c r="K71" s="276">
        <v>0</v>
      </c>
      <c r="L71" s="276">
        <v>1337</v>
      </c>
      <c r="M71" s="276">
        <v>0</v>
      </c>
      <c r="N71" s="276">
        <v>1152</v>
      </c>
      <c r="O71" s="276">
        <v>0</v>
      </c>
      <c r="P71" s="276">
        <v>1020</v>
      </c>
      <c r="Q71" s="276">
        <v>0</v>
      </c>
      <c r="R71" s="276">
        <v>1281</v>
      </c>
      <c r="S71" s="276">
        <v>0</v>
      </c>
      <c r="T71" s="276">
        <v>1211</v>
      </c>
      <c r="U71" s="276">
        <v>0</v>
      </c>
      <c r="V71" s="276">
        <v>1447</v>
      </c>
      <c r="W71" s="276">
        <v>0</v>
      </c>
      <c r="X71" s="276">
        <v>891</v>
      </c>
      <c r="Y71" s="276">
        <v>0</v>
      </c>
      <c r="Z71" s="276">
        <v>1193</v>
      </c>
      <c r="AA71" s="276">
        <v>0</v>
      </c>
      <c r="AB71" s="276">
        <v>777</v>
      </c>
      <c r="AC71" s="276">
        <v>0</v>
      </c>
      <c r="AD71" s="276">
        <v>974</v>
      </c>
      <c r="AE71" s="276">
        <v>0</v>
      </c>
      <c r="AF71" s="276">
        <v>1510</v>
      </c>
      <c r="AG71" s="276">
        <v>0</v>
      </c>
      <c r="AH71" s="276">
        <v>1423</v>
      </c>
      <c r="AI71" s="276">
        <v>0</v>
      </c>
      <c r="AJ71" s="276">
        <v>1015</v>
      </c>
      <c r="AK71" s="276">
        <v>0</v>
      </c>
      <c r="AL71" s="276">
        <v>1438</v>
      </c>
      <c r="AM71" s="276">
        <v>0</v>
      </c>
      <c r="AN71" s="276">
        <v>1032</v>
      </c>
      <c r="AO71" s="276">
        <v>0</v>
      </c>
      <c r="AP71" s="276">
        <v>1291</v>
      </c>
      <c r="AQ71" s="276">
        <v>0</v>
      </c>
      <c r="AR71" s="276">
        <v>1219</v>
      </c>
      <c r="AS71" s="276">
        <v>0</v>
      </c>
      <c r="AT71" s="276">
        <v>1457</v>
      </c>
      <c r="AU71" s="276">
        <v>0</v>
      </c>
      <c r="AV71" s="276">
        <v>900</v>
      </c>
      <c r="AW71" s="276">
        <v>0</v>
      </c>
      <c r="AX71" s="276">
        <v>1201</v>
      </c>
      <c r="AY71" s="276">
        <v>0</v>
      </c>
    </row>
    <row r="72" spans="2:51">
      <c r="B72" s="274">
        <v>10204</v>
      </c>
      <c r="C72" s="274" t="s">
        <v>75</v>
      </c>
      <c r="D72" s="276">
        <v>0</v>
      </c>
      <c r="E72" s="276">
        <v>0</v>
      </c>
      <c r="F72" s="276">
        <v>0</v>
      </c>
      <c r="G72" s="276">
        <v>0</v>
      </c>
      <c r="H72" s="276">
        <v>0</v>
      </c>
      <c r="I72" s="276">
        <v>0</v>
      </c>
      <c r="J72" s="276">
        <v>0</v>
      </c>
      <c r="K72" s="276">
        <v>0</v>
      </c>
      <c r="L72" s="276">
        <v>0</v>
      </c>
      <c r="M72" s="276">
        <v>0</v>
      </c>
      <c r="N72" s="276">
        <v>0</v>
      </c>
      <c r="O72" s="276">
        <v>0</v>
      </c>
      <c r="P72" s="276">
        <v>0</v>
      </c>
      <c r="Q72" s="276">
        <v>0</v>
      </c>
      <c r="R72" s="276">
        <v>0</v>
      </c>
      <c r="S72" s="276">
        <v>0</v>
      </c>
      <c r="T72" s="276">
        <v>0</v>
      </c>
      <c r="U72" s="276">
        <v>0</v>
      </c>
      <c r="V72" s="276">
        <v>0</v>
      </c>
      <c r="W72" s="276">
        <v>0</v>
      </c>
      <c r="X72" s="276">
        <v>0</v>
      </c>
      <c r="Y72" s="276">
        <v>0</v>
      </c>
      <c r="Z72" s="276">
        <v>0</v>
      </c>
      <c r="AA72" s="276">
        <v>0</v>
      </c>
      <c r="AB72" s="276">
        <v>0</v>
      </c>
      <c r="AC72" s="276">
        <v>0</v>
      </c>
      <c r="AD72" s="276">
        <v>0</v>
      </c>
      <c r="AE72" s="276">
        <v>0</v>
      </c>
      <c r="AF72" s="276">
        <v>0</v>
      </c>
      <c r="AG72" s="276">
        <v>0</v>
      </c>
      <c r="AH72" s="276">
        <v>0</v>
      </c>
      <c r="AI72" s="276">
        <v>0</v>
      </c>
      <c r="AJ72" s="276">
        <v>0</v>
      </c>
      <c r="AK72" s="276">
        <v>0</v>
      </c>
      <c r="AL72" s="276">
        <v>0</v>
      </c>
      <c r="AM72" s="276">
        <v>0</v>
      </c>
      <c r="AN72" s="276">
        <v>0</v>
      </c>
      <c r="AO72" s="276">
        <v>0</v>
      </c>
      <c r="AP72" s="276">
        <v>0</v>
      </c>
      <c r="AQ72" s="276">
        <v>0</v>
      </c>
      <c r="AR72" s="276">
        <v>0</v>
      </c>
      <c r="AS72" s="276">
        <v>0</v>
      </c>
      <c r="AT72" s="276">
        <v>0</v>
      </c>
      <c r="AU72" s="276">
        <v>0</v>
      </c>
      <c r="AV72" s="276">
        <v>0</v>
      </c>
      <c r="AW72" s="276">
        <v>0</v>
      </c>
      <c r="AX72" s="276">
        <v>0</v>
      </c>
      <c r="AY72" s="276">
        <v>0</v>
      </c>
    </row>
    <row r="73" spans="2:51">
      <c r="B73" s="274">
        <v>10209</v>
      </c>
      <c r="C73" s="274" t="s">
        <v>76</v>
      </c>
      <c r="D73" s="276">
        <v>19782</v>
      </c>
      <c r="E73" s="276">
        <v>0</v>
      </c>
      <c r="F73" s="276">
        <v>20169</v>
      </c>
      <c r="G73" s="276">
        <v>0</v>
      </c>
      <c r="H73" s="276">
        <v>20878</v>
      </c>
      <c r="I73" s="276">
        <v>0</v>
      </c>
      <c r="J73" s="276">
        <v>28028</v>
      </c>
      <c r="K73" s="276">
        <v>0</v>
      </c>
      <c r="L73" s="276">
        <v>25457</v>
      </c>
      <c r="M73" s="276">
        <v>0</v>
      </c>
      <c r="N73" s="276">
        <v>22423</v>
      </c>
      <c r="O73" s="276">
        <v>0</v>
      </c>
      <c r="P73" s="276">
        <v>30761</v>
      </c>
      <c r="Q73" s="276">
        <v>0</v>
      </c>
      <c r="R73" s="276">
        <v>29348</v>
      </c>
      <c r="S73" s="276">
        <v>0</v>
      </c>
      <c r="T73" s="276">
        <v>21796</v>
      </c>
      <c r="U73" s="276">
        <v>0</v>
      </c>
      <c r="V73" s="276">
        <v>28682</v>
      </c>
      <c r="W73" s="276">
        <v>0</v>
      </c>
      <c r="X73" s="276">
        <v>18741</v>
      </c>
      <c r="Y73" s="276">
        <v>0</v>
      </c>
      <c r="Z73" s="276">
        <v>31543</v>
      </c>
      <c r="AA73" s="276">
        <v>0</v>
      </c>
      <c r="AB73" s="276">
        <v>22246</v>
      </c>
      <c r="AC73" s="276">
        <v>0</v>
      </c>
      <c r="AD73" s="276">
        <v>17658</v>
      </c>
      <c r="AE73" s="276">
        <v>0</v>
      </c>
      <c r="AF73" s="276">
        <v>28460</v>
      </c>
      <c r="AG73" s="276">
        <v>0</v>
      </c>
      <c r="AH73" s="276">
        <v>22621</v>
      </c>
      <c r="AI73" s="276">
        <v>0</v>
      </c>
      <c r="AJ73" s="276">
        <v>20545</v>
      </c>
      <c r="AK73" s="276">
        <v>0</v>
      </c>
      <c r="AL73" s="276">
        <v>27210</v>
      </c>
      <c r="AM73" s="276">
        <v>0</v>
      </c>
      <c r="AN73" s="276">
        <v>31225</v>
      </c>
      <c r="AO73" s="276">
        <v>0</v>
      </c>
      <c r="AP73" s="276">
        <v>29716</v>
      </c>
      <c r="AQ73" s="276">
        <v>0</v>
      </c>
      <c r="AR73" s="276">
        <v>22099</v>
      </c>
      <c r="AS73" s="276">
        <v>0</v>
      </c>
      <c r="AT73" s="276">
        <v>29012</v>
      </c>
      <c r="AU73" s="276">
        <v>0</v>
      </c>
      <c r="AV73" s="276">
        <v>19029</v>
      </c>
      <c r="AW73" s="276">
        <v>0</v>
      </c>
      <c r="AX73" s="276">
        <v>31877</v>
      </c>
      <c r="AY73" s="276">
        <v>0</v>
      </c>
    </row>
    <row r="74" spans="2:51">
      <c r="B74" s="274">
        <v>10230</v>
      </c>
      <c r="C74" s="274" t="s">
        <v>77</v>
      </c>
      <c r="D74" s="276">
        <v>2821</v>
      </c>
      <c r="E74" s="276">
        <v>0</v>
      </c>
      <c r="F74" s="276">
        <v>2827</v>
      </c>
      <c r="G74" s="276">
        <v>0</v>
      </c>
      <c r="H74" s="276">
        <v>2812</v>
      </c>
      <c r="I74" s="276">
        <v>0</v>
      </c>
      <c r="J74" s="276">
        <v>5383</v>
      </c>
      <c r="K74" s="276">
        <v>0</v>
      </c>
      <c r="L74" s="276">
        <v>5308</v>
      </c>
      <c r="M74" s="276">
        <v>0</v>
      </c>
      <c r="N74" s="276">
        <v>3327</v>
      </c>
      <c r="O74" s="276">
        <v>0</v>
      </c>
      <c r="P74" s="276">
        <v>1663</v>
      </c>
      <c r="Q74" s="276">
        <v>0</v>
      </c>
      <c r="R74" s="276">
        <v>2107</v>
      </c>
      <c r="S74" s="276">
        <v>0</v>
      </c>
      <c r="T74" s="276">
        <v>2316</v>
      </c>
      <c r="U74" s="276">
        <v>0</v>
      </c>
      <c r="V74" s="276">
        <v>3393</v>
      </c>
      <c r="W74" s="276">
        <v>0</v>
      </c>
      <c r="X74" s="276">
        <v>2379</v>
      </c>
      <c r="Y74" s="276">
        <v>0</v>
      </c>
      <c r="Z74" s="276">
        <v>2315</v>
      </c>
      <c r="AA74" s="276">
        <v>0</v>
      </c>
      <c r="AB74" s="276">
        <v>2858</v>
      </c>
      <c r="AC74" s="276">
        <v>0</v>
      </c>
      <c r="AD74" s="276">
        <v>2226</v>
      </c>
      <c r="AE74" s="276">
        <v>0</v>
      </c>
      <c r="AF74" s="276">
        <v>3589</v>
      </c>
      <c r="AG74" s="276">
        <v>0</v>
      </c>
      <c r="AH74" s="276">
        <v>4745</v>
      </c>
      <c r="AI74" s="276">
        <v>0</v>
      </c>
      <c r="AJ74" s="276">
        <v>5221</v>
      </c>
      <c r="AK74" s="276">
        <v>0</v>
      </c>
      <c r="AL74" s="276">
        <v>3896</v>
      </c>
      <c r="AM74" s="276">
        <v>0</v>
      </c>
      <c r="AN74" s="276">
        <v>1704</v>
      </c>
      <c r="AO74" s="276">
        <v>0</v>
      </c>
      <c r="AP74" s="276">
        <v>2130</v>
      </c>
      <c r="AQ74" s="276">
        <v>0</v>
      </c>
      <c r="AR74" s="276">
        <v>2338</v>
      </c>
      <c r="AS74" s="276">
        <v>0</v>
      </c>
      <c r="AT74" s="276">
        <v>3422</v>
      </c>
      <c r="AU74" s="276">
        <v>0</v>
      </c>
      <c r="AV74" s="276">
        <v>2405</v>
      </c>
      <c r="AW74" s="276">
        <v>0</v>
      </c>
      <c r="AX74" s="276">
        <v>2339</v>
      </c>
      <c r="AY74" s="276">
        <v>0</v>
      </c>
    </row>
    <row r="75" spans="2:51">
      <c r="B75" s="274">
        <v>10231</v>
      </c>
      <c r="C75" s="274" t="s">
        <v>78</v>
      </c>
      <c r="D75" s="276">
        <v>3301</v>
      </c>
      <c r="E75" s="276">
        <v>0</v>
      </c>
      <c r="F75" s="276">
        <v>3425</v>
      </c>
      <c r="G75" s="276">
        <v>0</v>
      </c>
      <c r="H75" s="276">
        <v>11649</v>
      </c>
      <c r="I75" s="276">
        <v>0</v>
      </c>
      <c r="J75" s="276">
        <v>7120</v>
      </c>
      <c r="K75" s="276">
        <v>0</v>
      </c>
      <c r="L75" s="276">
        <v>1876</v>
      </c>
      <c r="M75" s="276">
        <v>0</v>
      </c>
      <c r="N75" s="276">
        <v>6664</v>
      </c>
      <c r="O75" s="276">
        <v>0</v>
      </c>
      <c r="P75" s="276">
        <v>2566</v>
      </c>
      <c r="Q75" s="276">
        <v>0</v>
      </c>
      <c r="R75" s="276">
        <v>10261</v>
      </c>
      <c r="S75" s="276">
        <v>0</v>
      </c>
      <c r="T75" s="276">
        <v>5771</v>
      </c>
      <c r="U75" s="276">
        <v>0</v>
      </c>
      <c r="V75" s="276">
        <v>3571</v>
      </c>
      <c r="W75" s="276">
        <v>0</v>
      </c>
      <c r="X75" s="276">
        <v>7938</v>
      </c>
      <c r="Y75" s="276">
        <v>0</v>
      </c>
      <c r="Z75" s="276">
        <v>7563</v>
      </c>
      <c r="AA75" s="276">
        <v>0</v>
      </c>
      <c r="AB75" s="276">
        <v>3455</v>
      </c>
      <c r="AC75" s="276">
        <v>0</v>
      </c>
      <c r="AD75" s="276">
        <v>3401</v>
      </c>
      <c r="AE75" s="276">
        <v>0</v>
      </c>
      <c r="AF75" s="276">
        <v>12195</v>
      </c>
      <c r="AG75" s="276">
        <v>0</v>
      </c>
      <c r="AH75" s="276">
        <v>7192</v>
      </c>
      <c r="AI75" s="276">
        <v>0</v>
      </c>
      <c r="AJ75" s="276">
        <v>481</v>
      </c>
      <c r="AK75" s="276">
        <v>0</v>
      </c>
      <c r="AL75" s="276">
        <v>7032</v>
      </c>
      <c r="AM75" s="276">
        <v>0</v>
      </c>
      <c r="AN75" s="276">
        <v>2715</v>
      </c>
      <c r="AO75" s="276">
        <v>0</v>
      </c>
      <c r="AP75" s="276">
        <v>10390</v>
      </c>
      <c r="AQ75" s="276">
        <v>0</v>
      </c>
      <c r="AR75" s="276">
        <v>5858</v>
      </c>
      <c r="AS75" s="276">
        <v>0</v>
      </c>
      <c r="AT75" s="276">
        <v>3750</v>
      </c>
      <c r="AU75" s="276">
        <v>0</v>
      </c>
      <c r="AV75" s="276">
        <v>8135</v>
      </c>
      <c r="AW75" s="276">
        <v>0</v>
      </c>
      <c r="AX75" s="276">
        <v>7695</v>
      </c>
      <c r="AY75" s="276">
        <v>0</v>
      </c>
    </row>
    <row r="76" spans="2:51">
      <c r="B76" s="274">
        <v>10234</v>
      </c>
      <c r="C76" s="274" t="s">
        <v>79</v>
      </c>
      <c r="D76" s="276">
        <v>4489</v>
      </c>
      <c r="E76" s="276">
        <v>0</v>
      </c>
      <c r="F76" s="276">
        <v>8406</v>
      </c>
      <c r="G76" s="276">
        <v>0</v>
      </c>
      <c r="H76" s="276">
        <v>11507</v>
      </c>
      <c r="I76" s="276">
        <v>0</v>
      </c>
      <c r="J76" s="276">
        <v>8896</v>
      </c>
      <c r="K76" s="276">
        <v>0</v>
      </c>
      <c r="L76" s="276">
        <v>10898</v>
      </c>
      <c r="M76" s="276">
        <v>0</v>
      </c>
      <c r="N76" s="276">
        <v>8176</v>
      </c>
      <c r="O76" s="276">
        <v>0</v>
      </c>
      <c r="P76" s="276">
        <v>7948</v>
      </c>
      <c r="Q76" s="276">
        <v>0</v>
      </c>
      <c r="R76" s="276">
        <v>4252</v>
      </c>
      <c r="S76" s="276">
        <v>0</v>
      </c>
      <c r="T76" s="276">
        <v>12043</v>
      </c>
      <c r="U76" s="276">
        <v>0</v>
      </c>
      <c r="V76" s="276">
        <v>14855</v>
      </c>
      <c r="W76" s="276">
        <v>0</v>
      </c>
      <c r="X76" s="276">
        <v>11110</v>
      </c>
      <c r="Y76" s="276">
        <v>0</v>
      </c>
      <c r="Z76" s="276">
        <v>7440</v>
      </c>
      <c r="AA76" s="276">
        <v>0</v>
      </c>
      <c r="AB76" s="276">
        <v>4529</v>
      </c>
      <c r="AC76" s="276">
        <v>0</v>
      </c>
      <c r="AD76" s="276">
        <v>5626</v>
      </c>
      <c r="AE76" s="276">
        <v>0</v>
      </c>
      <c r="AF76" s="276">
        <v>14656</v>
      </c>
      <c r="AG76" s="276">
        <v>0</v>
      </c>
      <c r="AH76" s="276">
        <v>6068</v>
      </c>
      <c r="AI76" s="276">
        <v>0</v>
      </c>
      <c r="AJ76" s="276">
        <v>9791</v>
      </c>
      <c r="AK76" s="276">
        <v>0</v>
      </c>
      <c r="AL76" s="276">
        <v>10565</v>
      </c>
      <c r="AM76" s="276">
        <v>0</v>
      </c>
      <c r="AN76" s="276">
        <v>7974</v>
      </c>
      <c r="AO76" s="276">
        <v>0</v>
      </c>
      <c r="AP76" s="276">
        <v>4277</v>
      </c>
      <c r="AQ76" s="276">
        <v>0</v>
      </c>
      <c r="AR76" s="276">
        <v>12048</v>
      </c>
      <c r="AS76" s="276">
        <v>0</v>
      </c>
      <c r="AT76" s="276">
        <v>14884</v>
      </c>
      <c r="AU76" s="276">
        <v>0</v>
      </c>
      <c r="AV76" s="276">
        <v>11110</v>
      </c>
      <c r="AW76" s="276">
        <v>0</v>
      </c>
      <c r="AX76" s="276">
        <v>7452</v>
      </c>
      <c r="AY76" s="276">
        <v>0</v>
      </c>
    </row>
    <row r="77" spans="2:51">
      <c r="B77" s="274">
        <v>10235</v>
      </c>
      <c r="C77" s="274" t="s">
        <v>80</v>
      </c>
      <c r="D77" s="276">
        <v>3820</v>
      </c>
      <c r="E77" s="276">
        <v>0</v>
      </c>
      <c r="F77" s="276">
        <v>1818</v>
      </c>
      <c r="G77" s="276">
        <v>0</v>
      </c>
      <c r="H77" s="276">
        <v>7083</v>
      </c>
      <c r="I77" s="276">
        <v>0</v>
      </c>
      <c r="J77" s="276">
        <v>6202</v>
      </c>
      <c r="K77" s="276">
        <v>0</v>
      </c>
      <c r="L77" s="276">
        <v>3214</v>
      </c>
      <c r="M77" s="276">
        <v>0</v>
      </c>
      <c r="N77" s="276">
        <v>5595</v>
      </c>
      <c r="O77" s="276">
        <v>0</v>
      </c>
      <c r="P77" s="276">
        <v>4282</v>
      </c>
      <c r="Q77" s="276">
        <v>0</v>
      </c>
      <c r="R77" s="276">
        <v>993</v>
      </c>
      <c r="S77" s="276">
        <v>0</v>
      </c>
      <c r="T77" s="276">
        <v>2994</v>
      </c>
      <c r="U77" s="276">
        <v>0</v>
      </c>
      <c r="V77" s="276">
        <v>3348</v>
      </c>
      <c r="W77" s="276">
        <v>0</v>
      </c>
      <c r="X77" s="276">
        <v>3903</v>
      </c>
      <c r="Y77" s="276">
        <v>0</v>
      </c>
      <c r="Z77" s="276">
        <v>2926</v>
      </c>
      <c r="AA77" s="276">
        <v>0</v>
      </c>
      <c r="AB77" s="276">
        <v>3828</v>
      </c>
      <c r="AC77" s="276">
        <v>0</v>
      </c>
      <c r="AD77" s="276">
        <v>1678</v>
      </c>
      <c r="AE77" s="276">
        <v>0</v>
      </c>
      <c r="AF77" s="276">
        <v>7236</v>
      </c>
      <c r="AG77" s="276">
        <v>0</v>
      </c>
      <c r="AH77" s="276">
        <v>6055</v>
      </c>
      <c r="AI77" s="276">
        <v>0</v>
      </c>
      <c r="AJ77" s="276">
        <v>3248</v>
      </c>
      <c r="AK77" s="276">
        <v>0</v>
      </c>
      <c r="AL77" s="276">
        <v>5708</v>
      </c>
      <c r="AM77" s="276">
        <v>0</v>
      </c>
      <c r="AN77" s="276">
        <v>4288</v>
      </c>
      <c r="AO77" s="276">
        <v>0</v>
      </c>
      <c r="AP77" s="276">
        <v>978</v>
      </c>
      <c r="AQ77" s="276">
        <v>0</v>
      </c>
      <c r="AR77" s="276">
        <v>2989</v>
      </c>
      <c r="AS77" s="276">
        <v>0</v>
      </c>
      <c r="AT77" s="276">
        <v>3350</v>
      </c>
      <c r="AU77" s="276">
        <v>0</v>
      </c>
      <c r="AV77" s="276">
        <v>3901</v>
      </c>
      <c r="AW77" s="276">
        <v>0</v>
      </c>
      <c r="AX77" s="276">
        <v>2916</v>
      </c>
      <c r="AY77" s="276">
        <v>0</v>
      </c>
    </row>
    <row r="78" spans="2:51">
      <c r="B78" s="274">
        <v>10236</v>
      </c>
      <c r="C78" s="274" t="s">
        <v>81</v>
      </c>
      <c r="D78" s="276">
        <v>0</v>
      </c>
      <c r="E78" s="276">
        <v>0</v>
      </c>
      <c r="F78" s="276">
        <v>0</v>
      </c>
      <c r="G78" s="276">
        <v>0</v>
      </c>
      <c r="H78" s="276">
        <v>0</v>
      </c>
      <c r="I78" s="276">
        <v>0</v>
      </c>
      <c r="J78" s="276">
        <v>0</v>
      </c>
      <c r="K78" s="276">
        <v>0</v>
      </c>
      <c r="L78" s="276">
        <v>0</v>
      </c>
      <c r="M78" s="276">
        <v>0</v>
      </c>
      <c r="N78" s="276">
        <v>0</v>
      </c>
      <c r="O78" s="276">
        <v>0</v>
      </c>
      <c r="P78" s="276">
        <v>0</v>
      </c>
      <c r="Q78" s="276">
        <v>0</v>
      </c>
      <c r="R78" s="276">
        <v>0</v>
      </c>
      <c r="S78" s="276">
        <v>0</v>
      </c>
      <c r="T78" s="276">
        <v>0</v>
      </c>
      <c r="U78" s="276">
        <v>0</v>
      </c>
      <c r="V78" s="276">
        <v>0</v>
      </c>
      <c r="W78" s="276">
        <v>0</v>
      </c>
      <c r="X78" s="276">
        <v>0</v>
      </c>
      <c r="Y78" s="276">
        <v>0</v>
      </c>
      <c r="Z78" s="276">
        <v>0</v>
      </c>
      <c r="AA78" s="276">
        <v>0</v>
      </c>
      <c r="AB78" s="276">
        <v>0</v>
      </c>
      <c r="AC78" s="276">
        <v>0</v>
      </c>
      <c r="AD78" s="276">
        <v>0</v>
      </c>
      <c r="AE78" s="276">
        <v>0</v>
      </c>
      <c r="AF78" s="276">
        <v>0</v>
      </c>
      <c r="AG78" s="276">
        <v>0</v>
      </c>
      <c r="AH78" s="276">
        <v>0</v>
      </c>
      <c r="AI78" s="276">
        <v>0</v>
      </c>
      <c r="AJ78" s="276">
        <v>0</v>
      </c>
      <c r="AK78" s="276">
        <v>0</v>
      </c>
      <c r="AL78" s="276">
        <v>0</v>
      </c>
      <c r="AM78" s="276">
        <v>0</v>
      </c>
      <c r="AN78" s="276">
        <v>0</v>
      </c>
      <c r="AO78" s="276">
        <v>0</v>
      </c>
      <c r="AP78" s="276">
        <v>0</v>
      </c>
      <c r="AQ78" s="276">
        <v>0</v>
      </c>
      <c r="AR78" s="276">
        <v>0</v>
      </c>
      <c r="AS78" s="276">
        <v>0</v>
      </c>
      <c r="AT78" s="276">
        <v>0</v>
      </c>
      <c r="AU78" s="276">
        <v>0</v>
      </c>
      <c r="AV78" s="276">
        <v>0</v>
      </c>
      <c r="AW78" s="276">
        <v>0</v>
      </c>
      <c r="AX78" s="276">
        <v>0</v>
      </c>
      <c r="AY78" s="276">
        <v>0</v>
      </c>
    </row>
    <row r="79" spans="2:51">
      <c r="B79" s="274">
        <v>10237</v>
      </c>
      <c r="C79" s="274" t="s">
        <v>82</v>
      </c>
      <c r="D79" s="276">
        <v>0</v>
      </c>
      <c r="E79" s="276">
        <v>0</v>
      </c>
      <c r="F79" s="276">
        <v>0</v>
      </c>
      <c r="G79" s="276">
        <v>0</v>
      </c>
      <c r="H79" s="276">
        <v>0</v>
      </c>
      <c r="I79" s="276">
        <v>0</v>
      </c>
      <c r="J79" s="276">
        <v>0</v>
      </c>
      <c r="K79" s="276">
        <v>0</v>
      </c>
      <c r="L79" s="276">
        <v>0</v>
      </c>
      <c r="M79" s="276">
        <v>0</v>
      </c>
      <c r="N79" s="276">
        <v>0</v>
      </c>
      <c r="O79" s="276">
        <v>0</v>
      </c>
      <c r="P79" s="276">
        <v>0</v>
      </c>
      <c r="Q79" s="276">
        <v>0</v>
      </c>
      <c r="R79" s="276">
        <v>0</v>
      </c>
      <c r="S79" s="276">
        <v>0</v>
      </c>
      <c r="T79" s="276">
        <v>0</v>
      </c>
      <c r="U79" s="276">
        <v>0</v>
      </c>
      <c r="V79" s="276">
        <v>0</v>
      </c>
      <c r="W79" s="276">
        <v>0</v>
      </c>
      <c r="X79" s="276">
        <v>0</v>
      </c>
      <c r="Y79" s="276">
        <v>0</v>
      </c>
      <c r="Z79" s="276">
        <v>0</v>
      </c>
      <c r="AA79" s="276">
        <v>0</v>
      </c>
      <c r="AB79" s="276">
        <v>0</v>
      </c>
      <c r="AC79" s="276">
        <v>0</v>
      </c>
      <c r="AD79" s="276">
        <v>0</v>
      </c>
      <c r="AE79" s="276">
        <v>0</v>
      </c>
      <c r="AF79" s="276">
        <v>0</v>
      </c>
      <c r="AG79" s="276">
        <v>0</v>
      </c>
      <c r="AH79" s="276">
        <v>0</v>
      </c>
      <c r="AI79" s="276">
        <v>0</v>
      </c>
      <c r="AJ79" s="276">
        <v>0</v>
      </c>
      <c r="AK79" s="276">
        <v>0</v>
      </c>
      <c r="AL79" s="276">
        <v>0</v>
      </c>
      <c r="AM79" s="276">
        <v>0</v>
      </c>
      <c r="AN79" s="276">
        <v>0</v>
      </c>
      <c r="AO79" s="276">
        <v>0</v>
      </c>
      <c r="AP79" s="276">
        <v>0</v>
      </c>
      <c r="AQ79" s="276">
        <v>0</v>
      </c>
      <c r="AR79" s="276">
        <v>0</v>
      </c>
      <c r="AS79" s="276">
        <v>0</v>
      </c>
      <c r="AT79" s="276">
        <v>0</v>
      </c>
      <c r="AU79" s="276">
        <v>0</v>
      </c>
      <c r="AV79" s="276">
        <v>0</v>
      </c>
      <c r="AW79" s="276">
        <v>0</v>
      </c>
      <c r="AX79" s="276">
        <v>0</v>
      </c>
      <c r="AY79" s="276">
        <v>0</v>
      </c>
    </row>
    <row r="80" spans="2:51">
      <c r="B80" s="274">
        <v>10239</v>
      </c>
      <c r="C80" s="274" t="s">
        <v>83</v>
      </c>
      <c r="D80" s="276">
        <v>0</v>
      </c>
      <c r="E80" s="276">
        <v>0</v>
      </c>
      <c r="F80" s="276">
        <v>0</v>
      </c>
      <c r="G80" s="276">
        <v>0</v>
      </c>
      <c r="H80" s="276">
        <v>0</v>
      </c>
      <c r="I80" s="276">
        <v>0</v>
      </c>
      <c r="J80" s="276">
        <v>0</v>
      </c>
      <c r="K80" s="276">
        <v>0</v>
      </c>
      <c r="L80" s="276">
        <v>0</v>
      </c>
      <c r="M80" s="276">
        <v>0</v>
      </c>
      <c r="N80" s="276">
        <v>0</v>
      </c>
      <c r="O80" s="276">
        <v>0</v>
      </c>
      <c r="P80" s="276">
        <v>0</v>
      </c>
      <c r="Q80" s="276">
        <v>0</v>
      </c>
      <c r="R80" s="276">
        <v>0</v>
      </c>
      <c r="S80" s="276">
        <v>0</v>
      </c>
      <c r="T80" s="276">
        <v>0</v>
      </c>
      <c r="U80" s="276">
        <v>0</v>
      </c>
      <c r="V80" s="276">
        <v>0</v>
      </c>
      <c r="W80" s="276">
        <v>0</v>
      </c>
      <c r="X80" s="276">
        <v>0</v>
      </c>
      <c r="Y80" s="276">
        <v>0</v>
      </c>
      <c r="Z80" s="276">
        <v>0</v>
      </c>
      <c r="AA80" s="276">
        <v>0</v>
      </c>
      <c r="AB80" s="276">
        <v>0</v>
      </c>
      <c r="AC80" s="276">
        <v>0</v>
      </c>
      <c r="AD80" s="276">
        <v>0</v>
      </c>
      <c r="AE80" s="276">
        <v>0</v>
      </c>
      <c r="AF80" s="276">
        <v>0</v>
      </c>
      <c r="AG80" s="276">
        <v>0</v>
      </c>
      <c r="AH80" s="276">
        <v>0</v>
      </c>
      <c r="AI80" s="276">
        <v>0</v>
      </c>
      <c r="AJ80" s="276">
        <v>0</v>
      </c>
      <c r="AK80" s="276">
        <v>0</v>
      </c>
      <c r="AL80" s="276">
        <v>0</v>
      </c>
      <c r="AM80" s="276">
        <v>0</v>
      </c>
      <c r="AN80" s="276">
        <v>0</v>
      </c>
      <c r="AO80" s="276">
        <v>0</v>
      </c>
      <c r="AP80" s="276">
        <v>0</v>
      </c>
      <c r="AQ80" s="276">
        <v>0</v>
      </c>
      <c r="AR80" s="276">
        <v>0</v>
      </c>
      <c r="AS80" s="276">
        <v>0</v>
      </c>
      <c r="AT80" s="276">
        <v>0</v>
      </c>
      <c r="AU80" s="276">
        <v>0</v>
      </c>
      <c r="AV80" s="276">
        <v>0</v>
      </c>
      <c r="AW80" s="276">
        <v>0</v>
      </c>
      <c r="AX80" s="276">
        <v>0</v>
      </c>
      <c r="AY80" s="276">
        <v>0</v>
      </c>
    </row>
    <row r="81" spans="2:51">
      <c r="B81" s="274">
        <v>10242</v>
      </c>
      <c r="C81" s="274" t="s">
        <v>84</v>
      </c>
      <c r="D81" s="276">
        <v>2037</v>
      </c>
      <c r="E81" s="276">
        <v>0</v>
      </c>
      <c r="F81" s="276">
        <v>869</v>
      </c>
      <c r="G81" s="276">
        <v>0</v>
      </c>
      <c r="H81" s="276">
        <v>1048</v>
      </c>
      <c r="I81" s="276">
        <v>0</v>
      </c>
      <c r="J81" s="276">
        <v>1533</v>
      </c>
      <c r="K81" s="276">
        <v>0</v>
      </c>
      <c r="L81" s="276">
        <v>1068</v>
      </c>
      <c r="M81" s="276">
        <v>0</v>
      </c>
      <c r="N81" s="276">
        <v>914</v>
      </c>
      <c r="O81" s="276">
        <v>0</v>
      </c>
      <c r="P81" s="276">
        <v>1631</v>
      </c>
      <c r="Q81" s="276">
        <v>0</v>
      </c>
      <c r="R81" s="276">
        <v>0</v>
      </c>
      <c r="S81" s="276">
        <v>0</v>
      </c>
      <c r="T81" s="276">
        <v>4261</v>
      </c>
      <c r="U81" s="276">
        <v>0</v>
      </c>
      <c r="V81" s="276">
        <v>3614</v>
      </c>
      <c r="W81" s="276">
        <v>0</v>
      </c>
      <c r="X81" s="276">
        <v>3635</v>
      </c>
      <c r="Y81" s="276">
        <v>0</v>
      </c>
      <c r="Z81" s="276">
        <v>2516</v>
      </c>
      <c r="AA81" s="276">
        <v>0</v>
      </c>
      <c r="AB81" s="276">
        <v>2069</v>
      </c>
      <c r="AC81" s="276">
        <v>0</v>
      </c>
      <c r="AD81" s="276">
        <v>682</v>
      </c>
      <c r="AE81" s="276">
        <v>0</v>
      </c>
      <c r="AF81" s="276">
        <v>1341</v>
      </c>
      <c r="AG81" s="276">
        <v>0</v>
      </c>
      <c r="AH81" s="276">
        <v>1306</v>
      </c>
      <c r="AI81" s="276">
        <v>0</v>
      </c>
      <c r="AJ81" s="276">
        <v>1038</v>
      </c>
      <c r="AK81" s="276">
        <v>0</v>
      </c>
      <c r="AL81" s="276">
        <v>1130</v>
      </c>
      <c r="AM81" s="276">
        <v>0</v>
      </c>
      <c r="AN81" s="276">
        <v>1661</v>
      </c>
      <c r="AO81" s="276">
        <v>0</v>
      </c>
      <c r="AP81" s="276">
        <v>15</v>
      </c>
      <c r="AQ81" s="276">
        <v>0</v>
      </c>
      <c r="AR81" s="276">
        <v>4356</v>
      </c>
      <c r="AS81" s="276">
        <v>0</v>
      </c>
      <c r="AT81" s="276">
        <v>3715</v>
      </c>
      <c r="AU81" s="276">
        <v>0</v>
      </c>
      <c r="AV81" s="276">
        <v>3732</v>
      </c>
      <c r="AW81" s="276">
        <v>0</v>
      </c>
      <c r="AX81" s="276">
        <v>2611</v>
      </c>
      <c r="AY81" s="276">
        <v>0</v>
      </c>
    </row>
    <row r="82" spans="2:51">
      <c r="B82" s="274">
        <v>10244</v>
      </c>
      <c r="C82" s="274" t="s">
        <v>85</v>
      </c>
      <c r="D82" s="276">
        <v>15956</v>
      </c>
      <c r="E82" s="276">
        <v>0</v>
      </c>
      <c r="F82" s="276">
        <v>11737</v>
      </c>
      <c r="G82" s="276">
        <v>0</v>
      </c>
      <c r="H82" s="276">
        <v>16662</v>
      </c>
      <c r="I82" s="276">
        <v>0</v>
      </c>
      <c r="J82" s="276">
        <v>40480</v>
      </c>
      <c r="K82" s="276">
        <v>0</v>
      </c>
      <c r="L82" s="276">
        <v>12143</v>
      </c>
      <c r="M82" s="276">
        <v>0</v>
      </c>
      <c r="N82" s="276">
        <v>19822</v>
      </c>
      <c r="O82" s="276">
        <v>0</v>
      </c>
      <c r="P82" s="276">
        <v>19040</v>
      </c>
      <c r="Q82" s="276">
        <v>0</v>
      </c>
      <c r="R82" s="276">
        <v>13990</v>
      </c>
      <c r="S82" s="276">
        <v>0</v>
      </c>
      <c r="T82" s="276">
        <v>7502</v>
      </c>
      <c r="U82" s="276">
        <v>0</v>
      </c>
      <c r="V82" s="276">
        <v>12613</v>
      </c>
      <c r="W82" s="276">
        <v>0</v>
      </c>
      <c r="X82" s="276">
        <v>4584</v>
      </c>
      <c r="Y82" s="276">
        <v>0</v>
      </c>
      <c r="Z82" s="276">
        <v>9099</v>
      </c>
      <c r="AA82" s="276">
        <v>0</v>
      </c>
      <c r="AB82" s="276">
        <v>17006</v>
      </c>
      <c r="AC82" s="276">
        <v>0</v>
      </c>
      <c r="AD82" s="276">
        <v>7798</v>
      </c>
      <c r="AE82" s="276">
        <v>0</v>
      </c>
      <c r="AF82" s="276">
        <v>23876</v>
      </c>
      <c r="AG82" s="276">
        <v>0</v>
      </c>
      <c r="AH82" s="276">
        <v>35826</v>
      </c>
      <c r="AI82" s="276">
        <v>0</v>
      </c>
      <c r="AJ82" s="276">
        <v>9212</v>
      </c>
      <c r="AK82" s="276">
        <v>0</v>
      </c>
      <c r="AL82" s="276">
        <v>25404</v>
      </c>
      <c r="AM82" s="276">
        <v>0</v>
      </c>
      <c r="AN82" s="276">
        <v>20062</v>
      </c>
      <c r="AO82" s="276">
        <v>0</v>
      </c>
      <c r="AP82" s="276">
        <v>14315</v>
      </c>
      <c r="AQ82" s="276">
        <v>0</v>
      </c>
      <c r="AR82" s="276">
        <v>7804</v>
      </c>
      <c r="AS82" s="276">
        <v>0</v>
      </c>
      <c r="AT82" s="276">
        <v>12937</v>
      </c>
      <c r="AU82" s="276">
        <v>0</v>
      </c>
      <c r="AV82" s="276">
        <v>4881</v>
      </c>
      <c r="AW82" s="276">
        <v>0</v>
      </c>
      <c r="AX82" s="276">
        <v>9408</v>
      </c>
      <c r="AY82" s="276">
        <v>0</v>
      </c>
    </row>
    <row r="83" spans="2:51">
      <c r="B83" s="274">
        <v>10246</v>
      </c>
      <c r="C83" s="274" t="s">
        <v>86</v>
      </c>
      <c r="D83" s="276">
        <v>0</v>
      </c>
      <c r="E83" s="276">
        <v>0</v>
      </c>
      <c r="F83" s="276">
        <v>268</v>
      </c>
      <c r="G83" s="276">
        <v>0</v>
      </c>
      <c r="H83" s="276">
        <v>2764</v>
      </c>
      <c r="I83" s="276">
        <v>0</v>
      </c>
      <c r="J83" s="276">
        <v>1785</v>
      </c>
      <c r="K83" s="276">
        <v>0</v>
      </c>
      <c r="L83" s="276">
        <v>1695</v>
      </c>
      <c r="M83" s="276">
        <v>0</v>
      </c>
      <c r="N83" s="276">
        <v>2463</v>
      </c>
      <c r="O83" s="276">
        <v>0</v>
      </c>
      <c r="P83" s="276">
        <v>476</v>
      </c>
      <c r="Q83" s="276">
        <v>0</v>
      </c>
      <c r="R83" s="276">
        <v>1533</v>
      </c>
      <c r="S83" s="276">
        <v>0</v>
      </c>
      <c r="T83" s="276">
        <v>834</v>
      </c>
      <c r="U83" s="276">
        <v>0</v>
      </c>
      <c r="V83" s="276">
        <v>261</v>
      </c>
      <c r="W83" s="276">
        <v>0</v>
      </c>
      <c r="X83" s="276">
        <v>560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250</v>
      </c>
      <c r="AE83" s="276">
        <v>0</v>
      </c>
      <c r="AF83" s="276">
        <v>2703</v>
      </c>
      <c r="AG83" s="276">
        <v>0</v>
      </c>
      <c r="AH83" s="276">
        <v>1774</v>
      </c>
      <c r="AI83" s="276">
        <v>0</v>
      </c>
      <c r="AJ83" s="276">
        <v>1612</v>
      </c>
      <c r="AK83" s="276">
        <v>0</v>
      </c>
      <c r="AL83" s="276">
        <v>2402</v>
      </c>
      <c r="AM83" s="276">
        <v>0</v>
      </c>
      <c r="AN83" s="276">
        <v>437</v>
      </c>
      <c r="AO83" s="276">
        <v>0</v>
      </c>
      <c r="AP83" s="276">
        <v>1494</v>
      </c>
      <c r="AQ83" s="276">
        <v>0</v>
      </c>
      <c r="AR83" s="276">
        <v>794</v>
      </c>
      <c r="AS83" s="276">
        <v>0</v>
      </c>
      <c r="AT83" s="276">
        <v>222</v>
      </c>
      <c r="AU83" s="276">
        <v>0</v>
      </c>
      <c r="AV83" s="276">
        <v>521</v>
      </c>
      <c r="AW83" s="276">
        <v>0</v>
      </c>
      <c r="AX83" s="276">
        <v>0</v>
      </c>
      <c r="AY83" s="276">
        <v>0</v>
      </c>
    </row>
    <row r="84" spans="2:51">
      <c r="B84" s="274">
        <v>10247</v>
      </c>
      <c r="C84" s="274" t="s">
        <v>87</v>
      </c>
      <c r="D84" s="276">
        <v>9422</v>
      </c>
      <c r="E84" s="276">
        <v>0</v>
      </c>
      <c r="F84" s="276">
        <v>5167</v>
      </c>
      <c r="G84" s="276">
        <v>0</v>
      </c>
      <c r="H84" s="276">
        <v>27059</v>
      </c>
      <c r="I84" s="276">
        <v>0</v>
      </c>
      <c r="J84" s="276">
        <v>23378</v>
      </c>
      <c r="K84" s="276">
        <v>0</v>
      </c>
      <c r="L84" s="276">
        <v>16138</v>
      </c>
      <c r="M84" s="276">
        <v>0</v>
      </c>
      <c r="N84" s="276">
        <v>24338</v>
      </c>
      <c r="O84" s="276">
        <v>0</v>
      </c>
      <c r="P84" s="276">
        <v>15305</v>
      </c>
      <c r="Q84" s="276">
        <v>0</v>
      </c>
      <c r="R84" s="276">
        <v>9739</v>
      </c>
      <c r="S84" s="276">
        <v>0</v>
      </c>
      <c r="T84" s="276">
        <v>7168</v>
      </c>
      <c r="U84" s="276">
        <v>0</v>
      </c>
      <c r="V84" s="276">
        <v>11196</v>
      </c>
      <c r="W84" s="276">
        <v>0</v>
      </c>
      <c r="X84" s="276">
        <v>13007</v>
      </c>
      <c r="Y84" s="276">
        <v>0</v>
      </c>
      <c r="Z84" s="276">
        <v>0</v>
      </c>
      <c r="AA84" s="276">
        <v>0</v>
      </c>
      <c r="AB84" s="276">
        <v>9767</v>
      </c>
      <c r="AC84" s="276">
        <v>0</v>
      </c>
      <c r="AD84" s="276">
        <v>1409</v>
      </c>
      <c r="AE84" s="276">
        <v>0</v>
      </c>
      <c r="AF84" s="276">
        <v>31919</v>
      </c>
      <c r="AG84" s="276">
        <v>0</v>
      </c>
      <c r="AH84" s="276">
        <v>19239</v>
      </c>
      <c r="AI84" s="276">
        <v>0</v>
      </c>
      <c r="AJ84" s="276">
        <v>14781</v>
      </c>
      <c r="AK84" s="276">
        <v>0</v>
      </c>
      <c r="AL84" s="276">
        <v>28231</v>
      </c>
      <c r="AM84" s="276">
        <v>0</v>
      </c>
      <c r="AN84" s="276">
        <v>15693</v>
      </c>
      <c r="AO84" s="276">
        <v>0</v>
      </c>
      <c r="AP84" s="276">
        <v>10244</v>
      </c>
      <c r="AQ84" s="276">
        <v>0</v>
      </c>
      <c r="AR84" s="276">
        <v>7327</v>
      </c>
      <c r="AS84" s="276">
        <v>0</v>
      </c>
      <c r="AT84" s="276">
        <v>11561</v>
      </c>
      <c r="AU84" s="276">
        <v>0</v>
      </c>
      <c r="AV84" s="276">
        <v>13420</v>
      </c>
      <c r="AW84" s="276">
        <v>0</v>
      </c>
      <c r="AX84" s="276">
        <v>0</v>
      </c>
      <c r="AY84" s="276">
        <v>0</v>
      </c>
    </row>
    <row r="85" spans="2:51">
      <c r="B85" s="274">
        <v>10256</v>
      </c>
      <c r="C85" s="274" t="s">
        <v>88</v>
      </c>
      <c r="D85" s="276">
        <v>10043</v>
      </c>
      <c r="E85" s="276">
        <v>0</v>
      </c>
      <c r="F85" s="276">
        <v>6745</v>
      </c>
      <c r="G85" s="276">
        <v>0</v>
      </c>
      <c r="H85" s="276">
        <v>17614</v>
      </c>
      <c r="I85" s="276">
        <v>0</v>
      </c>
      <c r="J85" s="276">
        <v>17168</v>
      </c>
      <c r="K85" s="276">
        <v>0</v>
      </c>
      <c r="L85" s="276">
        <v>7084</v>
      </c>
      <c r="M85" s="276">
        <v>0</v>
      </c>
      <c r="N85" s="276">
        <v>7197</v>
      </c>
      <c r="O85" s="276">
        <v>0</v>
      </c>
      <c r="P85" s="276">
        <v>8996</v>
      </c>
      <c r="Q85" s="276">
        <v>0</v>
      </c>
      <c r="R85" s="276">
        <v>1082</v>
      </c>
      <c r="S85" s="276">
        <v>0</v>
      </c>
      <c r="T85" s="276">
        <v>6268</v>
      </c>
      <c r="U85" s="276">
        <v>0</v>
      </c>
      <c r="V85" s="276">
        <v>7345</v>
      </c>
      <c r="W85" s="276">
        <v>0</v>
      </c>
      <c r="X85" s="276">
        <v>4920</v>
      </c>
      <c r="Y85" s="276">
        <v>0</v>
      </c>
      <c r="Z85" s="276">
        <v>3033</v>
      </c>
      <c r="AA85" s="276">
        <v>0</v>
      </c>
      <c r="AB85" s="276">
        <v>10044</v>
      </c>
      <c r="AC85" s="276">
        <v>0</v>
      </c>
      <c r="AD85" s="276">
        <v>4512</v>
      </c>
      <c r="AE85" s="276">
        <v>0</v>
      </c>
      <c r="AF85" s="276">
        <v>20215</v>
      </c>
      <c r="AG85" s="276">
        <v>0</v>
      </c>
      <c r="AH85" s="276">
        <v>14783</v>
      </c>
      <c r="AI85" s="276">
        <v>0</v>
      </c>
      <c r="AJ85" s="276">
        <v>6791</v>
      </c>
      <c r="AK85" s="276">
        <v>0</v>
      </c>
      <c r="AL85" s="276">
        <v>9112</v>
      </c>
      <c r="AM85" s="276">
        <v>0</v>
      </c>
      <c r="AN85" s="276">
        <v>8996</v>
      </c>
      <c r="AO85" s="276">
        <v>0</v>
      </c>
      <c r="AP85" s="276">
        <v>1082</v>
      </c>
      <c r="AQ85" s="276">
        <v>0</v>
      </c>
      <c r="AR85" s="276">
        <v>6268</v>
      </c>
      <c r="AS85" s="276">
        <v>0</v>
      </c>
      <c r="AT85" s="276">
        <v>7345</v>
      </c>
      <c r="AU85" s="276">
        <v>0</v>
      </c>
      <c r="AV85" s="276">
        <v>4920</v>
      </c>
      <c r="AW85" s="276">
        <v>0</v>
      </c>
      <c r="AX85" s="276">
        <v>3033</v>
      </c>
      <c r="AY85" s="276">
        <v>0</v>
      </c>
    </row>
    <row r="86" spans="2:51">
      <c r="B86" s="274">
        <v>10258</v>
      </c>
      <c r="C86" s="274" t="s">
        <v>89</v>
      </c>
      <c r="D86" s="276">
        <v>6560</v>
      </c>
      <c r="E86" s="276">
        <v>0</v>
      </c>
      <c r="F86" s="276">
        <v>7048</v>
      </c>
      <c r="G86" s="276">
        <v>0</v>
      </c>
      <c r="H86" s="276">
        <v>8550</v>
      </c>
      <c r="I86" s="276">
        <v>0</v>
      </c>
      <c r="J86" s="276">
        <v>13745</v>
      </c>
      <c r="K86" s="276">
        <v>0</v>
      </c>
      <c r="L86" s="276">
        <v>7177</v>
      </c>
      <c r="M86" s="276">
        <v>0</v>
      </c>
      <c r="N86" s="276">
        <v>8555</v>
      </c>
      <c r="O86" s="276">
        <v>0</v>
      </c>
      <c r="P86" s="276">
        <v>6562</v>
      </c>
      <c r="Q86" s="276">
        <v>0</v>
      </c>
      <c r="R86" s="276">
        <v>3327</v>
      </c>
      <c r="S86" s="276">
        <v>0</v>
      </c>
      <c r="T86" s="276">
        <v>8829</v>
      </c>
      <c r="U86" s="276">
        <v>0</v>
      </c>
      <c r="V86" s="276">
        <v>8555</v>
      </c>
      <c r="W86" s="276">
        <v>0</v>
      </c>
      <c r="X86" s="276">
        <v>4365</v>
      </c>
      <c r="Y86" s="276">
        <v>0</v>
      </c>
      <c r="Z86" s="276">
        <v>8525</v>
      </c>
      <c r="AA86" s="276">
        <v>0</v>
      </c>
      <c r="AB86" s="276">
        <v>6626</v>
      </c>
      <c r="AC86" s="276">
        <v>0</v>
      </c>
      <c r="AD86" s="276">
        <v>4845</v>
      </c>
      <c r="AE86" s="276">
        <v>0</v>
      </c>
      <c r="AF86" s="276">
        <v>11315</v>
      </c>
      <c r="AG86" s="276">
        <v>0</v>
      </c>
      <c r="AH86" s="276">
        <v>11119</v>
      </c>
      <c r="AI86" s="276">
        <v>0</v>
      </c>
      <c r="AJ86" s="276">
        <v>7849</v>
      </c>
      <c r="AK86" s="276">
        <v>0</v>
      </c>
      <c r="AL86" s="276">
        <v>10555</v>
      </c>
      <c r="AM86" s="276">
        <v>0</v>
      </c>
      <c r="AN86" s="276">
        <v>6629</v>
      </c>
      <c r="AO86" s="276">
        <v>0</v>
      </c>
      <c r="AP86" s="276">
        <v>3381</v>
      </c>
      <c r="AQ86" s="276">
        <v>0</v>
      </c>
      <c r="AR86" s="276">
        <v>8874</v>
      </c>
      <c r="AS86" s="276">
        <v>0</v>
      </c>
      <c r="AT86" s="276">
        <v>8591</v>
      </c>
      <c r="AU86" s="276">
        <v>0</v>
      </c>
      <c r="AV86" s="276">
        <v>4391</v>
      </c>
      <c r="AW86" s="276">
        <v>0</v>
      </c>
      <c r="AX86" s="276">
        <v>8572</v>
      </c>
      <c r="AY86" s="276">
        <v>0</v>
      </c>
    </row>
    <row r="87" spans="2:51">
      <c r="B87" s="274">
        <v>10259</v>
      </c>
      <c r="C87" s="274" t="s">
        <v>90</v>
      </c>
      <c r="D87" s="276">
        <v>4848</v>
      </c>
      <c r="E87" s="276">
        <v>0</v>
      </c>
      <c r="F87" s="276">
        <v>6175</v>
      </c>
      <c r="G87" s="276">
        <v>0</v>
      </c>
      <c r="H87" s="276">
        <v>5907</v>
      </c>
      <c r="I87" s="276">
        <v>0</v>
      </c>
      <c r="J87" s="276">
        <v>9004</v>
      </c>
      <c r="K87" s="276">
        <v>0</v>
      </c>
      <c r="L87" s="276">
        <v>5026</v>
      </c>
      <c r="M87" s="276">
        <v>0</v>
      </c>
      <c r="N87" s="276">
        <v>5572</v>
      </c>
      <c r="O87" s="276">
        <v>0</v>
      </c>
      <c r="P87" s="276">
        <v>5105</v>
      </c>
      <c r="Q87" s="276">
        <v>0</v>
      </c>
      <c r="R87" s="276">
        <v>5062</v>
      </c>
      <c r="S87" s="276">
        <v>0</v>
      </c>
      <c r="T87" s="276">
        <v>6630</v>
      </c>
      <c r="U87" s="276">
        <v>0</v>
      </c>
      <c r="V87" s="276">
        <v>6689</v>
      </c>
      <c r="W87" s="276">
        <v>0</v>
      </c>
      <c r="X87" s="276">
        <v>4769</v>
      </c>
      <c r="Y87" s="276">
        <v>0</v>
      </c>
      <c r="Z87" s="276">
        <v>7813</v>
      </c>
      <c r="AA87" s="276">
        <v>0</v>
      </c>
      <c r="AB87" s="276">
        <v>4904</v>
      </c>
      <c r="AC87" s="276">
        <v>0</v>
      </c>
      <c r="AD87" s="276">
        <v>4922</v>
      </c>
      <c r="AE87" s="276">
        <v>0</v>
      </c>
      <c r="AF87" s="276">
        <v>7474</v>
      </c>
      <c r="AG87" s="276">
        <v>0</v>
      </c>
      <c r="AH87" s="276">
        <v>7596</v>
      </c>
      <c r="AI87" s="276">
        <v>0</v>
      </c>
      <c r="AJ87" s="276">
        <v>5342</v>
      </c>
      <c r="AK87" s="276">
        <v>0</v>
      </c>
      <c r="AL87" s="276">
        <v>6739</v>
      </c>
      <c r="AM87" s="276">
        <v>0</v>
      </c>
      <c r="AN87" s="276">
        <v>5154</v>
      </c>
      <c r="AO87" s="276">
        <v>0</v>
      </c>
      <c r="AP87" s="276">
        <v>5107</v>
      </c>
      <c r="AQ87" s="276">
        <v>0</v>
      </c>
      <c r="AR87" s="276">
        <v>6680</v>
      </c>
      <c r="AS87" s="276">
        <v>0</v>
      </c>
      <c r="AT87" s="276">
        <v>6737</v>
      </c>
      <c r="AU87" s="276">
        <v>0</v>
      </c>
      <c r="AV87" s="276">
        <v>4811</v>
      </c>
      <c r="AW87" s="276">
        <v>0</v>
      </c>
      <c r="AX87" s="276">
        <v>7863</v>
      </c>
      <c r="AY87" s="276">
        <v>0</v>
      </c>
    </row>
    <row r="88" spans="2:51">
      <c r="B88" s="274">
        <v>10260</v>
      </c>
      <c r="C88" s="274" t="s">
        <v>91</v>
      </c>
      <c r="D88" s="276">
        <v>3662</v>
      </c>
      <c r="E88" s="276">
        <v>0</v>
      </c>
      <c r="F88" s="276">
        <v>2452</v>
      </c>
      <c r="G88" s="276">
        <v>0</v>
      </c>
      <c r="H88" s="276">
        <v>4834</v>
      </c>
      <c r="I88" s="276">
        <v>0</v>
      </c>
      <c r="J88" s="276">
        <v>5150</v>
      </c>
      <c r="K88" s="276">
        <v>0</v>
      </c>
      <c r="L88" s="276">
        <v>3162</v>
      </c>
      <c r="M88" s="276">
        <v>0</v>
      </c>
      <c r="N88" s="276">
        <v>2798</v>
      </c>
      <c r="O88" s="276">
        <v>0</v>
      </c>
      <c r="P88" s="276">
        <v>3458</v>
      </c>
      <c r="Q88" s="276">
        <v>0</v>
      </c>
      <c r="R88" s="276">
        <v>1377</v>
      </c>
      <c r="S88" s="276">
        <v>0</v>
      </c>
      <c r="T88" s="276">
        <v>3367</v>
      </c>
      <c r="U88" s="276">
        <v>0</v>
      </c>
      <c r="V88" s="276">
        <v>4941</v>
      </c>
      <c r="W88" s="276">
        <v>0</v>
      </c>
      <c r="X88" s="276">
        <v>3295</v>
      </c>
      <c r="Y88" s="276">
        <v>0</v>
      </c>
      <c r="Z88" s="276">
        <v>4330</v>
      </c>
      <c r="AA88" s="276">
        <v>0</v>
      </c>
      <c r="AB88" s="276">
        <v>3689</v>
      </c>
      <c r="AC88" s="276">
        <v>0</v>
      </c>
      <c r="AD88" s="276">
        <v>1217</v>
      </c>
      <c r="AE88" s="276">
        <v>0</v>
      </c>
      <c r="AF88" s="276">
        <v>6267</v>
      </c>
      <c r="AG88" s="276">
        <v>0</v>
      </c>
      <c r="AH88" s="276">
        <v>3767</v>
      </c>
      <c r="AI88" s="276">
        <v>0</v>
      </c>
      <c r="AJ88" s="276">
        <v>3259</v>
      </c>
      <c r="AK88" s="276">
        <v>0</v>
      </c>
      <c r="AL88" s="276">
        <v>3942</v>
      </c>
      <c r="AM88" s="276">
        <v>0</v>
      </c>
      <c r="AN88" s="276">
        <v>3480</v>
      </c>
      <c r="AO88" s="276">
        <v>0</v>
      </c>
      <c r="AP88" s="276">
        <v>1400</v>
      </c>
      <c r="AQ88" s="276">
        <v>0</v>
      </c>
      <c r="AR88" s="276">
        <v>3411</v>
      </c>
      <c r="AS88" s="276">
        <v>0</v>
      </c>
      <c r="AT88" s="276">
        <v>4987</v>
      </c>
      <c r="AU88" s="276">
        <v>0</v>
      </c>
      <c r="AV88" s="276">
        <v>3335</v>
      </c>
      <c r="AW88" s="276">
        <v>0</v>
      </c>
      <c r="AX88" s="276">
        <v>4368</v>
      </c>
      <c r="AY88" s="276">
        <v>0</v>
      </c>
    </row>
    <row r="89" spans="2:51">
      <c r="B89" s="274">
        <v>10273</v>
      </c>
      <c r="C89" s="274" t="s">
        <v>92</v>
      </c>
      <c r="D89" s="276">
        <v>1585</v>
      </c>
      <c r="E89" s="276">
        <v>0</v>
      </c>
      <c r="F89" s="276">
        <v>1091</v>
      </c>
      <c r="G89" s="276">
        <v>0</v>
      </c>
      <c r="H89" s="276">
        <v>2004</v>
      </c>
      <c r="I89" s="276">
        <v>0</v>
      </c>
      <c r="J89" s="276">
        <v>1380</v>
      </c>
      <c r="K89" s="276">
        <v>0</v>
      </c>
      <c r="L89" s="276">
        <v>1438</v>
      </c>
      <c r="M89" s="276">
        <v>0</v>
      </c>
      <c r="N89" s="276">
        <v>866</v>
      </c>
      <c r="O89" s="276">
        <v>0</v>
      </c>
      <c r="P89" s="276">
        <v>588</v>
      </c>
      <c r="Q89" s="276">
        <v>0</v>
      </c>
      <c r="R89" s="276">
        <v>1239</v>
      </c>
      <c r="S89" s="276">
        <v>0</v>
      </c>
      <c r="T89" s="276">
        <v>2171</v>
      </c>
      <c r="U89" s="276">
        <v>0</v>
      </c>
      <c r="V89" s="276">
        <v>2009</v>
      </c>
      <c r="W89" s="276">
        <v>0</v>
      </c>
      <c r="X89" s="276">
        <v>1899</v>
      </c>
      <c r="Y89" s="276">
        <v>0</v>
      </c>
      <c r="Z89" s="276">
        <v>2069</v>
      </c>
      <c r="AA89" s="276">
        <v>0</v>
      </c>
      <c r="AB89" s="276">
        <v>2250</v>
      </c>
      <c r="AC89" s="276">
        <v>0</v>
      </c>
      <c r="AD89" s="276">
        <v>868</v>
      </c>
      <c r="AE89" s="276">
        <v>0</v>
      </c>
      <c r="AF89" s="276">
        <v>2313</v>
      </c>
      <c r="AG89" s="276">
        <v>0</v>
      </c>
      <c r="AH89" s="276">
        <v>1134</v>
      </c>
      <c r="AI89" s="276">
        <v>0</v>
      </c>
      <c r="AJ89" s="276">
        <v>1426</v>
      </c>
      <c r="AK89" s="276">
        <v>0</v>
      </c>
      <c r="AL89" s="276">
        <v>1088</v>
      </c>
      <c r="AM89" s="276">
        <v>0</v>
      </c>
      <c r="AN89" s="276">
        <v>1225</v>
      </c>
      <c r="AO89" s="276">
        <v>0</v>
      </c>
      <c r="AP89" s="276">
        <v>1537</v>
      </c>
      <c r="AQ89" s="276">
        <v>0</v>
      </c>
      <c r="AR89" s="276">
        <v>2416</v>
      </c>
      <c r="AS89" s="276">
        <v>0</v>
      </c>
      <c r="AT89" s="276">
        <v>2166</v>
      </c>
      <c r="AU89" s="276">
        <v>0</v>
      </c>
      <c r="AV89" s="276">
        <v>2198</v>
      </c>
      <c r="AW89" s="276">
        <v>0</v>
      </c>
      <c r="AX89" s="276">
        <v>2433</v>
      </c>
      <c r="AY89" s="276">
        <v>0</v>
      </c>
    </row>
    <row r="90" spans="2:51">
      <c r="B90" s="274">
        <v>10278</v>
      </c>
      <c r="C90" s="274" t="s">
        <v>93</v>
      </c>
      <c r="D90" s="276">
        <v>0</v>
      </c>
      <c r="E90" s="276">
        <v>0</v>
      </c>
      <c r="F90" s="276">
        <v>0</v>
      </c>
      <c r="G90" s="276">
        <v>0</v>
      </c>
      <c r="H90" s="276">
        <v>0</v>
      </c>
      <c r="I90" s="276">
        <v>0</v>
      </c>
      <c r="J90" s="276">
        <v>0</v>
      </c>
      <c r="K90" s="276">
        <v>0</v>
      </c>
      <c r="L90" s="276">
        <v>0</v>
      </c>
      <c r="M90" s="276">
        <v>0</v>
      </c>
      <c r="N90" s="276">
        <v>0</v>
      </c>
      <c r="O90" s="276">
        <v>0</v>
      </c>
      <c r="P90" s="276">
        <v>0</v>
      </c>
      <c r="Q90" s="276">
        <v>0</v>
      </c>
      <c r="R90" s="276">
        <v>0</v>
      </c>
      <c r="S90" s="276">
        <v>0</v>
      </c>
      <c r="T90" s="276">
        <v>0</v>
      </c>
      <c r="U90" s="276">
        <v>0</v>
      </c>
      <c r="V90" s="276">
        <v>0</v>
      </c>
      <c r="W90" s="276">
        <v>0</v>
      </c>
      <c r="X90" s="276">
        <v>0</v>
      </c>
      <c r="Y90" s="276">
        <v>0</v>
      </c>
      <c r="Z90" s="276">
        <v>0</v>
      </c>
      <c r="AA90" s="276">
        <v>0</v>
      </c>
      <c r="AB90" s="276">
        <v>0</v>
      </c>
      <c r="AC90" s="276">
        <v>0</v>
      </c>
      <c r="AD90" s="276">
        <v>0</v>
      </c>
      <c r="AE90" s="276">
        <v>0</v>
      </c>
      <c r="AF90" s="276">
        <v>0</v>
      </c>
      <c r="AG90" s="276">
        <v>0</v>
      </c>
      <c r="AH90" s="276">
        <v>0</v>
      </c>
      <c r="AI90" s="276">
        <v>0</v>
      </c>
      <c r="AJ90" s="276">
        <v>0</v>
      </c>
      <c r="AK90" s="276">
        <v>0</v>
      </c>
      <c r="AL90" s="276">
        <v>0</v>
      </c>
      <c r="AM90" s="276">
        <v>0</v>
      </c>
      <c r="AN90" s="276">
        <v>0</v>
      </c>
      <c r="AO90" s="276">
        <v>0</v>
      </c>
      <c r="AP90" s="276">
        <v>0</v>
      </c>
      <c r="AQ90" s="276">
        <v>0</v>
      </c>
      <c r="AR90" s="276">
        <v>0</v>
      </c>
      <c r="AS90" s="276">
        <v>0</v>
      </c>
      <c r="AT90" s="276">
        <v>0</v>
      </c>
      <c r="AU90" s="276">
        <v>0</v>
      </c>
      <c r="AV90" s="276">
        <v>0</v>
      </c>
      <c r="AW90" s="276">
        <v>0</v>
      </c>
      <c r="AX90" s="276">
        <v>0</v>
      </c>
      <c r="AY90" s="276">
        <v>0</v>
      </c>
    </row>
    <row r="91" spans="2:51">
      <c r="B91" s="274">
        <v>10279</v>
      </c>
      <c r="C91" s="274" t="s">
        <v>94</v>
      </c>
      <c r="D91" s="276">
        <v>0</v>
      </c>
      <c r="E91" s="276">
        <v>0</v>
      </c>
      <c r="F91" s="276">
        <v>0</v>
      </c>
      <c r="G91" s="276">
        <v>0</v>
      </c>
      <c r="H91" s="276">
        <v>0</v>
      </c>
      <c r="I91" s="276">
        <v>0</v>
      </c>
      <c r="J91" s="276">
        <v>0</v>
      </c>
      <c r="K91" s="276">
        <v>0</v>
      </c>
      <c r="L91" s="276">
        <v>0</v>
      </c>
      <c r="M91" s="276">
        <v>0</v>
      </c>
      <c r="N91" s="276">
        <v>0</v>
      </c>
      <c r="O91" s="276">
        <v>0</v>
      </c>
      <c r="P91" s="276">
        <v>0</v>
      </c>
      <c r="Q91" s="276">
        <v>0</v>
      </c>
      <c r="R91" s="276">
        <v>0</v>
      </c>
      <c r="S91" s="276">
        <v>0</v>
      </c>
      <c r="T91" s="276">
        <v>0</v>
      </c>
      <c r="U91" s="276">
        <v>0</v>
      </c>
      <c r="V91" s="276">
        <v>0</v>
      </c>
      <c r="W91" s="276">
        <v>0</v>
      </c>
      <c r="X91" s="276">
        <v>0</v>
      </c>
      <c r="Y91" s="276">
        <v>0</v>
      </c>
      <c r="Z91" s="276">
        <v>0</v>
      </c>
      <c r="AA91" s="276">
        <v>0</v>
      </c>
      <c r="AB91" s="276">
        <v>0</v>
      </c>
      <c r="AC91" s="276">
        <v>0</v>
      </c>
      <c r="AD91" s="276">
        <v>0</v>
      </c>
      <c r="AE91" s="276">
        <v>0</v>
      </c>
      <c r="AF91" s="276">
        <v>0</v>
      </c>
      <c r="AG91" s="276">
        <v>0</v>
      </c>
      <c r="AH91" s="276">
        <v>0</v>
      </c>
      <c r="AI91" s="276">
        <v>0</v>
      </c>
      <c r="AJ91" s="276">
        <v>0</v>
      </c>
      <c r="AK91" s="276">
        <v>0</v>
      </c>
      <c r="AL91" s="276">
        <v>0</v>
      </c>
      <c r="AM91" s="276">
        <v>0</v>
      </c>
      <c r="AN91" s="276">
        <v>0</v>
      </c>
      <c r="AO91" s="276">
        <v>0</v>
      </c>
      <c r="AP91" s="276">
        <v>0</v>
      </c>
      <c r="AQ91" s="276">
        <v>0</v>
      </c>
      <c r="AR91" s="276">
        <v>0</v>
      </c>
      <c r="AS91" s="276">
        <v>0</v>
      </c>
      <c r="AT91" s="276">
        <v>0</v>
      </c>
      <c r="AU91" s="276">
        <v>0</v>
      </c>
      <c r="AV91" s="276">
        <v>0</v>
      </c>
      <c r="AW91" s="276">
        <v>0</v>
      </c>
      <c r="AX91" s="276">
        <v>0</v>
      </c>
      <c r="AY91" s="276">
        <v>0</v>
      </c>
    </row>
    <row r="92" spans="2:51">
      <c r="B92" s="274">
        <v>10284</v>
      </c>
      <c r="C92" s="274" t="s">
        <v>95</v>
      </c>
      <c r="D92" s="276">
        <v>666</v>
      </c>
      <c r="E92" s="276">
        <v>0</v>
      </c>
      <c r="F92" s="276">
        <v>728</v>
      </c>
      <c r="G92" s="276">
        <v>0</v>
      </c>
      <c r="H92" s="276">
        <v>4155</v>
      </c>
      <c r="I92" s="276">
        <v>0</v>
      </c>
      <c r="J92" s="276">
        <v>3437</v>
      </c>
      <c r="K92" s="276">
        <v>0</v>
      </c>
      <c r="L92" s="276">
        <v>1424</v>
      </c>
      <c r="M92" s="276">
        <v>0</v>
      </c>
      <c r="N92" s="276">
        <v>2587</v>
      </c>
      <c r="O92" s="276">
        <v>0</v>
      </c>
      <c r="P92" s="276">
        <v>0</v>
      </c>
      <c r="Q92" s="276">
        <v>0</v>
      </c>
      <c r="R92" s="276">
        <v>0</v>
      </c>
      <c r="S92" s="276">
        <v>0</v>
      </c>
      <c r="T92" s="276">
        <v>353</v>
      </c>
      <c r="U92" s="276">
        <v>0</v>
      </c>
      <c r="V92" s="276">
        <v>1085</v>
      </c>
      <c r="W92" s="276">
        <v>0</v>
      </c>
      <c r="X92" s="276">
        <v>1503</v>
      </c>
      <c r="Y92" s="276">
        <v>0</v>
      </c>
      <c r="Z92" s="276">
        <v>0</v>
      </c>
      <c r="AA92" s="276">
        <v>0</v>
      </c>
      <c r="AB92" s="276">
        <v>666</v>
      </c>
      <c r="AC92" s="276">
        <v>0</v>
      </c>
      <c r="AD92" s="276">
        <v>764</v>
      </c>
      <c r="AE92" s="276">
        <v>0</v>
      </c>
      <c r="AF92" s="276">
        <v>4119</v>
      </c>
      <c r="AG92" s="276">
        <v>0</v>
      </c>
      <c r="AH92" s="276">
        <v>3469</v>
      </c>
      <c r="AI92" s="276">
        <v>0</v>
      </c>
      <c r="AJ92" s="276">
        <v>1430</v>
      </c>
      <c r="AK92" s="276">
        <v>0</v>
      </c>
      <c r="AL92" s="276">
        <v>2553</v>
      </c>
      <c r="AM92" s="276">
        <v>0</v>
      </c>
      <c r="AN92" s="276">
        <v>887</v>
      </c>
      <c r="AO92" s="276">
        <v>0</v>
      </c>
      <c r="AP92" s="276">
        <v>0</v>
      </c>
      <c r="AQ92" s="276">
        <v>0</v>
      </c>
      <c r="AR92" s="276">
        <v>353</v>
      </c>
      <c r="AS92" s="276">
        <v>0</v>
      </c>
      <c r="AT92" s="276">
        <v>1085</v>
      </c>
      <c r="AU92" s="276">
        <v>0</v>
      </c>
      <c r="AV92" s="276">
        <v>1503</v>
      </c>
      <c r="AW92" s="276">
        <v>0</v>
      </c>
      <c r="AX92" s="276">
        <v>0</v>
      </c>
      <c r="AY92" s="276">
        <v>0</v>
      </c>
    </row>
    <row r="93" spans="2:51">
      <c r="B93" s="274">
        <v>10285</v>
      </c>
      <c r="C93" s="274" t="s">
        <v>96</v>
      </c>
      <c r="D93" s="276">
        <v>0</v>
      </c>
      <c r="E93" s="276">
        <v>0</v>
      </c>
      <c r="F93" s="276">
        <v>0</v>
      </c>
      <c r="G93" s="276">
        <v>0</v>
      </c>
      <c r="H93" s="276">
        <v>0</v>
      </c>
      <c r="I93" s="276">
        <v>0</v>
      </c>
      <c r="J93" s="276">
        <v>0</v>
      </c>
      <c r="K93" s="276">
        <v>0</v>
      </c>
      <c r="L93" s="276">
        <v>0</v>
      </c>
      <c r="M93" s="276">
        <v>0</v>
      </c>
      <c r="N93" s="276">
        <v>0</v>
      </c>
      <c r="O93" s="276">
        <v>0</v>
      </c>
      <c r="P93" s="276">
        <v>0</v>
      </c>
      <c r="Q93" s="276">
        <v>0</v>
      </c>
      <c r="R93" s="276">
        <v>0</v>
      </c>
      <c r="S93" s="276">
        <v>0</v>
      </c>
      <c r="T93" s="276">
        <v>0</v>
      </c>
      <c r="U93" s="276">
        <v>0</v>
      </c>
      <c r="V93" s="276">
        <v>0</v>
      </c>
      <c r="W93" s="276">
        <v>0</v>
      </c>
      <c r="X93" s="276">
        <v>0</v>
      </c>
      <c r="Y93" s="276">
        <v>0</v>
      </c>
      <c r="Z93" s="276">
        <v>0</v>
      </c>
      <c r="AA93" s="276">
        <v>0</v>
      </c>
      <c r="AB93" s="276">
        <v>0</v>
      </c>
      <c r="AC93" s="276">
        <v>0</v>
      </c>
      <c r="AD93" s="276">
        <v>0</v>
      </c>
      <c r="AE93" s="276">
        <v>0</v>
      </c>
      <c r="AF93" s="276">
        <v>0</v>
      </c>
      <c r="AG93" s="276">
        <v>0</v>
      </c>
      <c r="AH93" s="276">
        <v>0</v>
      </c>
      <c r="AI93" s="276">
        <v>0</v>
      </c>
      <c r="AJ93" s="276">
        <v>0</v>
      </c>
      <c r="AK93" s="276">
        <v>0</v>
      </c>
      <c r="AL93" s="276">
        <v>0</v>
      </c>
      <c r="AM93" s="276">
        <v>0</v>
      </c>
      <c r="AN93" s="276">
        <v>0</v>
      </c>
      <c r="AO93" s="276">
        <v>0</v>
      </c>
      <c r="AP93" s="276">
        <v>0</v>
      </c>
      <c r="AQ93" s="276">
        <v>0</v>
      </c>
      <c r="AR93" s="276">
        <v>0</v>
      </c>
      <c r="AS93" s="276">
        <v>0</v>
      </c>
      <c r="AT93" s="276">
        <v>0</v>
      </c>
      <c r="AU93" s="276">
        <v>0</v>
      </c>
      <c r="AV93" s="276">
        <v>0</v>
      </c>
      <c r="AW93" s="276">
        <v>0</v>
      </c>
      <c r="AX93" s="276">
        <v>0</v>
      </c>
      <c r="AY93" s="276">
        <v>0</v>
      </c>
    </row>
    <row r="94" spans="2:51">
      <c r="B94" s="274">
        <v>10286</v>
      </c>
      <c r="C94" s="274" t="s">
        <v>97</v>
      </c>
      <c r="D94" s="276">
        <v>0</v>
      </c>
      <c r="E94" s="276">
        <v>0</v>
      </c>
      <c r="F94" s="276">
        <v>0</v>
      </c>
      <c r="G94" s="276">
        <v>0</v>
      </c>
      <c r="H94" s="276">
        <v>0</v>
      </c>
      <c r="I94" s="276">
        <v>0</v>
      </c>
      <c r="J94" s="276">
        <v>0</v>
      </c>
      <c r="K94" s="276">
        <v>0</v>
      </c>
      <c r="L94" s="276">
        <v>0</v>
      </c>
      <c r="M94" s="276">
        <v>0</v>
      </c>
      <c r="N94" s="276">
        <v>0</v>
      </c>
      <c r="O94" s="276">
        <v>0</v>
      </c>
      <c r="P94" s="276">
        <v>0</v>
      </c>
      <c r="Q94" s="276">
        <v>0</v>
      </c>
      <c r="R94" s="276">
        <v>0</v>
      </c>
      <c r="S94" s="276">
        <v>0</v>
      </c>
      <c r="T94" s="276">
        <v>0</v>
      </c>
      <c r="U94" s="276">
        <v>0</v>
      </c>
      <c r="V94" s="276">
        <v>0</v>
      </c>
      <c r="W94" s="276">
        <v>0</v>
      </c>
      <c r="X94" s="276">
        <v>0</v>
      </c>
      <c r="Y94" s="276">
        <v>0</v>
      </c>
      <c r="Z94" s="276">
        <v>0</v>
      </c>
      <c r="AA94" s="276">
        <v>0</v>
      </c>
      <c r="AB94" s="276">
        <v>0</v>
      </c>
      <c r="AC94" s="276">
        <v>0</v>
      </c>
      <c r="AD94" s="276">
        <v>0</v>
      </c>
      <c r="AE94" s="276">
        <v>0</v>
      </c>
      <c r="AF94" s="276">
        <v>0</v>
      </c>
      <c r="AG94" s="276">
        <v>0</v>
      </c>
      <c r="AH94" s="276">
        <v>0</v>
      </c>
      <c r="AI94" s="276">
        <v>0</v>
      </c>
      <c r="AJ94" s="276">
        <v>0</v>
      </c>
      <c r="AK94" s="276">
        <v>0</v>
      </c>
      <c r="AL94" s="276">
        <v>0</v>
      </c>
      <c r="AM94" s="276">
        <v>0</v>
      </c>
      <c r="AN94" s="276">
        <v>0</v>
      </c>
      <c r="AO94" s="276">
        <v>0</v>
      </c>
      <c r="AP94" s="276">
        <v>0</v>
      </c>
      <c r="AQ94" s="276">
        <v>0</v>
      </c>
      <c r="AR94" s="276">
        <v>0</v>
      </c>
      <c r="AS94" s="276">
        <v>0</v>
      </c>
      <c r="AT94" s="276">
        <v>0</v>
      </c>
      <c r="AU94" s="276">
        <v>0</v>
      </c>
      <c r="AV94" s="276">
        <v>0</v>
      </c>
      <c r="AW94" s="276">
        <v>0</v>
      </c>
      <c r="AX94" s="276">
        <v>0</v>
      </c>
      <c r="AY94" s="276">
        <v>0</v>
      </c>
    </row>
    <row r="95" spans="2:51">
      <c r="B95" s="274">
        <v>10288</v>
      </c>
      <c r="C95" s="274" t="s">
        <v>98</v>
      </c>
      <c r="D95" s="276">
        <v>0</v>
      </c>
      <c r="E95" s="276">
        <v>0</v>
      </c>
      <c r="F95" s="276">
        <v>0</v>
      </c>
      <c r="G95" s="276">
        <v>0</v>
      </c>
      <c r="H95" s="276">
        <v>0</v>
      </c>
      <c r="I95" s="276">
        <v>0</v>
      </c>
      <c r="J95" s="276">
        <v>0</v>
      </c>
      <c r="K95" s="276">
        <v>0</v>
      </c>
      <c r="L95" s="276">
        <v>0</v>
      </c>
      <c r="M95" s="276">
        <v>0</v>
      </c>
      <c r="N95" s="276">
        <v>0</v>
      </c>
      <c r="O95" s="276">
        <v>0</v>
      </c>
      <c r="P95" s="276">
        <v>0</v>
      </c>
      <c r="Q95" s="276">
        <v>0</v>
      </c>
      <c r="R95" s="276">
        <v>0</v>
      </c>
      <c r="S95" s="276">
        <v>0</v>
      </c>
      <c r="T95" s="276">
        <v>0</v>
      </c>
      <c r="U95" s="276">
        <v>0</v>
      </c>
      <c r="V95" s="276">
        <v>0</v>
      </c>
      <c r="W95" s="276">
        <v>0</v>
      </c>
      <c r="X95" s="276">
        <v>0</v>
      </c>
      <c r="Y95" s="276">
        <v>0</v>
      </c>
      <c r="Z95" s="276">
        <v>0</v>
      </c>
      <c r="AA95" s="276">
        <v>0</v>
      </c>
      <c r="AB95" s="276">
        <v>0</v>
      </c>
      <c r="AC95" s="276">
        <v>0</v>
      </c>
      <c r="AD95" s="276">
        <v>0</v>
      </c>
      <c r="AE95" s="276">
        <v>0</v>
      </c>
      <c r="AF95" s="276">
        <v>0</v>
      </c>
      <c r="AG95" s="276">
        <v>0</v>
      </c>
      <c r="AH95" s="276">
        <v>0</v>
      </c>
      <c r="AI95" s="276">
        <v>0</v>
      </c>
      <c r="AJ95" s="276">
        <v>0</v>
      </c>
      <c r="AK95" s="276">
        <v>0</v>
      </c>
      <c r="AL95" s="276">
        <v>0</v>
      </c>
      <c r="AM95" s="276">
        <v>0</v>
      </c>
      <c r="AN95" s="276">
        <v>0</v>
      </c>
      <c r="AO95" s="276">
        <v>0</v>
      </c>
      <c r="AP95" s="276">
        <v>0</v>
      </c>
      <c r="AQ95" s="276">
        <v>0</v>
      </c>
      <c r="AR95" s="276">
        <v>0</v>
      </c>
      <c r="AS95" s="276">
        <v>0</v>
      </c>
      <c r="AT95" s="276">
        <v>0</v>
      </c>
      <c r="AU95" s="276">
        <v>0</v>
      </c>
      <c r="AV95" s="276">
        <v>0</v>
      </c>
      <c r="AW95" s="276">
        <v>0</v>
      </c>
      <c r="AX95" s="276">
        <v>0</v>
      </c>
      <c r="AY95" s="276">
        <v>0</v>
      </c>
    </row>
    <row r="96" spans="2:51">
      <c r="B96" s="274">
        <v>10291</v>
      </c>
      <c r="C96" s="274" t="s">
        <v>99</v>
      </c>
      <c r="D96" s="276">
        <v>16147</v>
      </c>
      <c r="E96" s="276">
        <v>0</v>
      </c>
      <c r="F96" s="276">
        <v>12702</v>
      </c>
      <c r="G96" s="276">
        <v>0</v>
      </c>
      <c r="H96" s="276">
        <v>21719</v>
      </c>
      <c r="I96" s="276">
        <v>0</v>
      </c>
      <c r="J96" s="276">
        <v>18516</v>
      </c>
      <c r="K96" s="276">
        <v>0</v>
      </c>
      <c r="L96" s="276">
        <v>17744</v>
      </c>
      <c r="M96" s="276">
        <v>0</v>
      </c>
      <c r="N96" s="276">
        <v>16812</v>
      </c>
      <c r="O96" s="276">
        <v>0</v>
      </c>
      <c r="P96" s="276">
        <v>16185</v>
      </c>
      <c r="Q96" s="276">
        <v>0</v>
      </c>
      <c r="R96" s="276">
        <v>14032</v>
      </c>
      <c r="S96" s="276">
        <v>0</v>
      </c>
      <c r="T96" s="276">
        <v>17030</v>
      </c>
      <c r="U96" s="276">
        <v>0</v>
      </c>
      <c r="V96" s="276">
        <v>16067</v>
      </c>
      <c r="W96" s="276">
        <v>0</v>
      </c>
      <c r="X96" s="276">
        <v>16951</v>
      </c>
      <c r="Y96" s="276">
        <v>0</v>
      </c>
      <c r="Z96" s="276">
        <v>12790</v>
      </c>
      <c r="AA96" s="276">
        <v>0</v>
      </c>
      <c r="AB96" s="276">
        <v>14138</v>
      </c>
      <c r="AC96" s="276">
        <v>0</v>
      </c>
      <c r="AD96" s="276">
        <v>10510</v>
      </c>
      <c r="AE96" s="276">
        <v>0</v>
      </c>
      <c r="AF96" s="276">
        <v>19737</v>
      </c>
      <c r="AG96" s="276">
        <v>0</v>
      </c>
      <c r="AH96" s="276">
        <v>16335</v>
      </c>
      <c r="AI96" s="276">
        <v>0</v>
      </c>
      <c r="AJ96" s="276">
        <v>11622</v>
      </c>
      <c r="AK96" s="276">
        <v>0</v>
      </c>
      <c r="AL96" s="276">
        <v>14874</v>
      </c>
      <c r="AM96" s="276">
        <v>0</v>
      </c>
      <c r="AN96" s="276">
        <v>16136</v>
      </c>
      <c r="AO96" s="276">
        <v>0</v>
      </c>
      <c r="AP96" s="276">
        <v>14003</v>
      </c>
      <c r="AQ96" s="276">
        <v>0</v>
      </c>
      <c r="AR96" s="276">
        <v>17043</v>
      </c>
      <c r="AS96" s="276">
        <v>0</v>
      </c>
      <c r="AT96" s="276">
        <v>16075</v>
      </c>
      <c r="AU96" s="276">
        <v>0</v>
      </c>
      <c r="AV96" s="276">
        <v>16966</v>
      </c>
      <c r="AW96" s="276">
        <v>0</v>
      </c>
      <c r="AX96" s="276">
        <v>12758</v>
      </c>
      <c r="AY96" s="276">
        <v>0</v>
      </c>
    </row>
    <row r="97" spans="2:51">
      <c r="B97" s="274">
        <v>10294</v>
      </c>
      <c r="C97" s="274" t="s">
        <v>100</v>
      </c>
      <c r="D97" s="276">
        <v>0</v>
      </c>
      <c r="E97" s="276">
        <v>0</v>
      </c>
      <c r="F97" s="276">
        <v>0</v>
      </c>
      <c r="G97" s="276">
        <v>0</v>
      </c>
      <c r="H97" s="276">
        <v>0</v>
      </c>
      <c r="I97" s="276">
        <v>0</v>
      </c>
      <c r="J97" s="276">
        <v>0</v>
      </c>
      <c r="K97" s="276">
        <v>0</v>
      </c>
      <c r="L97" s="276">
        <v>0</v>
      </c>
      <c r="M97" s="276">
        <v>0</v>
      </c>
      <c r="N97" s="276">
        <v>0</v>
      </c>
      <c r="O97" s="276">
        <v>0</v>
      </c>
      <c r="P97" s="276">
        <v>0</v>
      </c>
      <c r="Q97" s="276">
        <v>0</v>
      </c>
      <c r="R97" s="276">
        <v>0</v>
      </c>
      <c r="S97" s="276">
        <v>0</v>
      </c>
      <c r="T97" s="276">
        <v>0</v>
      </c>
      <c r="U97" s="276">
        <v>0</v>
      </c>
      <c r="V97" s="276">
        <v>0</v>
      </c>
      <c r="W97" s="276">
        <v>0</v>
      </c>
      <c r="X97" s="276">
        <v>0</v>
      </c>
      <c r="Y97" s="276">
        <v>0</v>
      </c>
      <c r="Z97" s="276">
        <v>0</v>
      </c>
      <c r="AA97" s="276">
        <v>0</v>
      </c>
      <c r="AB97" s="276">
        <v>0</v>
      </c>
      <c r="AC97" s="276">
        <v>0</v>
      </c>
      <c r="AD97" s="276">
        <v>0</v>
      </c>
      <c r="AE97" s="276">
        <v>0</v>
      </c>
      <c r="AF97" s="276">
        <v>0</v>
      </c>
      <c r="AG97" s="276">
        <v>0</v>
      </c>
      <c r="AH97" s="276">
        <v>0</v>
      </c>
      <c r="AI97" s="276">
        <v>0</v>
      </c>
      <c r="AJ97" s="276">
        <v>0</v>
      </c>
      <c r="AK97" s="276">
        <v>0</v>
      </c>
      <c r="AL97" s="276">
        <v>0</v>
      </c>
      <c r="AM97" s="276">
        <v>0</v>
      </c>
      <c r="AN97" s="276">
        <v>0</v>
      </c>
      <c r="AO97" s="276">
        <v>0</v>
      </c>
      <c r="AP97" s="276">
        <v>0</v>
      </c>
      <c r="AQ97" s="276">
        <v>0</v>
      </c>
      <c r="AR97" s="276">
        <v>0</v>
      </c>
      <c r="AS97" s="276">
        <v>0</v>
      </c>
      <c r="AT97" s="276">
        <v>0</v>
      </c>
      <c r="AU97" s="276">
        <v>0</v>
      </c>
      <c r="AV97" s="276">
        <v>0</v>
      </c>
      <c r="AW97" s="276">
        <v>0</v>
      </c>
      <c r="AX97" s="276">
        <v>0</v>
      </c>
      <c r="AY97" s="276">
        <v>0</v>
      </c>
    </row>
    <row r="98" spans="2:51">
      <c r="B98" s="274">
        <v>10304</v>
      </c>
      <c r="C98" s="274" t="s">
        <v>101</v>
      </c>
      <c r="D98" s="276">
        <v>112</v>
      </c>
      <c r="E98" s="276">
        <v>0</v>
      </c>
      <c r="F98" s="276">
        <v>886</v>
      </c>
      <c r="G98" s="276">
        <v>0</v>
      </c>
      <c r="H98" s="276">
        <v>4649</v>
      </c>
      <c r="I98" s="276">
        <v>0</v>
      </c>
      <c r="J98" s="276">
        <v>5152</v>
      </c>
      <c r="K98" s="276">
        <v>0</v>
      </c>
      <c r="L98" s="276">
        <v>3103</v>
      </c>
      <c r="M98" s="276">
        <v>0</v>
      </c>
      <c r="N98" s="276">
        <v>1234</v>
      </c>
      <c r="O98" s="276">
        <v>0</v>
      </c>
      <c r="P98" s="276">
        <v>641</v>
      </c>
      <c r="Q98" s="276">
        <v>0</v>
      </c>
      <c r="R98" s="276">
        <v>452</v>
      </c>
      <c r="S98" s="276">
        <v>0</v>
      </c>
      <c r="T98" s="276">
        <v>2090</v>
      </c>
      <c r="U98" s="276">
        <v>0</v>
      </c>
      <c r="V98" s="276">
        <v>1962</v>
      </c>
      <c r="W98" s="276">
        <v>0</v>
      </c>
      <c r="X98" s="276">
        <v>2035</v>
      </c>
      <c r="Y98" s="276">
        <v>0</v>
      </c>
      <c r="Z98" s="276">
        <v>2212</v>
      </c>
      <c r="AA98" s="276">
        <v>0</v>
      </c>
      <c r="AB98" s="276">
        <v>172</v>
      </c>
      <c r="AC98" s="276">
        <v>0</v>
      </c>
      <c r="AD98" s="276">
        <v>201</v>
      </c>
      <c r="AE98" s="276">
        <v>0</v>
      </c>
      <c r="AF98" s="276">
        <v>5500</v>
      </c>
      <c r="AG98" s="276">
        <v>0</v>
      </c>
      <c r="AH98" s="276">
        <v>4458</v>
      </c>
      <c r="AI98" s="276">
        <v>0</v>
      </c>
      <c r="AJ98" s="276">
        <v>2938</v>
      </c>
      <c r="AK98" s="276">
        <v>0</v>
      </c>
      <c r="AL98" s="276">
        <v>1900</v>
      </c>
      <c r="AM98" s="276">
        <v>0</v>
      </c>
      <c r="AN98" s="276">
        <v>706</v>
      </c>
      <c r="AO98" s="276">
        <v>0</v>
      </c>
      <c r="AP98" s="276">
        <v>518</v>
      </c>
      <c r="AQ98" s="276">
        <v>0</v>
      </c>
      <c r="AR98" s="276">
        <v>2164</v>
      </c>
      <c r="AS98" s="276">
        <v>0</v>
      </c>
      <c r="AT98" s="276">
        <v>2038</v>
      </c>
      <c r="AU98" s="276">
        <v>0</v>
      </c>
      <c r="AV98" s="276">
        <v>2109</v>
      </c>
      <c r="AW98" s="276">
        <v>0</v>
      </c>
      <c r="AX98" s="276">
        <v>2284</v>
      </c>
      <c r="AY98" s="276">
        <v>0</v>
      </c>
    </row>
    <row r="99" spans="2:51">
      <c r="B99" s="274">
        <v>10306</v>
      </c>
      <c r="C99" s="274" t="s">
        <v>102</v>
      </c>
      <c r="D99" s="276">
        <v>0</v>
      </c>
      <c r="E99" s="276">
        <v>0</v>
      </c>
      <c r="F99" s="276">
        <v>0</v>
      </c>
      <c r="G99" s="276">
        <v>0</v>
      </c>
      <c r="H99" s="276">
        <v>0</v>
      </c>
      <c r="I99" s="276">
        <v>0</v>
      </c>
      <c r="J99" s="276">
        <v>0</v>
      </c>
      <c r="K99" s="276">
        <v>0</v>
      </c>
      <c r="L99" s="276">
        <v>0</v>
      </c>
      <c r="M99" s="276">
        <v>0</v>
      </c>
      <c r="N99" s="276">
        <v>0</v>
      </c>
      <c r="O99" s="276">
        <v>0</v>
      </c>
      <c r="P99" s="276">
        <v>0</v>
      </c>
      <c r="Q99" s="276">
        <v>0</v>
      </c>
      <c r="R99" s="276">
        <v>0</v>
      </c>
      <c r="S99" s="276">
        <v>0</v>
      </c>
      <c r="T99" s="276">
        <v>0</v>
      </c>
      <c r="U99" s="276">
        <v>0</v>
      </c>
      <c r="V99" s="276">
        <v>0</v>
      </c>
      <c r="W99" s="276">
        <v>0</v>
      </c>
      <c r="X99" s="276">
        <v>0</v>
      </c>
      <c r="Y99" s="276">
        <v>0</v>
      </c>
      <c r="Z99" s="276">
        <v>0</v>
      </c>
      <c r="AA99" s="276">
        <v>0</v>
      </c>
      <c r="AB99" s="276">
        <v>0</v>
      </c>
      <c r="AC99" s="276">
        <v>0</v>
      </c>
      <c r="AD99" s="276">
        <v>0</v>
      </c>
      <c r="AE99" s="276">
        <v>0</v>
      </c>
      <c r="AF99" s="276">
        <v>0</v>
      </c>
      <c r="AG99" s="276">
        <v>0</v>
      </c>
      <c r="AH99" s="276">
        <v>0</v>
      </c>
      <c r="AI99" s="276">
        <v>0</v>
      </c>
      <c r="AJ99" s="276">
        <v>0</v>
      </c>
      <c r="AK99" s="276">
        <v>0</v>
      </c>
      <c r="AL99" s="276">
        <v>0</v>
      </c>
      <c r="AM99" s="276">
        <v>0</v>
      </c>
      <c r="AN99" s="276">
        <v>0</v>
      </c>
      <c r="AO99" s="276">
        <v>0</v>
      </c>
      <c r="AP99" s="276">
        <v>0</v>
      </c>
      <c r="AQ99" s="276">
        <v>0</v>
      </c>
      <c r="AR99" s="276">
        <v>0</v>
      </c>
      <c r="AS99" s="276">
        <v>0</v>
      </c>
      <c r="AT99" s="276">
        <v>0</v>
      </c>
      <c r="AU99" s="276">
        <v>0</v>
      </c>
      <c r="AV99" s="276">
        <v>0</v>
      </c>
      <c r="AW99" s="276">
        <v>0</v>
      </c>
      <c r="AX99" s="276">
        <v>0</v>
      </c>
      <c r="AY99" s="276">
        <v>0</v>
      </c>
    </row>
    <row r="100" spans="2:51">
      <c r="B100" s="274">
        <v>10307</v>
      </c>
      <c r="C100" s="274" t="s">
        <v>103</v>
      </c>
      <c r="D100" s="276">
        <v>11863</v>
      </c>
      <c r="E100" s="276">
        <v>0</v>
      </c>
      <c r="F100" s="276">
        <v>2683</v>
      </c>
      <c r="G100" s="276">
        <v>0</v>
      </c>
      <c r="H100" s="276">
        <v>25904</v>
      </c>
      <c r="I100" s="276">
        <v>0</v>
      </c>
      <c r="J100" s="276">
        <v>22374</v>
      </c>
      <c r="K100" s="276">
        <v>0</v>
      </c>
      <c r="L100" s="276">
        <v>14593</v>
      </c>
      <c r="M100" s="276">
        <v>0</v>
      </c>
      <c r="N100" s="276">
        <v>19731</v>
      </c>
      <c r="O100" s="276">
        <v>0</v>
      </c>
      <c r="P100" s="276">
        <v>9342</v>
      </c>
      <c r="Q100" s="276">
        <v>0</v>
      </c>
      <c r="R100" s="276">
        <v>8220</v>
      </c>
      <c r="S100" s="276">
        <v>0</v>
      </c>
      <c r="T100" s="276">
        <v>14226</v>
      </c>
      <c r="U100" s="276">
        <v>0</v>
      </c>
      <c r="V100" s="276">
        <v>15536</v>
      </c>
      <c r="W100" s="276">
        <v>0</v>
      </c>
      <c r="X100" s="276">
        <v>17461</v>
      </c>
      <c r="Y100" s="276">
        <v>0</v>
      </c>
      <c r="Z100" s="276">
        <v>7667</v>
      </c>
      <c r="AA100" s="276">
        <v>0</v>
      </c>
      <c r="AB100" s="276">
        <v>12898</v>
      </c>
      <c r="AC100" s="276">
        <v>0</v>
      </c>
      <c r="AD100" s="276">
        <v>3594</v>
      </c>
      <c r="AE100" s="276">
        <v>0</v>
      </c>
      <c r="AF100" s="276">
        <v>27053</v>
      </c>
      <c r="AG100" s="276">
        <v>0</v>
      </c>
      <c r="AH100" s="276">
        <v>23298</v>
      </c>
      <c r="AI100" s="276">
        <v>0</v>
      </c>
      <c r="AJ100" s="276">
        <v>15270</v>
      </c>
      <c r="AK100" s="276">
        <v>0</v>
      </c>
      <c r="AL100" s="276">
        <v>20807</v>
      </c>
      <c r="AM100" s="276">
        <v>0</v>
      </c>
      <c r="AN100" s="276">
        <v>10306</v>
      </c>
      <c r="AO100" s="276">
        <v>0</v>
      </c>
      <c r="AP100" s="276">
        <v>9288</v>
      </c>
      <c r="AQ100" s="276">
        <v>0</v>
      </c>
      <c r="AR100" s="276">
        <v>15286</v>
      </c>
      <c r="AS100" s="276">
        <v>0</v>
      </c>
      <c r="AT100" s="276">
        <v>16623</v>
      </c>
      <c r="AU100" s="276">
        <v>0</v>
      </c>
      <c r="AV100" s="276">
        <v>18545</v>
      </c>
      <c r="AW100" s="276">
        <v>0</v>
      </c>
      <c r="AX100" s="276">
        <v>8661</v>
      </c>
      <c r="AY100" s="276">
        <v>0</v>
      </c>
    </row>
    <row r="101" spans="2:51">
      <c r="B101" s="274">
        <v>10326</v>
      </c>
      <c r="C101" s="274" t="s">
        <v>104</v>
      </c>
      <c r="D101" s="276">
        <v>1305</v>
      </c>
      <c r="E101" s="276">
        <v>0</v>
      </c>
      <c r="F101" s="276">
        <v>1578</v>
      </c>
      <c r="G101" s="276">
        <v>0</v>
      </c>
      <c r="H101" s="276">
        <v>9369</v>
      </c>
      <c r="I101" s="276">
        <v>0</v>
      </c>
      <c r="J101" s="276">
        <v>4636</v>
      </c>
      <c r="K101" s="276">
        <v>0</v>
      </c>
      <c r="L101" s="276">
        <v>7590</v>
      </c>
      <c r="M101" s="276">
        <v>0</v>
      </c>
      <c r="N101" s="276">
        <v>9382</v>
      </c>
      <c r="O101" s="276">
        <v>0</v>
      </c>
      <c r="P101" s="276">
        <v>6065</v>
      </c>
      <c r="Q101" s="276">
        <v>0</v>
      </c>
      <c r="R101" s="276">
        <v>4396</v>
      </c>
      <c r="S101" s="276">
        <v>0</v>
      </c>
      <c r="T101" s="276">
        <v>4702</v>
      </c>
      <c r="U101" s="276">
        <v>0</v>
      </c>
      <c r="V101" s="276">
        <v>4754</v>
      </c>
      <c r="W101" s="276">
        <v>0</v>
      </c>
      <c r="X101" s="276">
        <v>5531</v>
      </c>
      <c r="Y101" s="276">
        <v>0</v>
      </c>
      <c r="Z101" s="276">
        <v>6298</v>
      </c>
      <c r="AA101" s="276">
        <v>0</v>
      </c>
      <c r="AB101" s="276">
        <v>1305</v>
      </c>
      <c r="AC101" s="276">
        <v>0</v>
      </c>
      <c r="AD101" s="276">
        <v>1467</v>
      </c>
      <c r="AE101" s="276">
        <v>0</v>
      </c>
      <c r="AF101" s="276">
        <v>9489</v>
      </c>
      <c r="AG101" s="276">
        <v>0</v>
      </c>
      <c r="AH101" s="276">
        <v>4505</v>
      </c>
      <c r="AI101" s="276">
        <v>0</v>
      </c>
      <c r="AJ101" s="276">
        <v>7571</v>
      </c>
      <c r="AK101" s="276">
        <v>0</v>
      </c>
      <c r="AL101" s="276">
        <v>9501</v>
      </c>
      <c r="AM101" s="276">
        <v>0</v>
      </c>
      <c r="AN101" s="276">
        <v>6065</v>
      </c>
      <c r="AO101" s="276">
        <v>0</v>
      </c>
      <c r="AP101" s="276">
        <v>4396</v>
      </c>
      <c r="AQ101" s="276">
        <v>0</v>
      </c>
      <c r="AR101" s="276">
        <v>4702</v>
      </c>
      <c r="AS101" s="276">
        <v>0</v>
      </c>
      <c r="AT101" s="276">
        <v>4754</v>
      </c>
      <c r="AU101" s="276">
        <v>0</v>
      </c>
      <c r="AV101" s="276">
        <v>5531</v>
      </c>
      <c r="AW101" s="276">
        <v>0</v>
      </c>
      <c r="AX101" s="276">
        <v>6298</v>
      </c>
      <c r="AY101" s="276">
        <v>0</v>
      </c>
    </row>
    <row r="102" spans="2:51">
      <c r="B102" s="274">
        <v>10331</v>
      </c>
      <c r="C102" s="274" t="s">
        <v>105</v>
      </c>
      <c r="D102" s="276">
        <v>0</v>
      </c>
      <c r="E102" s="276">
        <v>0</v>
      </c>
      <c r="F102" s="276">
        <v>0</v>
      </c>
      <c r="G102" s="276">
        <v>0</v>
      </c>
      <c r="H102" s="276">
        <v>0</v>
      </c>
      <c r="I102" s="276">
        <v>0</v>
      </c>
      <c r="J102" s="276">
        <v>0</v>
      </c>
      <c r="K102" s="276">
        <v>0</v>
      </c>
      <c r="L102" s="276">
        <v>0</v>
      </c>
      <c r="M102" s="276">
        <v>0</v>
      </c>
      <c r="N102" s="276">
        <v>0</v>
      </c>
      <c r="O102" s="276">
        <v>0</v>
      </c>
      <c r="P102" s="276">
        <v>0</v>
      </c>
      <c r="Q102" s="276">
        <v>0</v>
      </c>
      <c r="R102" s="276">
        <v>0</v>
      </c>
      <c r="S102" s="276">
        <v>0</v>
      </c>
      <c r="T102" s="276">
        <v>0</v>
      </c>
      <c r="U102" s="276">
        <v>0</v>
      </c>
      <c r="V102" s="276">
        <v>0</v>
      </c>
      <c r="W102" s="276">
        <v>0</v>
      </c>
      <c r="X102" s="276">
        <v>0</v>
      </c>
      <c r="Y102" s="276">
        <v>0</v>
      </c>
      <c r="Z102" s="276">
        <v>0</v>
      </c>
      <c r="AA102" s="276">
        <v>0</v>
      </c>
      <c r="AB102" s="276">
        <v>0</v>
      </c>
      <c r="AC102" s="276">
        <v>0</v>
      </c>
      <c r="AD102" s="276">
        <v>0</v>
      </c>
      <c r="AE102" s="276">
        <v>0</v>
      </c>
      <c r="AF102" s="276">
        <v>0</v>
      </c>
      <c r="AG102" s="276">
        <v>0</v>
      </c>
      <c r="AH102" s="276">
        <v>0</v>
      </c>
      <c r="AI102" s="276">
        <v>0</v>
      </c>
      <c r="AJ102" s="276">
        <v>0</v>
      </c>
      <c r="AK102" s="276">
        <v>0</v>
      </c>
      <c r="AL102" s="276">
        <v>0</v>
      </c>
      <c r="AM102" s="276">
        <v>0</v>
      </c>
      <c r="AN102" s="276">
        <v>0</v>
      </c>
      <c r="AO102" s="276">
        <v>0</v>
      </c>
      <c r="AP102" s="276">
        <v>0</v>
      </c>
      <c r="AQ102" s="276">
        <v>0</v>
      </c>
      <c r="AR102" s="276">
        <v>0</v>
      </c>
      <c r="AS102" s="276">
        <v>0</v>
      </c>
      <c r="AT102" s="276">
        <v>0</v>
      </c>
      <c r="AU102" s="276">
        <v>0</v>
      </c>
      <c r="AV102" s="276">
        <v>0</v>
      </c>
      <c r="AW102" s="276">
        <v>0</v>
      </c>
      <c r="AX102" s="276">
        <v>0</v>
      </c>
      <c r="AY102" s="276">
        <v>0</v>
      </c>
    </row>
    <row r="103" spans="2:51">
      <c r="B103" s="274">
        <v>10333</v>
      </c>
      <c r="C103" s="274" t="s">
        <v>106</v>
      </c>
      <c r="D103" s="276">
        <v>2271</v>
      </c>
      <c r="E103" s="276">
        <v>0</v>
      </c>
      <c r="F103" s="276">
        <v>3701</v>
      </c>
      <c r="G103" s="276">
        <v>0</v>
      </c>
      <c r="H103" s="276">
        <v>4103</v>
      </c>
      <c r="I103" s="276">
        <v>0</v>
      </c>
      <c r="J103" s="276">
        <v>5369</v>
      </c>
      <c r="K103" s="276">
        <v>0</v>
      </c>
      <c r="L103" s="276">
        <v>2818</v>
      </c>
      <c r="M103" s="276">
        <v>0</v>
      </c>
      <c r="N103" s="276">
        <v>2436</v>
      </c>
      <c r="O103" s="276">
        <v>0</v>
      </c>
      <c r="P103" s="276">
        <v>3886</v>
      </c>
      <c r="Q103" s="276">
        <v>0</v>
      </c>
      <c r="R103" s="276">
        <v>2878</v>
      </c>
      <c r="S103" s="276">
        <v>0</v>
      </c>
      <c r="T103" s="276">
        <v>3770</v>
      </c>
      <c r="U103" s="276">
        <v>0</v>
      </c>
      <c r="V103" s="276">
        <v>3412</v>
      </c>
      <c r="W103" s="276">
        <v>0</v>
      </c>
      <c r="X103" s="276">
        <v>3237</v>
      </c>
      <c r="Y103" s="276">
        <v>0</v>
      </c>
      <c r="Z103" s="276">
        <v>3407</v>
      </c>
      <c r="AA103" s="276">
        <v>0</v>
      </c>
      <c r="AB103" s="276">
        <v>2315</v>
      </c>
      <c r="AC103" s="276">
        <v>0</v>
      </c>
      <c r="AD103" s="276">
        <v>2894</v>
      </c>
      <c r="AE103" s="276">
        <v>0</v>
      </c>
      <c r="AF103" s="276">
        <v>5188</v>
      </c>
      <c r="AG103" s="276">
        <v>0</v>
      </c>
      <c r="AH103" s="276">
        <v>4411</v>
      </c>
      <c r="AI103" s="276">
        <v>0</v>
      </c>
      <c r="AJ103" s="276">
        <v>3138</v>
      </c>
      <c r="AK103" s="276">
        <v>0</v>
      </c>
      <c r="AL103" s="276">
        <v>3196</v>
      </c>
      <c r="AM103" s="276">
        <v>0</v>
      </c>
      <c r="AN103" s="276">
        <v>3930</v>
      </c>
      <c r="AO103" s="276">
        <v>0</v>
      </c>
      <c r="AP103" s="276">
        <v>2913</v>
      </c>
      <c r="AQ103" s="276">
        <v>0</v>
      </c>
      <c r="AR103" s="276">
        <v>3805</v>
      </c>
      <c r="AS103" s="276">
        <v>0</v>
      </c>
      <c r="AT103" s="276">
        <v>3443</v>
      </c>
      <c r="AU103" s="276">
        <v>0</v>
      </c>
      <c r="AV103" s="276">
        <v>3269</v>
      </c>
      <c r="AW103" s="276">
        <v>0</v>
      </c>
      <c r="AX103" s="276">
        <v>3442</v>
      </c>
      <c r="AY103" s="276">
        <v>0</v>
      </c>
    </row>
    <row r="104" spans="2:51">
      <c r="B104" s="274">
        <v>10338</v>
      </c>
      <c r="C104" s="274" t="s">
        <v>107</v>
      </c>
      <c r="D104" s="276">
        <v>0</v>
      </c>
      <c r="E104" s="276">
        <v>0</v>
      </c>
      <c r="F104" s="276">
        <v>108</v>
      </c>
      <c r="G104" s="276">
        <v>0</v>
      </c>
      <c r="H104" s="276">
        <v>380</v>
      </c>
      <c r="I104" s="276">
        <v>0</v>
      </c>
      <c r="J104" s="276">
        <v>385</v>
      </c>
      <c r="K104" s="276">
        <v>0</v>
      </c>
      <c r="L104" s="276">
        <v>85</v>
      </c>
      <c r="M104" s="276">
        <v>0</v>
      </c>
      <c r="N104" s="276">
        <v>335</v>
      </c>
      <c r="O104" s="276">
        <v>0</v>
      </c>
      <c r="P104" s="276">
        <v>193</v>
      </c>
      <c r="Q104" s="276">
        <v>0</v>
      </c>
      <c r="R104" s="276">
        <v>661</v>
      </c>
      <c r="S104" s="276">
        <v>0</v>
      </c>
      <c r="T104" s="276">
        <v>452</v>
      </c>
      <c r="U104" s="276">
        <v>0</v>
      </c>
      <c r="V104" s="276">
        <v>405</v>
      </c>
      <c r="W104" s="276">
        <v>0</v>
      </c>
      <c r="X104" s="276">
        <v>413</v>
      </c>
      <c r="Y104" s="276">
        <v>0</v>
      </c>
      <c r="Z104" s="276">
        <v>40</v>
      </c>
      <c r="AA104" s="276">
        <v>0</v>
      </c>
      <c r="AB104" s="276">
        <v>0</v>
      </c>
      <c r="AC104" s="276">
        <v>0</v>
      </c>
      <c r="AD104" s="276">
        <v>115</v>
      </c>
      <c r="AE104" s="276">
        <v>0</v>
      </c>
      <c r="AF104" s="276">
        <v>383</v>
      </c>
      <c r="AG104" s="276">
        <v>0</v>
      </c>
      <c r="AH104" s="276">
        <v>394</v>
      </c>
      <c r="AI104" s="276">
        <v>0</v>
      </c>
      <c r="AJ104" s="276">
        <v>85</v>
      </c>
      <c r="AK104" s="276">
        <v>0</v>
      </c>
      <c r="AL104" s="276">
        <v>338</v>
      </c>
      <c r="AM104" s="276">
        <v>0</v>
      </c>
      <c r="AN104" s="276">
        <v>197</v>
      </c>
      <c r="AO104" s="276">
        <v>0</v>
      </c>
      <c r="AP104" s="276">
        <v>665</v>
      </c>
      <c r="AQ104" s="276">
        <v>0</v>
      </c>
      <c r="AR104" s="276">
        <v>456</v>
      </c>
      <c r="AS104" s="276">
        <v>0</v>
      </c>
      <c r="AT104" s="276">
        <v>408</v>
      </c>
      <c r="AU104" s="276">
        <v>0</v>
      </c>
      <c r="AV104" s="276">
        <v>417</v>
      </c>
      <c r="AW104" s="276">
        <v>0</v>
      </c>
      <c r="AX104" s="276">
        <v>43</v>
      </c>
      <c r="AY104" s="276">
        <v>0</v>
      </c>
    </row>
    <row r="105" spans="2:51">
      <c r="B105" s="274">
        <v>10342</v>
      </c>
      <c r="C105" s="274" t="s">
        <v>108</v>
      </c>
      <c r="D105" s="276">
        <v>5790</v>
      </c>
      <c r="E105" s="276">
        <v>0</v>
      </c>
      <c r="F105" s="276">
        <v>3449</v>
      </c>
      <c r="G105" s="276">
        <v>0</v>
      </c>
      <c r="H105" s="276">
        <v>7186</v>
      </c>
      <c r="I105" s="276">
        <v>0</v>
      </c>
      <c r="J105" s="276">
        <v>8041</v>
      </c>
      <c r="K105" s="276">
        <v>0</v>
      </c>
      <c r="L105" s="276">
        <v>0</v>
      </c>
      <c r="M105" s="276">
        <v>0</v>
      </c>
      <c r="N105" s="276">
        <v>3474</v>
      </c>
      <c r="O105" s="276">
        <v>0</v>
      </c>
      <c r="P105" s="276">
        <v>2112</v>
      </c>
      <c r="Q105" s="276">
        <v>0</v>
      </c>
      <c r="R105" s="276">
        <v>4205</v>
      </c>
      <c r="S105" s="276">
        <v>0</v>
      </c>
      <c r="T105" s="276">
        <v>3399</v>
      </c>
      <c r="U105" s="276">
        <v>0</v>
      </c>
      <c r="V105" s="276">
        <v>8108</v>
      </c>
      <c r="W105" s="276">
        <v>0</v>
      </c>
      <c r="X105" s="276">
        <v>11331</v>
      </c>
      <c r="Y105" s="276">
        <v>0</v>
      </c>
      <c r="Z105" s="276">
        <v>11212</v>
      </c>
      <c r="AA105" s="276">
        <v>0</v>
      </c>
      <c r="AB105" s="276">
        <v>5865</v>
      </c>
      <c r="AC105" s="276">
        <v>0</v>
      </c>
      <c r="AD105" s="276">
        <v>3536</v>
      </c>
      <c r="AE105" s="276">
        <v>0</v>
      </c>
      <c r="AF105" s="276">
        <v>7352</v>
      </c>
      <c r="AG105" s="276">
        <v>0</v>
      </c>
      <c r="AH105" s="276">
        <v>8149</v>
      </c>
      <c r="AI105" s="276">
        <v>0</v>
      </c>
      <c r="AJ105" s="276">
        <v>0</v>
      </c>
      <c r="AK105" s="276">
        <v>0</v>
      </c>
      <c r="AL105" s="276">
        <v>3559</v>
      </c>
      <c r="AM105" s="276">
        <v>0</v>
      </c>
      <c r="AN105" s="276">
        <v>2176</v>
      </c>
      <c r="AO105" s="276">
        <v>0</v>
      </c>
      <c r="AP105" s="276">
        <v>4258</v>
      </c>
      <c r="AQ105" s="276">
        <v>0</v>
      </c>
      <c r="AR105" s="276">
        <v>3451</v>
      </c>
      <c r="AS105" s="276">
        <v>0</v>
      </c>
      <c r="AT105" s="276">
        <v>8180</v>
      </c>
      <c r="AU105" s="276">
        <v>0</v>
      </c>
      <c r="AV105" s="276">
        <v>11406</v>
      </c>
      <c r="AW105" s="276">
        <v>0</v>
      </c>
      <c r="AX105" s="276">
        <v>11279</v>
      </c>
      <c r="AY105" s="276">
        <v>0</v>
      </c>
    </row>
    <row r="106" spans="2:51">
      <c r="B106" s="274">
        <v>10343</v>
      </c>
      <c r="C106" s="274" t="s">
        <v>109</v>
      </c>
      <c r="D106" s="276">
        <v>0</v>
      </c>
      <c r="E106" s="276">
        <v>0</v>
      </c>
      <c r="F106" s="276">
        <v>0</v>
      </c>
      <c r="G106" s="276">
        <v>0</v>
      </c>
      <c r="H106" s="276">
        <v>0</v>
      </c>
      <c r="I106" s="276">
        <v>0</v>
      </c>
      <c r="J106" s="276">
        <v>0</v>
      </c>
      <c r="K106" s="276">
        <v>0</v>
      </c>
      <c r="L106" s="276">
        <v>0</v>
      </c>
      <c r="M106" s="276">
        <v>0</v>
      </c>
      <c r="N106" s="276">
        <v>0</v>
      </c>
      <c r="O106" s="276">
        <v>0</v>
      </c>
      <c r="P106" s="276">
        <v>0</v>
      </c>
      <c r="Q106" s="276">
        <v>0</v>
      </c>
      <c r="R106" s="276">
        <v>0</v>
      </c>
      <c r="S106" s="276">
        <v>0</v>
      </c>
      <c r="T106" s="276">
        <v>0</v>
      </c>
      <c r="U106" s="276">
        <v>0</v>
      </c>
      <c r="V106" s="276">
        <v>0</v>
      </c>
      <c r="W106" s="276">
        <v>0</v>
      </c>
      <c r="X106" s="276">
        <v>0</v>
      </c>
      <c r="Y106" s="276">
        <v>0</v>
      </c>
      <c r="Z106" s="276">
        <v>0</v>
      </c>
      <c r="AA106" s="276">
        <v>0</v>
      </c>
      <c r="AB106" s="276">
        <v>0</v>
      </c>
      <c r="AC106" s="276">
        <v>0</v>
      </c>
      <c r="AD106" s="276">
        <v>0</v>
      </c>
      <c r="AE106" s="276">
        <v>0</v>
      </c>
      <c r="AF106" s="276">
        <v>0</v>
      </c>
      <c r="AG106" s="276">
        <v>0</v>
      </c>
      <c r="AH106" s="276">
        <v>0</v>
      </c>
      <c r="AI106" s="276">
        <v>0</v>
      </c>
      <c r="AJ106" s="276">
        <v>0</v>
      </c>
      <c r="AK106" s="276">
        <v>0</v>
      </c>
      <c r="AL106" s="276">
        <v>0</v>
      </c>
      <c r="AM106" s="276">
        <v>0</v>
      </c>
      <c r="AN106" s="276">
        <v>0</v>
      </c>
      <c r="AO106" s="276">
        <v>0</v>
      </c>
      <c r="AP106" s="276">
        <v>0</v>
      </c>
      <c r="AQ106" s="276">
        <v>0</v>
      </c>
      <c r="AR106" s="276">
        <v>0</v>
      </c>
      <c r="AS106" s="276">
        <v>0</v>
      </c>
      <c r="AT106" s="276">
        <v>0</v>
      </c>
      <c r="AU106" s="276">
        <v>0</v>
      </c>
      <c r="AV106" s="276">
        <v>0</v>
      </c>
      <c r="AW106" s="276">
        <v>0</v>
      </c>
      <c r="AX106" s="276">
        <v>0</v>
      </c>
      <c r="AY106" s="276">
        <v>0</v>
      </c>
    </row>
    <row r="107" spans="2:51">
      <c r="B107" s="274">
        <v>10349</v>
      </c>
      <c r="C107" s="274" t="s">
        <v>110</v>
      </c>
      <c r="D107" s="276">
        <v>0</v>
      </c>
      <c r="E107" s="276">
        <v>0</v>
      </c>
      <c r="F107" s="276">
        <v>0</v>
      </c>
      <c r="G107" s="276">
        <v>0</v>
      </c>
      <c r="H107" s="276">
        <v>0</v>
      </c>
      <c r="I107" s="276">
        <v>0</v>
      </c>
      <c r="J107" s="276">
        <v>0</v>
      </c>
      <c r="K107" s="276">
        <v>0</v>
      </c>
      <c r="L107" s="276">
        <v>0</v>
      </c>
      <c r="M107" s="276">
        <v>0</v>
      </c>
      <c r="N107" s="276">
        <v>0</v>
      </c>
      <c r="O107" s="276">
        <v>0</v>
      </c>
      <c r="P107" s="276">
        <v>0</v>
      </c>
      <c r="Q107" s="276">
        <v>0</v>
      </c>
      <c r="R107" s="276">
        <v>0</v>
      </c>
      <c r="S107" s="276">
        <v>0</v>
      </c>
      <c r="T107" s="276">
        <v>0</v>
      </c>
      <c r="U107" s="276">
        <v>0</v>
      </c>
      <c r="V107" s="276">
        <v>0</v>
      </c>
      <c r="W107" s="276">
        <v>0</v>
      </c>
      <c r="X107" s="276">
        <v>0</v>
      </c>
      <c r="Y107" s="276">
        <v>0</v>
      </c>
      <c r="Z107" s="276">
        <v>0</v>
      </c>
      <c r="AA107" s="276">
        <v>0</v>
      </c>
      <c r="AB107" s="276">
        <v>0</v>
      </c>
      <c r="AC107" s="276">
        <v>0</v>
      </c>
      <c r="AD107" s="276">
        <v>0</v>
      </c>
      <c r="AE107" s="276">
        <v>0</v>
      </c>
      <c r="AF107" s="276">
        <v>0</v>
      </c>
      <c r="AG107" s="276">
        <v>0</v>
      </c>
      <c r="AH107" s="276">
        <v>0</v>
      </c>
      <c r="AI107" s="276">
        <v>0</v>
      </c>
      <c r="AJ107" s="276">
        <v>0</v>
      </c>
      <c r="AK107" s="276">
        <v>0</v>
      </c>
      <c r="AL107" s="276">
        <v>0</v>
      </c>
      <c r="AM107" s="276">
        <v>0</v>
      </c>
      <c r="AN107" s="276">
        <v>0</v>
      </c>
      <c r="AO107" s="276">
        <v>0</v>
      </c>
      <c r="AP107" s="276">
        <v>0</v>
      </c>
      <c r="AQ107" s="276">
        <v>0</v>
      </c>
      <c r="AR107" s="276">
        <v>0</v>
      </c>
      <c r="AS107" s="276">
        <v>0</v>
      </c>
      <c r="AT107" s="276">
        <v>0</v>
      </c>
      <c r="AU107" s="276">
        <v>0</v>
      </c>
      <c r="AV107" s="276">
        <v>0</v>
      </c>
      <c r="AW107" s="276">
        <v>0</v>
      </c>
      <c r="AX107" s="276">
        <v>0</v>
      </c>
      <c r="AY107" s="276">
        <v>0</v>
      </c>
    </row>
    <row r="108" spans="2:51">
      <c r="B108" s="274">
        <v>10352</v>
      </c>
      <c r="C108" s="274" t="s">
        <v>111</v>
      </c>
      <c r="D108" s="276">
        <v>2363</v>
      </c>
      <c r="E108" s="276">
        <v>0</v>
      </c>
      <c r="F108" s="276">
        <v>2653</v>
      </c>
      <c r="G108" s="276">
        <v>0</v>
      </c>
      <c r="H108" s="276">
        <v>2156</v>
      </c>
      <c r="I108" s="276">
        <v>0</v>
      </c>
      <c r="J108" s="276">
        <v>4825</v>
      </c>
      <c r="K108" s="276">
        <v>0</v>
      </c>
      <c r="L108" s="276">
        <v>1203</v>
      </c>
      <c r="M108" s="276">
        <v>0</v>
      </c>
      <c r="N108" s="276">
        <v>5606</v>
      </c>
      <c r="O108" s="276">
        <v>0</v>
      </c>
      <c r="P108" s="276">
        <v>2294</v>
      </c>
      <c r="Q108" s="276">
        <v>0</v>
      </c>
      <c r="R108" s="276">
        <v>7</v>
      </c>
      <c r="S108" s="276">
        <v>0</v>
      </c>
      <c r="T108" s="276">
        <v>2287</v>
      </c>
      <c r="U108" s="276">
        <v>0</v>
      </c>
      <c r="V108" s="276">
        <v>1896</v>
      </c>
      <c r="W108" s="276">
        <v>0</v>
      </c>
      <c r="X108" s="276">
        <v>2951</v>
      </c>
      <c r="Y108" s="276">
        <v>0</v>
      </c>
      <c r="Z108" s="276">
        <v>1590</v>
      </c>
      <c r="AA108" s="276">
        <v>0</v>
      </c>
      <c r="AB108" s="276">
        <v>2409</v>
      </c>
      <c r="AC108" s="276">
        <v>0</v>
      </c>
      <c r="AD108" s="276">
        <v>2681</v>
      </c>
      <c r="AE108" s="276">
        <v>0</v>
      </c>
      <c r="AF108" s="276">
        <v>2233</v>
      </c>
      <c r="AG108" s="276">
        <v>0</v>
      </c>
      <c r="AH108" s="276">
        <v>4871</v>
      </c>
      <c r="AI108" s="276">
        <v>0</v>
      </c>
      <c r="AJ108" s="276">
        <v>1257</v>
      </c>
      <c r="AK108" s="276">
        <v>0</v>
      </c>
      <c r="AL108" s="276">
        <v>5679</v>
      </c>
      <c r="AM108" s="276">
        <v>0</v>
      </c>
      <c r="AN108" s="276">
        <v>2342</v>
      </c>
      <c r="AO108" s="276">
        <v>0</v>
      </c>
      <c r="AP108" s="276">
        <v>46</v>
      </c>
      <c r="AQ108" s="276">
        <v>0</v>
      </c>
      <c r="AR108" s="276">
        <v>2322</v>
      </c>
      <c r="AS108" s="276">
        <v>0</v>
      </c>
      <c r="AT108" s="276">
        <v>1933</v>
      </c>
      <c r="AU108" s="276">
        <v>0</v>
      </c>
      <c r="AV108" s="276">
        <v>2988</v>
      </c>
      <c r="AW108" s="276">
        <v>0</v>
      </c>
      <c r="AX108" s="276">
        <v>1626</v>
      </c>
      <c r="AY108" s="276">
        <v>0</v>
      </c>
    </row>
    <row r="109" spans="2:51">
      <c r="B109" s="274">
        <v>10354</v>
      </c>
      <c r="C109" s="274" t="s">
        <v>112</v>
      </c>
      <c r="D109" s="276">
        <v>0</v>
      </c>
      <c r="E109" s="276">
        <v>0</v>
      </c>
      <c r="F109" s="276">
        <v>0</v>
      </c>
      <c r="G109" s="276">
        <v>0</v>
      </c>
      <c r="H109" s="276">
        <v>0</v>
      </c>
      <c r="I109" s="276">
        <v>0</v>
      </c>
      <c r="J109" s="276">
        <v>0</v>
      </c>
      <c r="K109" s="276">
        <v>0</v>
      </c>
      <c r="L109" s="276">
        <v>0</v>
      </c>
      <c r="M109" s="276">
        <v>0</v>
      </c>
      <c r="N109" s="276">
        <v>0</v>
      </c>
      <c r="O109" s="276">
        <v>0</v>
      </c>
      <c r="P109" s="276">
        <v>0</v>
      </c>
      <c r="Q109" s="276">
        <v>0</v>
      </c>
      <c r="R109" s="276">
        <v>0</v>
      </c>
      <c r="S109" s="276">
        <v>0</v>
      </c>
      <c r="T109" s="276">
        <v>0</v>
      </c>
      <c r="U109" s="276">
        <v>0</v>
      </c>
      <c r="V109" s="276">
        <v>0</v>
      </c>
      <c r="W109" s="276">
        <v>0</v>
      </c>
      <c r="X109" s="276">
        <v>0</v>
      </c>
      <c r="Y109" s="276">
        <v>0</v>
      </c>
      <c r="Z109" s="276">
        <v>0</v>
      </c>
      <c r="AA109" s="276">
        <v>0</v>
      </c>
      <c r="AB109" s="276">
        <v>0</v>
      </c>
      <c r="AC109" s="276">
        <v>0</v>
      </c>
      <c r="AD109" s="276">
        <v>0</v>
      </c>
      <c r="AE109" s="276">
        <v>0</v>
      </c>
      <c r="AF109" s="276">
        <v>0</v>
      </c>
      <c r="AG109" s="276">
        <v>0</v>
      </c>
      <c r="AH109" s="276">
        <v>0</v>
      </c>
      <c r="AI109" s="276">
        <v>0</v>
      </c>
      <c r="AJ109" s="276">
        <v>0</v>
      </c>
      <c r="AK109" s="276">
        <v>0</v>
      </c>
      <c r="AL109" s="276">
        <v>0</v>
      </c>
      <c r="AM109" s="276">
        <v>0</v>
      </c>
      <c r="AN109" s="276">
        <v>0</v>
      </c>
      <c r="AO109" s="276">
        <v>0</v>
      </c>
      <c r="AP109" s="276">
        <v>0</v>
      </c>
      <c r="AQ109" s="276">
        <v>0</v>
      </c>
      <c r="AR109" s="276">
        <v>0</v>
      </c>
      <c r="AS109" s="276">
        <v>0</v>
      </c>
      <c r="AT109" s="276">
        <v>0</v>
      </c>
      <c r="AU109" s="276">
        <v>0</v>
      </c>
      <c r="AV109" s="276">
        <v>0</v>
      </c>
      <c r="AW109" s="276">
        <v>0</v>
      </c>
      <c r="AX109" s="276">
        <v>0</v>
      </c>
      <c r="AY109" s="276">
        <v>0</v>
      </c>
    </row>
    <row r="110" spans="2:51">
      <c r="B110" s="274">
        <v>10360</v>
      </c>
      <c r="C110" s="274" t="s">
        <v>113</v>
      </c>
      <c r="D110" s="276">
        <v>1260</v>
      </c>
      <c r="E110" s="276">
        <v>0</v>
      </c>
      <c r="F110" s="276">
        <v>855</v>
      </c>
      <c r="G110" s="276">
        <v>0</v>
      </c>
      <c r="H110" s="276">
        <v>953</v>
      </c>
      <c r="I110" s="276">
        <v>0</v>
      </c>
      <c r="J110" s="276">
        <v>1853</v>
      </c>
      <c r="K110" s="276">
        <v>0</v>
      </c>
      <c r="L110" s="276">
        <v>458</v>
      </c>
      <c r="M110" s="276">
        <v>0</v>
      </c>
      <c r="N110" s="276">
        <v>806</v>
      </c>
      <c r="O110" s="276">
        <v>0</v>
      </c>
      <c r="P110" s="276">
        <v>1648</v>
      </c>
      <c r="Q110" s="276">
        <v>0</v>
      </c>
      <c r="R110" s="276">
        <v>741</v>
      </c>
      <c r="S110" s="276">
        <v>0</v>
      </c>
      <c r="T110" s="276">
        <v>1809</v>
      </c>
      <c r="U110" s="276">
        <v>0</v>
      </c>
      <c r="V110" s="276">
        <v>2414</v>
      </c>
      <c r="W110" s="276">
        <v>0</v>
      </c>
      <c r="X110" s="276">
        <v>1137</v>
      </c>
      <c r="Y110" s="276">
        <v>0</v>
      </c>
      <c r="Z110" s="276">
        <v>1109</v>
      </c>
      <c r="AA110" s="276">
        <v>0</v>
      </c>
      <c r="AB110" s="276">
        <v>1267</v>
      </c>
      <c r="AC110" s="276">
        <v>0</v>
      </c>
      <c r="AD110" s="276">
        <v>864</v>
      </c>
      <c r="AE110" s="276">
        <v>0</v>
      </c>
      <c r="AF110" s="276">
        <v>962</v>
      </c>
      <c r="AG110" s="276">
        <v>0</v>
      </c>
      <c r="AH110" s="276">
        <v>1866</v>
      </c>
      <c r="AI110" s="276">
        <v>0</v>
      </c>
      <c r="AJ110" s="276">
        <v>467</v>
      </c>
      <c r="AK110" s="276">
        <v>0</v>
      </c>
      <c r="AL110" s="276">
        <v>813</v>
      </c>
      <c r="AM110" s="276">
        <v>0</v>
      </c>
      <c r="AN110" s="276">
        <v>1660</v>
      </c>
      <c r="AO110" s="276">
        <v>0</v>
      </c>
      <c r="AP110" s="276">
        <v>752</v>
      </c>
      <c r="AQ110" s="276">
        <v>0</v>
      </c>
      <c r="AR110" s="276">
        <v>1822</v>
      </c>
      <c r="AS110" s="276">
        <v>0</v>
      </c>
      <c r="AT110" s="276">
        <v>2426</v>
      </c>
      <c r="AU110" s="276">
        <v>0</v>
      </c>
      <c r="AV110" s="276">
        <v>1143</v>
      </c>
      <c r="AW110" s="276">
        <v>0</v>
      </c>
      <c r="AX110" s="276">
        <v>1121</v>
      </c>
      <c r="AY110" s="276">
        <v>0</v>
      </c>
    </row>
    <row r="111" spans="2:51">
      <c r="B111" s="274">
        <v>10363</v>
      </c>
      <c r="C111" s="274" t="s">
        <v>114</v>
      </c>
      <c r="D111" s="276">
        <v>9262</v>
      </c>
      <c r="E111" s="276">
        <v>0</v>
      </c>
      <c r="F111" s="276">
        <v>18672</v>
      </c>
      <c r="G111" s="276">
        <v>0</v>
      </c>
      <c r="H111" s="276">
        <v>21500</v>
      </c>
      <c r="I111" s="276">
        <v>0</v>
      </c>
      <c r="J111" s="276">
        <v>21190</v>
      </c>
      <c r="K111" s="276">
        <v>0</v>
      </c>
      <c r="L111" s="276">
        <v>11362</v>
      </c>
      <c r="M111" s="276">
        <v>0</v>
      </c>
      <c r="N111" s="276">
        <v>21163</v>
      </c>
      <c r="O111" s="276">
        <v>0</v>
      </c>
      <c r="P111" s="276">
        <v>13026</v>
      </c>
      <c r="Q111" s="276">
        <v>0</v>
      </c>
      <c r="R111" s="276">
        <v>3875</v>
      </c>
      <c r="S111" s="276">
        <v>0</v>
      </c>
      <c r="T111" s="276">
        <v>14530</v>
      </c>
      <c r="U111" s="276">
        <v>0</v>
      </c>
      <c r="V111" s="276">
        <v>14271</v>
      </c>
      <c r="W111" s="276">
        <v>0</v>
      </c>
      <c r="X111" s="276">
        <v>18375</v>
      </c>
      <c r="Y111" s="276">
        <v>0</v>
      </c>
      <c r="Z111" s="276">
        <v>20089</v>
      </c>
      <c r="AA111" s="276">
        <v>0</v>
      </c>
      <c r="AB111" s="276">
        <v>9347</v>
      </c>
      <c r="AC111" s="276">
        <v>0</v>
      </c>
      <c r="AD111" s="276">
        <v>18680</v>
      </c>
      <c r="AE111" s="276">
        <v>0</v>
      </c>
      <c r="AF111" s="276">
        <v>21672</v>
      </c>
      <c r="AG111" s="276">
        <v>0</v>
      </c>
      <c r="AH111" s="276">
        <v>21240</v>
      </c>
      <c r="AI111" s="276">
        <v>0</v>
      </c>
      <c r="AJ111" s="276">
        <v>11289</v>
      </c>
      <c r="AK111" s="276">
        <v>0</v>
      </c>
      <c r="AL111" s="276">
        <v>21323</v>
      </c>
      <c r="AM111" s="276">
        <v>0</v>
      </c>
      <c r="AN111" s="276">
        <v>13109</v>
      </c>
      <c r="AO111" s="276">
        <v>0</v>
      </c>
      <c r="AP111" s="276">
        <v>3911</v>
      </c>
      <c r="AQ111" s="276">
        <v>0</v>
      </c>
      <c r="AR111" s="276">
        <v>14580</v>
      </c>
      <c r="AS111" s="276">
        <v>0</v>
      </c>
      <c r="AT111" s="276">
        <v>14337</v>
      </c>
      <c r="AU111" s="276">
        <v>0</v>
      </c>
      <c r="AV111" s="276">
        <v>18436</v>
      </c>
      <c r="AW111" s="276">
        <v>0</v>
      </c>
      <c r="AX111" s="276">
        <v>20145</v>
      </c>
      <c r="AY111" s="276">
        <v>0</v>
      </c>
    </row>
    <row r="112" spans="2:51">
      <c r="B112" s="274">
        <v>10369</v>
      </c>
      <c r="C112" s="274" t="s">
        <v>115</v>
      </c>
      <c r="D112" s="276">
        <v>2578</v>
      </c>
      <c r="E112" s="276">
        <v>0</v>
      </c>
      <c r="F112" s="276">
        <v>450</v>
      </c>
      <c r="G112" s="276">
        <v>0</v>
      </c>
      <c r="H112" s="276">
        <v>2255</v>
      </c>
      <c r="I112" s="276">
        <v>0</v>
      </c>
      <c r="J112" s="276">
        <v>2316</v>
      </c>
      <c r="K112" s="276">
        <v>0</v>
      </c>
      <c r="L112" s="276">
        <v>1006</v>
      </c>
      <c r="M112" s="276">
        <v>0</v>
      </c>
      <c r="N112" s="276">
        <v>1479</v>
      </c>
      <c r="O112" s="276">
        <v>0</v>
      </c>
      <c r="P112" s="276">
        <v>3222</v>
      </c>
      <c r="Q112" s="276">
        <v>0</v>
      </c>
      <c r="R112" s="276">
        <v>1869</v>
      </c>
      <c r="S112" s="276">
        <v>0</v>
      </c>
      <c r="T112" s="276">
        <v>883</v>
      </c>
      <c r="U112" s="276">
        <v>0</v>
      </c>
      <c r="V112" s="276">
        <v>4124</v>
      </c>
      <c r="W112" s="276">
        <v>0</v>
      </c>
      <c r="X112" s="276">
        <v>4785</v>
      </c>
      <c r="Y112" s="276">
        <v>0</v>
      </c>
      <c r="Z112" s="276">
        <v>2314</v>
      </c>
      <c r="AA112" s="276">
        <v>0</v>
      </c>
      <c r="AB112" s="276">
        <v>2578</v>
      </c>
      <c r="AC112" s="276">
        <v>0</v>
      </c>
      <c r="AD112" s="276">
        <v>453</v>
      </c>
      <c r="AE112" s="276">
        <v>0</v>
      </c>
      <c r="AF112" s="276">
        <v>2251</v>
      </c>
      <c r="AG112" s="276">
        <v>0</v>
      </c>
      <c r="AH112" s="276">
        <v>2324</v>
      </c>
      <c r="AI112" s="276">
        <v>0</v>
      </c>
      <c r="AJ112" s="276">
        <v>1052</v>
      </c>
      <c r="AK112" s="276">
        <v>0</v>
      </c>
      <c r="AL112" s="276">
        <v>1472</v>
      </c>
      <c r="AM112" s="276">
        <v>0</v>
      </c>
      <c r="AN112" s="276">
        <v>3222</v>
      </c>
      <c r="AO112" s="276">
        <v>0</v>
      </c>
      <c r="AP112" s="276">
        <v>1869</v>
      </c>
      <c r="AQ112" s="276">
        <v>0</v>
      </c>
      <c r="AR112" s="276">
        <v>883</v>
      </c>
      <c r="AS112" s="276">
        <v>0</v>
      </c>
      <c r="AT112" s="276">
        <v>4124</v>
      </c>
      <c r="AU112" s="276">
        <v>0</v>
      </c>
      <c r="AV112" s="276">
        <v>4785</v>
      </c>
      <c r="AW112" s="276">
        <v>0</v>
      </c>
      <c r="AX112" s="276">
        <v>2314</v>
      </c>
      <c r="AY112" s="276">
        <v>0</v>
      </c>
    </row>
    <row r="113" spans="2:51">
      <c r="B113" s="274">
        <v>10370</v>
      </c>
      <c r="C113" s="274" t="s">
        <v>116</v>
      </c>
      <c r="D113" s="276">
        <v>0</v>
      </c>
      <c r="E113" s="276">
        <v>0</v>
      </c>
      <c r="F113" s="276">
        <v>0</v>
      </c>
      <c r="G113" s="276">
        <v>0</v>
      </c>
      <c r="H113" s="276">
        <v>0</v>
      </c>
      <c r="I113" s="276">
        <v>0</v>
      </c>
      <c r="J113" s="276">
        <v>0</v>
      </c>
      <c r="K113" s="276">
        <v>0</v>
      </c>
      <c r="L113" s="276">
        <v>0</v>
      </c>
      <c r="M113" s="276">
        <v>0</v>
      </c>
      <c r="N113" s="276">
        <v>0</v>
      </c>
      <c r="O113" s="276">
        <v>0</v>
      </c>
      <c r="P113" s="276">
        <v>0</v>
      </c>
      <c r="Q113" s="276">
        <v>0</v>
      </c>
      <c r="R113" s="276">
        <v>0</v>
      </c>
      <c r="S113" s="276">
        <v>0</v>
      </c>
      <c r="T113" s="276">
        <v>0</v>
      </c>
      <c r="U113" s="276">
        <v>0</v>
      </c>
      <c r="V113" s="276">
        <v>0</v>
      </c>
      <c r="W113" s="276">
        <v>0</v>
      </c>
      <c r="X113" s="276">
        <v>0</v>
      </c>
      <c r="Y113" s="276">
        <v>0</v>
      </c>
      <c r="Z113" s="276">
        <v>0</v>
      </c>
      <c r="AA113" s="276">
        <v>0</v>
      </c>
      <c r="AB113" s="276">
        <v>0</v>
      </c>
      <c r="AC113" s="276">
        <v>0</v>
      </c>
      <c r="AD113" s="276">
        <v>0</v>
      </c>
      <c r="AE113" s="276">
        <v>0</v>
      </c>
      <c r="AF113" s="276">
        <v>0</v>
      </c>
      <c r="AG113" s="276">
        <v>0</v>
      </c>
      <c r="AH113" s="276">
        <v>0</v>
      </c>
      <c r="AI113" s="276">
        <v>0</v>
      </c>
      <c r="AJ113" s="276">
        <v>0</v>
      </c>
      <c r="AK113" s="276">
        <v>0</v>
      </c>
      <c r="AL113" s="276">
        <v>0</v>
      </c>
      <c r="AM113" s="276">
        <v>0</v>
      </c>
      <c r="AN113" s="276">
        <v>0</v>
      </c>
      <c r="AO113" s="276">
        <v>0</v>
      </c>
      <c r="AP113" s="276">
        <v>0</v>
      </c>
      <c r="AQ113" s="276">
        <v>0</v>
      </c>
      <c r="AR113" s="276">
        <v>0</v>
      </c>
      <c r="AS113" s="276">
        <v>0</v>
      </c>
      <c r="AT113" s="276">
        <v>0</v>
      </c>
      <c r="AU113" s="276">
        <v>0</v>
      </c>
      <c r="AV113" s="276">
        <v>0</v>
      </c>
      <c r="AW113" s="276">
        <v>0</v>
      </c>
      <c r="AX113" s="276">
        <v>0</v>
      </c>
      <c r="AY113" s="276">
        <v>0</v>
      </c>
    </row>
    <row r="114" spans="2:51">
      <c r="B114" s="274">
        <v>10371</v>
      </c>
      <c r="C114" s="274" t="s">
        <v>117</v>
      </c>
      <c r="D114" s="276">
        <v>0</v>
      </c>
      <c r="E114" s="276">
        <v>0</v>
      </c>
      <c r="F114" s="276">
        <v>78</v>
      </c>
      <c r="G114" s="276">
        <v>0</v>
      </c>
      <c r="H114" s="276">
        <v>25</v>
      </c>
      <c r="I114" s="276">
        <v>0</v>
      </c>
      <c r="J114" s="276">
        <v>1555</v>
      </c>
      <c r="K114" s="276">
        <v>0</v>
      </c>
      <c r="L114" s="276">
        <v>1422</v>
      </c>
      <c r="M114" s="276">
        <v>0</v>
      </c>
      <c r="N114" s="276">
        <v>56</v>
      </c>
      <c r="O114" s="276">
        <v>0</v>
      </c>
      <c r="P114" s="276">
        <v>0</v>
      </c>
      <c r="Q114" s="276">
        <v>0</v>
      </c>
      <c r="R114" s="276">
        <v>100</v>
      </c>
      <c r="S114" s="276">
        <v>0</v>
      </c>
      <c r="T114" s="276">
        <v>1540</v>
      </c>
      <c r="U114" s="276">
        <v>0</v>
      </c>
      <c r="V114" s="276">
        <v>1062</v>
      </c>
      <c r="W114" s="276">
        <v>0</v>
      </c>
      <c r="X114" s="276">
        <v>694</v>
      </c>
      <c r="Y114" s="276">
        <v>0</v>
      </c>
      <c r="Z114" s="276">
        <v>0</v>
      </c>
      <c r="AA114" s="276">
        <v>0</v>
      </c>
      <c r="AB114" s="276">
        <v>0</v>
      </c>
      <c r="AC114" s="276">
        <v>0</v>
      </c>
      <c r="AD114" s="276">
        <v>0</v>
      </c>
      <c r="AE114" s="276">
        <v>0</v>
      </c>
      <c r="AF114" s="276">
        <v>628</v>
      </c>
      <c r="AG114" s="276">
        <v>0</v>
      </c>
      <c r="AH114" s="276">
        <v>981</v>
      </c>
      <c r="AI114" s="276">
        <v>0</v>
      </c>
      <c r="AJ114" s="276">
        <v>882</v>
      </c>
      <c r="AK114" s="276">
        <v>0</v>
      </c>
      <c r="AL114" s="276">
        <v>560</v>
      </c>
      <c r="AM114" s="276">
        <v>0</v>
      </c>
      <c r="AN114" s="276">
        <v>0</v>
      </c>
      <c r="AO114" s="276">
        <v>0</v>
      </c>
      <c r="AP114" s="276">
        <v>109</v>
      </c>
      <c r="AQ114" s="276">
        <v>0</v>
      </c>
      <c r="AR114" s="276">
        <v>1553</v>
      </c>
      <c r="AS114" s="276">
        <v>0</v>
      </c>
      <c r="AT114" s="276">
        <v>1073</v>
      </c>
      <c r="AU114" s="276">
        <v>0</v>
      </c>
      <c r="AV114" s="276">
        <v>700</v>
      </c>
      <c r="AW114" s="276">
        <v>0</v>
      </c>
      <c r="AX114" s="276">
        <v>0</v>
      </c>
      <c r="AY114" s="276">
        <v>0</v>
      </c>
    </row>
    <row r="115" spans="2:51">
      <c r="B115" s="274">
        <v>10376</v>
      </c>
      <c r="C115" s="274" t="s">
        <v>118</v>
      </c>
      <c r="D115" s="276">
        <v>7036</v>
      </c>
      <c r="E115" s="276">
        <v>0</v>
      </c>
      <c r="F115" s="276">
        <v>3641</v>
      </c>
      <c r="G115" s="276">
        <v>0</v>
      </c>
      <c r="H115" s="276">
        <v>10234</v>
      </c>
      <c r="I115" s="276">
        <v>0</v>
      </c>
      <c r="J115" s="276">
        <v>15199</v>
      </c>
      <c r="K115" s="276">
        <v>0</v>
      </c>
      <c r="L115" s="276">
        <v>7430</v>
      </c>
      <c r="M115" s="276">
        <v>0</v>
      </c>
      <c r="N115" s="276">
        <v>12478</v>
      </c>
      <c r="O115" s="276">
        <v>0</v>
      </c>
      <c r="P115" s="276">
        <v>9110</v>
      </c>
      <c r="Q115" s="276">
        <v>0</v>
      </c>
      <c r="R115" s="276">
        <v>5324</v>
      </c>
      <c r="S115" s="276">
        <v>0</v>
      </c>
      <c r="T115" s="276">
        <v>2640</v>
      </c>
      <c r="U115" s="276">
        <v>0</v>
      </c>
      <c r="V115" s="276">
        <v>4405</v>
      </c>
      <c r="W115" s="276">
        <v>0</v>
      </c>
      <c r="X115" s="276">
        <v>4803</v>
      </c>
      <c r="Y115" s="276">
        <v>0</v>
      </c>
      <c r="Z115" s="276">
        <v>0</v>
      </c>
      <c r="AA115" s="276">
        <v>0</v>
      </c>
      <c r="AB115" s="276">
        <v>7098</v>
      </c>
      <c r="AC115" s="276">
        <v>0</v>
      </c>
      <c r="AD115" s="276">
        <v>3768</v>
      </c>
      <c r="AE115" s="276">
        <v>0</v>
      </c>
      <c r="AF115" s="276">
        <v>10251</v>
      </c>
      <c r="AG115" s="276">
        <v>0</v>
      </c>
      <c r="AH115" s="276">
        <v>15376</v>
      </c>
      <c r="AI115" s="276">
        <v>0</v>
      </c>
      <c r="AJ115" s="276">
        <v>7406</v>
      </c>
      <c r="AK115" s="276">
        <v>0</v>
      </c>
      <c r="AL115" s="276">
        <v>12499</v>
      </c>
      <c r="AM115" s="276">
        <v>0</v>
      </c>
      <c r="AN115" s="276">
        <v>9182</v>
      </c>
      <c r="AO115" s="276">
        <v>0</v>
      </c>
      <c r="AP115" s="276">
        <v>5374</v>
      </c>
      <c r="AQ115" s="276">
        <v>0</v>
      </c>
      <c r="AR115" s="276">
        <v>2658</v>
      </c>
      <c r="AS115" s="276">
        <v>0</v>
      </c>
      <c r="AT115" s="276">
        <v>4419</v>
      </c>
      <c r="AU115" s="276">
        <v>0</v>
      </c>
      <c r="AV115" s="276">
        <v>4817</v>
      </c>
      <c r="AW115" s="276">
        <v>0</v>
      </c>
      <c r="AX115" s="276">
        <v>0</v>
      </c>
      <c r="AY115" s="276">
        <v>0</v>
      </c>
    </row>
    <row r="116" spans="2:51">
      <c r="B116" s="274">
        <v>10378</v>
      </c>
      <c r="C116" s="274" t="s">
        <v>119</v>
      </c>
      <c r="D116" s="276">
        <v>0</v>
      </c>
      <c r="E116" s="276">
        <v>0</v>
      </c>
      <c r="F116" s="276">
        <v>0</v>
      </c>
      <c r="G116" s="276">
        <v>0</v>
      </c>
      <c r="H116" s="276">
        <v>94</v>
      </c>
      <c r="I116" s="276">
        <v>0</v>
      </c>
      <c r="J116" s="276">
        <v>314</v>
      </c>
      <c r="K116" s="276">
        <v>0</v>
      </c>
      <c r="L116" s="276">
        <v>0</v>
      </c>
      <c r="M116" s="276">
        <v>0</v>
      </c>
      <c r="N116" s="276">
        <v>0</v>
      </c>
      <c r="O116" s="276">
        <v>0</v>
      </c>
      <c r="P116" s="276">
        <v>0</v>
      </c>
      <c r="Q116" s="276">
        <v>0</v>
      </c>
      <c r="R116" s="276">
        <v>77</v>
      </c>
      <c r="S116" s="276">
        <v>0</v>
      </c>
      <c r="T116" s="276">
        <v>59</v>
      </c>
      <c r="U116" s="276">
        <v>0</v>
      </c>
      <c r="V116" s="276">
        <v>189</v>
      </c>
      <c r="W116" s="276">
        <v>0</v>
      </c>
      <c r="X116" s="276">
        <v>132</v>
      </c>
      <c r="Y116" s="276">
        <v>0</v>
      </c>
      <c r="Z116" s="276">
        <v>156</v>
      </c>
      <c r="AA116" s="276">
        <v>0</v>
      </c>
      <c r="AB116" s="276">
        <v>0</v>
      </c>
      <c r="AC116" s="276">
        <v>0</v>
      </c>
      <c r="AD116" s="276">
        <v>0</v>
      </c>
      <c r="AE116" s="276">
        <v>0</v>
      </c>
      <c r="AF116" s="276">
        <v>225</v>
      </c>
      <c r="AG116" s="276">
        <v>0</v>
      </c>
      <c r="AH116" s="276">
        <v>194</v>
      </c>
      <c r="AI116" s="276">
        <v>0</v>
      </c>
      <c r="AJ116" s="276">
        <v>0</v>
      </c>
      <c r="AK116" s="276">
        <v>0</v>
      </c>
      <c r="AL116" s="276">
        <v>14</v>
      </c>
      <c r="AM116" s="276">
        <v>0</v>
      </c>
      <c r="AN116" s="276">
        <v>6</v>
      </c>
      <c r="AO116" s="276">
        <v>0</v>
      </c>
      <c r="AP116" s="276">
        <v>81</v>
      </c>
      <c r="AQ116" s="276">
        <v>0</v>
      </c>
      <c r="AR116" s="276">
        <v>63</v>
      </c>
      <c r="AS116" s="276">
        <v>0</v>
      </c>
      <c r="AT116" s="276">
        <v>193</v>
      </c>
      <c r="AU116" s="276">
        <v>0</v>
      </c>
      <c r="AV116" s="276">
        <v>136</v>
      </c>
      <c r="AW116" s="276">
        <v>0</v>
      </c>
      <c r="AX116" s="276">
        <v>159</v>
      </c>
      <c r="AY116" s="276">
        <v>0</v>
      </c>
    </row>
    <row r="117" spans="2:51">
      <c r="B117" s="274">
        <v>10379</v>
      </c>
      <c r="C117" s="274" t="s">
        <v>120</v>
      </c>
      <c r="D117" s="276">
        <v>663</v>
      </c>
      <c r="E117" s="276">
        <v>0</v>
      </c>
      <c r="F117" s="276">
        <v>512</v>
      </c>
      <c r="G117" s="276">
        <v>0</v>
      </c>
      <c r="H117" s="276">
        <v>1439</v>
      </c>
      <c r="I117" s="276">
        <v>0</v>
      </c>
      <c r="J117" s="276">
        <v>1472</v>
      </c>
      <c r="K117" s="276">
        <v>0</v>
      </c>
      <c r="L117" s="276">
        <v>1097</v>
      </c>
      <c r="M117" s="276">
        <v>0</v>
      </c>
      <c r="N117" s="276">
        <v>962</v>
      </c>
      <c r="O117" s="276">
        <v>0</v>
      </c>
      <c r="P117" s="276">
        <v>289</v>
      </c>
      <c r="Q117" s="276">
        <v>0</v>
      </c>
      <c r="R117" s="276">
        <v>361</v>
      </c>
      <c r="S117" s="276">
        <v>0</v>
      </c>
      <c r="T117" s="276">
        <v>1145</v>
      </c>
      <c r="U117" s="276">
        <v>0</v>
      </c>
      <c r="V117" s="276">
        <v>907</v>
      </c>
      <c r="W117" s="276">
        <v>0</v>
      </c>
      <c r="X117" s="276">
        <v>914</v>
      </c>
      <c r="Y117" s="276">
        <v>0</v>
      </c>
      <c r="Z117" s="276">
        <v>474</v>
      </c>
      <c r="AA117" s="276">
        <v>0</v>
      </c>
      <c r="AB117" s="276">
        <v>674</v>
      </c>
      <c r="AC117" s="276">
        <v>0</v>
      </c>
      <c r="AD117" s="276">
        <v>269</v>
      </c>
      <c r="AE117" s="276">
        <v>0</v>
      </c>
      <c r="AF117" s="276">
        <v>1720</v>
      </c>
      <c r="AG117" s="276">
        <v>0</v>
      </c>
      <c r="AH117" s="276">
        <v>1217</v>
      </c>
      <c r="AI117" s="276">
        <v>0</v>
      </c>
      <c r="AJ117" s="276">
        <v>1042</v>
      </c>
      <c r="AK117" s="276">
        <v>0</v>
      </c>
      <c r="AL117" s="276">
        <v>1181</v>
      </c>
      <c r="AM117" s="276">
        <v>0</v>
      </c>
      <c r="AN117" s="276">
        <v>299</v>
      </c>
      <c r="AO117" s="276">
        <v>0</v>
      </c>
      <c r="AP117" s="276">
        <v>372</v>
      </c>
      <c r="AQ117" s="276">
        <v>0</v>
      </c>
      <c r="AR117" s="276">
        <v>1159</v>
      </c>
      <c r="AS117" s="276">
        <v>0</v>
      </c>
      <c r="AT117" s="276">
        <v>922</v>
      </c>
      <c r="AU117" s="276">
        <v>0</v>
      </c>
      <c r="AV117" s="276">
        <v>927</v>
      </c>
      <c r="AW117" s="276">
        <v>0</v>
      </c>
      <c r="AX117" s="276">
        <v>484</v>
      </c>
      <c r="AY117" s="276">
        <v>0</v>
      </c>
    </row>
    <row r="118" spans="2:51">
      <c r="B118" s="274">
        <v>10388</v>
      </c>
      <c r="C118" s="274" t="s">
        <v>121</v>
      </c>
      <c r="D118" s="276">
        <v>0</v>
      </c>
      <c r="E118" s="276">
        <v>0</v>
      </c>
      <c r="F118" s="276">
        <v>0</v>
      </c>
      <c r="G118" s="276">
        <v>0</v>
      </c>
      <c r="H118" s="276">
        <v>0</v>
      </c>
      <c r="I118" s="276">
        <v>0</v>
      </c>
      <c r="J118" s="276">
        <v>0</v>
      </c>
      <c r="K118" s="276">
        <v>0</v>
      </c>
      <c r="L118" s="276">
        <v>0</v>
      </c>
      <c r="M118" s="276">
        <v>0</v>
      </c>
      <c r="N118" s="276">
        <v>0</v>
      </c>
      <c r="O118" s="276">
        <v>0</v>
      </c>
      <c r="P118" s="276">
        <v>0</v>
      </c>
      <c r="Q118" s="276">
        <v>0</v>
      </c>
      <c r="R118" s="276">
        <v>0</v>
      </c>
      <c r="S118" s="276">
        <v>0</v>
      </c>
      <c r="T118" s="276">
        <v>0</v>
      </c>
      <c r="U118" s="276">
        <v>0</v>
      </c>
      <c r="V118" s="276">
        <v>0</v>
      </c>
      <c r="W118" s="276">
        <v>0</v>
      </c>
      <c r="X118" s="276">
        <v>0</v>
      </c>
      <c r="Y118" s="276">
        <v>0</v>
      </c>
      <c r="Z118" s="276">
        <v>0</v>
      </c>
      <c r="AA118" s="276">
        <v>0</v>
      </c>
      <c r="AB118" s="276">
        <v>0</v>
      </c>
      <c r="AC118" s="276">
        <v>0</v>
      </c>
      <c r="AD118" s="276">
        <v>0</v>
      </c>
      <c r="AE118" s="276">
        <v>0</v>
      </c>
      <c r="AF118" s="276">
        <v>0</v>
      </c>
      <c r="AG118" s="276">
        <v>0</v>
      </c>
      <c r="AH118" s="276">
        <v>0</v>
      </c>
      <c r="AI118" s="276">
        <v>0</v>
      </c>
      <c r="AJ118" s="276">
        <v>0</v>
      </c>
      <c r="AK118" s="276">
        <v>0</v>
      </c>
      <c r="AL118" s="276">
        <v>0</v>
      </c>
      <c r="AM118" s="276">
        <v>0</v>
      </c>
      <c r="AN118" s="276">
        <v>0</v>
      </c>
      <c r="AO118" s="276">
        <v>0</v>
      </c>
      <c r="AP118" s="276">
        <v>0</v>
      </c>
      <c r="AQ118" s="276">
        <v>0</v>
      </c>
      <c r="AR118" s="276">
        <v>0</v>
      </c>
      <c r="AS118" s="276">
        <v>0</v>
      </c>
      <c r="AT118" s="276">
        <v>0</v>
      </c>
      <c r="AU118" s="276">
        <v>0</v>
      </c>
      <c r="AV118" s="276">
        <v>0</v>
      </c>
      <c r="AW118" s="276">
        <v>0</v>
      </c>
      <c r="AX118" s="276">
        <v>0</v>
      </c>
      <c r="AY118" s="276">
        <v>0</v>
      </c>
    </row>
    <row r="119" spans="2:51">
      <c r="B119" s="274">
        <v>10391</v>
      </c>
      <c r="C119" s="274" t="s">
        <v>122</v>
      </c>
      <c r="D119" s="276">
        <v>947</v>
      </c>
      <c r="E119" s="276">
        <v>0</v>
      </c>
      <c r="F119" s="276">
        <v>1657</v>
      </c>
      <c r="G119" s="276">
        <v>0</v>
      </c>
      <c r="H119" s="276">
        <v>3927</v>
      </c>
      <c r="I119" s="276">
        <v>0</v>
      </c>
      <c r="J119" s="276">
        <v>4829</v>
      </c>
      <c r="K119" s="276">
        <v>0</v>
      </c>
      <c r="L119" s="276">
        <v>750</v>
      </c>
      <c r="M119" s="276">
        <v>0</v>
      </c>
      <c r="N119" s="276">
        <v>0</v>
      </c>
      <c r="O119" s="276">
        <v>0</v>
      </c>
      <c r="P119" s="276">
        <v>0</v>
      </c>
      <c r="Q119" s="276">
        <v>0</v>
      </c>
      <c r="R119" s="276">
        <v>1404</v>
      </c>
      <c r="S119" s="276">
        <v>0</v>
      </c>
      <c r="T119" s="276">
        <v>2224</v>
      </c>
      <c r="U119" s="276">
        <v>0</v>
      </c>
      <c r="V119" s="276">
        <v>8991</v>
      </c>
      <c r="W119" s="276">
        <v>0</v>
      </c>
      <c r="X119" s="276">
        <v>4715</v>
      </c>
      <c r="Y119" s="276">
        <v>0</v>
      </c>
      <c r="Z119" s="276">
        <v>0</v>
      </c>
      <c r="AA119" s="276">
        <v>0</v>
      </c>
      <c r="AB119" s="276">
        <v>1183</v>
      </c>
      <c r="AC119" s="276">
        <v>0</v>
      </c>
      <c r="AD119" s="276">
        <v>552</v>
      </c>
      <c r="AE119" s="276">
        <v>0</v>
      </c>
      <c r="AF119" s="276">
        <v>5636</v>
      </c>
      <c r="AG119" s="276">
        <v>0</v>
      </c>
      <c r="AH119" s="276">
        <v>3573</v>
      </c>
      <c r="AI119" s="276">
        <v>0</v>
      </c>
      <c r="AJ119" s="276">
        <v>139</v>
      </c>
      <c r="AK119" s="276">
        <v>0</v>
      </c>
      <c r="AL119" s="276">
        <v>1384</v>
      </c>
      <c r="AM119" s="276">
        <v>0</v>
      </c>
      <c r="AN119" s="276">
        <v>189</v>
      </c>
      <c r="AO119" s="276">
        <v>0</v>
      </c>
      <c r="AP119" s="276">
        <v>1619</v>
      </c>
      <c r="AQ119" s="276">
        <v>0</v>
      </c>
      <c r="AR119" s="276">
        <v>2441</v>
      </c>
      <c r="AS119" s="276">
        <v>0</v>
      </c>
      <c r="AT119" s="276">
        <v>9231</v>
      </c>
      <c r="AU119" s="276">
        <v>0</v>
      </c>
      <c r="AV119" s="276">
        <v>4927</v>
      </c>
      <c r="AW119" s="276">
        <v>0</v>
      </c>
      <c r="AX119" s="276">
        <v>0</v>
      </c>
      <c r="AY119" s="276">
        <v>0</v>
      </c>
    </row>
    <row r="120" spans="2:51">
      <c r="B120" s="274">
        <v>10406</v>
      </c>
      <c r="C120" s="274" t="s">
        <v>123</v>
      </c>
      <c r="D120" s="276">
        <v>120</v>
      </c>
      <c r="E120" s="276">
        <v>0</v>
      </c>
      <c r="F120" s="276">
        <v>166</v>
      </c>
      <c r="G120" s="276">
        <v>0</v>
      </c>
      <c r="H120" s="276">
        <v>48</v>
      </c>
      <c r="I120" s="276">
        <v>0</v>
      </c>
      <c r="J120" s="276">
        <v>172</v>
      </c>
      <c r="K120" s="276">
        <v>0</v>
      </c>
      <c r="L120" s="276">
        <v>105</v>
      </c>
      <c r="M120" s="276">
        <v>0</v>
      </c>
      <c r="N120" s="276">
        <v>249</v>
      </c>
      <c r="O120" s="276">
        <v>0</v>
      </c>
      <c r="P120" s="276">
        <v>45</v>
      </c>
      <c r="Q120" s="276">
        <v>0</v>
      </c>
      <c r="R120" s="276">
        <v>0</v>
      </c>
      <c r="S120" s="276">
        <v>0</v>
      </c>
      <c r="T120" s="276">
        <v>36</v>
      </c>
      <c r="U120" s="276">
        <v>0</v>
      </c>
      <c r="V120" s="276">
        <v>0</v>
      </c>
      <c r="W120" s="276">
        <v>0</v>
      </c>
      <c r="X120" s="276">
        <v>0</v>
      </c>
      <c r="Y120" s="276">
        <v>0</v>
      </c>
      <c r="Z120" s="276">
        <v>0</v>
      </c>
      <c r="AA120" s="276">
        <v>0</v>
      </c>
      <c r="AB120" s="276">
        <v>120</v>
      </c>
      <c r="AC120" s="276">
        <v>0</v>
      </c>
      <c r="AD120" s="276">
        <v>167</v>
      </c>
      <c r="AE120" s="276">
        <v>0</v>
      </c>
      <c r="AF120" s="276">
        <v>47</v>
      </c>
      <c r="AG120" s="276">
        <v>0</v>
      </c>
      <c r="AH120" s="276">
        <v>173</v>
      </c>
      <c r="AI120" s="276">
        <v>0</v>
      </c>
      <c r="AJ120" s="276">
        <v>102</v>
      </c>
      <c r="AK120" s="276">
        <v>0</v>
      </c>
      <c r="AL120" s="276">
        <v>248</v>
      </c>
      <c r="AM120" s="276">
        <v>0</v>
      </c>
      <c r="AN120" s="276">
        <v>45</v>
      </c>
      <c r="AO120" s="276">
        <v>0</v>
      </c>
      <c r="AP120" s="276">
        <v>0</v>
      </c>
      <c r="AQ120" s="276">
        <v>0</v>
      </c>
      <c r="AR120" s="276">
        <v>36</v>
      </c>
      <c r="AS120" s="276">
        <v>0</v>
      </c>
      <c r="AT120" s="276">
        <v>0</v>
      </c>
      <c r="AU120" s="276">
        <v>0</v>
      </c>
      <c r="AV120" s="276">
        <v>0</v>
      </c>
      <c r="AW120" s="276">
        <v>0</v>
      </c>
      <c r="AX120" s="276">
        <v>0</v>
      </c>
      <c r="AY120" s="276">
        <v>0</v>
      </c>
    </row>
    <row r="121" spans="2:51">
      <c r="B121" s="274">
        <v>10408</v>
      </c>
      <c r="C121" s="274" t="s">
        <v>124</v>
      </c>
      <c r="D121" s="276">
        <v>151</v>
      </c>
      <c r="E121" s="276">
        <v>0</v>
      </c>
      <c r="F121" s="276">
        <v>215</v>
      </c>
      <c r="G121" s="276">
        <v>0</v>
      </c>
      <c r="H121" s="276">
        <v>211</v>
      </c>
      <c r="I121" s="276">
        <v>0</v>
      </c>
      <c r="J121" s="276">
        <v>195</v>
      </c>
      <c r="K121" s="276">
        <v>0</v>
      </c>
      <c r="L121" s="276">
        <v>281</v>
      </c>
      <c r="M121" s="276">
        <v>0</v>
      </c>
      <c r="N121" s="276">
        <v>396</v>
      </c>
      <c r="O121" s="276">
        <v>0</v>
      </c>
      <c r="P121" s="276">
        <v>164</v>
      </c>
      <c r="Q121" s="276">
        <v>0</v>
      </c>
      <c r="R121" s="276">
        <v>89</v>
      </c>
      <c r="S121" s="276">
        <v>0</v>
      </c>
      <c r="T121" s="276">
        <v>298</v>
      </c>
      <c r="U121" s="276">
        <v>0</v>
      </c>
      <c r="V121" s="276">
        <v>139</v>
      </c>
      <c r="W121" s="276">
        <v>0</v>
      </c>
      <c r="X121" s="276">
        <v>476</v>
      </c>
      <c r="Y121" s="276">
        <v>0</v>
      </c>
      <c r="Z121" s="276">
        <v>0</v>
      </c>
      <c r="AA121" s="276">
        <v>0</v>
      </c>
      <c r="AB121" s="276">
        <v>151</v>
      </c>
      <c r="AC121" s="276">
        <v>0</v>
      </c>
      <c r="AD121" s="276">
        <v>144</v>
      </c>
      <c r="AE121" s="276">
        <v>0</v>
      </c>
      <c r="AF121" s="276">
        <v>282</v>
      </c>
      <c r="AG121" s="276">
        <v>0</v>
      </c>
      <c r="AH121" s="276">
        <v>123</v>
      </c>
      <c r="AI121" s="276">
        <v>0</v>
      </c>
      <c r="AJ121" s="276">
        <v>266</v>
      </c>
      <c r="AK121" s="276">
        <v>0</v>
      </c>
      <c r="AL121" s="276">
        <v>460</v>
      </c>
      <c r="AM121" s="276">
        <v>0</v>
      </c>
      <c r="AN121" s="276">
        <v>164</v>
      </c>
      <c r="AO121" s="276">
        <v>0</v>
      </c>
      <c r="AP121" s="276">
        <v>89</v>
      </c>
      <c r="AQ121" s="276">
        <v>0</v>
      </c>
      <c r="AR121" s="276">
        <v>298</v>
      </c>
      <c r="AS121" s="276">
        <v>0</v>
      </c>
      <c r="AT121" s="276">
        <v>139</v>
      </c>
      <c r="AU121" s="276">
        <v>0</v>
      </c>
      <c r="AV121" s="276">
        <v>476</v>
      </c>
      <c r="AW121" s="276">
        <v>0</v>
      </c>
      <c r="AX121" s="276">
        <v>0</v>
      </c>
      <c r="AY121" s="276">
        <v>0</v>
      </c>
    </row>
    <row r="122" spans="2:51">
      <c r="B122" s="274">
        <v>10409</v>
      </c>
      <c r="C122" s="274" t="s">
        <v>125</v>
      </c>
      <c r="D122" s="276">
        <v>638</v>
      </c>
      <c r="E122" s="276">
        <v>0</v>
      </c>
      <c r="F122" s="276">
        <v>90</v>
      </c>
      <c r="G122" s="276">
        <v>0</v>
      </c>
      <c r="H122" s="276">
        <v>1354</v>
      </c>
      <c r="I122" s="276">
        <v>0</v>
      </c>
      <c r="J122" s="276">
        <v>993</v>
      </c>
      <c r="K122" s="276">
        <v>0</v>
      </c>
      <c r="L122" s="276">
        <v>1548</v>
      </c>
      <c r="M122" s="276">
        <v>0</v>
      </c>
      <c r="N122" s="276">
        <v>860</v>
      </c>
      <c r="O122" s="276">
        <v>0</v>
      </c>
      <c r="P122" s="276">
        <v>275</v>
      </c>
      <c r="Q122" s="276">
        <v>0</v>
      </c>
      <c r="R122" s="276">
        <v>37</v>
      </c>
      <c r="S122" s="276">
        <v>0</v>
      </c>
      <c r="T122" s="276">
        <v>1009</v>
      </c>
      <c r="U122" s="276">
        <v>0</v>
      </c>
      <c r="V122" s="276">
        <v>950</v>
      </c>
      <c r="W122" s="276">
        <v>0</v>
      </c>
      <c r="X122" s="276">
        <v>736</v>
      </c>
      <c r="Y122" s="276">
        <v>0</v>
      </c>
      <c r="Z122" s="276">
        <v>0</v>
      </c>
      <c r="AA122" s="276">
        <v>0</v>
      </c>
      <c r="AB122" s="276">
        <v>638</v>
      </c>
      <c r="AC122" s="276">
        <v>0</v>
      </c>
      <c r="AD122" s="276">
        <v>54</v>
      </c>
      <c r="AE122" s="276">
        <v>0</v>
      </c>
      <c r="AF122" s="276">
        <v>1390</v>
      </c>
      <c r="AG122" s="276">
        <v>0</v>
      </c>
      <c r="AH122" s="276">
        <v>1610</v>
      </c>
      <c r="AI122" s="276">
        <v>0</v>
      </c>
      <c r="AJ122" s="276">
        <v>2257</v>
      </c>
      <c r="AK122" s="276">
        <v>0</v>
      </c>
      <c r="AL122" s="276">
        <v>1610</v>
      </c>
      <c r="AM122" s="276">
        <v>0</v>
      </c>
      <c r="AN122" s="276">
        <v>2409</v>
      </c>
      <c r="AO122" s="276">
        <v>0</v>
      </c>
      <c r="AP122" s="276">
        <v>3125</v>
      </c>
      <c r="AQ122" s="276">
        <v>0</v>
      </c>
      <c r="AR122" s="276">
        <v>4340</v>
      </c>
      <c r="AS122" s="276">
        <v>0</v>
      </c>
      <c r="AT122" s="276">
        <v>4455</v>
      </c>
      <c r="AU122" s="276">
        <v>0</v>
      </c>
      <c r="AV122" s="276">
        <v>3739</v>
      </c>
      <c r="AW122" s="276">
        <v>0</v>
      </c>
      <c r="AX122" s="276">
        <v>3330</v>
      </c>
      <c r="AY122" s="276">
        <v>0</v>
      </c>
    </row>
    <row r="123" spans="2:51">
      <c r="B123" s="274">
        <v>10426</v>
      </c>
      <c r="C123" s="274" t="s">
        <v>126</v>
      </c>
      <c r="D123" s="276">
        <v>0</v>
      </c>
      <c r="E123" s="276">
        <v>0</v>
      </c>
      <c r="F123" s="276">
        <v>0</v>
      </c>
      <c r="G123" s="276">
        <v>0</v>
      </c>
      <c r="H123" s="276">
        <v>0</v>
      </c>
      <c r="I123" s="276">
        <v>0</v>
      </c>
      <c r="J123" s="276">
        <v>0</v>
      </c>
      <c r="K123" s="276">
        <v>0</v>
      </c>
      <c r="L123" s="276">
        <v>0</v>
      </c>
      <c r="M123" s="276">
        <v>0</v>
      </c>
      <c r="N123" s="276">
        <v>0</v>
      </c>
      <c r="O123" s="276">
        <v>0</v>
      </c>
      <c r="P123" s="276">
        <v>0</v>
      </c>
      <c r="Q123" s="276">
        <v>0</v>
      </c>
      <c r="R123" s="276">
        <v>0</v>
      </c>
      <c r="S123" s="276">
        <v>0</v>
      </c>
      <c r="T123" s="276">
        <v>0</v>
      </c>
      <c r="U123" s="276">
        <v>0</v>
      </c>
      <c r="V123" s="276">
        <v>0</v>
      </c>
      <c r="W123" s="276">
        <v>0</v>
      </c>
      <c r="X123" s="276">
        <v>0</v>
      </c>
      <c r="Y123" s="276">
        <v>0</v>
      </c>
      <c r="Z123" s="276">
        <v>0</v>
      </c>
      <c r="AA123" s="276">
        <v>0</v>
      </c>
      <c r="AB123" s="276">
        <v>0</v>
      </c>
      <c r="AC123" s="276">
        <v>0</v>
      </c>
      <c r="AD123" s="276">
        <v>0</v>
      </c>
      <c r="AE123" s="276">
        <v>0</v>
      </c>
      <c r="AF123" s="276">
        <v>263</v>
      </c>
      <c r="AG123" s="276">
        <v>0</v>
      </c>
      <c r="AH123" s="276">
        <v>5815</v>
      </c>
      <c r="AI123" s="276">
        <v>0</v>
      </c>
      <c r="AJ123" s="276">
        <v>0</v>
      </c>
      <c r="AK123" s="276">
        <v>0</v>
      </c>
      <c r="AL123" s="276">
        <v>1491</v>
      </c>
      <c r="AM123" s="276">
        <v>0</v>
      </c>
      <c r="AN123" s="276">
        <v>0</v>
      </c>
      <c r="AO123" s="276">
        <v>0</v>
      </c>
      <c r="AP123" s="276">
        <v>0</v>
      </c>
      <c r="AQ123" s="276">
        <v>0</v>
      </c>
      <c r="AR123" s="276">
        <v>0</v>
      </c>
      <c r="AS123" s="276">
        <v>0</v>
      </c>
      <c r="AT123" s="276">
        <v>0</v>
      </c>
      <c r="AU123" s="276">
        <v>0</v>
      </c>
      <c r="AV123" s="276">
        <v>0</v>
      </c>
      <c r="AW123" s="276">
        <v>0</v>
      </c>
      <c r="AX123" s="276">
        <v>0</v>
      </c>
      <c r="AY123" s="276">
        <v>0</v>
      </c>
    </row>
    <row r="124" spans="2:51">
      <c r="B124" s="274">
        <v>10434</v>
      </c>
      <c r="C124" s="274" t="s">
        <v>127</v>
      </c>
      <c r="D124" s="276">
        <v>4663</v>
      </c>
      <c r="E124" s="276">
        <v>0</v>
      </c>
      <c r="F124" s="276">
        <v>4288</v>
      </c>
      <c r="G124" s="276">
        <v>0</v>
      </c>
      <c r="H124" s="276">
        <v>4996</v>
      </c>
      <c r="I124" s="276">
        <v>0</v>
      </c>
      <c r="J124" s="276">
        <v>6261</v>
      </c>
      <c r="K124" s="276">
        <v>0</v>
      </c>
      <c r="L124" s="276">
        <v>3055</v>
      </c>
      <c r="M124" s="276">
        <v>0</v>
      </c>
      <c r="N124" s="276">
        <v>4161</v>
      </c>
      <c r="O124" s="276">
        <v>0</v>
      </c>
      <c r="P124" s="276">
        <v>5379</v>
      </c>
      <c r="Q124" s="276">
        <v>0</v>
      </c>
      <c r="R124" s="276">
        <v>2677</v>
      </c>
      <c r="S124" s="276">
        <v>0</v>
      </c>
      <c r="T124" s="276">
        <v>5487</v>
      </c>
      <c r="U124" s="276">
        <v>0</v>
      </c>
      <c r="V124" s="276">
        <v>5381</v>
      </c>
      <c r="W124" s="276">
        <v>0</v>
      </c>
      <c r="X124" s="276">
        <v>3443</v>
      </c>
      <c r="Y124" s="276">
        <v>0</v>
      </c>
      <c r="Z124" s="276">
        <v>7048</v>
      </c>
      <c r="AA124" s="276">
        <v>0</v>
      </c>
      <c r="AB124" s="276">
        <v>4716</v>
      </c>
      <c r="AC124" s="276">
        <v>0</v>
      </c>
      <c r="AD124" s="276">
        <v>2987</v>
      </c>
      <c r="AE124" s="276">
        <v>0</v>
      </c>
      <c r="AF124" s="276">
        <v>6568</v>
      </c>
      <c r="AG124" s="276">
        <v>0</v>
      </c>
      <c r="AH124" s="276">
        <v>4805</v>
      </c>
      <c r="AI124" s="276">
        <v>0</v>
      </c>
      <c r="AJ124" s="276">
        <v>3278</v>
      </c>
      <c r="AK124" s="276">
        <v>0</v>
      </c>
      <c r="AL124" s="276">
        <v>5327</v>
      </c>
      <c r="AM124" s="276">
        <v>0</v>
      </c>
      <c r="AN124" s="276">
        <v>5426</v>
      </c>
      <c r="AO124" s="276">
        <v>0</v>
      </c>
      <c r="AP124" s="276">
        <v>2718</v>
      </c>
      <c r="AQ124" s="276">
        <v>0</v>
      </c>
      <c r="AR124" s="276">
        <v>5558</v>
      </c>
      <c r="AS124" s="276">
        <v>0</v>
      </c>
      <c r="AT124" s="276">
        <v>5447</v>
      </c>
      <c r="AU124" s="276">
        <v>0</v>
      </c>
      <c r="AV124" s="276">
        <v>3506</v>
      </c>
      <c r="AW124" s="276">
        <v>0</v>
      </c>
      <c r="AX124" s="276">
        <v>7111</v>
      </c>
      <c r="AY124" s="276">
        <v>0</v>
      </c>
    </row>
    <row r="125" spans="2:51">
      <c r="B125" s="274">
        <v>10436</v>
      </c>
      <c r="C125" s="274" t="s">
        <v>128</v>
      </c>
      <c r="D125" s="276">
        <v>2867</v>
      </c>
      <c r="E125" s="276">
        <v>0</v>
      </c>
      <c r="F125" s="276">
        <v>2642</v>
      </c>
      <c r="G125" s="276">
        <v>0</v>
      </c>
      <c r="H125" s="276">
        <v>1907</v>
      </c>
      <c r="I125" s="276">
        <v>0</v>
      </c>
      <c r="J125" s="276">
        <v>4555</v>
      </c>
      <c r="K125" s="276">
        <v>0</v>
      </c>
      <c r="L125" s="276">
        <v>2178</v>
      </c>
      <c r="M125" s="276">
        <v>0</v>
      </c>
      <c r="N125" s="276">
        <v>1913</v>
      </c>
      <c r="O125" s="276">
        <v>0</v>
      </c>
      <c r="P125" s="276">
        <v>3650</v>
      </c>
      <c r="Q125" s="276">
        <v>0</v>
      </c>
      <c r="R125" s="276">
        <v>3076</v>
      </c>
      <c r="S125" s="276">
        <v>0</v>
      </c>
      <c r="T125" s="276">
        <v>5882</v>
      </c>
      <c r="U125" s="276">
        <v>0</v>
      </c>
      <c r="V125" s="276">
        <v>6066</v>
      </c>
      <c r="W125" s="276">
        <v>0</v>
      </c>
      <c r="X125" s="276">
        <v>5027</v>
      </c>
      <c r="Y125" s="276">
        <v>0</v>
      </c>
      <c r="Z125" s="276">
        <v>4123</v>
      </c>
      <c r="AA125" s="276">
        <v>0</v>
      </c>
      <c r="AB125" s="276">
        <v>2927</v>
      </c>
      <c r="AC125" s="276">
        <v>0</v>
      </c>
      <c r="AD125" s="276">
        <v>1990</v>
      </c>
      <c r="AE125" s="276">
        <v>0</v>
      </c>
      <c r="AF125" s="276">
        <v>2819</v>
      </c>
      <c r="AG125" s="276">
        <v>0</v>
      </c>
      <c r="AH125" s="276">
        <v>3817</v>
      </c>
      <c r="AI125" s="276">
        <v>0</v>
      </c>
      <c r="AJ125" s="276">
        <v>2429</v>
      </c>
      <c r="AK125" s="276">
        <v>0</v>
      </c>
      <c r="AL125" s="276">
        <v>2580</v>
      </c>
      <c r="AM125" s="276">
        <v>0</v>
      </c>
      <c r="AN125" s="276">
        <v>3705</v>
      </c>
      <c r="AO125" s="276">
        <v>0</v>
      </c>
      <c r="AP125" s="276">
        <v>3172</v>
      </c>
      <c r="AQ125" s="276">
        <v>0</v>
      </c>
      <c r="AR125" s="276">
        <v>5974</v>
      </c>
      <c r="AS125" s="276">
        <v>0</v>
      </c>
      <c r="AT125" s="276">
        <v>6148</v>
      </c>
      <c r="AU125" s="276">
        <v>0</v>
      </c>
      <c r="AV125" s="276">
        <v>5110</v>
      </c>
      <c r="AW125" s="276">
        <v>0</v>
      </c>
      <c r="AX125" s="276">
        <v>4201</v>
      </c>
      <c r="AY125" s="276">
        <v>0</v>
      </c>
    </row>
    <row r="126" spans="2:51">
      <c r="B126" s="274">
        <v>10440</v>
      </c>
      <c r="C126" s="274" t="s">
        <v>129</v>
      </c>
      <c r="D126" s="276">
        <v>327</v>
      </c>
      <c r="E126" s="276">
        <v>0</v>
      </c>
      <c r="F126" s="276">
        <v>822</v>
      </c>
      <c r="G126" s="276">
        <v>0</v>
      </c>
      <c r="H126" s="276">
        <v>1431</v>
      </c>
      <c r="I126" s="276">
        <v>0</v>
      </c>
      <c r="J126" s="276">
        <v>1427</v>
      </c>
      <c r="K126" s="276">
        <v>0</v>
      </c>
      <c r="L126" s="276">
        <v>1066</v>
      </c>
      <c r="M126" s="276">
        <v>0</v>
      </c>
      <c r="N126" s="276">
        <v>1676</v>
      </c>
      <c r="O126" s="276">
        <v>0</v>
      </c>
      <c r="P126" s="276">
        <v>849</v>
      </c>
      <c r="Q126" s="276">
        <v>0</v>
      </c>
      <c r="R126" s="276">
        <v>0</v>
      </c>
      <c r="S126" s="276">
        <v>0</v>
      </c>
      <c r="T126" s="276">
        <v>76</v>
      </c>
      <c r="U126" s="276">
        <v>0</v>
      </c>
      <c r="V126" s="276">
        <v>407</v>
      </c>
      <c r="W126" s="276">
        <v>0</v>
      </c>
      <c r="X126" s="276">
        <v>573</v>
      </c>
      <c r="Y126" s="276">
        <v>0</v>
      </c>
      <c r="Z126" s="276">
        <v>0</v>
      </c>
      <c r="AA126" s="276">
        <v>0</v>
      </c>
      <c r="AB126" s="276">
        <v>327</v>
      </c>
      <c r="AC126" s="276">
        <v>0</v>
      </c>
      <c r="AD126" s="276">
        <v>843</v>
      </c>
      <c r="AE126" s="276">
        <v>0</v>
      </c>
      <c r="AF126" s="276">
        <v>1410</v>
      </c>
      <c r="AG126" s="276">
        <v>0</v>
      </c>
      <c r="AH126" s="276">
        <v>1450</v>
      </c>
      <c r="AI126" s="276">
        <v>0</v>
      </c>
      <c r="AJ126" s="276">
        <v>1067</v>
      </c>
      <c r="AK126" s="276">
        <v>0</v>
      </c>
      <c r="AL126" s="276">
        <v>1659</v>
      </c>
      <c r="AM126" s="276">
        <v>0</v>
      </c>
      <c r="AN126" s="276">
        <v>849</v>
      </c>
      <c r="AO126" s="276">
        <v>0</v>
      </c>
      <c r="AP126" s="276">
        <v>0</v>
      </c>
      <c r="AQ126" s="276">
        <v>0</v>
      </c>
      <c r="AR126" s="276">
        <v>76</v>
      </c>
      <c r="AS126" s="276">
        <v>0</v>
      </c>
      <c r="AT126" s="276">
        <v>407</v>
      </c>
      <c r="AU126" s="276">
        <v>0</v>
      </c>
      <c r="AV126" s="276">
        <v>573</v>
      </c>
      <c r="AW126" s="276">
        <v>0</v>
      </c>
      <c r="AX126" s="276">
        <v>0</v>
      </c>
      <c r="AY126" s="276">
        <v>0</v>
      </c>
    </row>
    <row r="127" spans="2:51">
      <c r="B127" s="274">
        <v>10442</v>
      </c>
      <c r="C127" s="274" t="s">
        <v>130</v>
      </c>
      <c r="D127" s="276">
        <v>2698</v>
      </c>
      <c r="E127" s="276">
        <v>0</v>
      </c>
      <c r="F127" s="276">
        <v>4906</v>
      </c>
      <c r="G127" s="276">
        <v>0</v>
      </c>
      <c r="H127" s="276">
        <v>5337</v>
      </c>
      <c r="I127" s="276">
        <v>0</v>
      </c>
      <c r="J127" s="276">
        <v>3532</v>
      </c>
      <c r="K127" s="276">
        <v>0</v>
      </c>
      <c r="L127" s="276">
        <v>3010</v>
      </c>
      <c r="M127" s="276">
        <v>0</v>
      </c>
      <c r="N127" s="276">
        <v>2926</v>
      </c>
      <c r="O127" s="276">
        <v>0</v>
      </c>
      <c r="P127" s="276">
        <v>2141</v>
      </c>
      <c r="Q127" s="276">
        <v>0</v>
      </c>
      <c r="R127" s="276">
        <v>2206</v>
      </c>
      <c r="S127" s="276">
        <v>0</v>
      </c>
      <c r="T127" s="276">
        <v>3072</v>
      </c>
      <c r="U127" s="276">
        <v>0</v>
      </c>
      <c r="V127" s="276">
        <v>3061</v>
      </c>
      <c r="W127" s="276">
        <v>0</v>
      </c>
      <c r="X127" s="276">
        <v>2566</v>
      </c>
      <c r="Y127" s="276">
        <v>0</v>
      </c>
      <c r="Z127" s="276">
        <v>1171</v>
      </c>
      <c r="AA127" s="276">
        <v>0</v>
      </c>
      <c r="AB127" s="276">
        <v>2698</v>
      </c>
      <c r="AC127" s="276">
        <v>0</v>
      </c>
      <c r="AD127" s="276">
        <v>4944</v>
      </c>
      <c r="AE127" s="276">
        <v>0</v>
      </c>
      <c r="AF127" s="276">
        <v>5319</v>
      </c>
      <c r="AG127" s="276">
        <v>0</v>
      </c>
      <c r="AH127" s="276">
        <v>3555</v>
      </c>
      <c r="AI127" s="276">
        <v>0</v>
      </c>
      <c r="AJ127" s="276">
        <v>1917</v>
      </c>
      <c r="AK127" s="276">
        <v>0</v>
      </c>
      <c r="AL127" s="276">
        <v>2910</v>
      </c>
      <c r="AM127" s="276">
        <v>0</v>
      </c>
      <c r="AN127" s="276">
        <v>2142</v>
      </c>
      <c r="AO127" s="276">
        <v>0</v>
      </c>
      <c r="AP127" s="276">
        <v>2207</v>
      </c>
      <c r="AQ127" s="276">
        <v>0</v>
      </c>
      <c r="AR127" s="276">
        <v>3072</v>
      </c>
      <c r="AS127" s="276">
        <v>0</v>
      </c>
      <c r="AT127" s="276">
        <v>3061</v>
      </c>
      <c r="AU127" s="276">
        <v>0</v>
      </c>
      <c r="AV127" s="276">
        <v>2566</v>
      </c>
      <c r="AW127" s="276">
        <v>0</v>
      </c>
      <c r="AX127" s="276">
        <v>1171</v>
      </c>
      <c r="AY127" s="276">
        <v>0</v>
      </c>
    </row>
    <row r="128" spans="2:51">
      <c r="B128" s="274">
        <v>10446</v>
      </c>
      <c r="C128" s="274" t="s">
        <v>131</v>
      </c>
      <c r="D128" s="276">
        <v>6490</v>
      </c>
      <c r="E128" s="276">
        <v>0</v>
      </c>
      <c r="F128" s="276">
        <v>6538</v>
      </c>
      <c r="G128" s="276">
        <v>0</v>
      </c>
      <c r="H128" s="276">
        <v>9813</v>
      </c>
      <c r="I128" s="276">
        <v>0</v>
      </c>
      <c r="J128" s="276">
        <v>9354</v>
      </c>
      <c r="K128" s="276">
        <v>0</v>
      </c>
      <c r="L128" s="276">
        <v>6296</v>
      </c>
      <c r="M128" s="276">
        <v>0</v>
      </c>
      <c r="N128" s="276">
        <v>9809</v>
      </c>
      <c r="O128" s="276">
        <v>0</v>
      </c>
      <c r="P128" s="276">
        <v>8290</v>
      </c>
      <c r="Q128" s="276">
        <v>0</v>
      </c>
      <c r="R128" s="276">
        <v>6637</v>
      </c>
      <c r="S128" s="276">
        <v>0</v>
      </c>
      <c r="T128" s="276">
        <v>9108</v>
      </c>
      <c r="U128" s="276">
        <v>0</v>
      </c>
      <c r="V128" s="276">
        <v>9336</v>
      </c>
      <c r="W128" s="276">
        <v>0</v>
      </c>
      <c r="X128" s="276">
        <v>9045</v>
      </c>
      <c r="Y128" s="276">
        <v>0</v>
      </c>
      <c r="Z128" s="276">
        <v>9458</v>
      </c>
      <c r="AA128" s="276">
        <v>0</v>
      </c>
      <c r="AB128" s="276">
        <v>6530</v>
      </c>
      <c r="AC128" s="276">
        <v>0</v>
      </c>
      <c r="AD128" s="276">
        <v>6559</v>
      </c>
      <c r="AE128" s="276">
        <v>0</v>
      </c>
      <c r="AF128" s="276">
        <v>9873</v>
      </c>
      <c r="AG128" s="276">
        <v>0</v>
      </c>
      <c r="AH128" s="276">
        <v>9376</v>
      </c>
      <c r="AI128" s="276">
        <v>0</v>
      </c>
      <c r="AJ128" s="276">
        <v>6424</v>
      </c>
      <c r="AK128" s="276">
        <v>0</v>
      </c>
      <c r="AL128" s="276">
        <v>9862</v>
      </c>
      <c r="AM128" s="276">
        <v>0</v>
      </c>
      <c r="AN128" s="276">
        <v>8327</v>
      </c>
      <c r="AO128" s="276">
        <v>0</v>
      </c>
      <c r="AP128" s="276">
        <v>6661</v>
      </c>
      <c r="AQ128" s="276">
        <v>0</v>
      </c>
      <c r="AR128" s="276">
        <v>9487</v>
      </c>
      <c r="AS128" s="276">
        <v>0</v>
      </c>
      <c r="AT128" s="276">
        <v>9753</v>
      </c>
      <c r="AU128" s="276">
        <v>0</v>
      </c>
      <c r="AV128" s="276">
        <v>9397</v>
      </c>
      <c r="AW128" s="276">
        <v>0</v>
      </c>
      <c r="AX128" s="276">
        <v>9850</v>
      </c>
      <c r="AY128" s="276">
        <v>0</v>
      </c>
    </row>
    <row r="129" spans="2:51">
      <c r="B129" s="274">
        <v>10448</v>
      </c>
      <c r="C129" s="274" t="s">
        <v>132</v>
      </c>
      <c r="D129" s="276">
        <v>0</v>
      </c>
      <c r="E129" s="276">
        <v>0</v>
      </c>
      <c r="F129" s="276">
        <v>0</v>
      </c>
      <c r="G129" s="276">
        <v>0</v>
      </c>
      <c r="H129" s="276">
        <v>0</v>
      </c>
      <c r="I129" s="276">
        <v>0</v>
      </c>
      <c r="J129" s="276">
        <v>0</v>
      </c>
      <c r="K129" s="276">
        <v>0</v>
      </c>
      <c r="L129" s="276">
        <v>0</v>
      </c>
      <c r="M129" s="276">
        <v>0</v>
      </c>
      <c r="N129" s="276">
        <v>0</v>
      </c>
      <c r="O129" s="276">
        <v>0</v>
      </c>
      <c r="P129" s="276">
        <v>0</v>
      </c>
      <c r="Q129" s="276">
        <v>0</v>
      </c>
      <c r="R129" s="276">
        <v>0</v>
      </c>
      <c r="S129" s="276">
        <v>0</v>
      </c>
      <c r="T129" s="276">
        <v>0</v>
      </c>
      <c r="U129" s="276">
        <v>0</v>
      </c>
      <c r="V129" s="276">
        <v>0</v>
      </c>
      <c r="W129" s="276">
        <v>0</v>
      </c>
      <c r="X129" s="276">
        <v>0</v>
      </c>
      <c r="Y129" s="276">
        <v>0</v>
      </c>
      <c r="Z129" s="276">
        <v>0</v>
      </c>
      <c r="AA129" s="276">
        <v>0</v>
      </c>
      <c r="AB129" s="276">
        <v>0</v>
      </c>
      <c r="AC129" s="276">
        <v>0</v>
      </c>
      <c r="AD129" s="276">
        <v>0</v>
      </c>
      <c r="AE129" s="276">
        <v>0</v>
      </c>
      <c r="AF129" s="276">
        <v>0</v>
      </c>
      <c r="AG129" s="276">
        <v>0</v>
      </c>
      <c r="AH129" s="276">
        <v>0</v>
      </c>
      <c r="AI129" s="276">
        <v>0</v>
      </c>
      <c r="AJ129" s="276">
        <v>0</v>
      </c>
      <c r="AK129" s="276">
        <v>0</v>
      </c>
      <c r="AL129" s="276">
        <v>0</v>
      </c>
      <c r="AM129" s="276">
        <v>0</v>
      </c>
      <c r="AN129" s="276">
        <v>0</v>
      </c>
      <c r="AO129" s="276">
        <v>0</v>
      </c>
      <c r="AP129" s="276">
        <v>0</v>
      </c>
      <c r="AQ129" s="276">
        <v>0</v>
      </c>
      <c r="AR129" s="276">
        <v>0</v>
      </c>
      <c r="AS129" s="276">
        <v>0</v>
      </c>
      <c r="AT129" s="276">
        <v>0</v>
      </c>
      <c r="AU129" s="276">
        <v>0</v>
      </c>
      <c r="AV129" s="276">
        <v>0</v>
      </c>
      <c r="AW129" s="276">
        <v>0</v>
      </c>
      <c r="AX129" s="276">
        <v>0</v>
      </c>
      <c r="AY129" s="276">
        <v>0</v>
      </c>
    </row>
    <row r="130" spans="2:51">
      <c r="B130" s="274">
        <v>10451</v>
      </c>
      <c r="C130" s="274" t="s">
        <v>133</v>
      </c>
      <c r="D130" s="276">
        <v>1699</v>
      </c>
      <c r="E130" s="276">
        <v>0</v>
      </c>
      <c r="F130" s="276">
        <v>2129</v>
      </c>
      <c r="G130" s="276">
        <v>0</v>
      </c>
      <c r="H130" s="276">
        <v>2429</v>
      </c>
      <c r="I130" s="276">
        <v>0</v>
      </c>
      <c r="J130" s="276">
        <v>1954</v>
      </c>
      <c r="K130" s="276">
        <v>0</v>
      </c>
      <c r="L130" s="276">
        <v>0</v>
      </c>
      <c r="M130" s="276">
        <v>0</v>
      </c>
      <c r="N130" s="276">
        <v>0</v>
      </c>
      <c r="O130" s="276">
        <v>0</v>
      </c>
      <c r="P130" s="276">
        <v>2018</v>
      </c>
      <c r="Q130" s="276">
        <v>0</v>
      </c>
      <c r="R130" s="276">
        <v>1791</v>
      </c>
      <c r="S130" s="276">
        <v>0</v>
      </c>
      <c r="T130" s="276">
        <v>2234</v>
      </c>
      <c r="U130" s="276">
        <v>0</v>
      </c>
      <c r="V130" s="276">
        <v>1542</v>
      </c>
      <c r="W130" s="276">
        <v>0</v>
      </c>
      <c r="X130" s="276">
        <v>1793</v>
      </c>
      <c r="Y130" s="276">
        <v>0</v>
      </c>
      <c r="Z130" s="276">
        <v>1632</v>
      </c>
      <c r="AA130" s="276">
        <v>0</v>
      </c>
      <c r="AB130" s="276">
        <v>1699</v>
      </c>
      <c r="AC130" s="276">
        <v>0</v>
      </c>
      <c r="AD130" s="276">
        <v>2170</v>
      </c>
      <c r="AE130" s="276">
        <v>0</v>
      </c>
      <c r="AF130" s="276">
        <v>2391</v>
      </c>
      <c r="AG130" s="276">
        <v>0</v>
      </c>
      <c r="AH130" s="276">
        <v>1993</v>
      </c>
      <c r="AI130" s="276">
        <v>0</v>
      </c>
      <c r="AJ130" s="276">
        <v>6047</v>
      </c>
      <c r="AK130" s="276">
        <v>0</v>
      </c>
      <c r="AL130" s="276">
        <v>10220</v>
      </c>
      <c r="AM130" s="276">
        <v>0</v>
      </c>
      <c r="AN130" s="276">
        <v>2018</v>
      </c>
      <c r="AO130" s="276">
        <v>0</v>
      </c>
      <c r="AP130" s="276">
        <v>1791</v>
      </c>
      <c r="AQ130" s="276">
        <v>0</v>
      </c>
      <c r="AR130" s="276">
        <v>2234</v>
      </c>
      <c r="AS130" s="276">
        <v>0</v>
      </c>
      <c r="AT130" s="276">
        <v>1542</v>
      </c>
      <c r="AU130" s="276">
        <v>0</v>
      </c>
      <c r="AV130" s="276">
        <v>1793</v>
      </c>
      <c r="AW130" s="276">
        <v>0</v>
      </c>
      <c r="AX130" s="276">
        <v>1632</v>
      </c>
      <c r="AY130" s="276">
        <v>0</v>
      </c>
    </row>
    <row r="131" spans="2:51">
      <c r="B131" s="274">
        <v>10482</v>
      </c>
      <c r="C131" s="274" t="s">
        <v>134</v>
      </c>
      <c r="D131" s="276">
        <v>178</v>
      </c>
      <c r="E131" s="276">
        <v>0</v>
      </c>
      <c r="F131" s="276">
        <v>354</v>
      </c>
      <c r="G131" s="276">
        <v>0</v>
      </c>
      <c r="H131" s="276">
        <v>381</v>
      </c>
      <c r="I131" s="276">
        <v>0</v>
      </c>
      <c r="J131" s="276">
        <v>413</v>
      </c>
      <c r="K131" s="276">
        <v>0</v>
      </c>
      <c r="L131" s="276">
        <v>289</v>
      </c>
      <c r="M131" s="276">
        <v>0</v>
      </c>
      <c r="N131" s="276">
        <v>282</v>
      </c>
      <c r="O131" s="276">
        <v>0</v>
      </c>
      <c r="P131" s="276">
        <v>273</v>
      </c>
      <c r="Q131" s="276">
        <v>0</v>
      </c>
      <c r="R131" s="276">
        <v>321</v>
      </c>
      <c r="S131" s="276">
        <v>0</v>
      </c>
      <c r="T131" s="276">
        <v>541</v>
      </c>
      <c r="U131" s="276">
        <v>0</v>
      </c>
      <c r="V131" s="276">
        <v>513</v>
      </c>
      <c r="W131" s="276">
        <v>0</v>
      </c>
      <c r="X131" s="276">
        <v>709</v>
      </c>
      <c r="Y131" s="276">
        <v>0</v>
      </c>
      <c r="Z131" s="276">
        <v>508</v>
      </c>
      <c r="AA131" s="276">
        <v>0</v>
      </c>
      <c r="AB131" s="276">
        <v>178</v>
      </c>
      <c r="AC131" s="276">
        <v>0</v>
      </c>
      <c r="AD131" s="276">
        <v>367</v>
      </c>
      <c r="AE131" s="276">
        <v>0</v>
      </c>
      <c r="AF131" s="276">
        <v>369</v>
      </c>
      <c r="AG131" s="276">
        <v>0</v>
      </c>
      <c r="AH131" s="276">
        <v>426</v>
      </c>
      <c r="AI131" s="276">
        <v>0</v>
      </c>
      <c r="AJ131" s="276">
        <v>246</v>
      </c>
      <c r="AK131" s="276">
        <v>0</v>
      </c>
      <c r="AL131" s="276">
        <v>269</v>
      </c>
      <c r="AM131" s="276">
        <v>0</v>
      </c>
      <c r="AN131" s="276">
        <v>273</v>
      </c>
      <c r="AO131" s="276">
        <v>0</v>
      </c>
      <c r="AP131" s="276">
        <v>321</v>
      </c>
      <c r="AQ131" s="276">
        <v>0</v>
      </c>
      <c r="AR131" s="276">
        <v>541</v>
      </c>
      <c r="AS131" s="276">
        <v>0</v>
      </c>
      <c r="AT131" s="276">
        <v>513</v>
      </c>
      <c r="AU131" s="276">
        <v>0</v>
      </c>
      <c r="AV131" s="276">
        <v>709</v>
      </c>
      <c r="AW131" s="276">
        <v>0</v>
      </c>
      <c r="AX131" s="276">
        <v>508</v>
      </c>
      <c r="AY131" s="276">
        <v>0</v>
      </c>
    </row>
    <row r="132" spans="2:51">
      <c r="B132" s="274">
        <v>10502</v>
      </c>
      <c r="C132" s="274" t="s">
        <v>135</v>
      </c>
      <c r="D132" s="276">
        <v>3682</v>
      </c>
      <c r="E132" s="276">
        <v>0</v>
      </c>
      <c r="F132" s="276">
        <v>4362</v>
      </c>
      <c r="G132" s="276">
        <v>0</v>
      </c>
      <c r="H132" s="276">
        <v>1858</v>
      </c>
      <c r="I132" s="276">
        <v>0</v>
      </c>
      <c r="J132" s="276">
        <v>2921</v>
      </c>
      <c r="K132" s="276">
        <v>0</v>
      </c>
      <c r="L132" s="276">
        <v>2262</v>
      </c>
      <c r="M132" s="276">
        <v>0</v>
      </c>
      <c r="N132" s="276">
        <v>2471</v>
      </c>
      <c r="O132" s="276">
        <v>0</v>
      </c>
      <c r="P132" s="276">
        <v>3779</v>
      </c>
      <c r="Q132" s="276">
        <v>0</v>
      </c>
      <c r="R132" s="276">
        <v>2426</v>
      </c>
      <c r="S132" s="276">
        <v>0</v>
      </c>
      <c r="T132" s="276">
        <v>4252</v>
      </c>
      <c r="U132" s="276">
        <v>0</v>
      </c>
      <c r="V132" s="276">
        <v>2772</v>
      </c>
      <c r="W132" s="276">
        <v>0</v>
      </c>
      <c r="X132" s="276">
        <v>0</v>
      </c>
      <c r="Y132" s="276">
        <v>0</v>
      </c>
      <c r="Z132" s="276">
        <v>4610</v>
      </c>
      <c r="AA132" s="276">
        <v>0</v>
      </c>
      <c r="AB132" s="276">
        <v>4040</v>
      </c>
      <c r="AC132" s="276">
        <v>0</v>
      </c>
      <c r="AD132" s="276">
        <v>4318</v>
      </c>
      <c r="AE132" s="276">
        <v>0</v>
      </c>
      <c r="AF132" s="276">
        <v>2973</v>
      </c>
      <c r="AG132" s="276">
        <v>0</v>
      </c>
      <c r="AH132" s="276">
        <v>2692</v>
      </c>
      <c r="AI132" s="276">
        <v>0</v>
      </c>
      <c r="AJ132" s="276">
        <v>2456</v>
      </c>
      <c r="AK132" s="276">
        <v>0</v>
      </c>
      <c r="AL132" s="276">
        <v>3283</v>
      </c>
      <c r="AM132" s="276">
        <v>0</v>
      </c>
      <c r="AN132" s="276">
        <v>4045</v>
      </c>
      <c r="AO132" s="276">
        <v>0</v>
      </c>
      <c r="AP132" s="276">
        <v>2715</v>
      </c>
      <c r="AQ132" s="276">
        <v>0</v>
      </c>
      <c r="AR132" s="276">
        <v>4558</v>
      </c>
      <c r="AS132" s="276">
        <v>0</v>
      </c>
      <c r="AT132" s="276">
        <v>3058</v>
      </c>
      <c r="AU132" s="276">
        <v>0</v>
      </c>
      <c r="AV132" s="276">
        <v>0</v>
      </c>
      <c r="AW132" s="276">
        <v>0</v>
      </c>
      <c r="AX132" s="276">
        <v>4884</v>
      </c>
      <c r="AY132" s="276">
        <v>0</v>
      </c>
    </row>
    <row r="133" spans="2:51">
      <c r="B133" s="274">
        <v>13927</v>
      </c>
      <c r="C133" s="274" t="s">
        <v>269</v>
      </c>
      <c r="D133" s="276">
        <v>265</v>
      </c>
      <c r="E133" s="276">
        <v>0</v>
      </c>
      <c r="F133" s="276">
        <v>139</v>
      </c>
      <c r="G133" s="276">
        <v>0</v>
      </c>
      <c r="H133" s="276">
        <v>585</v>
      </c>
      <c r="I133" s="276">
        <v>0</v>
      </c>
      <c r="J133" s="276">
        <v>327</v>
      </c>
      <c r="K133" s="276">
        <v>0</v>
      </c>
      <c r="L133" s="276">
        <v>54</v>
      </c>
      <c r="M133" s="276">
        <v>0</v>
      </c>
      <c r="N133" s="276">
        <v>325</v>
      </c>
      <c r="O133" s="276">
        <v>0</v>
      </c>
      <c r="P133" s="276">
        <v>0</v>
      </c>
      <c r="Q133" s="276">
        <v>0</v>
      </c>
      <c r="R133" s="276">
        <v>54</v>
      </c>
      <c r="S133" s="276">
        <v>0</v>
      </c>
      <c r="T133" s="276">
        <v>0</v>
      </c>
      <c r="U133" s="276">
        <v>0</v>
      </c>
      <c r="V133" s="276">
        <v>622</v>
      </c>
      <c r="W133" s="276">
        <v>0</v>
      </c>
      <c r="X133" s="276">
        <v>592</v>
      </c>
      <c r="Y133" s="276">
        <v>0</v>
      </c>
      <c r="Z133" s="276">
        <v>0</v>
      </c>
      <c r="AA133" s="276">
        <v>0</v>
      </c>
      <c r="AB133" s="276">
        <v>310</v>
      </c>
      <c r="AC133" s="276">
        <v>0</v>
      </c>
      <c r="AD133" s="276">
        <v>54</v>
      </c>
      <c r="AE133" s="276">
        <v>0</v>
      </c>
      <c r="AF133" s="276">
        <v>760</v>
      </c>
      <c r="AG133" s="276">
        <v>0</v>
      </c>
      <c r="AH133" s="276">
        <v>279</v>
      </c>
      <c r="AI133" s="276">
        <v>0</v>
      </c>
      <c r="AJ133" s="276">
        <v>0</v>
      </c>
      <c r="AK133" s="276">
        <v>0</v>
      </c>
      <c r="AL133" s="276">
        <v>555</v>
      </c>
      <c r="AM133" s="276">
        <v>0</v>
      </c>
      <c r="AN133" s="276">
        <v>0</v>
      </c>
      <c r="AO133" s="276">
        <v>0</v>
      </c>
      <c r="AP133" s="276">
        <v>148</v>
      </c>
      <c r="AQ133" s="276">
        <v>0</v>
      </c>
      <c r="AR133" s="276">
        <v>2</v>
      </c>
      <c r="AS133" s="276">
        <v>0</v>
      </c>
      <c r="AT133" s="276">
        <v>810</v>
      </c>
      <c r="AU133" s="276">
        <v>0</v>
      </c>
      <c r="AV133" s="276">
        <v>766</v>
      </c>
      <c r="AW133" s="276">
        <v>0</v>
      </c>
      <c r="AX133" s="276">
        <v>0</v>
      </c>
      <c r="AY133" s="276">
        <v>0</v>
      </c>
    </row>
    <row r="134" spans="2:51">
      <c r="B134" s="274">
        <v>10597</v>
      </c>
      <c r="C134" s="274" t="s">
        <v>136</v>
      </c>
      <c r="D134" s="276">
        <v>2199</v>
      </c>
      <c r="E134" s="276">
        <v>0</v>
      </c>
      <c r="F134" s="276">
        <v>1187</v>
      </c>
      <c r="G134" s="276">
        <v>0</v>
      </c>
      <c r="H134" s="276">
        <v>2091</v>
      </c>
      <c r="I134" s="276">
        <v>0</v>
      </c>
      <c r="J134" s="276">
        <v>1955</v>
      </c>
      <c r="K134" s="276">
        <v>0</v>
      </c>
      <c r="L134" s="276">
        <v>1211</v>
      </c>
      <c r="M134" s="276">
        <v>0</v>
      </c>
      <c r="N134" s="276">
        <v>1735</v>
      </c>
      <c r="O134" s="276">
        <v>0</v>
      </c>
      <c r="P134" s="276">
        <v>1623</v>
      </c>
      <c r="Q134" s="276">
        <v>0</v>
      </c>
      <c r="R134" s="276">
        <v>762</v>
      </c>
      <c r="S134" s="276">
        <v>0</v>
      </c>
      <c r="T134" s="276">
        <v>2268</v>
      </c>
      <c r="U134" s="276">
        <v>0</v>
      </c>
      <c r="V134" s="276">
        <v>3157</v>
      </c>
      <c r="W134" s="276">
        <v>0</v>
      </c>
      <c r="X134" s="276">
        <v>1728</v>
      </c>
      <c r="Y134" s="276">
        <v>0</v>
      </c>
      <c r="Z134" s="276">
        <v>1650</v>
      </c>
      <c r="AA134" s="276">
        <v>0</v>
      </c>
      <c r="AB134" s="276">
        <v>2197</v>
      </c>
      <c r="AC134" s="276">
        <v>0</v>
      </c>
      <c r="AD134" s="276">
        <v>616</v>
      </c>
      <c r="AE134" s="276">
        <v>0</v>
      </c>
      <c r="AF134" s="276">
        <v>2685</v>
      </c>
      <c r="AG134" s="276">
        <v>0</v>
      </c>
      <c r="AH134" s="276">
        <v>1314</v>
      </c>
      <c r="AI134" s="276">
        <v>0</v>
      </c>
      <c r="AJ134" s="276">
        <v>1033</v>
      </c>
      <c r="AK134" s="276">
        <v>0</v>
      </c>
      <c r="AL134" s="276">
        <v>2183</v>
      </c>
      <c r="AM134" s="276">
        <v>0</v>
      </c>
      <c r="AN134" s="276">
        <v>1622</v>
      </c>
      <c r="AO134" s="276">
        <v>0</v>
      </c>
      <c r="AP134" s="276">
        <v>763</v>
      </c>
      <c r="AQ134" s="276">
        <v>0</v>
      </c>
      <c r="AR134" s="276">
        <v>2270</v>
      </c>
      <c r="AS134" s="276">
        <v>0</v>
      </c>
      <c r="AT134" s="276">
        <v>3164</v>
      </c>
      <c r="AU134" s="276">
        <v>0</v>
      </c>
      <c r="AV134" s="276">
        <v>1733</v>
      </c>
      <c r="AW134" s="276">
        <v>0</v>
      </c>
      <c r="AX134" s="276">
        <v>1649</v>
      </c>
      <c r="AY134" s="276">
        <v>0</v>
      </c>
    </row>
    <row r="135" spans="2:51">
      <c r="B135" s="274">
        <v>10706</v>
      </c>
      <c r="C135" s="274" t="s">
        <v>137</v>
      </c>
      <c r="D135" s="276">
        <v>1863</v>
      </c>
      <c r="E135" s="276">
        <v>0</v>
      </c>
      <c r="F135" s="276">
        <v>1742</v>
      </c>
      <c r="G135" s="276">
        <v>0</v>
      </c>
      <c r="H135" s="276">
        <v>1334</v>
      </c>
      <c r="I135" s="276">
        <v>0</v>
      </c>
      <c r="J135" s="276">
        <v>2164</v>
      </c>
      <c r="K135" s="276">
        <v>0</v>
      </c>
      <c r="L135" s="276">
        <v>1843</v>
      </c>
      <c r="M135" s="276">
        <v>0</v>
      </c>
      <c r="N135" s="276">
        <v>1537</v>
      </c>
      <c r="O135" s="276">
        <v>0</v>
      </c>
      <c r="P135" s="276">
        <v>1844</v>
      </c>
      <c r="Q135" s="276">
        <v>0</v>
      </c>
      <c r="R135" s="276">
        <v>646</v>
      </c>
      <c r="S135" s="276">
        <v>0</v>
      </c>
      <c r="T135" s="276">
        <v>1825</v>
      </c>
      <c r="U135" s="276">
        <v>0</v>
      </c>
      <c r="V135" s="276">
        <v>2188</v>
      </c>
      <c r="W135" s="276">
        <v>0</v>
      </c>
      <c r="X135" s="276">
        <v>2146</v>
      </c>
      <c r="Y135" s="276">
        <v>0</v>
      </c>
      <c r="Z135" s="276">
        <v>2287</v>
      </c>
      <c r="AA135" s="276">
        <v>0</v>
      </c>
      <c r="AB135" s="276">
        <v>1956</v>
      </c>
      <c r="AC135" s="276">
        <v>0</v>
      </c>
      <c r="AD135" s="276">
        <v>776</v>
      </c>
      <c r="AE135" s="276">
        <v>0</v>
      </c>
      <c r="AF135" s="276">
        <v>2085</v>
      </c>
      <c r="AG135" s="276">
        <v>0</v>
      </c>
      <c r="AH135" s="276">
        <v>1421</v>
      </c>
      <c r="AI135" s="276">
        <v>0</v>
      </c>
      <c r="AJ135" s="276">
        <v>1673</v>
      </c>
      <c r="AK135" s="276">
        <v>0</v>
      </c>
      <c r="AL135" s="276">
        <v>2187</v>
      </c>
      <c r="AM135" s="276">
        <v>0</v>
      </c>
      <c r="AN135" s="276">
        <v>1948</v>
      </c>
      <c r="AO135" s="276">
        <v>0</v>
      </c>
      <c r="AP135" s="276">
        <v>503</v>
      </c>
      <c r="AQ135" s="276">
        <v>0</v>
      </c>
      <c r="AR135" s="276">
        <v>1807</v>
      </c>
      <c r="AS135" s="276">
        <v>0</v>
      </c>
      <c r="AT135" s="276">
        <v>2198</v>
      </c>
      <c r="AU135" s="276">
        <v>0</v>
      </c>
      <c r="AV135" s="276">
        <v>2138</v>
      </c>
      <c r="AW135" s="276">
        <v>0</v>
      </c>
      <c r="AX135" s="276">
        <v>2285</v>
      </c>
      <c r="AY135" s="276">
        <v>0</v>
      </c>
    </row>
    <row r="136" spans="2:51">
      <c r="B136" s="274">
        <v>11680</v>
      </c>
      <c r="C136" s="274" t="s">
        <v>138</v>
      </c>
      <c r="D136" s="276">
        <v>81</v>
      </c>
      <c r="E136" s="276">
        <v>0</v>
      </c>
      <c r="F136" s="276">
        <v>396</v>
      </c>
      <c r="G136" s="276">
        <v>0</v>
      </c>
      <c r="H136" s="276">
        <v>376</v>
      </c>
      <c r="I136" s="276">
        <v>0</v>
      </c>
      <c r="J136" s="276">
        <v>1341</v>
      </c>
      <c r="K136" s="276">
        <v>0</v>
      </c>
      <c r="L136" s="276">
        <v>862</v>
      </c>
      <c r="M136" s="276">
        <v>0</v>
      </c>
      <c r="N136" s="276">
        <v>783</v>
      </c>
      <c r="O136" s="276">
        <v>0</v>
      </c>
      <c r="P136" s="276">
        <v>165</v>
      </c>
      <c r="Q136" s="276">
        <v>0</v>
      </c>
      <c r="R136" s="276">
        <v>822</v>
      </c>
      <c r="S136" s="276">
        <v>0</v>
      </c>
      <c r="T136" s="276">
        <v>646</v>
      </c>
      <c r="U136" s="276">
        <v>0</v>
      </c>
      <c r="V136" s="276">
        <v>1507</v>
      </c>
      <c r="W136" s="276">
        <v>0</v>
      </c>
      <c r="X136" s="276">
        <v>274</v>
      </c>
      <c r="Y136" s="276">
        <v>0</v>
      </c>
      <c r="Z136" s="276">
        <v>515</v>
      </c>
      <c r="AA136" s="276">
        <v>0</v>
      </c>
      <c r="AB136" s="276">
        <v>85</v>
      </c>
      <c r="AC136" s="276">
        <v>0</v>
      </c>
      <c r="AD136" s="276">
        <v>385</v>
      </c>
      <c r="AE136" s="276">
        <v>0</v>
      </c>
      <c r="AF136" s="276">
        <v>408</v>
      </c>
      <c r="AG136" s="276">
        <v>0</v>
      </c>
      <c r="AH136" s="276">
        <v>1339</v>
      </c>
      <c r="AI136" s="276">
        <v>0</v>
      </c>
      <c r="AJ136" s="276">
        <v>852</v>
      </c>
      <c r="AK136" s="276">
        <v>0</v>
      </c>
      <c r="AL136" s="276">
        <v>807</v>
      </c>
      <c r="AM136" s="276">
        <v>0</v>
      </c>
      <c r="AN136" s="276">
        <v>169</v>
      </c>
      <c r="AO136" s="276">
        <v>0</v>
      </c>
      <c r="AP136" s="276">
        <v>827</v>
      </c>
      <c r="AQ136" s="276">
        <v>0</v>
      </c>
      <c r="AR136" s="276">
        <v>655</v>
      </c>
      <c r="AS136" s="276">
        <v>0</v>
      </c>
      <c r="AT136" s="276">
        <v>1521</v>
      </c>
      <c r="AU136" s="276">
        <v>0</v>
      </c>
      <c r="AV136" s="276">
        <v>287</v>
      </c>
      <c r="AW136" s="276">
        <v>0</v>
      </c>
      <c r="AX136" s="276">
        <v>522</v>
      </c>
      <c r="AY136" s="276">
        <v>0</v>
      </c>
    </row>
    <row r="137" spans="2:51">
      <c r="B137" s="274">
        <v>12026</v>
      </c>
      <c r="C137" s="274" t="s">
        <v>139</v>
      </c>
      <c r="D137" s="276">
        <v>385</v>
      </c>
      <c r="E137" s="276">
        <v>0</v>
      </c>
      <c r="F137" s="276">
        <v>6582</v>
      </c>
      <c r="G137" s="276">
        <v>0</v>
      </c>
      <c r="H137" s="276">
        <v>9946</v>
      </c>
      <c r="I137" s="276">
        <v>0</v>
      </c>
      <c r="J137" s="276">
        <v>16963</v>
      </c>
      <c r="K137" s="276">
        <v>0</v>
      </c>
      <c r="L137" s="276">
        <v>8189</v>
      </c>
      <c r="M137" s="276">
        <v>0</v>
      </c>
      <c r="N137" s="276">
        <v>6639</v>
      </c>
      <c r="O137" s="276">
        <v>0</v>
      </c>
      <c r="P137" s="276">
        <v>4649</v>
      </c>
      <c r="Q137" s="276">
        <v>0</v>
      </c>
      <c r="R137" s="276">
        <v>439</v>
      </c>
      <c r="S137" s="276">
        <v>0</v>
      </c>
      <c r="T137" s="276">
        <v>990</v>
      </c>
      <c r="U137" s="276">
        <v>0</v>
      </c>
      <c r="V137" s="276">
        <v>6681</v>
      </c>
      <c r="W137" s="276">
        <v>0</v>
      </c>
      <c r="X137" s="276">
        <v>2349</v>
      </c>
      <c r="Y137" s="276">
        <v>0</v>
      </c>
      <c r="Z137" s="276">
        <v>0</v>
      </c>
      <c r="AA137" s="276">
        <v>0</v>
      </c>
      <c r="AB137" s="276">
        <v>534</v>
      </c>
      <c r="AC137" s="276">
        <v>0</v>
      </c>
      <c r="AD137" s="276">
        <v>6482</v>
      </c>
      <c r="AE137" s="276">
        <v>0</v>
      </c>
      <c r="AF137" s="276">
        <v>10432</v>
      </c>
      <c r="AG137" s="276">
        <v>0</v>
      </c>
      <c r="AH137" s="276">
        <v>16860</v>
      </c>
      <c r="AI137" s="276">
        <v>0</v>
      </c>
      <c r="AJ137" s="276">
        <v>7746</v>
      </c>
      <c r="AK137" s="276">
        <v>0</v>
      </c>
      <c r="AL137" s="276">
        <v>7011</v>
      </c>
      <c r="AM137" s="276">
        <v>0</v>
      </c>
      <c r="AN137" s="276">
        <v>4819</v>
      </c>
      <c r="AO137" s="276">
        <v>0</v>
      </c>
      <c r="AP137" s="276">
        <v>628</v>
      </c>
      <c r="AQ137" s="276">
        <v>0</v>
      </c>
      <c r="AR137" s="276">
        <v>1161</v>
      </c>
      <c r="AS137" s="276">
        <v>0</v>
      </c>
      <c r="AT137" s="276">
        <v>6851</v>
      </c>
      <c r="AU137" s="276">
        <v>0</v>
      </c>
      <c r="AV137" s="276">
        <v>2518</v>
      </c>
      <c r="AW137" s="276">
        <v>0</v>
      </c>
      <c r="AX137" s="276">
        <v>0</v>
      </c>
      <c r="AY137" s="276">
        <v>0</v>
      </c>
    </row>
    <row r="138" spans="2:51" s="113" customFormat="1">
      <c r="B138" s="274">
        <v>10298</v>
      </c>
      <c r="C138" s="274" t="s">
        <v>140</v>
      </c>
      <c r="D138" s="276">
        <v>51611</v>
      </c>
      <c r="E138" s="276">
        <v>0</v>
      </c>
      <c r="F138" s="276">
        <v>0</v>
      </c>
      <c r="G138" s="276">
        <v>0</v>
      </c>
      <c r="H138" s="276">
        <v>52472</v>
      </c>
      <c r="I138" s="276">
        <v>0</v>
      </c>
      <c r="J138" s="276">
        <v>40028</v>
      </c>
      <c r="K138" s="276">
        <v>0</v>
      </c>
      <c r="L138" s="276">
        <v>0</v>
      </c>
      <c r="M138" s="276">
        <v>0</v>
      </c>
      <c r="N138" s="276">
        <v>153248</v>
      </c>
      <c r="O138" s="276">
        <v>0</v>
      </c>
      <c r="P138" s="276">
        <v>111671</v>
      </c>
      <c r="Q138" s="276">
        <v>0</v>
      </c>
      <c r="R138" s="276">
        <v>159778</v>
      </c>
      <c r="S138" s="276">
        <v>0</v>
      </c>
      <c r="T138" s="276">
        <v>145803</v>
      </c>
      <c r="U138" s="276">
        <v>0</v>
      </c>
      <c r="V138" s="276">
        <v>177871</v>
      </c>
      <c r="W138" s="276">
        <v>0</v>
      </c>
      <c r="X138" s="276">
        <v>185140</v>
      </c>
      <c r="Y138" s="276">
        <v>0</v>
      </c>
      <c r="Z138" s="276">
        <v>191011</v>
      </c>
      <c r="AA138" s="276">
        <v>0</v>
      </c>
      <c r="AB138" s="276">
        <v>106297</v>
      </c>
      <c r="AC138" s="276">
        <v>0</v>
      </c>
      <c r="AD138" s="276">
        <v>0</v>
      </c>
      <c r="AE138" s="276">
        <v>0</v>
      </c>
      <c r="AF138" s="276">
        <v>131035</v>
      </c>
      <c r="AG138" s="276">
        <v>0</v>
      </c>
      <c r="AH138" s="276">
        <v>78028</v>
      </c>
      <c r="AI138" s="276">
        <v>0</v>
      </c>
      <c r="AJ138" s="276">
        <v>35830</v>
      </c>
      <c r="AK138" s="276">
        <v>0</v>
      </c>
      <c r="AL138" s="276">
        <v>224422</v>
      </c>
      <c r="AM138" s="276">
        <v>0</v>
      </c>
      <c r="AN138" s="276">
        <v>166057</v>
      </c>
      <c r="AO138" s="276">
        <v>0</v>
      </c>
      <c r="AP138" s="276">
        <v>230481</v>
      </c>
      <c r="AQ138" s="276">
        <v>0</v>
      </c>
      <c r="AR138" s="276">
        <v>199533</v>
      </c>
      <c r="AS138" s="276">
        <v>0</v>
      </c>
      <c r="AT138" s="276">
        <v>234688</v>
      </c>
      <c r="AU138" s="276">
        <v>0</v>
      </c>
      <c r="AV138" s="276">
        <v>252508</v>
      </c>
      <c r="AW138" s="276">
        <v>0</v>
      </c>
      <c r="AX138" s="276">
        <v>246032</v>
      </c>
      <c r="AY138" s="276">
        <v>0</v>
      </c>
    </row>
    <row r="139" spans="2:51">
      <c r="B139" s="24">
        <v>10298</v>
      </c>
      <c r="C139" s="25" t="s">
        <v>140</v>
      </c>
      <c r="D139" s="26">
        <v>0</v>
      </c>
      <c r="E139" s="27">
        <v>0</v>
      </c>
      <c r="F139" s="26">
        <v>0</v>
      </c>
      <c r="G139" s="27">
        <v>0</v>
      </c>
      <c r="H139" s="26">
        <v>0</v>
      </c>
      <c r="I139" s="27">
        <v>0</v>
      </c>
      <c r="J139" s="26">
        <v>0</v>
      </c>
      <c r="K139" s="27">
        <v>0</v>
      </c>
      <c r="L139" s="26">
        <v>0</v>
      </c>
      <c r="M139" s="27">
        <v>0</v>
      </c>
      <c r="N139" s="26">
        <v>80917.150877777691</v>
      </c>
      <c r="O139" s="27">
        <v>0</v>
      </c>
      <c r="P139" s="26">
        <v>22999.804999999982</v>
      </c>
      <c r="Q139" s="27">
        <v>0</v>
      </c>
      <c r="R139" s="26">
        <v>50600.816923076964</v>
      </c>
      <c r="S139" s="27">
        <v>0</v>
      </c>
      <c r="T139" s="26">
        <v>37712.849807692117</v>
      </c>
      <c r="U139" s="27">
        <v>0</v>
      </c>
      <c r="V139" s="26">
        <v>37146.1875</v>
      </c>
      <c r="W139" s="27">
        <v>0</v>
      </c>
      <c r="X139" s="26">
        <v>101042.77990740743</v>
      </c>
      <c r="Y139" s="27">
        <v>0</v>
      </c>
      <c r="Z139" s="26">
        <v>56782.230208333262</v>
      </c>
      <c r="AA139" s="27">
        <v>0</v>
      </c>
      <c r="AB139" s="26">
        <v>0</v>
      </c>
      <c r="AC139" s="27">
        <v>0</v>
      </c>
      <c r="AD139" s="26">
        <v>0</v>
      </c>
      <c r="AE139" s="27">
        <v>0</v>
      </c>
      <c r="AF139" s="26">
        <v>0</v>
      </c>
      <c r="AG139" s="27">
        <v>0</v>
      </c>
      <c r="AH139" s="26">
        <v>0</v>
      </c>
      <c r="AI139" s="27">
        <v>0</v>
      </c>
      <c r="AJ139" s="26">
        <v>0</v>
      </c>
      <c r="AK139" s="27">
        <v>0</v>
      </c>
      <c r="AL139" s="26">
        <v>68100.757715384505</v>
      </c>
      <c r="AM139" s="27">
        <v>0</v>
      </c>
      <c r="AN139" s="26">
        <v>41337.718269230834</v>
      </c>
      <c r="AO139" s="27">
        <v>0</v>
      </c>
      <c r="AP139" s="26">
        <v>52316.348173076876</v>
      </c>
      <c r="AQ139" s="27">
        <v>0</v>
      </c>
      <c r="AR139" s="26">
        <v>18510.957499999899</v>
      </c>
      <c r="AS139" s="27">
        <v>0</v>
      </c>
      <c r="AT139" s="26">
        <v>61719.350961538461</v>
      </c>
      <c r="AU139" s="27">
        <v>0</v>
      </c>
      <c r="AV139" s="26">
        <v>103182.73824074084</v>
      </c>
      <c r="AW139" s="27">
        <v>0</v>
      </c>
      <c r="AX139" s="26">
        <v>59442.454166666554</v>
      </c>
      <c r="AY139" s="27">
        <v>0</v>
      </c>
    </row>
    <row r="140" spans="2:51">
      <c r="B140" s="24"/>
      <c r="C140" s="25"/>
      <c r="D140" s="26"/>
      <c r="E140" s="27"/>
      <c r="F140" s="26"/>
      <c r="G140" s="27"/>
      <c r="H140" s="26"/>
      <c r="I140" s="27"/>
      <c r="J140" s="26"/>
      <c r="K140" s="27"/>
      <c r="L140" s="26"/>
      <c r="M140" s="27"/>
      <c r="N140" s="26"/>
      <c r="O140" s="27"/>
      <c r="P140" s="26"/>
      <c r="Q140" s="27"/>
      <c r="R140" s="26"/>
      <c r="S140" s="27"/>
      <c r="T140" s="26"/>
      <c r="U140" s="27"/>
      <c r="V140" s="26"/>
      <c r="W140" s="27"/>
      <c r="X140" s="26"/>
      <c r="Y140" s="27"/>
      <c r="Z140" s="26"/>
      <c r="AA140" s="27"/>
      <c r="AB140" s="26"/>
      <c r="AC140" s="27"/>
      <c r="AD140" s="26"/>
      <c r="AE140" s="27"/>
      <c r="AF140" s="26"/>
      <c r="AG140" s="27"/>
      <c r="AH140" s="26"/>
      <c r="AI140" s="27"/>
      <c r="AJ140" s="26"/>
      <c r="AK140" s="27"/>
      <c r="AL140" s="26"/>
      <c r="AM140" s="27"/>
      <c r="AN140" s="26"/>
      <c r="AO140" s="27"/>
      <c r="AP140" s="26"/>
      <c r="AQ140" s="27"/>
      <c r="AR140" s="26"/>
      <c r="AS140" s="27"/>
      <c r="AT140" s="26"/>
      <c r="AU140" s="27"/>
      <c r="AV140" s="26"/>
      <c r="AW140" s="27"/>
      <c r="AX140" s="26"/>
      <c r="AY140" s="27"/>
    </row>
    <row r="141" spans="2:51">
      <c r="B141" s="24"/>
      <c r="C141" s="25"/>
      <c r="D141" s="26"/>
      <c r="E141" s="27"/>
      <c r="F141" s="26"/>
      <c r="G141" s="27"/>
      <c r="H141" s="26"/>
      <c r="I141" s="27"/>
      <c r="J141" s="26"/>
      <c r="K141" s="27"/>
      <c r="L141" s="26"/>
      <c r="M141" s="27"/>
      <c r="N141" s="26"/>
      <c r="O141" s="27"/>
      <c r="P141" s="26"/>
      <c r="Q141" s="27"/>
      <c r="R141" s="26"/>
      <c r="S141" s="27"/>
      <c r="T141" s="26"/>
      <c r="U141" s="27"/>
      <c r="V141" s="26"/>
      <c r="W141" s="27"/>
      <c r="X141" s="26"/>
      <c r="Y141" s="27"/>
      <c r="Z141" s="26"/>
      <c r="AA141" s="27"/>
      <c r="AB141" s="26"/>
      <c r="AC141" s="27"/>
      <c r="AD141" s="26"/>
      <c r="AE141" s="27"/>
      <c r="AF141" s="26"/>
      <c r="AG141" s="27"/>
      <c r="AH141" s="26"/>
      <c r="AI141" s="27"/>
      <c r="AJ141" s="26"/>
      <c r="AK141" s="27"/>
      <c r="AL141" s="26"/>
      <c r="AM141" s="27"/>
      <c r="AN141" s="26"/>
      <c r="AO141" s="27"/>
      <c r="AP141" s="26"/>
      <c r="AQ141" s="27"/>
      <c r="AR141" s="26"/>
      <c r="AS141" s="27"/>
      <c r="AT141" s="26"/>
      <c r="AU141" s="27"/>
      <c r="AV141" s="26"/>
      <c r="AW141" s="27"/>
      <c r="AX141" s="26"/>
      <c r="AY141" s="27"/>
    </row>
    <row r="142" spans="2:51">
      <c r="B142" s="24"/>
      <c r="C142" s="25"/>
      <c r="D142" s="26"/>
      <c r="E142" s="27"/>
      <c r="F142" s="26"/>
      <c r="G142" s="27"/>
      <c r="H142" s="26"/>
      <c r="I142" s="27"/>
      <c r="J142" s="26"/>
      <c r="K142" s="27"/>
      <c r="L142" s="26"/>
      <c r="M142" s="27"/>
      <c r="N142" s="26"/>
      <c r="O142" s="27"/>
      <c r="P142" s="26"/>
      <c r="Q142" s="27"/>
      <c r="R142" s="26"/>
      <c r="S142" s="27"/>
      <c r="T142" s="26"/>
      <c r="U142" s="27"/>
      <c r="V142" s="26"/>
      <c r="W142" s="27"/>
      <c r="X142" s="26"/>
      <c r="Y142" s="27"/>
      <c r="Z142" s="26"/>
      <c r="AA142" s="27"/>
      <c r="AB142" s="26"/>
      <c r="AC142" s="27"/>
      <c r="AD142" s="26"/>
      <c r="AE142" s="27"/>
      <c r="AF142" s="26"/>
      <c r="AG142" s="27"/>
      <c r="AH142" s="26"/>
      <c r="AI142" s="27"/>
      <c r="AJ142" s="26"/>
      <c r="AK142" s="27"/>
      <c r="AL142" s="26"/>
      <c r="AM142" s="27"/>
      <c r="AN142" s="26"/>
      <c r="AO142" s="27"/>
      <c r="AP142" s="26"/>
      <c r="AQ142" s="27"/>
      <c r="AR142" s="26"/>
      <c r="AS142" s="27"/>
      <c r="AT142" s="26"/>
      <c r="AU142" s="27"/>
      <c r="AV142" s="26"/>
      <c r="AW142" s="27"/>
      <c r="AX142" s="26"/>
      <c r="AY142" s="27"/>
    </row>
    <row r="143" spans="2:51">
      <c r="B143" s="24"/>
      <c r="C143" s="25"/>
      <c r="D143" s="26"/>
      <c r="E143" s="27"/>
      <c r="F143" s="26"/>
      <c r="G143" s="27"/>
      <c r="H143" s="26"/>
      <c r="I143" s="27"/>
      <c r="J143" s="26"/>
      <c r="K143" s="27"/>
      <c r="L143" s="26"/>
      <c r="M143" s="27"/>
      <c r="N143" s="26"/>
      <c r="O143" s="27"/>
      <c r="P143" s="26"/>
      <c r="Q143" s="27"/>
      <c r="R143" s="26"/>
      <c r="S143" s="27"/>
      <c r="T143" s="26"/>
      <c r="U143" s="27"/>
      <c r="V143" s="26"/>
      <c r="W143" s="27"/>
      <c r="X143" s="26"/>
      <c r="Y143" s="27"/>
      <c r="Z143" s="26"/>
      <c r="AA143" s="27"/>
      <c r="AB143" s="26"/>
      <c r="AC143" s="27"/>
      <c r="AD143" s="26"/>
      <c r="AE143" s="27"/>
      <c r="AF143" s="26"/>
      <c r="AG143" s="27"/>
      <c r="AH143" s="26"/>
      <c r="AI143" s="27"/>
      <c r="AJ143" s="26"/>
      <c r="AK143" s="27"/>
      <c r="AL143" s="26"/>
      <c r="AM143" s="27"/>
      <c r="AN143" s="26"/>
      <c r="AO143" s="27"/>
      <c r="AP143" s="26"/>
      <c r="AQ143" s="27"/>
      <c r="AR143" s="26"/>
      <c r="AS143" s="27"/>
      <c r="AT143" s="26"/>
      <c r="AU143" s="27"/>
      <c r="AV143" s="26"/>
      <c r="AW143" s="27"/>
      <c r="AX143" s="26"/>
      <c r="AY143" s="27"/>
    </row>
    <row r="144" spans="2:51">
      <c r="B144" s="24"/>
      <c r="C144" s="25"/>
      <c r="D144" s="26"/>
      <c r="E144" s="27"/>
      <c r="F144" s="26"/>
      <c r="G144" s="27"/>
      <c r="H144" s="26"/>
      <c r="I144" s="27"/>
      <c r="J144" s="26"/>
      <c r="K144" s="27"/>
      <c r="L144" s="26"/>
      <c r="M144" s="27"/>
      <c r="N144" s="26"/>
      <c r="O144" s="27"/>
      <c r="P144" s="26"/>
      <c r="Q144" s="27"/>
      <c r="R144" s="26"/>
      <c r="S144" s="27"/>
      <c r="T144" s="26"/>
      <c r="U144" s="27"/>
      <c r="V144" s="26"/>
      <c r="W144" s="27"/>
      <c r="X144" s="26"/>
      <c r="Y144" s="27"/>
      <c r="Z144" s="26"/>
      <c r="AA144" s="27"/>
      <c r="AB144" s="26"/>
      <c r="AC144" s="27"/>
      <c r="AD144" s="26"/>
      <c r="AE144" s="27"/>
      <c r="AF144" s="26"/>
      <c r="AG144" s="27"/>
      <c r="AH144" s="26"/>
      <c r="AI144" s="27"/>
      <c r="AJ144" s="26"/>
      <c r="AK144" s="27"/>
      <c r="AL144" s="26"/>
      <c r="AM144" s="27"/>
      <c r="AN144" s="26"/>
      <c r="AO144" s="27"/>
      <c r="AP144" s="26"/>
      <c r="AQ144" s="27"/>
      <c r="AR144" s="26"/>
      <c r="AS144" s="27"/>
      <c r="AT144" s="26"/>
      <c r="AU144" s="27"/>
      <c r="AV144" s="26"/>
      <c r="AW144" s="27"/>
      <c r="AX144" s="26"/>
      <c r="AY144" s="27"/>
    </row>
    <row r="145" spans="2:51">
      <c r="B145" s="24"/>
      <c r="C145" s="25"/>
      <c r="D145" s="26"/>
      <c r="E145" s="27"/>
      <c r="F145" s="26"/>
      <c r="G145" s="27"/>
      <c r="H145" s="26"/>
      <c r="I145" s="27"/>
      <c r="J145" s="26"/>
      <c r="K145" s="27"/>
      <c r="L145" s="26"/>
      <c r="M145" s="27"/>
      <c r="N145" s="26"/>
      <c r="O145" s="27"/>
      <c r="P145" s="26"/>
      <c r="Q145" s="27"/>
      <c r="R145" s="26"/>
      <c r="S145" s="27"/>
      <c r="T145" s="26"/>
      <c r="U145" s="27"/>
      <c r="V145" s="26"/>
      <c r="W145" s="27"/>
      <c r="X145" s="26"/>
      <c r="Y145" s="27"/>
      <c r="Z145" s="26"/>
      <c r="AA145" s="27"/>
      <c r="AB145" s="26"/>
      <c r="AC145" s="27"/>
      <c r="AD145" s="26"/>
      <c r="AE145" s="27"/>
      <c r="AF145" s="26"/>
      <c r="AG145" s="27"/>
      <c r="AH145" s="26"/>
      <c r="AI145" s="27"/>
      <c r="AJ145" s="26"/>
      <c r="AK145" s="27"/>
      <c r="AL145" s="26"/>
      <c r="AM145" s="27"/>
      <c r="AN145" s="26"/>
      <c r="AO145" s="27"/>
      <c r="AP145" s="26"/>
      <c r="AQ145" s="27"/>
      <c r="AR145" s="26"/>
      <c r="AS145" s="27"/>
      <c r="AT145" s="26"/>
      <c r="AU145" s="27"/>
      <c r="AV145" s="26"/>
      <c r="AW145" s="27"/>
      <c r="AX145" s="26"/>
      <c r="AY145" s="27"/>
    </row>
    <row r="146" spans="2:51">
      <c r="B146" s="24"/>
      <c r="C146" s="25"/>
      <c r="D146" s="26"/>
      <c r="E146" s="27"/>
      <c r="F146" s="26"/>
      <c r="G146" s="27"/>
      <c r="H146" s="26"/>
      <c r="I146" s="27"/>
      <c r="J146" s="26"/>
      <c r="K146" s="27"/>
      <c r="L146" s="26"/>
      <c r="M146" s="27"/>
      <c r="N146" s="26"/>
      <c r="O146" s="27"/>
      <c r="P146" s="26"/>
      <c r="Q146" s="27"/>
      <c r="R146" s="26"/>
      <c r="S146" s="27"/>
      <c r="T146" s="26"/>
      <c r="U146" s="27"/>
      <c r="V146" s="26"/>
      <c r="W146" s="27"/>
      <c r="X146" s="26"/>
      <c r="Y146" s="27"/>
      <c r="Z146" s="26"/>
      <c r="AA146" s="27"/>
      <c r="AB146" s="26"/>
      <c r="AC146" s="27"/>
      <c r="AD146" s="26"/>
      <c r="AE146" s="27"/>
      <c r="AF146" s="26"/>
      <c r="AG146" s="27"/>
      <c r="AH146" s="26"/>
      <c r="AI146" s="27"/>
      <c r="AJ146" s="26"/>
      <c r="AK146" s="27"/>
      <c r="AL146" s="26"/>
      <c r="AM146" s="27"/>
      <c r="AN146" s="26"/>
      <c r="AO146" s="27"/>
      <c r="AP146" s="26"/>
      <c r="AQ146" s="27"/>
      <c r="AR146" s="26"/>
      <c r="AS146" s="27"/>
      <c r="AT146" s="26"/>
      <c r="AU146" s="27"/>
      <c r="AV146" s="26"/>
      <c r="AW146" s="27"/>
      <c r="AX146" s="26"/>
      <c r="AY146" s="27"/>
    </row>
    <row r="147" spans="2:51">
      <c r="B147" s="24"/>
      <c r="C147" s="25"/>
      <c r="D147" s="26"/>
      <c r="E147" s="27"/>
      <c r="F147" s="26"/>
      <c r="G147" s="27"/>
      <c r="H147" s="26"/>
      <c r="I147" s="27"/>
      <c r="J147" s="26"/>
      <c r="K147" s="27"/>
      <c r="L147" s="26"/>
      <c r="M147" s="27"/>
      <c r="N147" s="26"/>
      <c r="O147" s="27"/>
      <c r="P147" s="26"/>
      <c r="Q147" s="27"/>
      <c r="R147" s="26"/>
      <c r="S147" s="27"/>
      <c r="T147" s="26"/>
      <c r="U147" s="27"/>
      <c r="V147" s="26"/>
      <c r="W147" s="27"/>
      <c r="X147" s="26"/>
      <c r="Y147" s="27"/>
      <c r="Z147" s="26"/>
      <c r="AA147" s="27"/>
      <c r="AB147" s="26"/>
      <c r="AC147" s="27"/>
      <c r="AD147" s="26"/>
      <c r="AE147" s="27"/>
      <c r="AF147" s="26"/>
      <c r="AG147" s="27"/>
      <c r="AH147" s="26"/>
      <c r="AI147" s="27"/>
      <c r="AJ147" s="26"/>
      <c r="AK147" s="27"/>
      <c r="AL147" s="26"/>
      <c r="AM147" s="27"/>
      <c r="AN147" s="26"/>
      <c r="AO147" s="27"/>
      <c r="AP147" s="26"/>
      <c r="AQ147" s="27"/>
      <c r="AR147" s="26"/>
      <c r="AS147" s="27"/>
      <c r="AT147" s="26"/>
      <c r="AU147" s="27"/>
      <c r="AV147" s="26"/>
      <c r="AW147" s="27"/>
      <c r="AX147" s="26"/>
      <c r="AY147" s="27"/>
    </row>
    <row r="148" spans="2:51">
      <c r="B148" s="24"/>
      <c r="C148" s="25"/>
      <c r="D148" s="26"/>
      <c r="E148" s="27"/>
      <c r="F148" s="26"/>
      <c r="G148" s="27"/>
      <c r="H148" s="26"/>
      <c r="I148" s="27"/>
      <c r="J148" s="26"/>
      <c r="K148" s="27"/>
      <c r="L148" s="26"/>
      <c r="M148" s="27"/>
      <c r="N148" s="26"/>
      <c r="O148" s="27"/>
      <c r="P148" s="26"/>
      <c r="Q148" s="27"/>
      <c r="R148" s="26"/>
      <c r="S148" s="27"/>
      <c r="T148" s="26"/>
      <c r="U148" s="27"/>
      <c r="V148" s="26"/>
      <c r="W148" s="27"/>
      <c r="X148" s="26"/>
      <c r="Y148" s="27"/>
      <c r="Z148" s="26"/>
      <c r="AA148" s="27"/>
      <c r="AB148" s="26"/>
      <c r="AC148" s="27"/>
      <c r="AD148" s="26"/>
      <c r="AE148" s="27"/>
      <c r="AF148" s="26"/>
      <c r="AG148" s="27"/>
      <c r="AH148" s="26"/>
      <c r="AI148" s="27"/>
      <c r="AJ148" s="26"/>
      <c r="AK148" s="27"/>
      <c r="AL148" s="26"/>
      <c r="AM148" s="27"/>
      <c r="AN148" s="26"/>
      <c r="AO148" s="27"/>
      <c r="AP148" s="26"/>
      <c r="AQ148" s="27"/>
      <c r="AR148" s="26"/>
      <c r="AS148" s="27"/>
      <c r="AT148" s="26"/>
      <c r="AU148" s="27"/>
      <c r="AV148" s="26"/>
      <c r="AW148" s="27"/>
      <c r="AX148" s="26"/>
      <c r="AY148" s="27"/>
    </row>
    <row r="149" spans="2:51">
      <c r="B149" s="24"/>
      <c r="C149" s="25"/>
      <c r="D149" s="26"/>
      <c r="E149" s="27"/>
      <c r="F149" s="26"/>
      <c r="G149" s="27"/>
      <c r="H149" s="26"/>
      <c r="I149" s="27"/>
      <c r="J149" s="26"/>
      <c r="K149" s="27"/>
      <c r="L149" s="26"/>
      <c r="M149" s="27"/>
      <c r="N149" s="26"/>
      <c r="O149" s="27"/>
      <c r="P149" s="26"/>
      <c r="Q149" s="27"/>
      <c r="R149" s="26"/>
      <c r="S149" s="27"/>
      <c r="T149" s="26"/>
      <c r="U149" s="27"/>
      <c r="V149" s="26"/>
      <c r="W149" s="27"/>
      <c r="X149" s="26"/>
      <c r="Y149" s="27"/>
      <c r="Z149" s="26"/>
      <c r="AA149" s="27"/>
      <c r="AB149" s="26"/>
      <c r="AC149" s="27"/>
      <c r="AD149" s="26"/>
      <c r="AE149" s="27"/>
      <c r="AF149" s="26"/>
      <c r="AG149" s="27"/>
      <c r="AH149" s="26"/>
      <c r="AI149" s="27"/>
      <c r="AJ149" s="26"/>
      <c r="AK149" s="27"/>
      <c r="AL149" s="26"/>
      <c r="AM149" s="27"/>
      <c r="AN149" s="26"/>
      <c r="AO149" s="27"/>
      <c r="AP149" s="26"/>
      <c r="AQ149" s="27"/>
      <c r="AR149" s="26"/>
      <c r="AS149" s="27"/>
      <c r="AT149" s="26"/>
      <c r="AU149" s="27"/>
      <c r="AV149" s="26"/>
      <c r="AW149" s="27"/>
      <c r="AX149" s="26"/>
      <c r="AY149" s="27"/>
    </row>
    <row r="150" spans="2:51">
      <c r="B150" s="24"/>
      <c r="C150" s="25"/>
      <c r="D150" s="26"/>
      <c r="E150" s="27"/>
      <c r="F150" s="26"/>
      <c r="G150" s="27"/>
      <c r="H150" s="26"/>
      <c r="I150" s="27"/>
      <c r="J150" s="26"/>
      <c r="K150" s="27"/>
      <c r="L150" s="26"/>
      <c r="M150" s="27"/>
      <c r="N150" s="26"/>
      <c r="O150" s="27"/>
      <c r="P150" s="26"/>
      <c r="Q150" s="27"/>
      <c r="R150" s="26"/>
      <c r="S150" s="27"/>
      <c r="T150" s="26"/>
      <c r="U150" s="27"/>
      <c r="V150" s="26"/>
      <c r="W150" s="27"/>
      <c r="X150" s="26"/>
      <c r="Y150" s="27"/>
      <c r="Z150" s="26"/>
      <c r="AA150" s="27"/>
      <c r="AB150" s="26"/>
      <c r="AC150" s="27"/>
      <c r="AD150" s="26"/>
      <c r="AE150" s="27"/>
      <c r="AF150" s="26"/>
      <c r="AG150" s="27"/>
      <c r="AH150" s="26"/>
      <c r="AI150" s="27"/>
      <c r="AJ150" s="26"/>
      <c r="AK150" s="27"/>
      <c r="AL150" s="26"/>
      <c r="AM150" s="27"/>
      <c r="AN150" s="26"/>
      <c r="AO150" s="27"/>
      <c r="AP150" s="26"/>
      <c r="AQ150" s="27"/>
      <c r="AR150" s="26"/>
      <c r="AS150" s="27"/>
      <c r="AT150" s="26"/>
      <c r="AU150" s="27"/>
      <c r="AV150" s="26"/>
      <c r="AW150" s="27"/>
      <c r="AX150" s="26"/>
      <c r="AY150" s="27"/>
    </row>
    <row r="151" spans="2:51">
      <c r="B151" s="24"/>
      <c r="C151" s="25"/>
      <c r="D151" s="26"/>
      <c r="E151" s="27"/>
      <c r="F151" s="26"/>
      <c r="G151" s="27"/>
      <c r="H151" s="26"/>
      <c r="I151" s="27"/>
      <c r="J151" s="26"/>
      <c r="K151" s="27"/>
      <c r="L151" s="26"/>
      <c r="M151" s="27"/>
      <c r="N151" s="26"/>
      <c r="O151" s="27"/>
      <c r="P151" s="26"/>
      <c r="Q151" s="27"/>
      <c r="R151" s="26"/>
      <c r="S151" s="27"/>
      <c r="T151" s="26"/>
      <c r="U151" s="27"/>
      <c r="V151" s="26"/>
      <c r="W151" s="27"/>
      <c r="X151" s="26"/>
      <c r="Y151" s="27"/>
      <c r="Z151" s="26"/>
      <c r="AA151" s="27"/>
      <c r="AB151" s="26"/>
      <c r="AC151" s="27"/>
      <c r="AD151" s="26"/>
      <c r="AE151" s="27"/>
      <c r="AF151" s="26"/>
      <c r="AG151" s="27"/>
      <c r="AH151" s="26"/>
      <c r="AI151" s="27"/>
      <c r="AJ151" s="26"/>
      <c r="AK151" s="27"/>
      <c r="AL151" s="26"/>
      <c r="AM151" s="27"/>
      <c r="AN151" s="26"/>
      <c r="AO151" s="27"/>
      <c r="AP151" s="26"/>
      <c r="AQ151" s="27"/>
      <c r="AR151" s="26"/>
      <c r="AS151" s="27"/>
      <c r="AT151" s="26"/>
      <c r="AU151" s="27"/>
      <c r="AV151" s="26"/>
      <c r="AW151" s="27"/>
      <c r="AX151" s="26"/>
      <c r="AY151" s="27"/>
    </row>
    <row r="152" spans="2:51">
      <c r="B152" s="24"/>
      <c r="C152" s="25"/>
      <c r="D152" s="26"/>
      <c r="E152" s="27"/>
      <c r="F152" s="26"/>
      <c r="G152" s="27"/>
      <c r="H152" s="26"/>
      <c r="I152" s="27"/>
      <c r="J152" s="26"/>
      <c r="K152" s="27"/>
      <c r="L152" s="26"/>
      <c r="M152" s="27"/>
      <c r="N152" s="26"/>
      <c r="O152" s="27"/>
      <c r="P152" s="26"/>
      <c r="Q152" s="27"/>
      <c r="R152" s="26"/>
      <c r="S152" s="27"/>
      <c r="T152" s="26"/>
      <c r="U152" s="27"/>
      <c r="V152" s="26"/>
      <c r="W152" s="27"/>
      <c r="X152" s="26"/>
      <c r="Y152" s="27"/>
      <c r="Z152" s="26"/>
      <c r="AA152" s="27"/>
      <c r="AB152" s="26"/>
      <c r="AC152" s="27"/>
      <c r="AD152" s="26"/>
      <c r="AE152" s="27"/>
      <c r="AF152" s="26"/>
      <c r="AG152" s="27"/>
      <c r="AH152" s="26"/>
      <c r="AI152" s="27"/>
      <c r="AJ152" s="26"/>
      <c r="AK152" s="27"/>
      <c r="AL152" s="26"/>
      <c r="AM152" s="27"/>
      <c r="AN152" s="26"/>
      <c r="AO152" s="27"/>
      <c r="AP152" s="26"/>
      <c r="AQ152" s="27"/>
      <c r="AR152" s="26"/>
      <c r="AS152" s="27"/>
      <c r="AT152" s="26"/>
      <c r="AU152" s="27"/>
      <c r="AV152" s="26"/>
      <c r="AW152" s="27"/>
      <c r="AX152" s="26"/>
      <c r="AY152" s="27"/>
    </row>
    <row r="153" spans="2:51">
      <c r="B153" s="24"/>
      <c r="C153" s="25"/>
      <c r="D153" s="26"/>
      <c r="E153" s="27"/>
      <c r="F153" s="26"/>
      <c r="G153" s="27"/>
      <c r="H153" s="26"/>
      <c r="I153" s="27"/>
      <c r="J153" s="26"/>
      <c r="K153" s="27"/>
      <c r="L153" s="26"/>
      <c r="M153" s="27"/>
      <c r="N153" s="26"/>
      <c r="O153" s="27"/>
      <c r="P153" s="26"/>
      <c r="Q153" s="27"/>
      <c r="R153" s="26"/>
      <c r="S153" s="27"/>
      <c r="T153" s="26"/>
      <c r="U153" s="27"/>
      <c r="V153" s="26"/>
      <c r="W153" s="27"/>
      <c r="X153" s="26"/>
      <c r="Y153" s="27"/>
      <c r="Z153" s="26"/>
      <c r="AA153" s="27"/>
      <c r="AB153" s="26"/>
      <c r="AC153" s="27"/>
      <c r="AD153" s="26"/>
      <c r="AE153" s="27"/>
      <c r="AF153" s="26"/>
      <c r="AG153" s="27"/>
      <c r="AH153" s="26"/>
      <c r="AI153" s="27"/>
      <c r="AJ153" s="26"/>
      <c r="AK153" s="27"/>
      <c r="AL153" s="26"/>
      <c r="AM153" s="27"/>
      <c r="AN153" s="26"/>
      <c r="AO153" s="27"/>
      <c r="AP153" s="26"/>
      <c r="AQ153" s="27"/>
      <c r="AR153" s="26"/>
      <c r="AS153" s="27"/>
      <c r="AT153" s="26"/>
      <c r="AU153" s="27"/>
      <c r="AV153" s="26"/>
      <c r="AW153" s="27"/>
      <c r="AX153" s="26"/>
      <c r="AY153" s="27"/>
    </row>
    <row r="154" spans="2:51">
      <c r="B154" s="24"/>
      <c r="C154" s="25"/>
      <c r="D154" s="26"/>
      <c r="E154" s="27"/>
      <c r="F154" s="26"/>
      <c r="G154" s="27"/>
      <c r="H154" s="26"/>
      <c r="I154" s="27"/>
      <c r="J154" s="26"/>
      <c r="K154" s="27"/>
      <c r="L154" s="26"/>
      <c r="M154" s="27"/>
      <c r="N154" s="26"/>
      <c r="O154" s="27"/>
      <c r="P154" s="26"/>
      <c r="Q154" s="27"/>
      <c r="R154" s="26"/>
      <c r="S154" s="27"/>
      <c r="T154" s="26"/>
      <c r="U154" s="27"/>
      <c r="V154" s="26"/>
      <c r="W154" s="27"/>
      <c r="X154" s="26"/>
      <c r="Y154" s="27"/>
      <c r="Z154" s="26"/>
      <c r="AA154" s="27"/>
      <c r="AB154" s="26"/>
      <c r="AC154" s="27"/>
      <c r="AD154" s="26"/>
      <c r="AE154" s="27"/>
      <c r="AF154" s="26"/>
      <c r="AG154" s="27"/>
      <c r="AH154" s="26"/>
      <c r="AI154" s="27"/>
      <c r="AJ154" s="26"/>
      <c r="AK154" s="27"/>
      <c r="AL154" s="26"/>
      <c r="AM154" s="27"/>
      <c r="AN154" s="26"/>
      <c r="AO154" s="27"/>
      <c r="AP154" s="26"/>
      <c r="AQ154" s="27"/>
      <c r="AR154" s="26"/>
      <c r="AS154" s="27"/>
      <c r="AT154" s="26"/>
      <c r="AU154" s="27"/>
      <c r="AV154" s="26"/>
      <c r="AW154" s="27"/>
      <c r="AX154" s="26"/>
      <c r="AY154" s="27"/>
    </row>
    <row r="155" spans="2:51">
      <c r="B155" s="24"/>
      <c r="C155" s="25"/>
      <c r="D155" s="26"/>
      <c r="E155" s="27"/>
      <c r="F155" s="26"/>
      <c r="G155" s="27"/>
      <c r="H155" s="26"/>
      <c r="I155" s="27"/>
      <c r="J155" s="26"/>
      <c r="K155" s="27"/>
      <c r="L155" s="26"/>
      <c r="M155" s="27"/>
      <c r="N155" s="26"/>
      <c r="O155" s="27"/>
      <c r="P155" s="26"/>
      <c r="Q155" s="27"/>
      <c r="R155" s="26"/>
      <c r="S155" s="27"/>
      <c r="T155" s="26"/>
      <c r="U155" s="27"/>
      <c r="V155" s="26"/>
      <c r="W155" s="27"/>
      <c r="X155" s="26"/>
      <c r="Y155" s="27"/>
      <c r="Z155" s="26"/>
      <c r="AA155" s="27"/>
      <c r="AB155" s="26"/>
      <c r="AC155" s="27"/>
      <c r="AD155" s="26"/>
      <c r="AE155" s="27"/>
      <c r="AF155" s="26"/>
      <c r="AG155" s="27"/>
      <c r="AH155" s="26"/>
      <c r="AI155" s="27"/>
      <c r="AJ155" s="26"/>
      <c r="AK155" s="27"/>
      <c r="AL155" s="26"/>
      <c r="AM155" s="27"/>
      <c r="AN155" s="26"/>
      <c r="AO155" s="27"/>
      <c r="AP155" s="26"/>
      <c r="AQ155" s="27"/>
      <c r="AR155" s="26"/>
      <c r="AS155" s="27"/>
      <c r="AT155" s="26"/>
      <c r="AU155" s="27"/>
      <c r="AV155" s="26"/>
      <c r="AW155" s="27"/>
      <c r="AX155" s="26"/>
      <c r="AY155" s="27"/>
    </row>
    <row r="156" spans="2:51">
      <c r="B156" s="24"/>
      <c r="C156" s="25"/>
      <c r="D156" s="26"/>
      <c r="E156" s="27"/>
      <c r="F156" s="26"/>
      <c r="G156" s="27"/>
      <c r="H156" s="26"/>
      <c r="I156" s="27"/>
      <c r="J156" s="26"/>
      <c r="K156" s="27"/>
      <c r="L156" s="26"/>
      <c r="M156" s="27"/>
      <c r="N156" s="26"/>
      <c r="O156" s="27"/>
      <c r="P156" s="26"/>
      <c r="Q156" s="27"/>
      <c r="R156" s="26"/>
      <c r="S156" s="27"/>
      <c r="T156" s="26"/>
      <c r="U156" s="27"/>
      <c r="V156" s="26"/>
      <c r="W156" s="27"/>
      <c r="X156" s="26"/>
      <c r="Y156" s="27"/>
      <c r="Z156" s="26"/>
      <c r="AA156" s="27"/>
      <c r="AB156" s="26"/>
      <c r="AC156" s="27"/>
      <c r="AD156" s="26"/>
      <c r="AE156" s="27"/>
      <c r="AF156" s="26"/>
      <c r="AG156" s="27"/>
      <c r="AH156" s="26"/>
      <c r="AI156" s="27"/>
      <c r="AJ156" s="26"/>
      <c r="AK156" s="27"/>
      <c r="AL156" s="26"/>
      <c r="AM156" s="27"/>
      <c r="AN156" s="26"/>
      <c r="AO156" s="27"/>
      <c r="AP156" s="26"/>
      <c r="AQ156" s="27"/>
      <c r="AR156" s="26"/>
      <c r="AS156" s="27"/>
      <c r="AT156" s="26"/>
      <c r="AU156" s="27"/>
      <c r="AV156" s="26"/>
      <c r="AW156" s="27"/>
      <c r="AX156" s="26"/>
      <c r="AY156" s="27"/>
    </row>
    <row r="157" spans="2:51">
      <c r="B157" s="24"/>
      <c r="C157" s="25"/>
      <c r="D157" s="26"/>
      <c r="E157" s="27"/>
      <c r="F157" s="26"/>
      <c r="G157" s="27"/>
      <c r="H157" s="26"/>
      <c r="I157" s="27"/>
      <c r="J157" s="26"/>
      <c r="K157" s="27"/>
      <c r="L157" s="26"/>
      <c r="M157" s="27"/>
      <c r="N157" s="26"/>
      <c r="O157" s="27"/>
      <c r="P157" s="26"/>
      <c r="Q157" s="27"/>
      <c r="R157" s="26"/>
      <c r="S157" s="27"/>
      <c r="T157" s="26"/>
      <c r="U157" s="27"/>
      <c r="V157" s="26"/>
      <c r="W157" s="27"/>
      <c r="X157" s="26"/>
      <c r="Y157" s="27"/>
      <c r="Z157" s="26"/>
      <c r="AA157" s="27"/>
      <c r="AB157" s="26"/>
      <c r="AC157" s="27"/>
      <c r="AD157" s="26"/>
      <c r="AE157" s="27"/>
      <c r="AF157" s="26"/>
      <c r="AG157" s="27"/>
      <c r="AH157" s="26"/>
      <c r="AI157" s="27"/>
      <c r="AJ157" s="26"/>
      <c r="AK157" s="27"/>
      <c r="AL157" s="26"/>
      <c r="AM157" s="27"/>
      <c r="AN157" s="26"/>
      <c r="AO157" s="27"/>
      <c r="AP157" s="26"/>
      <c r="AQ157" s="27"/>
      <c r="AR157" s="26"/>
      <c r="AS157" s="27"/>
      <c r="AT157" s="26"/>
      <c r="AU157" s="27"/>
      <c r="AV157" s="26"/>
      <c r="AW157" s="27"/>
      <c r="AX157" s="26"/>
      <c r="AY157" s="27"/>
    </row>
    <row r="158" spans="2:51">
      <c r="B158" s="24"/>
      <c r="C158" s="25"/>
      <c r="D158" s="26"/>
      <c r="E158" s="27"/>
      <c r="F158" s="26"/>
      <c r="G158" s="27"/>
      <c r="H158" s="26"/>
      <c r="I158" s="27"/>
      <c r="J158" s="26"/>
      <c r="K158" s="27"/>
      <c r="L158" s="26"/>
      <c r="M158" s="27"/>
      <c r="N158" s="26"/>
      <c r="O158" s="27"/>
      <c r="P158" s="26"/>
      <c r="Q158" s="27"/>
      <c r="R158" s="26"/>
      <c r="S158" s="27"/>
      <c r="T158" s="26"/>
      <c r="U158" s="27"/>
      <c r="V158" s="26"/>
      <c r="W158" s="27"/>
      <c r="X158" s="26"/>
      <c r="Y158" s="27"/>
      <c r="Z158" s="26"/>
      <c r="AA158" s="27"/>
      <c r="AB158" s="26"/>
      <c r="AC158" s="27"/>
      <c r="AD158" s="26"/>
      <c r="AE158" s="27"/>
      <c r="AF158" s="26"/>
      <c r="AG158" s="27"/>
      <c r="AH158" s="26"/>
      <c r="AI158" s="27"/>
      <c r="AJ158" s="26"/>
      <c r="AK158" s="27"/>
      <c r="AL158" s="26"/>
      <c r="AM158" s="27"/>
      <c r="AN158" s="26"/>
      <c r="AO158" s="27"/>
      <c r="AP158" s="26"/>
      <c r="AQ158" s="27"/>
      <c r="AR158" s="26"/>
      <c r="AS158" s="27"/>
      <c r="AT158" s="26"/>
      <c r="AU158" s="27"/>
      <c r="AV158" s="26"/>
      <c r="AW158" s="27"/>
      <c r="AX158" s="26"/>
      <c r="AY158" s="27"/>
    </row>
    <row r="159" spans="2:51">
      <c r="B159" s="24"/>
      <c r="C159" s="25"/>
      <c r="D159" s="26"/>
      <c r="E159" s="27"/>
      <c r="F159" s="26"/>
      <c r="G159" s="27"/>
      <c r="H159" s="26"/>
      <c r="I159" s="27"/>
      <c r="J159" s="26"/>
      <c r="K159" s="27"/>
      <c r="L159" s="26"/>
      <c r="M159" s="27"/>
      <c r="N159" s="26"/>
      <c r="O159" s="27"/>
      <c r="P159" s="26"/>
      <c r="Q159" s="27"/>
      <c r="R159" s="26"/>
      <c r="S159" s="27"/>
      <c r="T159" s="26"/>
      <c r="U159" s="27"/>
      <c r="V159" s="26"/>
      <c r="W159" s="27"/>
      <c r="X159" s="26"/>
      <c r="Y159" s="27"/>
      <c r="Z159" s="26"/>
      <c r="AA159" s="27"/>
      <c r="AB159" s="26"/>
      <c r="AC159" s="27"/>
      <c r="AD159" s="26"/>
      <c r="AE159" s="27"/>
      <c r="AF159" s="26"/>
      <c r="AG159" s="27"/>
      <c r="AH159" s="26"/>
      <c r="AI159" s="27"/>
      <c r="AJ159" s="26"/>
      <c r="AK159" s="27"/>
      <c r="AL159" s="26"/>
      <c r="AM159" s="27"/>
      <c r="AN159" s="26"/>
      <c r="AO159" s="27"/>
      <c r="AP159" s="26"/>
      <c r="AQ159" s="27"/>
      <c r="AR159" s="26"/>
      <c r="AS159" s="27"/>
      <c r="AT159" s="26"/>
      <c r="AU159" s="27"/>
      <c r="AV159" s="26"/>
      <c r="AW159" s="27"/>
      <c r="AX159" s="26"/>
      <c r="AY159" s="27"/>
    </row>
    <row r="160" spans="2:51">
      <c r="B160" s="24"/>
      <c r="C160" s="25"/>
      <c r="D160" s="26"/>
      <c r="E160" s="27"/>
      <c r="F160" s="26"/>
      <c r="G160" s="27"/>
      <c r="H160" s="26"/>
      <c r="I160" s="27"/>
      <c r="J160" s="26"/>
      <c r="K160" s="27"/>
      <c r="L160" s="26"/>
      <c r="M160" s="27"/>
      <c r="N160" s="26"/>
      <c r="O160" s="27"/>
      <c r="P160" s="26"/>
      <c r="Q160" s="27"/>
      <c r="R160" s="26"/>
      <c r="S160" s="27"/>
      <c r="T160" s="26"/>
      <c r="U160" s="27"/>
      <c r="V160" s="26"/>
      <c r="W160" s="27"/>
      <c r="X160" s="26"/>
      <c r="Y160" s="27"/>
      <c r="Z160" s="26"/>
      <c r="AA160" s="27"/>
      <c r="AB160" s="26"/>
      <c r="AC160" s="27"/>
      <c r="AD160" s="26"/>
      <c r="AE160" s="27"/>
      <c r="AF160" s="26"/>
      <c r="AG160" s="27"/>
      <c r="AH160" s="26"/>
      <c r="AI160" s="27"/>
      <c r="AJ160" s="26"/>
      <c r="AK160" s="27"/>
      <c r="AL160" s="26"/>
      <c r="AM160" s="27"/>
      <c r="AN160" s="26"/>
      <c r="AO160" s="27"/>
      <c r="AP160" s="26"/>
      <c r="AQ160" s="27"/>
      <c r="AR160" s="26"/>
      <c r="AS160" s="27"/>
      <c r="AT160" s="26"/>
      <c r="AU160" s="27"/>
      <c r="AV160" s="26"/>
      <c r="AW160" s="27"/>
      <c r="AX160" s="26"/>
      <c r="AY160" s="27"/>
    </row>
    <row r="161" spans="2:51">
      <c r="B161" s="24"/>
      <c r="C161" s="25"/>
      <c r="D161" s="26"/>
      <c r="E161" s="27"/>
      <c r="F161" s="26"/>
      <c r="G161" s="27"/>
      <c r="H161" s="26"/>
      <c r="I161" s="27"/>
      <c r="J161" s="26"/>
      <c r="K161" s="27"/>
      <c r="L161" s="26"/>
      <c r="M161" s="27"/>
      <c r="N161" s="26"/>
      <c r="O161" s="27"/>
      <c r="P161" s="26"/>
      <c r="Q161" s="27"/>
      <c r="R161" s="26"/>
      <c r="S161" s="27"/>
      <c r="T161" s="26"/>
      <c r="U161" s="27"/>
      <c r="V161" s="26"/>
      <c r="W161" s="27"/>
      <c r="X161" s="26"/>
      <c r="Y161" s="27"/>
      <c r="Z161" s="26"/>
      <c r="AA161" s="27"/>
      <c r="AB161" s="26"/>
      <c r="AC161" s="27"/>
      <c r="AD161" s="26"/>
      <c r="AE161" s="27"/>
      <c r="AF161" s="26"/>
      <c r="AG161" s="27"/>
      <c r="AH161" s="26"/>
      <c r="AI161" s="27"/>
      <c r="AJ161" s="26"/>
      <c r="AK161" s="27"/>
      <c r="AL161" s="26"/>
      <c r="AM161" s="27"/>
      <c r="AN161" s="26"/>
      <c r="AO161" s="27"/>
      <c r="AP161" s="26"/>
      <c r="AQ161" s="27"/>
      <c r="AR161" s="26"/>
      <c r="AS161" s="27"/>
      <c r="AT161" s="26"/>
      <c r="AU161" s="27"/>
      <c r="AV161" s="26"/>
      <c r="AW161" s="27"/>
      <c r="AX161" s="26"/>
      <c r="AY161" s="27"/>
    </row>
    <row r="162" spans="2:51">
      <c r="B162" s="24"/>
      <c r="C162" s="25"/>
      <c r="D162" s="26"/>
      <c r="E162" s="27"/>
      <c r="F162" s="26"/>
      <c r="G162" s="27"/>
      <c r="H162" s="26"/>
      <c r="I162" s="27"/>
      <c r="J162" s="26"/>
      <c r="K162" s="27"/>
      <c r="L162" s="26"/>
      <c r="M162" s="27"/>
      <c r="N162" s="26"/>
      <c r="O162" s="27"/>
      <c r="P162" s="26"/>
      <c r="Q162" s="27"/>
      <c r="R162" s="26"/>
      <c r="S162" s="27"/>
      <c r="T162" s="26"/>
      <c r="U162" s="27"/>
      <c r="V162" s="26"/>
      <c r="W162" s="27"/>
      <c r="X162" s="26"/>
      <c r="Y162" s="27"/>
      <c r="Z162" s="26"/>
      <c r="AA162" s="27"/>
      <c r="AB162" s="26"/>
      <c r="AC162" s="27"/>
      <c r="AD162" s="26"/>
      <c r="AE162" s="27"/>
      <c r="AF162" s="26"/>
      <c r="AG162" s="27"/>
      <c r="AH162" s="26"/>
      <c r="AI162" s="27"/>
      <c r="AJ162" s="26"/>
      <c r="AK162" s="27"/>
      <c r="AL162" s="26"/>
      <c r="AM162" s="27"/>
      <c r="AN162" s="26"/>
      <c r="AO162" s="27"/>
      <c r="AP162" s="26"/>
      <c r="AQ162" s="27"/>
      <c r="AR162" s="26"/>
      <c r="AS162" s="27"/>
      <c r="AT162" s="26"/>
      <c r="AU162" s="27"/>
      <c r="AV162" s="26"/>
      <c r="AW162" s="27"/>
      <c r="AX162" s="26"/>
      <c r="AY162" s="27"/>
    </row>
    <row r="163" spans="2:51">
      <c r="B163" s="24"/>
      <c r="C163" s="25"/>
      <c r="D163" s="26"/>
      <c r="E163" s="27"/>
      <c r="F163" s="26"/>
      <c r="G163" s="27"/>
      <c r="H163" s="26"/>
      <c r="I163" s="27"/>
      <c r="J163" s="26"/>
      <c r="K163" s="27"/>
      <c r="L163" s="26"/>
      <c r="M163" s="27"/>
      <c r="N163" s="26"/>
      <c r="O163" s="27"/>
      <c r="P163" s="26"/>
      <c r="Q163" s="27"/>
      <c r="R163" s="26"/>
      <c r="S163" s="27"/>
      <c r="T163" s="26"/>
      <c r="U163" s="27"/>
      <c r="V163" s="26"/>
      <c r="W163" s="27"/>
      <c r="X163" s="26"/>
      <c r="Y163" s="27"/>
      <c r="Z163" s="26"/>
      <c r="AA163" s="27"/>
      <c r="AB163" s="26"/>
      <c r="AC163" s="27"/>
      <c r="AD163" s="26"/>
      <c r="AE163" s="27"/>
      <c r="AF163" s="26"/>
      <c r="AG163" s="27"/>
      <c r="AH163" s="26"/>
      <c r="AI163" s="27"/>
      <c r="AJ163" s="26"/>
      <c r="AK163" s="27"/>
      <c r="AL163" s="26"/>
      <c r="AM163" s="27"/>
      <c r="AN163" s="26"/>
      <c r="AO163" s="27"/>
      <c r="AP163" s="26"/>
      <c r="AQ163" s="27"/>
      <c r="AR163" s="26"/>
      <c r="AS163" s="27"/>
      <c r="AT163" s="26"/>
      <c r="AU163" s="27"/>
      <c r="AV163" s="26"/>
      <c r="AW163" s="27"/>
      <c r="AX163" s="26"/>
      <c r="AY163" s="27"/>
    </row>
    <row r="164" spans="2:51">
      <c r="B164" s="24"/>
      <c r="C164" s="25"/>
      <c r="D164" s="26"/>
      <c r="E164" s="27"/>
      <c r="F164" s="26"/>
      <c r="G164" s="27"/>
      <c r="H164" s="26"/>
      <c r="I164" s="27"/>
      <c r="J164" s="26"/>
      <c r="K164" s="27"/>
      <c r="L164" s="26"/>
      <c r="M164" s="27"/>
      <c r="N164" s="26"/>
      <c r="O164" s="27"/>
      <c r="P164" s="26"/>
      <c r="Q164" s="27"/>
      <c r="R164" s="26"/>
      <c r="S164" s="27"/>
      <c r="T164" s="26"/>
      <c r="U164" s="27"/>
      <c r="V164" s="26"/>
      <c r="W164" s="27"/>
      <c r="X164" s="26"/>
      <c r="Y164" s="27"/>
      <c r="Z164" s="26"/>
      <c r="AA164" s="27"/>
      <c r="AB164" s="26"/>
      <c r="AC164" s="27"/>
      <c r="AD164" s="26"/>
      <c r="AE164" s="27"/>
      <c r="AF164" s="26"/>
      <c r="AG164" s="27"/>
      <c r="AH164" s="26"/>
      <c r="AI164" s="27"/>
      <c r="AJ164" s="26"/>
      <c r="AK164" s="27"/>
      <c r="AL164" s="26"/>
      <c r="AM164" s="27"/>
      <c r="AN164" s="26"/>
      <c r="AO164" s="27"/>
      <c r="AP164" s="26"/>
      <c r="AQ164" s="27"/>
      <c r="AR164" s="26"/>
      <c r="AS164" s="27"/>
      <c r="AT164" s="26"/>
      <c r="AU164" s="27"/>
      <c r="AV164" s="26"/>
      <c r="AW164" s="27"/>
      <c r="AX164" s="26"/>
      <c r="AY164" s="27"/>
    </row>
    <row r="165" spans="2:51">
      <c r="B165" s="24"/>
      <c r="C165" s="25"/>
      <c r="D165" s="26"/>
      <c r="E165" s="27"/>
      <c r="F165" s="26"/>
      <c r="G165" s="27"/>
      <c r="H165" s="26"/>
      <c r="I165" s="27"/>
      <c r="J165" s="26"/>
      <c r="K165" s="27"/>
      <c r="L165" s="26"/>
      <c r="M165" s="27"/>
      <c r="N165" s="26"/>
      <c r="O165" s="27"/>
      <c r="P165" s="26"/>
      <c r="Q165" s="27"/>
      <c r="R165" s="26"/>
      <c r="S165" s="27"/>
      <c r="T165" s="26"/>
      <c r="U165" s="27"/>
      <c r="V165" s="26"/>
      <c r="W165" s="27"/>
      <c r="X165" s="26"/>
      <c r="Y165" s="27"/>
      <c r="Z165" s="26"/>
      <c r="AA165" s="27"/>
      <c r="AB165" s="26"/>
      <c r="AC165" s="27"/>
      <c r="AD165" s="26"/>
      <c r="AE165" s="27"/>
      <c r="AF165" s="26"/>
      <c r="AG165" s="27"/>
      <c r="AH165" s="26"/>
      <c r="AI165" s="27"/>
      <c r="AJ165" s="26"/>
      <c r="AK165" s="27"/>
      <c r="AL165" s="26"/>
      <c r="AM165" s="27"/>
      <c r="AN165" s="26"/>
      <c r="AO165" s="27"/>
      <c r="AP165" s="26"/>
      <c r="AQ165" s="27"/>
      <c r="AR165" s="26"/>
      <c r="AS165" s="27"/>
      <c r="AT165" s="26"/>
      <c r="AU165" s="27"/>
      <c r="AV165" s="26"/>
      <c r="AW165" s="27"/>
      <c r="AX165" s="26"/>
      <c r="AY165" s="27"/>
    </row>
    <row r="166" spans="2:51">
      <c r="B166" s="24"/>
      <c r="C166" s="25"/>
      <c r="D166" s="26"/>
      <c r="E166" s="27"/>
      <c r="F166" s="26"/>
      <c r="G166" s="27"/>
      <c r="H166" s="26"/>
      <c r="I166" s="27"/>
      <c r="J166" s="26"/>
      <c r="K166" s="27"/>
      <c r="L166" s="26"/>
      <c r="M166" s="27"/>
      <c r="N166" s="26"/>
      <c r="O166" s="27"/>
      <c r="P166" s="26"/>
      <c r="Q166" s="27"/>
      <c r="R166" s="26"/>
      <c r="S166" s="27"/>
      <c r="T166" s="26"/>
      <c r="U166" s="27"/>
      <c r="V166" s="26"/>
      <c r="W166" s="27"/>
      <c r="X166" s="26"/>
      <c r="Y166" s="27"/>
      <c r="Z166" s="26"/>
      <c r="AA166" s="27"/>
      <c r="AB166" s="26"/>
      <c r="AC166" s="27"/>
      <c r="AD166" s="26"/>
      <c r="AE166" s="27"/>
      <c r="AF166" s="26"/>
      <c r="AG166" s="27"/>
      <c r="AH166" s="26"/>
      <c r="AI166" s="27"/>
      <c r="AJ166" s="26"/>
      <c r="AK166" s="27"/>
      <c r="AL166" s="26"/>
      <c r="AM166" s="27"/>
      <c r="AN166" s="26"/>
      <c r="AO166" s="27"/>
      <c r="AP166" s="26"/>
      <c r="AQ166" s="27"/>
      <c r="AR166" s="26"/>
      <c r="AS166" s="27"/>
      <c r="AT166" s="26"/>
      <c r="AU166" s="27"/>
      <c r="AV166" s="26"/>
      <c r="AW166" s="27"/>
      <c r="AX166" s="26"/>
      <c r="AY166" s="27"/>
    </row>
    <row r="167" spans="2:51">
      <c r="B167" s="24"/>
      <c r="C167" s="25"/>
      <c r="D167" s="26"/>
      <c r="E167" s="27"/>
      <c r="F167" s="26"/>
      <c r="G167" s="27"/>
      <c r="H167" s="26"/>
      <c r="I167" s="27"/>
      <c r="J167" s="26"/>
      <c r="K167" s="27"/>
      <c r="L167" s="26"/>
      <c r="M167" s="27"/>
      <c r="N167" s="26"/>
      <c r="O167" s="27"/>
      <c r="P167" s="26"/>
      <c r="Q167" s="27"/>
      <c r="R167" s="26"/>
      <c r="S167" s="27"/>
      <c r="T167" s="26"/>
      <c r="U167" s="27"/>
      <c r="V167" s="26"/>
      <c r="W167" s="27"/>
      <c r="X167" s="26"/>
      <c r="Y167" s="27"/>
      <c r="Z167" s="26"/>
      <c r="AA167" s="27"/>
      <c r="AB167" s="26"/>
      <c r="AC167" s="27"/>
      <c r="AD167" s="26"/>
      <c r="AE167" s="27"/>
      <c r="AF167" s="26"/>
      <c r="AG167" s="27"/>
      <c r="AH167" s="26"/>
      <c r="AI167" s="27"/>
      <c r="AJ167" s="26"/>
      <c r="AK167" s="27"/>
      <c r="AL167" s="26"/>
      <c r="AM167" s="27"/>
      <c r="AN167" s="26"/>
      <c r="AO167" s="27"/>
      <c r="AP167" s="26"/>
      <c r="AQ167" s="27"/>
      <c r="AR167" s="26"/>
      <c r="AS167" s="27"/>
      <c r="AT167" s="26"/>
      <c r="AU167" s="27"/>
      <c r="AV167" s="26"/>
      <c r="AW167" s="27"/>
      <c r="AX167" s="26"/>
      <c r="AY167" s="27"/>
    </row>
  </sheetData>
  <conditionalFormatting sqref="C2:M2">
    <cfRule type="expression" dxfId="6" priority="1" stopIfTrue="1">
      <formula>#REF! &gt; 30</formula>
    </cfRule>
  </conditionalFormatting>
  <conditionalFormatting sqref="B2">
    <cfRule type="expression" dxfId="5" priority="2" stopIfTrue="1">
      <formula>A1 &gt; 30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Q88"/>
  <sheetViews>
    <sheetView topLeftCell="A51" workbookViewId="0">
      <selection activeCell="G85" sqref="G85"/>
    </sheetView>
  </sheetViews>
  <sheetFormatPr defaultRowHeight="15"/>
  <cols>
    <col min="1" max="1" width="9.140625" style="315"/>
    <col min="2" max="2" width="54.28515625" style="316" customWidth="1"/>
    <col min="3" max="3" width="17.7109375" style="316" bestFit="1" customWidth="1"/>
    <col min="4" max="5" width="18.28515625" style="316" bestFit="1" customWidth="1"/>
    <col min="6" max="6" width="9.140625" style="316"/>
    <col min="7" max="7" width="10.5703125" style="316" bestFit="1" customWidth="1"/>
    <col min="8" max="16" width="13.85546875" style="316" customWidth="1"/>
    <col min="17" max="17" width="12.5703125" style="316" customWidth="1"/>
    <col min="18" max="16384" width="9.140625" style="316"/>
  </cols>
  <sheetData>
    <row r="1" spans="1:17">
      <c r="A1" s="314"/>
      <c r="B1" s="372" t="s">
        <v>160</v>
      </c>
      <c r="C1" s="315"/>
      <c r="D1" s="315"/>
      <c r="E1" s="315"/>
    </row>
    <row r="2" spans="1:17">
      <c r="A2" s="373"/>
      <c r="B2" s="374" t="s">
        <v>276</v>
      </c>
      <c r="C2" s="315"/>
      <c r="D2" s="315"/>
      <c r="E2" s="315"/>
    </row>
    <row r="3" spans="1:17">
      <c r="A3" s="375"/>
      <c r="B3" s="315"/>
      <c r="C3" s="315"/>
      <c r="D3" s="315"/>
      <c r="E3" s="315"/>
    </row>
    <row r="4" spans="1:17" ht="7.5" customHeight="1"/>
    <row r="5" spans="1:17" ht="45.75" thickBot="1">
      <c r="B5" s="317" t="s">
        <v>161</v>
      </c>
      <c r="C5" s="318">
        <v>2018</v>
      </c>
      <c r="D5" s="318">
        <v>2019</v>
      </c>
      <c r="E5" s="319" t="s">
        <v>162</v>
      </c>
      <c r="G5" s="376"/>
      <c r="H5" s="377" t="s">
        <v>206</v>
      </c>
      <c r="I5" s="377" t="s">
        <v>207</v>
      </c>
      <c r="J5" s="377" t="s">
        <v>208</v>
      </c>
      <c r="K5" s="377" t="s">
        <v>209</v>
      </c>
      <c r="L5" s="377" t="s">
        <v>210</v>
      </c>
      <c r="M5" s="377" t="s">
        <v>211</v>
      </c>
      <c r="N5" s="377" t="s">
        <v>212</v>
      </c>
      <c r="O5" s="377" t="s">
        <v>213</v>
      </c>
      <c r="P5" s="377" t="s">
        <v>412</v>
      </c>
      <c r="Q5" s="377" t="s">
        <v>413</v>
      </c>
    </row>
    <row r="6" spans="1:17" ht="15.75" thickTop="1">
      <c r="B6" s="320" t="s">
        <v>163</v>
      </c>
      <c r="C6" s="321">
        <v>2824880.3171830568</v>
      </c>
      <c r="D6" s="321">
        <v>2668028.9933777913</v>
      </c>
      <c r="E6" s="321">
        <v>5492909.3105608486</v>
      </c>
      <c r="G6" s="408">
        <v>43009</v>
      </c>
      <c r="H6" s="306">
        <v>292201.64903846144</v>
      </c>
      <c r="I6" s="256">
        <v>10.45</v>
      </c>
      <c r="J6" s="192">
        <v>3053507.2324519218</v>
      </c>
      <c r="K6" s="306">
        <v>-219678.11235942584</v>
      </c>
      <c r="L6" s="306">
        <v>162196.25751495286</v>
      </c>
      <c r="M6" s="256">
        <v>26.74</v>
      </c>
      <c r="N6" s="256">
        <v>22.49</v>
      </c>
      <c r="O6" s="405">
        <v>-2226398.8929797574</v>
      </c>
      <c r="P6" s="414">
        <v>3049683.6211465001</v>
      </c>
      <c r="Q6" s="414">
        <v>1639154.141243</v>
      </c>
    </row>
    <row r="7" spans="1:17">
      <c r="B7" s="320" t="s">
        <v>164</v>
      </c>
      <c r="C7" s="321">
        <v>86332.880895937808</v>
      </c>
      <c r="D7" s="321">
        <v>147258.58485781288</v>
      </c>
      <c r="E7" s="321">
        <v>233591.4657537507</v>
      </c>
      <c r="G7" s="408">
        <v>43040</v>
      </c>
      <c r="H7" s="306">
        <v>282266.6449999999</v>
      </c>
      <c r="I7" s="256">
        <v>10.65</v>
      </c>
      <c r="J7" s="192">
        <v>3006139.769249999</v>
      </c>
      <c r="K7" s="306">
        <v>-319418.97861722379</v>
      </c>
      <c r="L7" s="306">
        <v>116794.06031242371</v>
      </c>
      <c r="M7" s="256">
        <v>27.27</v>
      </c>
      <c r="N7" s="256">
        <v>24.74</v>
      </c>
      <c r="O7" s="405">
        <v>-5821070.4947623312</v>
      </c>
      <c r="P7" s="414">
        <v>3651526.4243789995</v>
      </c>
      <c r="Q7" s="414">
        <v>2143520.6793784997</v>
      </c>
    </row>
    <row r="8" spans="1:17">
      <c r="B8" s="320" t="s">
        <v>165</v>
      </c>
      <c r="C8" s="321">
        <v>0</v>
      </c>
      <c r="D8" s="321">
        <v>0</v>
      </c>
      <c r="E8" s="321">
        <v>0</v>
      </c>
      <c r="G8" s="408">
        <v>43070</v>
      </c>
      <c r="H8" s="306">
        <v>531529.9800000001</v>
      </c>
      <c r="I8" s="256">
        <v>11.83</v>
      </c>
      <c r="J8" s="192">
        <v>6287999.6634000009</v>
      </c>
      <c r="K8" s="306">
        <v>53349.02292406818</v>
      </c>
      <c r="L8" s="306">
        <v>405696.44424019929</v>
      </c>
      <c r="M8" s="256">
        <v>30.28</v>
      </c>
      <c r="N8" s="256">
        <v>26.6</v>
      </c>
      <c r="O8" s="405">
        <v>12406933.830930086</v>
      </c>
      <c r="P8" s="414">
        <v>3566674.910317</v>
      </c>
      <c r="Q8" s="414">
        <v>2158780.6089354996</v>
      </c>
    </row>
    <row r="9" spans="1:17">
      <c r="B9" s="323" t="s">
        <v>166</v>
      </c>
      <c r="C9" s="324">
        <v>38265.411320319887</v>
      </c>
      <c r="D9" s="324">
        <v>43545.420842882559</v>
      </c>
      <c r="E9" s="324">
        <v>81810.832163202445</v>
      </c>
      <c r="G9" s="408">
        <v>43101</v>
      </c>
      <c r="H9" s="306">
        <v>604527.14182692301</v>
      </c>
      <c r="I9" s="256">
        <v>11.45</v>
      </c>
      <c r="J9" s="192">
        <v>6921835.7739182683</v>
      </c>
      <c r="K9" s="306">
        <v>517405.50911755464</v>
      </c>
      <c r="L9" s="306">
        <v>568822.27830970718</v>
      </c>
      <c r="M9" s="256">
        <v>29.3</v>
      </c>
      <c r="N9" s="256">
        <v>23.94</v>
      </c>
      <c r="O9" s="405">
        <v>28777586.75987874</v>
      </c>
      <c r="P9" s="414">
        <v>3022270.091848</v>
      </c>
      <c r="Q9" s="414">
        <v>1869585.923312</v>
      </c>
    </row>
    <row r="10" spans="1:17">
      <c r="B10" s="325" t="s">
        <v>167</v>
      </c>
      <c r="C10" s="326">
        <v>2949478.6093993145</v>
      </c>
      <c r="D10" s="326">
        <v>2858832.9990784866</v>
      </c>
      <c r="E10" s="326">
        <v>5808311.6084778011</v>
      </c>
      <c r="G10" s="408">
        <v>43132</v>
      </c>
      <c r="H10" s="306">
        <v>333545.46874999983</v>
      </c>
      <c r="I10" s="256">
        <v>11.15</v>
      </c>
      <c r="J10" s="192">
        <v>3719031.9765624981</v>
      </c>
      <c r="K10" s="306">
        <v>500980.00725298387</v>
      </c>
      <c r="L10" s="306">
        <v>517528.08195505431</v>
      </c>
      <c r="M10" s="256">
        <v>28.54</v>
      </c>
      <c r="N10" s="256">
        <v>23.94</v>
      </c>
      <c r="O10" s="405">
        <v>26687591.68900416</v>
      </c>
      <c r="P10" s="414">
        <v>2533270.2385795</v>
      </c>
      <c r="Q10" s="414">
        <v>1477102.8149250001</v>
      </c>
    </row>
    <row r="11" spans="1:17">
      <c r="B11" s="327"/>
      <c r="C11" s="328"/>
      <c r="D11" s="328"/>
      <c r="E11" s="328"/>
      <c r="G11" s="408">
        <v>43160</v>
      </c>
      <c r="H11" s="306">
        <v>552965.27083333302</v>
      </c>
      <c r="I11" s="256">
        <v>9.2799999999999994</v>
      </c>
      <c r="J11" s="192">
        <v>5131517.7133333301</v>
      </c>
      <c r="K11" s="306">
        <v>159410.87174382099</v>
      </c>
      <c r="L11" s="306">
        <v>276453.68871779315</v>
      </c>
      <c r="M11" s="256">
        <v>23.75</v>
      </c>
      <c r="N11" s="256">
        <v>20.8</v>
      </c>
      <c r="O11" s="405">
        <v>9536244.9292458463</v>
      </c>
      <c r="P11" s="414">
        <v>3002579.9362885002</v>
      </c>
      <c r="Q11" s="414">
        <v>1745556.0887925001</v>
      </c>
    </row>
    <row r="12" spans="1:17" ht="15.75" thickBot="1">
      <c r="B12" s="317" t="s">
        <v>168</v>
      </c>
      <c r="C12" s="329"/>
      <c r="D12" s="330"/>
      <c r="E12" s="329"/>
      <c r="G12" s="408">
        <v>43191</v>
      </c>
      <c r="H12" s="306">
        <v>366859.01249999995</v>
      </c>
      <c r="I12" s="256">
        <v>7.68</v>
      </c>
      <c r="J12" s="192">
        <v>2817477.2159999995</v>
      </c>
      <c r="K12" s="306">
        <v>-174401.54915477292</v>
      </c>
      <c r="L12" s="306">
        <v>180048.01541864604</v>
      </c>
      <c r="M12" s="256">
        <v>19.670000000000002</v>
      </c>
      <c r="N12" s="256">
        <v>17.54</v>
      </c>
      <c r="O12" s="405">
        <v>-272436.28143133223</v>
      </c>
      <c r="P12" s="414">
        <v>2934906.9014670001</v>
      </c>
      <c r="Q12" s="414">
        <v>1628742.477157</v>
      </c>
    </row>
    <row r="13" spans="1:17" ht="15.75" thickTop="1">
      <c r="B13" s="327"/>
      <c r="C13" s="327"/>
      <c r="D13" s="327"/>
      <c r="E13" s="327"/>
      <c r="G13" s="408">
        <v>43221</v>
      </c>
      <c r="H13" s="306">
        <v>330782.7451923078</v>
      </c>
      <c r="I13" s="256">
        <v>6.49</v>
      </c>
      <c r="J13" s="192">
        <v>2146780.0162980775</v>
      </c>
      <c r="K13" s="306">
        <v>-1268779.268478638</v>
      </c>
      <c r="L13" s="306">
        <v>-473840.65936695033</v>
      </c>
      <c r="M13" s="256">
        <v>16.63</v>
      </c>
      <c r="N13" s="256">
        <v>11.25</v>
      </c>
      <c r="O13" s="405">
        <v>-26430506.652677942</v>
      </c>
      <c r="P13" s="414">
        <v>4268254.3238090007</v>
      </c>
      <c r="Q13" s="414">
        <v>2428578.2029529996</v>
      </c>
    </row>
    <row r="14" spans="1:17" ht="15.75" thickBot="1">
      <c r="B14" s="331" t="s">
        <v>169</v>
      </c>
      <c r="C14" s="332">
        <v>2018</v>
      </c>
      <c r="D14" s="332">
        <v>2019</v>
      </c>
      <c r="E14" s="333" t="s">
        <v>162</v>
      </c>
      <c r="G14" s="408">
        <v>43252</v>
      </c>
      <c r="H14" s="306">
        <v>352389.14423076931</v>
      </c>
      <c r="I14" s="256">
        <v>6.92</v>
      </c>
      <c r="J14" s="192">
        <v>2438532.8780769235</v>
      </c>
      <c r="K14" s="306">
        <v>-673654.87725875597</v>
      </c>
      <c r="L14" s="306">
        <v>-141924.0050836672</v>
      </c>
      <c r="M14" s="256">
        <v>17.71</v>
      </c>
      <c r="N14" s="256">
        <v>9.31</v>
      </c>
      <c r="O14" s="405">
        <v>-13251740.36358151</v>
      </c>
      <c r="P14" s="414">
        <v>3456513.955083</v>
      </c>
      <c r="Q14" s="414">
        <v>1827109.909091</v>
      </c>
    </row>
    <row r="15" spans="1:17" ht="15.75" thickTop="1">
      <c r="B15" s="334" t="s">
        <v>170</v>
      </c>
      <c r="C15" s="335">
        <v>-23139.58692419</v>
      </c>
      <c r="D15" s="335">
        <v>-33391.632327569998</v>
      </c>
      <c r="E15" s="335">
        <v>-56531.219251759998</v>
      </c>
      <c r="G15" s="408">
        <v>43282</v>
      </c>
      <c r="H15" s="306">
        <v>367251.25249999989</v>
      </c>
      <c r="I15" s="256">
        <v>9.6300000000000008</v>
      </c>
      <c r="J15" s="192">
        <v>3536629.5615749992</v>
      </c>
      <c r="K15" s="306">
        <v>-134892.92116512981</v>
      </c>
      <c r="L15" s="306">
        <v>332348.28768583143</v>
      </c>
      <c r="M15" s="256">
        <v>24.66</v>
      </c>
      <c r="N15" s="256">
        <v>19.05</v>
      </c>
      <c r="O15" s="405">
        <v>3004775.4444829873</v>
      </c>
      <c r="P15" s="414">
        <v>3033188.0440175002</v>
      </c>
      <c r="Q15" s="414">
        <v>1606277.1924980001</v>
      </c>
    </row>
    <row r="16" spans="1:17">
      <c r="B16" s="334" t="s">
        <v>171</v>
      </c>
      <c r="C16" s="335">
        <v>0</v>
      </c>
      <c r="D16" s="335">
        <v>0</v>
      </c>
      <c r="E16" s="335">
        <v>0</v>
      </c>
      <c r="G16" s="408">
        <v>43313</v>
      </c>
      <c r="H16" s="306">
        <v>515719.41203703696</v>
      </c>
      <c r="I16" s="256">
        <v>10.98</v>
      </c>
      <c r="J16" s="192">
        <v>5662599.1441666661</v>
      </c>
      <c r="K16" s="306">
        <v>-346552.45381829632</v>
      </c>
      <c r="L16" s="306">
        <v>121744.18475136528</v>
      </c>
      <c r="M16" s="256">
        <v>28.11</v>
      </c>
      <c r="N16" s="256">
        <v>22.61</v>
      </c>
      <c r="O16" s="405">
        <v>-6988953.4596039411</v>
      </c>
      <c r="P16" s="414">
        <v>3437616.0556110004</v>
      </c>
      <c r="Q16" s="414">
        <v>1700777.4010119999</v>
      </c>
    </row>
    <row r="17" spans="1:17">
      <c r="A17" s="316"/>
      <c r="B17" s="334" t="s">
        <v>172</v>
      </c>
      <c r="C17" s="409">
        <v>-0.68237050318618897</v>
      </c>
      <c r="D17" s="409">
        <v>-0.70078946707721723</v>
      </c>
      <c r="E17" s="335">
        <v>-1.3831599702634061</v>
      </c>
      <c r="G17" s="410">
        <v>43344</v>
      </c>
      <c r="H17" s="303">
        <v>333770.32812499994</v>
      </c>
      <c r="I17" s="257">
        <v>10.91</v>
      </c>
      <c r="J17" s="194">
        <v>3641434.2798437495</v>
      </c>
      <c r="K17" s="303">
        <v>-235269.22995303335</v>
      </c>
      <c r="L17" s="303">
        <v>179952.80862130836</v>
      </c>
      <c r="M17" s="257">
        <v>27.94</v>
      </c>
      <c r="N17" s="257">
        <v>22.19</v>
      </c>
      <c r="O17" s="406">
        <v>-2580269.4615809196</v>
      </c>
      <c r="P17" s="414">
        <v>2975771.4279744998</v>
      </c>
      <c r="Q17" s="414">
        <v>1679408.7026249999</v>
      </c>
    </row>
    <row r="18" spans="1:17">
      <c r="A18" s="316"/>
      <c r="B18" s="334" t="s">
        <v>173</v>
      </c>
      <c r="C18" s="337">
        <v>-15958.618</v>
      </c>
      <c r="D18" s="337">
        <v>-15958.57878</v>
      </c>
      <c r="E18" s="337">
        <v>-31917.196779999998</v>
      </c>
      <c r="G18" s="408">
        <v>43374</v>
      </c>
      <c r="H18" s="306">
        <v>339993.77546296304</v>
      </c>
      <c r="I18" s="191">
        <v>10.45</v>
      </c>
      <c r="J18" s="192">
        <v>3552934.9535879637</v>
      </c>
      <c r="K18" s="306">
        <v>-154379.52037617349</v>
      </c>
      <c r="L18" s="306">
        <v>119349.52301206387</v>
      </c>
      <c r="M18" s="411">
        <v>26.74</v>
      </c>
      <c r="N18" s="411">
        <v>22.49</v>
      </c>
      <c r="O18" s="405">
        <v>-1443937.6023175628</v>
      </c>
      <c r="P18" s="414">
        <v>3049683.6211465001</v>
      </c>
      <c r="Q18" s="415">
        <v>1639154.141243</v>
      </c>
    </row>
    <row r="19" spans="1:17">
      <c r="A19" s="316"/>
      <c r="B19" s="334" t="s">
        <v>174</v>
      </c>
      <c r="C19" s="338">
        <v>-1323.3264774999998</v>
      </c>
      <c r="D19" s="338">
        <v>-1321.9000775</v>
      </c>
      <c r="E19" s="338">
        <v>-2645.2265549999997</v>
      </c>
      <c r="G19" s="408">
        <v>43405</v>
      </c>
      <c r="H19" s="306">
        <v>287552.15749999991</v>
      </c>
      <c r="I19" s="191">
        <v>10.65</v>
      </c>
      <c r="J19" s="192">
        <v>3062430.4773749993</v>
      </c>
      <c r="K19" s="306">
        <v>-296242.01720012655</v>
      </c>
      <c r="L19" s="306">
        <v>118914.65243134333</v>
      </c>
      <c r="M19" s="411">
        <v>27.27</v>
      </c>
      <c r="N19" s="411">
        <v>24.74</v>
      </c>
      <c r="O19" s="405">
        <v>-5136571.3078960162</v>
      </c>
      <c r="P19" s="414">
        <v>3651526.4243789995</v>
      </c>
      <c r="Q19" s="414">
        <v>2143520.6793784997</v>
      </c>
    </row>
    <row r="20" spans="1:17">
      <c r="A20" s="316"/>
      <c r="B20" s="334" t="s">
        <v>175</v>
      </c>
      <c r="C20" s="337">
        <v>-238625.80604798009</v>
      </c>
      <c r="D20" s="337">
        <v>-230069.18738876167</v>
      </c>
      <c r="E20" s="337">
        <v>-468694.99343674176</v>
      </c>
      <c r="G20" s="408">
        <v>43435</v>
      </c>
      <c r="H20" s="306">
        <v>536730.81250000012</v>
      </c>
      <c r="I20" s="191">
        <v>11.83</v>
      </c>
      <c r="J20" s="192">
        <v>6349525.5118750017</v>
      </c>
      <c r="K20" s="306">
        <v>83612.642610796553</v>
      </c>
      <c r="L20" s="306">
        <v>410693.50898881</v>
      </c>
      <c r="M20" s="411">
        <v>30.28</v>
      </c>
      <c r="N20" s="411">
        <v>26.6</v>
      </c>
      <c r="O20" s="405">
        <v>13456238.157357266</v>
      </c>
      <c r="P20" s="414">
        <v>3566674.910317</v>
      </c>
      <c r="Q20" s="414">
        <v>2158780.6089354996</v>
      </c>
    </row>
    <row r="21" spans="1:17">
      <c r="A21" s="316"/>
      <c r="B21" s="334" t="s">
        <v>176</v>
      </c>
      <c r="C21" s="337"/>
      <c r="D21" s="337"/>
      <c r="E21" s="337">
        <v>0</v>
      </c>
      <c r="G21" s="408">
        <v>43466</v>
      </c>
      <c r="H21" s="306">
        <v>612245.85817307665</v>
      </c>
      <c r="I21" s="191">
        <v>11.45</v>
      </c>
      <c r="J21" s="192">
        <v>7010215.0760817267</v>
      </c>
      <c r="K21" s="306">
        <v>553738.18007855013</v>
      </c>
      <c r="L21" s="306">
        <v>574968.81981765025</v>
      </c>
      <c r="M21" s="411">
        <v>29.3</v>
      </c>
      <c r="N21" s="411">
        <v>23.94</v>
      </c>
      <c r="O21" s="405">
        <v>29989282.222736068</v>
      </c>
      <c r="P21" s="414">
        <v>3022270.091848</v>
      </c>
      <c r="Q21" s="414">
        <v>1869585.923312</v>
      </c>
    </row>
    <row r="22" spans="1:17">
      <c r="A22" s="316"/>
      <c r="B22" s="339" t="s">
        <v>177</v>
      </c>
      <c r="C22" s="338">
        <v>-30245.622841148812</v>
      </c>
      <c r="D22" s="338">
        <v>-13323.927085231237</v>
      </c>
      <c r="E22" s="338">
        <v>-43569.549926380045</v>
      </c>
      <c r="G22" s="408">
        <v>43497</v>
      </c>
      <c r="H22" s="306">
        <v>354529.40104166657</v>
      </c>
      <c r="I22" s="191">
        <v>11.15</v>
      </c>
      <c r="J22" s="192">
        <v>3953002.8216145826</v>
      </c>
      <c r="K22" s="306">
        <v>537042.57024810207</v>
      </c>
      <c r="L22" s="306">
        <v>521706.61753390031</v>
      </c>
      <c r="M22" s="411">
        <v>28.54</v>
      </c>
      <c r="N22" s="411">
        <v>23.94</v>
      </c>
      <c r="O22" s="405">
        <v>27816851.378642406</v>
      </c>
      <c r="P22" s="414">
        <v>2533270.2385795</v>
      </c>
      <c r="Q22" s="414">
        <v>1477102.8149250001</v>
      </c>
    </row>
    <row r="23" spans="1:17">
      <c r="A23" s="316"/>
      <c r="B23" s="339" t="s">
        <v>178</v>
      </c>
      <c r="C23" s="337">
        <v>1363.7451130398128</v>
      </c>
      <c r="D23" s="337">
        <v>-8510.7811379797604</v>
      </c>
      <c r="E23" s="337">
        <v>-7147.0360249399473</v>
      </c>
      <c r="G23" s="408">
        <v>43525</v>
      </c>
      <c r="H23" s="306">
        <v>453337.79807692324</v>
      </c>
      <c r="I23" s="191">
        <v>9.2799999999999994</v>
      </c>
      <c r="J23" s="192">
        <v>4206974.7661538478</v>
      </c>
      <c r="K23" s="306">
        <v>148613.2542817888</v>
      </c>
      <c r="L23" s="306">
        <v>324474.45068221987</v>
      </c>
      <c r="M23" s="411">
        <v>23.75</v>
      </c>
      <c r="N23" s="411">
        <v>20.8</v>
      </c>
      <c r="O23" s="405">
        <v>10278633.363382658</v>
      </c>
      <c r="P23" s="414">
        <v>3002579.9362885002</v>
      </c>
      <c r="Q23" s="414">
        <v>1745556.0887925001</v>
      </c>
    </row>
    <row r="24" spans="1:17">
      <c r="A24" s="316"/>
      <c r="B24" s="339" t="s">
        <v>179</v>
      </c>
      <c r="C24" s="337">
        <v>-1619.2472</v>
      </c>
      <c r="D24" s="337">
        <v>-1619.2472</v>
      </c>
      <c r="E24" s="337">
        <v>-3238.4944</v>
      </c>
      <c r="G24" s="408">
        <v>43556</v>
      </c>
      <c r="H24" s="306">
        <v>416067.19711538451</v>
      </c>
      <c r="I24" s="191">
        <v>7.68</v>
      </c>
      <c r="J24" s="192">
        <v>3195396.073846153</v>
      </c>
      <c r="K24" s="306">
        <v>-94667.362271019811</v>
      </c>
      <c r="L24" s="306">
        <v>132767.63518669491</v>
      </c>
      <c r="M24" s="411">
        <v>19.670000000000002</v>
      </c>
      <c r="N24" s="411">
        <v>17.54</v>
      </c>
      <c r="O24" s="405">
        <v>466637.30530366884</v>
      </c>
      <c r="P24" s="414">
        <v>2934906.9014670001</v>
      </c>
      <c r="Q24" s="414">
        <v>1628742.477157</v>
      </c>
    </row>
    <row r="25" spans="1:17">
      <c r="A25" s="316"/>
      <c r="B25" s="339" t="s">
        <v>180</v>
      </c>
      <c r="C25" s="337">
        <v>-139.42593828</v>
      </c>
      <c r="D25" s="337">
        <v>-160.73982857999999</v>
      </c>
      <c r="E25" s="337">
        <v>-300.16576685999996</v>
      </c>
      <c r="G25" s="408">
        <v>43586</v>
      </c>
      <c r="H25" s="306">
        <v>303649.86538461538</v>
      </c>
      <c r="I25" s="191">
        <v>6.49</v>
      </c>
      <c r="J25" s="192">
        <v>1970687.6263461539</v>
      </c>
      <c r="K25" s="306">
        <v>-1244927.8780688671</v>
      </c>
      <c r="L25" s="306">
        <v>-482863.2922003963</v>
      </c>
      <c r="M25" s="411">
        <v>16.63</v>
      </c>
      <c r="N25" s="411">
        <v>11.25</v>
      </c>
      <c r="O25" s="405">
        <v>-26135362.649539717</v>
      </c>
      <c r="P25" s="414">
        <v>4268254.3238090007</v>
      </c>
      <c r="Q25" s="414">
        <v>2428578.2029529996</v>
      </c>
    </row>
    <row r="26" spans="1:17">
      <c r="A26" s="316"/>
      <c r="B26" s="339" t="s">
        <v>181</v>
      </c>
      <c r="C26" s="337">
        <v>-1075.6725180121041</v>
      </c>
      <c r="D26" s="337">
        <v>-1273.1605056970011</v>
      </c>
      <c r="E26" s="337">
        <v>-2348.833023709105</v>
      </c>
      <c r="G26" s="408">
        <v>43617</v>
      </c>
      <c r="H26" s="306">
        <v>297651.51750000007</v>
      </c>
      <c r="I26" s="191">
        <v>6.92</v>
      </c>
      <c r="J26" s="192">
        <v>2059748.5011000005</v>
      </c>
      <c r="K26" s="306">
        <v>-687824.44375909632</v>
      </c>
      <c r="L26" s="306">
        <v>-109819.62636820402</v>
      </c>
      <c r="M26" s="411">
        <v>17.71</v>
      </c>
      <c r="N26" s="411">
        <v>9.31</v>
      </c>
      <c r="O26" s="405">
        <v>-13203791.620461576</v>
      </c>
      <c r="P26" s="414">
        <v>3456513.955083</v>
      </c>
      <c r="Q26" s="414">
        <v>1827109.909091</v>
      </c>
    </row>
    <row r="27" spans="1:17">
      <c r="A27" s="316"/>
      <c r="B27" s="340" t="s">
        <v>182</v>
      </c>
      <c r="C27" s="341">
        <v>-31567.95486610445</v>
      </c>
      <c r="D27" s="341">
        <v>-32060.238598463508</v>
      </c>
      <c r="E27" s="341">
        <v>-63628.193464567958</v>
      </c>
      <c r="G27" s="408">
        <v>43647</v>
      </c>
      <c r="H27" s="306">
        <v>414213.00000000006</v>
      </c>
      <c r="I27" s="191">
        <v>9.6300000000000008</v>
      </c>
      <c r="J27" s="192">
        <v>3988871.1900000009</v>
      </c>
      <c r="K27" s="306">
        <v>-55742.145131681493</v>
      </c>
      <c r="L27" s="306">
        <v>280657.12834518135</v>
      </c>
      <c r="M27" s="411">
        <v>24.66</v>
      </c>
      <c r="N27" s="411">
        <v>19.05</v>
      </c>
      <c r="O27" s="405">
        <v>3971916.9960284391</v>
      </c>
      <c r="P27" s="414">
        <v>3033188.0440175002</v>
      </c>
      <c r="Q27" s="414">
        <v>1606277.1924980001</v>
      </c>
    </row>
    <row r="28" spans="1:17">
      <c r="A28" s="316"/>
      <c r="B28" s="334" t="s">
        <v>183</v>
      </c>
      <c r="C28" s="342">
        <v>-342332.19807067886</v>
      </c>
      <c r="D28" s="342">
        <v>-337690.09371925029</v>
      </c>
      <c r="E28" s="342">
        <v>-680022.29178992915</v>
      </c>
      <c r="G28" s="408">
        <v>43678</v>
      </c>
      <c r="H28" s="306">
        <v>474529.42361111112</v>
      </c>
      <c r="I28" s="191">
        <v>10.98</v>
      </c>
      <c r="J28" s="192">
        <v>5210333.07125</v>
      </c>
      <c r="K28" s="306">
        <v>-313298.09592406213</v>
      </c>
      <c r="L28" s="306">
        <v>111817.48923025321</v>
      </c>
      <c r="M28" s="411">
        <v>28.11</v>
      </c>
      <c r="N28" s="411">
        <v>22.61</v>
      </c>
      <c r="O28" s="405">
        <v>-6278616.0449293619</v>
      </c>
      <c r="P28" s="414">
        <v>3437616.0556110004</v>
      </c>
      <c r="Q28" s="414">
        <v>1700777.4010119999</v>
      </c>
    </row>
    <row r="29" spans="1:17">
      <c r="A29" s="316"/>
      <c r="B29" s="327"/>
      <c r="C29" s="328"/>
      <c r="D29" s="327"/>
      <c r="E29" s="327"/>
      <c r="G29" s="410">
        <v>43709</v>
      </c>
      <c r="H29" s="303">
        <v>310800.05729166657</v>
      </c>
      <c r="I29" s="193">
        <v>10.91</v>
      </c>
      <c r="J29" s="194">
        <v>3390828.6250520824</v>
      </c>
      <c r="K29" s="303">
        <v>-202968.66372665355</v>
      </c>
      <c r="L29" s="303">
        <v>172610.75592624815</v>
      </c>
      <c r="M29" s="412">
        <v>27.94</v>
      </c>
      <c r="N29" s="412">
        <v>22.19</v>
      </c>
      <c r="O29" s="406">
        <v>-1840711.7905192538</v>
      </c>
      <c r="P29" s="414">
        <v>2975771.4279744998</v>
      </c>
      <c r="Q29" s="414">
        <v>1679408.7026249999</v>
      </c>
    </row>
    <row r="30" spans="1:17" ht="15.75" thickBot="1">
      <c r="A30" s="316"/>
      <c r="B30" s="331" t="s">
        <v>184</v>
      </c>
      <c r="C30" s="343">
        <v>2018</v>
      </c>
      <c r="D30" s="343">
        <v>2019</v>
      </c>
      <c r="E30" s="344" t="s">
        <v>162</v>
      </c>
    </row>
    <row r="31" spans="1:17" ht="15.75" thickTop="1">
      <c r="A31" s="316"/>
      <c r="B31" s="345" t="s">
        <v>185</v>
      </c>
      <c r="C31" s="346">
        <v>22127.669437439999</v>
      </c>
      <c r="D31" s="346">
        <v>22127.669437439999</v>
      </c>
      <c r="E31" s="346">
        <v>44255.338874879999</v>
      </c>
      <c r="G31" s="307"/>
      <c r="H31" s="307"/>
    </row>
    <row r="32" spans="1:17">
      <c r="A32" s="316"/>
      <c r="B32" s="347" t="s">
        <v>186</v>
      </c>
      <c r="C32" s="348">
        <v>41009.640637891593</v>
      </c>
      <c r="D32" s="348">
        <v>41970.543113243213</v>
      </c>
      <c r="E32" s="348">
        <v>82980.183751134813</v>
      </c>
      <c r="G32" s="307" t="s">
        <v>221</v>
      </c>
      <c r="H32" s="309">
        <v>11.76</v>
      </c>
      <c r="I32" s="307"/>
      <c r="M32" s="407"/>
    </row>
    <row r="33" spans="1:16">
      <c r="A33" s="316"/>
      <c r="B33" s="334" t="s">
        <v>183</v>
      </c>
      <c r="C33" s="349">
        <v>63137.310075331596</v>
      </c>
      <c r="D33" s="349">
        <v>64098.212550683209</v>
      </c>
      <c r="E33" s="349">
        <v>127235.5226260148</v>
      </c>
      <c r="G33" s="307" t="s">
        <v>229</v>
      </c>
      <c r="H33" s="309">
        <v>-12.75</v>
      </c>
      <c r="I33" s="309"/>
      <c r="M33" s="407"/>
      <c r="N33" s="407"/>
    </row>
    <row r="34" spans="1:16">
      <c r="A34" s="316"/>
      <c r="B34" s="327"/>
      <c r="C34" s="328"/>
      <c r="D34" s="327"/>
      <c r="E34" s="327"/>
      <c r="G34" s="307" t="s">
        <v>280</v>
      </c>
      <c r="H34" s="309">
        <v>22.98</v>
      </c>
      <c r="I34" s="307"/>
    </row>
    <row r="35" spans="1:16" ht="15.75" thickBot="1">
      <c r="A35" s="316"/>
      <c r="B35" s="317"/>
      <c r="C35" s="350">
        <v>2018</v>
      </c>
      <c r="D35" s="350">
        <v>2019</v>
      </c>
      <c r="E35" s="351" t="s">
        <v>162</v>
      </c>
      <c r="I35" s="307"/>
    </row>
    <row r="36" spans="1:16" ht="15.75" thickTop="1">
      <c r="A36" s="316"/>
      <c r="B36" s="320" t="s">
        <v>163</v>
      </c>
      <c r="C36" s="352">
        <v>2545685.4291877095</v>
      </c>
      <c r="D36" s="352">
        <v>2394437.1122092246</v>
      </c>
      <c r="E36" s="352">
        <v>4940122.5413969336</v>
      </c>
      <c r="G36"/>
      <c r="H36"/>
      <c r="I36"/>
    </row>
    <row r="37" spans="1:16">
      <c r="A37" s="316"/>
      <c r="B37" s="327"/>
      <c r="C37" s="328"/>
      <c r="D37" s="327"/>
      <c r="E37" s="327"/>
      <c r="G37"/>
      <c r="H37"/>
      <c r="I37"/>
      <c r="J37" s="353"/>
      <c r="K37" s="353"/>
      <c r="L37" s="353"/>
      <c r="M37" s="353"/>
      <c r="N37" s="353"/>
      <c r="O37" s="353"/>
      <c r="P37" s="353"/>
    </row>
    <row r="38" spans="1:16" ht="15.75" thickBot="1">
      <c r="A38" s="316"/>
      <c r="B38" s="331" t="s">
        <v>187</v>
      </c>
      <c r="C38" s="354">
        <v>2018</v>
      </c>
      <c r="D38" s="354">
        <v>2019</v>
      </c>
      <c r="E38" s="355" t="s">
        <v>162</v>
      </c>
      <c r="G38"/>
      <c r="H38"/>
      <c r="I38"/>
      <c r="J38" s="353"/>
      <c r="K38" s="353"/>
      <c r="L38" s="353"/>
      <c r="M38" s="353"/>
      <c r="N38" s="353"/>
      <c r="O38" s="353"/>
      <c r="P38" s="353"/>
    </row>
    <row r="39" spans="1:16" ht="15.75" thickTop="1">
      <c r="A39" s="316"/>
      <c r="B39" s="334" t="s">
        <v>188</v>
      </c>
      <c r="C39" s="356">
        <v>-378877.54464275425</v>
      </c>
      <c r="D39" s="356">
        <v>-343894.78147677449</v>
      </c>
      <c r="E39" s="356">
        <v>-722772.32611952873</v>
      </c>
      <c r="G39"/>
      <c r="H39"/>
      <c r="I39"/>
      <c r="J39" s="402"/>
      <c r="K39" s="397"/>
      <c r="L39" s="397"/>
      <c r="M39" s="398"/>
      <c r="N39" s="398"/>
      <c r="O39" s="399"/>
      <c r="P39" s="353"/>
    </row>
    <row r="40" spans="1:16">
      <c r="A40" s="316"/>
      <c r="B40" s="339" t="s">
        <v>177</v>
      </c>
      <c r="C40" s="357">
        <v>30245.622841148812</v>
      </c>
      <c r="D40" s="357">
        <v>13323.927085231237</v>
      </c>
      <c r="E40" s="357">
        <v>43569.549926380045</v>
      </c>
      <c r="G40"/>
      <c r="H40"/>
      <c r="I40"/>
      <c r="J40" s="402"/>
      <c r="K40" s="397"/>
      <c r="L40" s="397"/>
      <c r="M40" s="398"/>
      <c r="N40" s="398"/>
      <c r="O40" s="399"/>
      <c r="P40" s="353"/>
    </row>
    <row r="41" spans="1:16">
      <c r="A41" s="316"/>
      <c r="B41" s="334" t="s">
        <v>277</v>
      </c>
      <c r="C41" s="357">
        <v>-2033.16</v>
      </c>
      <c r="D41" s="357">
        <v>-2033.16</v>
      </c>
      <c r="E41" s="357">
        <v>-4066.32</v>
      </c>
      <c r="G41" s="400"/>
      <c r="H41" s="397"/>
      <c r="I41" s="401"/>
      <c r="J41" s="402"/>
      <c r="K41" s="397"/>
      <c r="L41" s="397"/>
      <c r="M41" s="398"/>
      <c r="N41" s="398"/>
      <c r="O41" s="399"/>
      <c r="P41" s="353"/>
    </row>
    <row r="42" spans="1:16">
      <c r="A42" s="316"/>
      <c r="B42" s="334" t="s">
        <v>283</v>
      </c>
      <c r="C42" s="357">
        <v>-565</v>
      </c>
      <c r="D42" s="357">
        <v>-129.23500000000001</v>
      </c>
      <c r="E42" s="357">
        <v>-694.23500000000001</v>
      </c>
      <c r="G42" s="400"/>
      <c r="H42" s="397"/>
      <c r="I42" s="401"/>
      <c r="J42" s="402"/>
      <c r="K42" s="397"/>
      <c r="L42" s="397"/>
      <c r="M42" s="398"/>
      <c r="N42" s="398"/>
      <c r="O42" s="399"/>
      <c r="P42" s="353"/>
    </row>
    <row r="43" spans="1:16">
      <c r="A43" s="316"/>
      <c r="B43" s="334" t="s">
        <v>189</v>
      </c>
      <c r="C43" s="357">
        <v>113.01649999999999</v>
      </c>
      <c r="D43" s="357">
        <v>113.01649999999999</v>
      </c>
      <c r="E43" s="357">
        <v>226.03299999999999</v>
      </c>
      <c r="G43" s="400"/>
      <c r="H43" s="397"/>
      <c r="I43" s="401"/>
      <c r="J43" s="402"/>
      <c r="K43" s="397"/>
      <c r="L43" s="397"/>
      <c r="M43" s="398"/>
      <c r="N43" s="398"/>
      <c r="O43" s="399"/>
      <c r="P43" s="353"/>
    </row>
    <row r="44" spans="1:16">
      <c r="A44" s="316"/>
      <c r="B44" s="334" t="s">
        <v>242</v>
      </c>
      <c r="C44" s="357">
        <v>0</v>
      </c>
      <c r="D44" s="357">
        <v>0</v>
      </c>
      <c r="E44" s="357">
        <v>0</v>
      </c>
      <c r="G44" s="400"/>
      <c r="H44" s="397"/>
      <c r="I44" s="401"/>
      <c r="J44" s="402"/>
      <c r="K44" s="397"/>
      <c r="L44" s="397"/>
      <c r="M44" s="398"/>
      <c r="N44" s="398"/>
      <c r="O44" s="399"/>
      <c r="P44" s="353"/>
    </row>
    <row r="45" spans="1:16">
      <c r="A45" s="316"/>
      <c r="B45" s="334" t="s">
        <v>190</v>
      </c>
      <c r="C45" s="356">
        <v>-22841.757046924096</v>
      </c>
      <c r="D45" s="356">
        <v>-31940.568407787003</v>
      </c>
      <c r="E45" s="356">
        <v>-54782.325454711099</v>
      </c>
      <c r="G45" s="400"/>
      <c r="H45" s="397"/>
      <c r="I45" s="401"/>
      <c r="J45" s="402"/>
      <c r="K45" s="397"/>
      <c r="L45" s="397"/>
      <c r="M45" s="398"/>
      <c r="N45" s="398"/>
      <c r="O45" s="399"/>
      <c r="P45" s="353"/>
    </row>
    <row r="46" spans="1:16">
      <c r="A46" s="316"/>
      <c r="B46" s="339" t="s">
        <v>178</v>
      </c>
      <c r="C46" s="357">
        <v>-1363.7451130398128</v>
      </c>
      <c r="D46" s="357">
        <v>8510.7811379797604</v>
      </c>
      <c r="E46" s="357">
        <v>7147.0360249399473</v>
      </c>
      <c r="G46" s="400"/>
      <c r="H46" s="397"/>
      <c r="I46" s="401"/>
      <c r="J46" s="402"/>
      <c r="K46" s="397"/>
      <c r="L46" s="397"/>
      <c r="M46" s="398"/>
      <c r="N46" s="398"/>
      <c r="O46" s="399"/>
      <c r="P46" s="353"/>
    </row>
    <row r="47" spans="1:16">
      <c r="A47" s="316"/>
      <c r="B47" s="358" t="s">
        <v>191</v>
      </c>
      <c r="C47" s="357">
        <v>-48363.485224876436</v>
      </c>
      <c r="D47" s="357">
        <v>-47950.948694282502</v>
      </c>
      <c r="E47" s="357">
        <v>-96314.433919158939</v>
      </c>
      <c r="G47" s="400"/>
      <c r="H47" s="397"/>
      <c r="I47" s="401"/>
      <c r="J47" s="402"/>
      <c r="K47" s="397"/>
      <c r="L47" s="397"/>
      <c r="M47" s="398"/>
      <c r="N47" s="398"/>
      <c r="O47" s="399"/>
      <c r="P47" s="353"/>
    </row>
    <row r="48" spans="1:16">
      <c r="A48" s="316"/>
      <c r="B48" s="358" t="s">
        <v>192</v>
      </c>
      <c r="C48" s="359">
        <v>-725.78</v>
      </c>
      <c r="D48" s="359">
        <v>-725.78</v>
      </c>
      <c r="E48" s="359">
        <v>-1451.56</v>
      </c>
      <c r="G48" s="400"/>
      <c r="H48" s="397"/>
      <c r="I48" s="401"/>
      <c r="J48" s="402"/>
      <c r="K48" s="397"/>
      <c r="L48" s="397"/>
      <c r="M48" s="398"/>
      <c r="N48" s="398"/>
      <c r="O48" s="399"/>
      <c r="P48" s="353"/>
    </row>
    <row r="49" spans="1:16">
      <c r="A49" s="316"/>
      <c r="B49" s="358" t="s">
        <v>193</v>
      </c>
      <c r="C49" s="359">
        <v>0</v>
      </c>
      <c r="D49" s="359">
        <v>0</v>
      </c>
      <c r="E49" s="359">
        <v>0</v>
      </c>
      <c r="G49" s="400"/>
      <c r="H49" s="397"/>
      <c r="I49" s="401"/>
      <c r="J49" s="402"/>
      <c r="K49" s="397"/>
      <c r="L49" s="397"/>
      <c r="M49" s="398"/>
      <c r="N49" s="398"/>
      <c r="O49" s="399"/>
      <c r="P49" s="353"/>
    </row>
    <row r="50" spans="1:16">
      <c r="A50" s="316"/>
      <c r="B50" s="358" t="s">
        <v>194</v>
      </c>
      <c r="C50" s="359">
        <v>0</v>
      </c>
      <c r="D50" s="359">
        <v>0</v>
      </c>
      <c r="E50" s="359">
        <v>0</v>
      </c>
      <c r="G50" s="400"/>
      <c r="H50" s="397"/>
      <c r="I50" s="401"/>
      <c r="J50" s="402"/>
      <c r="K50" s="397"/>
      <c r="L50" s="397"/>
      <c r="M50" s="398"/>
      <c r="N50" s="398"/>
      <c r="O50" s="399"/>
      <c r="P50" s="353"/>
    </row>
    <row r="51" spans="1:16">
      <c r="A51" s="316"/>
      <c r="B51" s="360" t="s">
        <v>182</v>
      </c>
      <c r="C51" s="361">
        <v>31567.95486610445</v>
      </c>
      <c r="D51" s="361">
        <v>32060.238598463508</v>
      </c>
      <c r="E51" s="361">
        <v>63628.193464567958</v>
      </c>
      <c r="G51" s="403"/>
      <c r="H51" s="397"/>
      <c r="I51" s="401"/>
      <c r="J51" s="402"/>
      <c r="K51" s="397"/>
      <c r="L51" s="397"/>
      <c r="M51" s="401"/>
      <c r="N51" s="401"/>
      <c r="O51" s="404"/>
      <c r="P51" s="353"/>
    </row>
    <row r="52" spans="1:16">
      <c r="A52" s="316"/>
      <c r="B52" s="334" t="s">
        <v>183</v>
      </c>
      <c r="C52" s="356">
        <v>-392843.87782034127</v>
      </c>
      <c r="D52" s="356">
        <v>-372666.51025716943</v>
      </c>
      <c r="E52" s="356">
        <v>-765510.38807751075</v>
      </c>
      <c r="G52" s="353"/>
      <c r="H52" s="353"/>
      <c r="I52" s="353"/>
      <c r="J52" s="353"/>
      <c r="K52" s="353"/>
      <c r="L52" s="353"/>
      <c r="M52" s="353"/>
      <c r="N52" s="353"/>
      <c r="O52" s="353"/>
      <c r="P52" s="353"/>
    </row>
    <row r="53" spans="1:16">
      <c r="A53" s="316"/>
      <c r="B53" s="362"/>
      <c r="C53" s="362"/>
      <c r="D53" s="362"/>
      <c r="E53" s="362"/>
    </row>
    <row r="54" spans="1:16" ht="15.75" thickBot="1">
      <c r="A54" s="316"/>
      <c r="B54" s="317"/>
      <c r="C54" s="354">
        <v>2018</v>
      </c>
      <c r="D54" s="354">
        <v>2019</v>
      </c>
      <c r="E54" s="355" t="s">
        <v>162</v>
      </c>
    </row>
    <row r="55" spans="1:16" ht="15.75" thickTop="1">
      <c r="A55" s="316"/>
      <c r="B55" s="320" t="s">
        <v>164</v>
      </c>
      <c r="C55" s="359">
        <v>-306510.99692440347</v>
      </c>
      <c r="D55" s="359">
        <v>-225407.92539935655</v>
      </c>
      <c r="E55" s="359">
        <v>-531918.92232376011</v>
      </c>
    </row>
    <row r="56" spans="1:16">
      <c r="A56" s="316"/>
      <c r="B56" s="362"/>
      <c r="C56" s="356"/>
      <c r="D56" s="362"/>
      <c r="E56" s="362"/>
    </row>
    <row r="57" spans="1:16" ht="15.75" thickBot="1">
      <c r="A57" s="316"/>
      <c r="B57" s="317" t="s">
        <v>195</v>
      </c>
      <c r="C57" s="354">
        <v>2018</v>
      </c>
      <c r="D57" s="354">
        <v>2019</v>
      </c>
      <c r="E57" s="355" t="s">
        <v>162</v>
      </c>
    </row>
    <row r="58" spans="1:16" ht="15.75" thickTop="1">
      <c r="A58" s="316"/>
      <c r="B58" s="320" t="s">
        <v>163</v>
      </c>
      <c r="C58" s="359">
        <v>2545685.4291877095</v>
      </c>
      <c r="D58" s="359">
        <v>2394437.1122092246</v>
      </c>
      <c r="E58" s="359">
        <v>4940122.5413969336</v>
      </c>
    </row>
    <row r="59" spans="1:16">
      <c r="A59" s="316"/>
      <c r="B59" s="320" t="s">
        <v>164</v>
      </c>
      <c r="C59" s="359">
        <v>-306510.99692440347</v>
      </c>
      <c r="D59" s="359">
        <v>-225407.92539935655</v>
      </c>
      <c r="E59" s="359">
        <v>-531918.92232376011</v>
      </c>
    </row>
    <row r="60" spans="1:16">
      <c r="A60" s="316"/>
      <c r="B60" s="320" t="s">
        <v>165</v>
      </c>
      <c r="C60" s="359">
        <v>0</v>
      </c>
      <c r="D60" s="359">
        <v>0</v>
      </c>
      <c r="E60" s="359">
        <v>0</v>
      </c>
    </row>
    <row r="61" spans="1:16">
      <c r="A61" s="316"/>
      <c r="B61" s="323" t="s">
        <v>166</v>
      </c>
      <c r="C61" s="361">
        <v>38265.411320319887</v>
      </c>
      <c r="D61" s="361">
        <v>43545.420842882559</v>
      </c>
      <c r="E61" s="361">
        <v>81810.832163202445</v>
      </c>
    </row>
    <row r="62" spans="1:16">
      <c r="A62" s="316"/>
      <c r="B62" s="363" t="s">
        <v>167</v>
      </c>
      <c r="C62" s="359">
        <v>2277439.8435836257</v>
      </c>
      <c r="D62" s="359">
        <v>2212574.6076527508</v>
      </c>
      <c r="E62" s="359">
        <v>4490014.4512363756</v>
      </c>
    </row>
    <row r="63" spans="1:16">
      <c r="A63" s="316"/>
      <c r="B63" s="362"/>
      <c r="C63" s="362"/>
      <c r="D63" s="362"/>
      <c r="E63" s="362"/>
    </row>
    <row r="64" spans="1:16" ht="15.75" thickBot="1">
      <c r="A64" s="316"/>
      <c r="B64" s="317" t="s">
        <v>196</v>
      </c>
      <c r="C64" s="354">
        <v>2018</v>
      </c>
      <c r="D64" s="354">
        <v>2019</v>
      </c>
      <c r="E64" s="355" t="s">
        <v>162</v>
      </c>
    </row>
    <row r="65" spans="1:7" ht="15.75" thickTop="1">
      <c r="A65" s="316"/>
      <c r="B65" s="320" t="s">
        <v>197</v>
      </c>
      <c r="C65" s="364">
        <v>96.656240000000025</v>
      </c>
      <c r="D65" s="364">
        <v>97.246350000000021</v>
      </c>
      <c r="E65" s="364">
        <v>96.951295000000016</v>
      </c>
    </row>
    <row r="66" spans="1:7">
      <c r="A66" s="316"/>
      <c r="B66" s="320" t="s">
        <v>198</v>
      </c>
      <c r="C66" s="364">
        <v>73.920440000000013</v>
      </c>
      <c r="D66" s="364">
        <v>74.510550000000009</v>
      </c>
      <c r="E66" s="364">
        <v>74.215495000000004</v>
      </c>
    </row>
    <row r="67" spans="1:7">
      <c r="A67" s="316"/>
      <c r="B67" s="320" t="s">
        <v>199</v>
      </c>
      <c r="C67" s="364">
        <v>22.735799999999998</v>
      </c>
      <c r="D67" s="364">
        <v>22.735799999999998</v>
      </c>
      <c r="E67" s="364">
        <v>22.735799999999998</v>
      </c>
    </row>
    <row r="68" spans="1:7">
      <c r="A68" s="316"/>
      <c r="B68" s="320"/>
      <c r="C68" s="359"/>
      <c r="D68" s="359"/>
      <c r="E68" s="359"/>
    </row>
    <row r="69" spans="1:7" ht="15.75" thickBot="1">
      <c r="A69" s="316"/>
      <c r="B69" s="317" t="s">
        <v>200</v>
      </c>
      <c r="C69" s="354">
        <v>2018</v>
      </c>
      <c r="D69" s="354">
        <v>2019</v>
      </c>
      <c r="E69" s="355" t="s">
        <v>162</v>
      </c>
    </row>
    <row r="70" spans="1:7" ht="15.75" thickTop="1">
      <c r="A70" s="316"/>
      <c r="B70" s="320" t="s">
        <v>163</v>
      </c>
      <c r="C70" s="359">
        <v>26337.517672813559</v>
      </c>
      <c r="D70" s="359">
        <v>24622.385438725712</v>
      </c>
      <c r="E70" s="359">
        <v>25477.341697173477</v>
      </c>
    </row>
    <row r="71" spans="1:7">
      <c r="A71" s="316"/>
      <c r="B71" s="320" t="s">
        <v>164</v>
      </c>
      <c r="C71" s="359">
        <v>-4146.4985452522124</v>
      </c>
      <c r="D71" s="359">
        <v>-3025.1813387413799</v>
      </c>
      <c r="E71" s="359">
        <v>-3583.6109583568773</v>
      </c>
    </row>
    <row r="72" spans="1:7">
      <c r="B72" s="320" t="s">
        <v>165</v>
      </c>
      <c r="C72" s="359">
        <v>0</v>
      </c>
      <c r="D72" s="359">
        <v>0</v>
      </c>
      <c r="E72" s="359">
        <v>0</v>
      </c>
    </row>
    <row r="73" spans="1:7">
      <c r="A73" s="316"/>
      <c r="B73" s="362"/>
      <c r="C73" s="362"/>
      <c r="D73" s="362"/>
      <c r="E73" s="362"/>
    </row>
    <row r="74" spans="1:7" ht="15.75" thickBot="1">
      <c r="A74" s="316"/>
      <c r="B74" s="317" t="s">
        <v>201</v>
      </c>
      <c r="C74" s="354">
        <v>2018</v>
      </c>
      <c r="D74" s="354">
        <v>2019</v>
      </c>
      <c r="E74" s="355" t="s">
        <v>162</v>
      </c>
      <c r="G74" s="365"/>
    </row>
    <row r="75" spans="1:7" ht="15.75" thickTop="1">
      <c r="A75" s="316"/>
      <c r="B75" s="320" t="s">
        <v>163</v>
      </c>
      <c r="C75" s="366">
        <v>2194793.1394011299</v>
      </c>
      <c r="D75" s="366">
        <v>2051865.4532271428</v>
      </c>
      <c r="E75" s="367">
        <v>2123112</v>
      </c>
      <c r="G75" s="365"/>
    </row>
    <row r="76" spans="1:7">
      <c r="A76" s="316"/>
      <c r="B76" s="320" t="s">
        <v>164</v>
      </c>
      <c r="C76" s="366">
        <v>-345541.54543768434</v>
      </c>
      <c r="D76" s="366">
        <v>-252098.44489511498</v>
      </c>
      <c r="E76" s="367">
        <v>-299405</v>
      </c>
    </row>
    <row r="77" spans="1:7">
      <c r="B77" s="320" t="s">
        <v>165</v>
      </c>
      <c r="C77" s="366">
        <v>0</v>
      </c>
      <c r="D77" s="366">
        <v>0</v>
      </c>
      <c r="E77" s="366">
        <v>0</v>
      </c>
    </row>
    <row r="78" spans="1:7">
      <c r="A78" s="316"/>
      <c r="B78" s="362"/>
      <c r="C78" s="362"/>
      <c r="D78" s="362"/>
      <c r="E78" s="362"/>
    </row>
    <row r="79" spans="1:7" ht="15.75" thickBot="1">
      <c r="A79" s="316"/>
      <c r="B79" s="317" t="s">
        <v>202</v>
      </c>
      <c r="C79" s="354">
        <v>2018</v>
      </c>
      <c r="D79" s="354">
        <v>2019</v>
      </c>
      <c r="E79" s="355" t="s">
        <v>162</v>
      </c>
    </row>
    <row r="80" spans="1:7" ht="15.75" thickTop="1">
      <c r="A80" s="316"/>
      <c r="B80" s="320" t="s">
        <v>203</v>
      </c>
      <c r="C80" s="413">
        <v>27.2</v>
      </c>
      <c r="D80" s="413">
        <v>24.97</v>
      </c>
      <c r="E80" s="371">
        <v>26.085000000000001</v>
      </c>
    </row>
    <row r="81" spans="1:5">
      <c r="A81" s="316"/>
      <c r="B81" s="320" t="s">
        <v>204</v>
      </c>
      <c r="C81" s="413">
        <v>47.68</v>
      </c>
      <c r="D81" s="413">
        <v>45.42</v>
      </c>
      <c r="E81" s="371">
        <v>46.55</v>
      </c>
    </row>
    <row r="82" spans="1:5">
      <c r="A82" s="316"/>
      <c r="B82" s="370" t="s">
        <v>205</v>
      </c>
      <c r="C82" s="413">
        <v>51.4</v>
      </c>
      <c r="D82" s="413">
        <v>53.02</v>
      </c>
      <c r="E82" s="371">
        <v>52.21</v>
      </c>
    </row>
    <row r="83" spans="1:5">
      <c r="A83" s="316"/>
      <c r="B83" s="370" t="s">
        <v>243</v>
      </c>
      <c r="C83" s="413">
        <v>46.5</v>
      </c>
      <c r="D83" s="413">
        <v>48.02</v>
      </c>
      <c r="E83" s="371">
        <v>47.260000000000005</v>
      </c>
    </row>
    <row r="84" spans="1:5">
      <c r="B84" s="370" t="s">
        <v>284</v>
      </c>
      <c r="C84" s="371">
        <v>0</v>
      </c>
      <c r="D84" s="371">
        <v>0</v>
      </c>
      <c r="E84" s="371">
        <v>0</v>
      </c>
    </row>
    <row r="86" spans="1:5">
      <c r="B86" s="307" t="s">
        <v>368</v>
      </c>
      <c r="C86" s="310">
        <v>0.23</v>
      </c>
      <c r="D86" s="413">
        <v>0</v>
      </c>
    </row>
    <row r="87" spans="1:5">
      <c r="B87" s="308" t="s">
        <v>411</v>
      </c>
      <c r="C87" s="311">
        <v>0.71</v>
      </c>
      <c r="D87" s="413">
        <v>0</v>
      </c>
    </row>
    <row r="88" spans="1:5">
      <c r="B88" s="308" t="s">
        <v>279</v>
      </c>
      <c r="C88" s="428">
        <f>$H$33-C86</f>
        <v>-12.98</v>
      </c>
      <c r="D88" s="428">
        <f>$H$33-D86</f>
        <v>-12.75</v>
      </c>
    </row>
  </sheetData>
  <conditionalFormatting sqref="B2">
    <cfRule type="expression" dxfId="4" priority="1" stopIfTrue="1">
      <formula>A1 &gt; 30</formula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  <pageSetUpPr fitToPage="1"/>
  </sheetPr>
  <dimension ref="A1:T88"/>
  <sheetViews>
    <sheetView topLeftCell="A44" zoomScale="85" zoomScaleNormal="85" workbookViewId="0">
      <selection activeCell="G87" sqref="G87"/>
    </sheetView>
  </sheetViews>
  <sheetFormatPr defaultRowHeight="15"/>
  <cols>
    <col min="1" max="1" width="9.140625" style="315"/>
    <col min="2" max="2" width="61.140625" style="316" customWidth="1"/>
    <col min="3" max="3" width="17.7109375" style="316" bestFit="1" customWidth="1"/>
    <col min="4" max="5" width="18.28515625" style="316" bestFit="1" customWidth="1"/>
    <col min="6" max="6" width="9.140625" style="316"/>
    <col min="7" max="7" width="10.5703125" style="316" bestFit="1" customWidth="1"/>
    <col min="8" max="14" width="13.85546875" style="316" customWidth="1"/>
    <col min="15" max="15" width="15.42578125" style="316" customWidth="1"/>
    <col min="16" max="16" width="13.85546875" style="316" customWidth="1"/>
    <col min="17" max="17" width="14.28515625" style="316" bestFit="1" customWidth="1"/>
    <col min="18" max="18" width="13.5703125" style="316" bestFit="1" customWidth="1"/>
    <col min="19" max="16384" width="9.140625" style="316"/>
  </cols>
  <sheetData>
    <row r="1" spans="1:18">
      <c r="A1" s="314"/>
      <c r="B1" s="372" t="s">
        <v>160</v>
      </c>
      <c r="C1" s="315"/>
      <c r="D1" s="315"/>
      <c r="E1" s="315"/>
    </row>
    <row r="2" spans="1:18">
      <c r="A2" s="373"/>
      <c r="B2" s="374" t="s">
        <v>414</v>
      </c>
      <c r="C2" s="315"/>
      <c r="D2" s="315"/>
      <c r="E2" s="315"/>
    </row>
    <row r="3" spans="1:18">
      <c r="A3" s="375"/>
      <c r="B3" s="315"/>
      <c r="C3" s="315"/>
      <c r="D3" s="315"/>
      <c r="E3" s="315"/>
    </row>
    <row r="4" spans="1:18" ht="7.5" customHeight="1"/>
    <row r="5" spans="1:18" ht="45.75" thickBot="1">
      <c r="B5" s="317" t="s">
        <v>161</v>
      </c>
      <c r="C5" s="318">
        <v>2020</v>
      </c>
      <c r="D5" s="318">
        <v>2021</v>
      </c>
      <c r="E5" s="319" t="s">
        <v>162</v>
      </c>
      <c r="G5" s="376"/>
      <c r="H5" s="377" t="s">
        <v>206</v>
      </c>
      <c r="I5" s="377" t="s">
        <v>207</v>
      </c>
      <c r="J5" s="377" t="s">
        <v>208</v>
      </c>
      <c r="K5" s="377" t="s">
        <v>209</v>
      </c>
      <c r="L5" s="377" t="s">
        <v>210</v>
      </c>
      <c r="M5" s="377" t="s">
        <v>211</v>
      </c>
      <c r="N5" s="377" t="s">
        <v>212</v>
      </c>
      <c r="O5" s="377" t="s">
        <v>213</v>
      </c>
      <c r="P5" s="377" t="s">
        <v>412</v>
      </c>
      <c r="Q5" s="377" t="s">
        <v>413</v>
      </c>
    </row>
    <row r="6" spans="1:18" ht="15.75" thickTop="1">
      <c r="B6" s="320" t="s">
        <v>370</v>
      </c>
      <c r="C6" s="321">
        <v>2520146</v>
      </c>
      <c r="D6" s="321">
        <v>2581759</v>
      </c>
      <c r="E6" s="321">
        <v>5101905</v>
      </c>
      <c r="G6" s="378">
        <v>43739</v>
      </c>
      <c r="H6" s="379">
        <v>364236.2</v>
      </c>
      <c r="I6" s="380">
        <v>11.42</v>
      </c>
      <c r="J6" s="381">
        <v>4159577.4040000001</v>
      </c>
      <c r="K6" s="379">
        <v>-144533</v>
      </c>
      <c r="L6" s="379">
        <v>131712.6</v>
      </c>
      <c r="M6" s="380">
        <v>23.84</v>
      </c>
      <c r="N6" s="380">
        <v>18.88</v>
      </c>
      <c r="O6" s="382">
        <v>-958932.8320000004</v>
      </c>
      <c r="P6" s="379">
        <v>3009065.3879999998</v>
      </c>
      <c r="Q6" s="379">
        <v>1608251.808</v>
      </c>
      <c r="R6" s="322"/>
    </row>
    <row r="7" spans="1:18">
      <c r="B7" s="320" t="s">
        <v>371</v>
      </c>
      <c r="C7" s="321">
        <v>147762</v>
      </c>
      <c r="D7" s="321">
        <v>125780</v>
      </c>
      <c r="E7" s="321">
        <v>273541</v>
      </c>
      <c r="G7" s="378">
        <v>43770</v>
      </c>
      <c r="H7" s="379">
        <v>326801.7</v>
      </c>
      <c r="I7" s="380">
        <v>12.07</v>
      </c>
      <c r="J7" s="381">
        <v>3944496.5190000003</v>
      </c>
      <c r="K7" s="379">
        <v>-305552</v>
      </c>
      <c r="L7" s="379">
        <v>96012.66</v>
      </c>
      <c r="M7" s="380">
        <v>25.19</v>
      </c>
      <c r="N7" s="380">
        <v>21.84</v>
      </c>
      <c r="O7" s="382">
        <v>-5599938.3856000006</v>
      </c>
      <c r="P7" s="379">
        <v>3677367.5279999999</v>
      </c>
      <c r="Q7" s="379">
        <v>2188065.7110000001</v>
      </c>
      <c r="R7" s="322"/>
    </row>
    <row r="8" spans="1:18">
      <c r="B8" s="320" t="s">
        <v>372</v>
      </c>
      <c r="C8" s="321" t="s">
        <v>373</v>
      </c>
      <c r="D8" s="321" t="s">
        <v>374</v>
      </c>
      <c r="E8" s="321" t="s">
        <v>374</v>
      </c>
      <c r="G8" s="378">
        <v>43800</v>
      </c>
      <c r="H8" s="379">
        <v>532035</v>
      </c>
      <c r="I8" s="380">
        <v>13.45</v>
      </c>
      <c r="J8" s="381">
        <v>7155870.75</v>
      </c>
      <c r="K8" s="379">
        <v>88032.51</v>
      </c>
      <c r="L8" s="379">
        <v>406126.5</v>
      </c>
      <c r="M8" s="380">
        <v>28.09</v>
      </c>
      <c r="N8" s="380">
        <v>23.56</v>
      </c>
      <c r="O8" s="382">
        <v>12041173.5459</v>
      </c>
      <c r="P8" s="379">
        <v>3598456.6720000003</v>
      </c>
      <c r="Q8" s="379">
        <v>2196143.5240000002</v>
      </c>
      <c r="R8" s="322"/>
    </row>
    <row r="9" spans="1:18">
      <c r="B9" s="323" t="s">
        <v>375</v>
      </c>
      <c r="C9" s="324">
        <v>12993</v>
      </c>
      <c r="D9" s="324">
        <v>16879</v>
      </c>
      <c r="E9" s="324">
        <v>29872</v>
      </c>
      <c r="G9" s="378">
        <v>43831</v>
      </c>
      <c r="H9" s="379">
        <v>595108.4</v>
      </c>
      <c r="I9" s="380">
        <v>12.1</v>
      </c>
      <c r="J9" s="381">
        <v>7200811.6399999997</v>
      </c>
      <c r="K9" s="379">
        <v>553248.69999999995</v>
      </c>
      <c r="L9" s="379">
        <v>659501.80000000005</v>
      </c>
      <c r="M9" s="380">
        <v>25.24</v>
      </c>
      <c r="N9" s="380">
        <v>19.21</v>
      </c>
      <c r="O9" s="382">
        <v>26633026.765999999</v>
      </c>
      <c r="P9" s="379">
        <v>3035580.6720000003</v>
      </c>
      <c r="Q9" s="379">
        <v>1794571.524</v>
      </c>
      <c r="R9" s="322"/>
    </row>
    <row r="10" spans="1:18">
      <c r="B10" s="325" t="s">
        <v>167</v>
      </c>
      <c r="C10" s="326">
        <v>2680900</v>
      </c>
      <c r="D10" s="326">
        <v>2724417</v>
      </c>
      <c r="E10" s="326">
        <v>5405318</v>
      </c>
      <c r="G10" s="378">
        <v>43862</v>
      </c>
      <c r="H10" s="379">
        <v>400694.6</v>
      </c>
      <c r="I10" s="380">
        <v>11.66</v>
      </c>
      <c r="J10" s="381">
        <v>4672099.0359999994</v>
      </c>
      <c r="K10" s="379">
        <v>415878</v>
      </c>
      <c r="L10" s="379">
        <v>458422.1</v>
      </c>
      <c r="M10" s="380">
        <v>24.36</v>
      </c>
      <c r="N10" s="380">
        <v>19.28</v>
      </c>
      <c r="O10" s="382">
        <v>18969166.167999998</v>
      </c>
      <c r="P10" s="379">
        <v>2760597.1239999998</v>
      </c>
      <c r="Q10" s="379">
        <v>1615019.676</v>
      </c>
      <c r="R10" s="322"/>
    </row>
    <row r="11" spans="1:18">
      <c r="B11" s="327"/>
      <c r="C11" s="328"/>
      <c r="D11" s="328"/>
      <c r="E11" s="328"/>
      <c r="G11" s="378">
        <v>43891</v>
      </c>
      <c r="H11" s="379">
        <v>461567.8</v>
      </c>
      <c r="I11" s="380">
        <v>9.19</v>
      </c>
      <c r="J11" s="381">
        <v>4241808.0819999995</v>
      </c>
      <c r="K11" s="379">
        <v>84799.8</v>
      </c>
      <c r="L11" s="379">
        <v>323737.3</v>
      </c>
      <c r="M11" s="380">
        <v>19.190000000000001</v>
      </c>
      <c r="N11" s="380">
        <v>16.11</v>
      </c>
      <c r="O11" s="382">
        <v>6842716.0650000004</v>
      </c>
      <c r="P11" s="379">
        <v>3094593.8159999996</v>
      </c>
      <c r="Q11" s="379">
        <v>1772482.121</v>
      </c>
      <c r="R11" s="322"/>
    </row>
    <row r="12" spans="1:18" ht="15.75" thickBot="1">
      <c r="B12" s="317" t="s">
        <v>168</v>
      </c>
      <c r="C12" s="329"/>
      <c r="D12" s="330"/>
      <c r="E12" s="329"/>
      <c r="G12" s="378">
        <v>43922</v>
      </c>
      <c r="H12" s="379">
        <v>425980.9</v>
      </c>
      <c r="I12" s="380">
        <v>8.61</v>
      </c>
      <c r="J12" s="381">
        <v>3667695.5490000001</v>
      </c>
      <c r="K12" s="379">
        <v>195569.1</v>
      </c>
      <c r="L12" s="379">
        <v>250659.4</v>
      </c>
      <c r="M12" s="380">
        <v>17.98</v>
      </c>
      <c r="N12" s="380">
        <v>14.4</v>
      </c>
      <c r="O12" s="382">
        <v>7125827.7779999999</v>
      </c>
      <c r="P12" s="379">
        <v>2493584.7439999999</v>
      </c>
      <c r="Q12" s="379">
        <v>1469193.736</v>
      </c>
      <c r="R12" s="322"/>
    </row>
    <row r="13" spans="1:18" ht="15.75" thickTop="1">
      <c r="B13" s="327"/>
      <c r="C13" s="327"/>
      <c r="D13" s="327"/>
      <c r="E13" s="327"/>
      <c r="G13" s="378">
        <v>43952</v>
      </c>
      <c r="H13" s="379">
        <v>265600.90000000002</v>
      </c>
      <c r="I13" s="380">
        <v>5.6</v>
      </c>
      <c r="J13" s="381">
        <v>1487365.04</v>
      </c>
      <c r="K13" s="379">
        <v>-705510</v>
      </c>
      <c r="L13" s="379">
        <v>-25887.4</v>
      </c>
      <c r="M13" s="380">
        <v>11.71</v>
      </c>
      <c r="N13" s="380">
        <v>6.55</v>
      </c>
      <c r="O13" s="382">
        <v>-8431084.5700000003</v>
      </c>
      <c r="P13" s="379">
        <v>3468087.1</v>
      </c>
      <c r="Q13" s="379">
        <v>1876310.5959999999</v>
      </c>
      <c r="R13" s="322"/>
    </row>
    <row r="14" spans="1:18" ht="15.75" thickBot="1">
      <c r="B14" s="331" t="s">
        <v>169</v>
      </c>
      <c r="C14" s="332">
        <v>2020</v>
      </c>
      <c r="D14" s="332">
        <v>2021</v>
      </c>
      <c r="E14" s="333" t="s">
        <v>162</v>
      </c>
      <c r="G14" s="378">
        <v>43983</v>
      </c>
      <c r="H14" s="379">
        <v>394534.1</v>
      </c>
      <c r="I14" s="380">
        <v>5.04</v>
      </c>
      <c r="J14" s="381">
        <v>1988451.8639999998</v>
      </c>
      <c r="K14" s="379">
        <v>-1334634</v>
      </c>
      <c r="L14" s="379">
        <v>-534027</v>
      </c>
      <c r="M14" s="380">
        <v>10.52</v>
      </c>
      <c r="N14" s="380">
        <v>1.68</v>
      </c>
      <c r="O14" s="382">
        <v>-14937515.039999999</v>
      </c>
      <c r="P14" s="379">
        <v>4425608.2439999999</v>
      </c>
      <c r="Q14" s="379">
        <v>2393479.736</v>
      </c>
      <c r="R14" s="322"/>
    </row>
    <row r="15" spans="1:18" ht="15.75" thickTop="1">
      <c r="B15" s="334" t="s">
        <v>376</v>
      </c>
      <c r="C15" s="335">
        <v>-4303</v>
      </c>
      <c r="D15" s="335">
        <v>-4291</v>
      </c>
      <c r="E15" s="335">
        <v>-8594</v>
      </c>
      <c r="G15" s="378">
        <v>44013</v>
      </c>
      <c r="H15" s="379">
        <v>469560.8</v>
      </c>
      <c r="I15" s="380">
        <v>10.27</v>
      </c>
      <c r="J15" s="381">
        <v>4822389.4159999993</v>
      </c>
      <c r="K15" s="379">
        <v>-524430</v>
      </c>
      <c r="L15" s="379">
        <v>262190.5</v>
      </c>
      <c r="M15" s="380">
        <v>21.45</v>
      </c>
      <c r="N15" s="380">
        <v>15.31</v>
      </c>
      <c r="O15" s="382">
        <v>-7234886.9450000003</v>
      </c>
      <c r="P15" s="379">
        <v>3680313.2439999999</v>
      </c>
      <c r="Q15" s="379">
        <v>1666067.952</v>
      </c>
      <c r="R15" s="322"/>
    </row>
    <row r="16" spans="1:18">
      <c r="B16" s="334" t="s">
        <v>377</v>
      </c>
      <c r="C16" s="335" t="s">
        <v>373</v>
      </c>
      <c r="D16" s="335" t="s">
        <v>374</v>
      </c>
      <c r="E16" s="335" t="s">
        <v>374</v>
      </c>
      <c r="G16" s="378">
        <v>44044</v>
      </c>
      <c r="H16" s="379">
        <v>435329.6</v>
      </c>
      <c r="I16" s="380">
        <v>12.1</v>
      </c>
      <c r="J16" s="381">
        <v>5267488.1599999992</v>
      </c>
      <c r="K16" s="379">
        <v>-444584</v>
      </c>
      <c r="L16" s="379">
        <v>227502.5</v>
      </c>
      <c r="M16" s="380">
        <v>25.24</v>
      </c>
      <c r="N16" s="380">
        <v>20.21</v>
      </c>
      <c r="O16" s="382">
        <v>-6623474.6349999998</v>
      </c>
      <c r="P16" s="379">
        <v>3567762.7439999999</v>
      </c>
      <c r="Q16" s="379">
        <v>1638547.952</v>
      </c>
      <c r="R16" s="322"/>
    </row>
    <row r="17" spans="1:20">
      <c r="A17" s="316"/>
      <c r="B17" s="334" t="s">
        <v>378</v>
      </c>
      <c r="C17" s="336">
        <v>-0.78</v>
      </c>
      <c r="D17" s="336">
        <v>-0.78</v>
      </c>
      <c r="E17" s="335">
        <v>-2</v>
      </c>
      <c r="G17" s="383">
        <v>44075</v>
      </c>
      <c r="H17" s="384">
        <v>385640.6</v>
      </c>
      <c r="I17" s="385">
        <v>11.91</v>
      </c>
      <c r="J17" s="386">
        <v>4592979.5460000001</v>
      </c>
      <c r="K17" s="384">
        <v>-196873</v>
      </c>
      <c r="L17" s="384">
        <v>148662.1</v>
      </c>
      <c r="M17" s="385">
        <v>24.86</v>
      </c>
      <c r="N17" s="385">
        <v>19.98</v>
      </c>
      <c r="O17" s="387">
        <v>-1923994.0219999999</v>
      </c>
      <c r="P17" s="384">
        <v>2993385.6</v>
      </c>
      <c r="Q17" s="384">
        <v>1680773.88</v>
      </c>
      <c r="R17" s="322"/>
    </row>
    <row r="18" spans="1:20">
      <c r="A18" s="316"/>
      <c r="B18" s="334" t="s">
        <v>379</v>
      </c>
      <c r="C18" s="337">
        <v>-9499</v>
      </c>
      <c r="D18" s="337">
        <v>-9458</v>
      </c>
      <c r="E18" s="337">
        <v>-18957</v>
      </c>
      <c r="G18" s="388">
        <v>44105</v>
      </c>
      <c r="H18" s="379">
        <v>369691.2</v>
      </c>
      <c r="I18" s="380">
        <v>11.42</v>
      </c>
      <c r="J18" s="381">
        <v>4221873.5039999997</v>
      </c>
      <c r="K18" s="379">
        <v>-132732</v>
      </c>
      <c r="L18" s="379">
        <v>139180.29999999999</v>
      </c>
      <c r="M18" s="389">
        <v>23.84</v>
      </c>
      <c r="N18" s="389">
        <v>18.88</v>
      </c>
      <c r="O18" s="390">
        <v>-536606.81600000011</v>
      </c>
      <c r="P18" s="379">
        <v>3009065.3879999998</v>
      </c>
      <c r="Q18" s="379">
        <v>1608251.808</v>
      </c>
      <c r="R18" s="322"/>
    </row>
    <row r="19" spans="1:20">
      <c r="A19" s="316"/>
      <c r="B19" s="334" t="s">
        <v>380</v>
      </c>
      <c r="C19" s="338">
        <v>-1008</v>
      </c>
      <c r="D19" s="338">
        <v>-1084</v>
      </c>
      <c r="E19" s="338">
        <v>-2092</v>
      </c>
      <c r="G19" s="388">
        <v>44136</v>
      </c>
      <c r="H19" s="379">
        <v>278105.7</v>
      </c>
      <c r="I19" s="380">
        <v>12.07</v>
      </c>
      <c r="J19" s="381">
        <v>3356735.7990000001</v>
      </c>
      <c r="K19" s="379">
        <v>-349173</v>
      </c>
      <c r="L19" s="379">
        <v>148592.5</v>
      </c>
      <c r="M19" s="389">
        <v>25.19</v>
      </c>
      <c r="N19" s="389">
        <v>21.84</v>
      </c>
      <c r="O19" s="390">
        <v>-5550407.6700000009</v>
      </c>
      <c r="P19" s="379">
        <v>3677367.5279999999</v>
      </c>
      <c r="Q19" s="379">
        <v>2188065.7110000001</v>
      </c>
      <c r="R19" s="322"/>
    </row>
    <row r="20" spans="1:20">
      <c r="A20" s="316"/>
      <c r="B20" s="334" t="s">
        <v>381</v>
      </c>
      <c r="C20" s="337">
        <v>-250744</v>
      </c>
      <c r="D20" s="337">
        <v>-251375</v>
      </c>
      <c r="E20" s="337">
        <v>-502119</v>
      </c>
      <c r="G20" s="388">
        <v>44166</v>
      </c>
      <c r="H20" s="379">
        <v>625035.19999999995</v>
      </c>
      <c r="I20" s="380">
        <v>13.45</v>
      </c>
      <c r="J20" s="381">
        <v>8406723.4399999995</v>
      </c>
      <c r="K20" s="379">
        <v>145553</v>
      </c>
      <c r="L20" s="379">
        <v>358286.6</v>
      </c>
      <c r="M20" s="389">
        <v>28.09</v>
      </c>
      <c r="N20" s="389">
        <v>23.56</v>
      </c>
      <c r="O20" s="390">
        <v>12529816.065999998</v>
      </c>
      <c r="P20" s="379">
        <v>3598456.6720000003</v>
      </c>
      <c r="Q20" s="379">
        <v>2196143.5240000002</v>
      </c>
      <c r="R20" s="322"/>
    </row>
    <row r="21" spans="1:20">
      <c r="A21" s="316"/>
      <c r="B21" s="334" t="s">
        <v>382</v>
      </c>
      <c r="C21" s="337"/>
      <c r="D21" s="337"/>
      <c r="E21" s="337" t="s">
        <v>374</v>
      </c>
      <c r="G21" s="388">
        <v>44197</v>
      </c>
      <c r="H21" s="379">
        <v>537494.5</v>
      </c>
      <c r="I21" s="380">
        <v>12.1</v>
      </c>
      <c r="J21" s="381">
        <v>6503683.4500000002</v>
      </c>
      <c r="K21" s="379">
        <v>510504.5</v>
      </c>
      <c r="L21" s="379">
        <v>723480.9</v>
      </c>
      <c r="M21" s="389">
        <v>25.24</v>
      </c>
      <c r="N21" s="389">
        <v>19.21</v>
      </c>
      <c r="O21" s="390">
        <v>26783201.669</v>
      </c>
      <c r="P21" s="379">
        <v>3035580.6720000003</v>
      </c>
      <c r="Q21" s="379">
        <v>1794571.524</v>
      </c>
      <c r="R21" s="322"/>
    </row>
    <row r="22" spans="1:20">
      <c r="A22" s="316"/>
      <c r="B22" s="339" t="s">
        <v>383</v>
      </c>
      <c r="C22" s="338">
        <v>-68746</v>
      </c>
      <c r="D22" s="338">
        <v>-61756</v>
      </c>
      <c r="E22" s="338">
        <v>-130502</v>
      </c>
      <c r="G22" s="388">
        <v>44228</v>
      </c>
      <c r="H22" s="379">
        <v>352384.4</v>
      </c>
      <c r="I22" s="380">
        <v>11.66</v>
      </c>
      <c r="J22" s="381">
        <v>4108802.1040000003</v>
      </c>
      <c r="K22" s="379">
        <v>465111.6</v>
      </c>
      <c r="L22" s="379">
        <v>490437.3</v>
      </c>
      <c r="M22" s="389">
        <v>24.36</v>
      </c>
      <c r="N22" s="389">
        <v>19.28</v>
      </c>
      <c r="O22" s="390">
        <v>20785749.719999999</v>
      </c>
      <c r="P22" s="379">
        <v>2648204.932</v>
      </c>
      <c r="Q22" s="379">
        <v>1558823.58</v>
      </c>
      <c r="R22" s="322"/>
    </row>
    <row r="23" spans="1:20">
      <c r="A23" s="316"/>
      <c r="B23" s="339" t="s">
        <v>384</v>
      </c>
      <c r="C23" s="337">
        <v>-1213</v>
      </c>
      <c r="D23" s="337">
        <v>-4273</v>
      </c>
      <c r="E23" s="337">
        <v>-5486</v>
      </c>
      <c r="G23" s="388">
        <v>44256</v>
      </c>
      <c r="H23" s="379">
        <v>527904.1</v>
      </c>
      <c r="I23" s="380">
        <v>9.19</v>
      </c>
      <c r="J23" s="381">
        <v>4851438.6789999995</v>
      </c>
      <c r="K23" s="379">
        <v>131561</v>
      </c>
      <c r="L23" s="379">
        <v>281087.7</v>
      </c>
      <c r="M23" s="389">
        <v>19.190000000000001</v>
      </c>
      <c r="N23" s="389">
        <v>16.11</v>
      </c>
      <c r="O23" s="390">
        <v>7052978.4370000008</v>
      </c>
      <c r="P23" s="379">
        <v>3094593.8159999996</v>
      </c>
      <c r="Q23" s="379">
        <v>1772482.121</v>
      </c>
      <c r="R23" s="322"/>
    </row>
    <row r="24" spans="1:20">
      <c r="A24" s="316"/>
      <c r="B24" s="339" t="s">
        <v>385</v>
      </c>
      <c r="C24" s="337">
        <v>-1668</v>
      </c>
      <c r="D24" s="337">
        <v>-1668</v>
      </c>
      <c r="E24" s="337">
        <v>-3336</v>
      </c>
      <c r="G24" s="388">
        <v>44287</v>
      </c>
      <c r="H24" s="379">
        <v>439681</v>
      </c>
      <c r="I24" s="380">
        <v>8.61</v>
      </c>
      <c r="J24" s="381">
        <v>3785653.4099999997</v>
      </c>
      <c r="K24" s="379">
        <v>206217.1</v>
      </c>
      <c r="L24" s="379">
        <v>258150.1</v>
      </c>
      <c r="M24" s="389">
        <v>17.98</v>
      </c>
      <c r="N24" s="389">
        <v>14.4</v>
      </c>
      <c r="O24" s="390">
        <v>7425144.898</v>
      </c>
      <c r="P24" s="379">
        <v>2493584.7439999999</v>
      </c>
      <c r="Q24" s="379">
        <v>1469193.736</v>
      </c>
      <c r="R24" s="322"/>
    </row>
    <row r="25" spans="1:20">
      <c r="A25" s="316"/>
      <c r="B25" s="339" t="s">
        <v>386</v>
      </c>
      <c r="C25" s="337">
        <v>-52</v>
      </c>
      <c r="D25" s="337">
        <v>-61</v>
      </c>
      <c r="E25" s="337">
        <v>-114</v>
      </c>
      <c r="G25" s="388">
        <v>44317</v>
      </c>
      <c r="H25" s="379">
        <v>274864.59999999998</v>
      </c>
      <c r="I25" s="380">
        <v>5.6</v>
      </c>
      <c r="J25" s="381">
        <v>1539241.7599999998</v>
      </c>
      <c r="K25" s="379">
        <v>-699704</v>
      </c>
      <c r="L25" s="379">
        <v>-17827.7</v>
      </c>
      <c r="M25" s="389">
        <v>11.71</v>
      </c>
      <c r="N25" s="389">
        <v>6.55</v>
      </c>
      <c r="O25" s="390">
        <v>-8310305.2750000004</v>
      </c>
      <c r="P25" s="379">
        <v>3468087.1</v>
      </c>
      <c r="Q25" s="379">
        <v>1876310.5959999999</v>
      </c>
      <c r="R25" s="322"/>
    </row>
    <row r="26" spans="1:20">
      <c r="A26" s="316"/>
      <c r="B26" s="339" t="s">
        <v>387</v>
      </c>
      <c r="C26" s="337">
        <v>-510</v>
      </c>
      <c r="D26" s="337">
        <v>-615</v>
      </c>
      <c r="E26" s="337">
        <v>-1125</v>
      </c>
      <c r="G26" s="388">
        <v>44348</v>
      </c>
      <c r="H26" s="379">
        <v>399880.3</v>
      </c>
      <c r="I26" s="380">
        <v>5.04</v>
      </c>
      <c r="J26" s="381">
        <v>2015396.7120000001</v>
      </c>
      <c r="K26" s="379">
        <v>-1329043</v>
      </c>
      <c r="L26" s="379">
        <v>-529140</v>
      </c>
      <c r="M26" s="389">
        <v>10.52</v>
      </c>
      <c r="N26" s="389">
        <v>1.68</v>
      </c>
      <c r="O26" s="390">
        <v>-14870487.559999999</v>
      </c>
      <c r="P26" s="379">
        <v>4425608.2439999999</v>
      </c>
      <c r="Q26" s="379">
        <v>2393479.736</v>
      </c>
      <c r="R26" s="322"/>
    </row>
    <row r="27" spans="1:20">
      <c r="A27" s="316"/>
      <c r="B27" s="340" t="s">
        <v>388</v>
      </c>
      <c r="C27" s="341">
        <v>-30066</v>
      </c>
      <c r="D27" s="341">
        <v>-30308</v>
      </c>
      <c r="E27" s="341">
        <v>-60373</v>
      </c>
      <c r="G27" s="388">
        <v>44378</v>
      </c>
      <c r="H27" s="379">
        <v>478332.5</v>
      </c>
      <c r="I27" s="380">
        <v>10.27</v>
      </c>
      <c r="J27" s="381">
        <v>4912474.7749999994</v>
      </c>
      <c r="K27" s="379">
        <v>-519057</v>
      </c>
      <c r="L27" s="379">
        <v>270314.59999999998</v>
      </c>
      <c r="M27" s="389">
        <v>21.45</v>
      </c>
      <c r="N27" s="389">
        <v>15.31</v>
      </c>
      <c r="O27" s="390">
        <v>-6995256.1240000008</v>
      </c>
      <c r="P27" s="379">
        <v>3680313.2439999999</v>
      </c>
      <c r="Q27" s="379">
        <v>1666067.952</v>
      </c>
      <c r="R27" s="322"/>
    </row>
    <row r="28" spans="1:20">
      <c r="A28" s="316"/>
      <c r="B28" s="334" t="s">
        <v>389</v>
      </c>
      <c r="C28" s="342">
        <v>-367810</v>
      </c>
      <c r="D28" s="342">
        <v>-364889</v>
      </c>
      <c r="E28" s="342">
        <v>-732699</v>
      </c>
      <c r="G28" s="388">
        <v>44409</v>
      </c>
      <c r="H28" s="379">
        <v>444471.5</v>
      </c>
      <c r="I28" s="380">
        <v>12.1</v>
      </c>
      <c r="J28" s="381">
        <v>5378105.1499999994</v>
      </c>
      <c r="K28" s="379">
        <v>-438601</v>
      </c>
      <c r="L28" s="379">
        <v>233394.5</v>
      </c>
      <c r="M28" s="389">
        <v>25.24</v>
      </c>
      <c r="N28" s="389">
        <v>20.21</v>
      </c>
      <c r="O28" s="390">
        <v>-6353386.3950000005</v>
      </c>
      <c r="P28" s="379">
        <v>3567762.7439999999</v>
      </c>
      <c r="Q28" s="379">
        <v>1638547.952</v>
      </c>
      <c r="R28" s="322"/>
    </row>
    <row r="29" spans="1:20">
      <c r="A29" s="316"/>
      <c r="B29" s="327"/>
      <c r="C29" s="328"/>
      <c r="D29" s="327"/>
      <c r="E29" s="327"/>
      <c r="G29" s="391">
        <v>44440</v>
      </c>
      <c r="H29" s="384">
        <v>401072.5</v>
      </c>
      <c r="I29" s="385">
        <v>11.91</v>
      </c>
      <c r="J29" s="386">
        <v>4776773.4749999996</v>
      </c>
      <c r="K29" s="384">
        <v>-194323</v>
      </c>
      <c r="L29" s="384">
        <v>152757.6</v>
      </c>
      <c r="M29" s="392">
        <v>24.86</v>
      </c>
      <c r="N29" s="392">
        <v>19.98</v>
      </c>
      <c r="O29" s="393">
        <v>-1778772.932</v>
      </c>
      <c r="P29" s="384">
        <v>2993385.6</v>
      </c>
      <c r="Q29" s="384">
        <v>1680773.88</v>
      </c>
      <c r="R29" s="322"/>
    </row>
    <row r="30" spans="1:20" ht="15.75" thickBot="1">
      <c r="A30" s="316"/>
      <c r="B30" s="331" t="s">
        <v>184</v>
      </c>
      <c r="C30" s="343">
        <v>2020</v>
      </c>
      <c r="D30" s="343">
        <v>2021</v>
      </c>
      <c r="E30" s="344" t="s">
        <v>162</v>
      </c>
    </row>
    <row r="31" spans="1:20" ht="15.75" thickTop="1">
      <c r="A31" s="316"/>
      <c r="B31" s="345" t="s">
        <v>390</v>
      </c>
      <c r="C31" s="346">
        <v>20905</v>
      </c>
      <c r="D31" s="346">
        <v>20905</v>
      </c>
      <c r="E31" s="346">
        <v>41809</v>
      </c>
      <c r="G31" s="311"/>
      <c r="H31" s="311"/>
      <c r="I31" s="311"/>
      <c r="J31" s="308"/>
      <c r="K31"/>
      <c r="L31"/>
      <c r="M31"/>
      <c r="N31"/>
      <c r="O31"/>
      <c r="P31"/>
      <c r="Q31"/>
      <c r="R31"/>
      <c r="S31"/>
      <c r="T31"/>
    </row>
    <row r="32" spans="1:20">
      <c r="A32" s="316"/>
      <c r="B32" s="347" t="s">
        <v>391</v>
      </c>
      <c r="C32" s="348">
        <v>38505</v>
      </c>
      <c r="D32" s="348">
        <v>39107</v>
      </c>
      <c r="E32" s="348">
        <v>77612</v>
      </c>
      <c r="G32" s="311" t="s">
        <v>221</v>
      </c>
      <c r="H32" s="312">
        <v>11.11</v>
      </c>
      <c r="I32" s="311"/>
      <c r="J32" s="308"/>
      <c r="K32"/>
      <c r="L32"/>
      <c r="M32"/>
      <c r="N32"/>
      <c r="O32"/>
      <c r="P32"/>
      <c r="Q32"/>
      <c r="R32"/>
      <c r="S32"/>
      <c r="T32"/>
    </row>
    <row r="33" spans="1:20">
      <c r="A33" s="316"/>
      <c r="B33" s="334" t="s">
        <v>389</v>
      </c>
      <c r="C33" s="349">
        <v>59410</v>
      </c>
      <c r="D33" s="349">
        <v>60011</v>
      </c>
      <c r="E33" s="349">
        <v>119422</v>
      </c>
      <c r="G33" s="311" t="s">
        <v>229</v>
      </c>
      <c r="H33" s="313">
        <v>-15.19</v>
      </c>
      <c r="I33" s="311"/>
      <c r="J33" s="308"/>
      <c r="K33"/>
      <c r="L33"/>
      <c r="M33"/>
      <c r="N33"/>
      <c r="O33"/>
      <c r="P33"/>
      <c r="Q33"/>
      <c r="R33"/>
      <c r="S33"/>
      <c r="T33"/>
    </row>
    <row r="34" spans="1:20">
      <c r="A34" s="316"/>
      <c r="B34" s="327"/>
      <c r="C34" s="328"/>
      <c r="D34" s="327"/>
      <c r="E34" s="327"/>
      <c r="G34" s="311" t="s">
        <v>280</v>
      </c>
      <c r="H34" s="311">
        <v>19.260000000000002</v>
      </c>
      <c r="I34" s="311"/>
      <c r="J34" s="308"/>
      <c r="K34"/>
      <c r="L34"/>
      <c r="M34"/>
      <c r="N34"/>
      <c r="O34"/>
      <c r="P34"/>
      <c r="Q34"/>
      <c r="R34"/>
      <c r="S34"/>
      <c r="T34"/>
    </row>
    <row r="35" spans="1:20" ht="15.75" thickBot="1">
      <c r="A35" s="316"/>
      <c r="B35" s="317"/>
      <c r="C35" s="350">
        <v>2020</v>
      </c>
      <c r="D35" s="350">
        <v>2021</v>
      </c>
      <c r="E35" s="351" t="s">
        <v>162</v>
      </c>
      <c r="I35" s="311"/>
      <c r="J35" s="308"/>
      <c r="K35"/>
      <c r="L35" s="425"/>
      <c r="M35"/>
      <c r="N35"/>
      <c r="O35"/>
      <c r="P35"/>
      <c r="Q35"/>
      <c r="R35"/>
      <c r="S35"/>
      <c r="T35"/>
    </row>
    <row r="36" spans="1:20" ht="15.75" thickTop="1">
      <c r="A36" s="316"/>
      <c r="B36" s="320" t="s">
        <v>370</v>
      </c>
      <c r="C36" s="352">
        <v>2211745</v>
      </c>
      <c r="D36" s="352">
        <v>2276882</v>
      </c>
      <c r="E36" s="352">
        <v>4488627</v>
      </c>
      <c r="G36"/>
      <c r="H36"/>
      <c r="I36"/>
      <c r="J36" s="308"/>
      <c r="K36"/>
      <c r="L36"/>
      <c r="M36"/>
      <c r="N36"/>
      <c r="O36"/>
      <c r="P36"/>
      <c r="Q36"/>
      <c r="R36"/>
      <c r="S36"/>
      <c r="T36"/>
    </row>
    <row r="37" spans="1:20">
      <c r="A37" s="316"/>
      <c r="B37" s="327"/>
      <c r="C37" s="328"/>
      <c r="D37" s="327"/>
      <c r="E37" s="327"/>
      <c r="G37"/>
      <c r="H37"/>
      <c r="I37"/>
      <c r="J37" s="308"/>
      <c r="K37"/>
      <c r="L37"/>
      <c r="M37"/>
      <c r="N37"/>
      <c r="O37"/>
      <c r="P37"/>
      <c r="Q37"/>
      <c r="R37"/>
      <c r="S37"/>
      <c r="T37"/>
    </row>
    <row r="38" spans="1:20" ht="15.75" thickBot="1">
      <c r="A38" s="316"/>
      <c r="B38" s="331" t="s">
        <v>187</v>
      </c>
      <c r="C38" s="354">
        <v>2020</v>
      </c>
      <c r="D38" s="354">
        <v>2021</v>
      </c>
      <c r="E38" s="355" t="s">
        <v>162</v>
      </c>
      <c r="G38"/>
      <c r="H38"/>
      <c r="I38"/>
      <c r="J38" s="308"/>
      <c r="K38"/>
      <c r="L38"/>
      <c r="M38"/>
      <c r="N38"/>
      <c r="O38"/>
      <c r="P38"/>
      <c r="Q38"/>
      <c r="R38"/>
      <c r="S38"/>
      <c r="T38"/>
    </row>
    <row r="39" spans="1:20" ht="15.75" thickTop="1">
      <c r="A39" s="316"/>
      <c r="B39" s="334" t="s">
        <v>392</v>
      </c>
      <c r="C39" s="356">
        <v>-346862</v>
      </c>
      <c r="D39" s="356">
        <v>-305234</v>
      </c>
      <c r="E39" s="356">
        <v>-652096</v>
      </c>
      <c r="G39" s="394"/>
      <c r="H39" s="313"/>
      <c r="I39" s="395"/>
      <c r="J39" s="396"/>
      <c r="K39"/>
      <c r="L39"/>
      <c r="M39"/>
      <c r="N39"/>
      <c r="O39"/>
      <c r="P39"/>
      <c r="Q39"/>
      <c r="R39"/>
      <c r="S39"/>
      <c r="T39"/>
    </row>
    <row r="40" spans="1:20">
      <c r="A40" s="316"/>
      <c r="B40" s="339" t="s">
        <v>383</v>
      </c>
      <c r="C40" s="357">
        <v>68746</v>
      </c>
      <c r="D40" s="357">
        <v>61756</v>
      </c>
      <c r="E40" s="357">
        <v>130502</v>
      </c>
      <c r="G40" s="394"/>
      <c r="H40" s="313"/>
      <c r="I40" s="395"/>
      <c r="J40" s="396"/>
      <c r="K40"/>
      <c r="L40"/>
      <c r="M40"/>
      <c r="N40"/>
      <c r="O40"/>
      <c r="P40"/>
      <c r="Q40"/>
      <c r="R40"/>
      <c r="S40"/>
      <c r="T40"/>
    </row>
    <row r="41" spans="1:20">
      <c r="A41" s="316"/>
      <c r="B41" s="334" t="s">
        <v>393</v>
      </c>
      <c r="C41" s="357" t="s">
        <v>373</v>
      </c>
      <c r="D41" s="357" t="s">
        <v>374</v>
      </c>
      <c r="E41" s="357" t="s">
        <v>374</v>
      </c>
      <c r="G41" s="400"/>
      <c r="H41" s="397"/>
      <c r="I41" s="401"/>
      <c r="J41" s="402"/>
      <c r="K41"/>
      <c r="L41"/>
      <c r="M41"/>
      <c r="N41"/>
      <c r="O41"/>
      <c r="P41"/>
      <c r="Q41"/>
      <c r="R41"/>
      <c r="S41"/>
      <c r="T41"/>
    </row>
    <row r="42" spans="1:20">
      <c r="A42" s="316"/>
      <c r="B42" s="334" t="s">
        <v>394</v>
      </c>
      <c r="C42" s="357">
        <v>43</v>
      </c>
      <c r="D42" s="357">
        <v>34</v>
      </c>
      <c r="E42" s="357">
        <v>77</v>
      </c>
      <c r="G42" s="400"/>
      <c r="H42" s="397"/>
      <c r="I42" s="401"/>
      <c r="J42" s="402"/>
      <c r="K42"/>
      <c r="L42"/>
      <c r="M42"/>
      <c r="N42"/>
      <c r="O42"/>
      <c r="P42"/>
      <c r="Q42"/>
      <c r="R42"/>
      <c r="S42"/>
      <c r="T42"/>
    </row>
    <row r="43" spans="1:20">
      <c r="A43" s="316"/>
      <c r="B43" s="334" t="s">
        <v>395</v>
      </c>
      <c r="C43" s="357" t="s">
        <v>373</v>
      </c>
      <c r="D43" s="357" t="s">
        <v>374</v>
      </c>
      <c r="E43" s="357" t="s">
        <v>374</v>
      </c>
      <c r="G43" s="400"/>
      <c r="H43" s="397"/>
      <c r="I43" s="401"/>
      <c r="J43" s="402"/>
      <c r="K43"/>
      <c r="L43"/>
      <c r="M43"/>
      <c r="N43"/>
      <c r="O43"/>
      <c r="P43"/>
      <c r="Q43"/>
      <c r="R43"/>
      <c r="S43"/>
      <c r="T43"/>
    </row>
    <row r="44" spans="1:20">
      <c r="A44" s="316"/>
      <c r="B44" s="334" t="s">
        <v>396</v>
      </c>
      <c r="C44" s="356">
        <v>-25902</v>
      </c>
      <c r="D44" s="356">
        <v>-30182</v>
      </c>
      <c r="E44" s="356">
        <v>-56084</v>
      </c>
      <c r="G44" s="400"/>
      <c r="H44" s="397"/>
      <c r="I44" s="401"/>
      <c r="J44" s="402"/>
      <c r="K44"/>
      <c r="L44"/>
      <c r="M44"/>
      <c r="N44"/>
      <c r="O44"/>
      <c r="P44"/>
      <c r="Q44"/>
      <c r="R44"/>
      <c r="S44"/>
      <c r="T44"/>
    </row>
    <row r="45" spans="1:20">
      <c r="A45" s="316"/>
      <c r="B45" s="339" t="s">
        <v>384</v>
      </c>
      <c r="C45" s="357">
        <v>1213</v>
      </c>
      <c r="D45" s="357">
        <v>4273</v>
      </c>
      <c r="E45" s="357">
        <v>5486</v>
      </c>
      <c r="G45" s="400"/>
      <c r="H45" s="397"/>
      <c r="I45" s="401"/>
      <c r="J45" s="402"/>
      <c r="K45"/>
      <c r="L45"/>
      <c r="M45"/>
      <c r="N45"/>
      <c r="O45"/>
      <c r="P45"/>
      <c r="Q45"/>
      <c r="R45"/>
      <c r="S45"/>
      <c r="T45"/>
    </row>
    <row r="46" spans="1:20">
      <c r="A46" s="316"/>
      <c r="B46" s="358" t="s">
        <v>397</v>
      </c>
      <c r="C46" s="357">
        <v>-53201</v>
      </c>
      <c r="D46" s="357">
        <v>-53857</v>
      </c>
      <c r="E46" s="357">
        <v>-107058</v>
      </c>
      <c r="G46" s="400"/>
      <c r="H46" s="397"/>
      <c r="I46" s="401"/>
      <c r="J46" s="402"/>
      <c r="K46" s="397"/>
      <c r="L46" s="397"/>
      <c r="M46" s="398"/>
      <c r="N46" s="398"/>
      <c r="O46" s="399"/>
      <c r="P46" s="353"/>
    </row>
    <row r="47" spans="1:20">
      <c r="A47" s="316"/>
      <c r="B47" s="358" t="s">
        <v>398</v>
      </c>
      <c r="C47" s="359">
        <v>-651</v>
      </c>
      <c r="D47" s="359">
        <v>-651</v>
      </c>
      <c r="E47" s="359">
        <v>-1302</v>
      </c>
      <c r="G47" s="400"/>
      <c r="H47" s="397"/>
      <c r="I47" s="401"/>
      <c r="J47" s="402"/>
      <c r="K47" s="397"/>
      <c r="L47" s="397"/>
      <c r="M47" s="398"/>
      <c r="N47" s="398"/>
      <c r="O47" s="399"/>
      <c r="P47" s="353"/>
    </row>
    <row r="48" spans="1:20">
      <c r="A48" s="316"/>
      <c r="B48" s="358" t="s">
        <v>399</v>
      </c>
      <c r="C48" s="359" t="s">
        <v>373</v>
      </c>
      <c r="D48" s="359" t="s">
        <v>374</v>
      </c>
      <c r="E48" s="359" t="s">
        <v>374</v>
      </c>
      <c r="G48" s="400"/>
      <c r="H48" s="397"/>
      <c r="I48" s="401"/>
      <c r="J48" s="402"/>
      <c r="K48" s="397"/>
      <c r="L48" s="397"/>
      <c r="M48" s="398"/>
      <c r="N48" s="398"/>
      <c r="O48" s="399"/>
      <c r="P48" s="353"/>
    </row>
    <row r="49" spans="1:16">
      <c r="A49" s="316"/>
      <c r="B49" s="358" t="s">
        <v>400</v>
      </c>
      <c r="C49" s="359" t="s">
        <v>373</v>
      </c>
      <c r="D49" s="359" t="s">
        <v>374</v>
      </c>
      <c r="E49" s="359" t="s">
        <v>374</v>
      </c>
      <c r="G49" s="400"/>
      <c r="H49" s="397"/>
      <c r="I49" s="401"/>
      <c r="J49" s="402"/>
      <c r="K49" s="397"/>
      <c r="L49" s="397"/>
      <c r="M49" s="398"/>
      <c r="N49" s="398"/>
      <c r="O49" s="399"/>
      <c r="P49" s="353"/>
    </row>
    <row r="50" spans="1:16">
      <c r="A50" s="316"/>
      <c r="B50" s="360" t="s">
        <v>401</v>
      </c>
      <c r="C50" s="361">
        <v>30066</v>
      </c>
      <c r="D50" s="361">
        <v>30308</v>
      </c>
      <c r="E50" s="361">
        <v>60373</v>
      </c>
      <c r="G50" s="403"/>
      <c r="H50" s="397"/>
      <c r="I50" s="401"/>
      <c r="J50" s="402"/>
      <c r="K50" s="397"/>
      <c r="L50" s="397"/>
      <c r="M50" s="401"/>
      <c r="N50" s="401"/>
      <c r="O50" s="404"/>
      <c r="P50" s="353"/>
    </row>
    <row r="51" spans="1:16">
      <c r="A51" s="316"/>
      <c r="B51" s="334" t="s">
        <v>389</v>
      </c>
      <c r="C51" s="356">
        <v>-326549</v>
      </c>
      <c r="D51" s="356">
        <v>-293553</v>
      </c>
      <c r="E51" s="356">
        <v>-620101</v>
      </c>
      <c r="G51" s="353"/>
      <c r="H51" s="353"/>
      <c r="I51" s="353"/>
      <c r="J51" s="353"/>
      <c r="K51" s="353"/>
      <c r="L51" s="353"/>
      <c r="M51" s="353"/>
      <c r="N51" s="353"/>
      <c r="O51" s="353"/>
      <c r="P51" s="353"/>
    </row>
    <row r="52" spans="1:16">
      <c r="A52" s="316"/>
      <c r="B52" s="362"/>
      <c r="C52" s="362"/>
      <c r="D52" s="362"/>
      <c r="E52" s="362"/>
    </row>
    <row r="53" spans="1:16" ht="15.75" thickBot="1">
      <c r="A53" s="316"/>
      <c r="B53" s="317"/>
      <c r="C53" s="354">
        <v>2020</v>
      </c>
      <c r="D53" s="354">
        <v>2021</v>
      </c>
      <c r="E53" s="355" t="s">
        <v>162</v>
      </c>
    </row>
    <row r="54" spans="1:16" ht="15.75" thickTop="1">
      <c r="A54" s="316"/>
      <c r="B54" s="320" t="s">
        <v>371</v>
      </c>
      <c r="C54" s="359">
        <v>-178787</v>
      </c>
      <c r="D54" s="359">
        <v>-167773</v>
      </c>
      <c r="E54" s="359">
        <v>-346560</v>
      </c>
    </row>
    <row r="55" spans="1:16">
      <c r="A55" s="316"/>
      <c r="B55" s="362"/>
      <c r="C55" s="356"/>
      <c r="D55" s="362"/>
      <c r="E55" s="362"/>
    </row>
    <row r="56" spans="1:16" ht="15.75" thickBot="1">
      <c r="A56" s="316"/>
      <c r="B56" s="317" t="s">
        <v>195</v>
      </c>
      <c r="C56" s="354">
        <v>2020</v>
      </c>
      <c r="D56" s="354">
        <v>2021</v>
      </c>
      <c r="E56" s="355" t="s">
        <v>162</v>
      </c>
    </row>
    <row r="57" spans="1:16" ht="15.75" thickTop="1">
      <c r="A57" s="316"/>
      <c r="B57" s="320" t="s">
        <v>370</v>
      </c>
      <c r="C57" s="359">
        <v>2211745</v>
      </c>
      <c r="D57" s="359">
        <v>2276882</v>
      </c>
      <c r="E57" s="359">
        <v>4488627</v>
      </c>
    </row>
    <row r="58" spans="1:16">
      <c r="A58" s="316"/>
      <c r="B58" s="320" t="s">
        <v>371</v>
      </c>
      <c r="C58" s="359">
        <v>-178787</v>
      </c>
      <c r="D58" s="359">
        <v>-167773</v>
      </c>
      <c r="E58" s="359">
        <v>-346560</v>
      </c>
    </row>
    <row r="59" spans="1:16">
      <c r="A59" s="316"/>
      <c r="B59" s="320" t="s">
        <v>372</v>
      </c>
      <c r="C59" s="359" t="s">
        <v>373</v>
      </c>
      <c r="D59" s="359" t="s">
        <v>374</v>
      </c>
      <c r="E59" s="359" t="s">
        <v>374</v>
      </c>
    </row>
    <row r="60" spans="1:16">
      <c r="A60" s="316"/>
      <c r="B60" s="323" t="s">
        <v>375</v>
      </c>
      <c r="C60" s="361">
        <v>12993</v>
      </c>
      <c r="D60" s="361">
        <v>16879</v>
      </c>
      <c r="E60" s="361">
        <v>29872</v>
      </c>
    </row>
    <row r="61" spans="1:16">
      <c r="A61" s="316"/>
      <c r="B61" s="363" t="s">
        <v>167</v>
      </c>
      <c r="C61" s="359">
        <v>2045951</v>
      </c>
      <c r="D61" s="359">
        <v>2125988</v>
      </c>
      <c r="E61" s="359">
        <v>4171939</v>
      </c>
    </row>
    <row r="62" spans="1:16">
      <c r="A62" s="316"/>
      <c r="B62" s="362"/>
      <c r="C62" s="362"/>
      <c r="D62" s="362"/>
      <c r="E62" s="362"/>
    </row>
    <row r="63" spans="1:16" ht="15.75" thickBot="1">
      <c r="A63" s="316"/>
      <c r="B63" s="317" t="s">
        <v>196</v>
      </c>
      <c r="C63" s="354">
        <v>2020</v>
      </c>
      <c r="D63" s="354">
        <v>2021</v>
      </c>
      <c r="E63" s="355" t="s">
        <v>162</v>
      </c>
    </row>
    <row r="64" spans="1:16" ht="15.75" thickTop="1">
      <c r="A64" s="316"/>
      <c r="B64" s="320" t="s">
        <v>402</v>
      </c>
      <c r="C64" s="364">
        <v>94.220500000000001</v>
      </c>
      <c r="D64" s="364">
        <v>94.641999999999996</v>
      </c>
      <c r="E64" s="364">
        <v>94.431299999999993</v>
      </c>
    </row>
    <row r="65" spans="1:7">
      <c r="A65" s="316"/>
      <c r="B65" s="320" t="s">
        <v>403</v>
      </c>
      <c r="C65" s="364">
        <v>71.857900000000001</v>
      </c>
      <c r="D65" s="364">
        <v>72.279399999999995</v>
      </c>
      <c r="E65" s="364">
        <v>72.068600000000004</v>
      </c>
    </row>
    <row r="66" spans="1:7">
      <c r="A66" s="316"/>
      <c r="B66" s="320" t="s">
        <v>404</v>
      </c>
      <c r="C66" s="364">
        <v>22.3627</v>
      </c>
      <c r="D66" s="364">
        <v>22.3627</v>
      </c>
      <c r="E66" s="364">
        <v>22.3627</v>
      </c>
    </row>
    <row r="67" spans="1:7">
      <c r="A67" s="316"/>
      <c r="B67" s="320"/>
      <c r="C67" s="359"/>
      <c r="D67" s="359"/>
      <c r="E67" s="359"/>
    </row>
    <row r="68" spans="1:7" ht="15.75" thickBot="1">
      <c r="A68" s="316"/>
      <c r="B68" s="317" t="s">
        <v>200</v>
      </c>
      <c r="C68" s="354">
        <v>2020</v>
      </c>
      <c r="D68" s="354">
        <v>2021</v>
      </c>
      <c r="E68" s="355" t="s">
        <v>162</v>
      </c>
    </row>
    <row r="69" spans="1:7" ht="15.75" thickTop="1">
      <c r="A69" s="316"/>
      <c r="B69" s="320" t="s">
        <v>370</v>
      </c>
      <c r="C69" s="359">
        <v>23474</v>
      </c>
      <c r="D69" s="359">
        <v>24058</v>
      </c>
      <c r="E69" s="359">
        <v>23767</v>
      </c>
    </row>
    <row r="70" spans="1:7">
      <c r="A70" s="316"/>
      <c r="B70" s="320" t="s">
        <v>371</v>
      </c>
      <c r="C70" s="359">
        <v>-2488</v>
      </c>
      <c r="D70" s="359">
        <v>-2321</v>
      </c>
      <c r="E70" s="359">
        <v>-2404</v>
      </c>
    </row>
    <row r="71" spans="1:7">
      <c r="B71" s="320" t="s">
        <v>372</v>
      </c>
      <c r="C71" s="359" t="s">
        <v>373</v>
      </c>
      <c r="D71" s="359" t="s">
        <v>374</v>
      </c>
      <c r="E71" s="359" t="s">
        <v>374</v>
      </c>
    </row>
    <row r="72" spans="1:7">
      <c r="A72" s="316"/>
      <c r="B72" s="362"/>
      <c r="C72" s="362"/>
      <c r="D72" s="362"/>
      <c r="E72" s="362"/>
    </row>
    <row r="73" spans="1:7" ht="15.75" thickBot="1">
      <c r="A73" s="316"/>
      <c r="B73" s="317" t="s">
        <v>201</v>
      </c>
      <c r="C73" s="354">
        <v>2020</v>
      </c>
      <c r="D73" s="354">
        <v>2021</v>
      </c>
      <c r="E73" s="355" t="s">
        <v>162</v>
      </c>
      <c r="G73" s="365"/>
    </row>
    <row r="74" spans="1:7" ht="15.75" thickTop="1">
      <c r="A74" s="316"/>
      <c r="B74" s="320" t="s">
        <v>370</v>
      </c>
      <c r="C74" s="366">
        <v>1956178</v>
      </c>
      <c r="D74" s="366">
        <v>2004819</v>
      </c>
      <c r="E74" s="367">
        <v>1980553</v>
      </c>
      <c r="G74" s="365"/>
    </row>
    <row r="75" spans="1:7">
      <c r="A75" s="316"/>
      <c r="B75" s="320" t="s">
        <v>371</v>
      </c>
      <c r="C75" s="366">
        <v>-207339</v>
      </c>
      <c r="D75" s="366">
        <v>-193431</v>
      </c>
      <c r="E75" s="367">
        <v>-200365</v>
      </c>
    </row>
    <row r="76" spans="1:7">
      <c r="B76" s="320" t="s">
        <v>372</v>
      </c>
      <c r="C76" s="366" t="s">
        <v>405</v>
      </c>
      <c r="D76" s="366" t="s">
        <v>406</v>
      </c>
      <c r="E76" s="366" t="s">
        <v>406</v>
      </c>
    </row>
    <row r="77" spans="1:7">
      <c r="A77" s="316"/>
      <c r="B77" s="362"/>
      <c r="C77" s="362"/>
      <c r="D77" s="362"/>
      <c r="E77" s="362"/>
    </row>
    <row r="78" spans="1:7" ht="15.75" thickBot="1">
      <c r="A78" s="316"/>
      <c r="B78" s="317" t="s">
        <v>202</v>
      </c>
      <c r="C78" s="354">
        <v>2020</v>
      </c>
      <c r="D78" s="354">
        <v>2021</v>
      </c>
      <c r="E78" s="355" t="s">
        <v>162</v>
      </c>
    </row>
    <row r="79" spans="1:7" ht="15.75" thickTop="1">
      <c r="A79" s="316"/>
      <c r="B79" s="320" t="s">
        <v>407</v>
      </c>
      <c r="C79" s="368">
        <v>30.32</v>
      </c>
      <c r="D79" s="368">
        <v>33</v>
      </c>
      <c r="E79" s="369">
        <v>31.76</v>
      </c>
    </row>
    <row r="80" spans="1:7">
      <c r="A80" s="316"/>
      <c r="B80" s="320" t="s">
        <v>408</v>
      </c>
      <c r="C80" s="426" t="s">
        <v>373</v>
      </c>
      <c r="D80" s="426" t="s">
        <v>374</v>
      </c>
      <c r="E80" s="369" t="s">
        <v>374</v>
      </c>
    </row>
    <row r="81" spans="2:7">
      <c r="B81" s="370" t="s">
        <v>409</v>
      </c>
      <c r="C81" s="371" t="s">
        <v>373</v>
      </c>
      <c r="D81" s="371" t="s">
        <v>374</v>
      </c>
      <c r="E81" s="371" t="s">
        <v>374</v>
      </c>
    </row>
    <row r="86" spans="2:7">
      <c r="B86" s="311" t="s">
        <v>419</v>
      </c>
      <c r="C86" s="310">
        <v>0.68</v>
      </c>
      <c r="D86" s="316">
        <v>0.67</v>
      </c>
      <c r="F86"/>
      <c r="G86"/>
    </row>
    <row r="87" spans="2:7">
      <c r="B87" s="311" t="s">
        <v>420</v>
      </c>
      <c r="C87" s="311">
        <v>0.81</v>
      </c>
      <c r="D87" s="316">
        <v>0.81</v>
      </c>
      <c r="F87"/>
      <c r="G87"/>
    </row>
    <row r="88" spans="2:7">
      <c r="B88" s="316" t="s">
        <v>279</v>
      </c>
      <c r="C88" s="428">
        <f>$H$33-C86</f>
        <v>-15.87</v>
      </c>
      <c r="D88" s="428">
        <f>$H$33-D86</f>
        <v>-15.86</v>
      </c>
    </row>
  </sheetData>
  <conditionalFormatting sqref="B2">
    <cfRule type="expression" dxfId="3" priority="1" stopIfTrue="1">
      <formula>A1 &gt; 30</formula>
    </cfRule>
  </conditionalFormatting>
  <pageMargins left="0.25" right="0.25" top="0.75" bottom="0.75" header="0.3" footer="0.3"/>
  <pageSetup scale="39" orientation="portrait" r:id="rId1"/>
  <colBreaks count="1" manualBreakCount="1">
    <brk id="15" max="80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401"/>
  <sheetViews>
    <sheetView topLeftCell="A109" workbookViewId="0">
      <selection activeCell="I146" sqref="I146"/>
    </sheetView>
  </sheetViews>
  <sheetFormatPr defaultRowHeight="15"/>
  <cols>
    <col min="1" max="1" width="32.28515625" style="31" customWidth="1"/>
    <col min="2" max="2" width="30.5703125" style="31" bestFit="1" customWidth="1"/>
    <col min="3" max="3" width="8" style="34" customWidth="1"/>
    <col min="4" max="4" width="2.28515625" customWidth="1"/>
    <col min="5" max="5" width="32.28515625" style="31" customWidth="1"/>
    <col min="6" max="6" width="30.5703125" style="31" bestFit="1" customWidth="1"/>
    <col min="7" max="7" width="8" style="34" customWidth="1"/>
    <col min="15" max="15" width="10.140625" bestFit="1" customWidth="1"/>
  </cols>
  <sheetData>
    <row r="1" spans="1:15">
      <c r="A1" s="37"/>
      <c r="B1" s="37"/>
      <c r="C1" s="38"/>
      <c r="D1" s="2"/>
      <c r="E1" s="37"/>
      <c r="F1" s="37"/>
      <c r="G1" s="38"/>
    </row>
    <row r="2" spans="1:15">
      <c r="A2" s="39" t="s">
        <v>149</v>
      </c>
      <c r="B2" s="37"/>
      <c r="C2" s="38"/>
      <c r="D2" s="2"/>
      <c r="E2" s="39" t="s">
        <v>150</v>
      </c>
      <c r="F2" s="37"/>
      <c r="G2" s="38"/>
    </row>
    <row r="3" spans="1:15" ht="15.75">
      <c r="A3" s="40" t="s">
        <v>146</v>
      </c>
      <c r="B3" s="41"/>
      <c r="C3" s="42"/>
      <c r="D3" s="2"/>
      <c r="E3" s="40" t="s">
        <v>146</v>
      </c>
      <c r="F3" s="41"/>
      <c r="G3" s="42"/>
    </row>
    <row r="4" spans="1:15" ht="26.25">
      <c r="A4" s="28" t="s">
        <v>2</v>
      </c>
      <c r="B4" s="29" t="s">
        <v>147</v>
      </c>
      <c r="C4" s="36" t="s">
        <v>148</v>
      </c>
      <c r="E4" s="28" t="s">
        <v>2</v>
      </c>
      <c r="F4" s="29" t="s">
        <v>147</v>
      </c>
      <c r="G4" s="36" t="s">
        <v>148</v>
      </c>
    </row>
    <row r="5" spans="1:15">
      <c r="A5" s="30">
        <v>10005</v>
      </c>
      <c r="B5" s="31" t="s">
        <v>7</v>
      </c>
      <c r="C5" s="35">
        <v>0</v>
      </c>
      <c r="E5" s="30">
        <v>10005</v>
      </c>
      <c r="F5" s="31" t="s">
        <v>7</v>
      </c>
      <c r="G5" s="35">
        <v>0</v>
      </c>
      <c r="J5">
        <f>VLOOKUP(A5, TOCA_previous!$A$3:$D$137, 4, FALSE)</f>
        <v>0</v>
      </c>
      <c r="K5">
        <f>VLOOKUP(E5, TOCA_current!A2:D136, 4, FALSE)</f>
        <v>0</v>
      </c>
      <c r="O5" s="129"/>
    </row>
    <row r="6" spans="1:15">
      <c r="A6" s="32">
        <v>10015</v>
      </c>
      <c r="B6" s="31" t="s">
        <v>8</v>
      </c>
      <c r="C6" s="35">
        <v>0</v>
      </c>
      <c r="E6" s="32">
        <v>10015</v>
      </c>
      <c r="F6" s="31" t="s">
        <v>8</v>
      </c>
      <c r="G6" s="35">
        <v>0</v>
      </c>
      <c r="J6" s="112">
        <f>VLOOKUP(A6, TOCA_previous!$A$3:$D$137, 4, FALSE)</f>
        <v>0</v>
      </c>
      <c r="K6" s="112">
        <f>VLOOKUP(E6, TOCA_current!A3:D137, 4, FALSE)</f>
        <v>0</v>
      </c>
      <c r="L6" s="112"/>
      <c r="O6" s="129"/>
    </row>
    <row r="7" spans="1:15">
      <c r="A7" s="32">
        <v>10024</v>
      </c>
      <c r="B7" s="31" t="s">
        <v>9</v>
      </c>
      <c r="C7" s="35">
        <v>312239.2</v>
      </c>
      <c r="E7" s="32">
        <v>10024</v>
      </c>
      <c r="F7" s="31" t="s">
        <v>9</v>
      </c>
      <c r="G7" s="35">
        <v>312239.2</v>
      </c>
      <c r="J7" s="112">
        <f>VLOOKUP(A7, TOCA_previous!$A$3:$D$137, 4, FALSE)</f>
        <v>0</v>
      </c>
      <c r="K7" s="112">
        <f>VLOOKUP(E7, TOCA_current!A4:D138, 4, FALSE)</f>
        <v>0</v>
      </c>
      <c r="L7" s="112"/>
      <c r="O7" s="129"/>
    </row>
    <row r="8" spans="1:15">
      <c r="A8" s="32">
        <v>10025</v>
      </c>
      <c r="B8" s="31" t="s">
        <v>10</v>
      </c>
      <c r="C8" s="35">
        <v>82900.857000000004</v>
      </c>
      <c r="E8" s="32">
        <v>10025</v>
      </c>
      <c r="F8" s="31" t="s">
        <v>10</v>
      </c>
      <c r="G8" s="35">
        <v>82900.857000000004</v>
      </c>
      <c r="J8" s="112">
        <f>VLOOKUP(A8, TOCA_previous!$A$3:$D$137, 4, FALSE)</f>
        <v>0</v>
      </c>
      <c r="K8" s="112">
        <f>VLOOKUP(E8, TOCA_current!A5:D139, 4, FALSE)</f>
        <v>0</v>
      </c>
      <c r="L8" s="112"/>
      <c r="O8" s="129"/>
    </row>
    <row r="9" spans="1:15">
      <c r="A9" s="32">
        <v>10027</v>
      </c>
      <c r="B9" s="31" t="s">
        <v>11</v>
      </c>
      <c r="C9" s="35">
        <v>209669.54</v>
      </c>
      <c r="E9" s="32">
        <v>10027</v>
      </c>
      <c r="F9" s="31" t="s">
        <v>11</v>
      </c>
      <c r="G9" s="35">
        <v>209669.54</v>
      </c>
      <c r="J9" s="112">
        <f>VLOOKUP(A9, TOCA_previous!$A$3:$D$137, 4, FALSE)</f>
        <v>0</v>
      </c>
      <c r="K9" s="112">
        <f>VLOOKUP(E9, TOCA_current!A6:D140, 4, FALSE)</f>
        <v>0</v>
      </c>
      <c r="L9" s="112"/>
      <c r="O9" s="129"/>
    </row>
    <row r="10" spans="1:15">
      <c r="A10" s="32">
        <v>10029</v>
      </c>
      <c r="B10" s="31" t="s">
        <v>12</v>
      </c>
      <c r="C10" s="35">
        <v>0</v>
      </c>
      <c r="E10" s="32">
        <v>10029</v>
      </c>
      <c r="F10" s="31" t="s">
        <v>12</v>
      </c>
      <c r="G10" s="35">
        <v>0</v>
      </c>
      <c r="J10" s="112">
        <f>VLOOKUP(A10, TOCA_previous!$A$3:$D$137, 4, FALSE)</f>
        <v>1</v>
      </c>
      <c r="K10" s="112">
        <f>VLOOKUP(E10, TOCA_current!A7:D141, 4, FALSE)</f>
        <v>1</v>
      </c>
      <c r="L10" s="112"/>
      <c r="O10" s="129"/>
    </row>
    <row r="11" spans="1:15">
      <c r="A11" s="32">
        <v>10044</v>
      </c>
      <c r="B11" s="31" t="s">
        <v>13</v>
      </c>
      <c r="C11" s="35">
        <v>0</v>
      </c>
      <c r="E11" s="32">
        <v>10044</v>
      </c>
      <c r="F11" s="31" t="s">
        <v>13</v>
      </c>
      <c r="G11" s="35">
        <v>0</v>
      </c>
      <c r="J11" s="112">
        <f>VLOOKUP(A11, TOCA_previous!$A$3:$D$137, 4, FALSE)</f>
        <v>0</v>
      </c>
      <c r="K11" s="112">
        <f>VLOOKUP(E11, TOCA_current!A8:D142, 4, FALSE)</f>
        <v>0</v>
      </c>
      <c r="L11" s="112"/>
      <c r="O11" s="129"/>
    </row>
    <row r="12" spans="1:15">
      <c r="A12" s="32">
        <v>10046</v>
      </c>
      <c r="B12" s="31" t="s">
        <v>14</v>
      </c>
      <c r="C12" s="35">
        <v>41085.457000000002</v>
      </c>
      <c r="E12" s="32">
        <v>10046</v>
      </c>
      <c r="F12" s="31" t="s">
        <v>14</v>
      </c>
      <c r="G12" s="35">
        <v>41085.457000000002</v>
      </c>
      <c r="J12" s="112">
        <f>VLOOKUP(A12, TOCA_previous!$A$3:$D$137, 4, FALSE)</f>
        <v>1</v>
      </c>
      <c r="K12" s="112">
        <f>VLOOKUP(E12, TOCA_current!A9:D143, 4, FALSE)</f>
        <v>1</v>
      </c>
      <c r="L12" s="112"/>
      <c r="O12" s="129"/>
    </row>
    <row r="13" spans="1:15">
      <c r="A13" s="32">
        <v>10047</v>
      </c>
      <c r="B13" s="31" t="s">
        <v>15</v>
      </c>
      <c r="C13" s="35">
        <v>0</v>
      </c>
      <c r="E13" s="32">
        <v>10047</v>
      </c>
      <c r="F13" s="31" t="s">
        <v>15</v>
      </c>
      <c r="G13" s="35">
        <v>0</v>
      </c>
      <c r="J13" s="112">
        <f>VLOOKUP(A13, TOCA_previous!$A$3:$D$137, 4, FALSE)</f>
        <v>0</v>
      </c>
      <c r="K13" s="112">
        <f>VLOOKUP(E13, TOCA_current!A10:D144, 4, FALSE)</f>
        <v>0</v>
      </c>
      <c r="L13" s="112"/>
      <c r="O13" s="129"/>
    </row>
    <row r="14" spans="1:15">
      <c r="A14" s="32">
        <v>10055</v>
      </c>
      <c r="B14" s="31" t="s">
        <v>16</v>
      </c>
      <c r="C14" s="35">
        <v>0</v>
      </c>
      <c r="E14" s="32">
        <v>10055</v>
      </c>
      <c r="F14" s="31" t="s">
        <v>16</v>
      </c>
      <c r="G14" s="35">
        <v>0</v>
      </c>
      <c r="J14" s="112">
        <f>VLOOKUP(A14, TOCA_previous!$A$3:$D$137, 4, FALSE)</f>
        <v>0</v>
      </c>
      <c r="K14" s="112">
        <f>VLOOKUP(E14, TOCA_current!A11:D145, 4, FALSE)</f>
        <v>0</v>
      </c>
      <c r="L14" s="112"/>
      <c r="O14" s="129"/>
    </row>
    <row r="15" spans="1:15">
      <c r="A15" s="32">
        <v>10057</v>
      </c>
      <c r="B15" s="31" t="s">
        <v>17</v>
      </c>
      <c r="C15" s="35">
        <v>0</v>
      </c>
      <c r="E15" s="32">
        <v>10057</v>
      </c>
      <c r="F15" s="31" t="s">
        <v>17</v>
      </c>
      <c r="G15" s="35">
        <v>0</v>
      </c>
      <c r="J15" s="112">
        <f>VLOOKUP(A15, TOCA_previous!$A$3:$D$137, 4, FALSE)</f>
        <v>0</v>
      </c>
      <c r="K15" s="112">
        <f>VLOOKUP(E15, TOCA_current!A12:D146, 4, FALSE)</f>
        <v>0</v>
      </c>
      <c r="L15" s="112"/>
      <c r="O15" s="129"/>
    </row>
    <row r="16" spans="1:15">
      <c r="A16" s="32">
        <v>10059</v>
      </c>
      <c r="B16" s="31" t="s">
        <v>18</v>
      </c>
      <c r="C16" s="35">
        <v>0</v>
      </c>
      <c r="E16" s="32">
        <v>10059</v>
      </c>
      <c r="F16" s="31" t="s">
        <v>18</v>
      </c>
      <c r="G16" s="35">
        <v>0</v>
      </c>
      <c r="J16" s="112">
        <f>VLOOKUP(A16, TOCA_previous!$A$3:$D$137, 4, FALSE)</f>
        <v>0</v>
      </c>
      <c r="K16" s="112">
        <f>VLOOKUP(E16, TOCA_current!A13:D147, 4, FALSE)</f>
        <v>0</v>
      </c>
      <c r="L16" s="112"/>
      <c r="O16" s="129"/>
    </row>
    <row r="17" spans="1:15">
      <c r="A17" s="32">
        <v>10061</v>
      </c>
      <c r="B17" s="31" t="s">
        <v>19</v>
      </c>
      <c r="C17" s="35">
        <v>0</v>
      </c>
      <c r="E17" s="32">
        <v>10061</v>
      </c>
      <c r="F17" s="31" t="s">
        <v>19</v>
      </c>
      <c r="G17" s="35">
        <v>0</v>
      </c>
      <c r="J17" s="112">
        <f>VLOOKUP(A17, TOCA_previous!$A$3:$D$137, 4, FALSE)</f>
        <v>0</v>
      </c>
      <c r="K17" s="112">
        <f>VLOOKUP(E17, TOCA_current!A14:D148, 4, FALSE)</f>
        <v>0</v>
      </c>
      <c r="L17" s="112"/>
      <c r="O17" s="129"/>
    </row>
    <row r="18" spans="1:15">
      <c r="A18" s="32">
        <v>10062</v>
      </c>
      <c r="B18" s="31" t="s">
        <v>20</v>
      </c>
      <c r="C18" s="35">
        <v>0</v>
      </c>
      <c r="E18" s="32">
        <v>10062</v>
      </c>
      <c r="F18" s="31" t="s">
        <v>20</v>
      </c>
      <c r="G18" s="35">
        <v>0</v>
      </c>
      <c r="J18" s="112">
        <f>VLOOKUP(A18, TOCA_previous!$A$3:$D$137, 4, FALSE)</f>
        <v>0</v>
      </c>
      <c r="K18" s="112">
        <f>VLOOKUP(E18, TOCA_current!A15:D149, 4, FALSE)</f>
        <v>0</v>
      </c>
      <c r="L18" s="112"/>
      <c r="O18" s="129"/>
    </row>
    <row r="19" spans="1:15">
      <c r="A19" s="32">
        <v>10064</v>
      </c>
      <c r="B19" s="31" t="s">
        <v>21</v>
      </c>
      <c r="C19" s="35">
        <v>0</v>
      </c>
      <c r="E19" s="32">
        <v>10064</v>
      </c>
      <c r="F19" s="31" t="s">
        <v>21</v>
      </c>
      <c r="G19" s="35">
        <v>0</v>
      </c>
      <c r="J19" s="112">
        <f>VLOOKUP(A19, TOCA_previous!$A$3:$D$137, 4, FALSE)</f>
        <v>0</v>
      </c>
      <c r="K19" s="112">
        <f>VLOOKUP(E19, TOCA_current!A16:D150, 4, FALSE)</f>
        <v>0</v>
      </c>
      <c r="L19" s="112"/>
      <c r="O19" s="129"/>
    </row>
    <row r="20" spans="1:15">
      <c r="A20" s="32">
        <v>10065</v>
      </c>
      <c r="B20" s="31" t="s">
        <v>22</v>
      </c>
      <c r="C20" s="35">
        <v>0</v>
      </c>
      <c r="E20" s="32">
        <v>10065</v>
      </c>
      <c r="F20" s="31" t="s">
        <v>22</v>
      </c>
      <c r="G20" s="35">
        <v>0</v>
      </c>
      <c r="J20" s="112">
        <f>VLOOKUP(A20, TOCA_previous!$A$3:$D$137, 4, FALSE)</f>
        <v>0</v>
      </c>
      <c r="K20" s="112">
        <f>VLOOKUP(E20, TOCA_current!A17:D151, 4, FALSE)</f>
        <v>0</v>
      </c>
      <c r="L20" s="112"/>
      <c r="O20" s="129"/>
    </row>
    <row r="21" spans="1:15">
      <c r="A21" s="32">
        <v>10066</v>
      </c>
      <c r="B21" s="31" t="s">
        <v>23</v>
      </c>
      <c r="C21" s="35">
        <v>0</v>
      </c>
      <c r="E21" s="32">
        <v>10066</v>
      </c>
      <c r="F21" s="31" t="s">
        <v>23</v>
      </c>
      <c r="G21" s="35">
        <v>0</v>
      </c>
      <c r="J21" s="112">
        <f>VLOOKUP(A21, TOCA_previous!$A$3:$D$137, 4, FALSE)</f>
        <v>0</v>
      </c>
      <c r="K21" s="112">
        <f>VLOOKUP(E21, TOCA_current!A18:D152, 4, FALSE)</f>
        <v>0</v>
      </c>
      <c r="L21" s="112"/>
      <c r="O21" s="129"/>
    </row>
    <row r="22" spans="1:15">
      <c r="A22" s="32">
        <v>10067</v>
      </c>
      <c r="B22" s="31" t="s">
        <v>24</v>
      </c>
      <c r="C22" s="35">
        <v>0</v>
      </c>
      <c r="E22" s="32">
        <v>10067</v>
      </c>
      <c r="F22" s="31" t="s">
        <v>24</v>
      </c>
      <c r="G22" s="35">
        <v>0</v>
      </c>
      <c r="J22" s="112">
        <f>VLOOKUP(A22, TOCA_previous!$A$3:$D$137, 4, FALSE)</f>
        <v>0</v>
      </c>
      <c r="K22" s="112">
        <f>VLOOKUP(E22, TOCA_current!A19:D153, 4, FALSE)</f>
        <v>0</v>
      </c>
      <c r="L22" s="112"/>
      <c r="O22" s="129"/>
    </row>
    <row r="23" spans="1:15">
      <c r="A23" s="32">
        <v>10068</v>
      </c>
      <c r="B23" s="31" t="s">
        <v>25</v>
      </c>
      <c r="C23" s="35">
        <v>0</v>
      </c>
      <c r="E23" s="32">
        <v>10068</v>
      </c>
      <c r="F23" s="31" t="s">
        <v>25</v>
      </c>
      <c r="G23" s="35">
        <v>0</v>
      </c>
      <c r="J23" s="112">
        <f>VLOOKUP(A23, TOCA_previous!$A$3:$D$137, 4, FALSE)</f>
        <v>0</v>
      </c>
      <c r="K23" s="112">
        <f>VLOOKUP(E23, TOCA_current!A20:D154, 4, FALSE)</f>
        <v>0</v>
      </c>
      <c r="L23" s="112"/>
      <c r="O23" s="129"/>
    </row>
    <row r="24" spans="1:15">
      <c r="A24" s="32">
        <v>10070</v>
      </c>
      <c r="B24" s="31" t="s">
        <v>26</v>
      </c>
      <c r="C24" s="35">
        <v>0</v>
      </c>
      <c r="E24" s="32">
        <v>10070</v>
      </c>
      <c r="F24" s="31" t="s">
        <v>26</v>
      </c>
      <c r="G24" s="35">
        <v>0</v>
      </c>
      <c r="J24" s="112">
        <f>VLOOKUP(A24, TOCA_previous!$A$3:$D$137, 4, FALSE)</f>
        <v>0</v>
      </c>
      <c r="K24" s="112">
        <f>VLOOKUP(E24, TOCA_current!A21:D155, 4, FALSE)</f>
        <v>0</v>
      </c>
      <c r="L24" s="112"/>
      <c r="O24" s="129"/>
    </row>
    <row r="25" spans="1:15">
      <c r="A25" s="32">
        <v>10071</v>
      </c>
      <c r="B25" s="31" t="s">
        <v>27</v>
      </c>
      <c r="C25" s="35">
        <v>0</v>
      </c>
      <c r="E25" s="32">
        <v>10071</v>
      </c>
      <c r="F25" s="31" t="s">
        <v>27</v>
      </c>
      <c r="G25" s="35">
        <v>0</v>
      </c>
      <c r="J25" s="112">
        <f>VLOOKUP(A25, TOCA_previous!$A$3:$D$137, 4, FALSE)</f>
        <v>0</v>
      </c>
      <c r="K25" s="112">
        <f>VLOOKUP(E25, TOCA_current!A22:D156, 4, FALSE)</f>
        <v>0</v>
      </c>
      <c r="L25" s="112"/>
      <c r="O25" s="129"/>
    </row>
    <row r="26" spans="1:15">
      <c r="A26" s="32">
        <v>10072</v>
      </c>
      <c r="B26" s="31" t="s">
        <v>28</v>
      </c>
      <c r="C26" s="35">
        <v>0</v>
      </c>
      <c r="E26" s="32">
        <v>10072</v>
      </c>
      <c r="F26" s="31" t="s">
        <v>28</v>
      </c>
      <c r="G26" s="35">
        <v>0</v>
      </c>
      <c r="J26" s="112">
        <f>VLOOKUP(A26, TOCA_previous!$A$3:$D$137, 4, FALSE)</f>
        <v>0</v>
      </c>
      <c r="K26" s="112">
        <f>VLOOKUP(E26, TOCA_current!A23:D157, 4, FALSE)</f>
        <v>0</v>
      </c>
      <c r="L26" s="112"/>
      <c r="O26" s="129"/>
    </row>
    <row r="27" spans="1:15">
      <c r="A27" s="32">
        <v>10074</v>
      </c>
      <c r="B27" s="31" t="s">
        <v>29</v>
      </c>
      <c r="C27" s="35">
        <v>0</v>
      </c>
      <c r="E27" s="32">
        <v>10074</v>
      </c>
      <c r="F27" s="31" t="s">
        <v>29</v>
      </c>
      <c r="G27" s="35">
        <v>0</v>
      </c>
      <c r="J27" s="112">
        <f>VLOOKUP(A27, TOCA_previous!$A$3:$D$137, 4, FALSE)</f>
        <v>0</v>
      </c>
      <c r="K27" s="112">
        <f>VLOOKUP(E27, TOCA_current!A24:D158, 4, FALSE)</f>
        <v>0</v>
      </c>
      <c r="L27" s="112"/>
      <c r="O27" s="129"/>
    </row>
    <row r="28" spans="1:15">
      <c r="A28" s="32">
        <v>10076</v>
      </c>
      <c r="B28" s="31" t="s">
        <v>30</v>
      </c>
      <c r="C28" s="35">
        <v>0</v>
      </c>
      <c r="E28" s="32">
        <v>10076</v>
      </c>
      <c r="F28" s="31" t="s">
        <v>30</v>
      </c>
      <c r="G28" s="35">
        <v>0</v>
      </c>
      <c r="J28" s="112">
        <f>VLOOKUP(A28, TOCA_previous!$A$3:$D$137, 4, FALSE)</f>
        <v>0</v>
      </c>
      <c r="K28" s="112">
        <f>VLOOKUP(E28, TOCA_current!A25:D159, 4, FALSE)</f>
        <v>0</v>
      </c>
      <c r="L28" s="112"/>
      <c r="O28" s="129"/>
    </row>
    <row r="29" spans="1:15">
      <c r="A29" s="32">
        <v>10078</v>
      </c>
      <c r="B29" s="31" t="s">
        <v>31</v>
      </c>
      <c r="C29" s="35">
        <v>0</v>
      </c>
      <c r="E29" s="32">
        <v>10078</v>
      </c>
      <c r="F29" s="31" t="s">
        <v>31</v>
      </c>
      <c r="G29" s="35">
        <v>0</v>
      </c>
      <c r="J29" s="112">
        <f>VLOOKUP(A29, TOCA_previous!$A$3:$D$137, 4, FALSE)</f>
        <v>0</v>
      </c>
      <c r="K29" s="112">
        <f>VLOOKUP(E29, TOCA_current!A26:D160, 4, FALSE)</f>
        <v>0</v>
      </c>
      <c r="L29" s="112"/>
      <c r="O29" s="129"/>
    </row>
    <row r="30" spans="1:15">
      <c r="A30" s="32">
        <v>10079</v>
      </c>
      <c r="B30" s="31" t="s">
        <v>32</v>
      </c>
      <c r="C30" s="35">
        <v>0</v>
      </c>
      <c r="E30" s="32">
        <v>10079</v>
      </c>
      <c r="F30" s="31" t="s">
        <v>32</v>
      </c>
      <c r="G30" s="35">
        <v>0</v>
      </c>
      <c r="J30" s="112">
        <f>VLOOKUP(A30, TOCA_previous!$A$3:$D$137, 4, FALSE)</f>
        <v>0</v>
      </c>
      <c r="K30" s="112">
        <f>VLOOKUP(E30, TOCA_current!A27:D161, 4, FALSE)</f>
        <v>0</v>
      </c>
      <c r="L30" s="112"/>
      <c r="O30" s="129"/>
    </row>
    <row r="31" spans="1:15">
      <c r="A31" s="32">
        <v>10080</v>
      </c>
      <c r="B31" s="31" t="s">
        <v>33</v>
      </c>
      <c r="C31" s="35">
        <v>0</v>
      </c>
      <c r="E31" s="32">
        <v>10080</v>
      </c>
      <c r="F31" s="31" t="s">
        <v>33</v>
      </c>
      <c r="G31" s="35">
        <v>0</v>
      </c>
      <c r="J31" s="112">
        <f>VLOOKUP(A31, TOCA_previous!$A$3:$D$137, 4, FALSE)</f>
        <v>0</v>
      </c>
      <c r="K31" s="112">
        <f>VLOOKUP(E31, TOCA_current!A28:D162, 4, FALSE)</f>
        <v>0</v>
      </c>
      <c r="L31" s="112"/>
      <c r="O31" s="129"/>
    </row>
    <row r="32" spans="1:15">
      <c r="A32" s="32">
        <v>10081</v>
      </c>
      <c r="B32" s="31" t="s">
        <v>34</v>
      </c>
      <c r="C32" s="35">
        <v>0</v>
      </c>
      <c r="E32" s="32">
        <v>10081</v>
      </c>
      <c r="F32" s="31" t="s">
        <v>34</v>
      </c>
      <c r="G32" s="35">
        <v>0</v>
      </c>
      <c r="J32" s="112">
        <f>VLOOKUP(A32, TOCA_previous!$A$3:$D$137, 4, FALSE)</f>
        <v>0</v>
      </c>
      <c r="K32" s="112">
        <f>VLOOKUP(E32, TOCA_current!A29:D163, 4, FALSE)</f>
        <v>0</v>
      </c>
      <c r="L32" s="112"/>
      <c r="O32" s="129"/>
    </row>
    <row r="33" spans="1:15">
      <c r="A33" s="32">
        <v>10082</v>
      </c>
      <c r="B33" s="31" t="s">
        <v>35</v>
      </c>
      <c r="C33" s="35">
        <v>0</v>
      </c>
      <c r="E33" s="32">
        <v>10082</v>
      </c>
      <c r="F33" s="31" t="s">
        <v>35</v>
      </c>
      <c r="G33" s="35">
        <v>0</v>
      </c>
      <c r="J33" s="112">
        <f>VLOOKUP(A33, TOCA_previous!$A$3:$D$137, 4, FALSE)</f>
        <v>0</v>
      </c>
      <c r="K33" s="112">
        <f>VLOOKUP(E33, TOCA_current!A30:D164, 4, FALSE)</f>
        <v>0</v>
      </c>
      <c r="L33" s="112"/>
      <c r="O33" s="129"/>
    </row>
    <row r="34" spans="1:15">
      <c r="A34" s="32">
        <v>10083</v>
      </c>
      <c r="B34" s="31" t="s">
        <v>36</v>
      </c>
      <c r="C34" s="35">
        <v>0</v>
      </c>
      <c r="E34" s="32">
        <v>10083</v>
      </c>
      <c r="F34" s="31" t="s">
        <v>36</v>
      </c>
      <c r="G34" s="35">
        <v>0</v>
      </c>
      <c r="J34" s="112">
        <f>VLOOKUP(A34, TOCA_previous!$A$3:$D$137, 4, FALSE)</f>
        <v>0</v>
      </c>
      <c r="K34" s="112">
        <f>VLOOKUP(E34, TOCA_current!A31:D165, 4, FALSE)</f>
        <v>0</v>
      </c>
      <c r="L34" s="112"/>
      <c r="O34" s="129"/>
    </row>
    <row r="35" spans="1:15">
      <c r="A35" s="32">
        <v>10086</v>
      </c>
      <c r="B35" s="31" t="s">
        <v>37</v>
      </c>
      <c r="C35" s="35">
        <v>0</v>
      </c>
      <c r="E35" s="32">
        <v>10086</v>
      </c>
      <c r="F35" s="31" t="s">
        <v>37</v>
      </c>
      <c r="G35" s="35">
        <v>0</v>
      </c>
      <c r="J35" s="112">
        <f>VLOOKUP(A35, TOCA_previous!$A$3:$D$137, 4, FALSE)</f>
        <v>0</v>
      </c>
      <c r="K35" s="112">
        <f>VLOOKUP(E35, TOCA_current!A32:D166, 4, FALSE)</f>
        <v>0</v>
      </c>
      <c r="L35" s="112"/>
      <c r="O35" s="129"/>
    </row>
    <row r="36" spans="1:15">
      <c r="A36" s="32">
        <v>10087</v>
      </c>
      <c r="B36" s="31" t="s">
        <v>38</v>
      </c>
      <c r="C36" s="35">
        <v>0</v>
      </c>
      <c r="E36" s="32">
        <v>10087</v>
      </c>
      <c r="F36" s="31" t="s">
        <v>38</v>
      </c>
      <c r="G36" s="35">
        <v>0</v>
      </c>
      <c r="J36" s="112">
        <f>VLOOKUP(A36, TOCA_previous!$A$3:$D$137, 4, FALSE)</f>
        <v>0</v>
      </c>
      <c r="K36" s="112">
        <f>VLOOKUP(E36, TOCA_current!A33:D167, 4, FALSE)</f>
        <v>0</v>
      </c>
      <c r="L36" s="112"/>
      <c r="O36" s="129"/>
    </row>
    <row r="37" spans="1:15">
      <c r="A37" s="32">
        <v>10089</v>
      </c>
      <c r="B37" s="31" t="s">
        <v>39</v>
      </c>
      <c r="C37" s="35">
        <v>0</v>
      </c>
      <c r="E37" s="32">
        <v>10089</v>
      </c>
      <c r="F37" s="31" t="s">
        <v>39</v>
      </c>
      <c r="G37" s="35">
        <v>0</v>
      </c>
      <c r="J37" s="112">
        <f>VLOOKUP(A37, TOCA_previous!$A$3:$D$137, 4, FALSE)</f>
        <v>0</v>
      </c>
      <c r="K37" s="112">
        <f>VLOOKUP(E37, TOCA_current!A34:D168, 4, FALSE)</f>
        <v>0</v>
      </c>
      <c r="L37" s="112"/>
      <c r="O37" s="129"/>
    </row>
    <row r="38" spans="1:15">
      <c r="A38" s="32">
        <v>10091</v>
      </c>
      <c r="B38" s="31" t="s">
        <v>40</v>
      </c>
      <c r="C38" s="35">
        <v>0</v>
      </c>
      <c r="E38" s="32">
        <v>10091</v>
      </c>
      <c r="F38" s="31" t="s">
        <v>40</v>
      </c>
      <c r="G38" s="35">
        <v>0</v>
      </c>
      <c r="J38" s="112">
        <f>VLOOKUP(A38, TOCA_previous!$A$3:$D$137, 4, FALSE)</f>
        <v>0</v>
      </c>
      <c r="K38" s="112">
        <f>VLOOKUP(E38, TOCA_current!A35:D169, 4, FALSE)</f>
        <v>0</v>
      </c>
      <c r="L38" s="112"/>
      <c r="O38" s="129"/>
    </row>
    <row r="39" spans="1:15">
      <c r="A39" s="32">
        <v>10094</v>
      </c>
      <c r="B39" s="31" t="s">
        <v>41</v>
      </c>
      <c r="C39" s="35">
        <v>0</v>
      </c>
      <c r="E39" s="32">
        <v>10094</v>
      </c>
      <c r="F39" s="31" t="s">
        <v>41</v>
      </c>
      <c r="G39" s="35">
        <v>0</v>
      </c>
      <c r="J39" s="112">
        <f>VLOOKUP(A39, TOCA_previous!$A$3:$D$137, 4, FALSE)</f>
        <v>0</v>
      </c>
      <c r="K39" s="112">
        <f>VLOOKUP(E39, TOCA_current!A36:D170, 4, FALSE)</f>
        <v>0</v>
      </c>
      <c r="L39" s="112"/>
      <c r="O39" s="129"/>
    </row>
    <row r="40" spans="1:15">
      <c r="A40" s="32">
        <v>10095</v>
      </c>
      <c r="B40" s="31" t="s">
        <v>42</v>
      </c>
      <c r="C40" s="35">
        <v>0</v>
      </c>
      <c r="E40" s="32">
        <v>10095</v>
      </c>
      <c r="F40" s="31" t="s">
        <v>42</v>
      </c>
      <c r="G40" s="35">
        <v>0</v>
      </c>
      <c r="J40" s="112">
        <f>VLOOKUP(A40, TOCA_previous!$A$3:$D$137, 4, FALSE)</f>
        <v>0</v>
      </c>
      <c r="K40" s="112">
        <f>VLOOKUP(E40, TOCA_current!A37:D171, 4, FALSE)</f>
        <v>0</v>
      </c>
      <c r="L40" s="112"/>
      <c r="O40" s="129"/>
    </row>
    <row r="41" spans="1:15">
      <c r="A41" s="32">
        <v>10097</v>
      </c>
      <c r="B41" s="31" t="s">
        <v>43</v>
      </c>
      <c r="C41" s="35">
        <v>0</v>
      </c>
      <c r="E41" s="32">
        <v>10097</v>
      </c>
      <c r="F41" s="31" t="s">
        <v>43</v>
      </c>
      <c r="G41" s="35">
        <v>0</v>
      </c>
      <c r="J41" s="112">
        <f>VLOOKUP(A41, TOCA_previous!$A$3:$D$137, 4, FALSE)</f>
        <v>0</v>
      </c>
      <c r="K41" s="112">
        <f>VLOOKUP(E41, TOCA_current!A38:D172, 4, FALSE)</f>
        <v>0</v>
      </c>
      <c r="L41" s="112"/>
      <c r="O41" s="129"/>
    </row>
    <row r="42" spans="1:15">
      <c r="A42" s="32">
        <v>10101</v>
      </c>
      <c r="B42" s="31" t="s">
        <v>44</v>
      </c>
      <c r="C42" s="35">
        <v>0</v>
      </c>
      <c r="E42" s="32">
        <v>10101</v>
      </c>
      <c r="F42" s="31" t="s">
        <v>44</v>
      </c>
      <c r="G42" s="35">
        <v>0</v>
      </c>
      <c r="J42" s="112">
        <f>VLOOKUP(A42, TOCA_previous!$A$3:$D$137, 4, FALSE)</f>
        <v>0</v>
      </c>
      <c r="K42" s="112">
        <f>VLOOKUP(E42, TOCA_current!A39:D173, 4, FALSE)</f>
        <v>0</v>
      </c>
      <c r="L42" s="112"/>
      <c r="O42" s="129"/>
    </row>
    <row r="43" spans="1:15">
      <c r="A43" s="32">
        <v>10103</v>
      </c>
      <c r="B43" s="31" t="s">
        <v>45</v>
      </c>
      <c r="C43" s="35">
        <v>0</v>
      </c>
      <c r="E43" s="32">
        <v>10103</v>
      </c>
      <c r="F43" s="31" t="s">
        <v>45</v>
      </c>
      <c r="G43" s="35">
        <v>0</v>
      </c>
      <c r="J43" s="112">
        <f>VLOOKUP(A43, TOCA_previous!$A$3:$D$137, 4, FALSE)</f>
        <v>0</v>
      </c>
      <c r="K43" s="112">
        <f>VLOOKUP(E43, TOCA_current!A40:D174, 4, FALSE)</f>
        <v>0</v>
      </c>
      <c r="L43" s="112"/>
      <c r="O43" s="129"/>
    </row>
    <row r="44" spans="1:15">
      <c r="A44" s="32">
        <v>10105</v>
      </c>
      <c r="B44" s="31" t="s">
        <v>46</v>
      </c>
      <c r="C44" s="35">
        <v>0</v>
      </c>
      <c r="E44" s="32">
        <v>10105</v>
      </c>
      <c r="F44" s="31" t="s">
        <v>46</v>
      </c>
      <c r="G44" s="35">
        <v>0</v>
      </c>
      <c r="J44" s="112">
        <f>VLOOKUP(A44, TOCA_previous!$A$3:$D$137, 4, FALSE)</f>
        <v>0</v>
      </c>
      <c r="K44" s="112">
        <f>VLOOKUP(E44, TOCA_current!A41:D175, 4, FALSE)</f>
        <v>0</v>
      </c>
      <c r="L44" s="112"/>
      <c r="O44" s="129"/>
    </row>
    <row r="45" spans="1:15">
      <c r="A45" s="32">
        <v>10106</v>
      </c>
      <c r="B45" s="31" t="s">
        <v>47</v>
      </c>
      <c r="C45" s="35">
        <v>0</v>
      </c>
      <c r="E45" s="32">
        <v>10106</v>
      </c>
      <c r="F45" s="31" t="s">
        <v>47</v>
      </c>
      <c r="G45" s="35">
        <v>0</v>
      </c>
      <c r="J45" s="112">
        <f>VLOOKUP(A45, TOCA_previous!$A$3:$D$137, 4, FALSE)</f>
        <v>1</v>
      </c>
      <c r="K45" s="112">
        <f>VLOOKUP(E45, TOCA_current!A42:D176, 4, FALSE)</f>
        <v>1</v>
      </c>
      <c r="L45" s="112"/>
      <c r="O45" s="129"/>
    </row>
    <row r="46" spans="1:15">
      <c r="A46" s="32">
        <v>10109</v>
      </c>
      <c r="B46" s="31" t="s">
        <v>48</v>
      </c>
      <c r="C46" s="35">
        <v>21100.335000000003</v>
      </c>
      <c r="E46" s="32">
        <v>10109</v>
      </c>
      <c r="F46" s="31" t="s">
        <v>48</v>
      </c>
      <c r="G46" s="35">
        <v>21100.335000000003</v>
      </c>
      <c r="J46" s="112">
        <f>VLOOKUP(A46, TOCA_previous!$A$3:$D$137, 4, FALSE)</f>
        <v>0</v>
      </c>
      <c r="K46" s="112">
        <f>VLOOKUP(E46, TOCA_current!A43:D177, 4, FALSE)</f>
        <v>0</v>
      </c>
      <c r="L46" s="112"/>
      <c r="O46" s="129"/>
    </row>
    <row r="47" spans="1:15">
      <c r="A47" s="32">
        <v>10111</v>
      </c>
      <c r="B47" s="31" t="s">
        <v>49</v>
      </c>
      <c r="C47" s="35">
        <v>5227.6489999999994</v>
      </c>
      <c r="E47" s="32">
        <v>10111</v>
      </c>
      <c r="F47" s="31" t="s">
        <v>49</v>
      </c>
      <c r="G47" s="35">
        <v>5227.6489999999994</v>
      </c>
      <c r="J47" s="112">
        <f>VLOOKUP(A47, TOCA_previous!$A$3:$D$137, 4, FALSE)</f>
        <v>0</v>
      </c>
      <c r="K47" s="112">
        <f>VLOOKUP(E47, TOCA_current!A44:D178, 4, FALSE)</f>
        <v>0</v>
      </c>
      <c r="L47" s="112"/>
      <c r="O47" s="129"/>
    </row>
    <row r="48" spans="1:15">
      <c r="A48" s="32">
        <v>10112</v>
      </c>
      <c r="B48" s="31" t="s">
        <v>50</v>
      </c>
      <c r="C48" s="35">
        <v>0</v>
      </c>
      <c r="E48" s="32">
        <v>10112</v>
      </c>
      <c r="F48" s="31" t="s">
        <v>50</v>
      </c>
      <c r="G48" s="35">
        <v>0</v>
      </c>
      <c r="J48" s="112">
        <f>VLOOKUP(A48, TOCA_previous!$A$3:$D$137, 4, FALSE)</f>
        <v>0</v>
      </c>
      <c r="K48" s="112">
        <f>VLOOKUP(E48, TOCA_current!A45:D179, 4, FALSE)</f>
        <v>0</v>
      </c>
      <c r="L48" s="112"/>
      <c r="O48" s="129"/>
    </row>
    <row r="49" spans="1:15">
      <c r="A49" s="32">
        <v>10113</v>
      </c>
      <c r="B49" s="31" t="s">
        <v>51</v>
      </c>
      <c r="C49" s="35">
        <v>134655.962</v>
      </c>
      <c r="E49" s="32">
        <v>10113</v>
      </c>
      <c r="F49" s="31" t="s">
        <v>51</v>
      </c>
      <c r="G49" s="35">
        <v>134655.962</v>
      </c>
      <c r="J49" s="112">
        <f>VLOOKUP(A49, TOCA_previous!$A$3:$D$137, 4, FALSE)</f>
        <v>0</v>
      </c>
      <c r="K49" s="112">
        <f>VLOOKUP(E49, TOCA_current!A46:D180, 4, FALSE)</f>
        <v>0</v>
      </c>
      <c r="L49" s="112"/>
      <c r="O49" s="129"/>
    </row>
    <row r="50" spans="1:15">
      <c r="A50" s="32">
        <v>10116</v>
      </c>
      <c r="B50" s="31" t="s">
        <v>52</v>
      </c>
      <c r="C50" s="35">
        <v>0</v>
      </c>
      <c r="E50" s="32">
        <v>10116</v>
      </c>
      <c r="F50" s="31" t="s">
        <v>52</v>
      </c>
      <c r="G50" s="35">
        <v>0</v>
      </c>
      <c r="J50" s="112">
        <f>VLOOKUP(A50, TOCA_previous!$A$3:$D$137, 4, FALSE)</f>
        <v>0</v>
      </c>
      <c r="K50" s="112">
        <f>VLOOKUP(E50, TOCA_current!A47:D181, 4, FALSE)</f>
        <v>0</v>
      </c>
      <c r="L50" s="112"/>
      <c r="O50" s="129"/>
    </row>
    <row r="51" spans="1:15">
      <c r="A51" s="32">
        <v>10118</v>
      </c>
      <c r="B51" s="31" t="s">
        <v>53</v>
      </c>
      <c r="C51" s="35">
        <v>0</v>
      </c>
      <c r="E51" s="32">
        <v>10118</v>
      </c>
      <c r="F51" s="31" t="s">
        <v>53</v>
      </c>
      <c r="G51" s="35">
        <v>0</v>
      </c>
      <c r="J51" s="112">
        <f>VLOOKUP(A51, TOCA_previous!$A$3:$D$137, 4, FALSE)</f>
        <v>1</v>
      </c>
      <c r="K51" s="112">
        <f>VLOOKUP(E51, TOCA_current!A48:D182, 4, FALSE)</f>
        <v>1</v>
      </c>
      <c r="L51" s="112"/>
      <c r="O51" s="129"/>
    </row>
    <row r="52" spans="1:15">
      <c r="A52" s="32">
        <v>10121</v>
      </c>
      <c r="B52" s="31" t="s">
        <v>54</v>
      </c>
      <c r="C52" s="35">
        <v>0</v>
      </c>
      <c r="E52" s="32">
        <v>10121</v>
      </c>
      <c r="F52" s="31" t="s">
        <v>54</v>
      </c>
      <c r="G52" s="35">
        <v>0</v>
      </c>
      <c r="J52" s="112">
        <f>VLOOKUP(A52, TOCA_previous!$A$3:$D$137, 4, FALSE)</f>
        <v>1</v>
      </c>
      <c r="K52" s="112">
        <f>VLOOKUP(E52, TOCA_current!A49:D183, 4, FALSE)</f>
        <v>1</v>
      </c>
      <c r="L52" s="112"/>
      <c r="O52" s="129"/>
    </row>
    <row r="53" spans="1:15">
      <c r="A53" s="32">
        <v>10123</v>
      </c>
      <c r="B53" s="31" t="s">
        <v>55</v>
      </c>
      <c r="C53" s="35">
        <v>0</v>
      </c>
      <c r="E53" s="32">
        <v>10123</v>
      </c>
      <c r="F53" s="31" t="s">
        <v>55</v>
      </c>
      <c r="G53" s="35">
        <v>0</v>
      </c>
      <c r="J53" s="112">
        <f>VLOOKUP(A53, TOCA_previous!$A$3:$D$137, 4, FALSE)</f>
        <v>0</v>
      </c>
      <c r="K53" s="112">
        <f>VLOOKUP(E53, TOCA_current!A50:D184, 4, FALSE)</f>
        <v>0</v>
      </c>
      <c r="L53" s="112"/>
      <c r="O53" s="129"/>
    </row>
    <row r="54" spans="1:15">
      <c r="A54" s="32">
        <v>10136</v>
      </c>
      <c r="B54" s="31" t="s">
        <v>56</v>
      </c>
      <c r="C54" s="35">
        <v>0</v>
      </c>
      <c r="E54" s="32">
        <v>10136</v>
      </c>
      <c r="F54" s="31" t="s">
        <v>56</v>
      </c>
      <c r="G54" s="35">
        <v>0</v>
      </c>
      <c r="J54" s="112">
        <f>VLOOKUP(A54, TOCA_previous!$A$3:$D$137, 4, FALSE)</f>
        <v>1</v>
      </c>
      <c r="K54" s="112">
        <f>VLOOKUP(E54, TOCA_current!A51:D185, 4, FALSE)</f>
        <v>1</v>
      </c>
      <c r="L54" s="112"/>
      <c r="O54" s="129"/>
    </row>
    <row r="55" spans="1:15">
      <c r="A55" s="32">
        <v>10142</v>
      </c>
      <c r="B55" s="31" t="s">
        <v>57</v>
      </c>
      <c r="C55" s="35">
        <v>5769.4840000000004</v>
      </c>
      <c r="E55" s="32">
        <v>10142</v>
      </c>
      <c r="F55" s="31" t="s">
        <v>57</v>
      </c>
      <c r="G55" s="35">
        <v>5769.4840000000004</v>
      </c>
      <c r="J55" s="112">
        <f>VLOOKUP(A55, TOCA_previous!$A$3:$D$137, 4, FALSE)</f>
        <v>0</v>
      </c>
      <c r="K55" s="112">
        <f>VLOOKUP(E55, TOCA_current!A52:D186, 4, FALSE)</f>
        <v>0</v>
      </c>
      <c r="L55" s="112"/>
      <c r="O55" s="129"/>
    </row>
    <row r="56" spans="1:15">
      <c r="A56" s="32">
        <v>10144</v>
      </c>
      <c r="B56" s="31" t="s">
        <v>58</v>
      </c>
      <c r="C56" s="35">
        <v>0</v>
      </c>
      <c r="E56" s="32">
        <v>10144</v>
      </c>
      <c r="F56" s="31" t="s">
        <v>58</v>
      </c>
      <c r="G56" s="35">
        <v>0</v>
      </c>
      <c r="J56" s="112">
        <f>VLOOKUP(A56, TOCA_previous!$A$3:$D$137, 4, FALSE)</f>
        <v>0</v>
      </c>
      <c r="K56" s="112">
        <f>VLOOKUP(E56, TOCA_current!A53:D187, 4, FALSE)</f>
        <v>0</v>
      </c>
      <c r="L56" s="112"/>
      <c r="O56" s="129"/>
    </row>
    <row r="57" spans="1:15">
      <c r="A57" s="32">
        <v>10156</v>
      </c>
      <c r="B57" s="31" t="s">
        <v>59</v>
      </c>
      <c r="C57" s="35">
        <v>0</v>
      </c>
      <c r="E57" s="32">
        <v>10156</v>
      </c>
      <c r="F57" s="31" t="s">
        <v>59</v>
      </c>
      <c r="G57" s="35">
        <v>0</v>
      </c>
      <c r="J57" s="112">
        <f>VLOOKUP(A57, TOCA_previous!$A$3:$D$137, 4, FALSE)</f>
        <v>0</v>
      </c>
      <c r="K57" s="112">
        <f>VLOOKUP(E57, TOCA_current!A54:D188, 4, FALSE)</f>
        <v>0</v>
      </c>
      <c r="L57" s="112"/>
      <c r="O57" s="129"/>
    </row>
    <row r="58" spans="1:15">
      <c r="A58" s="32">
        <v>10157</v>
      </c>
      <c r="B58" s="31" t="s">
        <v>60</v>
      </c>
      <c r="C58" s="35">
        <v>0</v>
      </c>
      <c r="E58" s="32">
        <v>10157</v>
      </c>
      <c r="F58" s="31" t="s">
        <v>60</v>
      </c>
      <c r="G58" s="35">
        <v>0</v>
      </c>
      <c r="J58" s="112">
        <f>VLOOKUP(A58, TOCA_previous!$A$3:$D$137, 4, FALSE)</f>
        <v>0</v>
      </c>
      <c r="K58" s="112">
        <f>VLOOKUP(E58, TOCA_current!A55:D189, 4, FALSE)</f>
        <v>0</v>
      </c>
      <c r="L58" s="112"/>
      <c r="O58" s="129"/>
    </row>
    <row r="59" spans="1:15">
      <c r="A59" s="32">
        <v>10158</v>
      </c>
      <c r="B59" s="31" t="s">
        <v>61</v>
      </c>
      <c r="C59" s="35">
        <v>0</v>
      </c>
      <c r="E59" s="32">
        <v>10158</v>
      </c>
      <c r="F59" s="31" t="s">
        <v>61</v>
      </c>
      <c r="G59" s="35">
        <v>0</v>
      </c>
      <c r="J59" s="112">
        <f>VLOOKUP(A59, TOCA_previous!$A$3:$D$137, 4, FALSE)</f>
        <v>0</v>
      </c>
      <c r="K59" s="112">
        <f>VLOOKUP(E59, TOCA_current!A56:D190, 4, FALSE)</f>
        <v>0</v>
      </c>
      <c r="L59" s="112"/>
      <c r="O59" s="129"/>
    </row>
    <row r="60" spans="1:15">
      <c r="A60" s="32">
        <v>10170</v>
      </c>
      <c r="B60" s="31" t="s">
        <v>62</v>
      </c>
      <c r="C60" s="35">
        <v>0</v>
      </c>
      <c r="E60" s="32">
        <v>10170</v>
      </c>
      <c r="F60" s="31" t="s">
        <v>62</v>
      </c>
      <c r="G60" s="35">
        <v>0</v>
      </c>
      <c r="J60" s="112">
        <f>VLOOKUP(A60, TOCA_previous!$A$3:$D$137, 4, FALSE)</f>
        <v>0</v>
      </c>
      <c r="K60" s="112">
        <f>VLOOKUP(E60, TOCA_current!A57:D191, 4, FALSE)</f>
        <v>0</v>
      </c>
      <c r="L60" s="112"/>
      <c r="O60" s="129"/>
    </row>
    <row r="61" spans="1:15">
      <c r="A61" s="32">
        <v>10172</v>
      </c>
      <c r="B61" s="31" t="s">
        <v>63</v>
      </c>
      <c r="C61" s="35">
        <v>0</v>
      </c>
      <c r="E61" s="32">
        <v>10172</v>
      </c>
      <c r="F61" s="31" t="s">
        <v>63</v>
      </c>
      <c r="G61" s="35">
        <v>0</v>
      </c>
      <c r="J61" s="112">
        <f>VLOOKUP(A61, TOCA_previous!$A$3:$D$137, 4, FALSE)</f>
        <v>0</v>
      </c>
      <c r="K61" s="112">
        <f>VLOOKUP(E61, TOCA_current!A58:D192, 4, FALSE)</f>
        <v>0</v>
      </c>
      <c r="L61" s="112"/>
      <c r="O61" s="129"/>
    </row>
    <row r="62" spans="1:15">
      <c r="A62" s="32">
        <v>10173</v>
      </c>
      <c r="B62" s="31" t="s">
        <v>64</v>
      </c>
      <c r="C62" s="35">
        <v>44309.995999999999</v>
      </c>
      <c r="E62" s="32">
        <v>10173</v>
      </c>
      <c r="F62" s="31" t="s">
        <v>64</v>
      </c>
      <c r="G62" s="35">
        <v>44309.995999999999</v>
      </c>
      <c r="J62" s="112">
        <f>VLOOKUP(A62, TOCA_previous!$A$3:$D$137, 4, FALSE)</f>
        <v>1</v>
      </c>
      <c r="K62" s="112">
        <f>VLOOKUP(E62, TOCA_current!A59:D193, 4, FALSE)</f>
        <v>1</v>
      </c>
      <c r="L62" s="112"/>
      <c r="O62" s="129"/>
    </row>
    <row r="63" spans="1:15">
      <c r="A63" s="32">
        <v>10174</v>
      </c>
      <c r="B63" s="31" t="s">
        <v>65</v>
      </c>
      <c r="C63" s="35">
        <v>0</v>
      </c>
      <c r="E63" s="32">
        <v>10174</v>
      </c>
      <c r="F63" s="31" t="s">
        <v>65</v>
      </c>
      <c r="G63" s="35">
        <v>0</v>
      </c>
      <c r="J63" s="112">
        <f>VLOOKUP(A63, TOCA_previous!$A$3:$D$137, 4, FALSE)</f>
        <v>0</v>
      </c>
      <c r="K63" s="112">
        <f>VLOOKUP(E63, TOCA_current!A60:D194, 4, FALSE)</f>
        <v>0</v>
      </c>
      <c r="L63" s="112"/>
      <c r="O63" s="129"/>
    </row>
    <row r="64" spans="1:15">
      <c r="A64" s="32">
        <v>10177</v>
      </c>
      <c r="B64" s="31" t="s">
        <v>66</v>
      </c>
      <c r="C64" s="35">
        <v>0</v>
      </c>
      <c r="E64" s="32">
        <v>10177</v>
      </c>
      <c r="F64" s="31" t="s">
        <v>66</v>
      </c>
      <c r="G64" s="35">
        <v>0</v>
      </c>
      <c r="J64" s="112">
        <f>VLOOKUP(A64, TOCA_previous!$A$3:$D$137, 4, FALSE)</f>
        <v>0</v>
      </c>
      <c r="K64" s="112">
        <f>VLOOKUP(E64, TOCA_current!A61:D195, 4, FALSE)</f>
        <v>0</v>
      </c>
      <c r="L64" s="112"/>
      <c r="O64" s="129"/>
    </row>
    <row r="65" spans="1:15">
      <c r="A65" s="32">
        <v>10179</v>
      </c>
      <c r="B65" s="31" t="s">
        <v>67</v>
      </c>
      <c r="C65" s="35">
        <v>0</v>
      </c>
      <c r="E65" s="32">
        <v>10179</v>
      </c>
      <c r="F65" s="31" t="s">
        <v>67</v>
      </c>
      <c r="G65" s="35">
        <v>0</v>
      </c>
      <c r="J65" s="112">
        <f>VLOOKUP(A65, TOCA_previous!$A$3:$D$137, 4, FALSE)</f>
        <v>0</v>
      </c>
      <c r="K65" s="112">
        <f>VLOOKUP(E65, TOCA_current!A62:D196, 4, FALSE)</f>
        <v>0</v>
      </c>
      <c r="L65" s="112"/>
      <c r="O65" s="129"/>
    </row>
    <row r="66" spans="1:15">
      <c r="A66" s="32">
        <v>10183</v>
      </c>
      <c r="B66" s="31" t="s">
        <v>68</v>
      </c>
      <c r="C66" s="35">
        <v>94407.247000000003</v>
      </c>
      <c r="E66" s="32">
        <v>10183</v>
      </c>
      <c r="F66" s="31" t="s">
        <v>68</v>
      </c>
      <c r="G66" s="35">
        <v>94407.247000000003</v>
      </c>
      <c r="J66" s="112">
        <f>VLOOKUP(A66, TOCA_previous!$A$3:$D$137, 4, FALSE)</f>
        <v>0</v>
      </c>
      <c r="K66" s="112">
        <f>VLOOKUP(E66, TOCA_current!A63:D197, 4, FALSE)</f>
        <v>0</v>
      </c>
      <c r="L66" s="112"/>
      <c r="O66" s="129"/>
    </row>
    <row r="67" spans="1:15">
      <c r="A67" s="32">
        <v>10186</v>
      </c>
      <c r="B67" s="31" t="s">
        <v>69</v>
      </c>
      <c r="C67" s="35">
        <v>0</v>
      </c>
      <c r="E67" s="32">
        <v>10186</v>
      </c>
      <c r="F67" s="31" t="s">
        <v>69</v>
      </c>
      <c r="G67" s="35">
        <v>0</v>
      </c>
      <c r="J67" s="112">
        <f>VLOOKUP(A67, TOCA_previous!$A$3:$D$137, 4, FALSE)</f>
        <v>0</v>
      </c>
      <c r="K67" s="112">
        <f>VLOOKUP(E67, TOCA_current!A64:D198, 4, FALSE)</f>
        <v>0</v>
      </c>
      <c r="L67" s="112"/>
      <c r="O67" s="129"/>
    </row>
    <row r="68" spans="1:15">
      <c r="A68" s="32">
        <v>10190</v>
      </c>
      <c r="B68" s="31" t="s">
        <v>70</v>
      </c>
      <c r="C68" s="35">
        <v>0</v>
      </c>
      <c r="E68" s="32">
        <v>10190</v>
      </c>
      <c r="F68" s="31" t="s">
        <v>70</v>
      </c>
      <c r="G68" s="35">
        <v>0</v>
      </c>
      <c r="J68" s="112">
        <f>VLOOKUP(A68, TOCA_previous!$A$3:$D$137, 4, FALSE)</f>
        <v>0</v>
      </c>
      <c r="K68" s="112">
        <f>VLOOKUP(E68, TOCA_current!A65:D199, 4, FALSE)</f>
        <v>0</v>
      </c>
      <c r="L68" s="112"/>
      <c r="O68" s="129"/>
    </row>
    <row r="69" spans="1:15">
      <c r="A69" s="32">
        <v>10191</v>
      </c>
      <c r="B69" s="31" t="s">
        <v>71</v>
      </c>
      <c r="C69" s="35">
        <v>0</v>
      </c>
      <c r="E69" s="32">
        <v>10191</v>
      </c>
      <c r="F69" s="31" t="s">
        <v>71</v>
      </c>
      <c r="G69" s="35">
        <v>0</v>
      </c>
      <c r="J69" s="112">
        <f>VLOOKUP(A69, TOCA_previous!$A$3:$D$137, 4, FALSE)</f>
        <v>0</v>
      </c>
      <c r="K69" s="112">
        <f>VLOOKUP(E69, TOCA_current!A66:D200, 4, FALSE)</f>
        <v>0</v>
      </c>
      <c r="L69" s="112"/>
      <c r="O69" s="129"/>
    </row>
    <row r="70" spans="1:15">
      <c r="A70" s="32">
        <v>10197</v>
      </c>
      <c r="B70" s="31" t="s">
        <v>72</v>
      </c>
      <c r="C70" s="35">
        <v>99899.204999999987</v>
      </c>
      <c r="E70" s="32">
        <v>10197</v>
      </c>
      <c r="F70" s="31" t="s">
        <v>72</v>
      </c>
      <c r="G70" s="35">
        <v>99899.204999999987</v>
      </c>
      <c r="J70" s="112">
        <f>VLOOKUP(A70, TOCA_previous!$A$3:$D$137, 4, FALSE)</f>
        <v>0</v>
      </c>
      <c r="K70" s="112">
        <f>VLOOKUP(E70, TOCA_current!A67:D201, 4, FALSE)</f>
        <v>0</v>
      </c>
      <c r="L70" s="112"/>
      <c r="O70" s="129"/>
    </row>
    <row r="71" spans="1:15">
      <c r="A71" s="32">
        <v>10202</v>
      </c>
      <c r="B71" s="31" t="s">
        <v>73</v>
      </c>
      <c r="C71" s="35">
        <v>0</v>
      </c>
      <c r="E71" s="32">
        <v>10202</v>
      </c>
      <c r="F71" s="31" t="s">
        <v>73</v>
      </c>
      <c r="G71" s="35">
        <v>0</v>
      </c>
      <c r="J71" s="112">
        <f>VLOOKUP(A71, TOCA_previous!$A$3:$D$137, 4, FALSE)</f>
        <v>0</v>
      </c>
      <c r="K71" s="112">
        <f>VLOOKUP(E71, TOCA_current!A68:D202, 4, FALSE)</f>
        <v>0</v>
      </c>
      <c r="L71" s="112"/>
      <c r="O71" s="129"/>
    </row>
    <row r="72" spans="1:15">
      <c r="A72" s="32">
        <v>10203</v>
      </c>
      <c r="B72" s="31" t="s">
        <v>74</v>
      </c>
      <c r="C72" s="35">
        <v>0</v>
      </c>
      <c r="E72" s="32">
        <v>10203</v>
      </c>
      <c r="F72" s="31" t="s">
        <v>74</v>
      </c>
      <c r="G72" s="35">
        <v>0</v>
      </c>
      <c r="J72" s="112">
        <f>VLOOKUP(A72, TOCA_previous!$A$3:$D$137, 4, FALSE)</f>
        <v>0</v>
      </c>
      <c r="K72" s="112">
        <f>VLOOKUP(E72, TOCA_current!A69:D203, 4, FALSE)</f>
        <v>0</v>
      </c>
      <c r="L72" s="112"/>
      <c r="O72" s="129"/>
    </row>
    <row r="73" spans="1:15">
      <c r="A73" s="32">
        <v>10204</v>
      </c>
      <c r="B73" s="31" t="s">
        <v>75</v>
      </c>
      <c r="C73" s="35">
        <v>0</v>
      </c>
      <c r="E73" s="32">
        <v>10204</v>
      </c>
      <c r="F73" s="31" t="s">
        <v>75</v>
      </c>
      <c r="G73" s="35">
        <v>0</v>
      </c>
      <c r="J73" s="112">
        <f>VLOOKUP(A73, TOCA_previous!$A$3:$D$137, 4, FALSE)</f>
        <v>0</v>
      </c>
      <c r="K73" s="112">
        <f>VLOOKUP(E73, TOCA_current!A70:D204, 4, FALSE)</f>
        <v>0</v>
      </c>
      <c r="L73" s="112"/>
      <c r="O73" s="129"/>
    </row>
    <row r="74" spans="1:15">
      <c r="A74" s="32">
        <v>10209</v>
      </c>
      <c r="B74" s="31" t="s">
        <v>76</v>
      </c>
      <c r="C74" s="35">
        <v>60112.701000000001</v>
      </c>
      <c r="E74" s="32">
        <v>10209</v>
      </c>
      <c r="F74" s="31" t="s">
        <v>76</v>
      </c>
      <c r="G74" s="35">
        <v>60112.701000000001</v>
      </c>
      <c r="J74" s="112">
        <f>VLOOKUP(A74, TOCA_previous!$A$3:$D$137, 4, FALSE)</f>
        <v>0</v>
      </c>
      <c r="K74" s="112">
        <f>VLOOKUP(E74, TOCA_current!A71:D205, 4, FALSE)</f>
        <v>0</v>
      </c>
      <c r="L74" s="112"/>
      <c r="O74" s="129"/>
    </row>
    <row r="75" spans="1:15">
      <c r="A75" s="32">
        <v>10230</v>
      </c>
      <c r="B75" s="31" t="s">
        <v>77</v>
      </c>
      <c r="C75" s="35">
        <v>0</v>
      </c>
      <c r="E75" s="32">
        <v>10230</v>
      </c>
      <c r="F75" s="31" t="s">
        <v>77</v>
      </c>
      <c r="G75" s="35">
        <v>0</v>
      </c>
      <c r="J75" s="112">
        <f>VLOOKUP(A75, TOCA_previous!$A$3:$D$137, 4, FALSE)</f>
        <v>0</v>
      </c>
      <c r="K75" s="112">
        <f>VLOOKUP(E75, TOCA_current!A72:D206, 4, FALSE)</f>
        <v>0</v>
      </c>
      <c r="L75" s="112"/>
      <c r="O75" s="129"/>
    </row>
    <row r="76" spans="1:15">
      <c r="A76" s="32">
        <v>10231</v>
      </c>
      <c r="B76" s="31" t="s">
        <v>78</v>
      </c>
      <c r="C76" s="35">
        <v>21632.728999999999</v>
      </c>
      <c r="E76" s="32">
        <v>10231</v>
      </c>
      <c r="F76" s="31" t="s">
        <v>78</v>
      </c>
      <c r="G76" s="35">
        <v>21632.728999999999</v>
      </c>
      <c r="J76" s="112">
        <f>VLOOKUP(A76, TOCA_previous!$A$3:$D$137, 4, FALSE)</f>
        <v>0</v>
      </c>
      <c r="K76" s="112">
        <f>VLOOKUP(E76, TOCA_current!A73:D207, 4, FALSE)</f>
        <v>0</v>
      </c>
      <c r="L76" s="112"/>
      <c r="O76" s="129"/>
    </row>
    <row r="77" spans="1:15">
      <c r="A77" s="32">
        <v>10234</v>
      </c>
      <c r="B77" s="31" t="s">
        <v>79</v>
      </c>
      <c r="C77" s="35">
        <v>0</v>
      </c>
      <c r="E77" s="32">
        <v>10234</v>
      </c>
      <c r="F77" s="31" t="s">
        <v>79</v>
      </c>
      <c r="G77" s="35">
        <v>0</v>
      </c>
      <c r="J77" s="112">
        <f>VLOOKUP(A77, TOCA_previous!$A$3:$D$137, 4, FALSE)</f>
        <v>0</v>
      </c>
      <c r="K77" s="112">
        <f>VLOOKUP(E77, TOCA_current!A74:D208, 4, FALSE)</f>
        <v>0</v>
      </c>
      <c r="L77" s="112"/>
      <c r="O77" s="129"/>
    </row>
    <row r="78" spans="1:15">
      <c r="A78" s="32">
        <v>10235</v>
      </c>
      <c r="B78" s="31" t="s">
        <v>80</v>
      </c>
      <c r="C78" s="35">
        <v>0</v>
      </c>
      <c r="E78" s="32">
        <v>10235</v>
      </c>
      <c r="F78" s="31" t="s">
        <v>80</v>
      </c>
      <c r="G78" s="35">
        <v>0</v>
      </c>
      <c r="J78" s="112">
        <f>VLOOKUP(A78, TOCA_previous!$A$3:$D$137, 4, FALSE)</f>
        <v>0</v>
      </c>
      <c r="K78" s="112">
        <f>VLOOKUP(E78, TOCA_current!A75:D209, 4, FALSE)</f>
        <v>0</v>
      </c>
      <c r="L78" s="112"/>
      <c r="O78" s="129"/>
    </row>
    <row r="79" spans="1:15">
      <c r="A79" s="32">
        <v>10236</v>
      </c>
      <c r="B79" s="31" t="s">
        <v>81</v>
      </c>
      <c r="C79" s="35">
        <v>0</v>
      </c>
      <c r="E79" s="32">
        <v>10236</v>
      </c>
      <c r="F79" s="31" t="s">
        <v>81</v>
      </c>
      <c r="G79" s="35">
        <v>0</v>
      </c>
      <c r="J79" s="112">
        <f>VLOOKUP(A79, TOCA_previous!$A$3:$D$137, 4, FALSE)</f>
        <v>1</v>
      </c>
      <c r="K79" s="112">
        <f>VLOOKUP(E79, TOCA_current!A76:D210, 4, FALSE)</f>
        <v>1</v>
      </c>
      <c r="L79" s="112"/>
      <c r="O79" s="129"/>
    </row>
    <row r="80" spans="1:15">
      <c r="A80" s="32">
        <v>10237</v>
      </c>
      <c r="B80" s="31" t="s">
        <v>82</v>
      </c>
      <c r="C80" s="35">
        <v>0</v>
      </c>
      <c r="E80" s="32">
        <v>10237</v>
      </c>
      <c r="F80" s="31" t="s">
        <v>82</v>
      </c>
      <c r="G80" s="35">
        <v>0</v>
      </c>
      <c r="J80" s="112">
        <f>VLOOKUP(A80, TOCA_previous!$A$3:$D$137, 4, FALSE)</f>
        <v>0</v>
      </c>
      <c r="K80" s="112">
        <f>VLOOKUP(E80, TOCA_current!A77:D211, 4, FALSE)</f>
        <v>0</v>
      </c>
      <c r="L80" s="112"/>
      <c r="O80" s="129"/>
    </row>
    <row r="81" spans="1:15">
      <c r="A81" s="32">
        <v>10239</v>
      </c>
      <c r="B81" s="31" t="s">
        <v>83</v>
      </c>
      <c r="C81" s="35">
        <v>0</v>
      </c>
      <c r="E81" s="32">
        <v>10239</v>
      </c>
      <c r="F81" s="31" t="s">
        <v>83</v>
      </c>
      <c r="G81" s="35">
        <v>0</v>
      </c>
      <c r="J81" s="112">
        <f>VLOOKUP(A81, TOCA_previous!$A$3:$D$137, 4, FALSE)</f>
        <v>1</v>
      </c>
      <c r="K81" s="112">
        <f>VLOOKUP(E81, TOCA_current!A78:D212, 4, FALSE)</f>
        <v>1</v>
      </c>
      <c r="L81" s="112"/>
      <c r="O81" s="129"/>
    </row>
    <row r="82" spans="1:15">
      <c r="A82" s="32">
        <v>10242</v>
      </c>
      <c r="B82" s="31" t="s">
        <v>84</v>
      </c>
      <c r="C82" s="35">
        <v>37558.894</v>
      </c>
      <c r="E82" s="32">
        <v>10242</v>
      </c>
      <c r="F82" s="31" t="s">
        <v>84</v>
      </c>
      <c r="G82" s="35">
        <v>37558.894</v>
      </c>
      <c r="J82" s="112">
        <f>VLOOKUP(A82, TOCA_previous!$A$3:$D$137, 4, FALSE)</f>
        <v>0</v>
      </c>
      <c r="K82" s="112">
        <f>VLOOKUP(E82, TOCA_current!A79:D213, 4, FALSE)</f>
        <v>0</v>
      </c>
      <c r="L82" s="112"/>
      <c r="O82" s="129"/>
    </row>
    <row r="83" spans="1:15">
      <c r="A83" s="32">
        <v>10244</v>
      </c>
      <c r="B83" s="31" t="s">
        <v>85</v>
      </c>
      <c r="C83" s="35">
        <v>0</v>
      </c>
      <c r="E83" s="32">
        <v>10244</v>
      </c>
      <c r="F83" s="31" t="s">
        <v>85</v>
      </c>
      <c r="G83" s="35">
        <v>0</v>
      </c>
      <c r="J83" s="112">
        <f>VLOOKUP(A83, TOCA_previous!$A$3:$D$137, 4, FALSE)</f>
        <v>0</v>
      </c>
      <c r="K83" s="112">
        <f>VLOOKUP(E83, TOCA_current!A80:D214, 4, FALSE)</f>
        <v>0</v>
      </c>
      <c r="L83" s="112"/>
      <c r="O83" s="129"/>
    </row>
    <row r="84" spans="1:15">
      <c r="A84" s="32">
        <v>10246</v>
      </c>
      <c r="B84" s="31" t="s">
        <v>86</v>
      </c>
      <c r="C84" s="35">
        <v>0</v>
      </c>
      <c r="E84" s="32">
        <v>10246</v>
      </c>
      <c r="F84" s="31" t="s">
        <v>86</v>
      </c>
      <c r="G84" s="35">
        <v>0</v>
      </c>
      <c r="J84" s="112">
        <f>VLOOKUP(A84, TOCA_previous!$A$3:$D$137, 4, FALSE)</f>
        <v>0</v>
      </c>
      <c r="K84" s="112">
        <f>VLOOKUP(E84, TOCA_current!A81:D215, 4, FALSE)</f>
        <v>0</v>
      </c>
      <c r="L84" s="112"/>
      <c r="O84" s="129"/>
    </row>
    <row r="85" spans="1:15">
      <c r="A85" s="32">
        <v>10247</v>
      </c>
      <c r="B85" s="31" t="s">
        <v>87</v>
      </c>
      <c r="C85" s="35">
        <v>0</v>
      </c>
      <c r="E85" s="32">
        <v>10247</v>
      </c>
      <c r="F85" s="31" t="s">
        <v>87</v>
      </c>
      <c r="G85" s="35">
        <v>0</v>
      </c>
      <c r="J85" s="112">
        <f>VLOOKUP(A85, TOCA_previous!$A$3:$D$137, 4, FALSE)</f>
        <v>0</v>
      </c>
      <c r="K85" s="112">
        <f>VLOOKUP(E85, TOCA_current!A82:D216, 4, FALSE)</f>
        <v>0</v>
      </c>
      <c r="L85" s="112"/>
      <c r="O85" s="129"/>
    </row>
    <row r="86" spans="1:15">
      <c r="A86" s="32">
        <v>10256</v>
      </c>
      <c r="B86" s="31" t="s">
        <v>88</v>
      </c>
      <c r="C86" s="35">
        <v>41489.314000000006</v>
      </c>
      <c r="E86" s="32">
        <v>10256</v>
      </c>
      <c r="F86" s="31" t="s">
        <v>88</v>
      </c>
      <c r="G86" s="35">
        <v>41489.314000000006</v>
      </c>
      <c r="J86" s="112">
        <f>VLOOKUP(A86, TOCA_previous!$A$3:$D$137, 4, FALSE)</f>
        <v>0</v>
      </c>
      <c r="K86" s="112">
        <f>VLOOKUP(E86, TOCA_current!A83:D217, 4, FALSE)</f>
        <v>0</v>
      </c>
      <c r="L86" s="112"/>
      <c r="O86" s="129"/>
    </row>
    <row r="87" spans="1:15">
      <c r="A87" s="32">
        <v>10258</v>
      </c>
      <c r="B87" s="31" t="s">
        <v>89</v>
      </c>
      <c r="C87" s="35">
        <v>18387.022000000001</v>
      </c>
      <c r="E87" s="32">
        <v>10258</v>
      </c>
      <c r="F87" s="31" t="s">
        <v>89</v>
      </c>
      <c r="G87" s="35">
        <v>18387.022000000001</v>
      </c>
      <c r="J87" s="112">
        <f>VLOOKUP(A87, TOCA_previous!$A$3:$D$137, 4, FALSE)</f>
        <v>0</v>
      </c>
      <c r="K87" s="112">
        <f>VLOOKUP(E87, TOCA_current!A84:D218, 4, FALSE)</f>
        <v>0</v>
      </c>
      <c r="L87" s="112"/>
      <c r="O87" s="129"/>
    </row>
    <row r="88" spans="1:15">
      <c r="A88" s="32">
        <v>10259</v>
      </c>
      <c r="B88" s="31" t="s">
        <v>90</v>
      </c>
      <c r="C88" s="35">
        <v>0</v>
      </c>
      <c r="E88" s="32">
        <v>10259</v>
      </c>
      <c r="F88" s="31" t="s">
        <v>90</v>
      </c>
      <c r="G88" s="35">
        <v>0</v>
      </c>
      <c r="J88" s="112">
        <f>VLOOKUP(A88, TOCA_previous!$A$3:$D$137, 4, FALSE)</f>
        <v>0</v>
      </c>
      <c r="K88" s="112">
        <f>VLOOKUP(E88, TOCA_current!A85:D219, 4, FALSE)</f>
        <v>0</v>
      </c>
      <c r="L88" s="112"/>
      <c r="O88" s="129"/>
    </row>
    <row r="89" spans="1:15">
      <c r="A89" s="32">
        <v>10260</v>
      </c>
      <c r="B89" s="31" t="s">
        <v>91</v>
      </c>
      <c r="C89" s="35">
        <v>0</v>
      </c>
      <c r="E89" s="32">
        <v>10260</v>
      </c>
      <c r="F89" s="31" t="s">
        <v>91</v>
      </c>
      <c r="G89" s="35">
        <v>0</v>
      </c>
      <c r="J89" s="112">
        <f>VLOOKUP(A89, TOCA_previous!$A$3:$D$137, 4, FALSE)</f>
        <v>0</v>
      </c>
      <c r="K89" s="112">
        <f>VLOOKUP(E89, TOCA_current!A86:D220, 4, FALSE)</f>
        <v>0</v>
      </c>
      <c r="L89" s="112"/>
      <c r="O89" s="129"/>
    </row>
    <row r="90" spans="1:15">
      <c r="A90" s="32">
        <v>10273</v>
      </c>
      <c r="B90" s="31" t="s">
        <v>92</v>
      </c>
      <c r="C90" s="35">
        <v>9522.0249999999996</v>
      </c>
      <c r="E90" s="32">
        <v>10273</v>
      </c>
      <c r="F90" s="31" t="s">
        <v>92</v>
      </c>
      <c r="G90" s="35">
        <v>9522.0249999999996</v>
      </c>
      <c r="J90" s="112">
        <f>VLOOKUP(A90, TOCA_previous!$A$3:$D$137, 4, FALSE)</f>
        <v>0</v>
      </c>
      <c r="K90" s="112">
        <f>VLOOKUP(E90, TOCA_current!A87:D221, 4, FALSE)</f>
        <v>0</v>
      </c>
      <c r="L90" s="112"/>
      <c r="O90" s="129"/>
    </row>
    <row r="91" spans="1:15">
      <c r="A91" s="32">
        <v>10278</v>
      </c>
      <c r="B91" s="31" t="s">
        <v>93</v>
      </c>
      <c r="C91" s="35">
        <v>0</v>
      </c>
      <c r="E91" s="32">
        <v>10278</v>
      </c>
      <c r="F91" s="31" t="s">
        <v>93</v>
      </c>
      <c r="G91" s="35">
        <v>0</v>
      </c>
      <c r="J91" s="112">
        <f>VLOOKUP(A91, TOCA_previous!$A$3:$D$137, 4, FALSE)</f>
        <v>1</v>
      </c>
      <c r="K91" s="112">
        <f>VLOOKUP(E91, TOCA_current!A88:D222, 4, FALSE)</f>
        <v>1</v>
      </c>
      <c r="L91" s="112"/>
      <c r="O91" s="129"/>
    </row>
    <row r="92" spans="1:15">
      <c r="A92" s="32">
        <v>10279</v>
      </c>
      <c r="B92" s="31" t="s">
        <v>94</v>
      </c>
      <c r="C92" s="35">
        <v>0</v>
      </c>
      <c r="E92" s="32">
        <v>10279</v>
      </c>
      <c r="F92" s="31" t="s">
        <v>94</v>
      </c>
      <c r="G92" s="35">
        <v>0</v>
      </c>
      <c r="J92" s="112">
        <f>VLOOKUP(A92, TOCA_previous!$A$3:$D$137, 4, FALSE)</f>
        <v>0</v>
      </c>
      <c r="K92" s="112">
        <f>VLOOKUP(E92, TOCA_current!A89:D223, 4, FALSE)</f>
        <v>0</v>
      </c>
      <c r="L92" s="112"/>
      <c r="O92" s="129"/>
    </row>
    <row r="93" spans="1:15">
      <c r="A93" s="32">
        <v>10284</v>
      </c>
      <c r="B93" s="31" t="s">
        <v>95</v>
      </c>
      <c r="C93" s="35">
        <v>0</v>
      </c>
      <c r="E93" s="32">
        <v>10284</v>
      </c>
      <c r="F93" s="31" t="s">
        <v>95</v>
      </c>
      <c r="G93" s="35">
        <v>0</v>
      </c>
      <c r="J93" s="112">
        <f>VLOOKUP(A93, TOCA_previous!$A$3:$D$137, 4, FALSE)</f>
        <v>0</v>
      </c>
      <c r="K93" s="112">
        <f>VLOOKUP(E93, TOCA_current!A90:D224, 4, FALSE)</f>
        <v>0</v>
      </c>
      <c r="L93" s="112"/>
      <c r="O93" s="129"/>
    </row>
    <row r="94" spans="1:15">
      <c r="A94" s="32">
        <v>10285</v>
      </c>
      <c r="B94" s="31" t="s">
        <v>96</v>
      </c>
      <c r="C94" s="35">
        <v>0</v>
      </c>
      <c r="E94" s="32">
        <v>10285</v>
      </c>
      <c r="F94" s="31" t="s">
        <v>96</v>
      </c>
      <c r="G94" s="35">
        <v>0</v>
      </c>
      <c r="J94" s="112">
        <f>VLOOKUP(A94, TOCA_previous!$A$3:$D$137, 4, FALSE)</f>
        <v>1</v>
      </c>
      <c r="K94" s="112">
        <f>VLOOKUP(E94, TOCA_current!A91:D225, 4, FALSE)</f>
        <v>1</v>
      </c>
      <c r="L94" s="112"/>
      <c r="O94" s="129"/>
    </row>
    <row r="95" spans="1:15">
      <c r="A95" s="32">
        <v>10286</v>
      </c>
      <c r="B95" s="31" t="s">
        <v>97</v>
      </c>
      <c r="C95" s="35">
        <v>55408.151000000005</v>
      </c>
      <c r="E95" s="32">
        <v>10286</v>
      </c>
      <c r="F95" s="31" t="s">
        <v>97</v>
      </c>
      <c r="G95" s="35">
        <v>55408.151000000005</v>
      </c>
      <c r="J95" s="112">
        <f>VLOOKUP(A95, TOCA_previous!$A$3:$D$137, 4, FALSE)</f>
        <v>0</v>
      </c>
      <c r="K95" s="112">
        <f>VLOOKUP(E95, TOCA_current!A92:D226, 4, FALSE)</f>
        <v>0</v>
      </c>
      <c r="L95" s="112"/>
      <c r="O95" s="129"/>
    </row>
    <row r="96" spans="1:15">
      <c r="A96" s="32">
        <v>10288</v>
      </c>
      <c r="B96" s="31" t="s">
        <v>98</v>
      </c>
      <c r="C96" s="35">
        <v>0</v>
      </c>
      <c r="E96" s="32">
        <v>10288</v>
      </c>
      <c r="F96" s="31" t="s">
        <v>98</v>
      </c>
      <c r="G96" s="35">
        <v>0</v>
      </c>
      <c r="J96" s="112">
        <f>VLOOKUP(A96, TOCA_previous!$A$3:$D$137, 4, FALSE)</f>
        <v>1</v>
      </c>
      <c r="K96" s="112">
        <f>VLOOKUP(E96, TOCA_current!A93:D227, 4, FALSE)</f>
        <v>1</v>
      </c>
      <c r="L96" s="112"/>
      <c r="O96" s="129"/>
    </row>
    <row r="97" spans="1:15">
      <c r="A97" s="32">
        <v>10291</v>
      </c>
      <c r="B97" s="31" t="s">
        <v>99</v>
      </c>
      <c r="C97" s="35">
        <v>36260.600999999995</v>
      </c>
      <c r="E97" s="32">
        <v>10291</v>
      </c>
      <c r="F97" s="31" t="s">
        <v>99</v>
      </c>
      <c r="G97" s="35">
        <v>36260.600999999995</v>
      </c>
      <c r="J97" s="112">
        <f>VLOOKUP(A97, TOCA_previous!$A$3:$D$137, 4, FALSE)</f>
        <v>0</v>
      </c>
      <c r="K97" s="112">
        <f>VLOOKUP(E97, TOCA_current!A94:D228, 4, FALSE)</f>
        <v>0</v>
      </c>
      <c r="L97" s="112"/>
      <c r="O97" s="129"/>
    </row>
    <row r="98" spans="1:15">
      <c r="A98" s="32">
        <v>10294</v>
      </c>
      <c r="B98" s="31" t="s">
        <v>100</v>
      </c>
      <c r="C98" s="35">
        <v>0</v>
      </c>
      <c r="E98" s="32">
        <v>10294</v>
      </c>
      <c r="F98" s="31" t="s">
        <v>100</v>
      </c>
      <c r="G98" s="35">
        <v>0</v>
      </c>
      <c r="J98" s="112">
        <f>VLOOKUP(A98, TOCA_previous!$A$3:$D$137, 4, FALSE)</f>
        <v>0</v>
      </c>
      <c r="K98" s="112">
        <f>VLOOKUP(E98, TOCA_current!A95:D229, 4, FALSE)</f>
        <v>0</v>
      </c>
      <c r="L98" s="112"/>
      <c r="O98" s="129"/>
    </row>
    <row r="99" spans="1:15">
      <c r="A99" s="32">
        <v>10304</v>
      </c>
      <c r="B99" s="31" t="s">
        <v>101</v>
      </c>
      <c r="C99" s="35">
        <v>0</v>
      </c>
      <c r="E99" s="32">
        <v>10304</v>
      </c>
      <c r="F99" s="31" t="s">
        <v>101</v>
      </c>
      <c r="G99" s="35">
        <v>0</v>
      </c>
      <c r="J99" s="112">
        <f>VLOOKUP(A99, TOCA_previous!$A$3:$D$137, 4, FALSE)</f>
        <v>0</v>
      </c>
      <c r="K99" s="112">
        <f>VLOOKUP(E99, TOCA_current!A96:D230, 4, FALSE)</f>
        <v>0</v>
      </c>
      <c r="L99" s="112"/>
      <c r="O99" s="129"/>
    </row>
    <row r="100" spans="1:15">
      <c r="A100" s="32">
        <v>10306</v>
      </c>
      <c r="B100" s="31" t="s">
        <v>102</v>
      </c>
      <c r="C100" s="35">
        <v>0</v>
      </c>
      <c r="E100" s="32">
        <v>10306</v>
      </c>
      <c r="F100" s="31" t="s">
        <v>102</v>
      </c>
      <c r="G100" s="35">
        <v>0</v>
      </c>
      <c r="J100" s="112">
        <f>VLOOKUP(A100, TOCA_previous!$A$3:$D$137, 4, FALSE)</f>
        <v>0</v>
      </c>
      <c r="K100" s="112">
        <f>VLOOKUP(E100, TOCA_current!A97:D231, 4, FALSE)</f>
        <v>0</v>
      </c>
      <c r="L100" s="112"/>
      <c r="O100" s="129"/>
    </row>
    <row r="101" spans="1:15">
      <c r="A101" s="32">
        <v>10307</v>
      </c>
      <c r="B101" s="31" t="s">
        <v>103</v>
      </c>
      <c r="C101" s="35">
        <v>0</v>
      </c>
      <c r="E101" s="32">
        <v>10307</v>
      </c>
      <c r="F101" s="31" t="s">
        <v>103</v>
      </c>
      <c r="G101" s="35">
        <v>0</v>
      </c>
      <c r="J101" s="112">
        <f>VLOOKUP(A101, TOCA_previous!$A$3:$D$137, 4, FALSE)</f>
        <v>0</v>
      </c>
      <c r="K101" s="112">
        <f>VLOOKUP(E101, TOCA_current!A98:D232, 4, FALSE)</f>
        <v>0</v>
      </c>
      <c r="L101" s="112"/>
      <c r="O101" s="129"/>
    </row>
    <row r="102" spans="1:15">
      <c r="A102" s="32">
        <v>10326</v>
      </c>
      <c r="B102" s="31" t="s">
        <v>104</v>
      </c>
      <c r="C102" s="35">
        <v>0</v>
      </c>
      <c r="E102" s="32">
        <v>10326</v>
      </c>
      <c r="F102" s="31" t="s">
        <v>104</v>
      </c>
      <c r="G102" s="35">
        <v>0</v>
      </c>
      <c r="J102" s="112">
        <f>VLOOKUP(A102, TOCA_previous!$A$3:$D$137, 4, FALSE)</f>
        <v>0</v>
      </c>
      <c r="K102" s="112">
        <f>VLOOKUP(E102, TOCA_current!A99:D233, 4, FALSE)</f>
        <v>0</v>
      </c>
      <c r="L102" s="112"/>
      <c r="O102" s="129"/>
    </row>
    <row r="103" spans="1:15">
      <c r="A103" s="32">
        <v>10331</v>
      </c>
      <c r="B103" s="31" t="s">
        <v>105</v>
      </c>
      <c r="C103" s="35">
        <v>133086.85800000001</v>
      </c>
      <c r="E103" s="32">
        <v>10331</v>
      </c>
      <c r="F103" s="31" t="s">
        <v>105</v>
      </c>
      <c r="G103" s="35">
        <v>133086.85800000001</v>
      </c>
      <c r="J103" s="112">
        <f>VLOOKUP(A103, TOCA_previous!$A$3:$D$137, 4, FALSE)</f>
        <v>1</v>
      </c>
      <c r="K103" s="112">
        <f>VLOOKUP(E103, TOCA_current!A100:D234, 4, FALSE)</f>
        <v>1</v>
      </c>
      <c r="L103" s="112"/>
      <c r="O103" s="129"/>
    </row>
    <row r="104" spans="1:15">
      <c r="A104" s="32">
        <v>10333</v>
      </c>
      <c r="B104" s="31" t="s">
        <v>106</v>
      </c>
      <c r="C104" s="35">
        <v>0</v>
      </c>
      <c r="E104" s="32">
        <v>10333</v>
      </c>
      <c r="F104" s="31" t="s">
        <v>106</v>
      </c>
      <c r="G104" s="35">
        <v>0</v>
      </c>
      <c r="J104" s="112">
        <f>VLOOKUP(A104, TOCA_previous!$A$3:$D$137, 4, FALSE)</f>
        <v>0</v>
      </c>
      <c r="K104" s="112">
        <f>VLOOKUP(E104, TOCA_current!A101:D235, 4, FALSE)</f>
        <v>0</v>
      </c>
      <c r="L104" s="112"/>
      <c r="O104" s="129"/>
    </row>
    <row r="105" spans="1:15">
      <c r="A105" s="32">
        <v>10338</v>
      </c>
      <c r="B105" s="31" t="s">
        <v>107</v>
      </c>
      <c r="C105" s="35">
        <v>4155.21</v>
      </c>
      <c r="E105" s="32">
        <v>10338</v>
      </c>
      <c r="F105" s="31" t="s">
        <v>107</v>
      </c>
      <c r="G105" s="35">
        <v>4155.21</v>
      </c>
      <c r="J105" s="112">
        <f>VLOOKUP(A105, TOCA_previous!$A$3:$D$137, 4, FALSE)</f>
        <v>0</v>
      </c>
      <c r="K105" s="112">
        <f>VLOOKUP(E105, TOCA_current!A102:D236, 4, FALSE)</f>
        <v>0</v>
      </c>
      <c r="L105" s="112"/>
      <c r="O105" s="129"/>
    </row>
    <row r="106" spans="1:15">
      <c r="A106" s="32">
        <v>10342</v>
      </c>
      <c r="B106" s="31" t="s">
        <v>108</v>
      </c>
      <c r="C106" s="35">
        <v>0</v>
      </c>
      <c r="E106" s="32">
        <v>10342</v>
      </c>
      <c r="F106" s="31" t="s">
        <v>108</v>
      </c>
      <c r="G106" s="35">
        <v>0</v>
      </c>
      <c r="J106" s="112">
        <f>VLOOKUP(A106, TOCA_previous!$A$3:$D$137, 4, FALSE)</f>
        <v>0</v>
      </c>
      <c r="K106" s="112">
        <f>VLOOKUP(E106, TOCA_current!A103:D237, 4, FALSE)</f>
        <v>0</v>
      </c>
      <c r="L106" s="112"/>
      <c r="O106" s="129"/>
    </row>
    <row r="107" spans="1:15">
      <c r="A107" s="32">
        <v>10343</v>
      </c>
      <c r="B107" s="31" t="s">
        <v>109</v>
      </c>
      <c r="C107" s="35">
        <v>10505.661</v>
      </c>
      <c r="E107" s="32">
        <v>10343</v>
      </c>
      <c r="F107" s="31" t="s">
        <v>109</v>
      </c>
      <c r="G107" s="35">
        <v>10505.661</v>
      </c>
      <c r="J107" s="112">
        <f>VLOOKUP(A107, TOCA_previous!$A$3:$D$137, 4, FALSE)</f>
        <v>0</v>
      </c>
      <c r="K107" s="112">
        <f>VLOOKUP(E107, TOCA_current!A104:D238, 4, FALSE)</f>
        <v>0</v>
      </c>
      <c r="L107" s="112"/>
      <c r="O107" s="129"/>
    </row>
    <row r="108" spans="1:15">
      <c r="A108" s="32">
        <v>10349</v>
      </c>
      <c r="B108" s="31" t="s">
        <v>110</v>
      </c>
      <c r="C108" s="35">
        <v>0</v>
      </c>
      <c r="E108" s="32">
        <v>10349</v>
      </c>
      <c r="F108" s="31" t="s">
        <v>110</v>
      </c>
      <c r="G108" s="35">
        <v>0</v>
      </c>
      <c r="J108" s="112">
        <f>VLOOKUP(A108, TOCA_previous!$A$3:$D$137, 4, FALSE)</f>
        <v>0</v>
      </c>
      <c r="K108" s="112">
        <f>VLOOKUP(E108, TOCA_current!A105:D239, 4, FALSE)</f>
        <v>0</v>
      </c>
      <c r="L108" s="112"/>
      <c r="O108" s="129"/>
    </row>
    <row r="109" spans="1:15">
      <c r="A109" s="32">
        <v>10352</v>
      </c>
      <c r="B109" s="31" t="s">
        <v>111</v>
      </c>
      <c r="C109" s="35">
        <v>0</v>
      </c>
      <c r="E109" s="32">
        <v>10352</v>
      </c>
      <c r="F109" s="31" t="s">
        <v>111</v>
      </c>
      <c r="G109" s="35">
        <v>0</v>
      </c>
      <c r="J109" s="112">
        <f>VLOOKUP(A109, TOCA_previous!$A$3:$D$137, 4, FALSE)</f>
        <v>0</v>
      </c>
      <c r="K109" s="112">
        <f>VLOOKUP(E109, TOCA_current!A106:D240, 4, FALSE)</f>
        <v>0</v>
      </c>
      <c r="L109" s="112"/>
      <c r="O109" s="129"/>
    </row>
    <row r="110" spans="1:15">
      <c r="A110" s="32">
        <v>10354</v>
      </c>
      <c r="B110" s="31" t="s">
        <v>112</v>
      </c>
      <c r="C110" s="35">
        <v>0</v>
      </c>
      <c r="E110" s="32">
        <v>10354</v>
      </c>
      <c r="F110" s="31" t="s">
        <v>112</v>
      </c>
      <c r="G110" s="35">
        <v>0</v>
      </c>
      <c r="J110" s="112">
        <f>VLOOKUP(A110, TOCA_previous!$A$3:$D$137, 4, FALSE)</f>
        <v>0</v>
      </c>
      <c r="K110" s="112">
        <f>VLOOKUP(E110, TOCA_current!A107:D241, 4, FALSE)</f>
        <v>0</v>
      </c>
      <c r="L110" s="112"/>
      <c r="O110" s="129"/>
    </row>
    <row r="111" spans="1:15">
      <c r="A111" s="32">
        <v>10360</v>
      </c>
      <c r="B111" s="31" t="s">
        <v>113</v>
      </c>
      <c r="C111" s="35">
        <v>20009.34</v>
      </c>
      <c r="E111" s="32">
        <v>10360</v>
      </c>
      <c r="F111" s="31" t="s">
        <v>113</v>
      </c>
      <c r="G111" s="35">
        <v>20009.34</v>
      </c>
      <c r="J111" s="112">
        <f>VLOOKUP(A111, TOCA_previous!$A$3:$D$137, 4, FALSE)</f>
        <v>0</v>
      </c>
      <c r="K111" s="112">
        <f>VLOOKUP(E111, TOCA_current!A108:D242, 4, FALSE)</f>
        <v>0</v>
      </c>
      <c r="L111" s="112"/>
      <c r="O111" s="129"/>
    </row>
    <row r="112" spans="1:15">
      <c r="A112" s="32">
        <v>10363</v>
      </c>
      <c r="B112" s="31" t="s">
        <v>114</v>
      </c>
      <c r="C112" s="35">
        <v>0</v>
      </c>
      <c r="E112" s="32">
        <v>10363</v>
      </c>
      <c r="F112" s="31" t="s">
        <v>114</v>
      </c>
      <c r="G112" s="35">
        <v>0</v>
      </c>
      <c r="J112" s="112">
        <f>VLOOKUP(A112, TOCA_previous!$A$3:$D$137, 4, FALSE)</f>
        <v>0</v>
      </c>
      <c r="K112" s="112">
        <f>VLOOKUP(E112, TOCA_current!A109:D243, 4, FALSE)</f>
        <v>0</v>
      </c>
      <c r="L112" s="112"/>
      <c r="O112" s="129"/>
    </row>
    <row r="113" spans="1:15">
      <c r="A113" s="32">
        <v>10369</v>
      </c>
      <c r="B113" s="31" t="s">
        <v>115</v>
      </c>
      <c r="C113" s="35">
        <v>46210.901000000005</v>
      </c>
      <c r="E113" s="32">
        <v>10369</v>
      </c>
      <c r="F113" s="31" t="s">
        <v>115</v>
      </c>
      <c r="G113" s="35">
        <v>46210.901000000005</v>
      </c>
      <c r="J113" s="112">
        <f>VLOOKUP(A113, TOCA_previous!$A$3:$D$137, 4, FALSE)</f>
        <v>0</v>
      </c>
      <c r="K113" s="112">
        <f>VLOOKUP(E113, TOCA_current!A110:D244, 4, FALSE)</f>
        <v>0</v>
      </c>
      <c r="L113" s="112"/>
      <c r="O113" s="129"/>
    </row>
    <row r="114" spans="1:15">
      <c r="A114" s="32">
        <v>10370</v>
      </c>
      <c r="B114" s="31" t="s">
        <v>116</v>
      </c>
      <c r="C114" s="35">
        <v>0</v>
      </c>
      <c r="E114" s="32">
        <v>10370</v>
      </c>
      <c r="F114" s="31" t="s">
        <v>116</v>
      </c>
      <c r="G114" s="35">
        <v>0</v>
      </c>
      <c r="J114" s="112">
        <f>VLOOKUP(A114, TOCA_previous!$A$3:$D$137, 4, FALSE)</f>
        <v>0</v>
      </c>
      <c r="K114" s="112">
        <f>VLOOKUP(E114, TOCA_current!A111:D245, 4, FALSE)</f>
        <v>0</v>
      </c>
      <c r="L114" s="112"/>
      <c r="O114" s="129"/>
    </row>
    <row r="115" spans="1:15">
      <c r="A115" s="32">
        <v>10371</v>
      </c>
      <c r="B115" s="31" t="s">
        <v>117</v>
      </c>
      <c r="C115" s="35">
        <v>0</v>
      </c>
      <c r="E115" s="32">
        <v>10371</v>
      </c>
      <c r="F115" s="31" t="s">
        <v>117</v>
      </c>
      <c r="G115" s="35">
        <v>0</v>
      </c>
      <c r="J115" s="112">
        <f>VLOOKUP(A115, TOCA_previous!$A$3:$D$137, 4, FALSE)</f>
        <v>0</v>
      </c>
      <c r="K115" s="112">
        <f>VLOOKUP(E115, TOCA_current!A112:D246, 4, FALSE)</f>
        <v>0</v>
      </c>
      <c r="L115" s="112"/>
      <c r="O115" s="129"/>
    </row>
    <row r="116" spans="1:15">
      <c r="A116" s="32">
        <v>10376</v>
      </c>
      <c r="B116" s="31" t="s">
        <v>118</v>
      </c>
      <c r="C116" s="35">
        <v>0</v>
      </c>
      <c r="E116" s="32">
        <v>10376</v>
      </c>
      <c r="F116" s="31" t="s">
        <v>118</v>
      </c>
      <c r="G116" s="35">
        <v>0</v>
      </c>
      <c r="J116" s="112">
        <f>VLOOKUP(A116, TOCA_previous!$A$3:$D$137, 4, FALSE)</f>
        <v>0</v>
      </c>
      <c r="K116" s="112">
        <f>VLOOKUP(E116, TOCA_current!A113:D247, 4, FALSE)</f>
        <v>0</v>
      </c>
      <c r="L116" s="112"/>
      <c r="O116" s="129"/>
    </row>
    <row r="117" spans="1:15">
      <c r="A117" s="32">
        <v>10378</v>
      </c>
      <c r="B117" s="31" t="s">
        <v>119</v>
      </c>
      <c r="C117" s="35">
        <v>0</v>
      </c>
      <c r="E117" s="32">
        <v>10378</v>
      </c>
      <c r="F117" s="31" t="s">
        <v>119</v>
      </c>
      <c r="G117" s="35">
        <v>0</v>
      </c>
      <c r="J117" s="112">
        <f>VLOOKUP(A117, TOCA_previous!$A$3:$D$137, 4, FALSE)</f>
        <v>0</v>
      </c>
      <c r="K117" s="112">
        <f>VLOOKUP(E117, TOCA_current!A114:D248, 4, FALSE)</f>
        <v>0</v>
      </c>
      <c r="L117" s="112"/>
      <c r="O117" s="129"/>
    </row>
    <row r="118" spans="1:15">
      <c r="A118" s="32">
        <v>10379</v>
      </c>
      <c r="B118" s="31" t="s">
        <v>120</v>
      </c>
      <c r="C118" s="35">
        <v>0</v>
      </c>
      <c r="E118" s="32">
        <v>10379</v>
      </c>
      <c r="F118" s="31" t="s">
        <v>120</v>
      </c>
      <c r="G118" s="35">
        <v>0</v>
      </c>
      <c r="J118" s="112">
        <f>VLOOKUP(A118, TOCA_previous!$A$3:$D$137, 4, FALSE)</f>
        <v>0</v>
      </c>
      <c r="K118" s="112">
        <f>VLOOKUP(E118, TOCA_current!A115:D249, 4, FALSE)</f>
        <v>0</v>
      </c>
      <c r="L118" s="112"/>
      <c r="O118" s="129"/>
    </row>
    <row r="119" spans="1:15">
      <c r="A119" s="32">
        <v>10388</v>
      </c>
      <c r="B119" s="31" t="s">
        <v>121</v>
      </c>
      <c r="C119" s="35">
        <v>228772.42700000003</v>
      </c>
      <c r="E119" s="32">
        <v>10388</v>
      </c>
      <c r="F119" s="31" t="s">
        <v>121</v>
      </c>
      <c r="G119" s="35">
        <v>228772.42700000003</v>
      </c>
      <c r="J119" s="112">
        <f>VLOOKUP(A119, TOCA_previous!$A$3:$D$137, 4, FALSE)</f>
        <v>1</v>
      </c>
      <c r="K119" s="112">
        <f>VLOOKUP(E119, TOCA_current!A116:D250, 4, FALSE)</f>
        <v>1</v>
      </c>
      <c r="L119" s="112"/>
      <c r="O119" s="129"/>
    </row>
    <row r="120" spans="1:15">
      <c r="A120" s="32">
        <v>10391</v>
      </c>
      <c r="B120" s="31" t="s">
        <v>122</v>
      </c>
      <c r="C120" s="35">
        <v>44270.152999999998</v>
      </c>
      <c r="E120" s="32">
        <v>10391</v>
      </c>
      <c r="F120" s="31" t="s">
        <v>122</v>
      </c>
      <c r="G120" s="35">
        <v>44270.152999999998</v>
      </c>
      <c r="J120" s="112">
        <f>VLOOKUP(A120, TOCA_previous!$A$3:$D$137, 4, FALSE)</f>
        <v>0</v>
      </c>
      <c r="K120" s="112">
        <f>VLOOKUP(E120, TOCA_current!A117:D251, 4, FALSE)</f>
        <v>0</v>
      </c>
      <c r="L120" s="112"/>
      <c r="O120" s="129"/>
    </row>
    <row r="121" spans="1:15">
      <c r="A121" s="32">
        <v>10406</v>
      </c>
      <c r="B121" s="31" t="s">
        <v>123</v>
      </c>
      <c r="C121" s="35">
        <v>0</v>
      </c>
      <c r="E121" s="32">
        <v>10406</v>
      </c>
      <c r="F121" s="31" t="s">
        <v>123</v>
      </c>
      <c r="G121" s="35">
        <v>0</v>
      </c>
      <c r="J121" s="112">
        <f>VLOOKUP(A121, TOCA_previous!$A$3:$D$137, 4, FALSE)</f>
        <v>0</v>
      </c>
      <c r="K121" s="112">
        <f>VLOOKUP(E121, TOCA_current!A118:D252, 4, FALSE)</f>
        <v>0</v>
      </c>
      <c r="L121" s="112"/>
      <c r="O121" s="129"/>
    </row>
    <row r="122" spans="1:15">
      <c r="A122" s="32">
        <v>10408</v>
      </c>
      <c r="B122" s="31" t="s">
        <v>124</v>
      </c>
      <c r="C122" s="35">
        <v>0</v>
      </c>
      <c r="E122" s="32">
        <v>10408</v>
      </c>
      <c r="F122" s="31" t="s">
        <v>124</v>
      </c>
      <c r="G122" s="35">
        <v>0</v>
      </c>
      <c r="J122" s="112">
        <f>VLOOKUP(A122, TOCA_previous!$A$3:$D$137, 4, FALSE)</f>
        <v>0</v>
      </c>
      <c r="K122" s="112">
        <f>VLOOKUP(E122, TOCA_current!A119:D253, 4, FALSE)</f>
        <v>0</v>
      </c>
      <c r="L122" s="112"/>
      <c r="O122" s="129"/>
    </row>
    <row r="123" spans="1:15">
      <c r="A123" s="32">
        <v>10409</v>
      </c>
      <c r="B123" s="31" t="s">
        <v>125</v>
      </c>
      <c r="C123" s="35">
        <v>0</v>
      </c>
      <c r="E123" s="32">
        <v>10409</v>
      </c>
      <c r="F123" s="31" t="s">
        <v>125</v>
      </c>
      <c r="G123" s="35">
        <v>0</v>
      </c>
      <c r="J123" s="112">
        <f>VLOOKUP(A123, TOCA_previous!$A$3:$D$137, 4, FALSE)</f>
        <v>0</v>
      </c>
      <c r="K123" s="112">
        <f>VLOOKUP(E123, TOCA_current!A120:D254, 4, FALSE)</f>
        <v>0</v>
      </c>
      <c r="L123" s="112"/>
      <c r="O123" s="129"/>
    </row>
    <row r="124" spans="1:15">
      <c r="A124" s="32">
        <v>10426</v>
      </c>
      <c r="B124" s="31" t="s">
        <v>126</v>
      </c>
      <c r="C124" s="35">
        <v>0</v>
      </c>
      <c r="E124" s="32">
        <v>10426</v>
      </c>
      <c r="F124" s="31" t="s">
        <v>126</v>
      </c>
      <c r="G124" s="35">
        <v>0</v>
      </c>
      <c r="J124" s="112">
        <f>VLOOKUP(A124, TOCA_previous!$A$3:$D$137, 4, FALSE)</f>
        <v>0</v>
      </c>
      <c r="K124" s="112">
        <f>VLOOKUP(E124, TOCA_current!A121:D255, 4, FALSE)</f>
        <v>0</v>
      </c>
      <c r="L124" s="112"/>
      <c r="O124" s="129"/>
    </row>
    <row r="125" spans="1:15">
      <c r="A125" s="32">
        <v>10434</v>
      </c>
      <c r="B125" s="31" t="s">
        <v>127</v>
      </c>
      <c r="C125" s="35">
        <v>0</v>
      </c>
      <c r="E125" s="32">
        <v>10434</v>
      </c>
      <c r="F125" s="31" t="s">
        <v>127</v>
      </c>
      <c r="G125" s="35">
        <v>0</v>
      </c>
      <c r="J125" s="112">
        <f>VLOOKUP(A125, TOCA_previous!$A$3:$D$137, 4, FALSE)</f>
        <v>0</v>
      </c>
      <c r="K125" s="112">
        <f>VLOOKUP(E125, TOCA_current!A122:D256, 4, FALSE)</f>
        <v>0</v>
      </c>
      <c r="L125" s="112"/>
      <c r="O125" s="129"/>
    </row>
    <row r="126" spans="1:15">
      <c r="A126" s="32">
        <v>10436</v>
      </c>
      <c r="B126" s="31" t="s">
        <v>128</v>
      </c>
      <c r="C126" s="35">
        <v>38863.257999999994</v>
      </c>
      <c r="E126" s="32">
        <v>10436</v>
      </c>
      <c r="F126" s="31" t="s">
        <v>128</v>
      </c>
      <c r="G126" s="35">
        <v>38863.257999999994</v>
      </c>
      <c r="J126" s="112">
        <f>VLOOKUP(A126, TOCA_previous!$A$3:$D$137, 4, FALSE)</f>
        <v>0</v>
      </c>
      <c r="K126" s="112">
        <f>VLOOKUP(E126, TOCA_current!A123:D257, 4, FALSE)</f>
        <v>0</v>
      </c>
      <c r="L126" s="112"/>
      <c r="O126" s="129"/>
    </row>
    <row r="127" spans="1:15">
      <c r="A127" s="32">
        <v>10440</v>
      </c>
      <c r="B127" s="31" t="s">
        <v>129</v>
      </c>
      <c r="C127" s="35">
        <v>0</v>
      </c>
      <c r="E127" s="32">
        <v>10440</v>
      </c>
      <c r="F127" s="31" t="s">
        <v>129</v>
      </c>
      <c r="G127" s="35">
        <v>0</v>
      </c>
      <c r="J127" s="112">
        <f>VLOOKUP(A127, TOCA_previous!$A$3:$D$137, 4, FALSE)</f>
        <v>0</v>
      </c>
      <c r="K127" s="112">
        <f>VLOOKUP(E127, TOCA_current!A124:D258, 4, FALSE)</f>
        <v>0</v>
      </c>
      <c r="L127" s="112"/>
      <c r="O127" s="129"/>
    </row>
    <row r="128" spans="1:15">
      <c r="A128" s="32">
        <v>10442</v>
      </c>
      <c r="B128" s="31" t="s">
        <v>130</v>
      </c>
      <c r="C128" s="35">
        <v>9733.33</v>
      </c>
      <c r="E128" s="32">
        <v>10442</v>
      </c>
      <c r="F128" s="31" t="s">
        <v>130</v>
      </c>
      <c r="G128" s="35">
        <v>9733.33</v>
      </c>
      <c r="J128" s="112">
        <f>VLOOKUP(A128, TOCA_previous!$A$3:$D$137, 4, FALSE)</f>
        <v>0</v>
      </c>
      <c r="K128" s="112">
        <f>VLOOKUP(E128, TOCA_current!A125:D259, 4, FALSE)</f>
        <v>0</v>
      </c>
      <c r="L128" s="112"/>
      <c r="O128" s="129"/>
    </row>
    <row r="129" spans="1:15">
      <c r="A129" s="32">
        <v>10446</v>
      </c>
      <c r="B129" s="31" t="s">
        <v>131</v>
      </c>
      <c r="C129" s="35">
        <v>7171.34</v>
      </c>
      <c r="E129" s="32">
        <v>10446</v>
      </c>
      <c r="F129" s="31" t="s">
        <v>131</v>
      </c>
      <c r="G129" s="35">
        <v>7171.34</v>
      </c>
      <c r="J129" s="112">
        <f>VLOOKUP(A129, TOCA_previous!$A$3:$D$137, 4, FALSE)</f>
        <v>0</v>
      </c>
      <c r="K129" s="112">
        <f>VLOOKUP(E129, TOCA_current!A126:D260, 4, FALSE)</f>
        <v>0</v>
      </c>
      <c r="L129" s="112"/>
      <c r="O129" s="129"/>
    </row>
    <row r="130" spans="1:15">
      <c r="A130" s="32">
        <v>10448</v>
      </c>
      <c r="B130" s="31" t="s">
        <v>132</v>
      </c>
      <c r="C130" s="35">
        <v>0</v>
      </c>
      <c r="E130" s="32">
        <v>10448</v>
      </c>
      <c r="F130" s="31" t="s">
        <v>132</v>
      </c>
      <c r="G130" s="35">
        <v>0</v>
      </c>
      <c r="J130" s="112">
        <f>VLOOKUP(A130, TOCA_previous!$A$3:$D$137, 4, FALSE)</f>
        <v>1</v>
      </c>
      <c r="K130" s="112">
        <f>VLOOKUP(E130, TOCA_current!A127:D261, 4, FALSE)</f>
        <v>1</v>
      </c>
      <c r="L130" s="112"/>
      <c r="O130" s="129"/>
    </row>
    <row r="131" spans="1:15">
      <c r="A131" s="32">
        <v>10451</v>
      </c>
      <c r="B131" s="31" t="s">
        <v>133</v>
      </c>
      <c r="C131" s="35">
        <v>0</v>
      </c>
      <c r="E131" s="32">
        <v>10451</v>
      </c>
      <c r="F131" s="31" t="s">
        <v>133</v>
      </c>
      <c r="G131" s="35">
        <v>0</v>
      </c>
      <c r="J131" s="112">
        <f>VLOOKUP(A131, TOCA_previous!$A$3:$D$137, 4, FALSE)</f>
        <v>0</v>
      </c>
      <c r="K131" s="112">
        <f>VLOOKUP(E131, TOCA_current!A128:D262, 4, FALSE)</f>
        <v>0</v>
      </c>
      <c r="L131" s="112"/>
      <c r="O131" s="129"/>
    </row>
    <row r="132" spans="1:15">
      <c r="A132" s="32">
        <v>10482</v>
      </c>
      <c r="B132" s="31" t="s">
        <v>134</v>
      </c>
      <c r="C132" s="35">
        <v>0</v>
      </c>
      <c r="E132" s="32">
        <v>10482</v>
      </c>
      <c r="F132" s="31" t="s">
        <v>134</v>
      </c>
      <c r="G132" s="35">
        <v>0</v>
      </c>
      <c r="J132" s="112">
        <f>VLOOKUP(A132, TOCA_previous!$A$3:$D$137, 4, FALSE)</f>
        <v>0</v>
      </c>
      <c r="K132" s="112">
        <f>VLOOKUP(E132, TOCA_current!A129:D263, 4, FALSE)</f>
        <v>0</v>
      </c>
      <c r="L132" s="112"/>
      <c r="O132" s="129"/>
    </row>
    <row r="133" spans="1:15">
      <c r="A133" s="32">
        <v>10502</v>
      </c>
      <c r="B133" s="31" t="s">
        <v>135</v>
      </c>
      <c r="C133" s="105">
        <v>7189.6970000000001</v>
      </c>
      <c r="E133" s="32">
        <v>10502</v>
      </c>
      <c r="F133" s="31" t="s">
        <v>135</v>
      </c>
      <c r="G133" s="105">
        <v>7189.6969999999992</v>
      </c>
      <c r="J133" s="112">
        <f>VLOOKUP(A133, TOCA_previous!$A$3:$D$137, 4, FALSE)</f>
        <v>0</v>
      </c>
      <c r="K133" s="112">
        <f>VLOOKUP(E133, TOCA_current!A130:D264, 4, FALSE)</f>
        <v>0</v>
      </c>
      <c r="L133" s="112"/>
      <c r="O133" s="129"/>
    </row>
    <row r="134" spans="1:15" s="112" customFormat="1">
      <c r="A134" s="32">
        <v>13927</v>
      </c>
      <c r="B134" s="31" t="s">
        <v>269</v>
      </c>
      <c r="C134" s="35">
        <v>0</v>
      </c>
      <c r="E134" s="32">
        <v>13927</v>
      </c>
      <c r="F134" s="31" t="s">
        <v>269</v>
      </c>
      <c r="G134" s="105">
        <v>0</v>
      </c>
      <c r="J134" s="112">
        <v>0</v>
      </c>
      <c r="K134" s="112">
        <v>0</v>
      </c>
      <c r="O134" s="129"/>
    </row>
    <row r="135" spans="1:15">
      <c r="A135" s="32">
        <v>10597</v>
      </c>
      <c r="B135" s="31" t="s">
        <v>136</v>
      </c>
      <c r="C135" s="35">
        <v>0</v>
      </c>
      <c r="E135" s="32">
        <v>10597</v>
      </c>
      <c r="F135" s="31" t="s">
        <v>136</v>
      </c>
      <c r="G135" s="35">
        <v>0</v>
      </c>
      <c r="J135" s="112">
        <f>VLOOKUP(A135, TOCA_previous!$A$3:$D$137, 4, FALSE)</f>
        <v>0</v>
      </c>
      <c r="K135" s="112">
        <f>VLOOKUP(E135, TOCA_current!A131:D265, 4, FALSE)</f>
        <v>0</v>
      </c>
      <c r="L135" s="112"/>
      <c r="O135" s="129"/>
    </row>
    <row r="136" spans="1:15">
      <c r="A136" s="32">
        <v>10706</v>
      </c>
      <c r="B136" s="31" t="s">
        <v>137</v>
      </c>
      <c r="C136" s="35">
        <v>0</v>
      </c>
      <c r="E136" s="32">
        <v>10706</v>
      </c>
      <c r="F136" s="31" t="s">
        <v>137</v>
      </c>
      <c r="G136" s="35">
        <v>0</v>
      </c>
      <c r="J136" s="112">
        <f>VLOOKUP(A136, TOCA_previous!$A$3:$D$137, 4, FALSE)</f>
        <v>0</v>
      </c>
      <c r="K136" s="112">
        <f>VLOOKUP(E136, TOCA_current!A132:D266, 4, FALSE)</f>
        <v>0</v>
      </c>
      <c r="L136" s="112"/>
      <c r="O136" s="129"/>
    </row>
    <row r="137" spans="1:15">
      <c r="A137" s="32">
        <v>11680</v>
      </c>
      <c r="B137" s="31" t="s">
        <v>138</v>
      </c>
      <c r="C137" s="35">
        <v>0</v>
      </c>
      <c r="E137" s="32">
        <v>11680</v>
      </c>
      <c r="F137" s="31" t="s">
        <v>138</v>
      </c>
      <c r="G137" s="35">
        <v>0</v>
      </c>
      <c r="J137" s="112">
        <f>VLOOKUP(A137, TOCA_previous!$A$3:$D$137, 4, FALSE)</f>
        <v>0</v>
      </c>
      <c r="K137" s="112">
        <f>VLOOKUP(E137, TOCA_current!A133:D267, 4, FALSE)</f>
        <v>0</v>
      </c>
      <c r="L137" s="112"/>
      <c r="O137" s="129"/>
    </row>
    <row r="138" spans="1:15">
      <c r="A138" s="32">
        <v>12026</v>
      </c>
      <c r="B138" s="31" t="s">
        <v>139</v>
      </c>
      <c r="C138" s="35">
        <v>0</v>
      </c>
      <c r="E138" s="32">
        <v>12026</v>
      </c>
      <c r="F138" s="31" t="s">
        <v>139</v>
      </c>
      <c r="G138" s="35">
        <v>0</v>
      </c>
      <c r="J138" s="112">
        <f>VLOOKUP(A138, TOCA_previous!$A$3:$D$137, 4, FALSE)</f>
        <v>0</v>
      </c>
      <c r="K138" s="112">
        <f>VLOOKUP(E138, TOCA_current!A134:D268, 4, FALSE)</f>
        <v>0</v>
      </c>
      <c r="L138" s="112"/>
      <c r="O138" s="129"/>
    </row>
    <row r="139" spans="1:15">
      <c r="A139" s="43">
        <f>+E139</f>
        <v>10298</v>
      </c>
      <c r="B139" s="31" t="s">
        <v>140</v>
      </c>
      <c r="C139" s="35">
        <f>SUMPRODUCT(C5:C138, J5:J138)</f>
        <v>447254.73800000001</v>
      </c>
      <c r="E139" s="32">
        <v>10298</v>
      </c>
      <c r="F139" s="31" t="s">
        <v>140</v>
      </c>
      <c r="G139" s="35">
        <f>SUMPRODUCT(G5:G138, K5:K138)</f>
        <v>447254.73800000001</v>
      </c>
      <c r="J139" s="112">
        <f>VLOOKUP(A139, TOCA_previous!$A$3:$D$137, 4, FALSE)</f>
        <v>0</v>
      </c>
      <c r="K139" s="112">
        <f>VLOOKUP(E139, TOCA_current!A135:D269, 4, FALSE)</f>
        <v>0</v>
      </c>
      <c r="L139" s="112"/>
      <c r="O139" s="129"/>
    </row>
    <row r="140" spans="1:15">
      <c r="A140" s="43" t="s">
        <v>141</v>
      </c>
      <c r="B140" s="31" t="s">
        <v>141</v>
      </c>
      <c r="C140" s="34" t="s">
        <v>141</v>
      </c>
      <c r="E140" s="32" t="s">
        <v>141</v>
      </c>
      <c r="F140" s="31" t="s">
        <v>141</v>
      </c>
      <c r="G140" s="34" t="s">
        <v>141</v>
      </c>
    </row>
    <row r="141" spans="1:15">
      <c r="A141" s="32" t="s">
        <v>141</v>
      </c>
      <c r="B141" s="31" t="s">
        <v>141</v>
      </c>
      <c r="E141" s="32" t="s">
        <v>141</v>
      </c>
      <c r="F141" s="31" t="s">
        <v>141</v>
      </c>
    </row>
    <row r="142" spans="1:15">
      <c r="A142" s="32" t="s">
        <v>141</v>
      </c>
      <c r="B142" s="31" t="s">
        <v>141</v>
      </c>
      <c r="C142" s="34" t="s">
        <v>141</v>
      </c>
      <c r="E142" s="32" t="s">
        <v>141</v>
      </c>
      <c r="F142" s="31" t="s">
        <v>141</v>
      </c>
      <c r="G142" s="34" t="s">
        <v>141</v>
      </c>
    </row>
    <row r="143" spans="1:15">
      <c r="A143" s="32" t="s">
        <v>141</v>
      </c>
      <c r="B143" s="31" t="s">
        <v>141</v>
      </c>
      <c r="C143" s="34" t="s">
        <v>141</v>
      </c>
      <c r="E143" s="32" t="s">
        <v>141</v>
      </c>
      <c r="F143" s="31" t="s">
        <v>141</v>
      </c>
      <c r="G143" s="34" t="s">
        <v>141</v>
      </c>
    </row>
    <row r="144" spans="1:15">
      <c r="A144" s="32" t="s">
        <v>141</v>
      </c>
      <c r="B144" s="31" t="s">
        <v>141</v>
      </c>
      <c r="C144" s="34" t="s">
        <v>141</v>
      </c>
      <c r="E144" s="32" t="s">
        <v>141</v>
      </c>
      <c r="F144" s="31" t="s">
        <v>141</v>
      </c>
      <c r="G144" s="34" t="s">
        <v>141</v>
      </c>
    </row>
    <row r="145" spans="1:7">
      <c r="A145" s="32" t="s">
        <v>141</v>
      </c>
      <c r="B145" s="31" t="s">
        <v>141</v>
      </c>
      <c r="C145" s="34" t="s">
        <v>141</v>
      </c>
      <c r="E145" s="32" t="s">
        <v>141</v>
      </c>
      <c r="F145" s="31" t="s">
        <v>141</v>
      </c>
      <c r="G145" s="34" t="s">
        <v>141</v>
      </c>
    </row>
    <row r="146" spans="1:7">
      <c r="A146" s="32" t="s">
        <v>141</v>
      </c>
      <c r="B146" s="31" t="s">
        <v>141</v>
      </c>
      <c r="C146" s="34" t="s">
        <v>141</v>
      </c>
      <c r="E146" s="32" t="s">
        <v>141</v>
      </c>
      <c r="F146" s="31" t="s">
        <v>141</v>
      </c>
      <c r="G146" s="34" t="s">
        <v>141</v>
      </c>
    </row>
    <row r="147" spans="1:7">
      <c r="A147" s="32" t="s">
        <v>141</v>
      </c>
      <c r="B147" s="31" t="s">
        <v>141</v>
      </c>
      <c r="C147" s="34" t="s">
        <v>141</v>
      </c>
      <c r="E147" s="32" t="s">
        <v>141</v>
      </c>
      <c r="F147" s="31" t="s">
        <v>141</v>
      </c>
      <c r="G147" s="34" t="s">
        <v>141</v>
      </c>
    </row>
    <row r="148" spans="1:7">
      <c r="A148" s="32" t="s">
        <v>141</v>
      </c>
      <c r="B148" s="31" t="s">
        <v>141</v>
      </c>
      <c r="C148" s="34" t="s">
        <v>141</v>
      </c>
      <c r="E148" s="32" t="s">
        <v>141</v>
      </c>
      <c r="F148" s="31" t="s">
        <v>141</v>
      </c>
      <c r="G148" s="34" t="s">
        <v>141</v>
      </c>
    </row>
    <row r="149" spans="1:7">
      <c r="A149" s="32" t="s">
        <v>141</v>
      </c>
      <c r="B149" s="31" t="s">
        <v>141</v>
      </c>
      <c r="C149" s="34" t="s">
        <v>141</v>
      </c>
      <c r="E149" s="32" t="s">
        <v>141</v>
      </c>
      <c r="F149" s="31" t="s">
        <v>141</v>
      </c>
      <c r="G149" s="34" t="s">
        <v>141</v>
      </c>
    </row>
    <row r="150" spans="1:7">
      <c r="A150" s="32" t="s">
        <v>141</v>
      </c>
      <c r="B150" s="31" t="s">
        <v>141</v>
      </c>
      <c r="C150" s="34" t="s">
        <v>141</v>
      </c>
      <c r="E150" s="32" t="s">
        <v>141</v>
      </c>
      <c r="F150" s="31" t="s">
        <v>141</v>
      </c>
      <c r="G150" s="34" t="s">
        <v>141</v>
      </c>
    </row>
    <row r="151" spans="1:7">
      <c r="A151" s="32" t="s">
        <v>141</v>
      </c>
      <c r="B151" s="31" t="s">
        <v>141</v>
      </c>
      <c r="C151" s="34" t="s">
        <v>141</v>
      </c>
      <c r="E151" s="32" t="s">
        <v>141</v>
      </c>
      <c r="F151" s="31" t="s">
        <v>141</v>
      </c>
      <c r="G151" s="34" t="s">
        <v>141</v>
      </c>
    </row>
    <row r="152" spans="1:7">
      <c r="A152" s="32" t="s">
        <v>141</v>
      </c>
      <c r="B152" s="31" t="s">
        <v>141</v>
      </c>
      <c r="C152" s="34" t="s">
        <v>141</v>
      </c>
      <c r="E152" s="32" t="s">
        <v>141</v>
      </c>
      <c r="F152" s="31" t="s">
        <v>141</v>
      </c>
      <c r="G152" s="34" t="s">
        <v>141</v>
      </c>
    </row>
    <row r="153" spans="1:7">
      <c r="A153" s="32" t="s">
        <v>141</v>
      </c>
      <c r="B153" s="31" t="s">
        <v>141</v>
      </c>
      <c r="C153" s="34" t="s">
        <v>141</v>
      </c>
      <c r="E153" s="32" t="s">
        <v>141</v>
      </c>
      <c r="F153" s="31" t="s">
        <v>141</v>
      </c>
      <c r="G153" s="34" t="s">
        <v>141</v>
      </c>
    </row>
    <row r="154" spans="1:7">
      <c r="A154" s="32" t="s">
        <v>141</v>
      </c>
      <c r="B154" s="31" t="s">
        <v>141</v>
      </c>
      <c r="C154" s="34" t="s">
        <v>141</v>
      </c>
      <c r="E154" s="32" t="s">
        <v>141</v>
      </c>
      <c r="F154" s="31" t="s">
        <v>141</v>
      </c>
      <c r="G154" s="34" t="s">
        <v>141</v>
      </c>
    </row>
    <row r="155" spans="1:7">
      <c r="A155" s="32" t="s">
        <v>141</v>
      </c>
      <c r="B155" s="31" t="s">
        <v>141</v>
      </c>
      <c r="C155" s="34" t="s">
        <v>141</v>
      </c>
      <c r="E155" s="32" t="s">
        <v>141</v>
      </c>
      <c r="F155" s="31" t="s">
        <v>141</v>
      </c>
      <c r="G155" s="34" t="s">
        <v>141</v>
      </c>
    </row>
    <row r="156" spans="1:7">
      <c r="A156" s="32" t="s">
        <v>141</v>
      </c>
      <c r="B156" s="31" t="s">
        <v>141</v>
      </c>
      <c r="C156" s="34" t="s">
        <v>141</v>
      </c>
      <c r="E156" s="32" t="s">
        <v>141</v>
      </c>
      <c r="F156" s="31" t="s">
        <v>141</v>
      </c>
      <c r="G156" s="34" t="s">
        <v>141</v>
      </c>
    </row>
    <row r="157" spans="1:7">
      <c r="A157" s="32" t="s">
        <v>141</v>
      </c>
      <c r="B157" s="31" t="s">
        <v>141</v>
      </c>
      <c r="C157" s="34" t="s">
        <v>141</v>
      </c>
      <c r="E157" s="32" t="s">
        <v>141</v>
      </c>
      <c r="F157" s="31" t="s">
        <v>141</v>
      </c>
      <c r="G157" s="34" t="s">
        <v>141</v>
      </c>
    </row>
    <row r="158" spans="1:7">
      <c r="A158" s="32" t="s">
        <v>141</v>
      </c>
      <c r="B158" s="31" t="s">
        <v>141</v>
      </c>
      <c r="C158" s="34" t="s">
        <v>141</v>
      </c>
      <c r="E158" s="32" t="s">
        <v>141</v>
      </c>
      <c r="F158" s="31" t="s">
        <v>141</v>
      </c>
      <c r="G158" s="34" t="s">
        <v>141</v>
      </c>
    </row>
    <row r="159" spans="1:7">
      <c r="A159" s="32" t="s">
        <v>141</v>
      </c>
      <c r="B159" s="31" t="s">
        <v>141</v>
      </c>
      <c r="C159" s="34" t="s">
        <v>141</v>
      </c>
      <c r="E159" s="32" t="s">
        <v>141</v>
      </c>
      <c r="F159" s="31" t="s">
        <v>141</v>
      </c>
      <c r="G159" s="34" t="s">
        <v>141</v>
      </c>
    </row>
    <row r="160" spans="1:7">
      <c r="A160" s="32" t="s">
        <v>141</v>
      </c>
      <c r="B160" s="31" t="s">
        <v>141</v>
      </c>
      <c r="C160" s="34" t="s">
        <v>141</v>
      </c>
      <c r="E160" s="32" t="s">
        <v>141</v>
      </c>
      <c r="F160" s="31" t="s">
        <v>141</v>
      </c>
      <c r="G160" s="34" t="s">
        <v>141</v>
      </c>
    </row>
    <row r="161" spans="1:7">
      <c r="A161" s="32" t="s">
        <v>141</v>
      </c>
      <c r="B161" s="31" t="s">
        <v>141</v>
      </c>
      <c r="C161" s="34" t="s">
        <v>141</v>
      </c>
      <c r="E161" s="32" t="s">
        <v>141</v>
      </c>
      <c r="F161" s="31" t="s">
        <v>141</v>
      </c>
      <c r="G161" s="34" t="s">
        <v>141</v>
      </c>
    </row>
    <row r="162" spans="1:7">
      <c r="A162" s="32" t="s">
        <v>141</v>
      </c>
      <c r="B162" s="31" t="s">
        <v>141</v>
      </c>
      <c r="C162" s="34" t="s">
        <v>141</v>
      </c>
      <c r="E162" s="32" t="s">
        <v>141</v>
      </c>
      <c r="F162" s="31" t="s">
        <v>141</v>
      </c>
      <c r="G162" s="34" t="s">
        <v>141</v>
      </c>
    </row>
    <row r="163" spans="1:7">
      <c r="A163" s="32" t="s">
        <v>141</v>
      </c>
      <c r="B163" s="31" t="s">
        <v>141</v>
      </c>
      <c r="C163" s="34" t="s">
        <v>141</v>
      </c>
      <c r="E163" s="32" t="s">
        <v>141</v>
      </c>
      <c r="F163" s="31" t="s">
        <v>141</v>
      </c>
      <c r="G163" s="34" t="s">
        <v>141</v>
      </c>
    </row>
    <row r="164" spans="1:7">
      <c r="A164" s="32" t="s">
        <v>141</v>
      </c>
      <c r="B164" s="31" t="s">
        <v>141</v>
      </c>
      <c r="C164" s="34" t="s">
        <v>141</v>
      </c>
      <c r="E164" s="32" t="s">
        <v>141</v>
      </c>
      <c r="F164" s="31" t="s">
        <v>141</v>
      </c>
      <c r="G164" s="34" t="s">
        <v>141</v>
      </c>
    </row>
    <row r="165" spans="1:7">
      <c r="A165" s="32" t="s">
        <v>141</v>
      </c>
      <c r="B165" s="31" t="s">
        <v>141</v>
      </c>
      <c r="C165" s="34" t="s">
        <v>141</v>
      </c>
      <c r="E165" s="32" t="s">
        <v>141</v>
      </c>
      <c r="F165" s="31" t="s">
        <v>141</v>
      </c>
      <c r="G165" s="34" t="s">
        <v>141</v>
      </c>
    </row>
    <row r="166" spans="1:7">
      <c r="A166" s="32" t="s">
        <v>141</v>
      </c>
      <c r="B166" s="31" t="s">
        <v>141</v>
      </c>
      <c r="C166" s="34" t="s">
        <v>141</v>
      </c>
      <c r="E166" s="32" t="s">
        <v>141</v>
      </c>
      <c r="F166" s="31" t="s">
        <v>141</v>
      </c>
      <c r="G166" s="34" t="s">
        <v>141</v>
      </c>
    </row>
    <row r="167" spans="1:7">
      <c r="A167" s="32" t="s">
        <v>141</v>
      </c>
      <c r="B167" s="31" t="s">
        <v>141</v>
      </c>
      <c r="C167" s="34" t="s">
        <v>141</v>
      </c>
      <c r="E167" s="32" t="s">
        <v>141</v>
      </c>
      <c r="F167" s="31" t="s">
        <v>141</v>
      </c>
      <c r="G167" s="34" t="s">
        <v>141</v>
      </c>
    </row>
    <row r="168" spans="1:7">
      <c r="A168" s="32" t="s">
        <v>141</v>
      </c>
      <c r="B168" s="31" t="s">
        <v>141</v>
      </c>
      <c r="C168" s="34" t="s">
        <v>141</v>
      </c>
      <c r="E168" s="32" t="s">
        <v>141</v>
      </c>
      <c r="F168" s="31" t="s">
        <v>141</v>
      </c>
      <c r="G168" s="34" t="s">
        <v>141</v>
      </c>
    </row>
    <row r="169" spans="1:7">
      <c r="A169" s="32" t="s">
        <v>141</v>
      </c>
      <c r="B169" s="31" t="s">
        <v>141</v>
      </c>
      <c r="C169" s="34" t="s">
        <v>141</v>
      </c>
      <c r="E169" s="32" t="s">
        <v>141</v>
      </c>
      <c r="F169" s="31" t="s">
        <v>141</v>
      </c>
      <c r="G169" s="34" t="s">
        <v>141</v>
      </c>
    </row>
    <row r="170" spans="1:7">
      <c r="A170" s="32" t="s">
        <v>141</v>
      </c>
      <c r="B170" s="31" t="s">
        <v>141</v>
      </c>
      <c r="C170" s="34" t="s">
        <v>141</v>
      </c>
      <c r="E170" s="32" t="s">
        <v>141</v>
      </c>
      <c r="F170" s="31" t="s">
        <v>141</v>
      </c>
      <c r="G170" s="34" t="s">
        <v>141</v>
      </c>
    </row>
    <row r="171" spans="1:7">
      <c r="A171" s="32" t="s">
        <v>141</v>
      </c>
      <c r="B171" s="31" t="s">
        <v>141</v>
      </c>
      <c r="C171" s="34" t="s">
        <v>141</v>
      </c>
      <c r="E171" s="32" t="s">
        <v>141</v>
      </c>
      <c r="F171" s="31" t="s">
        <v>141</v>
      </c>
      <c r="G171" s="34" t="s">
        <v>141</v>
      </c>
    </row>
    <row r="172" spans="1:7">
      <c r="A172" s="32" t="s">
        <v>141</v>
      </c>
      <c r="B172" s="31" t="s">
        <v>141</v>
      </c>
      <c r="C172" s="34" t="s">
        <v>141</v>
      </c>
      <c r="E172" s="32" t="s">
        <v>141</v>
      </c>
      <c r="F172" s="31" t="s">
        <v>141</v>
      </c>
      <c r="G172" s="34" t="s">
        <v>141</v>
      </c>
    </row>
    <row r="173" spans="1:7">
      <c r="A173" s="32" t="s">
        <v>141</v>
      </c>
      <c r="B173" s="31" t="s">
        <v>141</v>
      </c>
      <c r="C173" s="34" t="s">
        <v>141</v>
      </c>
      <c r="E173" s="32" t="s">
        <v>141</v>
      </c>
      <c r="F173" s="31" t="s">
        <v>141</v>
      </c>
      <c r="G173" s="34" t="s">
        <v>141</v>
      </c>
    </row>
    <row r="174" spans="1:7">
      <c r="A174" s="32" t="s">
        <v>141</v>
      </c>
      <c r="B174" s="31" t="s">
        <v>141</v>
      </c>
      <c r="C174" s="34" t="s">
        <v>141</v>
      </c>
      <c r="E174" s="32" t="s">
        <v>141</v>
      </c>
      <c r="F174" s="31" t="s">
        <v>141</v>
      </c>
      <c r="G174" s="34" t="s">
        <v>141</v>
      </c>
    </row>
    <row r="175" spans="1:7">
      <c r="A175" s="32" t="s">
        <v>141</v>
      </c>
      <c r="B175" s="31" t="s">
        <v>141</v>
      </c>
      <c r="C175" s="34" t="s">
        <v>141</v>
      </c>
      <c r="E175" s="32" t="s">
        <v>141</v>
      </c>
      <c r="F175" s="31" t="s">
        <v>141</v>
      </c>
      <c r="G175" s="34" t="s">
        <v>141</v>
      </c>
    </row>
    <row r="176" spans="1:7">
      <c r="A176" s="32" t="s">
        <v>141</v>
      </c>
      <c r="B176" s="31" t="s">
        <v>141</v>
      </c>
      <c r="C176" s="34" t="s">
        <v>141</v>
      </c>
      <c r="E176" s="32" t="s">
        <v>141</v>
      </c>
      <c r="F176" s="31" t="s">
        <v>141</v>
      </c>
      <c r="G176" s="34" t="s">
        <v>141</v>
      </c>
    </row>
    <row r="177" spans="1:7">
      <c r="A177" s="32" t="s">
        <v>141</v>
      </c>
      <c r="B177" s="31" t="s">
        <v>141</v>
      </c>
      <c r="C177" s="34" t="s">
        <v>141</v>
      </c>
      <c r="E177" s="32" t="s">
        <v>141</v>
      </c>
      <c r="F177" s="31" t="s">
        <v>141</v>
      </c>
      <c r="G177" s="34" t="s">
        <v>141</v>
      </c>
    </row>
    <row r="178" spans="1:7">
      <c r="A178" s="32" t="s">
        <v>141</v>
      </c>
      <c r="B178" s="31" t="s">
        <v>141</v>
      </c>
      <c r="C178" s="34" t="s">
        <v>141</v>
      </c>
      <c r="E178" s="32" t="s">
        <v>141</v>
      </c>
      <c r="F178" s="31" t="s">
        <v>141</v>
      </c>
      <c r="G178" s="34" t="s">
        <v>141</v>
      </c>
    </row>
    <row r="179" spans="1:7">
      <c r="A179" s="32" t="s">
        <v>141</v>
      </c>
      <c r="B179" s="31" t="s">
        <v>141</v>
      </c>
      <c r="C179" s="34" t="s">
        <v>141</v>
      </c>
      <c r="E179" s="32" t="s">
        <v>141</v>
      </c>
      <c r="F179" s="31" t="s">
        <v>141</v>
      </c>
      <c r="G179" s="34" t="s">
        <v>141</v>
      </c>
    </row>
    <row r="180" spans="1:7">
      <c r="A180" s="32" t="s">
        <v>141</v>
      </c>
      <c r="B180" s="31" t="s">
        <v>141</v>
      </c>
      <c r="C180" s="34" t="s">
        <v>141</v>
      </c>
      <c r="E180" s="32" t="s">
        <v>141</v>
      </c>
      <c r="F180" s="31" t="s">
        <v>141</v>
      </c>
      <c r="G180" s="34" t="s">
        <v>141</v>
      </c>
    </row>
    <row r="181" spans="1:7">
      <c r="A181" s="32" t="s">
        <v>141</v>
      </c>
      <c r="B181" s="31" t="s">
        <v>141</v>
      </c>
      <c r="C181" s="34" t="s">
        <v>141</v>
      </c>
      <c r="E181" s="32" t="s">
        <v>141</v>
      </c>
      <c r="F181" s="31" t="s">
        <v>141</v>
      </c>
      <c r="G181" s="34" t="s">
        <v>141</v>
      </c>
    </row>
    <row r="182" spans="1:7">
      <c r="A182" s="32" t="s">
        <v>141</v>
      </c>
      <c r="B182" s="31" t="s">
        <v>141</v>
      </c>
      <c r="C182" s="34" t="s">
        <v>141</v>
      </c>
      <c r="E182" s="32" t="s">
        <v>141</v>
      </c>
      <c r="F182" s="31" t="s">
        <v>141</v>
      </c>
      <c r="G182" s="34" t="s">
        <v>141</v>
      </c>
    </row>
    <row r="183" spans="1:7">
      <c r="A183" s="32" t="s">
        <v>141</v>
      </c>
      <c r="B183" s="31" t="s">
        <v>141</v>
      </c>
      <c r="C183" s="34" t="s">
        <v>141</v>
      </c>
      <c r="E183" s="32" t="s">
        <v>141</v>
      </c>
      <c r="F183" s="31" t="s">
        <v>141</v>
      </c>
      <c r="G183" s="34" t="s">
        <v>141</v>
      </c>
    </row>
    <row r="184" spans="1:7">
      <c r="A184" s="32" t="s">
        <v>141</v>
      </c>
      <c r="B184" s="31" t="s">
        <v>141</v>
      </c>
      <c r="C184" s="34" t="s">
        <v>141</v>
      </c>
      <c r="E184" s="32" t="s">
        <v>141</v>
      </c>
      <c r="F184" s="31" t="s">
        <v>141</v>
      </c>
      <c r="G184" s="34" t="s">
        <v>141</v>
      </c>
    </row>
    <row r="185" spans="1:7">
      <c r="A185" s="32" t="s">
        <v>141</v>
      </c>
      <c r="B185" s="31" t="s">
        <v>141</v>
      </c>
      <c r="C185" s="34" t="s">
        <v>141</v>
      </c>
      <c r="E185" s="32" t="s">
        <v>141</v>
      </c>
      <c r="F185" s="31" t="s">
        <v>141</v>
      </c>
      <c r="G185" s="34" t="s">
        <v>141</v>
      </c>
    </row>
    <row r="186" spans="1:7">
      <c r="A186" s="32" t="s">
        <v>141</v>
      </c>
      <c r="B186" s="31" t="s">
        <v>141</v>
      </c>
      <c r="C186" s="34" t="s">
        <v>141</v>
      </c>
      <c r="E186" s="32" t="s">
        <v>141</v>
      </c>
      <c r="F186" s="31" t="s">
        <v>141</v>
      </c>
      <c r="G186" s="34" t="s">
        <v>141</v>
      </c>
    </row>
    <row r="187" spans="1:7">
      <c r="A187" s="32" t="s">
        <v>141</v>
      </c>
      <c r="B187" s="31" t="s">
        <v>141</v>
      </c>
      <c r="C187" s="34" t="s">
        <v>141</v>
      </c>
      <c r="E187" s="32" t="s">
        <v>141</v>
      </c>
      <c r="F187" s="31" t="s">
        <v>141</v>
      </c>
      <c r="G187" s="34" t="s">
        <v>141</v>
      </c>
    </row>
    <row r="188" spans="1:7">
      <c r="A188" s="32" t="s">
        <v>141</v>
      </c>
      <c r="B188" s="31" t="s">
        <v>141</v>
      </c>
      <c r="C188" s="34" t="s">
        <v>141</v>
      </c>
      <c r="E188" s="32" t="s">
        <v>141</v>
      </c>
      <c r="F188" s="31" t="s">
        <v>141</v>
      </c>
      <c r="G188" s="34" t="s">
        <v>141</v>
      </c>
    </row>
    <row r="189" spans="1:7">
      <c r="A189" s="32" t="s">
        <v>141</v>
      </c>
      <c r="B189" s="31" t="s">
        <v>141</v>
      </c>
      <c r="C189" s="34" t="s">
        <v>141</v>
      </c>
      <c r="E189" s="32" t="s">
        <v>141</v>
      </c>
      <c r="F189" s="31" t="s">
        <v>141</v>
      </c>
      <c r="G189" s="34" t="s">
        <v>141</v>
      </c>
    </row>
    <row r="190" spans="1:7">
      <c r="A190" s="32" t="s">
        <v>141</v>
      </c>
      <c r="B190" s="31" t="s">
        <v>141</v>
      </c>
      <c r="C190" s="34" t="s">
        <v>141</v>
      </c>
      <c r="E190" s="32" t="s">
        <v>141</v>
      </c>
      <c r="F190" s="31" t="s">
        <v>141</v>
      </c>
      <c r="G190" s="34" t="s">
        <v>141</v>
      </c>
    </row>
    <row r="191" spans="1:7">
      <c r="A191" s="32" t="s">
        <v>141</v>
      </c>
      <c r="B191" s="31" t="s">
        <v>141</v>
      </c>
      <c r="C191" s="34" t="s">
        <v>141</v>
      </c>
      <c r="E191" s="32" t="s">
        <v>141</v>
      </c>
      <c r="F191" s="31" t="s">
        <v>141</v>
      </c>
      <c r="G191" s="34" t="s">
        <v>141</v>
      </c>
    </row>
    <row r="192" spans="1:7">
      <c r="A192" s="32" t="s">
        <v>141</v>
      </c>
      <c r="B192" s="31" t="s">
        <v>141</v>
      </c>
      <c r="C192" s="34" t="s">
        <v>141</v>
      </c>
      <c r="E192" s="32" t="s">
        <v>141</v>
      </c>
      <c r="F192" s="31" t="s">
        <v>141</v>
      </c>
      <c r="G192" s="34" t="s">
        <v>141</v>
      </c>
    </row>
    <row r="193" spans="1:7">
      <c r="A193" s="32" t="s">
        <v>141</v>
      </c>
      <c r="B193" s="31" t="s">
        <v>141</v>
      </c>
      <c r="C193" s="34" t="s">
        <v>141</v>
      </c>
      <c r="E193" s="32" t="s">
        <v>141</v>
      </c>
      <c r="F193" s="31" t="s">
        <v>141</v>
      </c>
      <c r="G193" s="34" t="s">
        <v>141</v>
      </c>
    </row>
    <row r="194" spans="1:7">
      <c r="A194" s="32" t="s">
        <v>141</v>
      </c>
      <c r="B194" s="31" t="s">
        <v>141</v>
      </c>
      <c r="C194" s="34" t="s">
        <v>141</v>
      </c>
      <c r="E194" s="32" t="s">
        <v>141</v>
      </c>
      <c r="F194" s="31" t="s">
        <v>141</v>
      </c>
      <c r="G194" s="34" t="s">
        <v>141</v>
      </c>
    </row>
    <row r="195" spans="1:7">
      <c r="A195" s="32" t="s">
        <v>141</v>
      </c>
      <c r="B195" s="31" t="s">
        <v>141</v>
      </c>
      <c r="C195" s="34" t="s">
        <v>141</v>
      </c>
      <c r="E195" s="32" t="s">
        <v>141</v>
      </c>
      <c r="F195" s="31" t="s">
        <v>141</v>
      </c>
      <c r="G195" s="34" t="s">
        <v>141</v>
      </c>
    </row>
    <row r="196" spans="1:7">
      <c r="A196" s="32" t="s">
        <v>141</v>
      </c>
      <c r="B196" s="31" t="s">
        <v>141</v>
      </c>
      <c r="C196" s="34" t="s">
        <v>141</v>
      </c>
      <c r="E196" s="32" t="s">
        <v>141</v>
      </c>
      <c r="F196" s="31" t="s">
        <v>141</v>
      </c>
      <c r="G196" s="34" t="s">
        <v>141</v>
      </c>
    </row>
    <row r="197" spans="1:7">
      <c r="A197" s="32" t="s">
        <v>141</v>
      </c>
      <c r="B197" s="31" t="s">
        <v>141</v>
      </c>
      <c r="C197" s="34" t="s">
        <v>141</v>
      </c>
      <c r="E197" s="32" t="s">
        <v>141</v>
      </c>
      <c r="F197" s="31" t="s">
        <v>141</v>
      </c>
      <c r="G197" s="34" t="s">
        <v>141</v>
      </c>
    </row>
    <row r="198" spans="1:7">
      <c r="A198" s="32" t="s">
        <v>141</v>
      </c>
      <c r="B198" s="31" t="s">
        <v>141</v>
      </c>
      <c r="C198" s="34" t="s">
        <v>141</v>
      </c>
      <c r="E198" s="32" t="s">
        <v>141</v>
      </c>
      <c r="F198" s="31" t="s">
        <v>141</v>
      </c>
      <c r="G198" s="34" t="s">
        <v>141</v>
      </c>
    </row>
    <row r="199" spans="1:7">
      <c r="A199" s="32" t="s">
        <v>141</v>
      </c>
      <c r="B199" s="31" t="s">
        <v>141</v>
      </c>
      <c r="C199" s="34" t="s">
        <v>141</v>
      </c>
      <c r="E199" s="32" t="s">
        <v>141</v>
      </c>
      <c r="F199" s="31" t="s">
        <v>141</v>
      </c>
      <c r="G199" s="34" t="s">
        <v>141</v>
      </c>
    </row>
    <row r="200" spans="1:7">
      <c r="A200" s="32" t="s">
        <v>141</v>
      </c>
      <c r="B200" s="31" t="s">
        <v>141</v>
      </c>
      <c r="C200" s="34" t="s">
        <v>141</v>
      </c>
      <c r="E200" s="32" t="s">
        <v>141</v>
      </c>
      <c r="F200" s="31" t="s">
        <v>141</v>
      </c>
      <c r="G200" s="34" t="s">
        <v>141</v>
      </c>
    </row>
    <row r="201" spans="1:7">
      <c r="A201" s="32" t="s">
        <v>141</v>
      </c>
      <c r="B201" s="31" t="s">
        <v>141</v>
      </c>
      <c r="C201" s="34" t="s">
        <v>141</v>
      </c>
      <c r="E201" s="32" t="s">
        <v>141</v>
      </c>
      <c r="F201" s="31" t="s">
        <v>141</v>
      </c>
      <c r="G201" s="34" t="s">
        <v>141</v>
      </c>
    </row>
    <row r="202" spans="1:7">
      <c r="A202" s="32" t="s">
        <v>141</v>
      </c>
      <c r="B202" s="31" t="s">
        <v>141</v>
      </c>
      <c r="C202" s="34" t="s">
        <v>141</v>
      </c>
      <c r="E202" s="32" t="s">
        <v>141</v>
      </c>
      <c r="F202" s="31" t="s">
        <v>141</v>
      </c>
      <c r="G202" s="34" t="s">
        <v>141</v>
      </c>
    </row>
    <row r="203" spans="1:7">
      <c r="A203" s="32" t="s">
        <v>141</v>
      </c>
      <c r="B203" s="31" t="s">
        <v>141</v>
      </c>
      <c r="C203" s="34" t="s">
        <v>141</v>
      </c>
      <c r="E203" s="32" t="s">
        <v>141</v>
      </c>
      <c r="F203" s="31" t="s">
        <v>141</v>
      </c>
      <c r="G203" s="34" t="s">
        <v>141</v>
      </c>
    </row>
    <row r="204" spans="1:7">
      <c r="A204" s="32" t="s">
        <v>141</v>
      </c>
      <c r="B204" s="31" t="s">
        <v>141</v>
      </c>
      <c r="C204" s="34" t="s">
        <v>141</v>
      </c>
      <c r="E204" s="32" t="s">
        <v>141</v>
      </c>
      <c r="F204" s="31" t="s">
        <v>141</v>
      </c>
      <c r="G204" s="34" t="s">
        <v>141</v>
      </c>
    </row>
    <row r="205" spans="1:7">
      <c r="A205" s="32" t="s">
        <v>141</v>
      </c>
      <c r="B205" s="31" t="s">
        <v>141</v>
      </c>
      <c r="C205" s="34" t="s">
        <v>141</v>
      </c>
      <c r="E205" s="32" t="s">
        <v>141</v>
      </c>
      <c r="F205" s="31" t="s">
        <v>141</v>
      </c>
      <c r="G205" s="34" t="s">
        <v>141</v>
      </c>
    </row>
    <row r="206" spans="1:7">
      <c r="A206" s="32" t="s">
        <v>141</v>
      </c>
      <c r="B206" s="31" t="s">
        <v>141</v>
      </c>
      <c r="C206" s="34" t="s">
        <v>141</v>
      </c>
      <c r="E206" s="32" t="s">
        <v>141</v>
      </c>
      <c r="F206" s="31" t="s">
        <v>141</v>
      </c>
      <c r="G206" s="34" t="s">
        <v>141</v>
      </c>
    </row>
    <row r="207" spans="1:7">
      <c r="A207" s="32" t="s">
        <v>141</v>
      </c>
      <c r="B207" s="31" t="s">
        <v>141</v>
      </c>
      <c r="C207" s="34" t="s">
        <v>141</v>
      </c>
      <c r="E207" s="32" t="s">
        <v>141</v>
      </c>
      <c r="F207" s="31" t="s">
        <v>141</v>
      </c>
      <c r="G207" s="34" t="s">
        <v>141</v>
      </c>
    </row>
    <row r="208" spans="1:7">
      <c r="A208" s="32" t="s">
        <v>141</v>
      </c>
      <c r="B208" s="31" t="s">
        <v>141</v>
      </c>
      <c r="C208" s="34" t="s">
        <v>141</v>
      </c>
      <c r="E208" s="32" t="s">
        <v>141</v>
      </c>
      <c r="F208" s="31" t="s">
        <v>141</v>
      </c>
      <c r="G208" s="34" t="s">
        <v>141</v>
      </c>
    </row>
    <row r="209" spans="1:7">
      <c r="A209" s="32" t="s">
        <v>141</v>
      </c>
      <c r="B209" s="31" t="s">
        <v>141</v>
      </c>
      <c r="C209" s="34" t="s">
        <v>141</v>
      </c>
      <c r="E209" s="32" t="s">
        <v>141</v>
      </c>
      <c r="F209" s="31" t="s">
        <v>141</v>
      </c>
      <c r="G209" s="34" t="s">
        <v>141</v>
      </c>
    </row>
    <row r="210" spans="1:7">
      <c r="A210" s="32" t="s">
        <v>141</v>
      </c>
      <c r="B210" s="31" t="s">
        <v>141</v>
      </c>
      <c r="C210" s="34" t="s">
        <v>141</v>
      </c>
      <c r="E210" s="32" t="s">
        <v>141</v>
      </c>
      <c r="F210" s="31" t="s">
        <v>141</v>
      </c>
      <c r="G210" s="34" t="s">
        <v>141</v>
      </c>
    </row>
    <row r="211" spans="1:7">
      <c r="A211" s="32" t="s">
        <v>141</v>
      </c>
      <c r="B211" s="31" t="s">
        <v>141</v>
      </c>
      <c r="C211" s="34" t="s">
        <v>141</v>
      </c>
      <c r="E211" s="32" t="s">
        <v>141</v>
      </c>
      <c r="F211" s="31" t="s">
        <v>141</v>
      </c>
      <c r="G211" s="34" t="s">
        <v>141</v>
      </c>
    </row>
    <row r="212" spans="1:7">
      <c r="A212" s="32" t="s">
        <v>141</v>
      </c>
      <c r="B212" s="31" t="s">
        <v>141</v>
      </c>
      <c r="C212" s="34" t="s">
        <v>141</v>
      </c>
      <c r="E212" s="32" t="s">
        <v>141</v>
      </c>
      <c r="F212" s="31" t="s">
        <v>141</v>
      </c>
      <c r="G212" s="34" t="s">
        <v>141</v>
      </c>
    </row>
    <row r="213" spans="1:7">
      <c r="A213" s="32" t="s">
        <v>141</v>
      </c>
      <c r="B213" s="31" t="s">
        <v>141</v>
      </c>
      <c r="C213" s="34" t="s">
        <v>141</v>
      </c>
      <c r="E213" s="32" t="s">
        <v>141</v>
      </c>
      <c r="F213" s="31" t="s">
        <v>141</v>
      </c>
      <c r="G213" s="34" t="s">
        <v>141</v>
      </c>
    </row>
    <row r="214" spans="1:7">
      <c r="A214" s="32" t="s">
        <v>141</v>
      </c>
      <c r="B214" s="31" t="s">
        <v>141</v>
      </c>
      <c r="C214" s="34" t="s">
        <v>141</v>
      </c>
      <c r="E214" s="32" t="s">
        <v>141</v>
      </c>
      <c r="F214" s="31" t="s">
        <v>141</v>
      </c>
      <c r="G214" s="34" t="s">
        <v>141</v>
      </c>
    </row>
    <row r="215" spans="1:7">
      <c r="A215" s="32" t="s">
        <v>141</v>
      </c>
      <c r="B215" s="31" t="s">
        <v>141</v>
      </c>
      <c r="C215" s="34" t="s">
        <v>141</v>
      </c>
      <c r="E215" s="32" t="s">
        <v>141</v>
      </c>
      <c r="F215" s="31" t="s">
        <v>141</v>
      </c>
      <c r="G215" s="34" t="s">
        <v>141</v>
      </c>
    </row>
    <row r="216" spans="1:7">
      <c r="A216" s="32" t="s">
        <v>141</v>
      </c>
      <c r="B216" s="31" t="s">
        <v>141</v>
      </c>
      <c r="C216" s="34" t="s">
        <v>141</v>
      </c>
      <c r="E216" s="32" t="s">
        <v>141</v>
      </c>
      <c r="F216" s="31" t="s">
        <v>141</v>
      </c>
      <c r="G216" s="34" t="s">
        <v>141</v>
      </c>
    </row>
    <row r="217" spans="1:7">
      <c r="A217" s="32" t="s">
        <v>141</v>
      </c>
      <c r="B217" s="31" t="s">
        <v>141</v>
      </c>
      <c r="C217" s="34" t="s">
        <v>141</v>
      </c>
      <c r="E217" s="32" t="s">
        <v>141</v>
      </c>
      <c r="F217" s="31" t="s">
        <v>141</v>
      </c>
      <c r="G217" s="34" t="s">
        <v>141</v>
      </c>
    </row>
    <row r="218" spans="1:7">
      <c r="A218" s="32" t="s">
        <v>141</v>
      </c>
      <c r="B218" s="31" t="s">
        <v>141</v>
      </c>
      <c r="C218" s="34" t="s">
        <v>141</v>
      </c>
      <c r="E218" s="32" t="s">
        <v>141</v>
      </c>
      <c r="F218" s="31" t="s">
        <v>141</v>
      </c>
      <c r="G218" s="34" t="s">
        <v>141</v>
      </c>
    </row>
    <row r="219" spans="1:7">
      <c r="A219" s="32" t="s">
        <v>141</v>
      </c>
      <c r="B219" s="31" t="s">
        <v>141</v>
      </c>
      <c r="C219" s="34" t="s">
        <v>141</v>
      </c>
      <c r="E219" s="32" t="s">
        <v>141</v>
      </c>
      <c r="F219" s="31" t="s">
        <v>141</v>
      </c>
      <c r="G219" s="34" t="s">
        <v>141</v>
      </c>
    </row>
    <row r="220" spans="1:7">
      <c r="A220" s="32" t="s">
        <v>141</v>
      </c>
      <c r="B220" s="31" t="s">
        <v>141</v>
      </c>
      <c r="C220" s="34" t="s">
        <v>141</v>
      </c>
      <c r="E220" s="32" t="s">
        <v>141</v>
      </c>
      <c r="F220" s="31" t="s">
        <v>141</v>
      </c>
      <c r="G220" s="34" t="s">
        <v>141</v>
      </c>
    </row>
    <row r="221" spans="1:7">
      <c r="A221" s="32" t="s">
        <v>141</v>
      </c>
      <c r="B221" s="31" t="s">
        <v>141</v>
      </c>
      <c r="C221" s="34" t="s">
        <v>141</v>
      </c>
      <c r="E221" s="32" t="s">
        <v>141</v>
      </c>
      <c r="F221" s="31" t="s">
        <v>141</v>
      </c>
      <c r="G221" s="34" t="s">
        <v>141</v>
      </c>
    </row>
    <row r="222" spans="1:7">
      <c r="A222" s="32" t="s">
        <v>141</v>
      </c>
      <c r="B222" s="31" t="s">
        <v>141</v>
      </c>
      <c r="C222" s="34" t="s">
        <v>141</v>
      </c>
      <c r="E222" s="32" t="s">
        <v>141</v>
      </c>
      <c r="F222" s="31" t="s">
        <v>141</v>
      </c>
      <c r="G222" s="34" t="s">
        <v>141</v>
      </c>
    </row>
    <row r="223" spans="1:7">
      <c r="A223" s="32" t="s">
        <v>141</v>
      </c>
      <c r="B223" s="31" t="s">
        <v>141</v>
      </c>
      <c r="C223" s="34" t="s">
        <v>141</v>
      </c>
      <c r="E223" s="32" t="s">
        <v>141</v>
      </c>
      <c r="F223" s="31" t="s">
        <v>141</v>
      </c>
      <c r="G223" s="34" t="s">
        <v>141</v>
      </c>
    </row>
    <row r="224" spans="1:7">
      <c r="A224" s="32" t="s">
        <v>141</v>
      </c>
      <c r="B224" s="31" t="s">
        <v>141</v>
      </c>
      <c r="C224" s="34" t="s">
        <v>141</v>
      </c>
      <c r="E224" s="32" t="s">
        <v>141</v>
      </c>
      <c r="F224" s="31" t="s">
        <v>141</v>
      </c>
      <c r="G224" s="34" t="s">
        <v>141</v>
      </c>
    </row>
    <row r="225" spans="1:7">
      <c r="A225" s="32" t="s">
        <v>141</v>
      </c>
      <c r="B225" s="31" t="s">
        <v>141</v>
      </c>
      <c r="C225" s="34" t="s">
        <v>141</v>
      </c>
      <c r="E225" s="32" t="s">
        <v>141</v>
      </c>
      <c r="F225" s="31" t="s">
        <v>141</v>
      </c>
      <c r="G225" s="34" t="s">
        <v>141</v>
      </c>
    </row>
    <row r="226" spans="1:7">
      <c r="A226" s="32" t="s">
        <v>141</v>
      </c>
      <c r="B226" s="31" t="s">
        <v>141</v>
      </c>
      <c r="C226" s="34" t="s">
        <v>141</v>
      </c>
      <c r="E226" s="32" t="s">
        <v>141</v>
      </c>
      <c r="F226" s="31" t="s">
        <v>141</v>
      </c>
      <c r="G226" s="34" t="s">
        <v>141</v>
      </c>
    </row>
    <row r="227" spans="1:7">
      <c r="A227" s="32" t="s">
        <v>141</v>
      </c>
      <c r="B227" s="31" t="s">
        <v>141</v>
      </c>
      <c r="C227" s="34" t="s">
        <v>141</v>
      </c>
      <c r="E227" s="32" t="s">
        <v>141</v>
      </c>
      <c r="F227" s="31" t="s">
        <v>141</v>
      </c>
      <c r="G227" s="34" t="s">
        <v>141</v>
      </c>
    </row>
    <row r="228" spans="1:7">
      <c r="A228" s="32" t="s">
        <v>141</v>
      </c>
      <c r="B228" s="31" t="s">
        <v>141</v>
      </c>
      <c r="C228" s="34" t="s">
        <v>141</v>
      </c>
      <c r="E228" s="32" t="s">
        <v>141</v>
      </c>
      <c r="F228" s="31" t="s">
        <v>141</v>
      </c>
      <c r="G228" s="34" t="s">
        <v>141</v>
      </c>
    </row>
    <row r="229" spans="1:7">
      <c r="A229" s="32" t="s">
        <v>141</v>
      </c>
      <c r="B229" s="31" t="s">
        <v>141</v>
      </c>
      <c r="C229" s="34" t="s">
        <v>141</v>
      </c>
      <c r="E229" s="32" t="s">
        <v>141</v>
      </c>
      <c r="F229" s="31" t="s">
        <v>141</v>
      </c>
      <c r="G229" s="34" t="s">
        <v>141</v>
      </c>
    </row>
    <row r="230" spans="1:7">
      <c r="A230" s="32" t="s">
        <v>141</v>
      </c>
      <c r="B230" s="31" t="s">
        <v>141</v>
      </c>
      <c r="C230" s="34" t="s">
        <v>141</v>
      </c>
      <c r="E230" s="32" t="s">
        <v>141</v>
      </c>
      <c r="F230" s="31" t="s">
        <v>141</v>
      </c>
      <c r="G230" s="34" t="s">
        <v>141</v>
      </c>
    </row>
    <row r="231" spans="1:7">
      <c r="A231" s="32" t="s">
        <v>141</v>
      </c>
      <c r="B231" s="31" t="s">
        <v>141</v>
      </c>
      <c r="C231" s="34" t="s">
        <v>141</v>
      </c>
      <c r="E231" s="32" t="s">
        <v>141</v>
      </c>
      <c r="F231" s="31" t="s">
        <v>141</v>
      </c>
      <c r="G231" s="34" t="s">
        <v>141</v>
      </c>
    </row>
    <row r="232" spans="1:7">
      <c r="A232" s="32" t="s">
        <v>141</v>
      </c>
      <c r="B232" s="31" t="s">
        <v>141</v>
      </c>
      <c r="C232" s="34" t="s">
        <v>141</v>
      </c>
      <c r="E232" s="32" t="s">
        <v>141</v>
      </c>
      <c r="F232" s="31" t="s">
        <v>141</v>
      </c>
      <c r="G232" s="34" t="s">
        <v>141</v>
      </c>
    </row>
    <row r="233" spans="1:7">
      <c r="A233" s="32" t="s">
        <v>141</v>
      </c>
      <c r="B233" s="31" t="s">
        <v>141</v>
      </c>
      <c r="C233" s="34" t="s">
        <v>141</v>
      </c>
      <c r="E233" s="32" t="s">
        <v>141</v>
      </c>
      <c r="F233" s="31" t="s">
        <v>141</v>
      </c>
      <c r="G233" s="34" t="s">
        <v>141</v>
      </c>
    </row>
    <row r="234" spans="1:7">
      <c r="A234" s="32" t="s">
        <v>141</v>
      </c>
      <c r="B234" s="31" t="s">
        <v>141</v>
      </c>
      <c r="C234" s="34" t="s">
        <v>141</v>
      </c>
      <c r="E234" s="32" t="s">
        <v>141</v>
      </c>
      <c r="F234" s="31" t="s">
        <v>141</v>
      </c>
      <c r="G234" s="34" t="s">
        <v>141</v>
      </c>
    </row>
    <row r="235" spans="1:7">
      <c r="A235" s="32" t="s">
        <v>141</v>
      </c>
      <c r="B235" s="31" t="s">
        <v>141</v>
      </c>
      <c r="C235" s="34" t="s">
        <v>141</v>
      </c>
      <c r="E235" s="32" t="s">
        <v>141</v>
      </c>
      <c r="F235" s="31" t="s">
        <v>141</v>
      </c>
      <c r="G235" s="34" t="s">
        <v>141</v>
      </c>
    </row>
    <row r="236" spans="1:7">
      <c r="A236" s="32" t="s">
        <v>141</v>
      </c>
      <c r="B236" s="31" t="s">
        <v>141</v>
      </c>
      <c r="C236" s="34" t="s">
        <v>141</v>
      </c>
      <c r="E236" s="32" t="s">
        <v>141</v>
      </c>
      <c r="F236" s="31" t="s">
        <v>141</v>
      </c>
      <c r="G236" s="34" t="s">
        <v>141</v>
      </c>
    </row>
    <row r="237" spans="1:7">
      <c r="A237" s="32" t="s">
        <v>141</v>
      </c>
      <c r="B237" s="31" t="s">
        <v>141</v>
      </c>
      <c r="C237" s="34" t="s">
        <v>141</v>
      </c>
      <c r="E237" s="32" t="s">
        <v>141</v>
      </c>
      <c r="F237" s="31" t="s">
        <v>141</v>
      </c>
      <c r="G237" s="34" t="s">
        <v>141</v>
      </c>
    </row>
    <row r="238" spans="1:7">
      <c r="A238" s="32" t="s">
        <v>141</v>
      </c>
      <c r="B238" s="31" t="s">
        <v>141</v>
      </c>
      <c r="C238" s="34" t="s">
        <v>141</v>
      </c>
      <c r="E238" s="32" t="s">
        <v>141</v>
      </c>
      <c r="F238" s="31" t="s">
        <v>141</v>
      </c>
      <c r="G238" s="34" t="s">
        <v>141</v>
      </c>
    </row>
    <row r="239" spans="1:7">
      <c r="A239" s="32" t="s">
        <v>141</v>
      </c>
      <c r="B239" s="31" t="s">
        <v>141</v>
      </c>
      <c r="C239" s="34" t="s">
        <v>141</v>
      </c>
      <c r="E239" s="32" t="s">
        <v>141</v>
      </c>
      <c r="F239" s="31" t="s">
        <v>141</v>
      </c>
      <c r="G239" s="34" t="s">
        <v>141</v>
      </c>
    </row>
    <row r="240" spans="1:7">
      <c r="A240" s="32" t="s">
        <v>141</v>
      </c>
      <c r="B240" s="31" t="s">
        <v>141</v>
      </c>
      <c r="C240" s="34" t="s">
        <v>141</v>
      </c>
      <c r="E240" s="32" t="s">
        <v>141</v>
      </c>
      <c r="F240" s="31" t="s">
        <v>141</v>
      </c>
      <c r="G240" s="34" t="s">
        <v>141</v>
      </c>
    </row>
    <row r="241" spans="1:7">
      <c r="A241" s="32" t="s">
        <v>141</v>
      </c>
      <c r="B241" s="31" t="s">
        <v>141</v>
      </c>
      <c r="C241" s="34" t="s">
        <v>141</v>
      </c>
      <c r="E241" s="32" t="s">
        <v>141</v>
      </c>
      <c r="F241" s="31" t="s">
        <v>141</v>
      </c>
      <c r="G241" s="34" t="s">
        <v>141</v>
      </c>
    </row>
    <row r="242" spans="1:7">
      <c r="A242" s="32" t="s">
        <v>141</v>
      </c>
      <c r="B242" s="31" t="s">
        <v>141</v>
      </c>
      <c r="C242" s="34" t="s">
        <v>141</v>
      </c>
      <c r="E242" s="32" t="s">
        <v>141</v>
      </c>
      <c r="F242" s="31" t="s">
        <v>141</v>
      </c>
      <c r="G242" s="34" t="s">
        <v>141</v>
      </c>
    </row>
    <row r="243" spans="1:7">
      <c r="A243" s="32" t="s">
        <v>141</v>
      </c>
      <c r="B243" s="31" t="s">
        <v>141</v>
      </c>
      <c r="C243" s="34" t="s">
        <v>141</v>
      </c>
      <c r="E243" s="32" t="s">
        <v>141</v>
      </c>
      <c r="F243" s="31" t="s">
        <v>141</v>
      </c>
      <c r="G243" s="34" t="s">
        <v>141</v>
      </c>
    </row>
    <row r="244" spans="1:7">
      <c r="A244" s="32" t="s">
        <v>141</v>
      </c>
      <c r="B244" s="31" t="s">
        <v>141</v>
      </c>
      <c r="C244" s="34" t="s">
        <v>141</v>
      </c>
      <c r="E244" s="32" t="s">
        <v>141</v>
      </c>
      <c r="F244" s="31" t="s">
        <v>141</v>
      </c>
      <c r="G244" s="34" t="s">
        <v>141</v>
      </c>
    </row>
    <row r="245" spans="1:7">
      <c r="A245" s="32" t="s">
        <v>141</v>
      </c>
      <c r="B245" s="31" t="s">
        <v>141</v>
      </c>
      <c r="C245" s="34" t="s">
        <v>141</v>
      </c>
      <c r="E245" s="32" t="s">
        <v>141</v>
      </c>
      <c r="F245" s="31" t="s">
        <v>141</v>
      </c>
      <c r="G245" s="34" t="s">
        <v>141</v>
      </c>
    </row>
    <row r="246" spans="1:7">
      <c r="A246" s="32" t="s">
        <v>141</v>
      </c>
      <c r="B246" s="31" t="s">
        <v>141</v>
      </c>
      <c r="C246" s="34" t="s">
        <v>141</v>
      </c>
      <c r="E246" s="32" t="s">
        <v>141</v>
      </c>
      <c r="F246" s="31" t="s">
        <v>141</v>
      </c>
      <c r="G246" s="34" t="s">
        <v>141</v>
      </c>
    </row>
    <row r="247" spans="1:7">
      <c r="A247" s="32" t="s">
        <v>141</v>
      </c>
      <c r="B247" s="31" t="s">
        <v>141</v>
      </c>
      <c r="C247" s="34" t="s">
        <v>141</v>
      </c>
      <c r="E247" s="32" t="s">
        <v>141</v>
      </c>
      <c r="F247" s="31" t="s">
        <v>141</v>
      </c>
      <c r="G247" s="34" t="s">
        <v>141</v>
      </c>
    </row>
    <row r="248" spans="1:7">
      <c r="A248" s="32" t="s">
        <v>141</v>
      </c>
      <c r="B248" s="31" t="s">
        <v>141</v>
      </c>
      <c r="C248" s="34" t="s">
        <v>141</v>
      </c>
      <c r="E248" s="32" t="s">
        <v>141</v>
      </c>
      <c r="F248" s="31" t="s">
        <v>141</v>
      </c>
      <c r="G248" s="34" t="s">
        <v>141</v>
      </c>
    </row>
    <row r="249" spans="1:7">
      <c r="A249" s="32" t="s">
        <v>141</v>
      </c>
      <c r="B249" s="31" t="s">
        <v>141</v>
      </c>
      <c r="C249" s="34" t="s">
        <v>141</v>
      </c>
      <c r="E249" s="32" t="s">
        <v>141</v>
      </c>
      <c r="F249" s="31" t="s">
        <v>141</v>
      </c>
      <c r="G249" s="34" t="s">
        <v>141</v>
      </c>
    </row>
    <row r="250" spans="1:7">
      <c r="A250" s="32" t="s">
        <v>141</v>
      </c>
      <c r="B250" s="31" t="s">
        <v>141</v>
      </c>
      <c r="C250" s="34" t="s">
        <v>141</v>
      </c>
      <c r="E250" s="32" t="s">
        <v>141</v>
      </c>
      <c r="F250" s="31" t="s">
        <v>141</v>
      </c>
      <c r="G250" s="34" t="s">
        <v>141</v>
      </c>
    </row>
    <row r="251" spans="1:7">
      <c r="A251" s="32" t="s">
        <v>141</v>
      </c>
      <c r="B251" s="31" t="s">
        <v>141</v>
      </c>
      <c r="C251" s="34" t="s">
        <v>141</v>
      </c>
      <c r="E251" s="32" t="s">
        <v>141</v>
      </c>
      <c r="F251" s="31" t="s">
        <v>141</v>
      </c>
      <c r="G251" s="34" t="s">
        <v>141</v>
      </c>
    </row>
    <row r="252" spans="1:7">
      <c r="A252" s="32" t="s">
        <v>141</v>
      </c>
      <c r="B252" s="31" t="s">
        <v>141</v>
      </c>
      <c r="C252" s="34" t="s">
        <v>141</v>
      </c>
      <c r="E252" s="32" t="s">
        <v>141</v>
      </c>
      <c r="F252" s="31" t="s">
        <v>141</v>
      </c>
      <c r="G252" s="34" t="s">
        <v>141</v>
      </c>
    </row>
    <row r="253" spans="1:7">
      <c r="A253" s="32" t="s">
        <v>141</v>
      </c>
      <c r="B253" s="31" t="s">
        <v>141</v>
      </c>
      <c r="C253" s="34" t="s">
        <v>141</v>
      </c>
      <c r="E253" s="32" t="s">
        <v>141</v>
      </c>
      <c r="F253" s="31" t="s">
        <v>141</v>
      </c>
      <c r="G253" s="34" t="s">
        <v>141</v>
      </c>
    </row>
    <row r="254" spans="1:7">
      <c r="A254" s="32" t="s">
        <v>141</v>
      </c>
      <c r="B254" s="31" t="s">
        <v>141</v>
      </c>
      <c r="C254" s="34" t="s">
        <v>141</v>
      </c>
      <c r="E254" s="32" t="s">
        <v>141</v>
      </c>
      <c r="F254" s="31" t="s">
        <v>141</v>
      </c>
      <c r="G254" s="34" t="s">
        <v>141</v>
      </c>
    </row>
    <row r="255" spans="1:7">
      <c r="A255" s="32" t="s">
        <v>141</v>
      </c>
      <c r="B255" s="31" t="s">
        <v>141</v>
      </c>
      <c r="C255" s="34" t="s">
        <v>141</v>
      </c>
      <c r="E255" s="32" t="s">
        <v>141</v>
      </c>
      <c r="F255" s="31" t="s">
        <v>141</v>
      </c>
      <c r="G255" s="34" t="s">
        <v>141</v>
      </c>
    </row>
    <row r="256" spans="1:7">
      <c r="A256" s="32" t="s">
        <v>141</v>
      </c>
      <c r="B256" s="31" t="s">
        <v>141</v>
      </c>
      <c r="C256" s="34" t="s">
        <v>141</v>
      </c>
      <c r="E256" s="32" t="s">
        <v>141</v>
      </c>
      <c r="F256" s="31" t="s">
        <v>141</v>
      </c>
      <c r="G256" s="34" t="s">
        <v>141</v>
      </c>
    </row>
    <row r="257" spans="1:7">
      <c r="A257" s="32" t="s">
        <v>141</v>
      </c>
      <c r="B257" s="31" t="s">
        <v>141</v>
      </c>
      <c r="C257" s="34" t="s">
        <v>141</v>
      </c>
      <c r="E257" s="32" t="s">
        <v>141</v>
      </c>
      <c r="F257" s="31" t="s">
        <v>141</v>
      </c>
      <c r="G257" s="34" t="s">
        <v>141</v>
      </c>
    </row>
    <row r="258" spans="1:7">
      <c r="A258" s="32" t="s">
        <v>141</v>
      </c>
      <c r="B258" s="31" t="s">
        <v>141</v>
      </c>
      <c r="C258" s="34" t="s">
        <v>141</v>
      </c>
      <c r="E258" s="32" t="s">
        <v>141</v>
      </c>
      <c r="F258" s="31" t="s">
        <v>141</v>
      </c>
      <c r="G258" s="34" t="s">
        <v>141</v>
      </c>
    </row>
    <row r="259" spans="1:7">
      <c r="A259" s="32" t="s">
        <v>141</v>
      </c>
      <c r="B259" s="31" t="s">
        <v>141</v>
      </c>
      <c r="C259" s="34" t="s">
        <v>141</v>
      </c>
      <c r="E259" s="32" t="s">
        <v>141</v>
      </c>
      <c r="F259" s="31" t="s">
        <v>141</v>
      </c>
      <c r="G259" s="34" t="s">
        <v>141</v>
      </c>
    </row>
    <row r="260" spans="1:7">
      <c r="A260" s="32" t="s">
        <v>141</v>
      </c>
      <c r="B260" s="31" t="s">
        <v>141</v>
      </c>
      <c r="C260" s="34" t="s">
        <v>141</v>
      </c>
      <c r="E260" s="32" t="s">
        <v>141</v>
      </c>
      <c r="F260" s="31" t="s">
        <v>141</v>
      </c>
      <c r="G260" s="34" t="s">
        <v>141</v>
      </c>
    </row>
    <row r="261" spans="1:7">
      <c r="A261" s="32" t="s">
        <v>141</v>
      </c>
      <c r="B261" s="31" t="s">
        <v>141</v>
      </c>
      <c r="C261" s="34" t="s">
        <v>141</v>
      </c>
      <c r="E261" s="32" t="s">
        <v>141</v>
      </c>
      <c r="F261" s="31" t="s">
        <v>141</v>
      </c>
      <c r="G261" s="34" t="s">
        <v>141</v>
      </c>
    </row>
    <row r="262" spans="1:7">
      <c r="A262" s="32" t="s">
        <v>141</v>
      </c>
      <c r="B262" s="31" t="s">
        <v>141</v>
      </c>
      <c r="C262" s="34" t="s">
        <v>141</v>
      </c>
      <c r="E262" s="32" t="s">
        <v>141</v>
      </c>
      <c r="F262" s="31" t="s">
        <v>141</v>
      </c>
      <c r="G262" s="34" t="s">
        <v>141</v>
      </c>
    </row>
    <row r="263" spans="1:7">
      <c r="A263" s="32" t="s">
        <v>141</v>
      </c>
      <c r="B263" s="31" t="s">
        <v>141</v>
      </c>
      <c r="C263" s="34" t="s">
        <v>141</v>
      </c>
      <c r="E263" s="32" t="s">
        <v>141</v>
      </c>
      <c r="F263" s="31" t="s">
        <v>141</v>
      </c>
      <c r="G263" s="34" t="s">
        <v>141</v>
      </c>
    </row>
    <row r="264" spans="1:7">
      <c r="A264" s="32" t="s">
        <v>141</v>
      </c>
      <c r="B264" s="31" t="s">
        <v>141</v>
      </c>
      <c r="C264" s="34" t="s">
        <v>141</v>
      </c>
      <c r="E264" s="32" t="s">
        <v>141</v>
      </c>
      <c r="F264" s="31" t="s">
        <v>141</v>
      </c>
      <c r="G264" s="34" t="s">
        <v>141</v>
      </c>
    </row>
    <row r="265" spans="1:7">
      <c r="A265" s="32" t="s">
        <v>141</v>
      </c>
      <c r="B265" s="31" t="s">
        <v>141</v>
      </c>
      <c r="C265" s="34" t="s">
        <v>141</v>
      </c>
      <c r="E265" s="32" t="s">
        <v>141</v>
      </c>
      <c r="F265" s="31" t="s">
        <v>141</v>
      </c>
      <c r="G265" s="34" t="s">
        <v>141</v>
      </c>
    </row>
    <row r="266" spans="1:7">
      <c r="A266" s="32" t="s">
        <v>141</v>
      </c>
      <c r="B266" s="31" t="s">
        <v>141</v>
      </c>
      <c r="C266" s="34" t="s">
        <v>141</v>
      </c>
      <c r="E266" s="32" t="s">
        <v>141</v>
      </c>
      <c r="F266" s="31" t="s">
        <v>141</v>
      </c>
      <c r="G266" s="34" t="s">
        <v>141</v>
      </c>
    </row>
    <row r="267" spans="1:7">
      <c r="A267" s="32" t="s">
        <v>141</v>
      </c>
      <c r="B267" s="31" t="s">
        <v>141</v>
      </c>
      <c r="C267" s="34" t="s">
        <v>141</v>
      </c>
      <c r="E267" s="32" t="s">
        <v>141</v>
      </c>
      <c r="F267" s="31" t="s">
        <v>141</v>
      </c>
      <c r="G267" s="34" t="s">
        <v>141</v>
      </c>
    </row>
    <row r="268" spans="1:7">
      <c r="A268" s="32" t="s">
        <v>141</v>
      </c>
      <c r="B268" s="31" t="s">
        <v>141</v>
      </c>
      <c r="C268" s="34" t="s">
        <v>141</v>
      </c>
      <c r="E268" s="32" t="s">
        <v>141</v>
      </c>
      <c r="F268" s="31" t="s">
        <v>141</v>
      </c>
      <c r="G268" s="34" t="s">
        <v>141</v>
      </c>
    </row>
    <row r="269" spans="1:7">
      <c r="A269" s="32" t="s">
        <v>141</v>
      </c>
      <c r="B269" s="31" t="s">
        <v>141</v>
      </c>
      <c r="C269" s="34" t="s">
        <v>141</v>
      </c>
      <c r="E269" s="32" t="s">
        <v>141</v>
      </c>
      <c r="F269" s="31" t="s">
        <v>141</v>
      </c>
      <c r="G269" s="34" t="s">
        <v>141</v>
      </c>
    </row>
    <row r="270" spans="1:7">
      <c r="A270" s="32" t="s">
        <v>141</v>
      </c>
      <c r="B270" s="31" t="s">
        <v>141</v>
      </c>
      <c r="C270" s="34" t="s">
        <v>141</v>
      </c>
      <c r="E270" s="32" t="s">
        <v>141</v>
      </c>
      <c r="F270" s="31" t="s">
        <v>141</v>
      </c>
      <c r="G270" s="34" t="s">
        <v>141</v>
      </c>
    </row>
    <row r="271" spans="1:7">
      <c r="A271" s="32" t="s">
        <v>141</v>
      </c>
      <c r="B271" s="31" t="s">
        <v>141</v>
      </c>
      <c r="C271" s="34" t="s">
        <v>141</v>
      </c>
      <c r="E271" s="32" t="s">
        <v>141</v>
      </c>
      <c r="F271" s="31" t="s">
        <v>141</v>
      </c>
      <c r="G271" s="34" t="s">
        <v>141</v>
      </c>
    </row>
    <row r="272" spans="1:7">
      <c r="A272" s="32" t="s">
        <v>141</v>
      </c>
      <c r="B272" s="31" t="s">
        <v>141</v>
      </c>
      <c r="C272" s="34" t="s">
        <v>141</v>
      </c>
      <c r="E272" s="32" t="s">
        <v>141</v>
      </c>
      <c r="F272" s="31" t="s">
        <v>141</v>
      </c>
      <c r="G272" s="34" t="s">
        <v>141</v>
      </c>
    </row>
    <row r="273" spans="1:7">
      <c r="A273" s="32" t="s">
        <v>141</v>
      </c>
      <c r="B273" s="31" t="s">
        <v>141</v>
      </c>
      <c r="C273" s="34" t="s">
        <v>141</v>
      </c>
      <c r="E273" s="32" t="s">
        <v>141</v>
      </c>
      <c r="F273" s="31" t="s">
        <v>141</v>
      </c>
      <c r="G273" s="34" t="s">
        <v>141</v>
      </c>
    </row>
    <row r="274" spans="1:7">
      <c r="A274" s="32" t="s">
        <v>141</v>
      </c>
      <c r="B274" s="31" t="s">
        <v>141</v>
      </c>
      <c r="C274" s="34" t="s">
        <v>141</v>
      </c>
      <c r="E274" s="32" t="s">
        <v>141</v>
      </c>
      <c r="F274" s="31" t="s">
        <v>141</v>
      </c>
      <c r="G274" s="34" t="s">
        <v>141</v>
      </c>
    </row>
    <row r="275" spans="1:7">
      <c r="A275" s="32" t="s">
        <v>141</v>
      </c>
      <c r="B275" s="31" t="s">
        <v>141</v>
      </c>
      <c r="C275" s="34" t="s">
        <v>141</v>
      </c>
      <c r="E275" s="32" t="s">
        <v>141</v>
      </c>
      <c r="F275" s="31" t="s">
        <v>141</v>
      </c>
      <c r="G275" s="34" t="s">
        <v>141</v>
      </c>
    </row>
    <row r="276" spans="1:7">
      <c r="A276" s="32" t="s">
        <v>141</v>
      </c>
      <c r="B276" s="31" t="s">
        <v>141</v>
      </c>
      <c r="C276" s="34" t="s">
        <v>141</v>
      </c>
      <c r="E276" s="32" t="s">
        <v>141</v>
      </c>
      <c r="F276" s="31" t="s">
        <v>141</v>
      </c>
      <c r="G276" s="34" t="s">
        <v>141</v>
      </c>
    </row>
    <row r="277" spans="1:7">
      <c r="A277" s="32" t="s">
        <v>141</v>
      </c>
      <c r="B277" s="31" t="s">
        <v>141</v>
      </c>
      <c r="C277" s="34" t="s">
        <v>141</v>
      </c>
      <c r="E277" s="32" t="s">
        <v>141</v>
      </c>
      <c r="F277" s="31" t="s">
        <v>141</v>
      </c>
      <c r="G277" s="34" t="s">
        <v>141</v>
      </c>
    </row>
    <row r="278" spans="1:7">
      <c r="A278" s="32" t="s">
        <v>141</v>
      </c>
      <c r="B278" s="31" t="s">
        <v>141</v>
      </c>
      <c r="C278" s="34" t="s">
        <v>141</v>
      </c>
      <c r="E278" s="32" t="s">
        <v>141</v>
      </c>
      <c r="F278" s="31" t="s">
        <v>141</v>
      </c>
      <c r="G278" s="34" t="s">
        <v>141</v>
      </c>
    </row>
    <row r="279" spans="1:7">
      <c r="A279" s="32" t="s">
        <v>141</v>
      </c>
      <c r="B279" s="31" t="s">
        <v>141</v>
      </c>
      <c r="C279" s="34" t="s">
        <v>141</v>
      </c>
      <c r="E279" s="32" t="s">
        <v>141</v>
      </c>
      <c r="F279" s="31" t="s">
        <v>141</v>
      </c>
      <c r="G279" s="34" t="s">
        <v>141</v>
      </c>
    </row>
    <row r="280" spans="1:7">
      <c r="A280" s="32" t="s">
        <v>141</v>
      </c>
      <c r="B280" s="31" t="s">
        <v>141</v>
      </c>
      <c r="C280" s="34" t="s">
        <v>141</v>
      </c>
      <c r="E280" s="32" t="s">
        <v>141</v>
      </c>
      <c r="F280" s="31" t="s">
        <v>141</v>
      </c>
      <c r="G280" s="34" t="s">
        <v>141</v>
      </c>
    </row>
    <row r="281" spans="1:7">
      <c r="A281" s="32" t="s">
        <v>141</v>
      </c>
      <c r="B281" s="31" t="s">
        <v>141</v>
      </c>
      <c r="C281" s="34" t="s">
        <v>141</v>
      </c>
      <c r="E281" s="32" t="s">
        <v>141</v>
      </c>
      <c r="F281" s="31" t="s">
        <v>141</v>
      </c>
      <c r="G281" s="34" t="s">
        <v>141</v>
      </c>
    </row>
    <row r="282" spans="1:7">
      <c r="A282" s="32" t="s">
        <v>141</v>
      </c>
      <c r="B282" s="31" t="s">
        <v>141</v>
      </c>
      <c r="C282" s="34" t="s">
        <v>141</v>
      </c>
      <c r="E282" s="32" t="s">
        <v>141</v>
      </c>
      <c r="F282" s="31" t="s">
        <v>141</v>
      </c>
      <c r="G282" s="34" t="s">
        <v>141</v>
      </c>
    </row>
    <row r="283" spans="1:7">
      <c r="A283" s="32" t="s">
        <v>141</v>
      </c>
      <c r="B283" s="31" t="s">
        <v>141</v>
      </c>
      <c r="C283" s="34" t="s">
        <v>141</v>
      </c>
      <c r="E283" s="32" t="s">
        <v>141</v>
      </c>
      <c r="F283" s="31" t="s">
        <v>141</v>
      </c>
      <c r="G283" s="34" t="s">
        <v>141</v>
      </c>
    </row>
    <row r="284" spans="1:7">
      <c r="A284" s="32" t="s">
        <v>141</v>
      </c>
      <c r="B284" s="31" t="s">
        <v>141</v>
      </c>
      <c r="C284" s="34" t="s">
        <v>141</v>
      </c>
      <c r="E284" s="32" t="s">
        <v>141</v>
      </c>
      <c r="F284" s="31" t="s">
        <v>141</v>
      </c>
      <c r="G284" s="34" t="s">
        <v>141</v>
      </c>
    </row>
    <row r="285" spans="1:7">
      <c r="A285" s="32" t="s">
        <v>141</v>
      </c>
      <c r="B285" s="31" t="s">
        <v>141</v>
      </c>
      <c r="C285" s="34" t="s">
        <v>141</v>
      </c>
      <c r="E285" s="32" t="s">
        <v>141</v>
      </c>
      <c r="F285" s="31" t="s">
        <v>141</v>
      </c>
      <c r="G285" s="34" t="s">
        <v>141</v>
      </c>
    </row>
    <row r="286" spans="1:7">
      <c r="A286" s="32" t="s">
        <v>141</v>
      </c>
      <c r="B286" s="31" t="s">
        <v>141</v>
      </c>
      <c r="C286" s="34" t="s">
        <v>141</v>
      </c>
      <c r="E286" s="32" t="s">
        <v>141</v>
      </c>
      <c r="F286" s="31" t="s">
        <v>141</v>
      </c>
      <c r="G286" s="34" t="s">
        <v>141</v>
      </c>
    </row>
    <row r="287" spans="1:7">
      <c r="A287" s="32" t="s">
        <v>141</v>
      </c>
      <c r="B287" s="31" t="s">
        <v>141</v>
      </c>
      <c r="C287" s="34" t="s">
        <v>141</v>
      </c>
      <c r="E287" s="32" t="s">
        <v>141</v>
      </c>
      <c r="F287" s="31" t="s">
        <v>141</v>
      </c>
      <c r="G287" s="34" t="s">
        <v>141</v>
      </c>
    </row>
    <row r="288" spans="1:7">
      <c r="A288" s="32" t="s">
        <v>141</v>
      </c>
      <c r="B288" s="31" t="s">
        <v>141</v>
      </c>
      <c r="C288" s="34" t="s">
        <v>141</v>
      </c>
      <c r="E288" s="32" t="s">
        <v>141</v>
      </c>
      <c r="F288" s="31" t="s">
        <v>141</v>
      </c>
      <c r="G288" s="34" t="s">
        <v>141</v>
      </c>
    </row>
    <row r="289" spans="1:7">
      <c r="A289" s="32" t="s">
        <v>141</v>
      </c>
      <c r="B289" s="31" t="s">
        <v>141</v>
      </c>
      <c r="C289" s="34" t="s">
        <v>141</v>
      </c>
      <c r="E289" s="32" t="s">
        <v>141</v>
      </c>
      <c r="F289" s="31" t="s">
        <v>141</v>
      </c>
      <c r="G289" s="34" t="s">
        <v>141</v>
      </c>
    </row>
    <row r="290" spans="1:7">
      <c r="A290" s="32" t="s">
        <v>141</v>
      </c>
      <c r="B290" s="31" t="s">
        <v>141</v>
      </c>
      <c r="C290" s="34" t="s">
        <v>141</v>
      </c>
      <c r="E290" s="32" t="s">
        <v>141</v>
      </c>
      <c r="F290" s="31" t="s">
        <v>141</v>
      </c>
      <c r="G290" s="34" t="s">
        <v>141</v>
      </c>
    </row>
    <row r="291" spans="1:7">
      <c r="A291" s="32" t="s">
        <v>141</v>
      </c>
      <c r="B291" s="31" t="s">
        <v>141</v>
      </c>
      <c r="C291" s="34" t="s">
        <v>141</v>
      </c>
      <c r="E291" s="32" t="s">
        <v>141</v>
      </c>
      <c r="F291" s="31" t="s">
        <v>141</v>
      </c>
      <c r="G291" s="34" t="s">
        <v>141</v>
      </c>
    </row>
    <row r="292" spans="1:7">
      <c r="A292" s="32" t="s">
        <v>141</v>
      </c>
      <c r="B292" s="31" t="s">
        <v>141</v>
      </c>
      <c r="C292" s="34" t="s">
        <v>141</v>
      </c>
      <c r="E292" s="32" t="s">
        <v>141</v>
      </c>
      <c r="F292" s="31" t="s">
        <v>141</v>
      </c>
      <c r="G292" s="34" t="s">
        <v>141</v>
      </c>
    </row>
    <row r="293" spans="1:7">
      <c r="A293" s="32" t="s">
        <v>141</v>
      </c>
      <c r="B293" s="31" t="s">
        <v>141</v>
      </c>
      <c r="C293" s="34" t="s">
        <v>141</v>
      </c>
      <c r="E293" s="32" t="s">
        <v>141</v>
      </c>
      <c r="F293" s="31" t="s">
        <v>141</v>
      </c>
      <c r="G293" s="34" t="s">
        <v>141</v>
      </c>
    </row>
    <row r="294" spans="1:7">
      <c r="A294" s="32" t="s">
        <v>141</v>
      </c>
      <c r="B294" s="31" t="s">
        <v>141</v>
      </c>
      <c r="C294" s="34" t="s">
        <v>141</v>
      </c>
      <c r="E294" s="32" t="s">
        <v>141</v>
      </c>
      <c r="F294" s="31" t="s">
        <v>141</v>
      </c>
      <c r="G294" s="34" t="s">
        <v>141</v>
      </c>
    </row>
    <row r="295" spans="1:7">
      <c r="A295" s="32" t="s">
        <v>141</v>
      </c>
      <c r="B295" s="31" t="s">
        <v>141</v>
      </c>
      <c r="C295" s="34" t="s">
        <v>141</v>
      </c>
      <c r="E295" s="32" t="s">
        <v>141</v>
      </c>
      <c r="F295" s="31" t="s">
        <v>141</v>
      </c>
      <c r="G295" s="34" t="s">
        <v>141</v>
      </c>
    </row>
    <row r="296" spans="1:7">
      <c r="A296" s="32" t="s">
        <v>141</v>
      </c>
      <c r="B296" s="31" t="s">
        <v>141</v>
      </c>
      <c r="C296" s="34" t="s">
        <v>141</v>
      </c>
      <c r="E296" s="32" t="s">
        <v>141</v>
      </c>
      <c r="F296" s="31" t="s">
        <v>141</v>
      </c>
      <c r="G296" s="34" t="s">
        <v>141</v>
      </c>
    </row>
    <row r="297" spans="1:7">
      <c r="A297" s="32" t="s">
        <v>141</v>
      </c>
      <c r="B297" s="31" t="s">
        <v>141</v>
      </c>
      <c r="C297" s="34" t="s">
        <v>141</v>
      </c>
      <c r="E297" s="32" t="s">
        <v>141</v>
      </c>
      <c r="F297" s="31" t="s">
        <v>141</v>
      </c>
      <c r="G297" s="34" t="s">
        <v>141</v>
      </c>
    </row>
    <row r="298" spans="1:7">
      <c r="A298" s="32" t="s">
        <v>141</v>
      </c>
      <c r="B298" s="31" t="s">
        <v>141</v>
      </c>
      <c r="C298" s="34" t="s">
        <v>141</v>
      </c>
      <c r="E298" s="32" t="s">
        <v>141</v>
      </c>
      <c r="F298" s="31" t="s">
        <v>141</v>
      </c>
      <c r="G298" s="34" t="s">
        <v>141</v>
      </c>
    </row>
    <row r="299" spans="1:7">
      <c r="A299" s="32" t="s">
        <v>141</v>
      </c>
      <c r="B299" s="31" t="s">
        <v>141</v>
      </c>
      <c r="C299" s="34" t="s">
        <v>141</v>
      </c>
      <c r="E299" s="32" t="s">
        <v>141</v>
      </c>
      <c r="F299" s="31" t="s">
        <v>141</v>
      </c>
      <c r="G299" s="34" t="s">
        <v>141</v>
      </c>
    </row>
    <row r="300" spans="1:7">
      <c r="A300" s="32" t="s">
        <v>141</v>
      </c>
      <c r="B300" s="31" t="s">
        <v>141</v>
      </c>
      <c r="C300" s="34" t="s">
        <v>141</v>
      </c>
      <c r="E300" s="32" t="s">
        <v>141</v>
      </c>
      <c r="F300" s="31" t="s">
        <v>141</v>
      </c>
      <c r="G300" s="34" t="s">
        <v>141</v>
      </c>
    </row>
    <row r="301" spans="1:7">
      <c r="A301" s="32" t="s">
        <v>141</v>
      </c>
      <c r="B301" s="31" t="s">
        <v>141</v>
      </c>
      <c r="C301" s="34" t="s">
        <v>141</v>
      </c>
      <c r="E301" s="32" t="s">
        <v>141</v>
      </c>
      <c r="F301" s="31" t="s">
        <v>141</v>
      </c>
      <c r="G301" s="34" t="s">
        <v>141</v>
      </c>
    </row>
    <row r="302" spans="1:7">
      <c r="A302" s="32" t="s">
        <v>141</v>
      </c>
      <c r="B302" s="31" t="s">
        <v>141</v>
      </c>
      <c r="C302" s="34" t="s">
        <v>141</v>
      </c>
      <c r="E302" s="32" t="s">
        <v>141</v>
      </c>
      <c r="F302" s="31" t="s">
        <v>141</v>
      </c>
      <c r="G302" s="34" t="s">
        <v>141</v>
      </c>
    </row>
    <row r="303" spans="1:7">
      <c r="A303" s="32" t="s">
        <v>141</v>
      </c>
      <c r="B303" s="31" t="s">
        <v>141</v>
      </c>
      <c r="C303" s="34" t="s">
        <v>141</v>
      </c>
      <c r="E303" s="32" t="s">
        <v>141</v>
      </c>
      <c r="F303" s="31" t="s">
        <v>141</v>
      </c>
      <c r="G303" s="34" t="s">
        <v>141</v>
      </c>
    </row>
    <row r="304" spans="1:7">
      <c r="A304" s="32" t="s">
        <v>141</v>
      </c>
      <c r="B304" s="31" t="s">
        <v>141</v>
      </c>
      <c r="C304" s="34" t="s">
        <v>141</v>
      </c>
      <c r="E304" s="32" t="s">
        <v>141</v>
      </c>
      <c r="F304" s="31" t="s">
        <v>141</v>
      </c>
      <c r="G304" s="34" t="s">
        <v>141</v>
      </c>
    </row>
    <row r="305" spans="1:5">
      <c r="A305" s="33"/>
      <c r="E305" s="33"/>
    </row>
    <row r="306" spans="1:5">
      <c r="A306" s="33"/>
      <c r="E306" s="33"/>
    </row>
    <row r="307" spans="1:5">
      <c r="A307" s="33"/>
      <c r="E307" s="33"/>
    </row>
    <row r="308" spans="1:5">
      <c r="A308" s="33"/>
      <c r="E308" s="33"/>
    </row>
    <row r="309" spans="1:5">
      <c r="A309" s="33"/>
      <c r="E309" s="33"/>
    </row>
    <row r="310" spans="1:5">
      <c r="A310" s="33"/>
      <c r="E310" s="33"/>
    </row>
    <row r="311" spans="1:5">
      <c r="A311" s="33"/>
      <c r="E311" s="33"/>
    </row>
    <row r="312" spans="1:5">
      <c r="A312" s="33"/>
      <c r="E312" s="33"/>
    </row>
    <row r="313" spans="1:5">
      <c r="A313" s="33"/>
      <c r="E313" s="33"/>
    </row>
    <row r="314" spans="1:5">
      <c r="A314" s="33"/>
      <c r="E314" s="33"/>
    </row>
    <row r="315" spans="1:5">
      <c r="A315" s="33"/>
      <c r="E315" s="33"/>
    </row>
    <row r="316" spans="1:5">
      <c r="A316" s="33"/>
      <c r="E316" s="33"/>
    </row>
    <row r="317" spans="1:5">
      <c r="A317" s="33"/>
      <c r="E317" s="33"/>
    </row>
    <row r="318" spans="1:5">
      <c r="A318" s="33"/>
      <c r="E318" s="33"/>
    </row>
    <row r="319" spans="1:5">
      <c r="A319" s="33"/>
      <c r="E319" s="33"/>
    </row>
    <row r="320" spans="1:5">
      <c r="A320" s="33"/>
      <c r="E320" s="33"/>
    </row>
    <row r="321" spans="1:5">
      <c r="A321" s="33"/>
      <c r="E321" s="33"/>
    </row>
    <row r="322" spans="1:5">
      <c r="A322" s="33"/>
      <c r="E322" s="33"/>
    </row>
    <row r="323" spans="1:5">
      <c r="A323" s="33"/>
      <c r="E323" s="33"/>
    </row>
    <row r="324" spans="1:5">
      <c r="A324" s="33"/>
      <c r="E324" s="33"/>
    </row>
    <row r="325" spans="1:5">
      <c r="A325" s="33"/>
      <c r="E325" s="33"/>
    </row>
    <row r="326" spans="1:5">
      <c r="A326" s="33"/>
      <c r="E326" s="33"/>
    </row>
    <row r="327" spans="1:5">
      <c r="A327" s="33"/>
      <c r="E327" s="33"/>
    </row>
    <row r="328" spans="1:5">
      <c r="A328" s="33"/>
      <c r="E328" s="33"/>
    </row>
    <row r="329" spans="1:5">
      <c r="A329" s="33"/>
      <c r="E329" s="33"/>
    </row>
    <row r="330" spans="1:5">
      <c r="A330" s="33"/>
      <c r="E330" s="33"/>
    </row>
    <row r="331" spans="1:5">
      <c r="A331" s="33"/>
      <c r="E331" s="33"/>
    </row>
    <row r="332" spans="1:5">
      <c r="A332" s="33"/>
      <c r="E332" s="33"/>
    </row>
    <row r="333" spans="1:5">
      <c r="A333" s="33"/>
      <c r="E333" s="33"/>
    </row>
    <row r="334" spans="1:5">
      <c r="A334" s="33"/>
      <c r="E334" s="33"/>
    </row>
    <row r="335" spans="1:5">
      <c r="A335" s="33"/>
      <c r="E335" s="33"/>
    </row>
    <row r="336" spans="1:5">
      <c r="A336" s="33"/>
      <c r="E336" s="33"/>
    </row>
    <row r="337" spans="1:5">
      <c r="A337" s="33"/>
      <c r="E337" s="33"/>
    </row>
    <row r="338" spans="1:5">
      <c r="A338" s="33"/>
      <c r="E338" s="33"/>
    </row>
    <row r="339" spans="1:5">
      <c r="A339" s="33"/>
      <c r="E339" s="33"/>
    </row>
    <row r="340" spans="1:5">
      <c r="A340" s="33"/>
      <c r="E340" s="33"/>
    </row>
    <row r="341" spans="1:5">
      <c r="A341" s="33"/>
      <c r="E341" s="33"/>
    </row>
    <row r="342" spans="1:5">
      <c r="A342" s="33"/>
      <c r="E342" s="33"/>
    </row>
    <row r="343" spans="1:5">
      <c r="A343" s="33"/>
      <c r="E343" s="33"/>
    </row>
    <row r="344" spans="1:5">
      <c r="A344" s="33"/>
      <c r="E344" s="33"/>
    </row>
    <row r="345" spans="1:5">
      <c r="A345" s="33"/>
      <c r="E345" s="33"/>
    </row>
    <row r="346" spans="1:5">
      <c r="A346" s="33"/>
      <c r="E346" s="33"/>
    </row>
    <row r="347" spans="1:5">
      <c r="A347" s="33"/>
      <c r="E347" s="33"/>
    </row>
    <row r="348" spans="1:5">
      <c r="A348" s="33"/>
      <c r="E348" s="33"/>
    </row>
    <row r="349" spans="1:5">
      <c r="A349" s="33"/>
      <c r="E349" s="33"/>
    </row>
    <row r="350" spans="1:5">
      <c r="A350" s="33"/>
      <c r="E350" s="33"/>
    </row>
    <row r="351" spans="1:5">
      <c r="A351" s="33"/>
      <c r="E351" s="33"/>
    </row>
    <row r="352" spans="1:5">
      <c r="A352" s="33"/>
      <c r="E352" s="33"/>
    </row>
    <row r="353" spans="1:5">
      <c r="A353" s="33"/>
      <c r="E353" s="33"/>
    </row>
    <row r="354" spans="1:5">
      <c r="A354" s="33"/>
      <c r="E354" s="33"/>
    </row>
    <row r="355" spans="1:5">
      <c r="A355" s="33"/>
      <c r="E355" s="33"/>
    </row>
    <row r="356" spans="1:5">
      <c r="A356" s="33"/>
      <c r="E356" s="33"/>
    </row>
    <row r="357" spans="1:5">
      <c r="A357" s="33"/>
      <c r="E357" s="33"/>
    </row>
    <row r="358" spans="1:5">
      <c r="A358" s="33"/>
      <c r="E358" s="33"/>
    </row>
    <row r="359" spans="1:5">
      <c r="A359" s="33"/>
      <c r="E359" s="33"/>
    </row>
    <row r="360" spans="1:5">
      <c r="A360" s="33"/>
      <c r="E360" s="33"/>
    </row>
    <row r="361" spans="1:5">
      <c r="A361" s="33"/>
      <c r="E361" s="33"/>
    </row>
    <row r="362" spans="1:5">
      <c r="A362" s="33"/>
      <c r="E362" s="33"/>
    </row>
    <row r="363" spans="1:5">
      <c r="A363" s="33"/>
      <c r="E363" s="33"/>
    </row>
    <row r="364" spans="1:5">
      <c r="A364" s="33"/>
      <c r="E364" s="33"/>
    </row>
    <row r="365" spans="1:5">
      <c r="A365" s="33"/>
      <c r="E365" s="33"/>
    </row>
    <row r="366" spans="1:5">
      <c r="A366" s="33"/>
      <c r="E366" s="33"/>
    </row>
    <row r="367" spans="1:5">
      <c r="A367" s="33"/>
      <c r="E367" s="33"/>
    </row>
    <row r="368" spans="1:5">
      <c r="A368" s="33"/>
      <c r="E368" s="33"/>
    </row>
    <row r="369" spans="1:5">
      <c r="A369" s="33"/>
      <c r="E369" s="33"/>
    </row>
    <row r="370" spans="1:5">
      <c r="A370" s="33"/>
      <c r="E370" s="33"/>
    </row>
    <row r="371" spans="1:5">
      <c r="A371" s="33"/>
      <c r="E371" s="33"/>
    </row>
    <row r="372" spans="1:5">
      <c r="A372" s="33"/>
      <c r="E372" s="33"/>
    </row>
    <row r="373" spans="1:5">
      <c r="A373" s="33"/>
      <c r="E373" s="33"/>
    </row>
    <row r="374" spans="1:5">
      <c r="A374" s="33"/>
      <c r="E374" s="33"/>
    </row>
    <row r="375" spans="1:5">
      <c r="A375" s="33"/>
      <c r="E375" s="33"/>
    </row>
    <row r="376" spans="1:5">
      <c r="A376" s="33"/>
      <c r="E376" s="33"/>
    </row>
    <row r="377" spans="1:5">
      <c r="A377" s="33"/>
      <c r="E377" s="33"/>
    </row>
    <row r="378" spans="1:5">
      <c r="A378" s="33"/>
      <c r="E378" s="33"/>
    </row>
    <row r="379" spans="1:5">
      <c r="A379" s="33"/>
      <c r="E379" s="33"/>
    </row>
    <row r="380" spans="1:5">
      <c r="A380" s="33"/>
      <c r="E380" s="33"/>
    </row>
    <row r="381" spans="1:5">
      <c r="A381" s="33"/>
      <c r="E381" s="33"/>
    </row>
    <row r="382" spans="1:5">
      <c r="A382" s="33"/>
      <c r="E382" s="33"/>
    </row>
    <row r="383" spans="1:5">
      <c r="A383" s="33"/>
      <c r="E383" s="33"/>
    </row>
    <row r="384" spans="1:5">
      <c r="A384" s="33"/>
      <c r="E384" s="33"/>
    </row>
    <row r="385" spans="1:5">
      <c r="A385" s="33"/>
      <c r="E385" s="33"/>
    </row>
    <row r="386" spans="1:5">
      <c r="A386" s="33"/>
      <c r="E386" s="33"/>
    </row>
    <row r="387" spans="1:5">
      <c r="A387" s="33"/>
      <c r="E387" s="33"/>
    </row>
    <row r="388" spans="1:5">
      <c r="A388" s="33"/>
      <c r="E388" s="33"/>
    </row>
    <row r="389" spans="1:5">
      <c r="A389" s="33"/>
      <c r="E389" s="33"/>
    </row>
    <row r="390" spans="1:5">
      <c r="A390" s="33"/>
      <c r="E390" s="33"/>
    </row>
    <row r="391" spans="1:5">
      <c r="A391" s="33"/>
      <c r="E391" s="33"/>
    </row>
    <row r="392" spans="1:5">
      <c r="A392" s="33"/>
      <c r="E392" s="33"/>
    </row>
    <row r="393" spans="1:5">
      <c r="A393" s="33"/>
      <c r="E393" s="33"/>
    </row>
    <row r="394" spans="1:5">
      <c r="A394" s="33"/>
      <c r="E394" s="33"/>
    </row>
    <row r="395" spans="1:5">
      <c r="A395" s="33"/>
      <c r="E395" s="33"/>
    </row>
    <row r="396" spans="1:5">
      <c r="A396" s="33"/>
      <c r="E396" s="33"/>
    </row>
    <row r="397" spans="1:5">
      <c r="A397" s="33"/>
      <c r="E397" s="33"/>
    </row>
    <row r="398" spans="1:5">
      <c r="A398" s="33"/>
      <c r="E398" s="33"/>
    </row>
    <row r="399" spans="1:5">
      <c r="A399" s="33"/>
      <c r="E399" s="33"/>
    </row>
    <row r="400" spans="1:5">
      <c r="A400" s="33"/>
      <c r="E400" s="33"/>
    </row>
    <row r="401" spans="1:5">
      <c r="A401" s="33"/>
      <c r="E401" s="33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135"/>
  <sheetViews>
    <sheetView workbookViewId="0">
      <selection activeCell="K37" sqref="K37"/>
    </sheetView>
  </sheetViews>
  <sheetFormatPr defaultRowHeight="15"/>
  <cols>
    <col min="1" max="1" width="21" bestFit="1" customWidth="1"/>
    <col min="2" max="2" width="27.7109375" bestFit="1" customWidth="1"/>
    <col min="3" max="4" width="9.85546875" bestFit="1" customWidth="1"/>
  </cols>
  <sheetData>
    <row r="1" spans="1:4" s="240" customFormat="1" ht="33">
      <c r="A1" s="262" t="s">
        <v>303</v>
      </c>
      <c r="B1" s="263" t="s">
        <v>304</v>
      </c>
      <c r="C1" s="264" t="s">
        <v>305</v>
      </c>
      <c r="D1" s="264" t="s">
        <v>306</v>
      </c>
    </row>
    <row r="2" spans="1:4">
      <c r="A2" s="260">
        <v>10005</v>
      </c>
      <c r="B2" s="261" t="s">
        <v>7</v>
      </c>
      <c r="C2" s="265">
        <v>6212.6606158474387</v>
      </c>
      <c r="D2" s="265">
        <v>6213.9824026203496</v>
      </c>
    </row>
    <row r="3" spans="1:4">
      <c r="A3" s="260">
        <v>10015</v>
      </c>
      <c r="B3" s="261" t="s">
        <v>8</v>
      </c>
      <c r="C3" s="265">
        <v>3220.9875879357182</v>
      </c>
      <c r="D3" s="265">
        <v>3201.4659683512054</v>
      </c>
    </row>
    <row r="4" spans="1:4">
      <c r="A4" s="260">
        <v>10024</v>
      </c>
      <c r="B4" s="261" t="s">
        <v>9</v>
      </c>
      <c r="C4" s="265">
        <v>2205817.9477037573</v>
      </c>
      <c r="D4" s="265">
        <v>2198961.9645222379</v>
      </c>
    </row>
    <row r="5" spans="1:4">
      <c r="A5" s="260">
        <v>10025</v>
      </c>
      <c r="B5" s="261" t="s">
        <v>10</v>
      </c>
      <c r="C5" s="265">
        <v>701205.67308877385</v>
      </c>
      <c r="D5" s="265">
        <v>699173.54942251719</v>
      </c>
    </row>
    <row r="6" spans="1:4">
      <c r="A6" s="260">
        <v>10027</v>
      </c>
      <c r="B6" s="261" t="s">
        <v>11</v>
      </c>
      <c r="C6" s="265">
        <v>524473.06420202751</v>
      </c>
      <c r="D6" s="265">
        <v>522388.67452471558</v>
      </c>
    </row>
    <row r="7" spans="1:4">
      <c r="A7" s="260">
        <v>10029</v>
      </c>
      <c r="B7" s="261" t="s">
        <v>12</v>
      </c>
      <c r="C7" s="265">
        <v>201878.73449378833</v>
      </c>
      <c r="D7" s="265">
        <v>201278.70914700232</v>
      </c>
    </row>
    <row r="8" spans="1:4">
      <c r="A8" s="260">
        <v>10044</v>
      </c>
      <c r="B8" s="261" t="s">
        <v>13</v>
      </c>
      <c r="C8" s="265">
        <v>260931.86102272948</v>
      </c>
      <c r="D8" s="265">
        <v>260240.09368045762</v>
      </c>
    </row>
    <row r="9" spans="1:4">
      <c r="A9" s="260">
        <v>10046</v>
      </c>
      <c r="B9" s="261" t="s">
        <v>14</v>
      </c>
      <c r="C9" s="265">
        <v>860546.92159758043</v>
      </c>
      <c r="D9" s="265">
        <v>857758.91216610605</v>
      </c>
    </row>
    <row r="10" spans="1:4">
      <c r="A10" s="260">
        <v>10047</v>
      </c>
      <c r="B10" s="261" t="s">
        <v>15</v>
      </c>
      <c r="C10" s="265">
        <v>1356406.4002414742</v>
      </c>
      <c r="D10" s="265">
        <v>1353243.676614064</v>
      </c>
    </row>
    <row r="11" spans="1:4">
      <c r="A11" s="260">
        <v>10055</v>
      </c>
      <c r="B11" s="261" t="s">
        <v>16</v>
      </c>
      <c r="C11" s="265">
        <v>2233.2709507485338</v>
      </c>
      <c r="D11" s="265">
        <v>2223.6783326971431</v>
      </c>
    </row>
    <row r="12" spans="1:4">
      <c r="A12" s="260">
        <v>10057</v>
      </c>
      <c r="B12" s="261" t="s">
        <v>17</v>
      </c>
      <c r="C12" s="265">
        <v>279929.27915920061</v>
      </c>
      <c r="D12" s="265">
        <v>279211.61922543542</v>
      </c>
    </row>
    <row r="13" spans="1:4">
      <c r="A13" s="260">
        <v>10059</v>
      </c>
      <c r="B13" s="261" t="s">
        <v>18</v>
      </c>
      <c r="C13" s="265">
        <v>98196.636354647344</v>
      </c>
      <c r="D13" s="265">
        <v>98040.701261843904</v>
      </c>
    </row>
    <row r="14" spans="1:4">
      <c r="A14" s="260">
        <v>10061</v>
      </c>
      <c r="B14" s="261" t="s">
        <v>19</v>
      </c>
      <c r="C14" s="265">
        <v>109661.91720420276</v>
      </c>
      <c r="D14" s="265">
        <v>109363.99613290808</v>
      </c>
    </row>
    <row r="15" spans="1:4">
      <c r="A15" s="260">
        <v>10062</v>
      </c>
      <c r="B15" s="261" t="s">
        <v>20</v>
      </c>
      <c r="C15" s="265">
        <v>75485.934594487466</v>
      </c>
      <c r="D15" s="265">
        <v>75304.73453684157</v>
      </c>
    </row>
    <row r="16" spans="1:4">
      <c r="A16" s="260">
        <v>10064</v>
      </c>
      <c r="B16" s="261" t="s">
        <v>21</v>
      </c>
      <c r="C16" s="265">
        <v>184426.84071116755</v>
      </c>
      <c r="D16" s="265">
        <v>183947.79170643725</v>
      </c>
    </row>
    <row r="17" spans="1:4">
      <c r="A17" s="260">
        <v>10065</v>
      </c>
      <c r="B17" s="261" t="s">
        <v>22</v>
      </c>
      <c r="C17" s="265">
        <v>31272.967452342367</v>
      </c>
      <c r="D17" s="265">
        <v>31191.996005592813</v>
      </c>
    </row>
    <row r="18" spans="1:4">
      <c r="A18" s="260">
        <v>10066</v>
      </c>
      <c r="B18" s="261" t="s">
        <v>23</v>
      </c>
      <c r="C18" s="265">
        <v>301197.82043856161</v>
      </c>
      <c r="D18" s="265">
        <v>299835.43138885591</v>
      </c>
    </row>
    <row r="19" spans="1:4">
      <c r="A19" s="260">
        <v>10067</v>
      </c>
      <c r="B19" s="261" t="s">
        <v>24</v>
      </c>
      <c r="C19" s="265">
        <v>197496.66232530522</v>
      </c>
      <c r="D19" s="265">
        <v>196957.91851586019</v>
      </c>
    </row>
    <row r="20" spans="1:4">
      <c r="A20" s="260">
        <v>10068</v>
      </c>
      <c r="B20" s="261" t="s">
        <v>25</v>
      </c>
      <c r="C20" s="265">
        <v>15049.786833285856</v>
      </c>
      <c r="D20" s="265">
        <v>14994.057977388711</v>
      </c>
    </row>
    <row r="21" spans="1:4">
      <c r="A21" s="260">
        <v>10070</v>
      </c>
      <c r="B21" s="261" t="s">
        <v>26</v>
      </c>
      <c r="C21" s="265">
        <v>2015.1006092011639</v>
      </c>
      <c r="D21" s="265">
        <v>2002.8875762591288</v>
      </c>
    </row>
    <row r="22" spans="1:4">
      <c r="A22" s="260">
        <v>10071</v>
      </c>
      <c r="B22" s="261" t="s">
        <v>27</v>
      </c>
      <c r="C22" s="265">
        <v>29750.927364200797</v>
      </c>
      <c r="D22" s="265">
        <v>29717.845608417105</v>
      </c>
    </row>
    <row r="23" spans="1:4">
      <c r="A23" s="260">
        <v>10072</v>
      </c>
      <c r="B23" s="261" t="s">
        <v>28</v>
      </c>
      <c r="C23" s="265">
        <v>309960.83067431522</v>
      </c>
      <c r="D23" s="265">
        <v>309143.95186859777</v>
      </c>
    </row>
    <row r="24" spans="1:4">
      <c r="A24" s="260">
        <v>10074</v>
      </c>
      <c r="B24" s="261" t="s">
        <v>29</v>
      </c>
      <c r="C24" s="265">
        <v>319099.34177259984</v>
      </c>
      <c r="D24" s="265">
        <v>318190.48055736226</v>
      </c>
    </row>
    <row r="25" spans="1:4">
      <c r="A25" s="260">
        <v>10076</v>
      </c>
      <c r="B25" s="261" t="s">
        <v>30</v>
      </c>
      <c r="C25" s="265">
        <v>77630.668152548416</v>
      </c>
      <c r="D25" s="265">
        <v>77466.585574144105</v>
      </c>
    </row>
    <row r="26" spans="1:4">
      <c r="A26" s="260">
        <v>10078</v>
      </c>
      <c r="B26" s="261" t="s">
        <v>31</v>
      </c>
      <c r="C26" s="265">
        <v>56468.631515895497</v>
      </c>
      <c r="D26" s="265">
        <v>56342.005444033886</v>
      </c>
    </row>
    <row r="27" spans="1:4">
      <c r="A27" s="260">
        <v>10079</v>
      </c>
      <c r="B27" s="261" t="s">
        <v>32</v>
      </c>
      <c r="C27" s="265">
        <v>1089139.938739561</v>
      </c>
      <c r="D27" s="265">
        <v>1086136.398126344</v>
      </c>
    </row>
    <row r="28" spans="1:4">
      <c r="A28" s="260">
        <v>10080</v>
      </c>
      <c r="B28" s="261" t="s">
        <v>33</v>
      </c>
      <c r="C28" s="265">
        <v>95504.502766492631</v>
      </c>
      <c r="D28" s="265">
        <v>95251.178498559108</v>
      </c>
    </row>
    <row r="29" spans="1:4">
      <c r="A29" s="260">
        <v>10081</v>
      </c>
      <c r="B29" s="261" t="s">
        <v>34</v>
      </c>
      <c r="C29" s="265">
        <v>132336.57605235174</v>
      </c>
      <c r="D29" s="265">
        <v>132000.95806048007</v>
      </c>
    </row>
    <row r="30" spans="1:4">
      <c r="A30" s="260">
        <v>10082</v>
      </c>
      <c r="B30" s="261" t="s">
        <v>35</v>
      </c>
      <c r="C30" s="265">
        <v>575.17635498852121</v>
      </c>
      <c r="D30" s="265">
        <v>571.69035149128672</v>
      </c>
    </row>
    <row r="31" spans="1:4">
      <c r="A31" s="260">
        <v>10083</v>
      </c>
      <c r="B31" s="261" t="s">
        <v>36</v>
      </c>
      <c r="C31" s="265">
        <v>106604.71104336144</v>
      </c>
      <c r="D31" s="265">
        <v>106319.84445412882</v>
      </c>
    </row>
    <row r="32" spans="1:4">
      <c r="A32" s="260">
        <v>10086</v>
      </c>
      <c r="B32" s="261" t="s">
        <v>37</v>
      </c>
      <c r="C32" s="265">
        <v>50427.790581798938</v>
      </c>
      <c r="D32" s="265">
        <v>50293.39913662969</v>
      </c>
    </row>
    <row r="33" spans="1:4">
      <c r="A33" s="260">
        <v>10087</v>
      </c>
      <c r="B33" s="261" t="s">
        <v>38</v>
      </c>
      <c r="C33" s="265">
        <v>693203.97036166384</v>
      </c>
      <c r="D33" s="265">
        <v>692578.66651456209</v>
      </c>
    </row>
    <row r="34" spans="1:4">
      <c r="A34" s="260">
        <v>10089</v>
      </c>
      <c r="B34" s="261" t="s">
        <v>39</v>
      </c>
      <c r="C34" s="265">
        <v>1207342.0876217578</v>
      </c>
      <c r="D34" s="265">
        <v>1203804.5153141678</v>
      </c>
    </row>
    <row r="35" spans="1:4">
      <c r="A35" s="260">
        <v>10091</v>
      </c>
      <c r="B35" s="261" t="s">
        <v>40</v>
      </c>
      <c r="C35" s="265">
        <v>125894.70843970538</v>
      </c>
      <c r="D35" s="265">
        <v>125573.77974532895</v>
      </c>
    </row>
    <row r="36" spans="1:4">
      <c r="A36" s="260">
        <v>10094</v>
      </c>
      <c r="B36" s="261" t="s">
        <v>41</v>
      </c>
      <c r="C36" s="265">
        <v>17064.887442487019</v>
      </c>
      <c r="D36" s="265">
        <v>16961.461324934589</v>
      </c>
    </row>
    <row r="37" spans="1:4">
      <c r="A37" s="260">
        <v>10095</v>
      </c>
      <c r="B37" s="261" t="s">
        <v>42</v>
      </c>
      <c r="C37" s="265">
        <v>43901.029034336563</v>
      </c>
      <c r="D37" s="265">
        <v>43776.951351238444</v>
      </c>
    </row>
    <row r="38" spans="1:4">
      <c r="A38" s="260">
        <v>10097</v>
      </c>
      <c r="B38" s="261" t="s">
        <v>43</v>
      </c>
      <c r="C38" s="265">
        <v>11451.95956449559</v>
      </c>
      <c r="D38" s="265">
        <v>11382.552032795482</v>
      </c>
    </row>
    <row r="39" spans="1:4">
      <c r="A39" s="260">
        <v>10101</v>
      </c>
      <c r="B39" s="261" t="s">
        <v>44</v>
      </c>
      <c r="C39" s="265">
        <v>947867.86706278101</v>
      </c>
      <c r="D39" s="265">
        <v>945278.19920959766</v>
      </c>
    </row>
    <row r="40" spans="1:4">
      <c r="A40" s="260">
        <v>10103</v>
      </c>
      <c r="B40" s="261" t="s">
        <v>45</v>
      </c>
      <c r="C40" s="265">
        <v>4076834.2519638757</v>
      </c>
      <c r="D40" s="265">
        <v>4071817.9288089415</v>
      </c>
    </row>
    <row r="41" spans="1:4">
      <c r="A41" s="260">
        <v>10105</v>
      </c>
      <c r="B41" s="261" t="s">
        <v>46</v>
      </c>
      <c r="C41" s="265">
        <v>1100156.3819007562</v>
      </c>
      <c r="D41" s="265">
        <v>1090145.4533127991</v>
      </c>
    </row>
    <row r="42" spans="1:4">
      <c r="A42" s="260">
        <v>10106</v>
      </c>
      <c r="B42" s="261" t="s">
        <v>47</v>
      </c>
      <c r="C42" s="265">
        <v>260035.52408878764</v>
      </c>
      <c r="D42" s="265">
        <v>259222.15532797086</v>
      </c>
    </row>
    <row r="43" spans="1:4">
      <c r="A43" s="260">
        <v>10109</v>
      </c>
      <c r="B43" s="261" t="s">
        <v>48</v>
      </c>
      <c r="C43" s="265">
        <v>68108.813897606262</v>
      </c>
      <c r="D43" s="265">
        <v>67696.023000726855</v>
      </c>
    </row>
    <row r="44" spans="1:4">
      <c r="A44" s="260">
        <v>10111</v>
      </c>
      <c r="B44" s="261" t="s">
        <v>49</v>
      </c>
      <c r="C44" s="265">
        <v>16850.683834422329</v>
      </c>
      <c r="D44" s="265">
        <v>16673.64480314932</v>
      </c>
    </row>
    <row r="45" spans="1:4">
      <c r="A45" s="260">
        <v>10112</v>
      </c>
      <c r="B45" s="261" t="s">
        <v>50</v>
      </c>
      <c r="C45" s="265">
        <v>585492.23640435282</v>
      </c>
      <c r="D45" s="265">
        <v>584171.50650791673</v>
      </c>
    </row>
    <row r="46" spans="1:4">
      <c r="A46" s="260">
        <v>10113</v>
      </c>
      <c r="B46" s="261" t="s">
        <v>51</v>
      </c>
      <c r="C46" s="265">
        <v>211839.43490901371</v>
      </c>
      <c r="D46" s="265">
        <v>210555.52780028054</v>
      </c>
    </row>
    <row r="47" spans="1:4">
      <c r="A47" s="260">
        <v>10116</v>
      </c>
      <c r="B47" s="261" t="s">
        <v>52</v>
      </c>
      <c r="C47" s="265">
        <v>3106.5164304322193</v>
      </c>
      <c r="D47" s="265">
        <v>3098.7510571245866</v>
      </c>
    </row>
    <row r="48" spans="1:4">
      <c r="A48" s="260">
        <v>10118</v>
      </c>
      <c r="B48" s="261" t="s">
        <v>53</v>
      </c>
      <c r="C48" s="265">
        <v>502767.38362718758</v>
      </c>
      <c r="D48" s="265">
        <v>501211.64036988036</v>
      </c>
    </row>
    <row r="49" spans="1:4">
      <c r="A49" s="260">
        <v>10121</v>
      </c>
      <c r="B49" s="261" t="s">
        <v>54</v>
      </c>
      <c r="C49" s="265">
        <v>451182.23210318614</v>
      </c>
      <c r="D49" s="265">
        <v>449837.25982974283</v>
      </c>
    </row>
    <row r="50" spans="1:4">
      <c r="A50" s="260">
        <v>10123</v>
      </c>
      <c r="B50" s="261" t="s">
        <v>55</v>
      </c>
      <c r="C50" s="265">
        <v>6533371.8532547178</v>
      </c>
      <c r="D50" s="265">
        <v>6514664.9968324201</v>
      </c>
    </row>
    <row r="51" spans="1:4">
      <c r="A51" s="260">
        <v>10136</v>
      </c>
      <c r="B51" s="261" t="s">
        <v>56</v>
      </c>
      <c r="C51" s="265">
        <v>208802.48375921027</v>
      </c>
      <c r="D51" s="265">
        <v>208427.7441266384</v>
      </c>
    </row>
    <row r="52" spans="1:4">
      <c r="A52" s="260">
        <v>10142</v>
      </c>
      <c r="B52" s="261" t="s">
        <v>57</v>
      </c>
      <c r="C52" s="265">
        <v>15101.354368560689</v>
      </c>
      <c r="D52" s="265">
        <v>15009.828745705714</v>
      </c>
    </row>
    <row r="53" spans="1:4">
      <c r="A53" s="260">
        <v>10144</v>
      </c>
      <c r="B53" s="261" t="s">
        <v>58</v>
      </c>
      <c r="C53" s="265">
        <v>41873.892466229881</v>
      </c>
      <c r="D53" s="265">
        <v>41796.430181632742</v>
      </c>
    </row>
    <row r="54" spans="1:4">
      <c r="A54" s="260">
        <v>10156</v>
      </c>
      <c r="B54" s="261" t="s">
        <v>59</v>
      </c>
      <c r="C54" s="265">
        <v>180621.24240032636</v>
      </c>
      <c r="D54" s="265">
        <v>180086.40341183459</v>
      </c>
    </row>
    <row r="55" spans="1:4">
      <c r="A55" s="260">
        <v>10157</v>
      </c>
      <c r="B55" s="261" t="s">
        <v>60</v>
      </c>
      <c r="C55" s="265">
        <v>657317.14694681426</v>
      </c>
      <c r="D55" s="265">
        <v>655615.47237069183</v>
      </c>
    </row>
    <row r="56" spans="1:4">
      <c r="A56" s="260">
        <v>10158</v>
      </c>
      <c r="B56" s="261" t="s">
        <v>61</v>
      </c>
      <c r="C56" s="265">
        <v>35476.457803994388</v>
      </c>
      <c r="D56" s="265">
        <v>35385.172595173703</v>
      </c>
    </row>
    <row r="57" spans="1:4">
      <c r="A57" s="260">
        <v>10170</v>
      </c>
      <c r="B57" s="261" t="s">
        <v>62</v>
      </c>
      <c r="C57" s="265">
        <v>2844268.4545550141</v>
      </c>
      <c r="D57" s="265">
        <v>2838821.0606664242</v>
      </c>
    </row>
    <row r="58" spans="1:4">
      <c r="A58" s="260">
        <v>10172</v>
      </c>
      <c r="B58" s="261" t="s">
        <v>63</v>
      </c>
      <c r="C58" s="265">
        <v>92012.840640199531</v>
      </c>
      <c r="D58" s="265">
        <v>91979.347041897083</v>
      </c>
    </row>
    <row r="59" spans="1:4">
      <c r="A59" s="260">
        <v>10173</v>
      </c>
      <c r="B59" s="261" t="s">
        <v>64</v>
      </c>
      <c r="C59" s="265">
        <v>338597.0860257973</v>
      </c>
      <c r="D59" s="265">
        <v>337468.63063163741</v>
      </c>
    </row>
    <row r="60" spans="1:4">
      <c r="A60" s="260">
        <v>10174</v>
      </c>
      <c r="B60" s="261" t="s">
        <v>65</v>
      </c>
      <c r="C60" s="265">
        <v>2852.0813740465292</v>
      </c>
      <c r="D60" s="265">
        <v>2834.7956049809318</v>
      </c>
    </row>
    <row r="61" spans="1:4">
      <c r="A61" s="260">
        <v>10177</v>
      </c>
      <c r="B61" s="261" t="s">
        <v>66</v>
      </c>
      <c r="C61" s="265">
        <v>124305.72133002119</v>
      </c>
      <c r="D61" s="265">
        <v>121881.9669069932</v>
      </c>
    </row>
    <row r="62" spans="1:4">
      <c r="A62" s="260">
        <v>10179</v>
      </c>
      <c r="B62" s="261" t="s">
        <v>67</v>
      </c>
      <c r="C62" s="265">
        <v>1545636.9725373732</v>
      </c>
      <c r="D62" s="265">
        <v>1539954.6666298639</v>
      </c>
    </row>
    <row r="63" spans="1:4">
      <c r="A63" s="260">
        <v>10183</v>
      </c>
      <c r="B63" s="261" t="s">
        <v>68</v>
      </c>
      <c r="C63" s="265">
        <v>1131478.6429234776</v>
      </c>
      <c r="D63" s="265">
        <v>1127481.4230237245</v>
      </c>
    </row>
    <row r="64" spans="1:4">
      <c r="A64" s="260">
        <v>10186</v>
      </c>
      <c r="B64" s="261" t="s">
        <v>69</v>
      </c>
      <c r="C64" s="265">
        <v>104678.12987442817</v>
      </c>
      <c r="D64" s="265">
        <v>104658.76124369798</v>
      </c>
    </row>
    <row r="65" spans="1:4">
      <c r="A65" s="260">
        <v>10190</v>
      </c>
      <c r="B65" s="261" t="s">
        <v>70</v>
      </c>
      <c r="C65" s="265">
        <v>1376110.9197385786</v>
      </c>
      <c r="D65" s="265">
        <v>1374716.8308779295</v>
      </c>
    </row>
    <row r="66" spans="1:4">
      <c r="A66" s="260">
        <v>10191</v>
      </c>
      <c r="B66" s="261" t="s">
        <v>71</v>
      </c>
      <c r="C66" s="265">
        <v>1467483.9585642517</v>
      </c>
      <c r="D66" s="265">
        <v>1462882.149766719</v>
      </c>
    </row>
    <row r="67" spans="1:4">
      <c r="A67" s="260">
        <v>10197</v>
      </c>
      <c r="B67" s="261" t="s">
        <v>72</v>
      </c>
      <c r="C67" s="265">
        <v>219249.61152246164</v>
      </c>
      <c r="D67" s="265">
        <v>218474.63688292133</v>
      </c>
    </row>
    <row r="68" spans="1:4">
      <c r="A68" s="260">
        <v>10202</v>
      </c>
      <c r="B68" s="261" t="s">
        <v>73</v>
      </c>
      <c r="C68" s="265">
        <v>163397.78896729407</v>
      </c>
      <c r="D68" s="265">
        <v>162951.6286024549</v>
      </c>
    </row>
    <row r="69" spans="1:4">
      <c r="A69" s="260">
        <v>10203</v>
      </c>
      <c r="B69" s="261" t="s">
        <v>74</v>
      </c>
      <c r="C69" s="265">
        <v>73932.85602435912</v>
      </c>
      <c r="D69" s="265">
        <v>73721.195508568402</v>
      </c>
    </row>
    <row r="70" spans="1:4">
      <c r="A70" s="260">
        <v>10204</v>
      </c>
      <c r="B70" s="261" t="s">
        <v>75</v>
      </c>
      <c r="C70" s="265">
        <v>810535.73706475971</v>
      </c>
      <c r="D70" s="265">
        <v>809065.65736031393</v>
      </c>
    </row>
    <row r="71" spans="1:4">
      <c r="A71" s="260">
        <v>10209</v>
      </c>
      <c r="B71" s="261" t="s">
        <v>76</v>
      </c>
      <c r="C71" s="265">
        <v>589496.26286099397</v>
      </c>
      <c r="D71" s="265">
        <v>585923.4698973801</v>
      </c>
    </row>
    <row r="72" spans="1:4">
      <c r="A72" s="260">
        <v>10230</v>
      </c>
      <c r="B72" s="261" t="s">
        <v>77</v>
      </c>
      <c r="C72" s="265">
        <v>102591.41358022759</v>
      </c>
      <c r="D72" s="265">
        <v>102260.91640728634</v>
      </c>
    </row>
    <row r="73" spans="1:4">
      <c r="A73" s="260">
        <v>10231</v>
      </c>
      <c r="B73" s="261" t="s">
        <v>78</v>
      </c>
      <c r="C73" s="265">
        <v>425266.0217424545</v>
      </c>
      <c r="D73" s="265">
        <v>424017.33528974513</v>
      </c>
    </row>
    <row r="74" spans="1:4">
      <c r="A74" s="260">
        <v>10234</v>
      </c>
      <c r="B74" s="261" t="s">
        <v>79</v>
      </c>
      <c r="C74" s="265">
        <v>286620.29452448682</v>
      </c>
      <c r="D74" s="265">
        <v>284883.15887830633</v>
      </c>
    </row>
    <row r="75" spans="1:4">
      <c r="A75" s="260">
        <v>10235</v>
      </c>
      <c r="B75" s="261" t="s">
        <v>80</v>
      </c>
      <c r="C75" s="265">
        <v>439571.22445567552</v>
      </c>
      <c r="D75" s="265">
        <v>439373.94286799885</v>
      </c>
    </row>
    <row r="76" spans="1:4">
      <c r="A76" s="260">
        <v>10236</v>
      </c>
      <c r="B76" s="261" t="s">
        <v>81</v>
      </c>
      <c r="C76" s="265">
        <v>310753.25035182608</v>
      </c>
      <c r="D76" s="265">
        <v>309804.16786865145</v>
      </c>
    </row>
    <row r="77" spans="1:4">
      <c r="A77" s="260">
        <v>10237</v>
      </c>
      <c r="B77" s="261" t="s">
        <v>82</v>
      </c>
      <c r="C77" s="265">
        <v>1340530.64271475</v>
      </c>
      <c r="D77" s="265">
        <v>1338365.9632072032</v>
      </c>
    </row>
    <row r="78" spans="1:4">
      <c r="A78" s="260">
        <v>10239</v>
      </c>
      <c r="B78" s="261" t="s">
        <v>83</v>
      </c>
      <c r="C78" s="265">
        <v>77732.109326586622</v>
      </c>
      <c r="D78" s="265">
        <v>77260.993984987959</v>
      </c>
    </row>
    <row r="79" spans="1:4">
      <c r="A79" s="260">
        <v>10242</v>
      </c>
      <c r="B79" s="261" t="s">
        <v>84</v>
      </c>
      <c r="C79" s="265">
        <v>103518.26046054739</v>
      </c>
      <c r="D79" s="265">
        <v>103620.40188882221</v>
      </c>
    </row>
    <row r="80" spans="1:4">
      <c r="A80" s="260">
        <v>10244</v>
      </c>
      <c r="B80" s="261" t="s">
        <v>85</v>
      </c>
      <c r="C80" s="265">
        <v>483540.84480514302</v>
      </c>
      <c r="D80" s="265">
        <v>480610.22176852659</v>
      </c>
    </row>
    <row r="81" spans="1:4">
      <c r="A81" s="260">
        <v>10246</v>
      </c>
      <c r="B81" s="261" t="s">
        <v>86</v>
      </c>
      <c r="C81" s="265">
        <v>102600.73460245307</v>
      </c>
      <c r="D81" s="265">
        <v>102294.61541258902</v>
      </c>
    </row>
    <row r="82" spans="1:4">
      <c r="A82" s="260">
        <v>10247</v>
      </c>
      <c r="B82" s="261" t="s">
        <v>87</v>
      </c>
      <c r="C82" s="265">
        <v>993325.82931685599</v>
      </c>
      <c r="D82" s="265">
        <v>990603.28462691931</v>
      </c>
    </row>
    <row r="83" spans="1:4">
      <c r="A83" s="260">
        <v>10256</v>
      </c>
      <c r="B83" s="261" t="s">
        <v>88</v>
      </c>
      <c r="C83" s="265">
        <v>542621.00665827445</v>
      </c>
      <c r="D83" s="265">
        <v>541163.92706472846</v>
      </c>
    </row>
    <row r="84" spans="1:4">
      <c r="A84" s="260">
        <v>10258</v>
      </c>
      <c r="B84" s="261" t="s">
        <v>89</v>
      </c>
      <c r="C84" s="265">
        <v>213295.22609715705</v>
      </c>
      <c r="D84" s="265">
        <v>212002.49579336538</v>
      </c>
    </row>
    <row r="85" spans="1:4">
      <c r="A85" s="260">
        <v>10259</v>
      </c>
      <c r="B85" s="261" t="s">
        <v>90</v>
      </c>
      <c r="C85" s="265">
        <v>151660.12124328365</v>
      </c>
      <c r="D85" s="265">
        <v>150740.94626597493</v>
      </c>
    </row>
    <row r="86" spans="1:4">
      <c r="A86" s="260">
        <v>10260</v>
      </c>
      <c r="B86" s="261" t="s">
        <v>91</v>
      </c>
      <c r="C86" s="265">
        <v>147725.12162846563</v>
      </c>
      <c r="D86" s="265">
        <v>146829.79572335869</v>
      </c>
    </row>
    <row r="87" spans="1:4">
      <c r="A87" s="260">
        <v>10273</v>
      </c>
      <c r="B87" s="261" t="s">
        <v>92</v>
      </c>
      <c r="C87" s="265">
        <v>68396.315801605931</v>
      </c>
      <c r="D87" s="265">
        <v>68195.978786830383</v>
      </c>
    </row>
    <row r="88" spans="1:4">
      <c r="A88" s="260">
        <v>10278</v>
      </c>
      <c r="B88" s="261" t="s">
        <v>93</v>
      </c>
      <c r="C88" s="265">
        <v>324752.59868186503</v>
      </c>
      <c r="D88" s="265">
        <v>324496.96821573318</v>
      </c>
    </row>
    <row r="89" spans="1:4">
      <c r="A89" s="260">
        <v>10279</v>
      </c>
      <c r="B89" s="261" t="s">
        <v>94</v>
      </c>
      <c r="C89" s="265">
        <v>533169.08164215623</v>
      </c>
      <c r="D89" s="265">
        <v>530963.06650489592</v>
      </c>
    </row>
    <row r="90" spans="1:4">
      <c r="A90" s="260">
        <v>10284</v>
      </c>
      <c r="B90" s="261" t="s">
        <v>95</v>
      </c>
      <c r="C90" s="265">
        <v>55851.607436126746</v>
      </c>
      <c r="D90" s="265">
        <v>55619.557161983328</v>
      </c>
    </row>
    <row r="91" spans="1:4">
      <c r="A91" s="260">
        <v>10285</v>
      </c>
      <c r="B91" s="261" t="s">
        <v>96</v>
      </c>
      <c r="C91" s="265">
        <v>69748.428674868075</v>
      </c>
      <c r="D91" s="265">
        <v>69526.045693147957</v>
      </c>
    </row>
    <row r="92" spans="1:4">
      <c r="A92" s="260">
        <v>10286</v>
      </c>
      <c r="B92" s="261" t="s">
        <v>97</v>
      </c>
      <c r="C92" s="265">
        <v>560468.65613070945</v>
      </c>
      <c r="D92" s="265">
        <v>558904.83496185008</v>
      </c>
    </row>
    <row r="93" spans="1:4">
      <c r="A93" s="260">
        <v>10288</v>
      </c>
      <c r="B93" s="261" t="s">
        <v>98</v>
      </c>
      <c r="C93" s="265">
        <v>139006.2414335362</v>
      </c>
      <c r="D93" s="265">
        <v>138163.75853316663</v>
      </c>
    </row>
    <row r="94" spans="1:4">
      <c r="A94" s="260">
        <v>10291</v>
      </c>
      <c r="B94" s="261" t="s">
        <v>99</v>
      </c>
      <c r="C94" s="265">
        <v>977820.46724975016</v>
      </c>
      <c r="D94" s="265">
        <v>977995.29744750494</v>
      </c>
    </row>
    <row r="95" spans="1:4">
      <c r="A95" s="260">
        <v>10294</v>
      </c>
      <c r="B95" s="261" t="s">
        <v>100</v>
      </c>
      <c r="C95" s="265">
        <v>459289.05215150065</v>
      </c>
      <c r="D95" s="265">
        <v>458752.55205026007</v>
      </c>
    </row>
    <row r="96" spans="1:4">
      <c r="A96" s="260">
        <v>10304</v>
      </c>
      <c r="B96" s="261" t="s">
        <v>101</v>
      </c>
      <c r="C96" s="265">
        <v>77668.641590863757</v>
      </c>
      <c r="D96" s="265">
        <v>77414.758976078723</v>
      </c>
    </row>
    <row r="97" spans="1:4">
      <c r="A97" s="260">
        <v>10306</v>
      </c>
      <c r="B97" s="261" t="s">
        <v>102</v>
      </c>
      <c r="C97" s="265">
        <v>218511.51253542781</v>
      </c>
      <c r="D97" s="265">
        <v>218511.51253542781</v>
      </c>
    </row>
    <row r="98" spans="1:4">
      <c r="A98" s="260">
        <v>10307</v>
      </c>
      <c r="B98" s="261" t="s">
        <v>103</v>
      </c>
      <c r="C98" s="265">
        <v>868434.3297716591</v>
      </c>
      <c r="D98" s="265">
        <v>866571.1575148924</v>
      </c>
    </row>
    <row r="99" spans="1:4">
      <c r="A99" s="260">
        <v>10326</v>
      </c>
      <c r="B99" s="261" t="s">
        <v>104</v>
      </c>
      <c r="C99" s="265">
        <v>380651.60016817949</v>
      </c>
      <c r="D99" s="265">
        <v>379659.6278212872</v>
      </c>
    </row>
    <row r="100" spans="1:4">
      <c r="A100" s="260">
        <v>10331</v>
      </c>
      <c r="B100" s="261" t="s">
        <v>105</v>
      </c>
      <c r="C100" s="265">
        <v>287387.68980703596</v>
      </c>
      <c r="D100" s="265">
        <v>286140.92666660092</v>
      </c>
    </row>
    <row r="101" spans="1:4">
      <c r="A101" s="260">
        <v>10333</v>
      </c>
      <c r="B101" s="261" t="s">
        <v>106</v>
      </c>
      <c r="C101" s="265">
        <v>104055.3527176475</v>
      </c>
      <c r="D101" s="265">
        <v>103424.69862289265</v>
      </c>
    </row>
    <row r="102" spans="1:4">
      <c r="A102" s="260">
        <v>10338</v>
      </c>
      <c r="B102" s="261" t="s">
        <v>107</v>
      </c>
      <c r="C102" s="265">
        <v>13336.157968768332</v>
      </c>
      <c r="D102" s="265">
        <v>13255.33077043935</v>
      </c>
    </row>
    <row r="103" spans="1:4">
      <c r="A103" s="260">
        <v>10342</v>
      </c>
      <c r="B103" s="261" t="s">
        <v>108</v>
      </c>
      <c r="C103" s="265">
        <v>556029.91397967096</v>
      </c>
      <c r="D103" s="265">
        <v>555271.77902462764</v>
      </c>
    </row>
    <row r="104" spans="1:4">
      <c r="A104" s="260">
        <v>10343</v>
      </c>
      <c r="B104" s="261" t="s">
        <v>109</v>
      </c>
      <c r="C104" s="265">
        <v>191610.45666428225</v>
      </c>
      <c r="D104" s="265">
        <v>191217.01909716334</v>
      </c>
    </row>
    <row r="105" spans="1:4">
      <c r="A105" s="260">
        <v>10349</v>
      </c>
      <c r="B105" s="261" t="s">
        <v>110</v>
      </c>
      <c r="C105" s="265">
        <v>5724612.0342393331</v>
      </c>
      <c r="D105" s="265">
        <v>5731356.5788279148</v>
      </c>
    </row>
    <row r="106" spans="1:4">
      <c r="A106" s="260">
        <v>10352</v>
      </c>
      <c r="B106" s="261" t="s">
        <v>111</v>
      </c>
      <c r="C106" s="265">
        <v>197551.89390883379</v>
      </c>
      <c r="D106" s="265">
        <v>197193.57661454997</v>
      </c>
    </row>
    <row r="107" spans="1:4">
      <c r="A107" s="260">
        <v>10354</v>
      </c>
      <c r="B107" s="261" t="s">
        <v>112</v>
      </c>
      <c r="C107" s="265">
        <v>8816685.9150738344</v>
      </c>
      <c r="D107" s="265">
        <v>8843222.9077530857</v>
      </c>
    </row>
    <row r="108" spans="1:4">
      <c r="A108" s="260">
        <v>10360</v>
      </c>
      <c r="B108" s="261" t="s">
        <v>113</v>
      </c>
      <c r="C108" s="265">
        <v>38025.107164965273</v>
      </c>
      <c r="D108" s="265">
        <v>37794.646271692924</v>
      </c>
    </row>
    <row r="109" spans="1:4">
      <c r="A109" s="260">
        <v>10363</v>
      </c>
      <c r="B109" s="261" t="s">
        <v>114</v>
      </c>
      <c r="C109" s="265">
        <v>1029859.1874471301</v>
      </c>
      <c r="D109" s="265">
        <v>1027932.2115726088</v>
      </c>
    </row>
    <row r="110" spans="1:4">
      <c r="A110" s="260">
        <v>10369</v>
      </c>
      <c r="B110" s="261" t="s">
        <v>115</v>
      </c>
      <c r="C110" s="265">
        <v>174129.32770838495</v>
      </c>
      <c r="D110" s="265">
        <v>173569.61979514969</v>
      </c>
    </row>
    <row r="111" spans="1:4">
      <c r="A111" s="260">
        <v>10370</v>
      </c>
      <c r="B111" s="261" t="s">
        <v>116</v>
      </c>
      <c r="C111" s="265">
        <v>5125709.8285247767</v>
      </c>
      <c r="D111" s="265">
        <v>5175005.6330351764</v>
      </c>
    </row>
    <row r="112" spans="1:4">
      <c r="A112" s="260">
        <v>10371</v>
      </c>
      <c r="B112" s="261" t="s">
        <v>117</v>
      </c>
      <c r="C112" s="265">
        <v>121409.34421493355</v>
      </c>
      <c r="D112" s="265">
        <v>121033.57707933511</v>
      </c>
    </row>
    <row r="113" spans="1:4">
      <c r="A113" s="260">
        <v>10376</v>
      </c>
      <c r="B113" s="261" t="s">
        <v>118</v>
      </c>
      <c r="C113" s="265">
        <v>597358.67315951898</v>
      </c>
      <c r="D113" s="265">
        <v>596249.67217592453</v>
      </c>
    </row>
    <row r="114" spans="1:4">
      <c r="A114" s="260">
        <v>10378</v>
      </c>
      <c r="B114" s="261" t="s">
        <v>119</v>
      </c>
      <c r="C114" s="265">
        <v>10753.814471544005</v>
      </c>
      <c r="D114" s="265">
        <v>10771.434760511695</v>
      </c>
    </row>
    <row r="115" spans="1:4">
      <c r="A115" s="260">
        <v>10379</v>
      </c>
      <c r="B115" s="261" t="s">
        <v>120</v>
      </c>
      <c r="C115" s="265">
        <v>62377.837502015303</v>
      </c>
      <c r="D115" s="265">
        <v>62353.095464976781</v>
      </c>
    </row>
    <row r="116" spans="1:4">
      <c r="A116" s="260">
        <v>10388</v>
      </c>
      <c r="B116" s="261" t="s">
        <v>121</v>
      </c>
      <c r="C116" s="265">
        <v>1194203.9412840679</v>
      </c>
      <c r="D116" s="265">
        <v>1190347.3395529722</v>
      </c>
    </row>
    <row r="117" spans="1:4">
      <c r="A117" s="260">
        <v>10391</v>
      </c>
      <c r="B117" s="261" t="s">
        <v>122</v>
      </c>
      <c r="C117" s="265">
        <v>312630.8585849707</v>
      </c>
      <c r="D117" s="265">
        <v>311609.7720985256</v>
      </c>
    </row>
    <row r="118" spans="1:4">
      <c r="A118" s="260">
        <v>10406</v>
      </c>
      <c r="B118" s="261" t="s">
        <v>123</v>
      </c>
      <c r="C118" s="265">
        <v>5878.7207440806742</v>
      </c>
      <c r="D118" s="265">
        <v>5863.1178732551216</v>
      </c>
    </row>
    <row r="119" spans="1:4">
      <c r="A119" s="260">
        <v>10408</v>
      </c>
      <c r="B119" s="261" t="s">
        <v>124</v>
      </c>
      <c r="C119" s="265">
        <v>19025.561523599932</v>
      </c>
      <c r="D119" s="265">
        <v>18975.603487274049</v>
      </c>
    </row>
    <row r="120" spans="1:4">
      <c r="A120" s="260">
        <v>10409</v>
      </c>
      <c r="B120" s="261" t="s">
        <v>125</v>
      </c>
      <c r="C120" s="265">
        <v>262699.15804798278</v>
      </c>
      <c r="D120" s="265">
        <v>262179.25887358387</v>
      </c>
    </row>
    <row r="121" spans="1:4">
      <c r="A121" s="260">
        <v>10426</v>
      </c>
      <c r="B121" s="261" t="s">
        <v>126</v>
      </c>
      <c r="C121" s="265">
        <v>296839.31229325075</v>
      </c>
      <c r="D121" s="265">
        <v>368209.81255100603</v>
      </c>
    </row>
    <row r="122" spans="1:4">
      <c r="A122" s="260">
        <v>10434</v>
      </c>
      <c r="B122" s="261" t="s">
        <v>127</v>
      </c>
      <c r="C122" s="265">
        <v>343118.60597261786</v>
      </c>
      <c r="D122" s="265">
        <v>342193.58893427579</v>
      </c>
    </row>
    <row r="123" spans="1:4">
      <c r="A123" s="260">
        <v>10436</v>
      </c>
      <c r="B123" s="261" t="s">
        <v>128</v>
      </c>
      <c r="C123" s="265">
        <v>107637.31305250706</v>
      </c>
      <c r="D123" s="265">
        <v>106984.94957045563</v>
      </c>
    </row>
    <row r="124" spans="1:4">
      <c r="A124" s="260">
        <v>10440</v>
      </c>
      <c r="B124" s="261" t="s">
        <v>129</v>
      </c>
      <c r="C124" s="265">
        <v>60562.174017080499</v>
      </c>
      <c r="D124" s="265">
        <v>60392.201294836035</v>
      </c>
    </row>
    <row r="125" spans="1:4">
      <c r="A125" s="260">
        <v>10442</v>
      </c>
      <c r="B125" s="261" t="s">
        <v>130</v>
      </c>
      <c r="C125" s="265">
        <v>74538.88887302966</v>
      </c>
      <c r="D125" s="265">
        <v>74335.516462184285</v>
      </c>
    </row>
    <row r="126" spans="1:4">
      <c r="A126" s="260">
        <v>10446</v>
      </c>
      <c r="B126" s="261" t="s">
        <v>131</v>
      </c>
      <c r="C126" s="265">
        <v>926750.88589619799</v>
      </c>
      <c r="D126" s="265">
        <v>923488.73190629296</v>
      </c>
    </row>
    <row r="127" spans="1:4">
      <c r="A127" s="260">
        <v>10448</v>
      </c>
      <c r="B127" s="261" t="s">
        <v>132</v>
      </c>
      <c r="C127" s="265">
        <v>95520.794317990891</v>
      </c>
      <c r="D127" s="265">
        <v>95238.596324538899</v>
      </c>
    </row>
    <row r="128" spans="1:4">
      <c r="A128" s="260">
        <v>10451</v>
      </c>
      <c r="B128" s="261" t="s">
        <v>133</v>
      </c>
      <c r="C128" s="265">
        <v>329541.98011314787</v>
      </c>
      <c r="D128" s="265">
        <v>328635.52303825319</v>
      </c>
    </row>
    <row r="129" spans="1:4">
      <c r="A129" s="260">
        <v>10482</v>
      </c>
      <c r="B129" s="261" t="s">
        <v>134</v>
      </c>
      <c r="C129" s="265">
        <v>31167.066926376116</v>
      </c>
      <c r="D129" s="265">
        <v>31073.209287388505</v>
      </c>
    </row>
    <row r="130" spans="1:4">
      <c r="A130" s="260">
        <v>10502</v>
      </c>
      <c r="B130" s="261" t="s">
        <v>135</v>
      </c>
      <c r="C130" s="265">
        <v>102741.50983559954</v>
      </c>
      <c r="D130" s="265">
        <v>106479.98501430708</v>
      </c>
    </row>
    <row r="131" spans="1:4">
      <c r="A131" s="260">
        <v>10597</v>
      </c>
      <c r="B131" s="261" t="s">
        <v>136</v>
      </c>
      <c r="C131" s="265">
        <v>171214.66523174982</v>
      </c>
      <c r="D131" s="265">
        <v>170784.05965492938</v>
      </c>
    </row>
    <row r="132" spans="1:4">
      <c r="A132" s="260">
        <v>10706</v>
      </c>
      <c r="B132" s="261" t="s">
        <v>137</v>
      </c>
      <c r="C132" s="265">
        <v>97105.635655993086</v>
      </c>
      <c r="D132" s="265">
        <v>96517.102100046206</v>
      </c>
    </row>
    <row r="133" spans="1:4">
      <c r="A133" s="260">
        <v>11680</v>
      </c>
      <c r="B133" s="261" t="s">
        <v>138</v>
      </c>
      <c r="C133" s="265">
        <v>35565.732405704002</v>
      </c>
      <c r="D133" s="265">
        <v>35350.177182557774</v>
      </c>
    </row>
    <row r="134" spans="1:4">
      <c r="A134" s="260">
        <v>10298</v>
      </c>
      <c r="B134" s="261" t="s">
        <v>140</v>
      </c>
      <c r="C134" s="265">
        <v>5322915.4195733145</v>
      </c>
      <c r="D134" s="265">
        <v>5306183.848438778</v>
      </c>
    </row>
    <row r="135" spans="1:4">
      <c r="A135" s="260">
        <v>12026</v>
      </c>
      <c r="B135" s="261" t="s">
        <v>139</v>
      </c>
      <c r="C135" s="265">
        <v>0</v>
      </c>
      <c r="D135" s="265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135"/>
  <sheetViews>
    <sheetView topLeftCell="A67" workbookViewId="0">
      <selection activeCell="I36" sqref="I36"/>
    </sheetView>
  </sheetViews>
  <sheetFormatPr defaultRowHeight="15"/>
  <cols>
    <col min="1" max="1" width="21" bestFit="1" customWidth="1"/>
    <col min="2" max="2" width="27.7109375" bestFit="1" customWidth="1"/>
    <col min="3" max="4" width="9.85546875" bestFit="1" customWidth="1"/>
  </cols>
  <sheetData>
    <row r="1" spans="1:4" ht="33">
      <c r="A1" s="262" t="s">
        <v>303</v>
      </c>
      <c r="B1" s="263" t="s">
        <v>304</v>
      </c>
      <c r="C1" s="264" t="s">
        <v>364</v>
      </c>
      <c r="D1" s="264" t="s">
        <v>365</v>
      </c>
    </row>
    <row r="2" spans="1:4">
      <c r="A2" s="260">
        <v>10005</v>
      </c>
      <c r="B2" s="261" t="s">
        <v>7</v>
      </c>
      <c r="C2" s="265">
        <v>0</v>
      </c>
      <c r="D2" s="265">
        <v>0</v>
      </c>
    </row>
    <row r="3" spans="1:4">
      <c r="A3" s="260">
        <v>10015</v>
      </c>
      <c r="B3" s="261" t="s">
        <v>8</v>
      </c>
      <c r="C3" s="265">
        <v>0</v>
      </c>
      <c r="D3" s="265">
        <v>0</v>
      </c>
    </row>
    <row r="4" spans="1:4">
      <c r="A4" s="260">
        <v>10024</v>
      </c>
      <c r="B4" s="261" t="s">
        <v>9</v>
      </c>
      <c r="C4" s="265">
        <v>0</v>
      </c>
      <c r="D4" s="265">
        <v>0</v>
      </c>
    </row>
    <row r="5" spans="1:4">
      <c r="A5" s="260">
        <v>10025</v>
      </c>
      <c r="B5" s="261" t="s">
        <v>10</v>
      </c>
      <c r="C5" s="265">
        <v>0</v>
      </c>
      <c r="D5" s="265">
        <v>0</v>
      </c>
    </row>
    <row r="6" spans="1:4">
      <c r="A6" s="260">
        <v>10027</v>
      </c>
      <c r="B6" s="261" t="s">
        <v>11</v>
      </c>
      <c r="C6" s="265">
        <v>0</v>
      </c>
      <c r="D6" s="265">
        <v>0</v>
      </c>
    </row>
    <row r="7" spans="1:4">
      <c r="A7" s="260">
        <v>10029</v>
      </c>
      <c r="B7" s="261" t="s">
        <v>12</v>
      </c>
      <c r="C7" s="265">
        <v>0</v>
      </c>
      <c r="D7" s="265">
        <v>0</v>
      </c>
    </row>
    <row r="8" spans="1:4">
      <c r="A8" s="260">
        <v>10044</v>
      </c>
      <c r="B8" s="261" t="s">
        <v>13</v>
      </c>
      <c r="C8" s="265">
        <v>0</v>
      </c>
      <c r="D8" s="265">
        <v>0</v>
      </c>
    </row>
    <row r="9" spans="1:4">
      <c r="A9" s="260">
        <v>10046</v>
      </c>
      <c r="B9" s="261" t="s">
        <v>14</v>
      </c>
      <c r="C9" s="265">
        <v>0</v>
      </c>
      <c r="D9" s="265">
        <v>0</v>
      </c>
    </row>
    <row r="10" spans="1:4">
      <c r="A10" s="260">
        <v>10047</v>
      </c>
      <c r="B10" s="261" t="s">
        <v>15</v>
      </c>
      <c r="C10" s="265">
        <v>0</v>
      </c>
      <c r="D10" s="265">
        <v>0</v>
      </c>
    </row>
    <row r="11" spans="1:4">
      <c r="A11" s="260">
        <v>10055</v>
      </c>
      <c r="B11" s="261" t="s">
        <v>16</v>
      </c>
      <c r="C11" s="265">
        <v>0</v>
      </c>
      <c r="D11" s="265">
        <v>0</v>
      </c>
    </row>
    <row r="12" spans="1:4">
      <c r="A12" s="260">
        <v>10057</v>
      </c>
      <c r="B12" s="261" t="s">
        <v>17</v>
      </c>
      <c r="C12" s="265">
        <v>0</v>
      </c>
      <c r="D12" s="265">
        <v>0</v>
      </c>
    </row>
    <row r="13" spans="1:4">
      <c r="A13" s="260">
        <v>10059</v>
      </c>
      <c r="B13" s="261" t="s">
        <v>18</v>
      </c>
      <c r="C13" s="265">
        <v>0</v>
      </c>
      <c r="D13" s="265">
        <v>0</v>
      </c>
    </row>
    <row r="14" spans="1:4">
      <c r="A14" s="260">
        <v>10061</v>
      </c>
      <c r="B14" s="261" t="s">
        <v>19</v>
      </c>
      <c r="C14" s="265">
        <v>0</v>
      </c>
      <c r="D14" s="265">
        <v>0</v>
      </c>
    </row>
    <row r="15" spans="1:4">
      <c r="A15" s="260">
        <v>10062</v>
      </c>
      <c r="B15" s="261" t="s">
        <v>20</v>
      </c>
      <c r="C15" s="265">
        <v>0</v>
      </c>
      <c r="D15" s="265">
        <v>0</v>
      </c>
    </row>
    <row r="16" spans="1:4">
      <c r="A16" s="260">
        <v>10064</v>
      </c>
      <c r="B16" s="261" t="s">
        <v>21</v>
      </c>
      <c r="C16" s="265">
        <v>0</v>
      </c>
      <c r="D16" s="265">
        <v>0</v>
      </c>
    </row>
    <row r="17" spans="1:4">
      <c r="A17" s="260">
        <v>10065</v>
      </c>
      <c r="B17" s="261" t="s">
        <v>22</v>
      </c>
      <c r="C17" s="265">
        <v>0</v>
      </c>
      <c r="D17" s="265">
        <v>0</v>
      </c>
    </row>
    <row r="18" spans="1:4">
      <c r="A18" s="260">
        <v>10066</v>
      </c>
      <c r="B18" s="261" t="s">
        <v>23</v>
      </c>
      <c r="C18" s="265">
        <v>0</v>
      </c>
      <c r="D18" s="265">
        <v>0</v>
      </c>
    </row>
    <row r="19" spans="1:4">
      <c r="A19" s="260">
        <v>10067</v>
      </c>
      <c r="B19" s="261" t="s">
        <v>24</v>
      </c>
      <c r="C19" s="265">
        <v>0</v>
      </c>
      <c r="D19" s="265">
        <v>0</v>
      </c>
    </row>
    <row r="20" spans="1:4">
      <c r="A20" s="260">
        <v>10068</v>
      </c>
      <c r="B20" s="261" t="s">
        <v>25</v>
      </c>
      <c r="C20" s="265">
        <v>0</v>
      </c>
      <c r="D20" s="265">
        <v>0</v>
      </c>
    </row>
    <row r="21" spans="1:4">
      <c r="A21" s="260">
        <v>10070</v>
      </c>
      <c r="B21" s="261" t="s">
        <v>26</v>
      </c>
      <c r="C21" s="265">
        <v>0</v>
      </c>
      <c r="D21" s="265">
        <v>0</v>
      </c>
    </row>
    <row r="22" spans="1:4">
      <c r="A22" s="260">
        <v>10071</v>
      </c>
      <c r="B22" s="261" t="s">
        <v>27</v>
      </c>
      <c r="C22" s="265">
        <v>0</v>
      </c>
      <c r="D22" s="265">
        <v>0</v>
      </c>
    </row>
    <row r="23" spans="1:4">
      <c r="A23" s="260">
        <v>10072</v>
      </c>
      <c r="B23" s="261" t="s">
        <v>28</v>
      </c>
      <c r="C23" s="265">
        <v>0</v>
      </c>
      <c r="D23" s="265">
        <v>0</v>
      </c>
    </row>
    <row r="24" spans="1:4">
      <c r="A24" s="260">
        <v>10074</v>
      </c>
      <c r="B24" s="261" t="s">
        <v>29</v>
      </c>
      <c r="C24" s="265">
        <v>0</v>
      </c>
      <c r="D24" s="265">
        <v>0</v>
      </c>
    </row>
    <row r="25" spans="1:4">
      <c r="A25" s="260">
        <v>10076</v>
      </c>
      <c r="B25" s="261" t="s">
        <v>30</v>
      </c>
      <c r="C25" s="265">
        <v>0</v>
      </c>
      <c r="D25" s="265">
        <v>0</v>
      </c>
    </row>
    <row r="26" spans="1:4">
      <c r="A26" s="260">
        <v>10078</v>
      </c>
      <c r="B26" s="261" t="s">
        <v>31</v>
      </c>
      <c r="C26" s="265">
        <v>0</v>
      </c>
      <c r="D26" s="265">
        <v>0</v>
      </c>
    </row>
    <row r="27" spans="1:4">
      <c r="A27" s="260">
        <v>10079</v>
      </c>
      <c r="B27" s="261" t="s">
        <v>32</v>
      </c>
      <c r="C27" s="265">
        <v>0</v>
      </c>
      <c r="D27" s="265">
        <v>0</v>
      </c>
    </row>
    <row r="28" spans="1:4">
      <c r="A28" s="260">
        <v>10080</v>
      </c>
      <c r="B28" s="261" t="s">
        <v>33</v>
      </c>
      <c r="C28" s="265">
        <v>0</v>
      </c>
      <c r="D28" s="265">
        <v>0</v>
      </c>
    </row>
    <row r="29" spans="1:4">
      <c r="A29" s="260">
        <v>10081</v>
      </c>
      <c r="B29" s="261" t="s">
        <v>34</v>
      </c>
      <c r="C29" s="265">
        <v>0</v>
      </c>
      <c r="D29" s="265">
        <v>0</v>
      </c>
    </row>
    <row r="30" spans="1:4">
      <c r="A30" s="260">
        <v>10082</v>
      </c>
      <c r="B30" s="261" t="s">
        <v>35</v>
      </c>
      <c r="C30" s="265">
        <v>0</v>
      </c>
      <c r="D30" s="265">
        <v>0</v>
      </c>
    </row>
    <row r="31" spans="1:4">
      <c r="A31" s="260">
        <v>10083</v>
      </c>
      <c r="B31" s="261" t="s">
        <v>36</v>
      </c>
      <c r="C31" s="265">
        <v>0</v>
      </c>
      <c r="D31" s="265">
        <v>0</v>
      </c>
    </row>
    <row r="32" spans="1:4">
      <c r="A32" s="260">
        <v>10086</v>
      </c>
      <c r="B32" s="261" t="s">
        <v>37</v>
      </c>
      <c r="C32" s="265">
        <v>0</v>
      </c>
      <c r="D32" s="265">
        <v>0</v>
      </c>
    </row>
    <row r="33" spans="1:4">
      <c r="A33" s="260">
        <v>10087</v>
      </c>
      <c r="B33" s="261" t="s">
        <v>38</v>
      </c>
      <c r="C33" s="265">
        <v>0</v>
      </c>
      <c r="D33" s="265">
        <v>0</v>
      </c>
    </row>
    <row r="34" spans="1:4">
      <c r="A34" s="260">
        <v>10089</v>
      </c>
      <c r="B34" s="261" t="s">
        <v>39</v>
      </c>
      <c r="C34" s="265">
        <v>0</v>
      </c>
      <c r="D34" s="265">
        <v>0</v>
      </c>
    </row>
    <row r="35" spans="1:4">
      <c r="A35" s="260">
        <v>10091</v>
      </c>
      <c r="B35" s="261" t="s">
        <v>40</v>
      </c>
      <c r="C35" s="265">
        <v>0</v>
      </c>
      <c r="D35" s="265">
        <v>0</v>
      </c>
    </row>
    <row r="36" spans="1:4">
      <c r="A36" s="260">
        <v>10094</v>
      </c>
      <c r="B36" s="261" t="s">
        <v>41</v>
      </c>
      <c r="C36" s="265">
        <v>0</v>
      </c>
      <c r="D36" s="265">
        <v>0</v>
      </c>
    </row>
    <row r="37" spans="1:4">
      <c r="A37" s="260">
        <v>10095</v>
      </c>
      <c r="B37" s="261" t="s">
        <v>42</v>
      </c>
      <c r="C37" s="265">
        <v>0</v>
      </c>
      <c r="D37" s="265">
        <v>0</v>
      </c>
    </row>
    <row r="38" spans="1:4">
      <c r="A38" s="260">
        <v>10097</v>
      </c>
      <c r="B38" s="261" t="s">
        <v>43</v>
      </c>
      <c r="C38" s="265">
        <v>0</v>
      </c>
      <c r="D38" s="265">
        <v>0</v>
      </c>
    </row>
    <row r="39" spans="1:4">
      <c r="A39" s="260">
        <v>10101</v>
      </c>
      <c r="B39" s="261" t="s">
        <v>44</v>
      </c>
      <c r="C39" s="265">
        <v>0</v>
      </c>
      <c r="D39" s="265">
        <v>0</v>
      </c>
    </row>
    <row r="40" spans="1:4">
      <c r="A40" s="260">
        <v>10103</v>
      </c>
      <c r="B40" s="261" t="s">
        <v>45</v>
      </c>
      <c r="C40" s="265">
        <v>0</v>
      </c>
      <c r="D40" s="265">
        <v>0</v>
      </c>
    </row>
    <row r="41" spans="1:4">
      <c r="A41" s="260">
        <v>10105</v>
      </c>
      <c r="B41" s="261" t="s">
        <v>46</v>
      </c>
      <c r="C41" s="265">
        <v>0</v>
      </c>
      <c r="D41" s="265">
        <v>0</v>
      </c>
    </row>
    <row r="42" spans="1:4">
      <c r="A42" s="260">
        <v>10106</v>
      </c>
      <c r="B42" s="261" t="s">
        <v>47</v>
      </c>
      <c r="C42" s="265">
        <v>0</v>
      </c>
      <c r="D42" s="265">
        <v>0</v>
      </c>
    </row>
    <row r="43" spans="1:4">
      <c r="A43" s="260">
        <v>10109</v>
      </c>
      <c r="B43" s="261" t="s">
        <v>48</v>
      </c>
      <c r="C43" s="265">
        <v>0</v>
      </c>
      <c r="D43" s="265">
        <v>0</v>
      </c>
    </row>
    <row r="44" spans="1:4">
      <c r="A44" s="260">
        <v>10111</v>
      </c>
      <c r="B44" s="261" t="s">
        <v>49</v>
      </c>
      <c r="C44" s="265">
        <v>0</v>
      </c>
      <c r="D44" s="265">
        <v>0</v>
      </c>
    </row>
    <row r="45" spans="1:4">
      <c r="A45" s="260">
        <v>10112</v>
      </c>
      <c r="B45" s="261" t="s">
        <v>50</v>
      </c>
      <c r="C45" s="265">
        <v>0</v>
      </c>
      <c r="D45" s="265">
        <v>0</v>
      </c>
    </row>
    <row r="46" spans="1:4">
      <c r="A46" s="260">
        <v>10113</v>
      </c>
      <c r="B46" s="261" t="s">
        <v>51</v>
      </c>
      <c r="C46" s="265">
        <v>0</v>
      </c>
      <c r="D46" s="265">
        <v>0</v>
      </c>
    </row>
    <row r="47" spans="1:4">
      <c r="A47" s="260">
        <v>10116</v>
      </c>
      <c r="B47" s="261" t="s">
        <v>52</v>
      </c>
      <c r="C47" s="265">
        <v>0</v>
      </c>
      <c r="D47" s="265">
        <v>0</v>
      </c>
    </row>
    <row r="48" spans="1:4">
      <c r="A48" s="260">
        <v>10118</v>
      </c>
      <c r="B48" s="261" t="s">
        <v>53</v>
      </c>
      <c r="C48" s="265">
        <v>0</v>
      </c>
      <c r="D48" s="265">
        <v>0</v>
      </c>
    </row>
    <row r="49" spans="1:4">
      <c r="A49" s="260">
        <v>10121</v>
      </c>
      <c r="B49" s="261" t="s">
        <v>54</v>
      </c>
      <c r="C49" s="265">
        <v>0</v>
      </c>
      <c r="D49" s="265">
        <v>0</v>
      </c>
    </row>
    <row r="50" spans="1:4">
      <c r="A50" s="260">
        <v>10123</v>
      </c>
      <c r="B50" s="261" t="s">
        <v>55</v>
      </c>
      <c r="C50" s="265">
        <v>0</v>
      </c>
      <c r="D50" s="265">
        <v>0</v>
      </c>
    </row>
    <row r="51" spans="1:4">
      <c r="A51" s="260">
        <v>10136</v>
      </c>
      <c r="B51" s="261" t="s">
        <v>56</v>
      </c>
      <c r="C51" s="265">
        <v>0</v>
      </c>
      <c r="D51" s="265">
        <v>0</v>
      </c>
    </row>
    <row r="52" spans="1:4">
      <c r="A52" s="260">
        <v>10142</v>
      </c>
      <c r="B52" s="261" t="s">
        <v>57</v>
      </c>
      <c r="C52" s="265">
        <v>0</v>
      </c>
      <c r="D52" s="265">
        <v>0</v>
      </c>
    </row>
    <row r="53" spans="1:4">
      <c r="A53" s="260">
        <v>10144</v>
      </c>
      <c r="B53" s="261" t="s">
        <v>58</v>
      </c>
      <c r="C53" s="265">
        <v>0</v>
      </c>
      <c r="D53" s="265">
        <v>0</v>
      </c>
    </row>
    <row r="54" spans="1:4">
      <c r="A54" s="260">
        <v>10156</v>
      </c>
      <c r="B54" s="261" t="s">
        <v>59</v>
      </c>
      <c r="C54" s="265">
        <v>0</v>
      </c>
      <c r="D54" s="265">
        <v>0</v>
      </c>
    </row>
    <row r="55" spans="1:4">
      <c r="A55" s="260">
        <v>10157</v>
      </c>
      <c r="B55" s="261" t="s">
        <v>60</v>
      </c>
      <c r="C55" s="265">
        <v>0</v>
      </c>
      <c r="D55" s="265">
        <v>0</v>
      </c>
    </row>
    <row r="56" spans="1:4">
      <c r="A56" s="260">
        <v>10158</v>
      </c>
      <c r="B56" s="261" t="s">
        <v>61</v>
      </c>
      <c r="C56" s="265">
        <v>0</v>
      </c>
      <c r="D56" s="265">
        <v>0</v>
      </c>
    </row>
    <row r="57" spans="1:4">
      <c r="A57" s="260">
        <v>10170</v>
      </c>
      <c r="B57" s="261" t="s">
        <v>62</v>
      </c>
      <c r="C57" s="265">
        <v>0</v>
      </c>
      <c r="D57" s="265">
        <v>0</v>
      </c>
    </row>
    <row r="58" spans="1:4">
      <c r="A58" s="260">
        <v>10172</v>
      </c>
      <c r="B58" s="261" t="s">
        <v>63</v>
      </c>
      <c r="C58" s="265">
        <v>0</v>
      </c>
      <c r="D58" s="265">
        <v>0</v>
      </c>
    </row>
    <row r="59" spans="1:4">
      <c r="A59" s="260">
        <v>10173</v>
      </c>
      <c r="B59" s="261" t="s">
        <v>64</v>
      </c>
      <c r="C59" s="265">
        <v>0</v>
      </c>
      <c r="D59" s="265">
        <v>0</v>
      </c>
    </row>
    <row r="60" spans="1:4">
      <c r="A60" s="260">
        <v>10174</v>
      </c>
      <c r="B60" s="261" t="s">
        <v>65</v>
      </c>
      <c r="C60" s="265">
        <v>0</v>
      </c>
      <c r="D60" s="265">
        <v>0</v>
      </c>
    </row>
    <row r="61" spans="1:4">
      <c r="A61" s="260">
        <v>10177</v>
      </c>
      <c r="B61" s="261" t="s">
        <v>66</v>
      </c>
      <c r="C61" s="265">
        <v>0</v>
      </c>
      <c r="D61" s="265">
        <v>0</v>
      </c>
    </row>
    <row r="62" spans="1:4">
      <c r="A62" s="260">
        <v>10179</v>
      </c>
      <c r="B62" s="261" t="s">
        <v>67</v>
      </c>
      <c r="C62" s="265">
        <v>0</v>
      </c>
      <c r="D62" s="265">
        <v>0</v>
      </c>
    </row>
    <row r="63" spans="1:4">
      <c r="A63" s="260">
        <v>10183</v>
      </c>
      <c r="B63" s="261" t="s">
        <v>68</v>
      </c>
      <c r="C63" s="265">
        <v>0</v>
      </c>
      <c r="D63" s="265">
        <v>0</v>
      </c>
    </row>
    <row r="64" spans="1:4">
      <c r="A64" s="260">
        <v>10186</v>
      </c>
      <c r="B64" s="261" t="s">
        <v>69</v>
      </c>
      <c r="C64" s="265">
        <v>0</v>
      </c>
      <c r="D64" s="265">
        <v>0</v>
      </c>
    </row>
    <row r="65" spans="1:4">
      <c r="A65" s="260">
        <v>10190</v>
      </c>
      <c r="B65" s="261" t="s">
        <v>70</v>
      </c>
      <c r="C65" s="265">
        <v>0</v>
      </c>
      <c r="D65" s="265">
        <v>0</v>
      </c>
    </row>
    <row r="66" spans="1:4">
      <c r="A66" s="260">
        <v>10191</v>
      </c>
      <c r="B66" s="261" t="s">
        <v>71</v>
      </c>
      <c r="C66" s="265">
        <v>0</v>
      </c>
      <c r="D66" s="265">
        <v>0</v>
      </c>
    </row>
    <row r="67" spans="1:4">
      <c r="A67" s="260">
        <v>10197</v>
      </c>
      <c r="B67" s="261" t="s">
        <v>72</v>
      </c>
      <c r="C67" s="265">
        <v>0</v>
      </c>
      <c r="D67" s="265">
        <v>0</v>
      </c>
    </row>
    <row r="68" spans="1:4">
      <c r="A68" s="260">
        <v>10202</v>
      </c>
      <c r="B68" s="261" t="s">
        <v>73</v>
      </c>
      <c r="C68" s="265">
        <v>0</v>
      </c>
      <c r="D68" s="265">
        <v>0</v>
      </c>
    </row>
    <row r="69" spans="1:4">
      <c r="A69" s="260">
        <v>10203</v>
      </c>
      <c r="B69" s="261" t="s">
        <v>74</v>
      </c>
      <c r="C69" s="265">
        <v>0</v>
      </c>
      <c r="D69" s="265">
        <v>0</v>
      </c>
    </row>
    <row r="70" spans="1:4">
      <c r="A70" s="260">
        <v>10204</v>
      </c>
      <c r="B70" s="261" t="s">
        <v>75</v>
      </c>
      <c r="C70" s="265">
        <v>0</v>
      </c>
      <c r="D70" s="265">
        <v>0</v>
      </c>
    </row>
    <row r="71" spans="1:4">
      <c r="A71" s="260">
        <v>10209</v>
      </c>
      <c r="B71" s="261" t="s">
        <v>76</v>
      </c>
      <c r="C71" s="265">
        <v>0</v>
      </c>
      <c r="D71" s="265">
        <v>0</v>
      </c>
    </row>
    <row r="72" spans="1:4">
      <c r="A72" s="260">
        <v>10230</v>
      </c>
      <c r="B72" s="261" t="s">
        <v>77</v>
      </c>
      <c r="C72" s="265">
        <v>0</v>
      </c>
      <c r="D72" s="265">
        <v>0</v>
      </c>
    </row>
    <row r="73" spans="1:4">
      <c r="A73" s="260">
        <v>10231</v>
      </c>
      <c r="B73" s="261" t="s">
        <v>78</v>
      </c>
      <c r="C73" s="265">
        <v>0</v>
      </c>
      <c r="D73" s="265">
        <v>0</v>
      </c>
    </row>
    <row r="74" spans="1:4">
      <c r="A74" s="260">
        <v>10234</v>
      </c>
      <c r="B74" s="261" t="s">
        <v>79</v>
      </c>
      <c r="C74" s="265">
        <v>0</v>
      </c>
      <c r="D74" s="265">
        <v>0</v>
      </c>
    </row>
    <row r="75" spans="1:4">
      <c r="A75" s="260">
        <v>10235</v>
      </c>
      <c r="B75" s="261" t="s">
        <v>80</v>
      </c>
      <c r="C75" s="265">
        <v>0</v>
      </c>
      <c r="D75" s="265">
        <v>0</v>
      </c>
    </row>
    <row r="76" spans="1:4">
      <c r="A76" s="260">
        <v>10236</v>
      </c>
      <c r="B76" s="261" t="s">
        <v>81</v>
      </c>
      <c r="C76" s="265">
        <v>0</v>
      </c>
      <c r="D76" s="265">
        <v>0</v>
      </c>
    </row>
    <row r="77" spans="1:4">
      <c r="A77" s="260">
        <v>10237</v>
      </c>
      <c r="B77" s="261" t="s">
        <v>82</v>
      </c>
      <c r="C77" s="265">
        <v>0</v>
      </c>
      <c r="D77" s="265">
        <v>0</v>
      </c>
    </row>
    <row r="78" spans="1:4">
      <c r="A78" s="260">
        <v>10239</v>
      </c>
      <c r="B78" s="261" t="s">
        <v>83</v>
      </c>
      <c r="C78" s="265">
        <v>0</v>
      </c>
      <c r="D78" s="265">
        <v>0</v>
      </c>
    </row>
    <row r="79" spans="1:4">
      <c r="A79" s="260">
        <v>10242</v>
      </c>
      <c r="B79" s="261" t="s">
        <v>84</v>
      </c>
      <c r="C79" s="265">
        <v>0</v>
      </c>
      <c r="D79" s="265">
        <v>0</v>
      </c>
    </row>
    <row r="80" spans="1:4">
      <c r="A80" s="260">
        <v>10244</v>
      </c>
      <c r="B80" s="261" t="s">
        <v>85</v>
      </c>
      <c r="C80" s="265">
        <v>0</v>
      </c>
      <c r="D80" s="265">
        <v>0</v>
      </c>
    </row>
    <row r="81" spans="1:4">
      <c r="A81" s="260">
        <v>10246</v>
      </c>
      <c r="B81" s="261" t="s">
        <v>86</v>
      </c>
      <c r="C81" s="265">
        <v>0</v>
      </c>
      <c r="D81" s="265">
        <v>0</v>
      </c>
    </row>
    <row r="82" spans="1:4">
      <c r="A82" s="260">
        <v>10247</v>
      </c>
      <c r="B82" s="261" t="s">
        <v>87</v>
      </c>
      <c r="C82" s="265">
        <v>0</v>
      </c>
      <c r="D82" s="265">
        <v>0</v>
      </c>
    </row>
    <row r="83" spans="1:4">
      <c r="A83" s="260">
        <v>10256</v>
      </c>
      <c r="B83" s="261" t="s">
        <v>88</v>
      </c>
      <c r="C83" s="265">
        <v>0</v>
      </c>
      <c r="D83" s="265">
        <v>0</v>
      </c>
    </row>
    <row r="84" spans="1:4">
      <c r="A84" s="260">
        <v>10258</v>
      </c>
      <c r="B84" s="261" t="s">
        <v>89</v>
      </c>
      <c r="C84" s="265">
        <v>0</v>
      </c>
      <c r="D84" s="265">
        <v>0</v>
      </c>
    </row>
    <row r="85" spans="1:4">
      <c r="A85" s="260">
        <v>10259</v>
      </c>
      <c r="B85" s="261" t="s">
        <v>90</v>
      </c>
      <c r="C85" s="265">
        <v>0</v>
      </c>
      <c r="D85" s="265">
        <v>0</v>
      </c>
    </row>
    <row r="86" spans="1:4">
      <c r="A86" s="260">
        <v>10260</v>
      </c>
      <c r="B86" s="261" t="s">
        <v>91</v>
      </c>
      <c r="C86" s="265">
        <v>0</v>
      </c>
      <c r="D86" s="265">
        <v>0</v>
      </c>
    </row>
    <row r="87" spans="1:4">
      <c r="A87" s="260">
        <v>10273</v>
      </c>
      <c r="B87" s="261" t="s">
        <v>92</v>
      </c>
      <c r="C87" s="265">
        <v>0</v>
      </c>
      <c r="D87" s="265">
        <v>0</v>
      </c>
    </row>
    <row r="88" spans="1:4">
      <c r="A88" s="260">
        <v>10278</v>
      </c>
      <c r="B88" s="261" t="s">
        <v>93</v>
      </c>
      <c r="C88" s="265">
        <v>0</v>
      </c>
      <c r="D88" s="265">
        <v>0</v>
      </c>
    </row>
    <row r="89" spans="1:4">
      <c r="A89" s="260">
        <v>10279</v>
      </c>
      <c r="B89" s="261" t="s">
        <v>94</v>
      </c>
      <c r="C89" s="265">
        <v>0</v>
      </c>
      <c r="D89" s="265">
        <v>0</v>
      </c>
    </row>
    <row r="90" spans="1:4">
      <c r="A90" s="260">
        <v>10284</v>
      </c>
      <c r="B90" s="261" t="s">
        <v>95</v>
      </c>
      <c r="C90" s="265">
        <v>0</v>
      </c>
      <c r="D90" s="265">
        <v>0</v>
      </c>
    </row>
    <row r="91" spans="1:4">
      <c r="A91" s="260">
        <v>10285</v>
      </c>
      <c r="B91" s="261" t="s">
        <v>96</v>
      </c>
      <c r="C91" s="265">
        <v>0</v>
      </c>
      <c r="D91" s="265">
        <v>0</v>
      </c>
    </row>
    <row r="92" spans="1:4">
      <c r="A92" s="260">
        <v>10286</v>
      </c>
      <c r="B92" s="261" t="s">
        <v>97</v>
      </c>
      <c r="C92" s="265">
        <v>0</v>
      </c>
      <c r="D92" s="265">
        <v>0</v>
      </c>
    </row>
    <row r="93" spans="1:4">
      <c r="A93" s="260">
        <v>10288</v>
      </c>
      <c r="B93" s="261" t="s">
        <v>98</v>
      </c>
      <c r="C93" s="265">
        <v>0</v>
      </c>
      <c r="D93" s="265">
        <v>0</v>
      </c>
    </row>
    <row r="94" spans="1:4">
      <c r="A94" s="260">
        <v>10291</v>
      </c>
      <c r="B94" s="261" t="s">
        <v>99</v>
      </c>
      <c r="C94" s="265">
        <v>0</v>
      </c>
      <c r="D94" s="265">
        <v>0</v>
      </c>
    </row>
    <row r="95" spans="1:4">
      <c r="A95" s="260">
        <v>10294</v>
      </c>
      <c r="B95" s="261" t="s">
        <v>100</v>
      </c>
      <c r="C95" s="265">
        <v>0</v>
      </c>
      <c r="D95" s="265">
        <v>0</v>
      </c>
    </row>
    <row r="96" spans="1:4">
      <c r="A96" s="260">
        <v>10304</v>
      </c>
      <c r="B96" s="261" t="s">
        <v>101</v>
      </c>
      <c r="C96" s="265">
        <v>0</v>
      </c>
      <c r="D96" s="265">
        <v>0</v>
      </c>
    </row>
    <row r="97" spans="1:4">
      <c r="A97" s="260">
        <v>10306</v>
      </c>
      <c r="B97" s="261" t="s">
        <v>102</v>
      </c>
      <c r="C97" s="265">
        <v>0</v>
      </c>
      <c r="D97" s="265">
        <v>0</v>
      </c>
    </row>
    <row r="98" spans="1:4">
      <c r="A98" s="260">
        <v>10307</v>
      </c>
      <c r="B98" s="261" t="s">
        <v>103</v>
      </c>
      <c r="C98" s="265">
        <v>0</v>
      </c>
      <c r="D98" s="265">
        <v>0</v>
      </c>
    </row>
    <row r="99" spans="1:4">
      <c r="A99" s="260">
        <v>10326</v>
      </c>
      <c r="B99" s="261" t="s">
        <v>104</v>
      </c>
      <c r="C99" s="265">
        <v>0</v>
      </c>
      <c r="D99" s="265">
        <v>0</v>
      </c>
    </row>
    <row r="100" spans="1:4">
      <c r="A100" s="260">
        <v>10331</v>
      </c>
      <c r="B100" s="261" t="s">
        <v>105</v>
      </c>
      <c r="C100" s="265">
        <v>0</v>
      </c>
      <c r="D100" s="265">
        <v>0</v>
      </c>
    </row>
    <row r="101" spans="1:4">
      <c r="A101" s="260">
        <v>10333</v>
      </c>
      <c r="B101" s="261" t="s">
        <v>106</v>
      </c>
      <c r="C101" s="265">
        <v>0</v>
      </c>
      <c r="D101" s="265">
        <v>0</v>
      </c>
    </row>
    <row r="102" spans="1:4">
      <c r="A102" s="260">
        <v>10338</v>
      </c>
      <c r="B102" s="261" t="s">
        <v>107</v>
      </c>
      <c r="C102" s="265">
        <v>0</v>
      </c>
      <c r="D102" s="265">
        <v>0</v>
      </c>
    </row>
    <row r="103" spans="1:4">
      <c r="A103" s="260">
        <v>10342</v>
      </c>
      <c r="B103" s="261" t="s">
        <v>108</v>
      </c>
      <c r="C103" s="265">
        <v>0</v>
      </c>
      <c r="D103" s="265">
        <v>0</v>
      </c>
    </row>
    <row r="104" spans="1:4">
      <c r="A104" s="260">
        <v>10343</v>
      </c>
      <c r="B104" s="261" t="s">
        <v>109</v>
      </c>
      <c r="C104" s="265">
        <v>0</v>
      </c>
      <c r="D104" s="265">
        <v>0</v>
      </c>
    </row>
    <row r="105" spans="1:4">
      <c r="A105" s="260">
        <v>10349</v>
      </c>
      <c r="B105" s="261" t="s">
        <v>110</v>
      </c>
      <c r="C105" s="265">
        <v>0</v>
      </c>
      <c r="D105" s="265">
        <v>0</v>
      </c>
    </row>
    <row r="106" spans="1:4">
      <c r="A106" s="260">
        <v>10352</v>
      </c>
      <c r="B106" s="261" t="s">
        <v>111</v>
      </c>
      <c r="C106" s="265">
        <v>0</v>
      </c>
      <c r="D106" s="265">
        <v>0</v>
      </c>
    </row>
    <row r="107" spans="1:4">
      <c r="A107" s="260">
        <v>10354</v>
      </c>
      <c r="B107" s="261" t="s">
        <v>112</v>
      </c>
      <c r="C107" s="265">
        <v>0</v>
      </c>
      <c r="D107" s="265">
        <v>0</v>
      </c>
    </row>
    <row r="108" spans="1:4">
      <c r="A108" s="260">
        <v>10360</v>
      </c>
      <c r="B108" s="261" t="s">
        <v>113</v>
      </c>
      <c r="C108" s="265">
        <v>0</v>
      </c>
      <c r="D108" s="265">
        <v>0</v>
      </c>
    </row>
    <row r="109" spans="1:4">
      <c r="A109" s="260">
        <v>10363</v>
      </c>
      <c r="B109" s="261" t="s">
        <v>114</v>
      </c>
      <c r="C109" s="265">
        <v>0</v>
      </c>
      <c r="D109" s="265">
        <v>0</v>
      </c>
    </row>
    <row r="110" spans="1:4">
      <c r="A110" s="260">
        <v>10369</v>
      </c>
      <c r="B110" s="261" t="s">
        <v>115</v>
      </c>
      <c r="C110" s="265">
        <v>0</v>
      </c>
      <c r="D110" s="265">
        <v>0</v>
      </c>
    </row>
    <row r="111" spans="1:4">
      <c r="A111" s="260">
        <v>10370</v>
      </c>
      <c r="B111" s="261" t="s">
        <v>116</v>
      </c>
      <c r="C111" s="265">
        <v>0</v>
      </c>
      <c r="D111" s="265">
        <v>0</v>
      </c>
    </row>
    <row r="112" spans="1:4">
      <c r="A112" s="260">
        <v>10371</v>
      </c>
      <c r="B112" s="261" t="s">
        <v>117</v>
      </c>
      <c r="C112" s="265">
        <v>0</v>
      </c>
      <c r="D112" s="265">
        <v>0</v>
      </c>
    </row>
    <row r="113" spans="1:4">
      <c r="A113" s="260">
        <v>10376</v>
      </c>
      <c r="B113" s="261" t="s">
        <v>118</v>
      </c>
      <c r="C113" s="265">
        <v>0</v>
      </c>
      <c r="D113" s="265">
        <v>0</v>
      </c>
    </row>
    <row r="114" spans="1:4">
      <c r="A114" s="260">
        <v>10378</v>
      </c>
      <c r="B114" s="261" t="s">
        <v>119</v>
      </c>
      <c r="C114" s="265">
        <v>0</v>
      </c>
      <c r="D114" s="265">
        <v>0</v>
      </c>
    </row>
    <row r="115" spans="1:4">
      <c r="A115" s="260">
        <v>10379</v>
      </c>
      <c r="B115" s="261" t="s">
        <v>120</v>
      </c>
      <c r="C115" s="265">
        <v>0</v>
      </c>
      <c r="D115" s="265">
        <v>0</v>
      </c>
    </row>
    <row r="116" spans="1:4">
      <c r="A116" s="260">
        <v>10388</v>
      </c>
      <c r="B116" s="261" t="s">
        <v>121</v>
      </c>
      <c r="C116" s="265">
        <v>0</v>
      </c>
      <c r="D116" s="265">
        <v>0</v>
      </c>
    </row>
    <row r="117" spans="1:4">
      <c r="A117" s="260">
        <v>10391</v>
      </c>
      <c r="B117" s="261" t="s">
        <v>122</v>
      </c>
      <c r="C117" s="265">
        <v>0</v>
      </c>
      <c r="D117" s="265">
        <v>0</v>
      </c>
    </row>
    <row r="118" spans="1:4">
      <c r="A118" s="260">
        <v>10406</v>
      </c>
      <c r="B118" s="261" t="s">
        <v>123</v>
      </c>
      <c r="C118" s="265">
        <v>0</v>
      </c>
      <c r="D118" s="265">
        <v>0</v>
      </c>
    </row>
    <row r="119" spans="1:4">
      <c r="A119" s="260">
        <v>10408</v>
      </c>
      <c r="B119" s="261" t="s">
        <v>124</v>
      </c>
      <c r="C119" s="265">
        <v>0</v>
      </c>
      <c r="D119" s="265">
        <v>0</v>
      </c>
    </row>
    <row r="120" spans="1:4">
      <c r="A120" s="260">
        <v>10409</v>
      </c>
      <c r="B120" s="261" t="s">
        <v>125</v>
      </c>
      <c r="C120" s="265">
        <v>0</v>
      </c>
      <c r="D120" s="265">
        <v>0</v>
      </c>
    </row>
    <row r="121" spans="1:4">
      <c r="A121" s="260">
        <v>10426</v>
      </c>
      <c r="B121" s="261" t="s">
        <v>126</v>
      </c>
      <c r="C121" s="265">
        <v>0</v>
      </c>
      <c r="D121" s="265">
        <v>0</v>
      </c>
    </row>
    <row r="122" spans="1:4">
      <c r="A122" s="260">
        <v>10434</v>
      </c>
      <c r="B122" s="261" t="s">
        <v>127</v>
      </c>
      <c r="C122" s="265">
        <v>0</v>
      </c>
      <c r="D122" s="265">
        <v>0</v>
      </c>
    </row>
    <row r="123" spans="1:4">
      <c r="A123" s="260">
        <v>10436</v>
      </c>
      <c r="B123" s="261" t="s">
        <v>128</v>
      </c>
      <c r="C123" s="265">
        <v>0</v>
      </c>
      <c r="D123" s="265">
        <v>0</v>
      </c>
    </row>
    <row r="124" spans="1:4">
      <c r="A124" s="260">
        <v>10440</v>
      </c>
      <c r="B124" s="261" t="s">
        <v>129</v>
      </c>
      <c r="C124" s="265">
        <v>0</v>
      </c>
      <c r="D124" s="265">
        <v>0</v>
      </c>
    </row>
    <row r="125" spans="1:4">
      <c r="A125" s="260">
        <v>10442</v>
      </c>
      <c r="B125" s="261" t="s">
        <v>130</v>
      </c>
      <c r="C125" s="265">
        <v>0</v>
      </c>
      <c r="D125" s="265">
        <v>0</v>
      </c>
    </row>
    <row r="126" spans="1:4">
      <c r="A126" s="260">
        <v>10446</v>
      </c>
      <c r="B126" s="261" t="s">
        <v>131</v>
      </c>
      <c r="C126" s="265">
        <v>0</v>
      </c>
      <c r="D126" s="265">
        <v>0</v>
      </c>
    </row>
    <row r="127" spans="1:4">
      <c r="A127" s="260">
        <v>10448</v>
      </c>
      <c r="B127" s="261" t="s">
        <v>132</v>
      </c>
      <c r="C127" s="265">
        <v>0</v>
      </c>
      <c r="D127" s="265">
        <v>0</v>
      </c>
    </row>
    <row r="128" spans="1:4">
      <c r="A128" s="260">
        <v>10451</v>
      </c>
      <c r="B128" s="261" t="s">
        <v>133</v>
      </c>
      <c r="C128" s="265">
        <v>0</v>
      </c>
      <c r="D128" s="265">
        <v>0</v>
      </c>
    </row>
    <row r="129" spans="1:4">
      <c r="A129" s="260">
        <v>10482</v>
      </c>
      <c r="B129" s="261" t="s">
        <v>134</v>
      </c>
      <c r="C129" s="265">
        <v>0</v>
      </c>
      <c r="D129" s="265">
        <v>0</v>
      </c>
    </row>
    <row r="130" spans="1:4">
      <c r="A130" s="260">
        <v>10502</v>
      </c>
      <c r="B130" s="261" t="s">
        <v>135</v>
      </c>
      <c r="C130" s="265">
        <v>0</v>
      </c>
      <c r="D130" s="265">
        <v>0</v>
      </c>
    </row>
    <row r="131" spans="1:4">
      <c r="A131" s="260">
        <v>10597</v>
      </c>
      <c r="B131" s="261" t="s">
        <v>136</v>
      </c>
      <c r="C131" s="265">
        <v>0</v>
      </c>
      <c r="D131" s="265">
        <v>0</v>
      </c>
    </row>
    <row r="132" spans="1:4">
      <c r="A132" s="260">
        <v>10706</v>
      </c>
      <c r="B132" s="261" t="s">
        <v>137</v>
      </c>
      <c r="C132" s="265">
        <v>0</v>
      </c>
      <c r="D132" s="265">
        <v>0</v>
      </c>
    </row>
    <row r="133" spans="1:4">
      <c r="A133" s="260">
        <v>11680</v>
      </c>
      <c r="B133" s="261" t="s">
        <v>138</v>
      </c>
      <c r="C133" s="265">
        <v>0</v>
      </c>
      <c r="D133" s="265">
        <v>0</v>
      </c>
    </row>
    <row r="134" spans="1:4">
      <c r="A134" s="260">
        <v>10298</v>
      </c>
      <c r="B134" s="261" t="s">
        <v>140</v>
      </c>
      <c r="C134" s="265">
        <v>0</v>
      </c>
      <c r="D134" s="265">
        <v>0</v>
      </c>
    </row>
    <row r="135" spans="1:4">
      <c r="A135" s="260">
        <v>12026</v>
      </c>
      <c r="B135" s="261" t="s">
        <v>139</v>
      </c>
      <c r="C135" s="265">
        <v>0</v>
      </c>
      <c r="D135" s="265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00B0F0"/>
  </sheetPr>
  <dimension ref="B2:G11"/>
  <sheetViews>
    <sheetView workbookViewId="0">
      <selection activeCell="J32" sqref="J32:J33"/>
    </sheetView>
  </sheetViews>
  <sheetFormatPr defaultRowHeight="15"/>
  <cols>
    <col min="3" max="3" width="12.7109375" bestFit="1" customWidth="1"/>
    <col min="5" max="5" width="12" bestFit="1" customWidth="1"/>
  </cols>
  <sheetData>
    <row r="2" spans="2:7">
      <c r="B2" s="66" t="s">
        <v>223</v>
      </c>
    </row>
    <row r="3" spans="2:7">
      <c r="B3" t="s">
        <v>224</v>
      </c>
      <c r="C3" s="273">
        <v>6944.8459999999995</v>
      </c>
      <c r="E3" s="272"/>
    </row>
    <row r="4" spans="2:7">
      <c r="B4" t="s">
        <v>225</v>
      </c>
      <c r="C4" s="273">
        <v>7024.5119999999997</v>
      </c>
    </row>
    <row r="6" spans="2:7">
      <c r="B6" s="195" t="s">
        <v>293</v>
      </c>
    </row>
    <row r="7" spans="2:7">
      <c r="B7" s="208" t="s">
        <v>224</v>
      </c>
      <c r="C7" s="109">
        <f>SUM(TOCA_previous!$S$3:$S$136)</f>
        <v>60836841</v>
      </c>
    </row>
    <row r="8" spans="2:7">
      <c r="B8" s="208" t="s">
        <v>225</v>
      </c>
      <c r="C8" s="109">
        <f>SUM(TOCA_current!$S$3:$S$136)</f>
        <v>61703341</v>
      </c>
    </row>
    <row r="11" spans="2:7">
      <c r="G11" s="153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00B0F0"/>
  </sheetPr>
  <dimension ref="B1:AX12"/>
  <sheetViews>
    <sheetView workbookViewId="0">
      <selection activeCell="R38" sqref="R38"/>
    </sheetView>
  </sheetViews>
  <sheetFormatPr defaultRowHeight="15"/>
  <cols>
    <col min="2" max="2" width="16.7109375" bestFit="1" customWidth="1"/>
    <col min="3" max="3" width="9.7109375" bestFit="1" customWidth="1"/>
  </cols>
  <sheetData>
    <row r="1" spans="2:50">
      <c r="B1" s="66" t="s">
        <v>244</v>
      </c>
    </row>
    <row r="2" spans="2:50">
      <c r="C2" s="114">
        <v>43739</v>
      </c>
      <c r="D2" s="108">
        <f>C2</f>
        <v>43739</v>
      </c>
      <c r="E2" s="114">
        <f>DATE(YEAR(C2),MONTH(C2)+1,1)</f>
        <v>43770</v>
      </c>
      <c r="F2" s="298">
        <f t="shared" ref="F2:N2" si="0">DATE(YEAR(D2),MONTH(D2)+1,1)</f>
        <v>43770</v>
      </c>
      <c r="G2" s="298">
        <f t="shared" si="0"/>
        <v>43800</v>
      </c>
      <c r="H2" s="298">
        <f t="shared" si="0"/>
        <v>43800</v>
      </c>
      <c r="I2" s="298">
        <f t="shared" si="0"/>
        <v>43831</v>
      </c>
      <c r="J2" s="298">
        <f t="shared" si="0"/>
        <v>43831</v>
      </c>
      <c r="K2" s="298">
        <f t="shared" si="0"/>
        <v>43862</v>
      </c>
      <c r="L2" s="298">
        <f t="shared" si="0"/>
        <v>43862</v>
      </c>
      <c r="M2" s="298">
        <f t="shared" si="0"/>
        <v>43891</v>
      </c>
      <c r="N2" s="298">
        <f t="shared" si="0"/>
        <v>43891</v>
      </c>
      <c r="O2" s="298">
        <f t="shared" ref="O2" si="1">DATE(YEAR(M2),MONTH(M2)+1,1)</f>
        <v>43922</v>
      </c>
      <c r="P2" s="298">
        <f t="shared" ref="P2" si="2">DATE(YEAR(N2),MONTH(N2)+1,1)</f>
        <v>43922</v>
      </c>
      <c r="Q2" s="298">
        <f t="shared" ref="Q2" si="3">DATE(YEAR(O2),MONTH(O2)+1,1)</f>
        <v>43952</v>
      </c>
      <c r="R2" s="298">
        <f t="shared" ref="R2" si="4">DATE(YEAR(P2),MONTH(P2)+1,1)</f>
        <v>43952</v>
      </c>
      <c r="S2" s="298">
        <f t="shared" ref="S2" si="5">DATE(YEAR(Q2),MONTH(Q2)+1,1)</f>
        <v>43983</v>
      </c>
      <c r="T2" s="298">
        <f t="shared" ref="T2" si="6">DATE(YEAR(R2),MONTH(R2)+1,1)</f>
        <v>43983</v>
      </c>
      <c r="U2" s="298">
        <f t="shared" ref="U2" si="7">DATE(YEAR(S2),MONTH(S2)+1,1)</f>
        <v>44013</v>
      </c>
      <c r="V2" s="298">
        <f t="shared" ref="V2:W2" si="8">DATE(YEAR(T2),MONTH(T2)+1,1)</f>
        <v>44013</v>
      </c>
      <c r="W2" s="298">
        <f t="shared" si="8"/>
        <v>44044</v>
      </c>
      <c r="X2" s="298">
        <f t="shared" ref="X2" si="9">DATE(YEAR(V2),MONTH(V2)+1,1)</f>
        <v>44044</v>
      </c>
      <c r="Y2" s="298">
        <f t="shared" ref="Y2" si="10">DATE(YEAR(W2),MONTH(W2)+1,1)</f>
        <v>44075</v>
      </c>
      <c r="Z2" s="298">
        <f t="shared" ref="Z2" si="11">DATE(YEAR(X2),MONTH(X2)+1,1)</f>
        <v>44075</v>
      </c>
      <c r="AA2" s="298">
        <f t="shared" ref="AA2" si="12">DATE(YEAR(Y2),MONTH(Y2)+1,1)</f>
        <v>44105</v>
      </c>
      <c r="AB2" s="298">
        <f t="shared" ref="AB2" si="13">DATE(YEAR(Z2),MONTH(Z2)+1,1)</f>
        <v>44105</v>
      </c>
      <c r="AC2" s="298">
        <f t="shared" ref="AC2" si="14">DATE(YEAR(AA2),MONTH(AA2)+1,1)</f>
        <v>44136</v>
      </c>
      <c r="AD2" s="298">
        <f t="shared" ref="AD2" si="15">DATE(YEAR(AB2),MONTH(AB2)+1,1)</f>
        <v>44136</v>
      </c>
      <c r="AE2" s="298">
        <f t="shared" ref="AE2:AF2" si="16">DATE(YEAR(AC2),MONTH(AC2)+1,1)</f>
        <v>44166</v>
      </c>
      <c r="AF2" s="298">
        <f t="shared" si="16"/>
        <v>44166</v>
      </c>
      <c r="AG2" s="298">
        <f t="shared" ref="AG2" si="17">DATE(YEAR(AE2),MONTH(AE2)+1,1)</f>
        <v>44197</v>
      </c>
      <c r="AH2" s="298">
        <f t="shared" ref="AH2" si="18">DATE(YEAR(AF2),MONTH(AF2)+1,1)</f>
        <v>44197</v>
      </c>
      <c r="AI2" s="298">
        <f t="shared" ref="AI2" si="19">DATE(YEAR(AG2),MONTH(AG2)+1,1)</f>
        <v>44228</v>
      </c>
      <c r="AJ2" s="298">
        <f t="shared" ref="AJ2" si="20">DATE(YEAR(AH2),MONTH(AH2)+1,1)</f>
        <v>44228</v>
      </c>
      <c r="AK2" s="298">
        <f t="shared" ref="AK2" si="21">DATE(YEAR(AI2),MONTH(AI2)+1,1)</f>
        <v>44256</v>
      </c>
      <c r="AL2" s="298">
        <f t="shared" ref="AL2" si="22">DATE(YEAR(AJ2),MONTH(AJ2)+1,1)</f>
        <v>44256</v>
      </c>
      <c r="AM2" s="298">
        <f t="shared" ref="AM2" si="23">DATE(YEAR(AK2),MONTH(AK2)+1,1)</f>
        <v>44287</v>
      </c>
      <c r="AN2" s="298">
        <f t="shared" ref="AN2:AO2" si="24">DATE(YEAR(AL2),MONTH(AL2)+1,1)</f>
        <v>44287</v>
      </c>
      <c r="AO2" s="298">
        <f t="shared" si="24"/>
        <v>44317</v>
      </c>
      <c r="AP2" s="298">
        <f t="shared" ref="AP2" si="25">DATE(YEAR(AN2),MONTH(AN2)+1,1)</f>
        <v>44317</v>
      </c>
      <c r="AQ2" s="298">
        <f t="shared" ref="AQ2" si="26">DATE(YEAR(AO2),MONTH(AO2)+1,1)</f>
        <v>44348</v>
      </c>
      <c r="AR2" s="298">
        <f t="shared" ref="AR2" si="27">DATE(YEAR(AP2),MONTH(AP2)+1,1)</f>
        <v>44348</v>
      </c>
      <c r="AS2" s="298">
        <f t="shared" ref="AS2" si="28">DATE(YEAR(AQ2),MONTH(AQ2)+1,1)</f>
        <v>44378</v>
      </c>
      <c r="AT2" s="298">
        <f t="shared" ref="AT2" si="29">DATE(YEAR(AR2),MONTH(AR2)+1,1)</f>
        <v>44378</v>
      </c>
      <c r="AU2" s="298">
        <f t="shared" ref="AU2" si="30">DATE(YEAR(AS2),MONTH(AS2)+1,1)</f>
        <v>44409</v>
      </c>
      <c r="AV2" s="298">
        <f t="shared" ref="AV2" si="31">DATE(YEAR(AT2),MONTH(AT2)+1,1)</f>
        <v>44409</v>
      </c>
      <c r="AW2" s="298">
        <f t="shared" ref="AW2:AX2" si="32">DATE(YEAR(AU2),MONTH(AU2)+1,1)</f>
        <v>44440</v>
      </c>
      <c r="AX2" s="298">
        <f t="shared" si="32"/>
        <v>44440</v>
      </c>
    </row>
    <row r="3" spans="2:50">
      <c r="B3" t="s">
        <v>218</v>
      </c>
      <c r="C3" s="110" t="s">
        <v>143</v>
      </c>
      <c r="D3" s="111" t="s">
        <v>144</v>
      </c>
      <c r="E3" s="110" t="s">
        <v>143</v>
      </c>
      <c r="F3" s="111" t="s">
        <v>144</v>
      </c>
      <c r="G3" s="110" t="s">
        <v>143</v>
      </c>
      <c r="H3" s="111" t="s">
        <v>144</v>
      </c>
      <c r="I3" s="110" t="s">
        <v>143</v>
      </c>
      <c r="J3" s="111" t="s">
        <v>144</v>
      </c>
      <c r="K3" s="110" t="s">
        <v>143</v>
      </c>
      <c r="L3" s="111" t="s">
        <v>144</v>
      </c>
      <c r="M3" s="110" t="s">
        <v>143</v>
      </c>
      <c r="N3" s="111" t="s">
        <v>144</v>
      </c>
      <c r="O3" s="110" t="s">
        <v>143</v>
      </c>
      <c r="P3" s="111" t="s">
        <v>144</v>
      </c>
      <c r="Q3" s="110" t="s">
        <v>143</v>
      </c>
      <c r="R3" s="111" t="s">
        <v>144</v>
      </c>
      <c r="S3" s="110" t="s">
        <v>143</v>
      </c>
      <c r="T3" s="111" t="s">
        <v>144</v>
      </c>
      <c r="U3" s="110" t="s">
        <v>143</v>
      </c>
      <c r="V3" s="111" t="s">
        <v>144</v>
      </c>
      <c r="W3" s="110" t="s">
        <v>143</v>
      </c>
      <c r="X3" s="111" t="s">
        <v>144</v>
      </c>
      <c r="Y3" s="110" t="s">
        <v>143</v>
      </c>
      <c r="Z3" s="111" t="s">
        <v>144</v>
      </c>
      <c r="AA3" s="110" t="s">
        <v>143</v>
      </c>
      <c r="AB3" s="111" t="s">
        <v>144</v>
      </c>
      <c r="AC3" s="110" t="s">
        <v>143</v>
      </c>
      <c r="AD3" s="111" t="s">
        <v>144</v>
      </c>
      <c r="AE3" s="110" t="s">
        <v>143</v>
      </c>
      <c r="AF3" s="111" t="s">
        <v>144</v>
      </c>
      <c r="AG3" s="110" t="s">
        <v>143</v>
      </c>
      <c r="AH3" s="111" t="s">
        <v>144</v>
      </c>
      <c r="AI3" s="110" t="s">
        <v>143</v>
      </c>
      <c r="AJ3" s="111" t="s">
        <v>144</v>
      </c>
      <c r="AK3" s="110" t="s">
        <v>143</v>
      </c>
      <c r="AL3" s="111" t="s">
        <v>144</v>
      </c>
      <c r="AM3" s="110" t="s">
        <v>143</v>
      </c>
      <c r="AN3" s="111" t="s">
        <v>144</v>
      </c>
      <c r="AO3" s="110" t="s">
        <v>143</v>
      </c>
      <c r="AP3" s="111" t="s">
        <v>144</v>
      </c>
      <c r="AQ3" s="110" t="s">
        <v>143</v>
      </c>
      <c r="AR3" s="111" t="s">
        <v>144</v>
      </c>
      <c r="AS3" s="110" t="s">
        <v>143</v>
      </c>
      <c r="AT3" s="111" t="s">
        <v>144</v>
      </c>
      <c r="AU3" s="110" t="s">
        <v>143</v>
      </c>
      <c r="AV3" s="111" t="s">
        <v>144</v>
      </c>
      <c r="AW3" s="110" t="s">
        <v>143</v>
      </c>
      <c r="AX3" s="111" t="s">
        <v>144</v>
      </c>
    </row>
    <row r="4" spans="2:50">
      <c r="B4" t="s">
        <v>214</v>
      </c>
      <c r="C4">
        <f>IF(C$3="HLH",VLOOKUP(DATE(YEAR(C$2)-2,MONTH(C$2),1),Rates_previous!$G$6:$O$29,7,FALSE),VLOOKUP(DATE(YEAR(C$2)-2,MONTH(C$2),1),Rates_previous!$G$6:$O$29,8,FALSE))</f>
        <v>26.74</v>
      </c>
      <c r="D4">
        <f>IF(D$3="HLH",VLOOKUP(DATE(YEAR(D$2)-2,MONTH(D$2),1),Rates_previous!$G$6:$O$29,7,FALSE),VLOOKUP(DATE(YEAR(D$2)-2,MONTH(D$2),1),Rates_previous!$G$6:$O$29,8,FALSE))</f>
        <v>22.49</v>
      </c>
      <c r="E4">
        <f>IF(E$3="HLH",VLOOKUP(DATE(YEAR(E$2)-2,MONTH(E$2),1),Rates_previous!$G$6:$O$29,7,FALSE),VLOOKUP(DATE(YEAR(E$2)-2,MONTH(E$2),1),Rates_previous!$G$6:$O$29,8,FALSE))</f>
        <v>27.27</v>
      </c>
      <c r="F4">
        <f>IF(F$3="HLH",VLOOKUP(DATE(YEAR(F$2)-2,MONTH(F$2),1),Rates_previous!$G$6:$O$29,7,FALSE),VLOOKUP(DATE(YEAR(F$2)-2,MONTH(F$2),1),Rates_previous!$G$6:$O$29,8,FALSE))</f>
        <v>24.74</v>
      </c>
      <c r="G4">
        <f>IF(G$3="HLH",VLOOKUP(DATE(YEAR(G$2)-2,MONTH(G$2),1),Rates_previous!$G$6:$O$29,7,FALSE),VLOOKUP(DATE(YEAR(G$2)-2,MONTH(G$2),1),Rates_previous!$G$6:$O$29,8,FALSE))</f>
        <v>30.28</v>
      </c>
      <c r="H4">
        <f>IF(H$3="HLH",VLOOKUP(DATE(YEAR(H$2)-2,MONTH(H$2),1),Rates_previous!$G$6:$O$29,7,FALSE),VLOOKUP(DATE(YEAR(H$2)-2,MONTH(H$2),1),Rates_previous!$G$6:$O$29,8,FALSE))</f>
        <v>26.6</v>
      </c>
      <c r="I4">
        <f>IF(I$3="HLH",VLOOKUP(DATE(YEAR(I$2)-2,MONTH(I$2),1),Rates_previous!$G$6:$O$29,7,FALSE),VLOOKUP(DATE(YEAR(I$2)-2,MONTH(I$2),1),Rates_previous!$G$6:$O$29,8,FALSE))</f>
        <v>29.3</v>
      </c>
      <c r="J4">
        <f>IF(J$3="HLH",VLOOKUP(DATE(YEAR(J$2)-2,MONTH(J$2),1),Rates_previous!$G$6:$O$29,7,FALSE),VLOOKUP(DATE(YEAR(J$2)-2,MONTH(J$2),1),Rates_previous!$G$6:$O$29,8,FALSE))</f>
        <v>23.94</v>
      </c>
      <c r="K4">
        <f>IF(K$3="HLH",VLOOKUP(DATE(YEAR(K$2)-2,MONTH(K$2),1),Rates_previous!$G$6:$O$29,7,FALSE),VLOOKUP(DATE(YEAR(K$2)-2,MONTH(K$2),1),Rates_previous!$G$6:$O$29,8,FALSE))</f>
        <v>28.54</v>
      </c>
      <c r="L4">
        <f>IF(L$3="HLH",VLOOKUP(DATE(YEAR(L$2)-2,MONTH(L$2),1),Rates_previous!$G$6:$O$29,7,FALSE),VLOOKUP(DATE(YEAR(L$2)-2,MONTH(L$2),1),Rates_previous!$G$6:$O$29,8,FALSE))</f>
        <v>23.94</v>
      </c>
      <c r="M4">
        <f>IF(M$3="HLH",VLOOKUP(DATE(YEAR(M$2)-2,MONTH(M$2),1),Rates_previous!$G$6:$O$29,7,FALSE),VLOOKUP(DATE(YEAR(M$2)-2,MONTH(M$2),1),Rates_previous!$G$6:$O$29,8,FALSE))</f>
        <v>23.75</v>
      </c>
      <c r="N4">
        <f>IF(N$3="HLH",VLOOKUP(DATE(YEAR(N$2)-2,MONTH(N$2),1),Rates_previous!$G$6:$O$29,7,FALSE),VLOOKUP(DATE(YEAR(N$2)-2,MONTH(N$2),1),Rates_previous!$G$6:$O$29,8,FALSE))</f>
        <v>20.8</v>
      </c>
      <c r="O4">
        <f>IF(O$3="HLH",VLOOKUP(DATE(YEAR(O$2)-2,MONTH(O$2),1),Rates_previous!$G$6:$O$29,7,FALSE),VLOOKUP(DATE(YEAR(O$2)-2,MONTH(O$2),1),Rates_previous!$G$6:$O$29,8,FALSE))</f>
        <v>19.670000000000002</v>
      </c>
      <c r="P4">
        <f>IF(P$3="HLH",VLOOKUP(DATE(YEAR(P$2)-2,MONTH(P$2),1),Rates_previous!$G$6:$O$29,7,FALSE),VLOOKUP(DATE(YEAR(P$2)-2,MONTH(P$2),1),Rates_previous!$G$6:$O$29,8,FALSE))</f>
        <v>17.54</v>
      </c>
      <c r="Q4">
        <f>IF(Q$3="HLH",VLOOKUP(DATE(YEAR(Q$2)-2,MONTH(Q$2),1),Rates_previous!$G$6:$O$29,7,FALSE),VLOOKUP(DATE(YEAR(Q$2)-2,MONTH(Q$2),1),Rates_previous!$G$6:$O$29,8,FALSE))</f>
        <v>16.63</v>
      </c>
      <c r="R4">
        <f>IF(R$3="HLH",VLOOKUP(DATE(YEAR(R$2)-2,MONTH(R$2),1),Rates_previous!$G$6:$O$29,7,FALSE),VLOOKUP(DATE(YEAR(R$2)-2,MONTH(R$2),1),Rates_previous!$G$6:$O$29,8,FALSE))</f>
        <v>11.25</v>
      </c>
      <c r="S4">
        <f>IF(S$3="HLH",VLOOKUP(DATE(YEAR(S$2)-2,MONTH(S$2),1),Rates_previous!$G$6:$O$29,7,FALSE),VLOOKUP(DATE(YEAR(S$2)-2,MONTH(S$2),1),Rates_previous!$G$6:$O$29,8,FALSE))</f>
        <v>17.71</v>
      </c>
      <c r="T4">
        <f>IF(T$3="HLH",VLOOKUP(DATE(YEAR(T$2)-2,MONTH(T$2),1),Rates_previous!$G$6:$O$29,7,FALSE),VLOOKUP(DATE(YEAR(T$2)-2,MONTH(T$2),1),Rates_previous!$G$6:$O$29,8,FALSE))</f>
        <v>9.31</v>
      </c>
      <c r="U4">
        <f>IF(U$3="HLH",VLOOKUP(DATE(YEAR(U$2)-2,MONTH(U$2),1),Rates_previous!$G$6:$O$29,7,FALSE),VLOOKUP(DATE(YEAR(U$2)-2,MONTH(U$2),1),Rates_previous!$G$6:$O$29,8,FALSE))</f>
        <v>24.66</v>
      </c>
      <c r="V4">
        <f>IF(V$3="HLH",VLOOKUP(DATE(YEAR(V$2)-2,MONTH(V$2),1),Rates_previous!$G$6:$O$29,7,FALSE),VLOOKUP(DATE(YEAR(V$2)-2,MONTH(V$2),1),Rates_previous!$G$6:$O$29,8,FALSE))</f>
        <v>19.05</v>
      </c>
      <c r="W4">
        <f>IF(W$3="HLH",VLOOKUP(DATE(YEAR(W$2)-2,MONTH(W$2),1),Rates_previous!$G$6:$O$29,7,FALSE),VLOOKUP(DATE(YEAR(W$2)-2,MONTH(W$2),1),Rates_previous!$G$6:$O$29,8,FALSE))</f>
        <v>28.11</v>
      </c>
      <c r="X4">
        <f>IF(X$3="HLH",VLOOKUP(DATE(YEAR(X$2)-2,MONTH(X$2),1),Rates_previous!$G$6:$O$29,7,FALSE),VLOOKUP(DATE(YEAR(X$2)-2,MONTH(X$2),1),Rates_previous!$G$6:$O$29,8,FALSE))</f>
        <v>22.61</v>
      </c>
      <c r="Y4">
        <f>IF(Y$3="HLH",VLOOKUP(DATE(YEAR(Y$2)-2,MONTH(Y$2),1),Rates_previous!$G$6:$O$29,7,FALSE),VLOOKUP(DATE(YEAR(Y$2)-2,MONTH(Y$2),1),Rates_previous!$G$6:$O$29,8,FALSE))</f>
        <v>27.94</v>
      </c>
      <c r="Z4">
        <f>IF(Z$3="HLH",VLOOKUP(DATE(YEAR(Z$2)-2,MONTH(Z$2),1),Rates_previous!$G$6:$O$29,7,FALSE),VLOOKUP(DATE(YEAR(Z$2)-2,MONTH(Z$2),1),Rates_previous!$G$6:$O$29,8,FALSE))</f>
        <v>22.19</v>
      </c>
      <c r="AA4">
        <f>IF(AA$3="HLH",VLOOKUP(DATE(YEAR(AA$2)-2,MONTH(AA$2),1),Rates_previous!$G$6:$O$29,7,FALSE),VLOOKUP(DATE(YEAR(AA$2)-2,MONTH(AA$2),1),Rates_previous!$G$6:$O$29,8,FALSE))</f>
        <v>26.74</v>
      </c>
      <c r="AB4">
        <f>IF(AB$3="HLH",VLOOKUP(DATE(YEAR(AB$2)-2,MONTH(AB$2),1),Rates_previous!$G$6:$O$29,7,FALSE),VLOOKUP(DATE(YEAR(AB$2)-2,MONTH(AB$2),1),Rates_previous!$G$6:$O$29,8,FALSE))</f>
        <v>22.49</v>
      </c>
      <c r="AC4">
        <f>IF(AC$3="HLH",VLOOKUP(DATE(YEAR(AC$2)-2,MONTH(AC$2),1),Rates_previous!$G$6:$O$29,7,FALSE),VLOOKUP(DATE(YEAR(AC$2)-2,MONTH(AC$2),1),Rates_previous!$G$6:$O$29,8,FALSE))</f>
        <v>27.27</v>
      </c>
      <c r="AD4">
        <f>IF(AD$3="HLH",VLOOKUP(DATE(YEAR(AD$2)-2,MONTH(AD$2),1),Rates_previous!$G$6:$O$29,7,FALSE),VLOOKUP(DATE(YEAR(AD$2)-2,MONTH(AD$2),1),Rates_previous!$G$6:$O$29,8,FALSE))</f>
        <v>24.74</v>
      </c>
      <c r="AE4">
        <f>IF(AE$3="HLH",VLOOKUP(DATE(YEAR(AE$2)-2,MONTH(AE$2),1),Rates_previous!$G$6:$O$29,7,FALSE),VLOOKUP(DATE(YEAR(AE$2)-2,MONTH(AE$2),1),Rates_previous!$G$6:$O$29,8,FALSE))</f>
        <v>30.28</v>
      </c>
      <c r="AF4">
        <f>IF(AF$3="HLH",VLOOKUP(DATE(YEAR(AF$2)-2,MONTH(AF$2),1),Rates_previous!$G$6:$O$29,7,FALSE),VLOOKUP(DATE(YEAR(AF$2)-2,MONTH(AF$2),1),Rates_previous!$G$6:$O$29,8,FALSE))</f>
        <v>26.6</v>
      </c>
      <c r="AG4">
        <f>IF(AG$3="HLH",VLOOKUP(DATE(YEAR(AG$2)-2,MONTH(AG$2),1),Rates_previous!$G$6:$O$29,7,FALSE),VLOOKUP(DATE(YEAR(AG$2)-2,MONTH(AG$2),1),Rates_previous!$G$6:$O$29,8,FALSE))</f>
        <v>29.3</v>
      </c>
      <c r="AH4">
        <f>IF(AH$3="HLH",VLOOKUP(DATE(YEAR(AH$2)-2,MONTH(AH$2),1),Rates_previous!$G$6:$O$29,7,FALSE),VLOOKUP(DATE(YEAR(AH$2)-2,MONTH(AH$2),1),Rates_previous!$G$6:$O$29,8,FALSE))</f>
        <v>23.94</v>
      </c>
      <c r="AI4">
        <f>IF(AI$3="HLH",VLOOKUP(DATE(YEAR(AI$2)-2,MONTH(AI$2),1),Rates_previous!$G$6:$O$29,7,FALSE),VLOOKUP(DATE(YEAR(AI$2)-2,MONTH(AI$2),1),Rates_previous!$G$6:$O$29,8,FALSE))</f>
        <v>28.54</v>
      </c>
      <c r="AJ4">
        <f>IF(AJ$3="HLH",VLOOKUP(DATE(YEAR(AJ$2)-2,MONTH(AJ$2),1),Rates_previous!$G$6:$O$29,7,FALSE),VLOOKUP(DATE(YEAR(AJ$2)-2,MONTH(AJ$2),1),Rates_previous!$G$6:$O$29,8,FALSE))</f>
        <v>23.94</v>
      </c>
      <c r="AK4">
        <f>IF(AK$3="HLH",VLOOKUP(DATE(YEAR(AK$2)-2,MONTH(AK$2),1),Rates_previous!$G$6:$O$29,7,FALSE),VLOOKUP(DATE(YEAR(AK$2)-2,MONTH(AK$2),1),Rates_previous!$G$6:$O$29,8,FALSE))</f>
        <v>23.75</v>
      </c>
      <c r="AL4">
        <f>IF(AL$3="HLH",VLOOKUP(DATE(YEAR(AL$2)-2,MONTH(AL$2),1),Rates_previous!$G$6:$O$29,7,FALSE),VLOOKUP(DATE(YEAR(AL$2)-2,MONTH(AL$2),1),Rates_previous!$G$6:$O$29,8,FALSE))</f>
        <v>20.8</v>
      </c>
      <c r="AM4">
        <f>IF(AM$3="HLH",VLOOKUP(DATE(YEAR(AM$2)-2,MONTH(AM$2),1),Rates_previous!$G$6:$O$29,7,FALSE),VLOOKUP(DATE(YEAR(AM$2)-2,MONTH(AM$2),1),Rates_previous!$G$6:$O$29,8,FALSE))</f>
        <v>19.670000000000002</v>
      </c>
      <c r="AN4">
        <f>IF(AN$3="HLH",VLOOKUP(DATE(YEAR(AN$2)-2,MONTH(AN$2),1),Rates_previous!$G$6:$O$29,7,FALSE),VLOOKUP(DATE(YEAR(AN$2)-2,MONTH(AN$2),1),Rates_previous!$G$6:$O$29,8,FALSE))</f>
        <v>17.54</v>
      </c>
      <c r="AO4">
        <f>IF(AO$3="HLH",VLOOKUP(DATE(YEAR(AO$2)-2,MONTH(AO$2),1),Rates_previous!$G$6:$O$29,7,FALSE),VLOOKUP(DATE(YEAR(AO$2)-2,MONTH(AO$2),1),Rates_previous!$G$6:$O$29,8,FALSE))</f>
        <v>16.63</v>
      </c>
      <c r="AP4">
        <f>IF(AP$3="HLH",VLOOKUP(DATE(YEAR(AP$2)-2,MONTH(AP$2),1),Rates_previous!$G$6:$O$29,7,FALSE),VLOOKUP(DATE(YEAR(AP$2)-2,MONTH(AP$2),1),Rates_previous!$G$6:$O$29,8,FALSE))</f>
        <v>11.25</v>
      </c>
      <c r="AQ4">
        <f>IF(AQ$3="HLH",VLOOKUP(DATE(YEAR(AQ$2)-2,MONTH(AQ$2),1),Rates_previous!$G$6:$O$29,7,FALSE),VLOOKUP(DATE(YEAR(AQ$2)-2,MONTH(AQ$2),1),Rates_previous!$G$6:$O$29,8,FALSE))</f>
        <v>17.71</v>
      </c>
      <c r="AR4">
        <f>IF(AR$3="HLH",VLOOKUP(DATE(YEAR(AR$2)-2,MONTH(AR$2),1),Rates_previous!$G$6:$O$29,7,FALSE),VLOOKUP(DATE(YEAR(AR$2)-2,MONTH(AR$2),1),Rates_previous!$G$6:$O$29,8,FALSE))</f>
        <v>9.31</v>
      </c>
      <c r="AS4">
        <f>IF(AS$3="HLH",VLOOKUP(DATE(YEAR(AS$2)-2,MONTH(AS$2),1),Rates_previous!$G$6:$O$29,7,FALSE),VLOOKUP(DATE(YEAR(AS$2)-2,MONTH(AS$2),1),Rates_previous!$G$6:$O$29,8,FALSE))</f>
        <v>24.66</v>
      </c>
      <c r="AT4">
        <f>IF(AT$3="HLH",VLOOKUP(DATE(YEAR(AT$2)-2,MONTH(AT$2),1),Rates_previous!$G$6:$O$29,7,FALSE),VLOOKUP(DATE(YEAR(AT$2)-2,MONTH(AT$2),1),Rates_previous!$G$6:$O$29,8,FALSE))</f>
        <v>19.05</v>
      </c>
      <c r="AU4">
        <f>IF(AU$3="HLH",VLOOKUP(DATE(YEAR(AU$2)-2,MONTH(AU$2),1),Rates_previous!$G$6:$O$29,7,FALSE),VLOOKUP(DATE(YEAR(AU$2)-2,MONTH(AU$2),1),Rates_previous!$G$6:$O$29,8,FALSE))</f>
        <v>28.11</v>
      </c>
      <c r="AV4">
        <f>IF(AV$3="HLH",VLOOKUP(DATE(YEAR(AV$2)-2,MONTH(AV$2),1),Rates_previous!$G$6:$O$29,7,FALSE),VLOOKUP(DATE(YEAR(AV$2)-2,MONTH(AV$2),1),Rates_previous!$G$6:$O$29,8,FALSE))</f>
        <v>22.61</v>
      </c>
      <c r="AW4">
        <f>IF(AW$3="HLH",VLOOKUP(DATE(YEAR(AW$2)-2,MONTH(AW$2),1),Rates_previous!$G$6:$O$29,7,FALSE),VLOOKUP(DATE(YEAR(AW$2)-2,MONTH(AW$2),1),Rates_previous!$G$6:$O$29,8,FALSE))</f>
        <v>27.94</v>
      </c>
      <c r="AX4">
        <f>IF(AX$3="HLH",VLOOKUP(DATE(YEAR(AX$2)-2,MONTH(AX$2),1),Rates_previous!$G$6:$O$29,7,FALSE),VLOOKUP(DATE(YEAR(AX$2)-2,MONTH(AX$2),1),Rates_previous!$G$6:$O$29,8,FALSE))</f>
        <v>22.19</v>
      </c>
    </row>
    <row r="5" spans="2:50">
      <c r="B5" t="s">
        <v>215</v>
      </c>
      <c r="C5">
        <f>IF(C$3="HLH",VLOOKUP(DATE(YEAR(C$2),MONTH(C$2),1),Rates_current!$G$6:$O$29,7,FALSE),VLOOKUP(DATE(YEAR(C$2),MONTH(C$2),1),Rates_current!$G$6:$O$29,8,FALSE))</f>
        <v>23.84</v>
      </c>
      <c r="D5">
        <f>IF(D$3="HLH",VLOOKUP(DATE(YEAR(D$2),MONTH(D$2),1),Rates_current!$G$6:$O$29,7,FALSE),VLOOKUP(DATE(YEAR(D$2),MONTH(D$2),1),Rates_current!$G$6:$O$29,8,FALSE))</f>
        <v>18.88</v>
      </c>
      <c r="E5">
        <f>IF(E$3="HLH",VLOOKUP(DATE(YEAR(E$2),MONTH(E$2),1),Rates_current!$G$6:$O$29,7,FALSE),VLOOKUP(DATE(YEAR(E$2),MONTH(E$2),1),Rates_current!$G$6:$O$29,8,FALSE))</f>
        <v>25.19</v>
      </c>
      <c r="F5">
        <f>IF(F$3="HLH",VLOOKUP(DATE(YEAR(F$2),MONTH(F$2),1),Rates_current!$G$6:$O$29,7,FALSE),VLOOKUP(DATE(YEAR(F$2),MONTH(F$2),1),Rates_current!$G$6:$O$29,8,FALSE))</f>
        <v>21.84</v>
      </c>
      <c r="G5">
        <f>IF(G$3="HLH",VLOOKUP(DATE(YEAR(G$2),MONTH(G$2),1),Rates_current!$G$6:$O$29,7,FALSE),VLOOKUP(DATE(YEAR(G$2),MONTH(G$2),1),Rates_current!$G$6:$O$29,8,FALSE))</f>
        <v>28.09</v>
      </c>
      <c r="H5">
        <f>IF(H$3="HLH",VLOOKUP(DATE(YEAR(H$2),MONTH(H$2),1),Rates_current!$G$6:$O$29,7,FALSE),VLOOKUP(DATE(YEAR(H$2),MONTH(H$2),1),Rates_current!$G$6:$O$29,8,FALSE))</f>
        <v>23.56</v>
      </c>
      <c r="I5">
        <f>IF(I$3="HLH",VLOOKUP(DATE(YEAR(I$2),MONTH(I$2),1),Rates_current!$G$6:$O$29,7,FALSE),VLOOKUP(DATE(YEAR(I$2),MONTH(I$2),1),Rates_current!$G$6:$O$29,8,FALSE))</f>
        <v>25.24</v>
      </c>
      <c r="J5">
        <f>IF(J$3="HLH",VLOOKUP(DATE(YEAR(J$2),MONTH(J$2),1),Rates_current!$G$6:$O$29,7,FALSE),VLOOKUP(DATE(YEAR(J$2),MONTH(J$2),1),Rates_current!$G$6:$O$29,8,FALSE))</f>
        <v>19.21</v>
      </c>
      <c r="K5">
        <f>IF(K$3="HLH",VLOOKUP(DATE(YEAR(K$2),MONTH(K$2),1),Rates_current!$G$6:$O$29,7,FALSE),VLOOKUP(DATE(YEAR(K$2),MONTH(K$2),1),Rates_current!$G$6:$O$29,8,FALSE))</f>
        <v>24.36</v>
      </c>
      <c r="L5">
        <f>IF(L$3="HLH",VLOOKUP(DATE(YEAR(L$2),MONTH(L$2),1),Rates_current!$G$6:$O$29,7,FALSE),VLOOKUP(DATE(YEAR(L$2),MONTH(L$2),1),Rates_current!$G$6:$O$29,8,FALSE))</f>
        <v>19.28</v>
      </c>
      <c r="M5">
        <f>IF(M$3="HLH",VLOOKUP(DATE(YEAR(M$2),MONTH(M$2),1),Rates_current!$G$6:$O$29,7,FALSE),VLOOKUP(DATE(YEAR(M$2),MONTH(M$2),1),Rates_current!$G$6:$O$29,8,FALSE))</f>
        <v>19.190000000000001</v>
      </c>
      <c r="N5">
        <f>IF(N$3="HLH",VLOOKUP(DATE(YEAR(N$2),MONTH(N$2),1),Rates_current!$G$6:$O$29,7,FALSE),VLOOKUP(DATE(YEAR(N$2),MONTH(N$2),1),Rates_current!$G$6:$O$29,8,FALSE))</f>
        <v>16.11</v>
      </c>
      <c r="O5">
        <f>IF(O$3="HLH",VLOOKUP(DATE(YEAR(O$2),MONTH(O$2),1),Rates_current!$G$6:$O$29,7,FALSE),VLOOKUP(DATE(YEAR(O$2),MONTH(O$2),1),Rates_current!$G$6:$O$29,8,FALSE))</f>
        <v>17.98</v>
      </c>
      <c r="P5">
        <f>IF(P$3="HLH",VLOOKUP(DATE(YEAR(P$2),MONTH(P$2),1),Rates_current!$G$6:$O$29,7,FALSE),VLOOKUP(DATE(YEAR(P$2),MONTH(P$2),1),Rates_current!$G$6:$O$29,8,FALSE))</f>
        <v>14.4</v>
      </c>
      <c r="Q5">
        <f>IF(Q$3="HLH",VLOOKUP(DATE(YEAR(Q$2),MONTH(Q$2),1),Rates_current!$G$6:$O$29,7,FALSE),VLOOKUP(DATE(YEAR(Q$2),MONTH(Q$2),1),Rates_current!$G$6:$O$29,8,FALSE))</f>
        <v>11.71</v>
      </c>
      <c r="R5">
        <f>IF(R$3="HLH",VLOOKUP(DATE(YEAR(R$2),MONTH(R$2),1),Rates_current!$G$6:$O$29,7,FALSE),VLOOKUP(DATE(YEAR(R$2),MONTH(R$2),1),Rates_current!$G$6:$O$29,8,FALSE))</f>
        <v>6.55</v>
      </c>
      <c r="S5">
        <f>IF(S$3="HLH",VLOOKUP(DATE(YEAR(S$2),MONTH(S$2),1),Rates_current!$G$6:$O$29,7,FALSE),VLOOKUP(DATE(YEAR(S$2),MONTH(S$2),1),Rates_current!$G$6:$O$29,8,FALSE))</f>
        <v>10.52</v>
      </c>
      <c r="T5">
        <f>IF(T$3="HLH",VLOOKUP(DATE(YEAR(T$2),MONTH(T$2),1),Rates_current!$G$6:$O$29,7,FALSE),VLOOKUP(DATE(YEAR(T$2),MONTH(T$2),1),Rates_current!$G$6:$O$29,8,FALSE))</f>
        <v>1.68</v>
      </c>
      <c r="U5">
        <f>IF(U$3="HLH",VLOOKUP(DATE(YEAR(U$2),MONTH(U$2),1),Rates_current!$G$6:$O$29,7,FALSE),VLOOKUP(DATE(YEAR(U$2),MONTH(U$2),1),Rates_current!$G$6:$O$29,8,FALSE))</f>
        <v>21.45</v>
      </c>
      <c r="V5">
        <f>IF(V$3="HLH",VLOOKUP(DATE(YEAR(V$2),MONTH(V$2),1),Rates_current!$G$6:$O$29,7,FALSE),VLOOKUP(DATE(YEAR(V$2),MONTH(V$2),1),Rates_current!$G$6:$O$29,8,FALSE))</f>
        <v>15.31</v>
      </c>
      <c r="W5">
        <f>IF(W$3="HLH",VLOOKUP(DATE(YEAR(W$2),MONTH(W$2),1),Rates_current!$G$6:$O$29,7,FALSE),VLOOKUP(DATE(YEAR(W$2),MONTH(W$2),1),Rates_current!$G$6:$O$29,8,FALSE))</f>
        <v>25.24</v>
      </c>
      <c r="X5">
        <f>IF(X$3="HLH",VLOOKUP(DATE(YEAR(X$2),MONTH(X$2),1),Rates_current!$G$6:$O$29,7,FALSE),VLOOKUP(DATE(YEAR(X$2),MONTH(X$2),1),Rates_current!$G$6:$O$29,8,FALSE))</f>
        <v>20.21</v>
      </c>
      <c r="Y5">
        <f>IF(Y$3="HLH",VLOOKUP(DATE(YEAR(Y$2),MONTH(Y$2),1),Rates_current!$G$6:$O$29,7,FALSE),VLOOKUP(DATE(YEAR(Y$2),MONTH(Y$2),1),Rates_current!$G$6:$O$29,8,FALSE))</f>
        <v>24.86</v>
      </c>
      <c r="Z5">
        <f>IF(Z$3="HLH",VLOOKUP(DATE(YEAR(Z$2),MONTH(Z$2),1),Rates_current!$G$6:$O$29,7,FALSE),VLOOKUP(DATE(YEAR(Z$2),MONTH(Z$2),1),Rates_current!$G$6:$O$29,8,FALSE))</f>
        <v>19.98</v>
      </c>
      <c r="AA5">
        <f>IF(AA$3="HLH",VLOOKUP(DATE(YEAR(AA$2),MONTH(AA$2),1),Rates_current!$G$6:$O$29,7,FALSE),VLOOKUP(DATE(YEAR(AA$2),MONTH(AA$2),1),Rates_current!$G$6:$O$29,8,FALSE))</f>
        <v>23.84</v>
      </c>
      <c r="AB5">
        <f>IF(AB$3="HLH",VLOOKUP(DATE(YEAR(AB$2),MONTH(AB$2),1),Rates_current!$G$6:$O$29,7,FALSE),VLOOKUP(DATE(YEAR(AB$2),MONTH(AB$2),1),Rates_current!$G$6:$O$29,8,FALSE))</f>
        <v>18.88</v>
      </c>
      <c r="AC5">
        <f>IF(AC$3="HLH",VLOOKUP(DATE(YEAR(AC$2),MONTH(AC$2),1),Rates_current!$G$6:$O$29,7,FALSE),VLOOKUP(DATE(YEAR(AC$2),MONTH(AC$2),1),Rates_current!$G$6:$O$29,8,FALSE))</f>
        <v>25.19</v>
      </c>
      <c r="AD5">
        <f>IF(AD$3="HLH",VLOOKUP(DATE(YEAR(AD$2),MONTH(AD$2),1),Rates_current!$G$6:$O$29,7,FALSE),VLOOKUP(DATE(YEAR(AD$2),MONTH(AD$2),1),Rates_current!$G$6:$O$29,8,FALSE))</f>
        <v>21.84</v>
      </c>
      <c r="AE5">
        <f>IF(AE$3="HLH",VLOOKUP(DATE(YEAR(AE$2),MONTH(AE$2),1),Rates_current!$G$6:$O$29,7,FALSE),VLOOKUP(DATE(YEAR(AE$2),MONTH(AE$2),1),Rates_current!$G$6:$O$29,8,FALSE))</f>
        <v>28.09</v>
      </c>
      <c r="AF5">
        <f>IF(AF$3="HLH",VLOOKUP(DATE(YEAR(AF$2),MONTH(AF$2),1),Rates_current!$G$6:$O$29,7,FALSE),VLOOKUP(DATE(YEAR(AF$2),MONTH(AF$2),1),Rates_current!$G$6:$O$29,8,FALSE))</f>
        <v>23.56</v>
      </c>
      <c r="AG5">
        <f>IF(AG$3="HLH",VLOOKUP(DATE(YEAR(AG$2),MONTH(AG$2),1),Rates_current!$G$6:$O$29,7,FALSE),VLOOKUP(DATE(YEAR(AG$2),MONTH(AG$2),1),Rates_current!$G$6:$O$29,8,FALSE))</f>
        <v>25.24</v>
      </c>
      <c r="AH5">
        <f>IF(AH$3="HLH",VLOOKUP(DATE(YEAR(AH$2),MONTH(AH$2),1),Rates_current!$G$6:$O$29,7,FALSE),VLOOKUP(DATE(YEAR(AH$2),MONTH(AH$2),1),Rates_current!$G$6:$O$29,8,FALSE))</f>
        <v>19.21</v>
      </c>
      <c r="AI5">
        <f>IF(AI$3="HLH",VLOOKUP(DATE(YEAR(AI$2),MONTH(AI$2),1),Rates_current!$G$6:$O$29,7,FALSE),VLOOKUP(DATE(YEAR(AI$2),MONTH(AI$2),1),Rates_current!$G$6:$O$29,8,FALSE))</f>
        <v>24.36</v>
      </c>
      <c r="AJ5">
        <f>IF(AJ$3="HLH",VLOOKUP(DATE(YEAR(AJ$2),MONTH(AJ$2),1),Rates_current!$G$6:$O$29,7,FALSE),VLOOKUP(DATE(YEAR(AJ$2),MONTH(AJ$2),1),Rates_current!$G$6:$O$29,8,FALSE))</f>
        <v>19.28</v>
      </c>
      <c r="AK5">
        <f>IF(AK$3="HLH",VLOOKUP(DATE(YEAR(AK$2),MONTH(AK$2),1),Rates_current!$G$6:$O$29,7,FALSE),VLOOKUP(DATE(YEAR(AK$2),MONTH(AK$2),1),Rates_current!$G$6:$O$29,8,FALSE))</f>
        <v>19.190000000000001</v>
      </c>
      <c r="AL5">
        <f>IF(AL$3="HLH",VLOOKUP(DATE(YEAR(AL$2),MONTH(AL$2),1),Rates_current!$G$6:$O$29,7,FALSE),VLOOKUP(DATE(YEAR(AL$2),MONTH(AL$2),1),Rates_current!$G$6:$O$29,8,FALSE))</f>
        <v>16.11</v>
      </c>
      <c r="AM5">
        <f>IF(AM$3="HLH",VLOOKUP(DATE(YEAR(AM$2),MONTH(AM$2),1),Rates_current!$G$6:$O$29,7,FALSE),VLOOKUP(DATE(YEAR(AM$2),MONTH(AM$2),1),Rates_current!$G$6:$O$29,8,FALSE))</f>
        <v>17.98</v>
      </c>
      <c r="AN5">
        <f>IF(AN$3="HLH",VLOOKUP(DATE(YEAR(AN$2),MONTH(AN$2),1),Rates_current!$G$6:$O$29,7,FALSE),VLOOKUP(DATE(YEAR(AN$2),MONTH(AN$2),1),Rates_current!$G$6:$O$29,8,FALSE))</f>
        <v>14.4</v>
      </c>
      <c r="AO5">
        <f>IF(AO$3="HLH",VLOOKUP(DATE(YEAR(AO$2),MONTH(AO$2),1),Rates_current!$G$6:$O$29,7,FALSE),VLOOKUP(DATE(YEAR(AO$2),MONTH(AO$2),1),Rates_current!$G$6:$O$29,8,FALSE))</f>
        <v>11.71</v>
      </c>
      <c r="AP5">
        <f>IF(AP$3="HLH",VLOOKUP(DATE(YEAR(AP$2),MONTH(AP$2),1),Rates_current!$G$6:$O$29,7,FALSE),VLOOKUP(DATE(YEAR(AP$2),MONTH(AP$2),1),Rates_current!$G$6:$O$29,8,FALSE))</f>
        <v>6.55</v>
      </c>
      <c r="AQ5">
        <f>IF(AQ$3="HLH",VLOOKUP(DATE(YEAR(AQ$2),MONTH(AQ$2),1),Rates_current!$G$6:$O$29,7,FALSE),VLOOKUP(DATE(YEAR(AQ$2),MONTH(AQ$2),1),Rates_current!$G$6:$O$29,8,FALSE))</f>
        <v>10.52</v>
      </c>
      <c r="AR5">
        <f>IF(AR$3="HLH",VLOOKUP(DATE(YEAR(AR$2),MONTH(AR$2),1),Rates_current!$G$6:$O$29,7,FALSE),VLOOKUP(DATE(YEAR(AR$2),MONTH(AR$2),1),Rates_current!$G$6:$O$29,8,FALSE))</f>
        <v>1.68</v>
      </c>
      <c r="AS5">
        <f>IF(AS$3="HLH",VLOOKUP(DATE(YEAR(AS$2),MONTH(AS$2),1),Rates_current!$G$6:$O$29,7,FALSE),VLOOKUP(DATE(YEAR(AS$2),MONTH(AS$2),1),Rates_current!$G$6:$O$29,8,FALSE))</f>
        <v>21.45</v>
      </c>
      <c r="AT5">
        <f>IF(AT$3="HLH",VLOOKUP(DATE(YEAR(AT$2),MONTH(AT$2),1),Rates_current!$G$6:$O$29,7,FALSE),VLOOKUP(DATE(YEAR(AT$2),MONTH(AT$2),1),Rates_current!$G$6:$O$29,8,FALSE))</f>
        <v>15.31</v>
      </c>
      <c r="AU5">
        <f>IF(AU$3="HLH",VLOOKUP(DATE(YEAR(AU$2),MONTH(AU$2),1),Rates_current!$G$6:$O$29,7,FALSE),VLOOKUP(DATE(YEAR(AU$2),MONTH(AU$2),1),Rates_current!$G$6:$O$29,8,FALSE))</f>
        <v>25.24</v>
      </c>
      <c r="AV5">
        <f>IF(AV$3="HLH",VLOOKUP(DATE(YEAR(AV$2),MONTH(AV$2),1),Rates_current!$G$6:$O$29,7,FALSE),VLOOKUP(DATE(YEAR(AV$2),MONTH(AV$2),1),Rates_current!$G$6:$O$29,8,FALSE))</f>
        <v>20.21</v>
      </c>
      <c r="AW5">
        <f>IF(AW$3="HLH",VLOOKUP(DATE(YEAR(AW$2),MONTH(AW$2),1),Rates_current!$G$6:$O$29,7,FALSE),VLOOKUP(DATE(YEAR(AW$2),MONTH(AW$2),1),Rates_current!$G$6:$O$29,8,FALSE))</f>
        <v>24.86</v>
      </c>
      <c r="AX5">
        <f>IF(AX$3="HLH",VLOOKUP(DATE(YEAR(AX$2),MONTH(AX$2),1),Rates_current!$G$6:$O$29,7,FALSE),VLOOKUP(DATE(YEAR(AX$2),MONTH(AX$2),1),Rates_current!$G$6:$O$29,8,FALSE))</f>
        <v>19.98</v>
      </c>
    </row>
    <row r="6" spans="2:50">
      <c r="B6" t="s">
        <v>216</v>
      </c>
      <c r="C6">
        <f>IF(C$3="HLH",VLOOKUP(DATE(YEAR(C$2)-2,MONTH(C$2),1),Rates_previous!$G$6:$O$29,3,FALSE),0)</f>
        <v>10.45</v>
      </c>
      <c r="D6">
        <f>IF(D$3="HLH",VLOOKUP(DATE(YEAR(D$2)-2,MONTH(D$2),1),Rates_previous!$G$6:$O$29,3,FALSE),0)</f>
        <v>0</v>
      </c>
      <c r="E6">
        <f>IF(E$3="HLH",VLOOKUP(DATE(YEAR(E$2)-2,MONTH(E$2),1),Rates_previous!$G$6:$O$29,3,FALSE),0)</f>
        <v>10.65</v>
      </c>
      <c r="F6">
        <f>IF(F$3="HLH",VLOOKUP(DATE(YEAR(F$2)-2,MONTH(F$2),1),Rates_previous!$G$6:$O$29,3,FALSE),0)</f>
        <v>0</v>
      </c>
      <c r="G6">
        <f>IF(G$3="HLH",VLOOKUP(DATE(YEAR(G$2)-2,MONTH(G$2),1),Rates_previous!$G$6:$O$29,3,FALSE),0)</f>
        <v>11.83</v>
      </c>
      <c r="H6">
        <f>IF(H$3="HLH",VLOOKUP(DATE(YEAR(H$2)-2,MONTH(H$2),1),Rates_previous!$G$6:$O$29,3,FALSE),0)</f>
        <v>0</v>
      </c>
      <c r="I6">
        <f>IF(I$3="HLH",VLOOKUP(DATE(YEAR(I$2)-2,MONTH(I$2),1),Rates_previous!$G$6:$O$29,3,FALSE),0)</f>
        <v>11.45</v>
      </c>
      <c r="J6">
        <f>IF(J$3="HLH",VLOOKUP(DATE(YEAR(J$2)-2,MONTH(J$2),1),Rates_previous!$G$6:$O$29,3,FALSE),0)</f>
        <v>0</v>
      </c>
      <c r="K6">
        <f>IF(K$3="HLH",VLOOKUP(DATE(YEAR(K$2)-2,MONTH(K$2),1),Rates_previous!$G$6:$O$29,3,FALSE),0)</f>
        <v>11.15</v>
      </c>
      <c r="L6">
        <f>IF(L$3="HLH",VLOOKUP(DATE(YEAR(L$2)-2,MONTH(L$2),1),Rates_previous!$G$6:$O$29,3,FALSE),0)</f>
        <v>0</v>
      </c>
      <c r="M6">
        <f>IF(M$3="HLH",VLOOKUP(DATE(YEAR(M$2)-2,MONTH(M$2),1),Rates_previous!$G$6:$O$29,3,FALSE),0)</f>
        <v>9.2799999999999994</v>
      </c>
      <c r="N6">
        <f>IF(N$3="HLH",VLOOKUP(DATE(YEAR(N$2)-2,MONTH(N$2),1),Rates_previous!$G$6:$O$29,3,FALSE),0)</f>
        <v>0</v>
      </c>
      <c r="O6">
        <f>IF(O$3="HLH",VLOOKUP(DATE(YEAR(O$2)-2,MONTH(O$2),1),Rates_previous!$G$6:$O$29,3,FALSE),0)</f>
        <v>7.68</v>
      </c>
      <c r="P6">
        <f>IF(P$3="HLH",VLOOKUP(DATE(YEAR(P$2)-2,MONTH(P$2),1),Rates_previous!$G$6:$O$29,3,FALSE),0)</f>
        <v>0</v>
      </c>
      <c r="Q6">
        <f>IF(Q$3="HLH",VLOOKUP(DATE(YEAR(Q$2)-2,MONTH(Q$2),1),Rates_previous!$G$6:$O$29,3,FALSE),0)</f>
        <v>6.49</v>
      </c>
      <c r="R6">
        <f>IF(R$3="HLH",VLOOKUP(DATE(YEAR(R$2)-2,MONTH(R$2),1),Rates_previous!$G$6:$O$29,3,FALSE),0)</f>
        <v>0</v>
      </c>
      <c r="S6">
        <f>IF(S$3="HLH",VLOOKUP(DATE(YEAR(S$2)-2,MONTH(S$2),1),Rates_previous!$G$6:$O$29,3,FALSE),0)</f>
        <v>6.92</v>
      </c>
      <c r="T6">
        <f>IF(T$3="HLH",VLOOKUP(DATE(YEAR(T$2)-2,MONTH(T$2),1),Rates_previous!$G$6:$O$29,3,FALSE),0)</f>
        <v>0</v>
      </c>
      <c r="U6">
        <f>IF(U$3="HLH",VLOOKUP(DATE(YEAR(U$2)-2,MONTH(U$2),1),Rates_previous!$G$6:$O$29,3,FALSE),0)</f>
        <v>9.6300000000000008</v>
      </c>
      <c r="V6">
        <f>IF(V$3="HLH",VLOOKUP(DATE(YEAR(V$2)-2,MONTH(V$2),1),Rates_previous!$G$6:$O$29,3,FALSE),0)</f>
        <v>0</v>
      </c>
      <c r="W6">
        <f>IF(W$3="HLH",VLOOKUP(DATE(YEAR(W$2)-2,MONTH(W$2),1),Rates_previous!$G$6:$O$29,3,FALSE),0)</f>
        <v>10.98</v>
      </c>
      <c r="X6">
        <f>IF(X$3="HLH",VLOOKUP(DATE(YEAR(X$2)-2,MONTH(X$2),1),Rates_previous!$G$6:$O$29,3,FALSE),0)</f>
        <v>0</v>
      </c>
      <c r="Y6">
        <f>IF(Y$3="HLH",VLOOKUP(DATE(YEAR(Y$2)-2,MONTH(Y$2),1),Rates_previous!$G$6:$O$29,3,FALSE),0)</f>
        <v>10.91</v>
      </c>
      <c r="Z6">
        <f>IF(Z$3="HLH",VLOOKUP(DATE(YEAR(Z$2)-2,MONTH(Z$2),1),Rates_previous!$G$6:$O$29,3,FALSE),0)</f>
        <v>0</v>
      </c>
      <c r="AA6">
        <f>IF(AA$3="HLH",VLOOKUP(DATE(YEAR(AA$2)-2,MONTH(AA$2),1),Rates_previous!$G$6:$O$29,3,FALSE),0)</f>
        <v>10.45</v>
      </c>
      <c r="AB6">
        <f>IF(AB$3="HLH",VLOOKUP(DATE(YEAR(AB$2)-2,MONTH(AB$2),1),Rates_previous!$G$6:$O$29,3,FALSE),0)</f>
        <v>0</v>
      </c>
      <c r="AC6">
        <f>IF(AC$3="HLH",VLOOKUP(DATE(YEAR(AC$2)-2,MONTH(AC$2),1),Rates_previous!$G$6:$O$29,3,FALSE),0)</f>
        <v>10.65</v>
      </c>
      <c r="AD6">
        <f>IF(AD$3="HLH",VLOOKUP(DATE(YEAR(AD$2)-2,MONTH(AD$2),1),Rates_previous!$G$6:$O$29,3,FALSE),0)</f>
        <v>0</v>
      </c>
      <c r="AE6">
        <f>IF(AE$3="HLH",VLOOKUP(DATE(YEAR(AE$2)-2,MONTH(AE$2),1),Rates_previous!$G$6:$O$29,3,FALSE),0)</f>
        <v>11.83</v>
      </c>
      <c r="AF6">
        <f>IF(AF$3="HLH",VLOOKUP(DATE(YEAR(AF$2)-2,MONTH(AF$2),1),Rates_previous!$G$6:$O$29,3,FALSE),0)</f>
        <v>0</v>
      </c>
      <c r="AG6">
        <f>IF(AG$3="HLH",VLOOKUP(DATE(YEAR(AG$2)-2,MONTH(AG$2),1),Rates_previous!$G$6:$O$29,3,FALSE),0)</f>
        <v>11.45</v>
      </c>
      <c r="AH6">
        <f>IF(AH$3="HLH",VLOOKUP(DATE(YEAR(AH$2)-2,MONTH(AH$2),1),Rates_previous!$G$6:$O$29,3,FALSE),0)</f>
        <v>0</v>
      </c>
      <c r="AI6">
        <f>IF(AI$3="HLH",VLOOKUP(DATE(YEAR(AI$2)-2,MONTH(AI$2),1),Rates_previous!$G$6:$O$29,3,FALSE),0)</f>
        <v>11.15</v>
      </c>
      <c r="AJ6">
        <f>IF(AJ$3="HLH",VLOOKUP(DATE(YEAR(AJ$2)-2,MONTH(AJ$2),1),Rates_previous!$G$6:$O$29,3,FALSE),0)</f>
        <v>0</v>
      </c>
      <c r="AK6">
        <f>IF(AK$3="HLH",VLOOKUP(DATE(YEAR(AK$2)-2,MONTH(AK$2),1),Rates_previous!$G$6:$O$29,3,FALSE),0)</f>
        <v>9.2799999999999994</v>
      </c>
      <c r="AL6">
        <f>IF(AL$3="HLH",VLOOKUP(DATE(YEAR(AL$2)-2,MONTH(AL$2),1),Rates_previous!$G$6:$O$29,3,FALSE),0)</f>
        <v>0</v>
      </c>
      <c r="AM6">
        <f>IF(AM$3="HLH",VLOOKUP(DATE(YEAR(AM$2)-2,MONTH(AM$2),1),Rates_previous!$G$6:$O$29,3,FALSE),0)</f>
        <v>7.68</v>
      </c>
      <c r="AN6">
        <f>IF(AN$3="HLH",VLOOKUP(DATE(YEAR(AN$2)-2,MONTH(AN$2),1),Rates_previous!$G$6:$O$29,3,FALSE),0)</f>
        <v>0</v>
      </c>
      <c r="AO6">
        <f>IF(AO$3="HLH",VLOOKUP(DATE(YEAR(AO$2)-2,MONTH(AO$2),1),Rates_previous!$G$6:$O$29,3,FALSE),0)</f>
        <v>6.49</v>
      </c>
      <c r="AP6">
        <f>IF(AP$3="HLH",VLOOKUP(DATE(YEAR(AP$2)-2,MONTH(AP$2),1),Rates_previous!$G$6:$O$29,3,FALSE),0)</f>
        <v>0</v>
      </c>
      <c r="AQ6">
        <f>IF(AQ$3="HLH",VLOOKUP(DATE(YEAR(AQ$2)-2,MONTH(AQ$2),1),Rates_previous!$G$6:$O$29,3,FALSE),0)</f>
        <v>6.92</v>
      </c>
      <c r="AR6">
        <f>IF(AR$3="HLH",VLOOKUP(DATE(YEAR(AR$2)-2,MONTH(AR$2),1),Rates_previous!$G$6:$O$29,3,FALSE),0)</f>
        <v>0</v>
      </c>
      <c r="AS6">
        <f>IF(AS$3="HLH",VLOOKUP(DATE(YEAR(AS$2)-2,MONTH(AS$2),1),Rates_previous!$G$6:$O$29,3,FALSE),0)</f>
        <v>9.6300000000000008</v>
      </c>
      <c r="AT6">
        <f>IF(AT$3="HLH",VLOOKUP(DATE(YEAR(AT$2)-2,MONTH(AT$2),1),Rates_previous!$G$6:$O$29,3,FALSE),0)</f>
        <v>0</v>
      </c>
      <c r="AU6">
        <f>IF(AU$3="HLH",VLOOKUP(DATE(YEAR(AU$2)-2,MONTH(AU$2),1),Rates_previous!$G$6:$O$29,3,FALSE),0)</f>
        <v>10.98</v>
      </c>
      <c r="AV6">
        <f>IF(AV$3="HLH",VLOOKUP(DATE(YEAR(AV$2)-2,MONTH(AV$2),1),Rates_previous!$G$6:$O$29,3,FALSE),0)</f>
        <v>0</v>
      </c>
      <c r="AW6">
        <f>IF(AW$3="HLH",VLOOKUP(DATE(YEAR(AW$2)-2,MONTH(AW$2),1),Rates_previous!$G$6:$O$29,3,FALSE),0)</f>
        <v>10.91</v>
      </c>
      <c r="AX6">
        <f>IF(AX$3="HLH",VLOOKUP(DATE(YEAR(AX$2)-2,MONTH(AX$2),1),Rates_previous!$G$6:$O$29,3,FALSE),0)</f>
        <v>0</v>
      </c>
    </row>
    <row r="7" spans="2:50">
      <c r="B7" t="s">
        <v>217</v>
      </c>
      <c r="C7">
        <f>IF(C$3="HLH",VLOOKUP(DATE(YEAR(C$2),MONTH(C$2),1),Rates_current!$G$6:$O$29,3,FALSE),0)</f>
        <v>11.42</v>
      </c>
      <c r="D7">
        <f>IF(D$3="HLH",VLOOKUP(DATE(YEAR(D$2),MONTH(D$2),1),Rates_current!$G$6:$O$29,3,FALSE),0)</f>
        <v>0</v>
      </c>
      <c r="E7">
        <f>IF(E$3="HLH",VLOOKUP(DATE(YEAR(E$2),MONTH(E$2),1),Rates_current!$G$6:$O$29,3,FALSE),0)</f>
        <v>12.07</v>
      </c>
      <c r="F7">
        <f>IF(F$3="HLH",VLOOKUP(DATE(YEAR(F$2),MONTH(F$2),1),Rates_current!$G$6:$O$29,3,FALSE),0)</f>
        <v>0</v>
      </c>
      <c r="G7">
        <f>IF(G$3="HLH",VLOOKUP(DATE(YEAR(G$2),MONTH(G$2),1),Rates_current!$G$6:$O$29,3,FALSE),0)</f>
        <v>13.45</v>
      </c>
      <c r="H7">
        <f>IF(H$3="HLH",VLOOKUP(DATE(YEAR(H$2),MONTH(H$2),1),Rates_current!$G$6:$O$29,3,FALSE),0)</f>
        <v>0</v>
      </c>
      <c r="I7">
        <f>IF(I$3="HLH",VLOOKUP(DATE(YEAR(I$2),MONTH(I$2),1),Rates_current!$G$6:$O$29,3,FALSE),0)</f>
        <v>12.1</v>
      </c>
      <c r="J7">
        <f>IF(J$3="HLH",VLOOKUP(DATE(YEAR(J$2),MONTH(J$2),1),Rates_current!$G$6:$O$29,3,FALSE),0)</f>
        <v>0</v>
      </c>
      <c r="K7">
        <f>IF(K$3="HLH",VLOOKUP(DATE(YEAR(K$2),MONTH(K$2),1),Rates_current!$G$6:$O$29,3,FALSE),0)</f>
        <v>11.66</v>
      </c>
      <c r="L7">
        <f>IF(L$3="HLH",VLOOKUP(DATE(YEAR(L$2),MONTH(L$2),1),Rates_current!$G$6:$O$29,3,FALSE),0)</f>
        <v>0</v>
      </c>
      <c r="M7">
        <f>IF(M$3="HLH",VLOOKUP(DATE(YEAR(M$2),MONTH(M$2),1),Rates_current!$G$6:$O$29,3,FALSE),0)</f>
        <v>9.19</v>
      </c>
      <c r="N7">
        <f>IF(N$3="HLH",VLOOKUP(DATE(YEAR(N$2),MONTH(N$2),1),Rates_current!$G$6:$O$29,3,FALSE),0)</f>
        <v>0</v>
      </c>
      <c r="O7">
        <f>IF(O$3="HLH",VLOOKUP(DATE(YEAR(O$2),MONTH(O$2),1),Rates_current!$G$6:$O$29,3,FALSE),0)</f>
        <v>8.61</v>
      </c>
      <c r="P7">
        <f>IF(P$3="HLH",VLOOKUP(DATE(YEAR(P$2),MONTH(P$2),1),Rates_current!$G$6:$O$29,3,FALSE),0)</f>
        <v>0</v>
      </c>
      <c r="Q7">
        <f>IF(Q$3="HLH",VLOOKUP(DATE(YEAR(Q$2),MONTH(Q$2),1),Rates_current!$G$6:$O$29,3,FALSE),0)</f>
        <v>5.6</v>
      </c>
      <c r="R7">
        <f>IF(R$3="HLH",VLOOKUP(DATE(YEAR(R$2),MONTH(R$2),1),Rates_current!$G$6:$O$29,3,FALSE),0)</f>
        <v>0</v>
      </c>
      <c r="S7">
        <f>IF(S$3="HLH",VLOOKUP(DATE(YEAR(S$2),MONTH(S$2),1),Rates_current!$G$6:$O$29,3,FALSE),0)</f>
        <v>5.04</v>
      </c>
      <c r="T7">
        <f>IF(T$3="HLH",VLOOKUP(DATE(YEAR(T$2),MONTH(T$2),1),Rates_current!$G$6:$O$29,3,FALSE),0)</f>
        <v>0</v>
      </c>
      <c r="U7">
        <f>IF(U$3="HLH",VLOOKUP(DATE(YEAR(U$2),MONTH(U$2),1),Rates_current!$G$6:$O$29,3,FALSE),0)</f>
        <v>10.27</v>
      </c>
      <c r="V7">
        <f>IF(V$3="HLH",VLOOKUP(DATE(YEAR(V$2),MONTH(V$2),1),Rates_current!$G$6:$O$29,3,FALSE),0)</f>
        <v>0</v>
      </c>
      <c r="W7">
        <f>IF(W$3="HLH",VLOOKUP(DATE(YEAR(W$2),MONTH(W$2),1),Rates_current!$G$6:$O$29,3,FALSE),0)</f>
        <v>12.1</v>
      </c>
      <c r="X7">
        <f>IF(X$3="HLH",VLOOKUP(DATE(YEAR(X$2),MONTH(X$2),1),Rates_current!$G$6:$O$29,3,FALSE),0)</f>
        <v>0</v>
      </c>
      <c r="Y7">
        <f>IF(Y$3="HLH",VLOOKUP(DATE(YEAR(Y$2),MONTH(Y$2),1),Rates_current!$G$6:$O$29,3,FALSE),0)</f>
        <v>11.91</v>
      </c>
      <c r="Z7">
        <f>IF(Z$3="HLH",VLOOKUP(DATE(YEAR(Z$2),MONTH(Z$2),1),Rates_current!$G$6:$O$29,3,FALSE),0)</f>
        <v>0</v>
      </c>
      <c r="AA7">
        <f>IF(AA$3="HLH",VLOOKUP(DATE(YEAR(AA$2),MONTH(AA$2),1),Rates_current!$G$6:$O$29,3,FALSE),0)</f>
        <v>11.42</v>
      </c>
      <c r="AB7">
        <f>IF(AB$3="HLH",VLOOKUP(DATE(YEAR(AB$2),MONTH(AB$2),1),Rates_current!$G$6:$O$29,3,FALSE),0)</f>
        <v>0</v>
      </c>
      <c r="AC7">
        <f>IF(AC$3="HLH",VLOOKUP(DATE(YEAR(AC$2),MONTH(AC$2),1),Rates_current!$G$6:$O$29,3,FALSE),0)</f>
        <v>12.07</v>
      </c>
      <c r="AD7">
        <f>IF(AD$3="HLH",VLOOKUP(DATE(YEAR(AD$2),MONTH(AD$2),1),Rates_current!$G$6:$O$29,3,FALSE),0)</f>
        <v>0</v>
      </c>
      <c r="AE7">
        <f>IF(AE$3="HLH",VLOOKUP(DATE(YEAR(AE$2),MONTH(AE$2),1),Rates_current!$G$6:$O$29,3,FALSE),0)</f>
        <v>13.45</v>
      </c>
      <c r="AF7">
        <f>IF(AF$3="HLH",VLOOKUP(DATE(YEAR(AF$2),MONTH(AF$2),1),Rates_current!$G$6:$O$29,3,FALSE),0)</f>
        <v>0</v>
      </c>
      <c r="AG7">
        <f>IF(AG$3="HLH",VLOOKUP(DATE(YEAR(AG$2),MONTH(AG$2),1),Rates_current!$G$6:$O$29,3,FALSE),0)</f>
        <v>12.1</v>
      </c>
      <c r="AH7">
        <f>IF(AH$3="HLH",VLOOKUP(DATE(YEAR(AH$2),MONTH(AH$2),1),Rates_current!$G$6:$O$29,3,FALSE),0)</f>
        <v>0</v>
      </c>
      <c r="AI7">
        <f>IF(AI$3="HLH",VLOOKUP(DATE(YEAR(AI$2),MONTH(AI$2),1),Rates_current!$G$6:$O$29,3,FALSE),0)</f>
        <v>11.66</v>
      </c>
      <c r="AJ7">
        <f>IF(AJ$3="HLH",VLOOKUP(DATE(YEAR(AJ$2),MONTH(AJ$2),1),Rates_current!$G$6:$O$29,3,FALSE),0)</f>
        <v>0</v>
      </c>
      <c r="AK7">
        <f>IF(AK$3="HLH",VLOOKUP(DATE(YEAR(AK$2),MONTH(AK$2),1),Rates_current!$G$6:$O$29,3,FALSE),0)</f>
        <v>9.19</v>
      </c>
      <c r="AL7">
        <f>IF(AL$3="HLH",VLOOKUP(DATE(YEAR(AL$2),MONTH(AL$2),1),Rates_current!$G$6:$O$29,3,FALSE),0)</f>
        <v>0</v>
      </c>
      <c r="AM7">
        <f>IF(AM$3="HLH",VLOOKUP(DATE(YEAR(AM$2),MONTH(AM$2),1),Rates_current!$G$6:$O$29,3,FALSE),0)</f>
        <v>8.61</v>
      </c>
      <c r="AN7">
        <f>IF(AN$3="HLH",VLOOKUP(DATE(YEAR(AN$2),MONTH(AN$2),1),Rates_current!$G$6:$O$29,3,FALSE),0)</f>
        <v>0</v>
      </c>
      <c r="AO7">
        <f>IF(AO$3="HLH",VLOOKUP(DATE(YEAR(AO$2),MONTH(AO$2),1),Rates_current!$G$6:$O$29,3,FALSE),0)</f>
        <v>5.6</v>
      </c>
      <c r="AP7">
        <f>IF(AP$3="HLH",VLOOKUP(DATE(YEAR(AP$2),MONTH(AP$2),1),Rates_current!$G$6:$O$29,3,FALSE),0)</f>
        <v>0</v>
      </c>
      <c r="AQ7">
        <f>IF(AQ$3="HLH",VLOOKUP(DATE(YEAR(AQ$2),MONTH(AQ$2),1),Rates_current!$G$6:$O$29,3,FALSE),0)</f>
        <v>5.04</v>
      </c>
      <c r="AR7">
        <f>IF(AR$3="HLH",VLOOKUP(DATE(YEAR(AR$2),MONTH(AR$2),1),Rates_current!$G$6:$O$29,3,FALSE),0)</f>
        <v>0</v>
      </c>
      <c r="AS7">
        <f>IF(AS$3="HLH",VLOOKUP(DATE(YEAR(AS$2),MONTH(AS$2),1),Rates_current!$G$6:$O$29,3,FALSE),0)</f>
        <v>10.27</v>
      </c>
      <c r="AT7">
        <f>IF(AT$3="HLH",VLOOKUP(DATE(YEAR(AT$2),MONTH(AT$2),1),Rates_current!$G$6:$O$29,3,FALSE),0)</f>
        <v>0</v>
      </c>
      <c r="AU7">
        <f>IF(AU$3="HLH",VLOOKUP(DATE(YEAR(AU$2),MONTH(AU$2),1),Rates_current!$G$6:$O$29,3,FALSE),0)</f>
        <v>12.1</v>
      </c>
      <c r="AV7">
        <f>IF(AV$3="HLH",VLOOKUP(DATE(YEAR(AV$2),MONTH(AV$2),1),Rates_current!$G$6:$O$29,3,FALSE),0)</f>
        <v>0</v>
      </c>
      <c r="AW7">
        <f>IF(AW$3="HLH",VLOOKUP(DATE(YEAR(AW$2),MONTH(AW$2),1),Rates_current!$G$6:$O$29,3,FALSE),0)</f>
        <v>11.91</v>
      </c>
      <c r="AX7">
        <f>IF(AX$3="HLH",VLOOKUP(DATE(YEAR(AX$2),MONTH(AX$2),1),Rates_current!$G$6:$O$29,3,FALSE),0)</f>
        <v>0</v>
      </c>
    </row>
    <row r="9" spans="2:50">
      <c r="C9" s="198">
        <f>INDEX($C$2:$AX$2,1,C12)</f>
        <v>43739</v>
      </c>
      <c r="D9" s="198">
        <f t="shared" ref="D9:Z9" si="33">INDEX($C$2:$AX$2,1,D12)</f>
        <v>43770</v>
      </c>
      <c r="E9" s="198">
        <f t="shared" si="33"/>
        <v>43800</v>
      </c>
      <c r="F9" s="198">
        <f t="shared" si="33"/>
        <v>43831</v>
      </c>
      <c r="G9" s="198">
        <f t="shared" si="33"/>
        <v>43862</v>
      </c>
      <c r="H9" s="198">
        <f t="shared" si="33"/>
        <v>43891</v>
      </c>
      <c r="I9" s="198">
        <f t="shared" si="33"/>
        <v>43922</v>
      </c>
      <c r="J9" s="198">
        <f t="shared" si="33"/>
        <v>43952</v>
      </c>
      <c r="K9" s="198">
        <f t="shared" si="33"/>
        <v>43983</v>
      </c>
      <c r="L9" s="198">
        <f t="shared" si="33"/>
        <v>44013</v>
      </c>
      <c r="M9" s="198">
        <f t="shared" si="33"/>
        <v>44044</v>
      </c>
      <c r="N9" s="198">
        <f t="shared" si="33"/>
        <v>44075</v>
      </c>
      <c r="O9" s="198">
        <f t="shared" si="33"/>
        <v>44105</v>
      </c>
      <c r="P9" s="198">
        <f t="shared" si="33"/>
        <v>44136</v>
      </c>
      <c r="Q9" s="198">
        <f t="shared" si="33"/>
        <v>44166</v>
      </c>
      <c r="R9" s="198">
        <f t="shared" si="33"/>
        <v>44197</v>
      </c>
      <c r="S9" s="198">
        <f t="shared" si="33"/>
        <v>44228</v>
      </c>
      <c r="T9" s="198">
        <f t="shared" si="33"/>
        <v>44256</v>
      </c>
      <c r="U9" s="198">
        <f t="shared" si="33"/>
        <v>44287</v>
      </c>
      <c r="V9" s="198">
        <f t="shared" si="33"/>
        <v>44317</v>
      </c>
      <c r="W9" s="198">
        <f t="shared" si="33"/>
        <v>44348</v>
      </c>
      <c r="X9" s="198">
        <f t="shared" si="33"/>
        <v>44378</v>
      </c>
      <c r="Y9" s="198">
        <f t="shared" si="33"/>
        <v>44409</v>
      </c>
      <c r="Z9" s="198">
        <f t="shared" si="33"/>
        <v>44440</v>
      </c>
    </row>
    <row r="10" spans="2:50">
      <c r="B10" s="240" t="s">
        <v>216</v>
      </c>
      <c r="C10">
        <f>INDEX($C$6:$AX$6,1,C12)</f>
        <v>10.45</v>
      </c>
      <c r="D10" s="240">
        <f t="shared" ref="D10:Z10" si="34">INDEX($C$6:$AX$6,1,D12)</f>
        <v>10.65</v>
      </c>
      <c r="E10" s="240">
        <f t="shared" si="34"/>
        <v>11.83</v>
      </c>
      <c r="F10" s="240">
        <f t="shared" si="34"/>
        <v>11.45</v>
      </c>
      <c r="G10" s="240">
        <f t="shared" si="34"/>
        <v>11.15</v>
      </c>
      <c r="H10" s="240">
        <f t="shared" si="34"/>
        <v>9.2799999999999994</v>
      </c>
      <c r="I10" s="240">
        <f t="shared" si="34"/>
        <v>7.68</v>
      </c>
      <c r="J10" s="240">
        <f t="shared" si="34"/>
        <v>6.49</v>
      </c>
      <c r="K10" s="240">
        <f t="shared" si="34"/>
        <v>6.92</v>
      </c>
      <c r="L10" s="240">
        <f t="shared" si="34"/>
        <v>9.6300000000000008</v>
      </c>
      <c r="M10" s="240">
        <f t="shared" si="34"/>
        <v>10.98</v>
      </c>
      <c r="N10" s="240">
        <f t="shared" si="34"/>
        <v>10.91</v>
      </c>
      <c r="O10" s="240">
        <f t="shared" si="34"/>
        <v>10.45</v>
      </c>
      <c r="P10" s="240">
        <f t="shared" si="34"/>
        <v>10.65</v>
      </c>
      <c r="Q10" s="240">
        <f t="shared" si="34"/>
        <v>11.83</v>
      </c>
      <c r="R10" s="240">
        <f>INDEX($C$6:$AX$6,1,R12)</f>
        <v>11.45</v>
      </c>
      <c r="S10" s="240">
        <f t="shared" si="34"/>
        <v>11.15</v>
      </c>
      <c r="T10" s="240">
        <f t="shared" si="34"/>
        <v>9.2799999999999994</v>
      </c>
      <c r="U10" s="240">
        <f t="shared" si="34"/>
        <v>7.68</v>
      </c>
      <c r="V10" s="240">
        <f t="shared" si="34"/>
        <v>6.49</v>
      </c>
      <c r="W10" s="240">
        <f t="shared" si="34"/>
        <v>6.92</v>
      </c>
      <c r="X10" s="240">
        <f t="shared" si="34"/>
        <v>9.6300000000000008</v>
      </c>
      <c r="Y10" s="240">
        <f t="shared" si="34"/>
        <v>10.98</v>
      </c>
      <c r="Z10" s="240">
        <f t="shared" si="34"/>
        <v>10.91</v>
      </c>
      <c r="AA10" s="240"/>
      <c r="AB10" s="240"/>
    </row>
    <row r="11" spans="2:50">
      <c r="B11" s="240" t="s">
        <v>217</v>
      </c>
      <c r="C11" s="240">
        <f>INDEX($C$7:$AX$7,1,C12)</f>
        <v>11.42</v>
      </c>
      <c r="D11" s="240">
        <f t="shared" ref="D11:Z11" si="35">INDEX($C$7:$AX$7,1,D12)</f>
        <v>12.07</v>
      </c>
      <c r="E11" s="240">
        <f t="shared" si="35"/>
        <v>13.45</v>
      </c>
      <c r="F11" s="240">
        <f t="shared" si="35"/>
        <v>12.1</v>
      </c>
      <c r="G11" s="240">
        <f t="shared" si="35"/>
        <v>11.66</v>
      </c>
      <c r="H11" s="240">
        <f t="shared" si="35"/>
        <v>9.19</v>
      </c>
      <c r="I11" s="240">
        <f t="shared" si="35"/>
        <v>8.61</v>
      </c>
      <c r="J11" s="240">
        <f t="shared" si="35"/>
        <v>5.6</v>
      </c>
      <c r="K11" s="240">
        <f t="shared" si="35"/>
        <v>5.04</v>
      </c>
      <c r="L11" s="240">
        <f t="shared" si="35"/>
        <v>10.27</v>
      </c>
      <c r="M11" s="240">
        <f t="shared" si="35"/>
        <v>12.1</v>
      </c>
      <c r="N11" s="240">
        <f t="shared" si="35"/>
        <v>11.91</v>
      </c>
      <c r="O11" s="240">
        <f t="shared" si="35"/>
        <v>11.42</v>
      </c>
      <c r="P11" s="240">
        <f t="shared" si="35"/>
        <v>12.07</v>
      </c>
      <c r="Q11" s="240">
        <f t="shared" si="35"/>
        <v>13.45</v>
      </c>
      <c r="R11" s="240">
        <f t="shared" si="35"/>
        <v>12.1</v>
      </c>
      <c r="S11" s="240">
        <f t="shared" si="35"/>
        <v>11.66</v>
      </c>
      <c r="T11" s="240">
        <f t="shared" si="35"/>
        <v>9.19</v>
      </c>
      <c r="U11" s="240">
        <f t="shared" si="35"/>
        <v>8.61</v>
      </c>
      <c r="V11" s="240">
        <f t="shared" si="35"/>
        <v>5.6</v>
      </c>
      <c r="W11" s="240">
        <f t="shared" si="35"/>
        <v>5.04</v>
      </c>
      <c r="X11" s="240">
        <f t="shared" si="35"/>
        <v>10.27</v>
      </c>
      <c r="Y11" s="240">
        <f t="shared" si="35"/>
        <v>12.1</v>
      </c>
      <c r="Z11" s="240">
        <f t="shared" si="35"/>
        <v>11.91</v>
      </c>
    </row>
    <row r="12" spans="2:50">
      <c r="C12" s="247">
        <v>1</v>
      </c>
      <c r="D12" s="247">
        <v>3</v>
      </c>
      <c r="E12" s="247">
        <f>D12+2</f>
        <v>5</v>
      </c>
      <c r="F12" s="247">
        <f t="shared" ref="F12:Z12" si="36">E12+2</f>
        <v>7</v>
      </c>
      <c r="G12" s="247">
        <f t="shared" si="36"/>
        <v>9</v>
      </c>
      <c r="H12" s="247">
        <f t="shared" si="36"/>
        <v>11</v>
      </c>
      <c r="I12" s="247">
        <f t="shared" si="36"/>
        <v>13</v>
      </c>
      <c r="J12" s="247">
        <f t="shared" si="36"/>
        <v>15</v>
      </c>
      <c r="K12" s="247">
        <f t="shared" si="36"/>
        <v>17</v>
      </c>
      <c r="L12" s="247">
        <f t="shared" si="36"/>
        <v>19</v>
      </c>
      <c r="M12" s="247">
        <f t="shared" si="36"/>
        <v>21</v>
      </c>
      <c r="N12" s="247">
        <f t="shared" si="36"/>
        <v>23</v>
      </c>
      <c r="O12" s="247">
        <f t="shared" si="36"/>
        <v>25</v>
      </c>
      <c r="P12" s="247">
        <f t="shared" si="36"/>
        <v>27</v>
      </c>
      <c r="Q12" s="247">
        <f t="shared" si="36"/>
        <v>29</v>
      </c>
      <c r="R12" s="247">
        <f t="shared" si="36"/>
        <v>31</v>
      </c>
      <c r="S12" s="247">
        <f t="shared" si="36"/>
        <v>33</v>
      </c>
      <c r="T12" s="247">
        <f t="shared" si="36"/>
        <v>35</v>
      </c>
      <c r="U12" s="247">
        <f t="shared" si="36"/>
        <v>37</v>
      </c>
      <c r="V12" s="247">
        <f t="shared" si="36"/>
        <v>39</v>
      </c>
      <c r="W12" s="247">
        <f t="shared" si="36"/>
        <v>41</v>
      </c>
      <c r="X12" s="247">
        <f t="shared" si="36"/>
        <v>43</v>
      </c>
      <c r="Y12" s="247">
        <f t="shared" si="36"/>
        <v>45</v>
      </c>
      <c r="Z12" s="247">
        <f t="shared" si="36"/>
        <v>47</v>
      </c>
      <c r="AA12" s="240"/>
      <c r="AB12" s="240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F142"/>
  <sheetViews>
    <sheetView zoomScale="85" zoomScaleNormal="85" workbookViewId="0">
      <pane xSplit="4" ySplit="5" topLeftCell="E27" activePane="bottomRight" state="frozen"/>
      <selection pane="topRight" activeCell="D1" sqref="D1"/>
      <selection pane="bottomLeft" activeCell="A6" sqref="A6"/>
      <selection pane="bottomRight" activeCell="D71" sqref="D71"/>
    </sheetView>
  </sheetViews>
  <sheetFormatPr defaultRowHeight="15"/>
  <cols>
    <col min="1" max="1" width="14.140625" customWidth="1"/>
    <col min="2" max="2" width="26.5703125" bestFit="1" customWidth="1"/>
    <col min="3" max="3" width="8.5703125" style="240" customWidth="1"/>
    <col min="4" max="4" width="10.7109375" style="240" bestFit="1" customWidth="1"/>
    <col min="5" max="6" width="12.7109375" customWidth="1"/>
    <col min="7" max="8" width="12.7109375" style="208" customWidth="1"/>
    <col min="9" max="10" width="12.7109375" style="240" hidden="1" customWidth="1"/>
    <col min="11" max="11" width="12.7109375" style="208" customWidth="1"/>
    <col min="12" max="47" width="8.7109375" style="208" customWidth="1"/>
    <col min="48" max="48" width="8.7109375" style="295" customWidth="1"/>
    <col min="49" max="49" width="9" style="295" customWidth="1"/>
    <col min="50" max="59" width="8.7109375" style="295" customWidth="1"/>
    <col min="60" max="60" width="18.140625" style="208" bestFit="1" customWidth="1"/>
    <col min="61" max="61" width="18.140625" style="240" customWidth="1"/>
    <col min="62" max="62" width="13.5703125" style="208" bestFit="1" customWidth="1"/>
    <col min="63" max="63" width="20.28515625" style="208" bestFit="1" customWidth="1"/>
    <col min="64" max="64" width="20.28515625" style="208" customWidth="1"/>
    <col min="65" max="65" width="16.42578125" style="208" bestFit="1" customWidth="1"/>
    <col min="66" max="66" width="15.42578125" style="208" bestFit="1" customWidth="1"/>
    <col min="67" max="67" width="15.7109375" style="208" bestFit="1" customWidth="1"/>
    <col min="68" max="68" width="22" style="208" bestFit="1" customWidth="1"/>
    <col min="69" max="69" width="22" style="208" customWidth="1"/>
    <col min="70" max="70" width="14.7109375" style="208" bestFit="1" customWidth="1"/>
    <col min="71" max="71" width="10.28515625" bestFit="1" customWidth="1"/>
    <col min="72" max="72" width="19.42578125" bestFit="1" customWidth="1"/>
    <col min="73" max="73" width="9.5703125" bestFit="1" customWidth="1"/>
    <col min="74" max="74" width="10.85546875" customWidth="1"/>
    <col min="75" max="76" width="12.7109375" style="240" hidden="1" customWidth="1"/>
    <col min="114" max="114" width="11.7109375" style="295" customWidth="1"/>
    <col min="115" max="125" width="9.140625" style="295"/>
    <col min="126" max="126" width="18.140625" bestFit="1" customWidth="1"/>
    <col min="127" max="127" width="18.140625" style="240" customWidth="1"/>
    <col min="128" max="129" width="11.28515625" style="240" customWidth="1"/>
    <col min="130" max="130" width="17.140625" style="240" bestFit="1" customWidth="1"/>
    <col min="131" max="131" width="14.28515625" style="240" bestFit="1" customWidth="1"/>
    <col min="132" max="132" width="11.28515625" style="240" customWidth="1"/>
    <col min="133" max="133" width="9.140625" style="240"/>
    <col min="135" max="135" width="18.140625" customWidth="1"/>
    <col min="136" max="136" width="10.42578125" customWidth="1"/>
  </cols>
  <sheetData>
    <row r="1" spans="1:136">
      <c r="A1" t="s">
        <v>285</v>
      </c>
      <c r="E1" s="210" t="s">
        <v>286</v>
      </c>
      <c r="F1" s="211">
        <f>Init!R3</f>
        <v>2018</v>
      </c>
      <c r="G1" s="209"/>
      <c r="BK1" s="295"/>
      <c r="BM1" s="244"/>
      <c r="BS1" s="210" t="s">
        <v>287</v>
      </c>
      <c r="BT1" s="212">
        <f>Init!R6</f>
        <v>2020</v>
      </c>
    </row>
    <row r="2" spans="1:136" s="208" customFormat="1">
      <c r="C2" s="240"/>
      <c r="D2" s="240"/>
      <c r="E2" s="228" t="s">
        <v>296</v>
      </c>
      <c r="F2" s="245">
        <f>VLOOKUP(F1,Init!K4:$M$40,3)</f>
        <v>8760</v>
      </c>
      <c r="G2" s="209"/>
      <c r="I2" s="240"/>
      <c r="J2" s="240"/>
      <c r="AS2" s="244"/>
      <c r="AV2" s="295"/>
      <c r="AW2" s="295"/>
      <c r="AX2" s="295"/>
      <c r="AY2" s="295"/>
      <c r="AZ2" s="295"/>
      <c r="BA2" s="295"/>
      <c r="BB2" s="295"/>
      <c r="BC2" s="295"/>
      <c r="BD2" s="295"/>
      <c r="BE2" s="295"/>
      <c r="BF2" s="295"/>
      <c r="BG2" s="295"/>
      <c r="BI2" s="240"/>
      <c r="BM2"/>
      <c r="BS2" s="228" t="s">
        <v>296</v>
      </c>
      <c r="BT2" s="246">
        <f>VLOOKUP(BT1,Init!K4:$M$40,3)</f>
        <v>8784</v>
      </c>
      <c r="BW2" s="240"/>
      <c r="BX2" s="240"/>
      <c r="DJ2" s="295"/>
      <c r="DK2" s="295"/>
      <c r="DL2" s="295"/>
      <c r="DM2" s="295"/>
      <c r="DN2" s="295"/>
      <c r="DO2" s="295"/>
      <c r="DP2" s="295"/>
      <c r="DQ2" s="295"/>
      <c r="DR2" s="295"/>
      <c r="DS2" s="295"/>
      <c r="DT2" s="295"/>
      <c r="DU2" s="295"/>
      <c r="DW2" s="240"/>
      <c r="DX2" s="240"/>
      <c r="DY2" s="240"/>
      <c r="DZ2" s="240"/>
      <c r="EA2" s="240"/>
      <c r="EB2" s="240"/>
      <c r="EC2" s="240"/>
    </row>
    <row r="3" spans="1:136" s="208" customFormat="1">
      <c r="C3" s="240"/>
      <c r="D3" s="240"/>
      <c r="E3" s="429" t="s">
        <v>197</v>
      </c>
      <c r="F3" s="429"/>
      <c r="G3" s="130"/>
      <c r="H3" s="130"/>
      <c r="I3" s="235"/>
      <c r="J3" s="235"/>
      <c r="K3" s="130"/>
      <c r="L3" s="219" t="s">
        <v>292</v>
      </c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219" t="s">
        <v>289</v>
      </c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219" t="s">
        <v>415</v>
      </c>
      <c r="AW3" s="235"/>
      <c r="AX3" s="235"/>
      <c r="AY3" s="235"/>
      <c r="AZ3" s="235"/>
      <c r="BA3" s="235"/>
      <c r="BB3" s="235"/>
      <c r="BC3" s="235"/>
      <c r="BD3" s="235"/>
      <c r="BE3" s="235"/>
      <c r="BF3" s="235"/>
      <c r="BG3" s="235"/>
      <c r="BH3" s="219" t="s">
        <v>290</v>
      </c>
      <c r="BI3" s="219"/>
      <c r="BJ3" s="219" t="s">
        <v>291</v>
      </c>
      <c r="BL3" s="219"/>
      <c r="BM3" s="130"/>
      <c r="BN3" s="130"/>
      <c r="BO3" s="235"/>
      <c r="BP3" s="235"/>
      <c r="BQ3" s="235"/>
      <c r="BR3" s="235"/>
      <c r="BS3" s="429" t="s">
        <v>197</v>
      </c>
      <c r="BT3" s="429"/>
      <c r="BW3" s="235"/>
      <c r="BX3" s="235"/>
      <c r="BZ3" s="219" t="s">
        <v>292</v>
      </c>
      <c r="CA3" s="230"/>
      <c r="CB3" s="230"/>
      <c r="CC3" s="230"/>
      <c r="CD3" s="230"/>
      <c r="CE3" s="230"/>
      <c r="CF3" s="230"/>
      <c r="CG3" s="230"/>
      <c r="CH3" s="230"/>
      <c r="CI3" s="230"/>
      <c r="CJ3" s="230"/>
      <c r="CK3" s="230"/>
      <c r="CL3" s="230"/>
      <c r="CM3" s="230"/>
      <c r="CN3" s="230"/>
      <c r="CO3" s="230"/>
      <c r="CP3" s="230"/>
      <c r="CQ3" s="230"/>
      <c r="CR3" s="230"/>
      <c r="CS3" s="230"/>
      <c r="CT3" s="230"/>
      <c r="CU3" s="230"/>
      <c r="CV3" s="230"/>
      <c r="CW3" s="230"/>
      <c r="CX3" s="219" t="s">
        <v>289</v>
      </c>
      <c r="CY3" s="230"/>
      <c r="CZ3" s="230"/>
      <c r="DA3" s="230"/>
      <c r="DB3" s="230"/>
      <c r="DC3" s="230"/>
      <c r="DD3" s="230"/>
      <c r="DE3" s="230"/>
      <c r="DF3" s="230"/>
      <c r="DG3" s="230"/>
      <c r="DH3" s="230"/>
      <c r="DI3" s="230"/>
      <c r="DJ3" s="219" t="s">
        <v>415</v>
      </c>
      <c r="DK3" s="235"/>
      <c r="DL3" s="235"/>
      <c r="DM3" s="235"/>
      <c r="DN3" s="235"/>
      <c r="DO3" s="235"/>
      <c r="DP3" s="235"/>
      <c r="DQ3" s="235"/>
      <c r="DR3" s="235"/>
      <c r="DS3" s="235"/>
      <c r="DT3" s="235"/>
      <c r="DU3" s="235"/>
      <c r="DV3" s="219" t="s">
        <v>290</v>
      </c>
      <c r="DW3" s="219"/>
      <c r="DX3" s="219" t="s">
        <v>291</v>
      </c>
      <c r="DY3" s="219"/>
      <c r="DZ3" s="219"/>
      <c r="EA3" s="219"/>
      <c r="EB3" s="219"/>
      <c r="EC3" s="219"/>
      <c r="EE3" s="230"/>
      <c r="EF3" s="230"/>
    </row>
    <row r="4" spans="1:136" s="225" customFormat="1" ht="45">
      <c r="A4" s="220" t="s">
        <v>2</v>
      </c>
      <c r="B4" s="128" t="s">
        <v>3</v>
      </c>
      <c r="C4" s="128" t="s">
        <v>5</v>
      </c>
      <c r="D4" s="128" t="s">
        <v>301</v>
      </c>
      <c r="E4" s="221" t="str">
        <f>CONCATENATE("TOCA ", $F$1)</f>
        <v>TOCA 2018</v>
      </c>
      <c r="F4" s="222" t="str">
        <f>CONCATENATE("Non-slice TOCA ", $F$1)</f>
        <v>Non-slice TOCA 2018</v>
      </c>
      <c r="G4" s="222" t="str">
        <f>CONCATENATE("Slice % ", $F$1)</f>
        <v>Slice % 2018</v>
      </c>
      <c r="H4" s="222" t="str">
        <f>CONCATENATE("Applicable LDD ", $F$1)</f>
        <v>Applicable LDD 2018</v>
      </c>
      <c r="I4" s="222" t="s">
        <v>309</v>
      </c>
      <c r="J4" s="222" t="s">
        <v>310</v>
      </c>
      <c r="K4" s="222" t="str">
        <f>CONCATENATE("IRD ", F1)</f>
        <v>IRD 2018</v>
      </c>
      <c r="L4" s="223">
        <f>DATE($F$1-1, 10, 1)</f>
        <v>43009</v>
      </c>
      <c r="M4" s="223">
        <f>L4</f>
        <v>43009</v>
      </c>
      <c r="N4" s="223">
        <f>DATE($F$1-1, 11, 1)</f>
        <v>43040</v>
      </c>
      <c r="O4" s="223">
        <f>N4</f>
        <v>43040</v>
      </c>
      <c r="P4" s="223">
        <f>DATE($F$1-1, 12, 1)</f>
        <v>43070</v>
      </c>
      <c r="Q4" s="223">
        <f>P4</f>
        <v>43070</v>
      </c>
      <c r="R4" s="223">
        <f>DATE($F$1, 1, 1)</f>
        <v>43101</v>
      </c>
      <c r="S4" s="223">
        <f>R4</f>
        <v>43101</v>
      </c>
      <c r="T4" s="223">
        <f>DATE($F$1, 2, 1)</f>
        <v>43132</v>
      </c>
      <c r="U4" s="223">
        <f>T4</f>
        <v>43132</v>
      </c>
      <c r="V4" s="223">
        <f>DATE($F$1, 3, 1)</f>
        <v>43160</v>
      </c>
      <c r="W4" s="223">
        <f>V4</f>
        <v>43160</v>
      </c>
      <c r="X4" s="223">
        <f>DATE($F$1, 4, 1)</f>
        <v>43191</v>
      </c>
      <c r="Y4" s="223">
        <f>X4</f>
        <v>43191</v>
      </c>
      <c r="Z4" s="223">
        <f>DATE($F$1, 5, 1)</f>
        <v>43221</v>
      </c>
      <c r="AA4" s="223">
        <f>Z4</f>
        <v>43221</v>
      </c>
      <c r="AB4" s="223">
        <f>DATE($F$1, 6, 1)</f>
        <v>43252</v>
      </c>
      <c r="AC4" s="223">
        <f>AB4</f>
        <v>43252</v>
      </c>
      <c r="AD4" s="223">
        <f>DATE($F$1, 7, 1)</f>
        <v>43282</v>
      </c>
      <c r="AE4" s="223">
        <f>AD4</f>
        <v>43282</v>
      </c>
      <c r="AF4" s="223">
        <f>DATE($F$1, 8, 1)</f>
        <v>43313</v>
      </c>
      <c r="AG4" s="223">
        <f>AF4</f>
        <v>43313</v>
      </c>
      <c r="AH4" s="223">
        <f>DATE($F$1, 9, 1)</f>
        <v>43344</v>
      </c>
      <c r="AI4" s="223">
        <f>AH4</f>
        <v>43344</v>
      </c>
      <c r="AJ4" s="223">
        <f>L4</f>
        <v>43009</v>
      </c>
      <c r="AK4" s="223">
        <f>N4</f>
        <v>43040</v>
      </c>
      <c r="AL4" s="223">
        <f>P4</f>
        <v>43070</v>
      </c>
      <c r="AM4" s="223">
        <f>R4</f>
        <v>43101</v>
      </c>
      <c r="AN4" s="223">
        <f>T4</f>
        <v>43132</v>
      </c>
      <c r="AO4" s="223">
        <f>V4</f>
        <v>43160</v>
      </c>
      <c r="AP4" s="223">
        <f>X4</f>
        <v>43191</v>
      </c>
      <c r="AQ4" s="223">
        <f>Z4</f>
        <v>43221</v>
      </c>
      <c r="AR4" s="223">
        <f>AB4</f>
        <v>43252</v>
      </c>
      <c r="AS4" s="223">
        <f>AD4</f>
        <v>43282</v>
      </c>
      <c r="AT4" s="223">
        <f>AF4</f>
        <v>43313</v>
      </c>
      <c r="AU4" s="223">
        <f>AH4</f>
        <v>43344</v>
      </c>
      <c r="AV4" s="223">
        <f>AJ4</f>
        <v>43009</v>
      </c>
      <c r="AW4" s="223">
        <f t="shared" ref="AW4:BG4" si="0">AK4</f>
        <v>43040</v>
      </c>
      <c r="AX4" s="223">
        <f t="shared" si="0"/>
        <v>43070</v>
      </c>
      <c r="AY4" s="223">
        <f t="shared" si="0"/>
        <v>43101</v>
      </c>
      <c r="AZ4" s="223">
        <f t="shared" si="0"/>
        <v>43132</v>
      </c>
      <c r="BA4" s="223">
        <f t="shared" si="0"/>
        <v>43160</v>
      </c>
      <c r="BB4" s="223">
        <f t="shared" si="0"/>
        <v>43191</v>
      </c>
      <c r="BC4" s="223">
        <f t="shared" si="0"/>
        <v>43221</v>
      </c>
      <c r="BD4" s="223">
        <f t="shared" si="0"/>
        <v>43252</v>
      </c>
      <c r="BE4" s="223">
        <f t="shared" si="0"/>
        <v>43282</v>
      </c>
      <c r="BF4" s="223">
        <f t="shared" si="0"/>
        <v>43313</v>
      </c>
      <c r="BG4" s="223">
        <f t="shared" si="0"/>
        <v>43344</v>
      </c>
      <c r="BH4" s="231" t="str">
        <f>CONCATENATE("T2 LS ", $F$1)</f>
        <v>T2 LS 2018</v>
      </c>
      <c r="BI4" s="231" t="s">
        <v>307</v>
      </c>
      <c r="BJ4" s="231" t="str">
        <f>"TOCA Load "&amp;$F$1</f>
        <v>TOCA Load 2018</v>
      </c>
      <c r="BK4" s="231" t="str">
        <f>"Annual T1 Load "&amp;$F$1</f>
        <v>Annual T1 Load 2018</v>
      </c>
      <c r="BL4" s="231" t="str">
        <f>"Above RHWM Not Served with LS"&amp;$F$1</f>
        <v>Above RHWM Not Served with LS2018</v>
      </c>
      <c r="BM4" s="231" t="str">
        <f>CONCATENATE("Annual Deviation ", $F$1)</f>
        <v>Annual Deviation 2018</v>
      </c>
      <c r="BN4" s="231" t="str">
        <f>CONCATENATE("Above Forecast ", $F$1)</f>
        <v>Above Forecast 2018</v>
      </c>
      <c r="BO4" s="231" t="s">
        <v>294</v>
      </c>
      <c r="BP4" s="231" t="s">
        <v>295</v>
      </c>
      <c r="BQ4" s="231" t="s">
        <v>297</v>
      </c>
      <c r="BR4" s="231" t="str">
        <f>CONCATENATE("LSTU ", $F$1)</f>
        <v>LSTU 2018</v>
      </c>
      <c r="BS4" s="232" t="str">
        <f>CONCATENATE("TOCA ", $BT$1)</f>
        <v>TOCA 2020</v>
      </c>
      <c r="BT4" s="224" t="str">
        <f>CONCATENATE("Non-slice TOCA ", $BT$1)</f>
        <v>Non-slice TOCA 2020</v>
      </c>
      <c r="BU4" s="224" t="str">
        <f>CONCATENATE("Slice % ", $BT$1)</f>
        <v>Slice % 2020</v>
      </c>
      <c r="BV4" s="224" t="str">
        <f>CONCATENATE("Applicable LDD ", $BT$1)</f>
        <v>Applicable LDD 2020</v>
      </c>
      <c r="BW4" s="224" t="s">
        <v>309</v>
      </c>
      <c r="BX4" s="224" t="s">
        <v>310</v>
      </c>
      <c r="BY4" s="224" t="str">
        <f>CONCATENATE("IRD ", BT1)</f>
        <v>IRD 2020</v>
      </c>
      <c r="BZ4" s="233">
        <f>DATE($BT$1-1, 10, 1)</f>
        <v>43739</v>
      </c>
      <c r="CA4" s="233">
        <f>BZ4</f>
        <v>43739</v>
      </c>
      <c r="CB4" s="233">
        <f>DATE($BT$1-1, 11, 1)</f>
        <v>43770</v>
      </c>
      <c r="CC4" s="233">
        <f>CB4</f>
        <v>43770</v>
      </c>
      <c r="CD4" s="233">
        <f>DATE($BT$1-1, 12, 1)</f>
        <v>43800</v>
      </c>
      <c r="CE4" s="233">
        <f>CD4</f>
        <v>43800</v>
      </c>
      <c r="CF4" s="233">
        <f>DATE($BT$1, 1, 1)</f>
        <v>43831</v>
      </c>
      <c r="CG4" s="233">
        <f>CF4</f>
        <v>43831</v>
      </c>
      <c r="CH4" s="233">
        <f>DATE($BT$1, 2, 1)</f>
        <v>43862</v>
      </c>
      <c r="CI4" s="233">
        <f>CH4</f>
        <v>43862</v>
      </c>
      <c r="CJ4" s="233">
        <f>DATE($BT$1, 3, 1)</f>
        <v>43891</v>
      </c>
      <c r="CK4" s="233">
        <f>CJ4</f>
        <v>43891</v>
      </c>
      <c r="CL4" s="233">
        <f>DATE($BT$1, 4, 1)</f>
        <v>43922</v>
      </c>
      <c r="CM4" s="233">
        <f>CL4</f>
        <v>43922</v>
      </c>
      <c r="CN4" s="233">
        <f>DATE($BT$1, 5, 1)</f>
        <v>43952</v>
      </c>
      <c r="CO4" s="233">
        <f>CN4</f>
        <v>43952</v>
      </c>
      <c r="CP4" s="233">
        <f>DATE($BT$1, 6, 1)</f>
        <v>43983</v>
      </c>
      <c r="CQ4" s="233">
        <f>CP4</f>
        <v>43983</v>
      </c>
      <c r="CR4" s="233">
        <f>DATE($BT$1, 7, 1)</f>
        <v>44013</v>
      </c>
      <c r="CS4" s="233">
        <f>CR4</f>
        <v>44013</v>
      </c>
      <c r="CT4" s="233">
        <f>DATE($BT$1, 8, 1)</f>
        <v>44044</v>
      </c>
      <c r="CU4" s="233">
        <f>CT4</f>
        <v>44044</v>
      </c>
      <c r="CV4" s="233">
        <f>DATE($BT$1, 9, 1)</f>
        <v>44075</v>
      </c>
      <c r="CW4" s="233">
        <f>CV4</f>
        <v>44075</v>
      </c>
      <c r="CX4" s="233">
        <f>BZ4</f>
        <v>43739</v>
      </c>
      <c r="CY4" s="233">
        <f>CB4</f>
        <v>43770</v>
      </c>
      <c r="CZ4" s="233">
        <f>CD4</f>
        <v>43800</v>
      </c>
      <c r="DA4" s="233">
        <f>CF4</f>
        <v>43831</v>
      </c>
      <c r="DB4" s="233">
        <f>CH4</f>
        <v>43862</v>
      </c>
      <c r="DC4" s="233">
        <f>CJ4</f>
        <v>43891</v>
      </c>
      <c r="DD4" s="233">
        <f>CL4</f>
        <v>43922</v>
      </c>
      <c r="DE4" s="233">
        <f>CN4</f>
        <v>43952</v>
      </c>
      <c r="DF4" s="233">
        <f>CP4</f>
        <v>43983</v>
      </c>
      <c r="DG4" s="233">
        <f>CR4</f>
        <v>44013</v>
      </c>
      <c r="DH4" s="233">
        <f>CT4</f>
        <v>44044</v>
      </c>
      <c r="DI4" s="233">
        <f>CV4</f>
        <v>44075</v>
      </c>
      <c r="DJ4" s="233">
        <f>CX4</f>
        <v>43739</v>
      </c>
      <c r="DK4" s="233">
        <f t="shared" ref="DK4:DU4" si="1">CY4</f>
        <v>43770</v>
      </c>
      <c r="DL4" s="233">
        <f t="shared" si="1"/>
        <v>43800</v>
      </c>
      <c r="DM4" s="233">
        <f t="shared" si="1"/>
        <v>43831</v>
      </c>
      <c r="DN4" s="233">
        <f t="shared" si="1"/>
        <v>43862</v>
      </c>
      <c r="DO4" s="233">
        <f t="shared" si="1"/>
        <v>43891</v>
      </c>
      <c r="DP4" s="233">
        <f t="shared" si="1"/>
        <v>43922</v>
      </c>
      <c r="DQ4" s="233">
        <f t="shared" si="1"/>
        <v>43952</v>
      </c>
      <c r="DR4" s="233">
        <f t="shared" si="1"/>
        <v>43983</v>
      </c>
      <c r="DS4" s="233">
        <f t="shared" si="1"/>
        <v>44013</v>
      </c>
      <c r="DT4" s="233">
        <f t="shared" si="1"/>
        <v>44044</v>
      </c>
      <c r="DU4" s="233">
        <f t="shared" si="1"/>
        <v>44075</v>
      </c>
      <c r="DV4" s="234" t="str">
        <f>CONCATENATE("T2 LS ", $BT$1)</f>
        <v>T2 LS 2020</v>
      </c>
      <c r="DW4" s="234" t="s">
        <v>307</v>
      </c>
      <c r="DX4" s="234" t="str">
        <f>"TOCA Load "&amp;$BT$1</f>
        <v>TOCA Load 2020</v>
      </c>
      <c r="DY4" s="234" t="str">
        <f>"Annual T1 Load "&amp;$BT$1</f>
        <v>Annual T1 Load 2020</v>
      </c>
      <c r="DZ4" s="234" t="str">
        <f>"Above RHWM Not Served with Load Shaping"&amp;$BT$1</f>
        <v>Above RHWM Not Served with Load Shaping2020</v>
      </c>
      <c r="EA4" s="234" t="str">
        <f>CONCATENATE("Annual Deviation ", $BT$1)</f>
        <v>Annual Deviation 2020</v>
      </c>
      <c r="EB4" s="234" t="str">
        <f>CONCATENATE("Above Forecast ", $BT$1)</f>
        <v>Above Forecast 2020</v>
      </c>
      <c r="EC4" s="234" t="s">
        <v>294</v>
      </c>
      <c r="ED4" s="234" t="s">
        <v>295</v>
      </c>
      <c r="EE4" s="234" t="s">
        <v>297</v>
      </c>
      <c r="EF4" s="234" t="str">
        <f>CONCATENATE("LSTU ", $BT$1)</f>
        <v>LSTU 2020</v>
      </c>
    </row>
    <row r="5" spans="1:136" s="225" customFormat="1">
      <c r="A5" s="220"/>
      <c r="B5" s="128"/>
      <c r="C5" s="128"/>
      <c r="D5" s="128"/>
      <c r="E5" s="221"/>
      <c r="F5" s="222"/>
      <c r="G5" s="222"/>
      <c r="H5" s="222"/>
      <c r="I5" s="222"/>
      <c r="J5" s="222"/>
      <c r="K5" s="222" t="s">
        <v>288</v>
      </c>
      <c r="L5" s="223" t="s">
        <v>143</v>
      </c>
      <c r="M5" s="223" t="s">
        <v>144</v>
      </c>
      <c r="N5" s="222" t="s">
        <v>143</v>
      </c>
      <c r="O5" s="222" t="s">
        <v>144</v>
      </c>
      <c r="P5" s="222" t="s">
        <v>143</v>
      </c>
      <c r="Q5" s="222" t="s">
        <v>144</v>
      </c>
      <c r="R5" s="222" t="s">
        <v>143</v>
      </c>
      <c r="S5" s="223" t="s">
        <v>144</v>
      </c>
      <c r="T5" s="222" t="s">
        <v>143</v>
      </c>
      <c r="U5" s="222" t="s">
        <v>144</v>
      </c>
      <c r="V5" s="222" t="s">
        <v>143</v>
      </c>
      <c r="W5" s="222" t="s">
        <v>144</v>
      </c>
      <c r="X5" s="222" t="s">
        <v>143</v>
      </c>
      <c r="Y5" s="223" t="s">
        <v>144</v>
      </c>
      <c r="Z5" s="222" t="s">
        <v>143</v>
      </c>
      <c r="AA5" s="222" t="s">
        <v>144</v>
      </c>
      <c r="AB5" s="222" t="s">
        <v>143</v>
      </c>
      <c r="AC5" s="222" t="s">
        <v>144</v>
      </c>
      <c r="AD5" s="222" t="s">
        <v>143</v>
      </c>
      <c r="AE5" s="222" t="s">
        <v>144</v>
      </c>
      <c r="AF5" s="222" t="s">
        <v>143</v>
      </c>
      <c r="AG5" s="222" t="s">
        <v>144</v>
      </c>
      <c r="AH5" s="222" t="s">
        <v>143</v>
      </c>
      <c r="AI5" s="222" t="s">
        <v>144</v>
      </c>
      <c r="AJ5" s="223" t="s">
        <v>143</v>
      </c>
      <c r="AK5" s="223" t="s">
        <v>143</v>
      </c>
      <c r="AL5" s="223" t="s">
        <v>143</v>
      </c>
      <c r="AM5" s="223" t="s">
        <v>143</v>
      </c>
      <c r="AN5" s="223" t="s">
        <v>143</v>
      </c>
      <c r="AO5" s="223" t="s">
        <v>143</v>
      </c>
      <c r="AP5" s="223" t="s">
        <v>143</v>
      </c>
      <c r="AQ5" s="223" t="s">
        <v>143</v>
      </c>
      <c r="AR5" s="223" t="s">
        <v>143</v>
      </c>
      <c r="AS5" s="223" t="s">
        <v>143</v>
      </c>
      <c r="AT5" s="223" t="s">
        <v>143</v>
      </c>
      <c r="AU5" s="223" t="s">
        <v>143</v>
      </c>
      <c r="AV5" s="223" t="s">
        <v>416</v>
      </c>
      <c r="AW5" s="223" t="s">
        <v>416</v>
      </c>
      <c r="AX5" s="223" t="s">
        <v>416</v>
      </c>
      <c r="AY5" s="223" t="s">
        <v>416</v>
      </c>
      <c r="AZ5" s="223" t="s">
        <v>416</v>
      </c>
      <c r="BA5" s="223" t="s">
        <v>416</v>
      </c>
      <c r="BB5" s="223" t="s">
        <v>416</v>
      </c>
      <c r="BC5" s="223" t="s">
        <v>416</v>
      </c>
      <c r="BD5" s="223" t="s">
        <v>416</v>
      </c>
      <c r="BE5" s="223" t="s">
        <v>416</v>
      </c>
      <c r="BF5" s="223" t="s">
        <v>416</v>
      </c>
      <c r="BG5" s="223" t="s">
        <v>416</v>
      </c>
      <c r="BH5" s="223" t="s">
        <v>288</v>
      </c>
      <c r="BI5" s="223" t="s">
        <v>308</v>
      </c>
      <c r="BJ5" s="223" t="s">
        <v>288</v>
      </c>
      <c r="BK5" s="223" t="s">
        <v>288</v>
      </c>
      <c r="BL5" s="223" t="s">
        <v>288</v>
      </c>
      <c r="BM5" s="223" t="s">
        <v>288</v>
      </c>
      <c r="BN5" s="223" t="s">
        <v>288</v>
      </c>
      <c r="BO5" s="223" t="s">
        <v>288</v>
      </c>
      <c r="BP5" s="223" t="s">
        <v>288</v>
      </c>
      <c r="BQ5" s="223" t="s">
        <v>288</v>
      </c>
      <c r="BR5" s="223" t="s">
        <v>288</v>
      </c>
      <c r="BS5" s="232"/>
      <c r="BT5" s="224"/>
      <c r="BU5" s="224"/>
      <c r="BV5" s="224"/>
      <c r="BW5" s="224"/>
      <c r="BX5" s="224"/>
      <c r="BY5" s="224" t="s">
        <v>288</v>
      </c>
      <c r="BZ5" s="233" t="s">
        <v>143</v>
      </c>
      <c r="CA5" s="233" t="s">
        <v>144</v>
      </c>
      <c r="CB5" s="224" t="s">
        <v>143</v>
      </c>
      <c r="CC5" s="224" t="s">
        <v>144</v>
      </c>
      <c r="CD5" s="224" t="s">
        <v>143</v>
      </c>
      <c r="CE5" s="224" t="s">
        <v>144</v>
      </c>
      <c r="CF5" s="224" t="s">
        <v>143</v>
      </c>
      <c r="CG5" s="233" t="s">
        <v>144</v>
      </c>
      <c r="CH5" s="224" t="s">
        <v>143</v>
      </c>
      <c r="CI5" s="224" t="s">
        <v>144</v>
      </c>
      <c r="CJ5" s="224" t="s">
        <v>143</v>
      </c>
      <c r="CK5" s="224" t="s">
        <v>144</v>
      </c>
      <c r="CL5" s="224" t="s">
        <v>143</v>
      </c>
      <c r="CM5" s="233" t="s">
        <v>144</v>
      </c>
      <c r="CN5" s="224" t="s">
        <v>143</v>
      </c>
      <c r="CO5" s="224" t="s">
        <v>144</v>
      </c>
      <c r="CP5" s="224" t="s">
        <v>143</v>
      </c>
      <c r="CQ5" s="224" t="s">
        <v>144</v>
      </c>
      <c r="CR5" s="224" t="s">
        <v>143</v>
      </c>
      <c r="CS5" s="224" t="s">
        <v>144</v>
      </c>
      <c r="CT5" s="224" t="s">
        <v>143</v>
      </c>
      <c r="CU5" s="224" t="s">
        <v>144</v>
      </c>
      <c r="CV5" s="224" t="s">
        <v>143</v>
      </c>
      <c r="CW5" s="224" t="s">
        <v>144</v>
      </c>
      <c r="CX5" s="233" t="s">
        <v>143</v>
      </c>
      <c r="CY5" s="233" t="s">
        <v>143</v>
      </c>
      <c r="CZ5" s="233" t="s">
        <v>143</v>
      </c>
      <c r="DA5" s="233" t="s">
        <v>143</v>
      </c>
      <c r="DB5" s="233" t="s">
        <v>143</v>
      </c>
      <c r="DC5" s="233" t="s">
        <v>143</v>
      </c>
      <c r="DD5" s="233" t="s">
        <v>143</v>
      </c>
      <c r="DE5" s="233" t="s">
        <v>143</v>
      </c>
      <c r="DF5" s="233" t="s">
        <v>143</v>
      </c>
      <c r="DG5" s="233" t="s">
        <v>143</v>
      </c>
      <c r="DH5" s="233" t="s">
        <v>143</v>
      </c>
      <c r="DI5" s="233" t="s">
        <v>143</v>
      </c>
      <c r="DJ5" s="233" t="s">
        <v>183</v>
      </c>
      <c r="DK5" s="233" t="s">
        <v>183</v>
      </c>
      <c r="DL5" s="233" t="s">
        <v>183</v>
      </c>
      <c r="DM5" s="233" t="s">
        <v>183</v>
      </c>
      <c r="DN5" s="233" t="s">
        <v>183</v>
      </c>
      <c r="DO5" s="233" t="s">
        <v>183</v>
      </c>
      <c r="DP5" s="233" t="s">
        <v>183</v>
      </c>
      <c r="DQ5" s="233" t="s">
        <v>183</v>
      </c>
      <c r="DR5" s="233" t="s">
        <v>183</v>
      </c>
      <c r="DS5" s="233" t="s">
        <v>183</v>
      </c>
      <c r="DT5" s="233" t="s">
        <v>183</v>
      </c>
      <c r="DU5" s="233" t="s">
        <v>183</v>
      </c>
      <c r="DV5" s="233" t="s">
        <v>288</v>
      </c>
      <c r="DW5" s="233" t="s">
        <v>308</v>
      </c>
      <c r="DX5" s="233" t="s">
        <v>288</v>
      </c>
      <c r="DY5" s="233" t="s">
        <v>288</v>
      </c>
      <c r="DZ5" s="233" t="s">
        <v>288</v>
      </c>
      <c r="EA5" s="233" t="s">
        <v>288</v>
      </c>
      <c r="EB5" s="233" t="s">
        <v>288</v>
      </c>
      <c r="EC5" s="233" t="s">
        <v>288</v>
      </c>
      <c r="ED5" s="233" t="s">
        <v>288</v>
      </c>
      <c r="EE5" s="233" t="s">
        <v>288</v>
      </c>
      <c r="EF5" s="233" t="s">
        <v>288</v>
      </c>
    </row>
    <row r="6" spans="1:136">
      <c r="A6" s="166">
        <v>10005</v>
      </c>
      <c r="B6" s="167" t="s">
        <v>7</v>
      </c>
      <c r="C6" s="240">
        <v>0</v>
      </c>
      <c r="D6" s="240">
        <v>0</v>
      </c>
      <c r="E6" s="150">
        <f>VLOOKUP($A6,TOCA_previous!$A$2:$AI$137,MATCH(E$4,TOCA_previous!$A$2:$AI$2,0),FALSE)</f>
        <v>7.6500000000000003E-5</v>
      </c>
      <c r="F6" s="151">
        <f>VLOOKUP($A6,TOCA_previous!$A$2:$AI$137,MATCH(F$4,TOCA_previous!$A$2:$AI$2,0),FALSE)</f>
        <v>7.6500000000000003E-5</v>
      </c>
      <c r="G6" s="151">
        <f>E6-F6</f>
        <v>0</v>
      </c>
      <c r="H6" s="151">
        <f>VLOOKUP($A6,TOCA_previous!$A$2:$AI$137,MATCH(H$4,TOCA_previous!$A$2:$AI$2,0),FALSE)</f>
        <v>4.4999999999999998E-2</v>
      </c>
      <c r="I6" s="151">
        <f>IF(C6=0,0,H6)</f>
        <v>0</v>
      </c>
      <c r="J6" s="151">
        <f>IF(C6=0,0,E6)</f>
        <v>0</v>
      </c>
      <c r="K6" s="226">
        <f>VLOOKUP(A6, IRD!$A$5:$C$139, 3, FALSE)</f>
        <v>0</v>
      </c>
      <c r="L6" s="227">
        <f t="array" ref="L6">IF($G6=0, INDEX(LS_previous!$D$4:$AY$138, MATCH('Staging Table'!$A6, LS_previous!$B$4:$B$138, 0), MATCH(L$4&amp;L$5, LS_previous!$D$2:$AY$2&amp;LS_previous!$D$3:$AY$3, 0)),SUM(VLOOKUP($A6, LS_previous!$B$4:$AY$138, LS_previous!D$149, FALSE), VLOOKUP('Staging Table'!$A6, LS_previous!$B$4:$AY$138,LS_previous!AB$149, FALSE))/2)</f>
        <v>6</v>
      </c>
      <c r="M6" s="227">
        <f t="array" ref="M6">IF($G6=0, INDEX(LS_previous!$D$4:$AY$138, MATCH('Staging Table'!$A6, LS_previous!$B$4:$B$138, 0), MATCH(M$4&amp;M$5, LS_previous!$D$2:$AY$2&amp;LS_previous!$D$3:$AY$3, 0)),SUM(VLOOKUP($A6, LS_previous!$B$4:$AY$138, LS_previous!E$149, FALSE), VLOOKUP('Staging Table'!$A6, LS_previous!$B$4:$AY$138,LS_previous!AC$149, FALSE))/2)</f>
        <v>29</v>
      </c>
      <c r="N6" s="227">
        <f t="array" ref="N6">IF($G6=0, INDEX(LS_previous!$D$4:$AY$138, MATCH('Staging Table'!$A6, LS_previous!$B$4:$B$138, 0), MATCH(N$4&amp;N$5, LS_previous!$D$2:$AY$2&amp;LS_previous!$D$3:$AY$3, 0)),SUM(VLOOKUP($A6, LS_previous!$B$4:$AY$138, LS_previous!F$149, FALSE), VLOOKUP('Staging Table'!$A6, LS_previous!$B$4:$AY$138,LS_previous!AD$149, FALSE))/2)</f>
        <v>50</v>
      </c>
      <c r="O6" s="227">
        <f t="array" ref="O6">IF($G6=0, INDEX(LS_previous!$D$4:$AY$138, MATCH('Staging Table'!$A6, LS_previous!$B$4:$B$138, 0), MATCH(O$4&amp;O$5, LS_previous!$D$2:$AY$2&amp;LS_previous!$D$3:$AY$3, 0)),SUM(VLOOKUP($A6, LS_previous!$B$4:$AY$138, LS_previous!G$149, FALSE), VLOOKUP('Staging Table'!$A6, LS_previous!$B$4:$AY$138,LS_previous!AE$149, FALSE))/2)</f>
        <v>77</v>
      </c>
      <c r="P6" s="227">
        <f t="array" ref="P6">IF($G6=0, INDEX(LS_previous!$D$4:$AY$138, MATCH('Staging Table'!$A6, LS_previous!$B$4:$B$138, 0), MATCH(P$4&amp;P$5, LS_previous!$D$2:$AY$2&amp;LS_previous!$D$3:$AY$3, 0)),SUM(VLOOKUP($A6, LS_previous!$B$4:$AY$138, LS_previous!H$149, FALSE), VLOOKUP('Staging Table'!$A6, LS_previous!$B$4:$AY$138,LS_previous!AF$149, FALSE))/2)</f>
        <v>76</v>
      </c>
      <c r="Q6" s="227">
        <f t="array" ref="Q6">IF($G6=0, INDEX(LS_previous!$D$4:$AY$138, MATCH('Staging Table'!$A6, LS_previous!$B$4:$B$138, 0), MATCH(Q$4&amp;Q$5, LS_previous!$D$2:$AY$2&amp;LS_previous!$D$3:$AY$3, 0)),SUM(VLOOKUP($A6, LS_previous!$B$4:$AY$138, LS_previous!I$149, FALSE), VLOOKUP('Staging Table'!$A6, LS_previous!$B$4:$AY$138,LS_previous!AG$149, FALSE))/2)</f>
        <v>112</v>
      </c>
      <c r="R6" s="227">
        <f t="array" ref="R6">IF($G6=0, INDEX(LS_previous!$D$4:$AY$138, MATCH('Staging Table'!$A6, LS_previous!$B$4:$B$138, 0), MATCH(R$4&amp;R$5, LS_previous!$D$2:$AY$2&amp;LS_previous!$D$3:$AY$3, 0)),SUM(VLOOKUP($A6, LS_previous!$B$4:$AY$138, LS_previous!J$149, FALSE), VLOOKUP('Staging Table'!$A6, LS_previous!$B$4:$AY$138,LS_previous!AH$149, FALSE))/2)</f>
        <v>134</v>
      </c>
      <c r="S6" s="227">
        <f t="array" ref="S6">IF($G6=0, INDEX(LS_previous!$D$4:$AY$138, MATCH('Staging Table'!$A6, LS_previous!$B$4:$B$138, 0), MATCH(S$4&amp;S$5, LS_previous!$D$2:$AY$2&amp;LS_previous!$D$3:$AY$3, 0)),SUM(VLOOKUP($A6, LS_previous!$B$4:$AY$138, LS_previous!K$149, FALSE), VLOOKUP('Staging Table'!$A6, LS_previous!$B$4:$AY$138,LS_previous!AI$149, FALSE))/2)</f>
        <v>121</v>
      </c>
      <c r="T6" s="227">
        <f t="array" ref="T6">IF($G6=0, INDEX(LS_previous!$D$4:$AY$138, MATCH('Staging Table'!$A6, LS_previous!$B$4:$B$138, 0), MATCH(T$4&amp;T$5, LS_previous!$D$2:$AY$2&amp;LS_previous!$D$3:$AY$3, 0)),SUM(VLOOKUP($A6, LS_previous!$B$4:$AY$138, LS_previous!L$149, FALSE), VLOOKUP('Staging Table'!$A6, LS_previous!$B$4:$AY$138,LS_previous!AJ$149, FALSE))/2)</f>
        <v>145</v>
      </c>
      <c r="U6" s="227">
        <f t="array" ref="U6">IF($G6=0, INDEX(LS_previous!$D$4:$AY$138, MATCH('Staging Table'!$A6, LS_previous!$B$4:$B$138, 0), MATCH(U$4&amp;U$5, LS_previous!$D$2:$AY$2&amp;LS_previous!$D$3:$AY$3, 0)),SUM(VLOOKUP($A6, LS_previous!$B$4:$AY$138, LS_previous!M$149, FALSE), VLOOKUP('Staging Table'!$A6, LS_previous!$B$4:$AY$138,LS_previous!AK$149, FALSE))/2)</f>
        <v>122</v>
      </c>
      <c r="V6" s="227">
        <f t="array" ref="V6">IF($G6=0, INDEX(LS_previous!$D$4:$AY$138, MATCH('Staging Table'!$A6, LS_previous!$B$4:$B$138, 0), MATCH(V$4&amp;V$5, LS_previous!$D$2:$AY$2&amp;LS_previous!$D$3:$AY$3, 0)),SUM(VLOOKUP($A6, LS_previous!$B$4:$AY$138, LS_previous!N$149, FALSE), VLOOKUP('Staging Table'!$A6, LS_previous!$B$4:$AY$138,LS_previous!AL$149, FALSE))/2)</f>
        <v>71</v>
      </c>
      <c r="W6" s="227">
        <f t="array" ref="W6">IF($G6=0, INDEX(LS_previous!$D$4:$AY$138, MATCH('Staging Table'!$A6, LS_previous!$B$4:$B$138, 0), MATCH(W$4&amp;W$5, LS_previous!$D$2:$AY$2&amp;LS_previous!$D$3:$AY$3, 0)),SUM(VLOOKUP($A6, LS_previous!$B$4:$AY$138, LS_previous!O$149, FALSE), VLOOKUP('Staging Table'!$A6, LS_previous!$B$4:$AY$138,LS_previous!AM$149, FALSE))/2)</f>
        <v>93</v>
      </c>
      <c r="X6" s="227">
        <f t="array" ref="X6">IF($G6=0, INDEX(LS_previous!$D$4:$AY$138, MATCH('Staging Table'!$A6, LS_previous!$B$4:$B$138, 0), MATCH(X$4&amp;X$5, LS_previous!$D$2:$AY$2&amp;LS_previous!$D$3:$AY$3, 0)),SUM(VLOOKUP($A6, LS_previous!$B$4:$AY$138, LS_previous!P$149, FALSE), VLOOKUP('Staging Table'!$A6, LS_previous!$B$4:$AY$138,LS_previous!AN$149, FALSE))/2)</f>
        <v>51</v>
      </c>
      <c r="Y6" s="227">
        <f t="array" ref="Y6">IF($G6=0, INDEX(LS_previous!$D$4:$AY$138, MATCH('Staging Table'!$A6, LS_previous!$B$4:$B$138, 0), MATCH(Y$4&amp;Y$5, LS_previous!$D$2:$AY$2&amp;LS_previous!$D$3:$AY$3, 0)),SUM(VLOOKUP($A6, LS_previous!$B$4:$AY$138, LS_previous!Q$149, FALSE), VLOOKUP('Staging Table'!$A6, LS_previous!$B$4:$AY$138,LS_previous!AO$149, FALSE))/2)</f>
        <v>66</v>
      </c>
      <c r="Z6" s="227">
        <f t="array" ref="Z6">IF($G6=0, INDEX(LS_previous!$D$4:$AY$138, MATCH('Staging Table'!$A6, LS_previous!$B$4:$B$138, 0), MATCH(Z$4&amp;Z$5, LS_previous!$D$2:$AY$2&amp;LS_previous!$D$3:$AY$3, 0)),SUM(VLOOKUP($A6, LS_previous!$B$4:$AY$138, LS_previous!R$149, FALSE), VLOOKUP('Staging Table'!$A6, LS_previous!$B$4:$AY$138,LS_previous!AP$149, FALSE))/2)</f>
        <v>-134</v>
      </c>
      <c r="AA6" s="227">
        <f t="array" ref="AA6">IF($G6=0, INDEX(LS_previous!$D$4:$AY$138, MATCH('Staging Table'!$A6, LS_previous!$B$4:$B$138, 0), MATCH(AA$4&amp;AA$5, LS_previous!$D$2:$AY$2&amp;LS_previous!$D$3:$AY$3, 0)),SUM(VLOOKUP($A6, LS_previous!$B$4:$AY$138, LS_previous!S$149, FALSE), VLOOKUP('Staging Table'!$A6, LS_previous!$B$4:$AY$138,LS_previous!AQ$149, FALSE))/2)</f>
        <v>-29</v>
      </c>
      <c r="AB6" s="227">
        <f t="array" ref="AB6">IF($G6=0, INDEX(LS_previous!$D$4:$AY$138, MATCH('Staging Table'!$A6, LS_previous!$B$4:$B$138, 0), MATCH(AB$4&amp;AB$5, LS_previous!$D$2:$AY$2&amp;LS_previous!$D$3:$AY$3, 0)),SUM(VLOOKUP($A6, LS_previous!$B$4:$AY$138, LS_previous!T$149, FALSE), VLOOKUP('Staging Table'!$A6, LS_previous!$B$4:$AY$138,LS_previous!AR$149, FALSE))/2)</f>
        <v>-76</v>
      </c>
      <c r="AC6" s="227">
        <f t="array" ref="AC6">IF($G6=0, INDEX(LS_previous!$D$4:$AY$138, MATCH('Staging Table'!$A6, LS_previous!$B$4:$B$138, 0), MATCH(AC$4&amp;AC$5, LS_previous!$D$2:$AY$2&amp;LS_previous!$D$3:$AY$3, 0)),SUM(VLOOKUP($A6, LS_previous!$B$4:$AY$138, LS_previous!U$149, FALSE), VLOOKUP('Staging Table'!$A6, LS_previous!$B$4:$AY$138,LS_previous!AS$149, FALSE))/2)</f>
        <v>-16</v>
      </c>
      <c r="AD6" s="227">
        <f t="array" ref="AD6">IF($G6=0, INDEX(LS_previous!$D$4:$AY$138, MATCH('Staging Table'!$A6, LS_previous!$B$4:$B$138, 0), MATCH(AD$4&amp;AD$5, LS_previous!$D$2:$AY$2&amp;LS_previous!$D$3:$AY$3, 0)),SUM(VLOOKUP($A6, LS_previous!$B$4:$AY$138, LS_previous!V$149, FALSE), VLOOKUP('Staging Table'!$A6, LS_previous!$B$4:$AY$138,LS_previous!AT$149, FALSE))/2)</f>
        <v>-53</v>
      </c>
      <c r="AE6" s="227">
        <f t="array" ref="AE6">IF($G6=0, INDEX(LS_previous!$D$4:$AY$138, MATCH('Staging Table'!$A6, LS_previous!$B$4:$B$138, 0), MATCH(AE$4&amp;AE$5, LS_previous!$D$2:$AY$2&amp;LS_previous!$D$3:$AY$3, 0)),SUM(VLOOKUP($A6, LS_previous!$B$4:$AY$138, LS_previous!W$149, FALSE), VLOOKUP('Staging Table'!$A6, LS_previous!$B$4:$AY$138,LS_previous!AU$149, FALSE))/2)</f>
        <v>-3</v>
      </c>
      <c r="AF6" s="227">
        <f t="array" ref="AF6">IF($G6=0, INDEX(LS_previous!$D$4:$AY$138, MATCH('Staging Table'!$A6, LS_previous!$B$4:$B$138, 0), MATCH(AF$4&amp;AF$5, LS_previous!$D$2:$AY$2&amp;LS_previous!$D$3:$AY$3, 0)),SUM(VLOOKUP($A6, LS_previous!$B$4:$AY$138, LS_previous!X$149, FALSE), VLOOKUP('Staging Table'!$A6, LS_previous!$B$4:$AY$138,LS_previous!AV$149, FALSE))/2)</f>
        <v>-83</v>
      </c>
      <c r="AG6" s="227">
        <f t="array" ref="AG6">IF($G6=0, INDEX(LS_previous!$D$4:$AY$138, MATCH('Staging Table'!$A6, LS_previous!$B$4:$B$138, 0), MATCH(AG$4&amp;AG$5, LS_previous!$D$2:$AY$2&amp;LS_previous!$D$3:$AY$3, 0)),SUM(VLOOKUP($A6, LS_previous!$B$4:$AY$138, LS_previous!Y$149, FALSE), VLOOKUP('Staging Table'!$A6, LS_previous!$B$4:$AY$138,LS_previous!AW$149, FALSE))/2)</f>
        <v>-10</v>
      </c>
      <c r="AH6" s="227">
        <f t="array" ref="AH6">IF($G6=0, INDEX(LS_previous!$D$4:$AY$138, MATCH('Staging Table'!$A6, LS_previous!$B$4:$B$138, 0), MATCH(AH$4&amp;AH$5, LS_previous!$D$2:$AY$2&amp;LS_previous!$D$3:$AY$3, 0)),SUM(VLOOKUP($A6, LS_previous!$B$4:$AY$138, LS_previous!Z$149, FALSE), VLOOKUP('Staging Table'!$A6, LS_previous!$B$4:$AY$138,LS_previous!AX$149, FALSE))/2)</f>
        <v>-42</v>
      </c>
      <c r="AI6" s="227">
        <f t="array" ref="AI6">IF($G6=0, INDEX(LS_previous!$D$4:$AY$138, MATCH('Staging Table'!$A6, LS_previous!$B$4:$B$138, 0), MATCH(AI$4&amp;AI$5, LS_previous!$D$2:$AY$2&amp;LS_previous!$D$3:$AY$3, 0)),SUM(VLOOKUP($A6, LS_previous!$B$4:$AY$138, LS_previous!AA$149, FALSE), VLOOKUP('Staging Table'!$A6, LS_previous!$B$4:$AY$138,LS_previous!AY$149, FALSE))/2)</f>
        <v>3</v>
      </c>
      <c r="AJ6" s="229">
        <f t="array" ref="AJ6">INDEX(Demand_previous!$D$4:$AY$138, MATCH('Staging Table'!$A6, Demand_previous!$B$4:$B$138, 0), MATCH(AJ$4&amp;AJ$5,Demand_previous!$D$2:$AY$2&amp;Demand_previous!$D$3:$AY$3, 0))/1000</f>
        <v>2.1000000000000001E-2</v>
      </c>
      <c r="AK6" s="424">
        <f t="array" ref="AK6">INDEX(Demand_previous!$D$4:$AY$138, MATCH('Staging Table'!$A6, Demand_previous!$B$4:$B$138, 0), MATCH(AK$4&amp;AK$5,Demand_previous!$D$2:$AY$2&amp;Demand_previous!$D$3:$AY$3, 0))/1000</f>
        <v>0.10299999999999999</v>
      </c>
      <c r="AL6" s="424">
        <f t="array" ref="AL6">INDEX(Demand_previous!$D$4:$AY$138, MATCH('Staging Table'!$A6, Demand_previous!$B$4:$B$138, 0), MATCH(AL$4&amp;AL$5,Demand_previous!$D$2:$AY$2&amp;Demand_previous!$D$3:$AY$3, 0))/1000</f>
        <v>0.03</v>
      </c>
      <c r="AM6" s="424">
        <f t="array" ref="AM6">INDEX(Demand_previous!$D$4:$AY$138, MATCH('Staging Table'!$A6, Demand_previous!$B$4:$B$138, 0), MATCH(AM$4&amp;AM$5,Demand_previous!$D$2:$AY$2&amp;Demand_previous!$D$3:$AY$3, 0))/1000</f>
        <v>0.127</v>
      </c>
      <c r="AN6" s="424">
        <f t="array" ref="AN6">INDEX(Demand_previous!$D$4:$AY$138, MATCH('Staging Table'!$A6, Demand_previous!$B$4:$B$138, 0), MATCH(AN$4&amp;AN$5,Demand_previous!$D$2:$AY$2&amp;Demand_previous!$D$3:$AY$3, 0))/1000</f>
        <v>8.5999999999999993E-2</v>
      </c>
      <c r="AO6" s="424">
        <f t="array" ref="AO6">INDEX(Demand_previous!$D$4:$AY$138, MATCH('Staging Table'!$A6, Demand_previous!$B$4:$B$138, 0), MATCH(AO$4&amp;AO$5,Demand_previous!$D$2:$AY$2&amp;Demand_previous!$D$3:$AY$3, 0))/1000</f>
        <v>0.16200000000000001</v>
      </c>
      <c r="AP6" s="424">
        <f t="array" ref="AP6">INDEX(Demand_previous!$D$4:$AY$138, MATCH('Staging Table'!$A6, Demand_previous!$B$4:$B$138, 0), MATCH(AP$4&amp;AP$5,Demand_previous!$D$2:$AY$2&amp;Demand_previous!$D$3:$AY$3, 0))/1000</f>
        <v>3.5999999999999997E-2</v>
      </c>
      <c r="AQ6" s="424">
        <f t="array" ref="AQ6">INDEX(Demand_previous!$D$4:$AY$138, MATCH('Staging Table'!$A6, Demand_previous!$B$4:$B$138, 0), MATCH(AQ$4&amp;AQ$5,Demand_previous!$D$2:$AY$2&amp;Demand_previous!$D$3:$AY$3, 0))/1000</f>
        <v>0.04</v>
      </c>
      <c r="AR6" s="424">
        <f t="array" ref="AR6">INDEX(Demand_previous!$D$4:$AY$138, MATCH('Staging Table'!$A6, Demand_previous!$B$4:$B$138, 0), MATCH(AR$4&amp;AR$5,Demand_previous!$D$2:$AY$2&amp;Demand_previous!$D$3:$AY$3, 0))/1000</f>
        <v>4.2999999999999997E-2</v>
      </c>
      <c r="AS6" s="424">
        <f t="array" ref="AS6">INDEX(Demand_previous!$D$4:$AY$138, MATCH('Staging Table'!$A6, Demand_previous!$B$4:$B$138, 0), MATCH(AS$4&amp;AS$5,Demand_previous!$D$2:$AY$2&amp;Demand_previous!$D$3:$AY$3, 0))/1000</f>
        <v>3.5000000000000003E-2</v>
      </c>
      <c r="AT6" s="424">
        <f t="array" ref="AT6">INDEX(Demand_previous!$D$4:$AY$138, MATCH('Staging Table'!$A6, Demand_previous!$B$4:$B$138, 0), MATCH(AT$4&amp;AT$5,Demand_previous!$D$2:$AY$2&amp;Demand_previous!$D$3:$AY$3, 0))/1000</f>
        <v>0.105</v>
      </c>
      <c r="AU6" s="424">
        <f t="array" ref="AU6">INDEX(Demand_previous!$D$4:$AY$138, MATCH('Staging Table'!$A6, Demand_previous!$B$4:$B$138, 0), MATCH(AU$4&amp;AU$5,Demand_previous!$D$2:$AY$2&amp;Demand_previous!$D$3:$AY$3, 0))/1000</f>
        <v>0</v>
      </c>
      <c r="AV6" s="227">
        <f>$F6*(VLOOKUP(AV$4, Rates_previous!$G$6:$Q$29, 10, FALSE)+VLOOKUP(AV$4, Rates_previous!$G$6:$Q$29, 11, FALSE))</f>
        <v>358.69608882279675</v>
      </c>
      <c r="AW6" s="227">
        <f>$F6*(VLOOKUP(AW$4, Rates_previous!$G$6:$Q$29, 10, FALSE)+VLOOKUP(AW$4, Rates_previous!$G$6:$Q$29, 11, FALSE))</f>
        <v>443.3211034374487</v>
      </c>
      <c r="AX6" s="227">
        <f>$F6*(VLOOKUP(AX$4, Rates_previous!$G$6:$Q$29, 10, FALSE)+VLOOKUP(AX$4, Rates_previous!$G$6:$Q$29, 11, FALSE))</f>
        <v>437.99734722281624</v>
      </c>
      <c r="AY6" s="227">
        <f>$F6*(VLOOKUP(AY$4, Rates_previous!$G$6:$Q$29, 10, FALSE)+VLOOKUP(AY$4, Rates_previous!$G$6:$Q$29, 11, FALSE))</f>
        <v>374.22698515974002</v>
      </c>
      <c r="AZ6" s="227">
        <f>$F6*(VLOOKUP(AZ$4, Rates_previous!$G$6:$Q$29, 10, FALSE)+VLOOKUP(AZ$4, Rates_previous!$G$6:$Q$29, 11, FALSE))</f>
        <v>306.79353859309424</v>
      </c>
      <c r="BA6" s="227">
        <f>$F6*(VLOOKUP(BA$4, Rates_previous!$G$6:$Q$29, 10, FALSE)+VLOOKUP(BA$4, Rates_previous!$G$6:$Q$29, 11, FALSE))</f>
        <v>363.23240591869654</v>
      </c>
      <c r="BB6" s="227">
        <f>$F6*(VLOOKUP(BB$4, Rates_previous!$G$6:$Q$29, 10, FALSE)+VLOOKUP(BB$4, Rates_previous!$G$6:$Q$29, 11, FALSE))</f>
        <v>349.11917746473597</v>
      </c>
      <c r="BC6" s="227">
        <f>$F6*(VLOOKUP(BC$4, Rates_previous!$G$6:$Q$29, 10, FALSE)+VLOOKUP(BC$4, Rates_previous!$G$6:$Q$29, 11, FALSE))</f>
        <v>512.307688297293</v>
      </c>
      <c r="BD6" s="227">
        <f>$F6*(VLOOKUP(BD$4, Rates_previous!$G$6:$Q$29, 10, FALSE)+VLOOKUP(BD$4, Rates_previous!$G$6:$Q$29, 11, FALSE))</f>
        <v>404.19722560931103</v>
      </c>
      <c r="BE6" s="227">
        <f>$F6*(VLOOKUP(BE$4, Rates_previous!$G$6:$Q$29, 10, FALSE)+VLOOKUP(BE$4, Rates_previous!$G$6:$Q$29, 11, FALSE))</f>
        <v>354.91909059343578</v>
      </c>
      <c r="BF6" s="227">
        <f>$F6*(VLOOKUP(BF$4, Rates_previous!$G$6:$Q$29, 10, FALSE)+VLOOKUP(BF$4, Rates_previous!$G$6:$Q$29, 11, FALSE))</f>
        <v>393.08709943165951</v>
      </c>
      <c r="BG6" s="227">
        <f>$F6*(VLOOKUP(BG$4, Rates_previous!$G$6:$Q$29, 10, FALSE)+VLOOKUP(BG$4, Rates_previous!$G$6:$Q$29, 11, FALSE))</f>
        <v>356.12127999086175</v>
      </c>
      <c r="BH6" s="229">
        <f>IF($D6=0,IF(C6=0, MAX(BK6 - (VLOOKUP($A6,TOCA_previous!$A$2:$AI$137,MATCH("RHWM 2018",TOCA_previous!$A$2:$AI$2,0),FALSE)*$F$2*TOCA_previous!C3),0),0), 0)</f>
        <v>642.37909843999932</v>
      </c>
      <c r="BI6" s="266">
        <f>VLOOKUP($A6,REP_previous!$A$1:$D$135,MATCH("FY "&amp;$F$1&amp; " Total Refund",REP_previous!$A$1:$D$1,0),0)</f>
        <v>6212.6606158474387</v>
      </c>
      <c r="BJ6" s="241">
        <f>MIN(VLOOKUP($A6,TOCA_previous!$A$2:$AI$137,MATCH("TRL - NLSL - Existing Resource "&amp;$F$1,TOCA_previous!$A$2:$AI$2,0),FALSE)*$F$2,(VLOOKUP($A6,TOCA_previous!$A$2:$AI$137,MATCH("RHWM 2018",TOCA_previous!$A$2:$AI$2,0),FALSE)*$F$2))</f>
        <v>4651.5600000000004</v>
      </c>
      <c r="BK6" s="241">
        <f>SUM(L6:AI6)+(F6*RT1SC!$C$3*$F$2)</f>
        <v>5364.0190984399997</v>
      </c>
      <c r="BL6" s="241">
        <f>VLOOKUP($A6,TOCA_previous!$A$2:$AI$137,MATCH("Above RHWM Not Served with LS "&amp;$F$1,TOCA_previous!$A$2:$AI$2,0),FALSE)*$F$2</f>
        <v>0</v>
      </c>
      <c r="BM6" s="242">
        <f>BK6-BJ6</f>
        <v>712.45909843999925</v>
      </c>
      <c r="BN6" s="242">
        <f>(VLOOKUP($A6,TOCA_previous!$A$2:$AI$137,MATCH("RHWM 2018",TOCA_previous!$A$2:$AI$2,0),FALSE)*$F$2) - $BJ6</f>
        <v>70.079999999999927</v>
      </c>
      <c r="BO6" s="242">
        <f>IF(BM6&gt;0,IF(BN6&gt;0,(-1)*MIN(BM6,BN6),0),0)</f>
        <v>-70.079999999999927</v>
      </c>
      <c r="BP6" s="243">
        <f>IF(BM6&lt;0,IF(BL6&lt;ABS(BM6),MAX(0,ABS($BM6)-(BL6)),0),0)</f>
        <v>0</v>
      </c>
      <c r="BQ6" s="243">
        <f>IF(AND(BL6&gt;0,BN6&gt;0),IF(AND(BM6&lt;=0,ABS(BM6)&lt;BL6),(-1)*MIN(BL6,BL6-ABS(BM6),BN6),IF(AND(BM6&gt;0,BM6&lt;BN6),(-1)*MIN(BL6,BN6-BM6),0)),0)</f>
        <v>0</v>
      </c>
      <c r="BR6" s="242">
        <f>IF($D6=0,SUM($BO6:$BQ6),0)</f>
        <v>-70.079999999999927</v>
      </c>
      <c r="BS6" s="151">
        <f>VLOOKUP($A6,TOCA_current!$A$2:$AI$137,MATCH(BS$4,TOCA_current!$A$2:$AI$2,0),FALSE)</f>
        <v>7.7399999999999998E-5</v>
      </c>
      <c r="BT6" s="151">
        <f>VLOOKUP($A6,TOCA_current!$A$2:$AI$137,MATCH(BT$4,TOCA_current!$A$2:$AI$2,0),FALSE)</f>
        <v>7.7399999999999998E-5</v>
      </c>
      <c r="BU6" s="236">
        <f>BS6-BT6</f>
        <v>0</v>
      </c>
      <c r="BV6" s="151">
        <f>VLOOKUP($A6,TOCA_current!A2:BG137,MATCH(BV$4,TOCA_current!$A$2:$BG$2,0),FALSE)</f>
        <v>3.5000000000000003E-2</v>
      </c>
      <c r="BW6" s="151">
        <f>IF(C6=0,0,BV6)</f>
        <v>0</v>
      </c>
      <c r="BX6" s="151">
        <f>IF(C6=0,0,BS6)</f>
        <v>0</v>
      </c>
      <c r="BY6" s="226">
        <f>VLOOKUP($A6,IRD!$A$4:$G$139, 7, FALSE)</f>
        <v>0</v>
      </c>
      <c r="BZ6" s="227">
        <f t="array" ref="BZ6">IF($BU6=0, INDEX(LS_current!$D$4:$AY$138, MATCH('Staging Table'!$A6, LS_current!$B$4:$B$138, 0), MATCH(BZ$4&amp;BZ$5, LS_current!$D$2:$AY$2&amp;LS_current!$D$3:$AY$3, 0)),SUM(VLOOKUP($A6, LS_current!$B$4:$AY$138, LS_current!D$148, FALSE), VLOOKUP($A6, LS_current!$B$4:$AY$138,LS_current!D$148, FALSE))/2)</f>
        <v>6</v>
      </c>
      <c r="CA6" s="227">
        <f t="array" ref="CA6">IF($BU6=0, INDEX(LS_current!$D$4:$AY$138, MATCH('Staging Table'!$A6, LS_current!$B$4:$B$138, 0), MATCH(CA$4&amp;CA$5, LS_current!$D$2:$AY$2&amp;LS_current!$D$3:$AY$3, 0)),SUM(VLOOKUP($A6, LS_current!$B$4:$AY$138, LS_current!E$148, FALSE), VLOOKUP($A6, LS_current!$B$4:$AY$138,LS_current!E$148, FALSE))/2)</f>
        <v>30</v>
      </c>
      <c r="CB6" s="227">
        <f t="array" ref="CB6">IF($BU6=0, INDEX(LS_current!$D$4:$AY$138, MATCH('Staging Table'!$A6, LS_current!$B$4:$B$138, 0), MATCH(CB$4&amp;CB$5, LS_current!$D$2:$AY$2&amp;LS_current!$D$3:$AY$3, 0)),SUM(VLOOKUP($A6, LS_current!$B$4:$AY$138, LS_current!F$148, FALSE), VLOOKUP($A6, LS_current!$B$4:$AY$138,LS_current!F$148, FALSE))/2)</f>
        <v>44</v>
      </c>
      <c r="CC6" s="227">
        <f t="array" ref="CC6">IF($BU6=0, INDEX(LS_current!$D$4:$AY$138, MATCH('Staging Table'!$A6, LS_current!$B$4:$B$138, 0), MATCH(CC$4&amp;CC$5, LS_current!$D$2:$AY$2&amp;LS_current!$D$3:$AY$3, 0)),SUM(VLOOKUP($A6, LS_current!$B$4:$AY$138, LS_current!G$148, FALSE), VLOOKUP($A6, LS_current!$B$4:$AY$138,LS_current!G$148, FALSE))/2)</f>
        <v>71</v>
      </c>
      <c r="CD6" s="227">
        <f t="array" ref="CD6">IF($BU6=0, INDEX(LS_current!$D$4:$AY$138, MATCH('Staging Table'!$A6, LS_current!$B$4:$B$138, 0), MATCH(CD$4&amp;CD$5, LS_current!$D$2:$AY$2&amp;LS_current!$D$3:$AY$3, 0)),SUM(VLOOKUP($A6, LS_current!$B$4:$AY$138, LS_current!H$148, FALSE), VLOOKUP($A6, LS_current!$B$4:$AY$138,LS_current!H$148, FALSE))/2)</f>
        <v>70</v>
      </c>
      <c r="CE6" s="227">
        <f t="array" ref="CE6">IF($BU6=0, INDEX(LS_current!$D$4:$AY$138, MATCH('Staging Table'!$A6, LS_current!$B$4:$B$138, 0), MATCH(CE$4&amp;CE$5, LS_current!$D$2:$AY$2&amp;LS_current!$D$3:$AY$3, 0)),SUM(VLOOKUP($A6, LS_current!$B$4:$AY$138, LS_current!I$148, FALSE), VLOOKUP($A6, LS_current!$B$4:$AY$138,LS_current!I$148, FALSE))/2)</f>
        <v>107</v>
      </c>
      <c r="CF6" s="227">
        <f t="array" ref="CF6">IF($BU6=0, INDEX(LS_current!$D$4:$AY$138, MATCH('Staging Table'!$A6, LS_current!$B$4:$B$138, 0), MATCH(CF$4&amp;CF$5, LS_current!$D$2:$AY$2&amp;LS_current!$D$3:$AY$3, 0)),SUM(VLOOKUP($A6, LS_current!$B$4:$AY$138, LS_current!J$148, FALSE), VLOOKUP($A6, LS_current!$B$4:$AY$138,LS_current!J$148, FALSE))/2)</f>
        <v>130</v>
      </c>
      <c r="CG6" s="227">
        <f t="array" ref="CG6">IF($BU6=0, INDEX(LS_current!$D$4:$AY$138, MATCH('Staging Table'!$A6, LS_current!$B$4:$B$138, 0), MATCH(CG$4&amp;CG$5, LS_current!$D$2:$AY$2&amp;LS_current!$D$3:$AY$3, 0)),SUM(VLOOKUP($A6, LS_current!$B$4:$AY$138, LS_current!K$148, FALSE), VLOOKUP($A6, LS_current!$B$4:$AY$138,LS_current!K$148, FALSE))/2)</f>
        <v>125</v>
      </c>
      <c r="CH6" s="227">
        <f t="array" ref="CH6">IF($BU6=0, INDEX(LS_current!$D$4:$AY$138, MATCH('Staging Table'!$A6, LS_current!$B$4:$B$138, 0), MATCH(CH$4&amp;CH$5, LS_current!$D$2:$AY$2&amp;LS_current!$D$3:$AY$3, 0)),SUM(VLOOKUP($A6, LS_current!$B$4:$AY$138, LS_current!L$148, FALSE), VLOOKUP($A6, LS_current!$B$4:$AY$138,LS_current!L$148, FALSE))/2)</f>
        <v>126</v>
      </c>
      <c r="CI6" s="227">
        <f t="array" ref="CI6">IF($BU6=0, INDEX(LS_current!$D$4:$AY$138, MATCH('Staging Table'!$A6, LS_current!$B$4:$B$138, 0), MATCH(CI$4&amp;CI$5, LS_current!$D$2:$AY$2&amp;LS_current!$D$3:$AY$3, 0)),SUM(VLOOKUP($A6, LS_current!$B$4:$AY$138, LS_current!M$148, FALSE), VLOOKUP($A6, LS_current!$B$4:$AY$138,LS_current!M$148, FALSE))/2)</f>
        <v>110</v>
      </c>
      <c r="CJ6" s="227">
        <f t="array" ref="CJ6">IF($BU6=0, INDEX(LS_current!$D$4:$AY$138, MATCH('Staging Table'!$A6, LS_current!$B$4:$B$138, 0), MATCH(CJ$4&amp;CJ$5, LS_current!$D$2:$AY$2&amp;LS_current!$D$3:$AY$3, 0)),SUM(VLOOKUP($A6, LS_current!$B$4:$AY$138, LS_current!N$148, FALSE), VLOOKUP($A6, LS_current!$B$4:$AY$138,LS_current!N$148, FALSE))/2)</f>
        <v>61</v>
      </c>
      <c r="CK6" s="227">
        <f t="array" ref="CK6">IF($BU6=0, INDEX(LS_current!$D$4:$AY$138, MATCH('Staging Table'!$A6, LS_current!$B$4:$B$138, 0), MATCH(CK$4&amp;CK$5, LS_current!$D$2:$AY$2&amp;LS_current!$D$3:$AY$3, 0)),SUM(VLOOKUP($A6, LS_current!$B$4:$AY$138, LS_current!O$148, FALSE), VLOOKUP($A6, LS_current!$B$4:$AY$138,LS_current!O$148, FALSE))/2)</f>
        <v>89</v>
      </c>
      <c r="CL6" s="227">
        <f t="array" ref="CL6">IF($BU6=0, INDEX(LS_current!$D$4:$AY$138, MATCH('Staging Table'!$A6, LS_current!$B$4:$B$138, 0), MATCH(CL$4&amp;CL$5, LS_current!$D$2:$AY$2&amp;LS_current!$D$3:$AY$3, 0)),SUM(VLOOKUP($A6, LS_current!$B$4:$AY$138, LS_current!P$148, FALSE), VLOOKUP($A6, LS_current!$B$4:$AY$138,LS_current!P$148, FALSE))/2)</f>
        <v>83</v>
      </c>
      <c r="CM6" s="227">
        <f t="array" ref="CM6">IF($BU6=0, INDEX(LS_current!$D$4:$AY$138, MATCH('Staging Table'!$A6, LS_current!$B$4:$B$138, 0), MATCH(CM$4&amp;CM$5, LS_current!$D$2:$AY$2&amp;LS_current!$D$3:$AY$3, 0)),SUM(VLOOKUP($A6, LS_current!$B$4:$AY$138, LS_current!Q$148, FALSE), VLOOKUP($A6, LS_current!$B$4:$AY$138,LS_current!Q$148, FALSE))/2)</f>
        <v>77</v>
      </c>
      <c r="CN6" s="227">
        <f t="array" ref="CN6">IF($BU6=0, INDEX(LS_current!$D$4:$AY$138, MATCH('Staging Table'!$A6, LS_current!$B$4:$B$138, 0), MATCH(CN$4&amp;CN$5, LS_current!$D$2:$AY$2&amp;LS_current!$D$3:$AY$3, 0)),SUM(VLOOKUP($A6, LS_current!$B$4:$AY$138, LS_current!R$148, FALSE), VLOOKUP($A6, LS_current!$B$4:$AY$138,LS_current!R$148, FALSE))/2)</f>
        <v>-76</v>
      </c>
      <c r="CO6" s="227">
        <f t="array" ref="CO6">IF($BU6=0, INDEX(LS_current!$D$4:$AY$138, MATCH('Staging Table'!$A6, LS_current!$B$4:$B$138, 0), MATCH(CO$4&amp;CO$5, LS_current!$D$2:$AY$2&amp;LS_current!$D$3:$AY$3, 0)),SUM(VLOOKUP($A6, LS_current!$B$4:$AY$138, LS_current!S$148, FALSE), VLOOKUP($A6, LS_current!$B$4:$AY$138,LS_current!S$148, FALSE))/2)</f>
        <v>11</v>
      </c>
      <c r="CP6" s="227">
        <f t="array" ref="CP6">IF($BU6=0, INDEX(LS_current!$D$4:$AY$138, MATCH('Staging Table'!$A6, LS_current!$B$4:$B$138, 0), MATCH(CP$4&amp;CP$5, LS_current!$D$2:$AY$2&amp;LS_current!$D$3:$AY$3, 0)),SUM(VLOOKUP($A6, LS_current!$B$4:$AY$138, LS_current!T$148, FALSE), VLOOKUP($A6, LS_current!$B$4:$AY$138,LS_current!T$148, FALSE))/2)</f>
        <v>-154</v>
      </c>
      <c r="CQ6" s="227">
        <f t="array" ref="CQ6">IF($BU6=0, INDEX(LS_current!$D$4:$AY$138, MATCH('Staging Table'!$A6, LS_current!$B$4:$B$138, 0), MATCH(CQ$4&amp;CQ$5, LS_current!$D$2:$AY$2&amp;LS_current!$D$3:$AY$3, 0)),SUM(VLOOKUP($A6, LS_current!$B$4:$AY$138, LS_current!U$148, FALSE), VLOOKUP($A6, LS_current!$B$4:$AY$138,LS_current!U$148, FALSE))/2)</f>
        <v>-61</v>
      </c>
      <c r="CR6" s="227">
        <f t="array" ref="CR6">IF($BU6=0, INDEX(LS_current!$D$4:$AY$138, MATCH('Staging Table'!$A6, LS_current!$B$4:$B$138, 0), MATCH(CR$4&amp;CR$5, LS_current!$D$2:$AY$2&amp;LS_current!$D$3:$AY$3, 0)),SUM(VLOOKUP($A6, LS_current!$B$4:$AY$138, LS_current!V$148, FALSE), VLOOKUP($A6, LS_current!$B$4:$AY$138,LS_current!V$148, FALSE))/2)</f>
        <v>-106</v>
      </c>
      <c r="CS6" s="227">
        <f t="array" ref="CS6">IF($BU6=0, INDEX(LS_current!$D$4:$AY$138, MATCH('Staging Table'!$A6, LS_current!$B$4:$B$138, 0), MATCH(CS$4&amp;CS$5, LS_current!$D$2:$AY$2&amp;LS_current!$D$3:$AY$3, 0)),SUM(VLOOKUP($A6, LS_current!$B$4:$AY$138, LS_current!W$148, FALSE), VLOOKUP($A6, LS_current!$B$4:$AY$138,LS_current!W$148, FALSE))/2)</f>
        <v>-9</v>
      </c>
      <c r="CT6" s="227">
        <f t="array" ref="CT6">IF($BU6=0, INDEX(LS_current!$D$4:$AY$138, MATCH('Staging Table'!$A6, LS_current!$B$4:$B$138, 0), MATCH(CT$4&amp;CT$5, LS_current!$D$2:$AY$2&amp;LS_current!$D$3:$AY$3, 0)),SUM(VLOOKUP($A6, LS_current!$B$4:$AY$138, LS_current!X$148, FALSE), VLOOKUP($A6, LS_current!$B$4:$AY$138,LS_current!X$148, FALSE))/2)</f>
        <v>-96</v>
      </c>
      <c r="CU6" s="227">
        <f t="array" ref="CU6">IF($BU6=0, INDEX(LS_current!$D$4:$AY$138, MATCH('Staging Table'!$A6, LS_current!$B$4:$B$138, 0), MATCH(CU$4&amp;CU$5, LS_current!$D$2:$AY$2&amp;LS_current!$D$3:$AY$3, 0)),SUM(VLOOKUP($A6, LS_current!$B$4:$AY$138, LS_current!Y$148, FALSE), VLOOKUP($A6, LS_current!$B$4:$AY$138,LS_current!Y$148, FALSE))/2)</f>
        <v>-7</v>
      </c>
      <c r="CV6" s="227">
        <f t="array" ref="CV6">IF($BU6=0, INDEX(LS_current!$D$4:$AY$138, MATCH('Staging Table'!$A6, LS_current!$B$4:$B$138, 0), MATCH(CV$4&amp;CV$5, LS_current!$D$2:$AY$2&amp;LS_current!$D$3:$AY$3, 0)),SUM(VLOOKUP($A6, LS_current!$B$4:$AY$138, LS_current!Z$148, FALSE), VLOOKUP($A6, LS_current!$B$4:$AY$138,LS_current!Z$148, FALSE))/2)</f>
        <v>-46</v>
      </c>
      <c r="CW6" s="227">
        <f t="array" ref="CW6">IF($BU6=0, INDEX(LS_current!$D$4:$AY$138, MATCH('Staging Table'!$A6, LS_current!$B$4:$B$138, 0), MATCH(CW$4&amp;CW$5, LS_current!$D$2:$AY$2&amp;LS_current!$D$3:$AY$3, 0)),SUM(VLOOKUP($A6, LS_current!$B$4:$AY$138, LS_current!AA$148, FALSE), VLOOKUP($A6, LS_current!$B$4:$AY$138,LS_current!AA$148, FALSE))/2)</f>
        <v>1</v>
      </c>
      <c r="CX6" s="229">
        <f t="array" ref="CX6">INDEX(Demand_current!$D$4:$AY$138, MATCH($A6, Demand_current!$B$4:$B$138, 0), MATCH(CX$4&amp;CX$5,Demand_current!$D$2:$AY$2&amp;Demand_current!$D$3:$AY$3, 0))/1000</f>
        <v>4.2000000000000003E-2</v>
      </c>
      <c r="CY6" s="229">
        <f t="array" ref="CY6">INDEX(Demand_current!$D$4:$AY$138, MATCH($A6, Demand_current!$B$4:$B$138, 0), MATCH(CY$4&amp;CY$5,Demand_current!$D$2:$AY$2&amp;Demand_current!$D$3:$AY$3, 0))/1000</f>
        <v>0.10299999999999999</v>
      </c>
      <c r="CZ6" s="229">
        <f t="array" ref="CZ6">INDEX(Demand_current!$D$4:$AY$138, MATCH($A6, Demand_current!$B$4:$B$138, 0), MATCH(CZ$4&amp;CZ$5,Demand_current!$D$2:$AY$2&amp;Demand_current!$D$3:$AY$3, 0))/1000</f>
        <v>0.03</v>
      </c>
      <c r="DA6" s="229">
        <f t="array" ref="DA6">INDEX(Demand_current!$D$4:$AY$138, MATCH($A6, Demand_current!$B$4:$B$138, 0), MATCH(DA$4&amp;DA$5,Demand_current!$D$2:$AY$2&amp;Demand_current!$D$3:$AY$3, 0))/1000</f>
        <v>0.127</v>
      </c>
      <c r="DB6" s="229">
        <f t="array" ref="DB6">INDEX(Demand_current!$D$4:$AY$138, MATCH($A6, Demand_current!$B$4:$B$138, 0), MATCH(DB$4&amp;DB$5,Demand_current!$D$2:$AY$2&amp;Demand_current!$D$3:$AY$3, 0))/1000</f>
        <v>0.121</v>
      </c>
      <c r="DC6" s="229">
        <f t="array" ref="DC6">INDEX(Demand_current!$D$4:$AY$138, MATCH($A6, Demand_current!$B$4:$B$138, 0), MATCH(DC$4&amp;DC$5,Demand_current!$D$2:$AY$2&amp;Demand_current!$D$3:$AY$3, 0))/1000</f>
        <v>0.13500000000000001</v>
      </c>
      <c r="DD6" s="229">
        <f t="array" ref="DD6">INDEX(Demand_current!$D$4:$AY$138, MATCH($A6, Demand_current!$B$4:$B$138, 0), MATCH(DD$4&amp;DD$5,Demand_current!$D$2:$AY$2&amp;Demand_current!$D$3:$AY$3, 0))/1000</f>
        <v>6.2E-2</v>
      </c>
      <c r="DE6" s="229">
        <f t="array" ref="DE6">INDEX(Demand_current!$D$4:$AY$138, MATCH($A6, Demand_current!$B$4:$B$138, 0), MATCH(DE$4&amp;DE$5,Demand_current!$D$2:$AY$2&amp;Demand_current!$D$3:$AY$3, 0))/1000</f>
        <v>2.1000000000000001E-2</v>
      </c>
      <c r="DF6" s="229">
        <f t="array" ref="DF6">INDEX(Demand_current!$D$4:$AY$138, MATCH($A6, Demand_current!$B$4:$B$138, 0), MATCH(DF$4&amp;DF$5,Demand_current!$D$2:$AY$2&amp;Demand_current!$D$3:$AY$3, 0))/1000</f>
        <v>4.2999999999999997E-2</v>
      </c>
      <c r="DG6" s="229">
        <f t="array" ref="DG6">INDEX(Demand_current!$D$4:$AY$138, MATCH($A6, Demand_current!$B$4:$B$138, 0), MATCH(DG$4&amp;DG$5,Demand_current!$D$2:$AY$2&amp;Demand_current!$D$3:$AY$3, 0))/1000</f>
        <v>5.1999999999999998E-2</v>
      </c>
      <c r="DH6" s="229">
        <f t="array" ref="DH6">INDEX(Demand_current!$D$4:$AY$138, MATCH($A6, Demand_current!$B$4:$B$138, 0), MATCH(DH$4&amp;DH$5,Demand_current!$D$2:$AY$2&amp;Demand_current!$D$3:$AY$3, 0))/1000</f>
        <v>8.8999999999999996E-2</v>
      </c>
      <c r="DI6" s="229">
        <f t="array" ref="DI6">INDEX(Demand_current!$D$4:$AY$138, MATCH($A6, Demand_current!$B$4:$B$138, 0), MATCH(DI$4&amp;DI$5,Demand_current!$D$2:$AY$2&amp;Demand_current!$D$3:$AY$3, 0))/1000</f>
        <v>0</v>
      </c>
      <c r="DJ6" s="227">
        <f>$BT6*(VLOOKUP(DJ$4, Rates_current!$G$6:$Q$29, 10, FALSE)+VLOOKUP(DJ$4, Rates_current!$G$6:$Q$29, 11, FALSE))</f>
        <v>357.38035097039995</v>
      </c>
      <c r="DK6" s="227">
        <f>$BT6*(VLOOKUP(DK$4, Rates_current!$G$6:$Q$29, 10, FALSE)+VLOOKUP(DK$4, Rates_current!$G$6:$Q$29, 11, FALSE))</f>
        <v>453.98453269859999</v>
      </c>
      <c r="DL6" s="227">
        <f>$BT6*(VLOOKUP(DL$4, Rates_current!$G$6:$Q$29, 10, FALSE)+VLOOKUP(DL$4, Rates_current!$G$6:$Q$29, 11, FALSE))</f>
        <v>448.50205517040001</v>
      </c>
      <c r="DM6" s="227">
        <f>$BT6*(VLOOKUP(DM$4, Rates_current!$G$6:$Q$29, 10, FALSE)+VLOOKUP(DM$4, Rates_current!$G$6:$Q$29, 11, FALSE))</f>
        <v>373.85377997040001</v>
      </c>
      <c r="DN6" s="227">
        <f>$BT6*(VLOOKUP(DN$4, Rates_current!$G$6:$Q$29, 10, FALSE)+VLOOKUP(DN$4, Rates_current!$G$6:$Q$29, 11, FALSE))</f>
        <v>338.67274032</v>
      </c>
      <c r="DO6" s="227">
        <f>$BT6*(VLOOKUP(DO$4, Rates_current!$G$6:$Q$29, 10, FALSE)+VLOOKUP(DO$4, Rates_current!$G$6:$Q$29, 11, FALSE))</f>
        <v>376.71167752380001</v>
      </c>
      <c r="DP6" s="227">
        <f>$BT6*(VLOOKUP(DP$4, Rates_current!$G$6:$Q$29, 10, FALSE)+VLOOKUP(DP$4, Rates_current!$G$6:$Q$29, 11, FALSE))</f>
        <v>306.719054352</v>
      </c>
      <c r="DQ6" s="227">
        <f>$BT6*(VLOOKUP(DQ$4, Rates_current!$G$6:$Q$29, 10, FALSE)+VLOOKUP(DQ$4, Rates_current!$G$6:$Q$29, 11, FALSE))</f>
        <v>413.65638167040004</v>
      </c>
      <c r="DR6" s="227">
        <f>$BT6*(VLOOKUP(DR$4, Rates_current!$G$6:$Q$29, 10, FALSE)+VLOOKUP(DR$4, Rates_current!$G$6:$Q$29, 11, FALSE))</f>
        <v>527.79740965200006</v>
      </c>
      <c r="DS6" s="227">
        <f>$BT6*(VLOOKUP(DS$4, Rates_current!$G$6:$Q$29, 10, FALSE)+VLOOKUP(DS$4, Rates_current!$G$6:$Q$29, 11, FALSE))</f>
        <v>413.80990457040002</v>
      </c>
      <c r="DT6" s="227">
        <f>$BT6*(VLOOKUP(DT$4, Rates_current!$G$6:$Q$29, 10, FALSE)+VLOOKUP(DT$4, Rates_current!$G$6:$Q$29, 11, FALSE))</f>
        <v>402.96844787040004</v>
      </c>
      <c r="DU6" s="227">
        <f>$BT6*(VLOOKUP(DU$4, Rates_current!$G$6:$Q$29, 10, FALSE)+VLOOKUP(DU$4, Rates_current!$G$6:$Q$29, 11, FALSE))</f>
        <v>361.77994375200001</v>
      </c>
      <c r="DV6" s="229">
        <f>IF(D6=0,IF(C6=0,MAX(0,DY6 - (VLOOKUP($A6,TOCA_current!$A$2:$AI$137,MATCH("RHWM 2020",TOCA_current!$A$2:$AI$2,0),FALSE)*$BT$2)), 0),0)</f>
        <v>574.55645777919835</v>
      </c>
      <c r="DW6" s="266">
        <f>VLOOKUP($A6,REP_current!$A$1:$D$135,MATCH("FY "&amp;$BT$1&amp; " Total Refund",REP_current!$A$1:$D$1,0),0)</f>
        <v>0</v>
      </c>
      <c r="DX6" s="240">
        <f>MIN(VLOOKUP($A6,TOCA_current!$A$2:$AI$137,MATCH("TRL - NLSL - Existing Resource "&amp;$BT$1,TOCA_current!$A$2:$AI$2,0),FALSE)*$BT$2, VLOOKUP($A6,TOCA_current!$A$2:$AI$137,MATCH("RHWM 2020",TOCA_current!$A$2:$AI$2,0),FALSE)*$BT$2)</f>
        <v>4778.4960000000001</v>
      </c>
      <c r="DY6" s="240">
        <f>SUM(BZ6:CW6)+(BT6*RT1SC!$C$4*$BT$2)</f>
        <v>5361.836457779199</v>
      </c>
      <c r="DZ6" s="240">
        <f>VLOOKUP($A6,TOCA_current!$A$2:$AI$137,MATCH("Above RHWM Not Served with LS "&amp;$BT$1,TOCA_current!$A$2:$AI$2,0),FALSE)*$BT$2</f>
        <v>0</v>
      </c>
      <c r="EA6" s="244">
        <f>DY6-DX6</f>
        <v>583.34045777919891</v>
      </c>
      <c r="EB6" s="240">
        <f>(VLOOKUP($A6,TOCA_current!$A$2:$AI$137,MATCH("RHWM 2020",TOCA_current!$A$2:$AI$2,0),FALSE)*$BT$2) - $DX6</f>
        <v>8.7840000000005602</v>
      </c>
      <c r="EC6" s="240">
        <f>IF(EA6&gt;0,IF(EB6&gt;0,(-1)*MIN(EA6,EB6),0),0)</f>
        <v>-8.7840000000005602</v>
      </c>
      <c r="ED6">
        <f>IF(EA6&lt;0,IF(DZ6&lt;ABS(EA6),MAX(0,ABS($EA6)-(DZ6)),0),0)</f>
        <v>0</v>
      </c>
      <c r="EE6">
        <f>IF(AND(DZ6&gt;0,EB6&gt;0),IF(AND(EA6&lt;=0,ABS(EA6)&lt;DZ6),(-1)*MIN(DZ6,DZ6-ABS(EA6),EB6),IF(AND(EA6&gt;0,EA6&lt;EB6),(-1)*MIN(DZ6,EB6-EA6),0)),0)</f>
        <v>0</v>
      </c>
      <c r="EF6">
        <f>IF($D6=0,SUM(EC6:EE6),0)</f>
        <v>-8.7840000000005602</v>
      </c>
    </row>
    <row r="7" spans="1:136">
      <c r="A7" s="166">
        <v>10015</v>
      </c>
      <c r="B7" s="167" t="s">
        <v>8</v>
      </c>
      <c r="C7" s="240">
        <v>0</v>
      </c>
      <c r="D7" s="240">
        <v>0</v>
      </c>
      <c r="E7" s="150">
        <f>VLOOKUP($A7,TOCA_previous!$A$2:$AI$137,MATCH(E$4,TOCA_previous!$A$2:$AI$2,0),FALSE)</f>
        <v>8.1199999999999995E-5</v>
      </c>
      <c r="F7" s="151">
        <f>VLOOKUP($A7,TOCA_previous!$A$2:$AI$137,MATCH(F$4,TOCA_previous!$A$2:$AI$2,0),FALSE)</f>
        <v>8.1199999999999995E-5</v>
      </c>
      <c r="G7" s="151">
        <f t="shared" ref="G7:G70" si="2">E7-F7</f>
        <v>0</v>
      </c>
      <c r="H7" s="151">
        <f>VLOOKUP($A7,TOCA_previous!$A$2:$AI$137,MATCH(H$4,TOCA_previous!$A$2:$AI$2,0),FALSE)</f>
        <v>0</v>
      </c>
      <c r="I7" s="151">
        <f t="shared" ref="I7:I70" si="3">IF(C7=0,0,H7)</f>
        <v>0</v>
      </c>
      <c r="J7" s="151">
        <f t="shared" ref="J7:J70" si="4">IF(C7=0,0,E7)</f>
        <v>0</v>
      </c>
      <c r="K7" s="226">
        <f>VLOOKUP(A7, IRD!$A$5:$C$139, 3, FALSE)</f>
        <v>0</v>
      </c>
      <c r="L7" s="227">
        <f t="array" ref="L7">IF($G7=0, INDEX(LS_previous!$D$4:$AY$138, MATCH('Staging Table'!$A7, LS_previous!$B$4:$B$138, 0), MATCH(L$4&amp;L$5, LS_previous!$D$2:$AY$2&amp;LS_previous!$D$3:$AY$3, 0)),SUM(VLOOKUP($A7, LS_previous!$B$4:$AY$138, LS_previous!D$149, FALSE), VLOOKUP('Staging Table'!$A7, LS_previous!$B$4:$AY$138,LS_previous!AB$149, FALSE))/2)</f>
        <v>-69</v>
      </c>
      <c r="M7" s="227">
        <f t="array" ref="M7">IF($G7=0, INDEX(LS_previous!$D$4:$AY$138, MATCH('Staging Table'!$A7, LS_previous!$B$4:$B$138, 0), MATCH(M$4&amp;M$5, LS_previous!$D$2:$AY$2&amp;LS_previous!$D$3:$AY$3, 0)),SUM(VLOOKUP($A7, LS_previous!$B$4:$AY$138, LS_previous!E$149, FALSE), VLOOKUP('Staging Table'!$A7, LS_previous!$B$4:$AY$138,LS_previous!AC$149, FALSE))/2)</f>
        <v>11</v>
      </c>
      <c r="N7" s="227">
        <f t="array" ref="N7">IF($G7=0, INDEX(LS_previous!$D$4:$AY$138, MATCH('Staging Table'!$A7, LS_previous!$B$4:$B$138, 0), MATCH(N$4&amp;N$5, LS_previous!$D$2:$AY$2&amp;LS_previous!$D$3:$AY$3, 0)),SUM(VLOOKUP($A7, LS_previous!$B$4:$AY$138, LS_previous!F$149, FALSE), VLOOKUP('Staging Table'!$A7, LS_previous!$B$4:$AY$138,LS_previous!AD$149, FALSE))/2)</f>
        <v>-210</v>
      </c>
      <c r="O7" s="227">
        <f t="array" ref="O7">IF($G7=0, INDEX(LS_previous!$D$4:$AY$138, MATCH('Staging Table'!$A7, LS_previous!$B$4:$B$138, 0), MATCH(O$4&amp;O$5, LS_previous!$D$2:$AY$2&amp;LS_previous!$D$3:$AY$3, 0)),SUM(VLOOKUP($A7, LS_previous!$B$4:$AY$138, LS_previous!G$149, FALSE), VLOOKUP('Staging Table'!$A7, LS_previous!$B$4:$AY$138,LS_previous!AE$149, FALSE))/2)</f>
        <v>-104</v>
      </c>
      <c r="P7" s="227">
        <f t="array" ref="P7">IF($G7=0, INDEX(LS_previous!$D$4:$AY$138, MATCH('Staging Table'!$A7, LS_previous!$B$4:$B$138, 0), MATCH(P$4&amp;P$5, LS_previous!$D$2:$AY$2&amp;LS_previous!$D$3:$AY$3, 0)),SUM(VLOOKUP($A7, LS_previous!$B$4:$AY$138, LS_previous!H$149, FALSE), VLOOKUP('Staging Table'!$A7, LS_previous!$B$4:$AY$138,LS_previous!AF$149, FALSE))/2)</f>
        <v>-199</v>
      </c>
      <c r="Q7" s="227">
        <f t="array" ref="Q7">IF($G7=0, INDEX(LS_previous!$D$4:$AY$138, MATCH('Staging Table'!$A7, LS_previous!$B$4:$B$138, 0), MATCH(Q$4&amp;Q$5, LS_previous!$D$2:$AY$2&amp;LS_previous!$D$3:$AY$3, 0)),SUM(VLOOKUP($A7, LS_previous!$B$4:$AY$138, LS_previous!I$149, FALSE), VLOOKUP('Staging Table'!$A7, LS_previous!$B$4:$AY$138,LS_previous!AG$149, FALSE))/2)</f>
        <v>-102</v>
      </c>
      <c r="R7" s="227">
        <f t="array" ref="R7">IF($G7=0, INDEX(LS_previous!$D$4:$AY$138, MATCH('Staging Table'!$A7, LS_previous!$B$4:$B$138, 0), MATCH(R$4&amp;R$5, LS_previous!$D$2:$AY$2&amp;LS_previous!$D$3:$AY$3, 0)),SUM(VLOOKUP($A7, LS_previous!$B$4:$AY$138, LS_previous!J$149, FALSE), VLOOKUP('Staging Table'!$A7, LS_previous!$B$4:$AY$138,LS_previous!AH$149, FALSE))/2)</f>
        <v>-139</v>
      </c>
      <c r="S7" s="227">
        <f t="array" ref="S7">IF($G7=0, INDEX(LS_previous!$D$4:$AY$138, MATCH('Staging Table'!$A7, LS_previous!$B$4:$B$138, 0), MATCH(S$4&amp;S$5, LS_previous!$D$2:$AY$2&amp;LS_previous!$D$3:$AY$3, 0)),SUM(VLOOKUP($A7, LS_previous!$B$4:$AY$138, LS_previous!K$149, FALSE), VLOOKUP('Staging Table'!$A7, LS_previous!$B$4:$AY$138,LS_previous!AI$149, FALSE))/2)</f>
        <v>-85</v>
      </c>
      <c r="T7" s="227">
        <f t="array" ref="T7">IF($G7=0, INDEX(LS_previous!$D$4:$AY$138, MATCH('Staging Table'!$A7, LS_previous!$B$4:$B$138, 0), MATCH(T$4&amp;T$5, LS_previous!$D$2:$AY$2&amp;LS_previous!$D$3:$AY$3, 0)),SUM(VLOOKUP($A7, LS_previous!$B$4:$AY$138, LS_previous!L$149, FALSE), VLOOKUP('Staging Table'!$A7, LS_previous!$B$4:$AY$138,LS_previous!AJ$149, FALSE))/2)</f>
        <v>-115</v>
      </c>
      <c r="U7" s="227">
        <f t="array" ref="U7">IF($G7=0, INDEX(LS_previous!$D$4:$AY$138, MATCH('Staging Table'!$A7, LS_previous!$B$4:$B$138, 0), MATCH(U$4&amp;U$5, LS_previous!$D$2:$AY$2&amp;LS_previous!$D$3:$AY$3, 0)),SUM(VLOOKUP($A7, LS_previous!$B$4:$AY$138, LS_previous!M$149, FALSE), VLOOKUP('Staging Table'!$A7, LS_previous!$B$4:$AY$138,LS_previous!AK$149, FALSE))/2)</f>
        <v>-65</v>
      </c>
      <c r="V7" s="227">
        <f t="array" ref="V7">IF($G7=0, INDEX(LS_previous!$D$4:$AY$138, MATCH('Staging Table'!$A7, LS_previous!$B$4:$B$138, 0), MATCH(V$4&amp;V$5, LS_previous!$D$2:$AY$2&amp;LS_previous!$D$3:$AY$3, 0)),SUM(VLOOKUP($A7, LS_previous!$B$4:$AY$138, LS_previous!N$149, FALSE), VLOOKUP('Staging Table'!$A7, LS_previous!$B$4:$AY$138,LS_previous!AL$149, FALSE))/2)</f>
        <v>-132</v>
      </c>
      <c r="W7" s="227">
        <f t="array" ref="W7">IF($G7=0, INDEX(LS_previous!$D$4:$AY$138, MATCH('Staging Table'!$A7, LS_previous!$B$4:$B$138, 0), MATCH(W$4&amp;W$5, LS_previous!$D$2:$AY$2&amp;LS_previous!$D$3:$AY$3, 0)),SUM(VLOOKUP($A7, LS_previous!$B$4:$AY$138, LS_previous!O$149, FALSE), VLOOKUP('Staging Table'!$A7, LS_previous!$B$4:$AY$138,LS_previous!AM$149, FALSE))/2)</f>
        <v>-77</v>
      </c>
      <c r="X7" s="227">
        <f t="array" ref="X7">IF($G7=0, INDEX(LS_previous!$D$4:$AY$138, MATCH('Staging Table'!$A7, LS_previous!$B$4:$B$138, 0), MATCH(X$4&amp;X$5, LS_previous!$D$2:$AY$2&amp;LS_previous!$D$3:$AY$3, 0)),SUM(VLOOKUP($A7, LS_previous!$B$4:$AY$138, LS_previous!P$149, FALSE), VLOOKUP('Staging Table'!$A7, LS_previous!$B$4:$AY$138,LS_previous!AN$149, FALSE))/2)</f>
        <v>-56</v>
      </c>
      <c r="Y7" s="227">
        <f t="array" ref="Y7">IF($G7=0, INDEX(LS_previous!$D$4:$AY$138, MATCH('Staging Table'!$A7, LS_previous!$B$4:$B$138, 0), MATCH(Y$4&amp;Y$5, LS_previous!$D$2:$AY$2&amp;LS_previous!$D$3:$AY$3, 0)),SUM(VLOOKUP($A7, LS_previous!$B$4:$AY$138, LS_previous!Q$149, FALSE), VLOOKUP('Staging Table'!$A7, LS_previous!$B$4:$AY$138,LS_previous!AO$149, FALSE))/2)</f>
        <v>-18</v>
      </c>
      <c r="Z7" s="227">
        <f t="array" ref="Z7">IF($G7=0, INDEX(LS_previous!$D$4:$AY$138, MATCH('Staging Table'!$A7, LS_previous!$B$4:$B$138, 0), MATCH(Z$4&amp;Z$5, LS_previous!$D$2:$AY$2&amp;LS_previous!$D$3:$AY$3, 0)),SUM(VLOOKUP($A7, LS_previous!$B$4:$AY$138, LS_previous!R$149, FALSE), VLOOKUP('Staging Table'!$A7, LS_previous!$B$4:$AY$138,LS_previous!AP$149, FALSE))/2)</f>
        <v>-38</v>
      </c>
      <c r="AA7" s="227">
        <f t="array" ref="AA7">IF($G7=0, INDEX(LS_previous!$D$4:$AY$138, MATCH('Staging Table'!$A7, LS_previous!$B$4:$B$138, 0), MATCH(AA$4&amp;AA$5, LS_previous!$D$2:$AY$2&amp;LS_previous!$D$3:$AY$3, 0)),SUM(VLOOKUP($A7, LS_previous!$B$4:$AY$138, LS_previous!S$149, FALSE), VLOOKUP('Staging Table'!$A7, LS_previous!$B$4:$AY$138,LS_previous!AQ$149, FALSE))/2)</f>
        <v>101</v>
      </c>
      <c r="AB7" s="227">
        <f t="array" ref="AB7">IF($G7=0, INDEX(LS_previous!$D$4:$AY$138, MATCH('Staging Table'!$A7, LS_previous!$B$4:$B$138, 0), MATCH(AB$4&amp;AB$5, LS_previous!$D$2:$AY$2&amp;LS_previous!$D$3:$AY$3, 0)),SUM(VLOOKUP($A7, LS_previous!$B$4:$AY$138, LS_previous!T$149, FALSE), VLOOKUP('Staging Table'!$A7, LS_previous!$B$4:$AY$138,LS_previous!AR$149, FALSE))/2)</f>
        <v>121</v>
      </c>
      <c r="AC7" s="227">
        <f t="array" ref="AC7">IF($G7=0, INDEX(LS_previous!$D$4:$AY$138, MATCH('Staging Table'!$A7, LS_previous!$B$4:$B$138, 0), MATCH(AC$4&amp;AC$5, LS_previous!$D$2:$AY$2&amp;LS_previous!$D$3:$AY$3, 0)),SUM(VLOOKUP($A7, LS_previous!$B$4:$AY$138, LS_previous!U$149, FALSE), VLOOKUP('Staging Table'!$A7, LS_previous!$B$4:$AY$138,LS_previous!AS$149, FALSE))/2)</f>
        <v>209</v>
      </c>
      <c r="AD7" s="227">
        <f t="array" ref="AD7">IF($G7=0, INDEX(LS_previous!$D$4:$AY$138, MATCH('Staging Table'!$A7, LS_previous!$B$4:$B$138, 0), MATCH(AD$4&amp;AD$5, LS_previous!$D$2:$AY$2&amp;LS_previous!$D$3:$AY$3, 0)),SUM(VLOOKUP($A7, LS_previous!$B$4:$AY$138, LS_previous!V$149, FALSE), VLOOKUP('Staging Table'!$A7, LS_previous!$B$4:$AY$138,LS_previous!AT$149, FALSE))/2)</f>
        <v>313</v>
      </c>
      <c r="AE7" s="227">
        <f t="array" ref="AE7">IF($G7=0, INDEX(LS_previous!$D$4:$AY$138, MATCH('Staging Table'!$A7, LS_previous!$B$4:$B$138, 0), MATCH(AE$4&amp;AE$5, LS_previous!$D$2:$AY$2&amp;LS_previous!$D$3:$AY$3, 0)),SUM(VLOOKUP($A7, LS_previous!$B$4:$AY$138, LS_previous!W$149, FALSE), VLOOKUP('Staging Table'!$A7, LS_previous!$B$4:$AY$138,LS_previous!AU$149, FALSE))/2)</f>
        <v>365</v>
      </c>
      <c r="AF7" s="227">
        <f t="array" ref="AF7">IF($G7=0, INDEX(LS_previous!$D$4:$AY$138, MATCH('Staging Table'!$A7, LS_previous!$B$4:$B$138, 0), MATCH(AF$4&amp;AF$5, LS_previous!$D$2:$AY$2&amp;LS_previous!$D$3:$AY$3, 0)),SUM(VLOOKUP($A7, LS_previous!$B$4:$AY$138, LS_previous!X$149, FALSE), VLOOKUP('Staging Table'!$A7, LS_previous!$B$4:$AY$138,LS_previous!AV$149, FALSE))/2)</f>
        <v>242</v>
      </c>
      <c r="AG7" s="227">
        <f t="array" ref="AG7">IF($G7=0, INDEX(LS_previous!$D$4:$AY$138, MATCH('Staging Table'!$A7, LS_previous!$B$4:$B$138, 0), MATCH(AG$4&amp;AG$5, LS_previous!$D$2:$AY$2&amp;LS_previous!$D$3:$AY$3, 0)),SUM(VLOOKUP($A7, LS_previous!$B$4:$AY$138, LS_previous!Y$149, FALSE), VLOOKUP('Staging Table'!$A7, LS_previous!$B$4:$AY$138,LS_previous!AW$149, FALSE))/2)</f>
        <v>303</v>
      </c>
      <c r="AH7" s="227">
        <f t="array" ref="AH7">IF($G7=0, INDEX(LS_previous!$D$4:$AY$138, MATCH('Staging Table'!$A7, LS_previous!$B$4:$B$138, 0), MATCH(AH$4&amp;AH$5, LS_previous!$D$2:$AY$2&amp;LS_previous!$D$3:$AY$3, 0)),SUM(VLOOKUP($A7, LS_previous!$B$4:$AY$138, LS_previous!Z$149, FALSE), VLOOKUP('Staging Table'!$A7, LS_previous!$B$4:$AY$138,LS_previous!AX$149, FALSE))/2)</f>
        <v>59</v>
      </c>
      <c r="AI7" s="227">
        <f t="array" ref="AI7">IF($G7=0, INDEX(LS_previous!$D$4:$AY$138, MATCH('Staging Table'!$A7, LS_previous!$B$4:$B$138, 0), MATCH(AI$4&amp;AI$5, LS_previous!$D$2:$AY$2&amp;LS_previous!$D$3:$AY$3, 0)),SUM(VLOOKUP($A7, LS_previous!$B$4:$AY$138, LS_previous!AA$149, FALSE), VLOOKUP('Staging Table'!$A7, LS_previous!$B$4:$AY$138,LS_previous!AY$149, FALSE))/2)</f>
        <v>190</v>
      </c>
      <c r="AJ7" s="424">
        <f t="array" ref="AJ7">INDEX(Demand_previous!$D$4:$AY$138, MATCH('Staging Table'!$A7, Demand_previous!$B$4:$B$138, 0), MATCH(AJ$4&amp;AJ$5,Demand_previous!$D$2:$AY$2&amp;Demand_previous!$D$3:$AY$3, 0))/1000</f>
        <v>0.53200000000000003</v>
      </c>
      <c r="AK7" s="424">
        <f t="array" ref="AK7">INDEX(Demand_previous!$D$4:$AY$138, MATCH('Staging Table'!$A7, Demand_previous!$B$4:$B$138, 0), MATCH(AK$4&amp;AK$5,Demand_previous!$D$2:$AY$2&amp;Demand_previous!$D$3:$AY$3, 0))/1000</f>
        <v>0</v>
      </c>
      <c r="AL7" s="424">
        <f t="array" ref="AL7">INDEX(Demand_previous!$D$4:$AY$138, MATCH('Staging Table'!$A7, Demand_previous!$B$4:$B$138, 0), MATCH(AL$4&amp;AL$5,Demand_previous!$D$2:$AY$2&amp;Demand_previous!$D$3:$AY$3, 0))/1000</f>
        <v>0</v>
      </c>
      <c r="AM7" s="424">
        <f t="array" ref="AM7">INDEX(Demand_previous!$D$4:$AY$138, MATCH('Staging Table'!$A7, Demand_previous!$B$4:$B$138, 0), MATCH(AM$4&amp;AM$5,Demand_previous!$D$2:$AY$2&amp;Demand_previous!$D$3:$AY$3, 0))/1000</f>
        <v>0.247</v>
      </c>
      <c r="AN7" s="424">
        <f t="array" ref="AN7">INDEX(Demand_previous!$D$4:$AY$138, MATCH('Staging Table'!$A7, Demand_previous!$B$4:$B$138, 0), MATCH(AN$4&amp;AN$5,Demand_previous!$D$2:$AY$2&amp;Demand_previous!$D$3:$AY$3, 0))/1000</f>
        <v>0.161</v>
      </c>
      <c r="AO7" s="424">
        <f t="array" ref="AO7">INDEX(Demand_previous!$D$4:$AY$138, MATCH('Staging Table'!$A7, Demand_previous!$B$4:$B$138, 0), MATCH(AO$4&amp;AO$5,Demand_previous!$D$2:$AY$2&amp;Demand_previous!$D$3:$AY$3, 0))/1000</f>
        <v>0.222</v>
      </c>
      <c r="AP7" s="424">
        <f t="array" ref="AP7">INDEX(Demand_previous!$D$4:$AY$138, MATCH('Staging Table'!$A7, Demand_previous!$B$4:$B$138, 0), MATCH(AP$4&amp;AP$5,Demand_previous!$D$2:$AY$2&amp;Demand_previous!$D$3:$AY$3, 0))/1000</f>
        <v>0.68300000000000005</v>
      </c>
      <c r="AQ7" s="424">
        <f t="array" ref="AQ7">INDEX(Demand_previous!$D$4:$AY$138, MATCH('Staging Table'!$A7, Demand_previous!$B$4:$B$138, 0), MATCH(AQ$4&amp;AQ$5,Demand_previous!$D$2:$AY$2&amp;Demand_previous!$D$3:$AY$3, 0))/1000</f>
        <v>0.63400000000000001</v>
      </c>
      <c r="AR7" s="424">
        <f t="array" ref="AR7">INDEX(Demand_previous!$D$4:$AY$138, MATCH('Staging Table'!$A7, Demand_previous!$B$4:$B$138, 0), MATCH(AR$4&amp;AR$5,Demand_previous!$D$2:$AY$2&amp;Demand_previous!$D$3:$AY$3, 0))/1000</f>
        <v>0.501</v>
      </c>
      <c r="AS7" s="424">
        <f t="array" ref="AS7">INDEX(Demand_previous!$D$4:$AY$138, MATCH('Staging Table'!$A7, Demand_previous!$B$4:$B$138, 0), MATCH(AS$4&amp;AS$5,Demand_previous!$D$2:$AY$2&amp;Demand_previous!$D$3:$AY$3, 0))/1000</f>
        <v>0.59899999999999998</v>
      </c>
      <c r="AT7" s="424">
        <f t="array" ref="AT7">INDEX(Demand_previous!$D$4:$AY$138, MATCH('Staging Table'!$A7, Demand_previous!$B$4:$B$138, 0), MATCH(AT$4&amp;AT$5,Demand_previous!$D$2:$AY$2&amp;Demand_previous!$D$3:$AY$3, 0))/1000</f>
        <v>0.30599999999999999</v>
      </c>
      <c r="AU7" s="424">
        <f t="array" ref="AU7">INDEX(Demand_previous!$D$4:$AY$138, MATCH('Staging Table'!$A7, Demand_previous!$B$4:$B$138, 0), MATCH(AU$4&amp;AU$5,Demand_previous!$D$2:$AY$2&amp;Demand_previous!$D$3:$AY$3, 0))/1000</f>
        <v>0.50800000000000001</v>
      </c>
      <c r="AV7" s="227">
        <f>$F7*(VLOOKUP(AV$4, Rates_previous!$G$6:$Q$29, 10, FALSE)+VLOOKUP(AV$4, Rates_previous!$G$6:$Q$29, 11, FALSE))</f>
        <v>380.73362630602736</v>
      </c>
      <c r="AW7" s="227">
        <f>$F7*(VLOOKUP(AW$4, Rates_previous!$G$6:$Q$29, 10, FALSE)+VLOOKUP(AW$4, Rates_previous!$G$6:$Q$29, 11, FALSE))</f>
        <v>470.55782482510887</v>
      </c>
      <c r="AX7" s="227">
        <f>$F7*(VLOOKUP(AX$4, Rates_previous!$G$6:$Q$29, 10, FALSE)+VLOOKUP(AX$4, Rates_previous!$G$6:$Q$29, 11, FALSE))</f>
        <v>464.90698816330291</v>
      </c>
      <c r="AY7" s="227">
        <f>$F7*(VLOOKUP(AY$4, Rates_previous!$G$6:$Q$29, 10, FALSE)+VLOOKUP(AY$4, Rates_previous!$G$6:$Q$29, 11, FALSE))</f>
        <v>397.21870843099197</v>
      </c>
      <c r="AZ7" s="227">
        <f>$F7*(VLOOKUP(AZ$4, Rates_previous!$G$6:$Q$29, 10, FALSE)+VLOOKUP(AZ$4, Rates_previous!$G$6:$Q$29, 11, FALSE))</f>
        <v>325.64229194456539</v>
      </c>
      <c r="BA7" s="227">
        <f>$F7*(VLOOKUP(BA$4, Rates_previous!$G$6:$Q$29, 10, FALSE)+VLOOKUP(BA$4, Rates_previous!$G$6:$Q$29, 11, FALSE))</f>
        <v>385.54864523657722</v>
      </c>
      <c r="BB7" s="227">
        <f>$F7*(VLOOKUP(BB$4, Rates_previous!$G$6:$Q$29, 10, FALSE)+VLOOKUP(BB$4, Rates_previous!$G$6:$Q$29, 11, FALSE))</f>
        <v>370.56832954426875</v>
      </c>
      <c r="BC7" s="227">
        <f>$F7*(VLOOKUP(BC$4, Rates_previous!$G$6:$Q$29, 10, FALSE)+VLOOKUP(BC$4, Rates_previous!$G$6:$Q$29, 11, FALSE))</f>
        <v>543.7828011730744</v>
      </c>
      <c r="BD7" s="227">
        <f>$F7*(VLOOKUP(BD$4, Rates_previous!$G$6:$Q$29, 10, FALSE)+VLOOKUP(BD$4, Rates_previous!$G$6:$Q$29, 11, FALSE))</f>
        <v>429.03025777092876</v>
      </c>
      <c r="BE7" s="227">
        <f>$F7*(VLOOKUP(BE$4, Rates_previous!$G$6:$Q$29, 10, FALSE)+VLOOKUP(BE$4, Rates_previous!$G$6:$Q$29, 11, FALSE))</f>
        <v>376.72457720505861</v>
      </c>
      <c r="BF7" s="227">
        <f>$F7*(VLOOKUP(BF$4, Rates_previous!$G$6:$Q$29, 10, FALSE)+VLOOKUP(BF$4, Rates_previous!$G$6:$Q$29, 11, FALSE))</f>
        <v>417.23754867778757</v>
      </c>
      <c r="BG7" s="227">
        <f>$F7*(VLOOKUP(BG$4, Rates_previous!$G$6:$Q$29, 10, FALSE)+VLOOKUP(BG$4, Rates_previous!$G$6:$Q$29, 11, FALSE))</f>
        <v>378.00062660467933</v>
      </c>
      <c r="BH7" s="229">
        <f>IF($D7=0,IF(C7=0, MAX(BK7 - (VLOOKUP($A7,TOCA_previous!$A$2:$AI$137,MATCH("RHWM 2018",TOCA_previous!$A$2:$AI$2,0),FALSE)*$F$2*TOCA_previous!C4),0),0), 0)</f>
        <v>504.31229795199943</v>
      </c>
      <c r="BI7" s="266">
        <f>VLOOKUP($A7,REP_previous!$A$1:$D$135,MATCH("FY "&amp;$F$1&amp; " Total Refund",REP_previous!$A$1:$D$1,0),0)</f>
        <v>3220.9875879357182</v>
      </c>
      <c r="BJ7" s="241">
        <f>MIN(VLOOKUP($A7,TOCA_previous!$A$2:$AI$137,MATCH("TRL - NLSL - Existing Resource "&amp;$F$1,TOCA_previous!$A$2:$AI$2,0),FALSE)*$F$2,(VLOOKUP($A7,TOCA_previous!$A$2:$AI$137,MATCH("RHWM 2018",TOCA_previous!$A$2:$AI$2,0),FALSE)*$F$2))</f>
        <v>4940.6399999999994</v>
      </c>
      <c r="BK7" s="229">
        <f>SUM(L7:AI7)+(F7*RT1SC!$C$3*$F$2)</f>
        <v>5444.9522979519988</v>
      </c>
      <c r="BL7" s="241">
        <f>VLOOKUP($A7,TOCA_previous!$A$2:$AI$137,MATCH("Above RHWM Not Served with LS "&amp;$F$1,TOCA_previous!$A$2:$AI$2,0),FALSE)*$F$2</f>
        <v>0</v>
      </c>
      <c r="BM7" s="151">
        <f t="shared" ref="BM7:BM70" si="5">BK7-BJ7</f>
        <v>504.31229795199943</v>
      </c>
      <c r="BN7" s="242">
        <f>(VLOOKUP($A7,TOCA_previous!$A$2:$AI$137,MATCH("RHWM 2018",TOCA_previous!$A$2:$AI$2,0),FALSE)*$F$2) - $BJ7</f>
        <v>0</v>
      </c>
      <c r="BO7" s="151">
        <f t="shared" ref="BO7:BO70" si="6">IF(BM7&gt;0,IF(BN7&gt;0,(-1)*MIN(BM7,BN7),0),0)</f>
        <v>0</v>
      </c>
      <c r="BP7" s="243">
        <f t="shared" ref="BP7:BP70" si="7">IF(BM7&lt;0,IF(BL7&lt;ABS(BM7),MAX(0,ABS($BM7)-(BL7)),0),0)</f>
        <v>0</v>
      </c>
      <c r="BQ7" s="237">
        <f t="shared" ref="BQ7:BQ70" si="8">IF(AND(BL7&gt;0,BN7&gt;0),IF(AND(BM7&lt;=0,ABS(BM7)&lt;BL7),(-1)*MIN(BL7,BL7-ABS(BM7),BN7),IF(AND(BM7&gt;0,BM7&lt;BN7),(-1)*MIN(BL7,BN7-BM7),0)),0)</f>
        <v>0</v>
      </c>
      <c r="BR7" s="242">
        <f t="shared" ref="BR7:BR70" si="9">IF($D7=0,SUM($BO7:$BQ7),0)</f>
        <v>0</v>
      </c>
      <c r="BS7" s="151">
        <f>VLOOKUP($A7,TOCA_current!$A$2:$AI$137,MATCH(BS$4,TOCA_current!$A$2:$AI$2,0),FALSE)</f>
        <v>8.1100000000000006E-5</v>
      </c>
      <c r="BT7" s="151">
        <f>VLOOKUP($A7,TOCA_current!$A$2:$AI$137,MATCH(BT$4,TOCA_current!$A$2:$AI$2,0),FALSE)</f>
        <v>8.1100000000000006E-5</v>
      </c>
      <c r="BU7" s="236">
        <f t="shared" ref="BU7:BU70" si="10">BS7-BT7</f>
        <v>0</v>
      </c>
      <c r="BV7" s="151">
        <f>VLOOKUP($A7,TOCA_current!A3:BG138,MATCH(BV$4,TOCA_current!$A$2:$BG$2,0),FALSE)</f>
        <v>0</v>
      </c>
      <c r="BW7" s="151">
        <f t="shared" ref="BW7:BW70" si="11">IF(C7=0,0,BV7)</f>
        <v>0</v>
      </c>
      <c r="BX7" s="151">
        <f t="shared" ref="BX7:BX70" si="12">IF(C7=0,0,BS7)</f>
        <v>0</v>
      </c>
      <c r="BY7" s="226">
        <f>VLOOKUP($A7,IRD!$A$4:$G$139, 7, FALSE)</f>
        <v>0</v>
      </c>
      <c r="BZ7" s="227">
        <f t="array" ref="BZ7">IF($BU7=0, INDEX(LS_current!$D$4:$AY$138, MATCH('Staging Table'!$A7, LS_current!$B$4:$B$138, 0), MATCH(BZ$4&amp;BZ$5, LS_current!$D$2:$AY$2&amp;LS_current!$D$3:$AY$3, 0)),SUM(VLOOKUP($A7, LS_current!$B$4:$AY$138, LS_current!D$148, FALSE), VLOOKUP($A7, LS_current!$B$4:$AY$138,LS_current!D$148, FALSE))/2)</f>
        <v>-66</v>
      </c>
      <c r="CA7" s="227">
        <f t="array" ref="CA7">IF($BU7=0, INDEX(LS_current!$D$4:$AY$138, MATCH('Staging Table'!$A7, LS_current!$B$4:$B$138, 0), MATCH(CA$4&amp;CA$5, LS_current!$D$2:$AY$2&amp;LS_current!$D$3:$AY$3, 0)),SUM(VLOOKUP($A7, LS_current!$B$4:$AY$138, LS_current!E$148, FALSE), VLOOKUP($A7, LS_current!$B$4:$AY$138,LS_current!E$148, FALSE))/2)</f>
        <v>14</v>
      </c>
      <c r="CB7" s="227">
        <f t="array" ref="CB7">IF($BU7=0, INDEX(LS_current!$D$4:$AY$138, MATCH('Staging Table'!$A7, LS_current!$B$4:$B$138, 0), MATCH(CB$4&amp;CB$5, LS_current!$D$2:$AY$2&amp;LS_current!$D$3:$AY$3, 0)),SUM(VLOOKUP($A7, LS_current!$B$4:$AY$138, LS_current!F$148, FALSE), VLOOKUP($A7, LS_current!$B$4:$AY$138,LS_current!F$148, FALSE))/2)</f>
        <v>-212</v>
      </c>
      <c r="CC7" s="227">
        <f t="array" ref="CC7">IF($BU7=0, INDEX(LS_current!$D$4:$AY$138, MATCH('Staging Table'!$A7, LS_current!$B$4:$B$138, 0), MATCH(CC$4&amp;CC$5, LS_current!$D$2:$AY$2&amp;LS_current!$D$3:$AY$3, 0)),SUM(VLOOKUP($A7, LS_current!$B$4:$AY$138, LS_current!G$148, FALSE), VLOOKUP($A7, LS_current!$B$4:$AY$138,LS_current!G$148, FALSE))/2)</f>
        <v>-107</v>
      </c>
      <c r="CD7" s="227">
        <f t="array" ref="CD7">IF($BU7=0, INDEX(LS_current!$D$4:$AY$138, MATCH('Staging Table'!$A7, LS_current!$B$4:$B$138, 0), MATCH(CD$4&amp;CD$5, LS_current!$D$2:$AY$2&amp;LS_current!$D$3:$AY$3, 0)),SUM(VLOOKUP($A7, LS_current!$B$4:$AY$138, LS_current!H$148, FALSE), VLOOKUP($A7, LS_current!$B$4:$AY$138,LS_current!H$148, FALSE))/2)</f>
        <v>-201</v>
      </c>
      <c r="CE7" s="227">
        <f t="array" ref="CE7">IF($BU7=0, INDEX(LS_current!$D$4:$AY$138, MATCH('Staging Table'!$A7, LS_current!$B$4:$B$138, 0), MATCH(CE$4&amp;CE$5, LS_current!$D$2:$AY$2&amp;LS_current!$D$3:$AY$3, 0)),SUM(VLOOKUP($A7, LS_current!$B$4:$AY$138, LS_current!I$148, FALSE), VLOOKUP($A7, LS_current!$B$4:$AY$138,LS_current!I$148, FALSE))/2)</f>
        <v>-105</v>
      </c>
      <c r="CF7" s="227">
        <f t="array" ref="CF7">IF($BU7=0, INDEX(LS_current!$D$4:$AY$138, MATCH('Staging Table'!$A7, LS_current!$B$4:$B$138, 0), MATCH(CF$4&amp;CF$5, LS_current!$D$2:$AY$2&amp;LS_current!$D$3:$AY$3, 0)),SUM(VLOOKUP($A7, LS_current!$B$4:$AY$138, LS_current!J$148, FALSE), VLOOKUP($A7, LS_current!$B$4:$AY$138,LS_current!J$148, FALSE))/2)</f>
        <v>-139</v>
      </c>
      <c r="CG7" s="227">
        <f t="array" ref="CG7">IF($BU7=0, INDEX(LS_current!$D$4:$AY$138, MATCH('Staging Table'!$A7, LS_current!$B$4:$B$138, 0), MATCH(CG$4&amp;CG$5, LS_current!$D$2:$AY$2&amp;LS_current!$D$3:$AY$3, 0)),SUM(VLOOKUP($A7, LS_current!$B$4:$AY$138, LS_current!K$148, FALSE), VLOOKUP($A7, LS_current!$B$4:$AY$138,LS_current!K$148, FALSE))/2)</f>
        <v>-79</v>
      </c>
      <c r="CH7" s="227">
        <f t="array" ref="CH7">IF($BU7=0, INDEX(LS_current!$D$4:$AY$138, MATCH('Staging Table'!$A7, LS_current!$B$4:$B$138, 0), MATCH(CH$4&amp;CH$5, LS_current!$D$2:$AY$2&amp;LS_current!$D$3:$AY$3, 0)),SUM(VLOOKUP($A7, LS_current!$B$4:$AY$138, LS_current!L$148, FALSE), VLOOKUP($A7, LS_current!$B$4:$AY$138,LS_current!L$148, FALSE))/2)</f>
        <v>-133</v>
      </c>
      <c r="CI7" s="227">
        <f t="array" ref="CI7">IF($BU7=0, INDEX(LS_current!$D$4:$AY$138, MATCH('Staging Table'!$A7, LS_current!$B$4:$B$138, 0), MATCH(CI$4&amp;CI$5, LS_current!$D$2:$AY$2&amp;LS_current!$D$3:$AY$3, 0)),SUM(VLOOKUP($A7, LS_current!$B$4:$AY$138, LS_current!M$148, FALSE), VLOOKUP($A7, LS_current!$B$4:$AY$138,LS_current!M$148, FALSE))/2)</f>
        <v>-76</v>
      </c>
      <c r="CJ7" s="227">
        <f t="array" ref="CJ7">IF($BU7=0, INDEX(LS_current!$D$4:$AY$138, MATCH('Staging Table'!$A7, LS_current!$B$4:$B$138, 0), MATCH(CJ$4&amp;CJ$5, LS_current!$D$2:$AY$2&amp;LS_current!$D$3:$AY$3, 0)),SUM(VLOOKUP($A7, LS_current!$B$4:$AY$138, LS_current!N$148, FALSE), VLOOKUP($A7, LS_current!$B$4:$AY$138,LS_current!N$148, FALSE))/2)</f>
        <v>-139</v>
      </c>
      <c r="CK7" s="227">
        <f t="array" ref="CK7">IF($BU7=0, INDEX(LS_current!$D$4:$AY$138, MATCH('Staging Table'!$A7, LS_current!$B$4:$B$138, 0), MATCH(CK$4&amp;CK$5, LS_current!$D$2:$AY$2&amp;LS_current!$D$3:$AY$3, 0)),SUM(VLOOKUP($A7, LS_current!$B$4:$AY$138, LS_current!O$148, FALSE), VLOOKUP($A7, LS_current!$B$4:$AY$138,LS_current!O$148, FALSE))/2)</f>
        <v>-79</v>
      </c>
      <c r="CL7" s="227">
        <f t="array" ref="CL7">IF($BU7=0, INDEX(LS_current!$D$4:$AY$138, MATCH('Staging Table'!$A7, LS_current!$B$4:$B$138, 0), MATCH(CL$4&amp;CL$5, LS_current!$D$2:$AY$2&amp;LS_current!$D$3:$AY$3, 0)),SUM(VLOOKUP($A7, LS_current!$B$4:$AY$138, LS_current!P$148, FALSE), VLOOKUP($A7, LS_current!$B$4:$AY$138,LS_current!P$148, FALSE))/2)</f>
        <v>-20</v>
      </c>
      <c r="CM7" s="227">
        <f t="array" ref="CM7">IF($BU7=0, INDEX(LS_current!$D$4:$AY$138, MATCH('Staging Table'!$A7, LS_current!$B$4:$B$138, 0), MATCH(CM$4&amp;CM$5, LS_current!$D$2:$AY$2&amp;LS_current!$D$3:$AY$3, 0)),SUM(VLOOKUP($A7, LS_current!$B$4:$AY$138, LS_current!Q$148, FALSE), VLOOKUP($A7, LS_current!$B$4:$AY$138,LS_current!Q$148, FALSE))/2)</f>
        <v>-5</v>
      </c>
      <c r="CN7" s="227">
        <f t="array" ref="CN7">IF($BU7=0, INDEX(LS_current!$D$4:$AY$138, MATCH('Staging Table'!$A7, LS_current!$B$4:$B$138, 0), MATCH(CN$4&amp;CN$5, LS_current!$D$2:$AY$2&amp;LS_current!$D$3:$AY$3, 0)),SUM(VLOOKUP($A7, LS_current!$B$4:$AY$138, LS_current!R$148, FALSE), VLOOKUP($A7, LS_current!$B$4:$AY$138,LS_current!R$148, FALSE))/2)</f>
        <v>28</v>
      </c>
      <c r="CO7" s="227">
        <f t="array" ref="CO7">IF($BU7=0, INDEX(LS_current!$D$4:$AY$138, MATCH('Staging Table'!$A7, LS_current!$B$4:$B$138, 0), MATCH(CO$4&amp;CO$5, LS_current!$D$2:$AY$2&amp;LS_current!$D$3:$AY$3, 0)),SUM(VLOOKUP($A7, LS_current!$B$4:$AY$138, LS_current!S$148, FALSE), VLOOKUP($A7, LS_current!$B$4:$AY$138,LS_current!S$148, FALSE))/2)</f>
        <v>146</v>
      </c>
      <c r="CP7" s="227">
        <f t="array" ref="CP7">IF($BU7=0, INDEX(LS_current!$D$4:$AY$138, MATCH('Staging Table'!$A7, LS_current!$B$4:$B$138, 0), MATCH(CP$4&amp;CP$5, LS_current!$D$2:$AY$2&amp;LS_current!$D$3:$AY$3, 0)),SUM(VLOOKUP($A7, LS_current!$B$4:$AY$138, LS_current!T$148, FALSE), VLOOKUP($A7, LS_current!$B$4:$AY$138,LS_current!T$148, FALSE))/2)</f>
        <v>43</v>
      </c>
      <c r="CQ7" s="227">
        <f t="array" ref="CQ7">IF($BU7=0, INDEX(LS_current!$D$4:$AY$138, MATCH('Staging Table'!$A7, LS_current!$B$4:$B$138, 0), MATCH(CQ$4&amp;CQ$5, LS_current!$D$2:$AY$2&amp;LS_current!$D$3:$AY$3, 0)),SUM(VLOOKUP($A7, LS_current!$B$4:$AY$138, LS_current!U$148, FALSE), VLOOKUP($A7, LS_current!$B$4:$AY$138,LS_current!U$148, FALSE))/2)</f>
        <v>163</v>
      </c>
      <c r="CR7" s="227">
        <f t="array" ref="CR7">IF($BU7=0, INDEX(LS_current!$D$4:$AY$138, MATCH('Staging Table'!$A7, LS_current!$B$4:$B$138, 0), MATCH(CR$4&amp;CR$5, LS_current!$D$2:$AY$2&amp;LS_current!$D$3:$AY$3, 0)),SUM(VLOOKUP($A7, LS_current!$B$4:$AY$138, LS_current!V$148, FALSE), VLOOKUP($A7, LS_current!$B$4:$AY$138,LS_current!V$148, FALSE))/2)</f>
        <v>261</v>
      </c>
      <c r="CS7" s="227">
        <f t="array" ref="CS7">IF($BU7=0, INDEX(LS_current!$D$4:$AY$138, MATCH('Staging Table'!$A7, LS_current!$B$4:$B$138, 0), MATCH(CS$4&amp;CS$5, LS_current!$D$2:$AY$2&amp;LS_current!$D$3:$AY$3, 0)),SUM(VLOOKUP($A7, LS_current!$B$4:$AY$138, LS_current!W$148, FALSE), VLOOKUP($A7, LS_current!$B$4:$AY$138,LS_current!W$148, FALSE))/2)</f>
        <v>360</v>
      </c>
      <c r="CT7" s="227">
        <f t="array" ref="CT7">IF($BU7=0, INDEX(LS_current!$D$4:$AY$138, MATCH('Staging Table'!$A7, LS_current!$B$4:$B$138, 0), MATCH(CT$4&amp;CT$5, LS_current!$D$2:$AY$2&amp;LS_current!$D$3:$AY$3, 0)),SUM(VLOOKUP($A7, LS_current!$B$4:$AY$138, LS_current!X$148, FALSE), VLOOKUP($A7, LS_current!$B$4:$AY$138,LS_current!X$148, FALSE))/2)</f>
        <v>231</v>
      </c>
      <c r="CU7" s="227">
        <f t="array" ref="CU7">IF($BU7=0, INDEX(LS_current!$D$4:$AY$138, MATCH('Staging Table'!$A7, LS_current!$B$4:$B$138, 0), MATCH(CU$4&amp;CU$5, LS_current!$D$2:$AY$2&amp;LS_current!$D$3:$AY$3, 0)),SUM(VLOOKUP($A7, LS_current!$B$4:$AY$138, LS_current!Y$148, FALSE), VLOOKUP($A7, LS_current!$B$4:$AY$138,LS_current!Y$148, FALSE))/2)</f>
        <v>308</v>
      </c>
      <c r="CV7" s="227">
        <f t="array" ref="CV7">IF($BU7=0, INDEX(LS_current!$D$4:$AY$138, MATCH('Staging Table'!$A7, LS_current!$B$4:$B$138, 0), MATCH(CV$4&amp;CV$5, LS_current!$D$2:$AY$2&amp;LS_current!$D$3:$AY$3, 0)),SUM(VLOOKUP($A7, LS_current!$B$4:$AY$138, LS_current!Z$148, FALSE), VLOOKUP($A7, LS_current!$B$4:$AY$138,LS_current!Z$148, FALSE))/2)</f>
        <v>57</v>
      </c>
      <c r="CW7" s="227">
        <f t="array" ref="CW7">IF($BU7=0, INDEX(LS_current!$D$4:$AY$138, MATCH('Staging Table'!$A7, LS_current!$B$4:$B$138, 0), MATCH(CW$4&amp;CW$5, LS_current!$D$2:$AY$2&amp;LS_current!$D$3:$AY$3, 0)),SUM(VLOOKUP($A7, LS_current!$B$4:$AY$138, LS_current!AA$148, FALSE), VLOOKUP($A7, LS_current!$B$4:$AY$138,LS_current!AA$148, FALSE))/2)</f>
        <v>190</v>
      </c>
      <c r="CX7" s="229">
        <f t="array" ref="CX7">INDEX(Demand_current!$D$4:$AY$138, MATCH($A7, Demand_current!$B$4:$B$138, 0), MATCH(CX$4&amp;CX$5,Demand_current!$D$2:$AY$2&amp;Demand_current!$D$3:$AY$3, 0))/1000</f>
        <v>0.54700000000000004</v>
      </c>
      <c r="CY7" s="229">
        <f t="array" ref="CY7">INDEX(Demand_current!$D$4:$AY$138, MATCH($A7, Demand_current!$B$4:$B$138, 0), MATCH(CY$4&amp;CY$5,Demand_current!$D$2:$AY$2&amp;Demand_current!$D$3:$AY$3, 0))/1000</f>
        <v>0</v>
      </c>
      <c r="CZ7" s="229">
        <f t="array" ref="CZ7">INDEX(Demand_current!$D$4:$AY$138, MATCH($A7, Demand_current!$B$4:$B$138, 0), MATCH(CZ$4&amp;CZ$5,Demand_current!$D$2:$AY$2&amp;Demand_current!$D$3:$AY$3, 0))/1000</f>
        <v>0</v>
      </c>
      <c r="DA7" s="229">
        <f t="array" ref="DA7">INDEX(Demand_current!$D$4:$AY$138, MATCH($A7, Demand_current!$B$4:$B$138, 0), MATCH(DA$4&amp;DA$5,Demand_current!$D$2:$AY$2&amp;Demand_current!$D$3:$AY$3, 0))/1000</f>
        <v>0.247</v>
      </c>
      <c r="DB7" s="229">
        <f t="array" ref="DB7">INDEX(Demand_current!$D$4:$AY$138, MATCH($A7, Demand_current!$B$4:$B$138, 0), MATCH(DB$4&amp;DB$5,Demand_current!$D$2:$AY$2&amp;Demand_current!$D$3:$AY$3, 0))/1000</f>
        <v>0.17</v>
      </c>
      <c r="DC7" s="229">
        <f t="array" ref="DC7">INDEX(Demand_current!$D$4:$AY$138, MATCH($A7, Demand_current!$B$4:$B$138, 0), MATCH(DC$4&amp;DC$5,Demand_current!$D$2:$AY$2&amp;Demand_current!$D$3:$AY$3, 0))/1000</f>
        <v>0.21199999999999999</v>
      </c>
      <c r="DD7" s="229">
        <f t="array" ref="DD7">INDEX(Demand_current!$D$4:$AY$138, MATCH($A7, Demand_current!$B$4:$B$138, 0), MATCH(DD$4&amp;DD$5,Demand_current!$D$2:$AY$2&amp;Demand_current!$D$3:$AY$3, 0))/1000</f>
        <v>0.7</v>
      </c>
      <c r="DE7" s="229">
        <f t="array" ref="DE7">INDEX(Demand_current!$D$4:$AY$138, MATCH($A7, Demand_current!$B$4:$B$138, 0), MATCH(DE$4&amp;DE$5,Demand_current!$D$2:$AY$2&amp;Demand_current!$D$3:$AY$3, 0))/1000</f>
        <v>0.60399999999999998</v>
      </c>
      <c r="DF7" s="229">
        <f t="array" ref="DF7">INDEX(Demand_current!$D$4:$AY$138, MATCH($A7, Demand_current!$B$4:$B$138, 0), MATCH(DF$4&amp;DF$5,Demand_current!$D$2:$AY$2&amp;Demand_current!$D$3:$AY$3, 0))/1000</f>
        <v>0.501</v>
      </c>
      <c r="DG7" s="229">
        <f t="array" ref="DG7">INDEX(Demand_current!$D$4:$AY$138, MATCH($A7, Demand_current!$B$4:$B$138, 0), MATCH(DG$4&amp;DG$5,Demand_current!$D$2:$AY$2&amp;Demand_current!$D$3:$AY$3, 0))/1000</f>
        <v>0.65300000000000002</v>
      </c>
      <c r="DH7" s="229">
        <f t="array" ref="DH7">INDEX(Demand_current!$D$4:$AY$138, MATCH($A7, Demand_current!$B$4:$B$138, 0), MATCH(DH$4&amp;DH$5,Demand_current!$D$2:$AY$2&amp;Demand_current!$D$3:$AY$3, 0))/1000</f>
        <v>0.25900000000000001</v>
      </c>
      <c r="DI7" s="229">
        <f t="array" ref="DI7">INDEX(Demand_current!$D$4:$AY$138, MATCH($A7, Demand_current!$B$4:$B$138, 0), MATCH(DI$4&amp;DI$5,Demand_current!$D$2:$AY$2&amp;Demand_current!$D$3:$AY$3, 0))/1000</f>
        <v>0.53900000000000003</v>
      </c>
      <c r="DJ7" s="227">
        <f>$BT7*(VLOOKUP(DJ$4, Rates_current!$G$6:$Q$29, 10, FALSE)+VLOOKUP(DJ$4, Rates_current!$G$6:$Q$29, 11, FALSE))</f>
        <v>374.46442459560001</v>
      </c>
      <c r="DK7" s="227">
        <f>$BT7*(VLOOKUP(DK$4, Rates_current!$G$6:$Q$29, 10, FALSE)+VLOOKUP(DK$4, Rates_current!$G$6:$Q$29, 11, FALSE))</f>
        <v>475.68663568290003</v>
      </c>
      <c r="DL7" s="227">
        <f>$BT7*(VLOOKUP(DL$4, Rates_current!$G$6:$Q$29, 10, FALSE)+VLOOKUP(DL$4, Rates_current!$G$6:$Q$29, 11, FALSE))</f>
        <v>469.94207589560006</v>
      </c>
      <c r="DM7" s="227">
        <f>$BT7*(VLOOKUP(DM$4, Rates_current!$G$6:$Q$29, 10, FALSE)+VLOOKUP(DM$4, Rates_current!$G$6:$Q$29, 11, FALSE))</f>
        <v>391.72534309560007</v>
      </c>
      <c r="DN7" s="227">
        <f>$BT7*(VLOOKUP(DN$4, Rates_current!$G$6:$Q$29, 10, FALSE)+VLOOKUP(DN$4, Rates_current!$G$6:$Q$29, 11, FALSE))</f>
        <v>354.86252248</v>
      </c>
      <c r="DO7" s="227">
        <f>$BT7*(VLOOKUP(DO$4, Rates_current!$G$6:$Q$29, 10, FALSE)+VLOOKUP(DO$4, Rates_current!$G$6:$Q$29, 11, FALSE))</f>
        <v>394.71985849070001</v>
      </c>
      <c r="DP7" s="227">
        <f>$BT7*(VLOOKUP(DP$4, Rates_current!$G$6:$Q$29, 10, FALSE)+VLOOKUP(DP$4, Rates_current!$G$6:$Q$29, 11, FALSE))</f>
        <v>321.38133472800001</v>
      </c>
      <c r="DQ7" s="227">
        <f>$BT7*(VLOOKUP(DQ$4, Rates_current!$G$6:$Q$29, 10, FALSE)+VLOOKUP(DQ$4, Rates_current!$G$6:$Q$29, 11, FALSE))</f>
        <v>433.43065314560005</v>
      </c>
      <c r="DR7" s="227">
        <f>$BT7*(VLOOKUP(DR$4, Rates_current!$G$6:$Q$29, 10, FALSE)+VLOOKUP(DR$4, Rates_current!$G$6:$Q$29, 11, FALSE))</f>
        <v>553.0280351780001</v>
      </c>
      <c r="DS7" s="227">
        <f>$BT7*(VLOOKUP(DS$4, Rates_current!$G$6:$Q$29, 10, FALSE)+VLOOKUP(DS$4, Rates_current!$G$6:$Q$29, 11, FALSE))</f>
        <v>433.59151499560005</v>
      </c>
      <c r="DT7" s="227">
        <f>$BT7*(VLOOKUP(DT$4, Rates_current!$G$6:$Q$29, 10, FALSE)+VLOOKUP(DT$4, Rates_current!$G$6:$Q$29, 11, FALSE))</f>
        <v>422.23179744560008</v>
      </c>
      <c r="DU7" s="227">
        <f>$BT7*(VLOOKUP(DU$4, Rates_current!$G$6:$Q$29, 10, FALSE)+VLOOKUP(DU$4, Rates_current!$G$6:$Q$29, 11, FALSE))</f>
        <v>379.07433382800008</v>
      </c>
      <c r="DV7" s="229">
        <f>IF(D7=0,IF(C7=0,MAX(0,DY7 - (VLOOKUP($A7,TOCA_current!$A$2:$AI$137,MATCH("RHWM 2020",TOCA_current!$A$2:$AI$2,0),FALSE)*$BT$2)), 0),0)</f>
        <v>437.25871738880141</v>
      </c>
      <c r="DW7" s="266">
        <f>VLOOKUP($A7,REP_current!$A$1:$D$135,MATCH("FY "&amp;$BT$1&amp; " Total Refund",REP_current!$A$1:$D$1,0),0)</f>
        <v>0</v>
      </c>
      <c r="DX7" s="295">
        <f>MIN(VLOOKUP($A7,TOCA_current!$A$2:$AI$137,MATCH("TRL - NLSL - Existing Resource "&amp;$BT$1,TOCA_current!$A$2:$AI$2,0),FALSE)*$BT$2, VLOOKUP($A7,TOCA_current!$A$2:$AI$137,MATCH("RHWM 2020",TOCA_current!$A$2:$AI$2,0),FALSE)*$BT$2)</f>
        <v>5006.8799999999992</v>
      </c>
      <c r="DY7" s="240">
        <f>SUM(BZ7:CW7)+(BT7*RT1SC!$C$4*$BT$2)</f>
        <v>5444.1387173888006</v>
      </c>
      <c r="DZ7" s="271">
        <f>VLOOKUP($A7,TOCA_current!$A$2:$AI$137,MATCH("Above RHWM Not Served with LS "&amp;$BT$1,TOCA_current!$A$2:$AI$2,0),FALSE)*$BT$2</f>
        <v>0</v>
      </c>
      <c r="EA7" s="244">
        <f t="shared" ref="EA7:EA70" si="13">DY7-DX7</f>
        <v>437.25871738880141</v>
      </c>
      <c r="EB7" s="295">
        <f>(VLOOKUP($A7,TOCA_current!$A$2:$AI$137,MATCH("RHWM 2020",TOCA_current!$A$2:$AI$2,0),FALSE)*$BT$2) - $DX7</f>
        <v>0</v>
      </c>
      <c r="EC7" s="240">
        <f t="shared" ref="EC7:EC70" si="14">IF(EA7&gt;0,IF(EB7&gt;0,(-1)*MIN(EA7,EB7),0),0)</f>
        <v>0</v>
      </c>
      <c r="ED7" s="240">
        <f t="shared" ref="ED7:ED70" si="15">IF(EA7&lt;0,IF(DZ7&lt;ABS(EA7),MAX(0,ABS($EA7)-(DZ7)),0),0)</f>
        <v>0</v>
      </c>
      <c r="EE7" s="240">
        <f t="shared" ref="EE7:EE70" si="16">IF(AND(DZ7&gt;0,EB7&gt;0),IF(AND(EA7&lt;=0,ABS(EA7)&lt;DZ7),(-1)*MIN(DZ7,DZ7-ABS(EA7),EB7),IF(AND(EA7&gt;0,EA7&lt;EB7),(-1)*MIN(DZ7,EB7-EA7),0)),0)</f>
        <v>0</v>
      </c>
      <c r="EF7" s="240">
        <f t="shared" ref="EF7:EF70" si="17">IF($D7=0,SUM(EC7:EE7),0)</f>
        <v>0</v>
      </c>
    </row>
    <row r="8" spans="1:136">
      <c r="A8" s="166">
        <v>10024</v>
      </c>
      <c r="B8" s="167" t="s">
        <v>9</v>
      </c>
      <c r="C8" s="240">
        <v>0</v>
      </c>
      <c r="D8" s="240">
        <v>1</v>
      </c>
      <c r="E8" s="150">
        <f>VLOOKUP($A8,TOCA_previous!$A$2:$AI$137,MATCH(E$4,TOCA_previous!$A$2:$AI$2,0),FALSE)</f>
        <v>2.8517399999999998E-2</v>
      </c>
      <c r="F8" s="151">
        <f>VLOOKUP($A8,TOCA_previous!$A$2:$AI$137,MATCH(F$4,TOCA_previous!$A$2:$AI$2,0),FALSE)</f>
        <v>1.4830899999999999E-2</v>
      </c>
      <c r="G8" s="151">
        <f t="shared" si="2"/>
        <v>1.3686499999999999E-2</v>
      </c>
      <c r="H8" s="151">
        <f>VLOOKUP($A8,TOCA_previous!$A$2:$AI$137,MATCH(H$4,TOCA_previous!$A$2:$AI$2,0),FALSE)</f>
        <v>0</v>
      </c>
      <c r="I8" s="151">
        <f t="shared" si="3"/>
        <v>0</v>
      </c>
      <c r="J8" s="151">
        <f t="shared" si="4"/>
        <v>0</v>
      </c>
      <c r="K8" s="226">
        <f>VLOOKUP(A8, IRD!$A$5:$C$139, 3, FALSE)</f>
        <v>312239.2</v>
      </c>
      <c r="L8" s="227">
        <f>IF($G8=0, INDEX(LS_previous!$D$4:$AY$138, MATCH('Staging Table'!$A8, LS_previous!$B$4:$B$138, 0), MATCH(L$4&amp;L$5, LS_previous!$D$2:$AY$2&amp;LS_previous!$D$3:$AY$3, 0)),SUM(VLOOKUP($A8, LS_previous!$B$4:$AY$138, LS_previous!D$149, FALSE), VLOOKUP('Staging Table'!$A8, LS_previous!$B$4:$AY$138,LS_previous!AB$149, FALSE))/2)</f>
        <v>-11726</v>
      </c>
      <c r="M8" s="227">
        <f t="array" ref="M8">IF($G8=0, INDEX(LS_previous!$D$4:$AY$138, MATCH('Staging Table'!$A8, LS_previous!$B$4:$B$138, 0), MATCH(M$4&amp;M$5, LS_previous!$D$2:$AY$2&amp;LS_previous!$D$3:$AY$3, 0)),SUM(VLOOKUP($A8, LS_previous!$B$4:$AY$138, LS_previous!E$149, FALSE), VLOOKUP('Staging Table'!$A8, LS_previous!$B$4:$AY$138,LS_previous!AC$149, FALSE))/2)</f>
        <v>962</v>
      </c>
      <c r="N8" s="227">
        <f t="array" ref="N8">IF($G8=0, INDEX(LS_previous!$D$4:$AY$138, MATCH('Staging Table'!$A8, LS_previous!$B$4:$B$138, 0), MATCH(N$4&amp;N$5, LS_previous!$D$2:$AY$2&amp;LS_previous!$D$3:$AY$3, 0)),SUM(VLOOKUP($A8, LS_previous!$B$4:$AY$138, LS_previous!F$149, FALSE), VLOOKUP('Staging Table'!$A8, LS_previous!$B$4:$AY$138,LS_previous!AD$149, FALSE))/2)</f>
        <v>-19755</v>
      </c>
      <c r="O8" s="227">
        <f t="array" ref="O8">IF($G8=0, INDEX(LS_previous!$D$4:$AY$138, MATCH('Staging Table'!$A8, LS_previous!$B$4:$B$138, 0), MATCH(O$4&amp;O$5, LS_previous!$D$2:$AY$2&amp;LS_previous!$D$3:$AY$3, 0)),SUM(VLOOKUP($A8, LS_previous!$B$4:$AY$138, LS_previous!G$149, FALSE), VLOOKUP('Staging Table'!$A8, LS_previous!$B$4:$AY$138,LS_previous!AE$149, FALSE))/2)</f>
        <v>-4184</v>
      </c>
      <c r="P8" s="227">
        <f t="array" ref="P8">IF($G8=0, INDEX(LS_previous!$D$4:$AY$138, MATCH('Staging Table'!$A8, LS_previous!$B$4:$B$138, 0), MATCH(P$4&amp;P$5, LS_previous!$D$2:$AY$2&amp;LS_previous!$D$3:$AY$3, 0)),SUM(VLOOKUP($A8, LS_previous!$B$4:$AY$138, LS_previous!H$149, FALSE), VLOOKUP('Staging Table'!$A8, LS_previous!$B$4:$AY$138,LS_previous!AF$149, FALSE))/2)</f>
        <v>-13697</v>
      </c>
      <c r="Q8" s="227">
        <f t="array" ref="Q8">IF($G8=0, INDEX(LS_previous!$D$4:$AY$138, MATCH('Staging Table'!$A8, LS_previous!$B$4:$B$138, 0), MATCH(Q$4&amp;Q$5, LS_previous!$D$2:$AY$2&amp;LS_previous!$D$3:$AY$3, 0)),SUM(VLOOKUP($A8, LS_previous!$B$4:$AY$138, LS_previous!I$149, FALSE), VLOOKUP('Staging Table'!$A8, LS_previous!$B$4:$AY$138,LS_previous!AG$149, FALSE))/2)</f>
        <v>1695</v>
      </c>
      <c r="R8" s="227">
        <f t="array" ref="R8">IF($G8=0, INDEX(LS_previous!$D$4:$AY$138, MATCH('Staging Table'!$A8, LS_previous!$B$4:$B$138, 0), MATCH(R$4&amp;R$5, LS_previous!$D$2:$AY$2&amp;LS_previous!$D$3:$AY$3, 0)),SUM(VLOOKUP($A8, LS_previous!$B$4:$AY$138, LS_previous!J$149, FALSE), VLOOKUP('Staging Table'!$A8, LS_previous!$B$4:$AY$138,LS_previous!AH$149, FALSE))/2)</f>
        <v>-311</v>
      </c>
      <c r="S8" s="227">
        <f t="array" ref="S8">IF($G8=0, INDEX(LS_previous!$D$4:$AY$138, MATCH('Staging Table'!$A8, LS_previous!$B$4:$B$138, 0), MATCH(S$4&amp;S$5, LS_previous!$D$2:$AY$2&amp;LS_previous!$D$3:$AY$3, 0)),SUM(VLOOKUP($A8, LS_previous!$B$4:$AY$138, LS_previous!K$149, FALSE), VLOOKUP('Staging Table'!$A8, LS_previous!$B$4:$AY$138,LS_previous!AI$149, FALSE))/2)</f>
        <v>7368</v>
      </c>
      <c r="T8" s="227">
        <f t="array" ref="T8">IF($G8=0, INDEX(LS_previous!$D$4:$AY$138, MATCH('Staging Table'!$A8, LS_previous!$B$4:$B$138, 0), MATCH(T$4&amp;T$5, LS_previous!$D$2:$AY$2&amp;LS_previous!$D$3:$AY$3, 0)),SUM(VLOOKUP($A8, LS_previous!$B$4:$AY$138, LS_previous!L$149, FALSE), VLOOKUP('Staging Table'!$A8, LS_previous!$B$4:$AY$138,LS_previous!AJ$149, FALSE))/2)</f>
        <v>-3395</v>
      </c>
      <c r="U8" s="227">
        <f t="array" ref="U8">IF($G8=0, INDEX(LS_previous!$D$4:$AY$138, MATCH('Staging Table'!$A8, LS_previous!$B$4:$B$138, 0), MATCH(U$4&amp;U$5, LS_previous!$D$2:$AY$2&amp;LS_previous!$D$3:$AY$3, 0)),SUM(VLOOKUP($A8, LS_previous!$B$4:$AY$138, LS_previous!M$149, FALSE), VLOOKUP('Staging Table'!$A8, LS_previous!$B$4:$AY$138,LS_previous!AK$149, FALSE))/2)</f>
        <v>3725</v>
      </c>
      <c r="V8" s="227">
        <f t="array" ref="V8">IF($G8=0, INDEX(LS_previous!$D$4:$AY$138, MATCH('Staging Table'!$A8, LS_previous!$B$4:$B$138, 0), MATCH(V$4&amp;V$5, LS_previous!$D$2:$AY$2&amp;LS_previous!$D$3:$AY$3, 0)),SUM(VLOOKUP($A8, LS_previous!$B$4:$AY$138, LS_previous!N$149, FALSE), VLOOKUP('Staging Table'!$A8, LS_previous!$B$4:$AY$138,LS_previous!AL$149, FALSE))/2)</f>
        <v>-11043</v>
      </c>
      <c r="W8" s="227">
        <f t="array" ref="W8">IF($G8=0, INDEX(LS_previous!$D$4:$AY$138, MATCH('Staging Table'!$A8, LS_previous!$B$4:$B$138, 0), MATCH(W$4&amp;W$5, LS_previous!$D$2:$AY$2&amp;LS_previous!$D$3:$AY$3, 0)),SUM(VLOOKUP($A8, LS_previous!$B$4:$AY$138, LS_previous!O$149, FALSE), VLOOKUP('Staging Table'!$A8, LS_previous!$B$4:$AY$138,LS_previous!AM$149, FALSE))/2)</f>
        <v>-679</v>
      </c>
      <c r="X8" s="227">
        <f t="array" ref="X8">IF($G8=0, INDEX(LS_previous!$D$4:$AY$138, MATCH('Staging Table'!$A8, LS_previous!$B$4:$B$138, 0), MATCH(X$4&amp;X$5, LS_previous!$D$2:$AY$2&amp;LS_previous!$D$3:$AY$3, 0)),SUM(VLOOKUP($A8, LS_previous!$B$4:$AY$138, LS_previous!P$149, FALSE), VLOOKUP('Staging Table'!$A8, LS_previous!$B$4:$AY$138,LS_previous!AN$149, FALSE))/2)</f>
        <v>-7615</v>
      </c>
      <c r="Y8" s="227">
        <f t="array" ref="Y8">IF($G8=0, INDEX(LS_previous!$D$4:$AY$138, MATCH('Staging Table'!$A8, LS_previous!$B$4:$B$138, 0), MATCH(Y$4&amp;Y$5, LS_previous!$D$2:$AY$2&amp;LS_previous!$D$3:$AY$3, 0)),SUM(VLOOKUP($A8, LS_previous!$B$4:$AY$138, LS_previous!Q$149, FALSE), VLOOKUP('Staging Table'!$A8, LS_previous!$B$4:$AY$138,LS_previous!AO$149, FALSE))/2)</f>
        <v>3292</v>
      </c>
      <c r="Z8" s="227">
        <f t="array" ref="Z8">IF($G8=0, INDEX(LS_previous!$D$4:$AY$138, MATCH('Staging Table'!$A8, LS_previous!$B$4:$B$138, 0), MATCH(Z$4&amp;Z$5, LS_previous!$D$2:$AY$2&amp;LS_previous!$D$3:$AY$3, 0)),SUM(VLOOKUP($A8, LS_previous!$B$4:$AY$138, LS_previous!R$149, FALSE), VLOOKUP('Staging Table'!$A8, LS_previous!$B$4:$AY$138,LS_previous!AP$149, FALSE))/2)</f>
        <v>-18790</v>
      </c>
      <c r="AA8" s="227">
        <f t="array" ref="AA8">IF($G8=0, INDEX(LS_previous!$D$4:$AY$138, MATCH('Staging Table'!$A8, LS_previous!$B$4:$B$138, 0), MATCH(AA$4&amp;AA$5, LS_previous!$D$2:$AY$2&amp;LS_previous!$D$3:$AY$3, 0)),SUM(VLOOKUP($A8, LS_previous!$B$4:$AY$138, LS_previous!S$149, FALSE), VLOOKUP('Staging Table'!$A8, LS_previous!$B$4:$AY$138,LS_previous!AQ$149, FALSE))/2)</f>
        <v>-922</v>
      </c>
      <c r="AB8" s="227">
        <f t="array" ref="AB8">IF($G8=0, INDEX(LS_previous!$D$4:$AY$138, MATCH('Staging Table'!$A8, LS_previous!$B$4:$B$138, 0), MATCH(AB$4&amp;AB$5, LS_previous!$D$2:$AY$2&amp;LS_previous!$D$3:$AY$3, 0)),SUM(VLOOKUP($A8, LS_previous!$B$4:$AY$138, LS_previous!T$149, FALSE), VLOOKUP('Staging Table'!$A8, LS_previous!$B$4:$AY$138,LS_previous!AR$149, FALSE))/2)</f>
        <v>1361</v>
      </c>
      <c r="AC8" s="227">
        <f t="array" ref="AC8">IF($G8=0, INDEX(LS_previous!$D$4:$AY$138, MATCH('Staging Table'!$A8, LS_previous!$B$4:$B$138, 0), MATCH(AC$4&amp;AC$5, LS_previous!$D$2:$AY$2&amp;LS_previous!$D$3:$AY$3, 0)),SUM(VLOOKUP($A8, LS_previous!$B$4:$AY$138, LS_previous!U$149, FALSE), VLOOKUP('Staging Table'!$A8, LS_previous!$B$4:$AY$138,LS_previous!AS$149, FALSE))/2)</f>
        <v>13158</v>
      </c>
      <c r="AD8" s="227">
        <f t="array" ref="AD8">IF($G8=0, INDEX(LS_previous!$D$4:$AY$138, MATCH('Staging Table'!$A8, LS_previous!$B$4:$B$138, 0), MATCH(AD$4&amp;AD$5, LS_previous!$D$2:$AY$2&amp;LS_previous!$D$3:$AY$3, 0)),SUM(VLOOKUP($A8, LS_previous!$B$4:$AY$138, LS_previous!V$149, FALSE), VLOOKUP('Staging Table'!$A8, LS_previous!$B$4:$AY$138,LS_previous!AT$149, FALSE))/2)</f>
        <v>16839</v>
      </c>
      <c r="AE8" s="227">
        <f t="array" ref="AE8">IF($G8=0, INDEX(LS_previous!$D$4:$AY$138, MATCH('Staging Table'!$A8, LS_previous!$B$4:$B$138, 0), MATCH(AE$4&amp;AE$5, LS_previous!$D$2:$AY$2&amp;LS_previous!$D$3:$AY$3, 0)),SUM(VLOOKUP($A8, LS_previous!$B$4:$AY$138, LS_previous!W$149, FALSE), VLOOKUP('Staging Table'!$A8, LS_previous!$B$4:$AY$138,LS_previous!AU$149, FALSE))/2)</f>
        <v>27069</v>
      </c>
      <c r="AF8" s="227">
        <f t="array" ref="AF8">IF($G8=0, INDEX(LS_previous!$D$4:$AY$138, MATCH('Staging Table'!$A8, LS_previous!$B$4:$B$138, 0), MATCH(AF$4&amp;AF$5, LS_previous!$D$2:$AY$2&amp;LS_previous!$D$3:$AY$3, 0)),SUM(VLOOKUP($A8, LS_previous!$B$4:$AY$138, LS_previous!X$149, FALSE), VLOOKUP('Staging Table'!$A8, LS_previous!$B$4:$AY$138,LS_previous!AV$149, FALSE))/2)</f>
        <v>5609</v>
      </c>
      <c r="AG8" s="227">
        <f t="array" ref="AG8">IF($G8=0, INDEX(LS_previous!$D$4:$AY$138, MATCH('Staging Table'!$A8, LS_previous!$B$4:$B$138, 0), MATCH(AG$4&amp;AG$5, LS_previous!$D$2:$AY$2&amp;LS_previous!$D$3:$AY$3, 0)),SUM(VLOOKUP($A8, LS_previous!$B$4:$AY$138, LS_previous!Y$149, FALSE), VLOOKUP('Staging Table'!$A8, LS_previous!$B$4:$AY$138,LS_previous!AW$149, FALSE))/2)</f>
        <v>15648</v>
      </c>
      <c r="AH8" s="227">
        <f t="array" ref="AH8">IF($G8=0, INDEX(LS_previous!$D$4:$AY$138, MATCH('Staging Table'!$A8, LS_previous!$B$4:$B$138, 0), MATCH(AH$4&amp;AH$5, LS_previous!$D$2:$AY$2&amp;LS_previous!$D$3:$AY$3, 0)),SUM(VLOOKUP($A8, LS_previous!$B$4:$AY$138, LS_previous!Z$149, FALSE), VLOOKUP('Staging Table'!$A8, LS_previous!$B$4:$AY$138,LS_previous!AX$149, FALSE))/2)</f>
        <v>-9573</v>
      </c>
      <c r="AI8" s="227">
        <f t="array" ref="AI8">IF($G8=0, INDEX(LS_previous!$D$4:$AY$138, MATCH('Staging Table'!$A8, LS_previous!$B$4:$B$138, 0), MATCH(AI$4&amp;AI$5, LS_previous!$D$2:$AY$2&amp;LS_previous!$D$3:$AY$3, 0)),SUM(VLOOKUP($A8, LS_previous!$B$4:$AY$138, LS_previous!AA$149, FALSE), VLOOKUP('Staging Table'!$A8, LS_previous!$B$4:$AY$138,LS_previous!AY$149, FALSE))/2)</f>
        <v>5333</v>
      </c>
      <c r="AJ8" s="424">
        <f t="array" ref="AJ8">INDEX(Demand_previous!$D$4:$AY$138, MATCH('Staging Table'!$A8, Demand_previous!$B$4:$B$138, 0), MATCH(AJ$4&amp;AJ$5,Demand_previous!$D$2:$AY$2&amp;Demand_previous!$D$3:$AY$3, 0))/1000</f>
        <v>0</v>
      </c>
      <c r="AK8" s="424">
        <f t="array" ref="AK8">INDEX(Demand_previous!$D$4:$AY$138, MATCH('Staging Table'!$A8, Demand_previous!$B$4:$B$138, 0), MATCH(AK$4&amp;AK$5,Demand_previous!$D$2:$AY$2&amp;Demand_previous!$D$3:$AY$3, 0))/1000</f>
        <v>0</v>
      </c>
      <c r="AL8" s="424">
        <f t="array" ref="AL8">INDEX(Demand_previous!$D$4:$AY$138, MATCH('Staging Table'!$A8, Demand_previous!$B$4:$B$138, 0), MATCH(AL$4&amp;AL$5,Demand_previous!$D$2:$AY$2&amp;Demand_previous!$D$3:$AY$3, 0))/1000</f>
        <v>0</v>
      </c>
      <c r="AM8" s="424">
        <f t="array" ref="AM8">INDEX(Demand_previous!$D$4:$AY$138, MATCH('Staging Table'!$A8, Demand_previous!$B$4:$B$138, 0), MATCH(AM$4&amp;AM$5,Demand_previous!$D$2:$AY$2&amp;Demand_previous!$D$3:$AY$3, 0))/1000</f>
        <v>0</v>
      </c>
      <c r="AN8" s="424">
        <f t="array" ref="AN8">INDEX(Demand_previous!$D$4:$AY$138, MATCH('Staging Table'!$A8, Demand_previous!$B$4:$B$138, 0), MATCH(AN$4&amp;AN$5,Demand_previous!$D$2:$AY$2&amp;Demand_previous!$D$3:$AY$3, 0))/1000</f>
        <v>0</v>
      </c>
      <c r="AO8" s="424">
        <f t="array" ref="AO8">INDEX(Demand_previous!$D$4:$AY$138, MATCH('Staging Table'!$A8, Demand_previous!$B$4:$B$138, 0), MATCH(AO$4&amp;AO$5,Demand_previous!$D$2:$AY$2&amp;Demand_previous!$D$3:$AY$3, 0))/1000</f>
        <v>0</v>
      </c>
      <c r="AP8" s="424">
        <f t="array" ref="AP8">INDEX(Demand_previous!$D$4:$AY$138, MATCH('Staging Table'!$A8, Demand_previous!$B$4:$B$138, 0), MATCH(AP$4&amp;AP$5,Demand_previous!$D$2:$AY$2&amp;Demand_previous!$D$3:$AY$3, 0))/1000</f>
        <v>0</v>
      </c>
      <c r="AQ8" s="424">
        <f t="array" ref="AQ8">INDEX(Demand_previous!$D$4:$AY$138, MATCH('Staging Table'!$A8, Demand_previous!$B$4:$B$138, 0), MATCH(AQ$4&amp;AQ$5,Demand_previous!$D$2:$AY$2&amp;Demand_previous!$D$3:$AY$3, 0))/1000</f>
        <v>0</v>
      </c>
      <c r="AR8" s="424">
        <f t="array" ref="AR8">INDEX(Demand_previous!$D$4:$AY$138, MATCH('Staging Table'!$A8, Demand_previous!$B$4:$B$138, 0), MATCH(AR$4&amp;AR$5,Demand_previous!$D$2:$AY$2&amp;Demand_previous!$D$3:$AY$3, 0))/1000</f>
        <v>0</v>
      </c>
      <c r="AS8" s="424">
        <f t="array" ref="AS8">INDEX(Demand_previous!$D$4:$AY$138, MATCH('Staging Table'!$A8, Demand_previous!$B$4:$B$138, 0), MATCH(AS$4&amp;AS$5,Demand_previous!$D$2:$AY$2&amp;Demand_previous!$D$3:$AY$3, 0))/1000</f>
        <v>0</v>
      </c>
      <c r="AT8" s="424">
        <f t="array" ref="AT8">INDEX(Demand_previous!$D$4:$AY$138, MATCH('Staging Table'!$A8, Demand_previous!$B$4:$B$138, 0), MATCH(AT$4&amp;AT$5,Demand_previous!$D$2:$AY$2&amp;Demand_previous!$D$3:$AY$3, 0))/1000</f>
        <v>0</v>
      </c>
      <c r="AU8" s="424">
        <f t="array" ref="AU8">INDEX(Demand_previous!$D$4:$AY$138, MATCH('Staging Table'!$A8, Demand_previous!$B$4:$B$138, 0), MATCH(AU$4&amp;AU$5,Demand_previous!$D$2:$AY$2&amp;Demand_previous!$D$3:$AY$3, 0))/1000</f>
        <v>0</v>
      </c>
      <c r="AV8" s="227">
        <f>$F8*(VLOOKUP(AV$4, Rates_previous!$G$6:$Q$29, 10, FALSE)+VLOOKUP(AV$4, Rates_previous!$G$6:$Q$29, 11, FALSE))</f>
        <v>69539.683970222424</v>
      </c>
      <c r="AW8" s="227">
        <f>$F8*(VLOOKUP(AW$4, Rates_previous!$G$6:$Q$29, 10, FALSE)+VLOOKUP(AW$4, Rates_previous!$G$6:$Q$29, 11, FALSE))</f>
        <v>85945.764091117089</v>
      </c>
      <c r="AX8" s="227">
        <f>$F8*(VLOOKUP(AX$4, Rates_previous!$G$6:$Q$29, 10, FALSE)+VLOOKUP(AX$4, Rates_previous!$G$6:$Q$29, 11, FALSE))</f>
        <v>84913.658260481898</v>
      </c>
      <c r="AY8" s="227">
        <f>$F8*(VLOOKUP(AY$4, Rates_previous!$G$6:$Q$29, 10, FALSE)+VLOOKUP(AY$4, Rates_previous!$G$6:$Q$29, 11, FALSE))</f>
        <v>72550.627375236436</v>
      </c>
      <c r="AZ8" s="227">
        <f>$F8*(VLOOKUP(AZ$4, Rates_previous!$G$6:$Q$29, 10, FALSE)+VLOOKUP(AZ$4, Rates_previous!$G$6:$Q$29, 11, FALSE))</f>
        <v>59477.441719219889</v>
      </c>
      <c r="BA8" s="227">
        <f>$F8*(VLOOKUP(BA$4, Rates_previous!$G$6:$Q$29, 10, FALSE)+VLOOKUP(BA$4, Rates_previous!$G$6:$Q$29, 11, FALSE))</f>
        <v>70419.130574373805</v>
      </c>
      <c r="BB8" s="227">
        <f>$F8*(VLOOKUP(BB$4, Rates_previous!$G$6:$Q$29, 10, FALSE)+VLOOKUP(BB$4, Rates_previous!$G$6:$Q$29, 11, FALSE))</f>
        <v>67683.027569434678</v>
      </c>
      <c r="BC8" s="227">
        <f>$F8*(VLOOKUP(BC$4, Rates_previous!$G$6:$Q$29, 10, FALSE)+VLOOKUP(BC$4, Rates_previous!$G$6:$Q$29, 11, FALSE))</f>
        <v>99320.05352115455</v>
      </c>
      <c r="BD8" s="227">
        <f>$F8*(VLOOKUP(BD$4, Rates_previous!$G$6:$Q$29, 10, FALSE)+VLOOKUP(BD$4, Rates_previous!$G$6:$Q$29, 11, FALSE))</f>
        <v>78360.897167178176</v>
      </c>
      <c r="BE8" s="227">
        <f>$F8*(VLOOKUP(BE$4, Rates_previous!$G$6:$Q$29, 10, FALSE)+VLOOKUP(BE$4, Rates_previous!$G$6:$Q$29, 11, FALSE))</f>
        <v>68807.444976237733</v>
      </c>
      <c r="BF8" s="227">
        <f>$F8*(VLOOKUP(BF$4, Rates_previous!$G$6:$Q$29, 10, FALSE)+VLOOKUP(BF$4, Rates_previous!$G$6:$Q$29, 11, FALSE))</f>
        <v>76206.999515830044</v>
      </c>
      <c r="BG8" s="227">
        <f>$F8*(VLOOKUP(BG$4, Rates_previous!$G$6:$Q$29, 10, FALSE)+VLOOKUP(BG$4, Rates_previous!$G$6:$Q$29, 11, FALSE))</f>
        <v>69040.51099890811</v>
      </c>
      <c r="BH8" s="229">
        <f>IF($D8=0,IF(C8=0, MAX(BK8 - (VLOOKUP($A8,TOCA_previous!$A$2:$AI$137,MATCH("RHWM 2018",TOCA_previous!$A$2:$AI$2,0),FALSE)*$F$2*TOCA_previous!C5),0),0), 0)</f>
        <v>0</v>
      </c>
      <c r="BI8" s="266">
        <f>VLOOKUP($A8,REP_previous!$A$1:$D$135,MATCH("FY "&amp;$F$1&amp; " Total Refund",REP_previous!$A$1:$D$1,0),0)</f>
        <v>2205817.9477037573</v>
      </c>
      <c r="BJ8" s="241">
        <f>MIN(VLOOKUP($A8,TOCA_previous!$A$2:$AI$137,MATCH("TRL - NLSL - Existing Resource "&amp;$F$1,TOCA_previous!$A$2:$AI$2,0),FALSE)*$F$2,(VLOOKUP($A8,TOCA_previous!$A$2:$AI$137,MATCH("RHWM 2018",TOCA_previous!$A$2:$AI$2,0),FALSE)*$F$2))</f>
        <v>1734909.24</v>
      </c>
      <c r="BK8" s="229">
        <f>SUM(L8:AI8)+(F8*RT1SC!$C$3*$F$2)</f>
        <v>902634.25290266389</v>
      </c>
      <c r="BL8" s="241">
        <f>VLOOKUP($A8,TOCA_previous!$A$2:$AI$137,MATCH("Above RHWM Not Served with LS "&amp;$F$1,TOCA_previous!$A$2:$AI$2,0),FALSE)*$F$2</f>
        <v>95107.319999999992</v>
      </c>
      <c r="BM8" s="151">
        <f t="shared" si="5"/>
        <v>-832274.9870973361</v>
      </c>
      <c r="BN8" s="242">
        <f>(VLOOKUP($A8,TOCA_previous!$A$2:$AI$137,MATCH("RHWM 2018",TOCA_previous!$A$2:$AI$2,0),FALSE)*$F$2) - $BJ8</f>
        <v>0</v>
      </c>
      <c r="BO8" s="151">
        <f t="shared" si="6"/>
        <v>0</v>
      </c>
      <c r="BP8" s="243">
        <f t="shared" si="7"/>
        <v>737167.66709733615</v>
      </c>
      <c r="BQ8" s="237">
        <f t="shared" si="8"/>
        <v>0</v>
      </c>
      <c r="BR8" s="242">
        <f t="shared" si="9"/>
        <v>0</v>
      </c>
      <c r="BS8" s="151">
        <f>VLOOKUP($A8,TOCA_current!$A$2:$AI$137,MATCH(BS$4,TOCA_current!$A$2:$AI$2,0),FALSE)</f>
        <v>2.8502199999999998E-2</v>
      </c>
      <c r="BT8" s="151">
        <f>VLOOKUP($A8,TOCA_current!$A$2:$AI$137,MATCH(BT$4,TOCA_current!$A$2:$AI$2,0),FALSE)</f>
        <v>1.4822999999999999E-2</v>
      </c>
      <c r="BU8" s="236">
        <f t="shared" si="10"/>
        <v>1.3679199999999999E-2</v>
      </c>
      <c r="BV8" s="151">
        <f>VLOOKUP($A8,TOCA_current!A4:BG139,MATCH(BV$4,TOCA_current!$A$2:$BG$2,0),FALSE)</f>
        <v>0</v>
      </c>
      <c r="BW8" s="151">
        <f t="shared" si="11"/>
        <v>0</v>
      </c>
      <c r="BX8" s="151">
        <f t="shared" si="12"/>
        <v>0</v>
      </c>
      <c r="BY8" s="226">
        <f>VLOOKUP($A8,IRD!$A$4:$G$139, 7, FALSE)</f>
        <v>312239.2</v>
      </c>
      <c r="BZ8" s="227">
        <f t="array" ref="BZ8">IF($BU8=0, INDEX(LS_current!$D$4:$AY$138, MATCH('Staging Table'!$A8, LS_current!$B$4:$B$138, 0), MATCH(BZ$4&amp;BZ$5, LS_current!$D$2:$AY$2&amp;LS_current!$D$3:$AY$3, 0)),SUM(VLOOKUP($A8, LS_current!$B$4:$AY$138, LS_current!D$148, FALSE), VLOOKUP($A8, LS_current!$B$4:$AY$138,LS_current!D$148, FALSE))/2)</f>
        <v>-10218</v>
      </c>
      <c r="CA8" s="227">
        <f t="array" ref="CA8">IF($BU8=0, INDEX(LS_current!$D$4:$AY$138, MATCH('Staging Table'!$A8, LS_current!$B$4:$B$138, 0), MATCH(CA$4&amp;CA$5, LS_current!$D$2:$AY$2&amp;LS_current!$D$3:$AY$3, 0)),SUM(VLOOKUP($A8, LS_current!$B$4:$AY$138, LS_current!E$148, FALSE), VLOOKUP($A8, LS_current!$B$4:$AY$138,LS_current!E$148, FALSE))/2)</f>
        <v>995</v>
      </c>
      <c r="CB8" s="227">
        <f t="array" ref="CB8">IF($BU8=0, INDEX(LS_current!$D$4:$AY$138, MATCH('Staging Table'!$A8, LS_current!$B$4:$B$138, 0), MATCH(CB$4&amp;CB$5, LS_current!$D$2:$AY$2&amp;LS_current!$D$3:$AY$3, 0)),SUM(VLOOKUP($A8, LS_current!$B$4:$AY$138, LS_current!F$148, FALSE), VLOOKUP($A8, LS_current!$B$4:$AY$138,LS_current!F$148, FALSE))/2)</f>
        <v>-19633</v>
      </c>
      <c r="CC8" s="227">
        <f t="array" ref="CC8">IF($BU8=0, INDEX(LS_current!$D$4:$AY$138, MATCH('Staging Table'!$A8, LS_current!$B$4:$B$138, 0), MATCH(CC$4&amp;CC$5, LS_current!$D$2:$AY$2&amp;LS_current!$D$3:$AY$3, 0)),SUM(VLOOKUP($A8, LS_current!$B$4:$AY$138, LS_current!G$148, FALSE), VLOOKUP($A8, LS_current!$B$4:$AY$138,LS_current!G$148, FALSE))/2)</f>
        <v>-4446</v>
      </c>
      <c r="CD8" s="227">
        <f t="array" ref="CD8">IF($BU8=0, INDEX(LS_current!$D$4:$AY$138, MATCH('Staging Table'!$A8, LS_current!$B$4:$B$138, 0), MATCH(CD$4&amp;CD$5, LS_current!$D$2:$AY$2&amp;LS_current!$D$3:$AY$3, 0)),SUM(VLOOKUP($A8, LS_current!$B$4:$AY$138, LS_current!H$148, FALSE), VLOOKUP($A8, LS_current!$B$4:$AY$138,LS_current!H$148, FALSE))/2)</f>
        <v>-13664</v>
      </c>
      <c r="CE8" s="227">
        <f t="array" ref="CE8">IF($BU8=0, INDEX(LS_current!$D$4:$AY$138, MATCH('Staging Table'!$A8, LS_current!$B$4:$B$138, 0), MATCH(CE$4&amp;CE$5, LS_current!$D$2:$AY$2&amp;LS_current!$D$3:$AY$3, 0)),SUM(VLOOKUP($A8, LS_current!$B$4:$AY$138, LS_current!I$148, FALSE), VLOOKUP($A8, LS_current!$B$4:$AY$138,LS_current!I$148, FALSE))/2)</f>
        <v>1568</v>
      </c>
      <c r="CF8" s="227">
        <f t="array" ref="CF8">IF($BU8=0, INDEX(LS_current!$D$4:$AY$138, MATCH('Staging Table'!$A8, LS_current!$B$4:$B$138, 0), MATCH(CF$4&amp;CF$5, LS_current!$D$2:$AY$2&amp;LS_current!$D$3:$AY$3, 0)),SUM(VLOOKUP($A8, LS_current!$B$4:$AY$138, LS_current!J$148, FALSE), VLOOKUP($A8, LS_current!$B$4:$AY$138,LS_current!J$148, FALSE))/2)</f>
        <v>-168</v>
      </c>
      <c r="CG8" s="227">
        <f t="array" ref="CG8">IF($BU8=0, INDEX(LS_current!$D$4:$AY$138, MATCH('Staging Table'!$A8, LS_current!$B$4:$B$138, 0), MATCH(CG$4&amp;CG$5, LS_current!$D$2:$AY$2&amp;LS_current!$D$3:$AY$3, 0)),SUM(VLOOKUP($A8, LS_current!$B$4:$AY$138, LS_current!K$148, FALSE), VLOOKUP($A8, LS_current!$B$4:$AY$138,LS_current!K$148, FALSE))/2)</f>
        <v>8745</v>
      </c>
      <c r="CH8" s="227">
        <f t="array" ref="CH8">IF($BU8=0, INDEX(LS_current!$D$4:$AY$138, MATCH('Staging Table'!$A8, LS_current!$B$4:$B$138, 0), MATCH(CH$4&amp;CH$5, LS_current!$D$2:$AY$2&amp;LS_current!$D$3:$AY$3, 0)),SUM(VLOOKUP($A8, LS_current!$B$4:$AY$138, LS_current!L$148, FALSE), VLOOKUP($A8, LS_current!$B$4:$AY$138,LS_current!L$148, FALSE))/2)</f>
        <v>-6362</v>
      </c>
      <c r="CI8" s="227">
        <f t="array" ref="CI8">IF($BU8=0, INDEX(LS_current!$D$4:$AY$138, MATCH('Staging Table'!$A8, LS_current!$B$4:$B$138, 0), MATCH(CI$4&amp;CI$5, LS_current!$D$2:$AY$2&amp;LS_current!$D$3:$AY$3, 0)),SUM(VLOOKUP($A8, LS_current!$B$4:$AY$138, LS_current!M$148, FALSE), VLOOKUP($A8, LS_current!$B$4:$AY$138,LS_current!M$148, FALSE))/2)</f>
        <v>1634</v>
      </c>
      <c r="CJ8" s="227">
        <f t="array" ref="CJ8">IF($BU8=0, INDEX(LS_current!$D$4:$AY$138, MATCH('Staging Table'!$A8, LS_current!$B$4:$B$138, 0), MATCH(CJ$4&amp;CJ$5, LS_current!$D$2:$AY$2&amp;LS_current!$D$3:$AY$3, 0)),SUM(VLOOKUP($A8, LS_current!$B$4:$AY$138, LS_current!N$148, FALSE), VLOOKUP($A8, LS_current!$B$4:$AY$138,LS_current!N$148, FALSE))/2)</f>
        <v>-12714</v>
      </c>
      <c r="CK8" s="227">
        <f t="array" ref="CK8">IF($BU8=0, INDEX(LS_current!$D$4:$AY$138, MATCH('Staging Table'!$A8, LS_current!$B$4:$B$138, 0), MATCH(CK$4&amp;CK$5, LS_current!$D$2:$AY$2&amp;LS_current!$D$3:$AY$3, 0)),SUM(VLOOKUP($A8, LS_current!$B$4:$AY$138, LS_current!O$148, FALSE), VLOOKUP($A8, LS_current!$B$4:$AY$138,LS_current!O$148, FALSE))/2)</f>
        <v>-210</v>
      </c>
      <c r="CL8" s="227">
        <f t="array" ref="CL8">IF($BU8=0, INDEX(LS_current!$D$4:$AY$138, MATCH('Staging Table'!$A8, LS_current!$B$4:$B$138, 0), MATCH(CL$4&amp;CL$5, LS_current!$D$2:$AY$2&amp;LS_current!$D$3:$AY$3, 0)),SUM(VLOOKUP($A8, LS_current!$B$4:$AY$138, LS_current!P$148, FALSE), VLOOKUP($A8, LS_current!$B$4:$AY$138,LS_current!P$148, FALSE))/2)</f>
        <v>-114</v>
      </c>
      <c r="CM8" s="227">
        <f t="array" ref="CM8">IF($BU8=0, INDEX(LS_current!$D$4:$AY$138, MATCH('Staging Table'!$A8, LS_current!$B$4:$B$138, 0), MATCH(CM$4&amp;CM$5, LS_current!$D$2:$AY$2&amp;LS_current!$D$3:$AY$3, 0)),SUM(VLOOKUP($A8, LS_current!$B$4:$AY$138, LS_current!Q$148, FALSE), VLOOKUP($A8, LS_current!$B$4:$AY$138,LS_current!Q$148, FALSE))/2)</f>
        <v>5149</v>
      </c>
      <c r="CN8" s="227">
        <f t="array" ref="CN8">IF($BU8=0, INDEX(LS_current!$D$4:$AY$138, MATCH('Staging Table'!$A8, LS_current!$B$4:$B$138, 0), MATCH(CN$4&amp;CN$5, LS_current!$D$2:$AY$2&amp;LS_current!$D$3:$AY$3, 0)),SUM(VLOOKUP($A8, LS_current!$B$4:$AY$138, LS_current!R$148, FALSE), VLOOKUP($A8, LS_current!$B$4:$AY$138,LS_current!R$148, FALSE))/2)</f>
        <v>-8303</v>
      </c>
      <c r="CO8" s="227">
        <f t="array" ref="CO8">IF($BU8=0, INDEX(LS_current!$D$4:$AY$138, MATCH('Staging Table'!$A8, LS_current!$B$4:$B$138, 0), MATCH(CO$4&amp;CO$5, LS_current!$D$2:$AY$2&amp;LS_current!$D$3:$AY$3, 0)),SUM(VLOOKUP($A8, LS_current!$B$4:$AY$138, LS_current!S$148, FALSE), VLOOKUP($A8, LS_current!$B$4:$AY$138,LS_current!S$148, FALSE))/2)</f>
        <v>9257</v>
      </c>
      <c r="CP8" s="227">
        <f t="array" ref="CP8">IF($BU8=0, INDEX(LS_current!$D$4:$AY$138, MATCH('Staging Table'!$A8, LS_current!$B$4:$B$138, 0), MATCH(CP$4&amp;CP$5, LS_current!$D$2:$AY$2&amp;LS_current!$D$3:$AY$3, 0)),SUM(VLOOKUP($A8, LS_current!$B$4:$AY$138, LS_current!T$148, FALSE), VLOOKUP($A8, LS_current!$B$4:$AY$138,LS_current!T$148, FALSE))/2)</f>
        <v>-11382</v>
      </c>
      <c r="CQ8" s="227">
        <f t="array" ref="CQ8">IF($BU8=0, INDEX(LS_current!$D$4:$AY$138, MATCH('Staging Table'!$A8, LS_current!$B$4:$B$138, 0), MATCH(CQ$4&amp;CQ$5, LS_current!$D$2:$AY$2&amp;LS_current!$D$3:$AY$3, 0)),SUM(VLOOKUP($A8, LS_current!$B$4:$AY$138, LS_current!U$148, FALSE), VLOOKUP($A8, LS_current!$B$4:$AY$138,LS_current!U$148, FALSE))/2)</f>
        <v>4143</v>
      </c>
      <c r="CR8" s="227">
        <f t="array" ref="CR8">IF($BU8=0, INDEX(LS_current!$D$4:$AY$138, MATCH('Staging Table'!$A8, LS_current!$B$4:$B$138, 0), MATCH(CR$4&amp;CR$5, LS_current!$D$2:$AY$2&amp;LS_current!$D$3:$AY$3, 0)),SUM(VLOOKUP($A8, LS_current!$B$4:$AY$138, LS_current!V$148, FALSE), VLOOKUP($A8, LS_current!$B$4:$AY$138,LS_current!V$148, FALSE))/2)</f>
        <v>9124</v>
      </c>
      <c r="CS8" s="227">
        <f t="array" ref="CS8">IF($BU8=0, INDEX(LS_current!$D$4:$AY$138, MATCH('Staging Table'!$A8, LS_current!$B$4:$B$138, 0), MATCH(CS$4&amp;CS$5, LS_current!$D$2:$AY$2&amp;LS_current!$D$3:$AY$3, 0)),SUM(VLOOKUP($A8, LS_current!$B$4:$AY$138, LS_current!W$148, FALSE), VLOOKUP($A8, LS_current!$B$4:$AY$138,LS_current!W$148, FALSE))/2)</f>
        <v>25511</v>
      </c>
      <c r="CT8" s="227">
        <f t="array" ref="CT8">IF($BU8=0, INDEX(LS_current!$D$4:$AY$138, MATCH('Staging Table'!$A8, LS_current!$B$4:$B$138, 0), MATCH(CT$4&amp;CT$5, LS_current!$D$2:$AY$2&amp;LS_current!$D$3:$AY$3, 0)),SUM(VLOOKUP($A8, LS_current!$B$4:$AY$138, LS_current!X$148, FALSE), VLOOKUP($A8, LS_current!$B$4:$AY$138,LS_current!X$148, FALSE))/2)</f>
        <v>2132</v>
      </c>
      <c r="CU8" s="227">
        <f t="array" ref="CU8">IF($BU8=0, INDEX(LS_current!$D$4:$AY$138, MATCH('Staging Table'!$A8, LS_current!$B$4:$B$138, 0), MATCH(CU$4&amp;CU$5, LS_current!$D$2:$AY$2&amp;LS_current!$D$3:$AY$3, 0)),SUM(VLOOKUP($A8, LS_current!$B$4:$AY$138, LS_current!Y$148, FALSE), VLOOKUP($A8, LS_current!$B$4:$AY$138,LS_current!Y$148, FALSE))/2)</f>
        <v>19091</v>
      </c>
      <c r="CV8" s="227">
        <f t="array" ref="CV8">IF($BU8=0, INDEX(LS_current!$D$4:$AY$138, MATCH('Staging Table'!$A8, LS_current!$B$4:$B$138, 0), MATCH(CV$4&amp;CV$5, LS_current!$D$2:$AY$2&amp;LS_current!$D$3:$AY$3, 0)),SUM(VLOOKUP($A8, LS_current!$B$4:$AY$138, LS_current!Z$148, FALSE), VLOOKUP($A8, LS_current!$B$4:$AY$138,LS_current!Z$148, FALSE))/2)</f>
        <v>-7928</v>
      </c>
      <c r="CW8" s="227">
        <f t="array" ref="CW8">IF($BU8=0, INDEX(LS_current!$D$4:$AY$138, MATCH('Staging Table'!$A8, LS_current!$B$4:$B$138, 0), MATCH(CW$4&amp;CW$5, LS_current!$D$2:$AY$2&amp;LS_current!$D$3:$AY$3, 0)),SUM(VLOOKUP($A8, LS_current!$B$4:$AY$138, LS_current!AA$148, FALSE), VLOOKUP($A8, LS_current!$B$4:$AY$138,LS_current!AA$148, FALSE))/2)</f>
        <v>4240</v>
      </c>
      <c r="CX8" s="229">
        <f t="array" ref="CX8">INDEX(Demand_current!$D$4:$AY$138, MATCH($A8, Demand_current!$B$4:$B$138, 0), MATCH(CX$4&amp;CX$5,Demand_current!$D$2:$AY$2&amp;Demand_current!$D$3:$AY$3, 0))/1000</f>
        <v>0</v>
      </c>
      <c r="CY8" s="229">
        <f t="array" ref="CY8">INDEX(Demand_current!$D$4:$AY$138, MATCH($A8, Demand_current!$B$4:$B$138, 0), MATCH(CY$4&amp;CY$5,Demand_current!$D$2:$AY$2&amp;Demand_current!$D$3:$AY$3, 0))/1000</f>
        <v>0</v>
      </c>
      <c r="CZ8" s="229">
        <f t="array" ref="CZ8">INDEX(Demand_current!$D$4:$AY$138, MATCH($A8, Demand_current!$B$4:$B$138, 0), MATCH(CZ$4&amp;CZ$5,Demand_current!$D$2:$AY$2&amp;Demand_current!$D$3:$AY$3, 0))/1000</f>
        <v>0</v>
      </c>
      <c r="DA8" s="229">
        <f t="array" ref="DA8">INDEX(Demand_current!$D$4:$AY$138, MATCH($A8, Demand_current!$B$4:$B$138, 0), MATCH(DA$4&amp;DA$5,Demand_current!$D$2:$AY$2&amp;Demand_current!$D$3:$AY$3, 0))/1000</f>
        <v>0</v>
      </c>
      <c r="DB8" s="229">
        <f t="array" ref="DB8">INDEX(Demand_current!$D$4:$AY$138, MATCH($A8, Demand_current!$B$4:$B$138, 0), MATCH(DB$4&amp;DB$5,Demand_current!$D$2:$AY$2&amp;Demand_current!$D$3:$AY$3, 0))/1000</f>
        <v>0</v>
      </c>
      <c r="DC8" s="229">
        <f t="array" ref="DC8">INDEX(Demand_current!$D$4:$AY$138, MATCH($A8, Demand_current!$B$4:$B$138, 0), MATCH(DC$4&amp;DC$5,Demand_current!$D$2:$AY$2&amp;Demand_current!$D$3:$AY$3, 0))/1000</f>
        <v>0</v>
      </c>
      <c r="DD8" s="229">
        <f t="array" ref="DD8">INDEX(Demand_current!$D$4:$AY$138, MATCH($A8, Demand_current!$B$4:$B$138, 0), MATCH(DD$4&amp;DD$5,Demand_current!$D$2:$AY$2&amp;Demand_current!$D$3:$AY$3, 0))/1000</f>
        <v>0</v>
      </c>
      <c r="DE8" s="229">
        <f t="array" ref="DE8">INDEX(Demand_current!$D$4:$AY$138, MATCH($A8, Demand_current!$B$4:$B$138, 0), MATCH(DE$4&amp;DE$5,Demand_current!$D$2:$AY$2&amp;Demand_current!$D$3:$AY$3, 0))/1000</f>
        <v>0</v>
      </c>
      <c r="DF8" s="229">
        <f t="array" ref="DF8">INDEX(Demand_current!$D$4:$AY$138, MATCH($A8, Demand_current!$B$4:$B$138, 0), MATCH(DF$4&amp;DF$5,Demand_current!$D$2:$AY$2&amp;Demand_current!$D$3:$AY$3, 0))/1000</f>
        <v>0</v>
      </c>
      <c r="DG8" s="229">
        <f t="array" ref="DG8">INDEX(Demand_current!$D$4:$AY$138, MATCH($A8, Demand_current!$B$4:$B$138, 0), MATCH(DG$4&amp;DG$5,Demand_current!$D$2:$AY$2&amp;Demand_current!$D$3:$AY$3, 0))/1000</f>
        <v>0</v>
      </c>
      <c r="DH8" s="229">
        <f t="array" ref="DH8">INDEX(Demand_current!$D$4:$AY$138, MATCH($A8, Demand_current!$B$4:$B$138, 0), MATCH(DH$4&amp;DH$5,Demand_current!$D$2:$AY$2&amp;Demand_current!$D$3:$AY$3, 0))/1000</f>
        <v>0</v>
      </c>
      <c r="DI8" s="229">
        <f t="array" ref="DI8">INDEX(Demand_current!$D$4:$AY$138, MATCH($A8, Demand_current!$B$4:$B$138, 0), MATCH(DI$4&amp;DI$5,Demand_current!$D$2:$AY$2&amp;Demand_current!$D$3:$AY$3, 0))/1000</f>
        <v>0</v>
      </c>
      <c r="DJ8" s="227">
        <f>$BT8*(VLOOKUP(DJ$4, Rates_current!$G$6:$Q$29, 10, FALSE)+VLOOKUP(DJ$4, Rates_current!$G$6:$Q$29, 11, FALSE))</f>
        <v>68442.492796307997</v>
      </c>
      <c r="DK8" s="227">
        <f>$BT8*(VLOOKUP(DK$4, Rates_current!$G$6:$Q$29, 10, FALSE)+VLOOKUP(DK$4, Rates_current!$G$6:$Q$29, 11, FALSE))</f>
        <v>86943.316901696991</v>
      </c>
      <c r="DL8" s="227">
        <f>$BT8*(VLOOKUP(DL$4, Rates_current!$G$6:$Q$29, 10, FALSE)+VLOOKUP(DL$4, Rates_current!$G$6:$Q$29, 11, FALSE))</f>
        <v>85893.358705307997</v>
      </c>
      <c r="DM8" s="227">
        <f>$BT8*(VLOOKUP(DM$4, Rates_current!$G$6:$Q$29, 10, FALSE)+VLOOKUP(DM$4, Rates_current!$G$6:$Q$29, 11, FALSE))</f>
        <v>71597.346001308004</v>
      </c>
      <c r="DN8" s="227">
        <f>$BT8*(VLOOKUP(DN$4, Rates_current!$G$6:$Q$29, 10, FALSE)+VLOOKUP(DN$4, Rates_current!$G$6:$Q$29, 11, FALSE))</f>
        <v>64859.767826399991</v>
      </c>
      <c r="DO8" s="227">
        <f>$BT8*(VLOOKUP(DO$4, Rates_current!$G$6:$Q$29, 10, FALSE)+VLOOKUP(DO$4, Rates_current!$G$6:$Q$29, 11, FALSE))</f>
        <v>72144.666614150992</v>
      </c>
      <c r="DP8" s="227">
        <f>$BT8*(VLOOKUP(DP$4, Rates_current!$G$6:$Q$29, 10, FALSE)+VLOOKUP(DP$4, Rates_current!$G$6:$Q$29, 11, FALSE))</f>
        <v>58740.265409039996</v>
      </c>
      <c r="DQ8" s="227">
        <f>$BT8*(VLOOKUP(DQ$4, Rates_current!$G$6:$Q$29, 10, FALSE)+VLOOKUP(DQ$4, Rates_current!$G$6:$Q$29, 11, FALSE))</f>
        <v>79220.007047808002</v>
      </c>
      <c r="DR8" s="227">
        <f>$BT8*(VLOOKUP(DR$4, Rates_current!$G$6:$Q$29, 10, FALSE)+VLOOKUP(DR$4, Rates_current!$G$6:$Q$29, 11, FALSE))</f>
        <v>101079.34112754</v>
      </c>
      <c r="DS8" s="227">
        <f>$BT8*(VLOOKUP(DS$4, Rates_current!$G$6:$Q$29, 10, FALSE)+VLOOKUP(DS$4, Rates_current!$G$6:$Q$29, 11, FALSE))</f>
        <v>79249.408468308</v>
      </c>
      <c r="DT8" s="227">
        <f>$BT8*(VLOOKUP(DT$4, Rates_current!$G$6:$Q$29, 10, FALSE)+VLOOKUP(DT$4, Rates_current!$G$6:$Q$29, 11, FALSE))</f>
        <v>77173.143446807997</v>
      </c>
      <c r="DU8" s="227">
        <f>$BT8*(VLOOKUP(DU$4, Rates_current!$G$6:$Q$29, 10, FALSE)+VLOOKUP(DU$4, Rates_current!$G$6:$Q$29, 11, FALSE))</f>
        <v>69285.06597204</v>
      </c>
      <c r="DV8" s="229">
        <f>IF(D8=0,IF(C8=0,MAX(0,DY8 - (VLOOKUP($A8,TOCA_current!$A$2:$AI$137,MATCH("RHWM 2020",TOCA_current!$A$2:$AI$2,0),FALSE)*$BT$2)), 0),0)</f>
        <v>0</v>
      </c>
      <c r="DW8" s="266">
        <f>VLOOKUP($A8,REP_current!$A$1:$D$135,MATCH("FY "&amp;$BT$1&amp; " Total Refund",REP_current!$A$1:$D$1,0),0)</f>
        <v>0</v>
      </c>
      <c r="DX8" s="295">
        <f>MIN(VLOOKUP($A8,TOCA_current!$A$2:$AI$137,MATCH("TRL - NLSL - Existing Resource "&amp;$BT$1,TOCA_current!$A$2:$AI$2,0),FALSE)*$BT$2, VLOOKUP($A8,TOCA_current!$A$2:$AI$137,MATCH("RHWM 2020",TOCA_current!$A$2:$AI$2,0),FALSE)*$BT$2)</f>
        <v>1758679.7760000001</v>
      </c>
      <c r="DY8" s="240">
        <f>SUM(BZ8:CW8)+(BT8*RT1SC!$C$4*$BT$2)</f>
        <v>911075.21464678389</v>
      </c>
      <c r="DZ8" s="271">
        <f>VLOOKUP($A8,TOCA_current!$A$2:$AI$137,MATCH("Above RHWM Not Served with LS "&amp;$BT$1,TOCA_current!$A$2:$AI$2,0),FALSE)*$BT$2</f>
        <v>47916.72</v>
      </c>
      <c r="EA8" s="244">
        <f t="shared" si="13"/>
        <v>-847604.56135321618</v>
      </c>
      <c r="EB8" s="295">
        <f>(VLOOKUP($A8,TOCA_current!$A$2:$AI$137,MATCH("RHWM 2020",TOCA_current!$A$2:$AI$2,0),FALSE)*$BT$2) - $DX8</f>
        <v>0</v>
      </c>
      <c r="EC8" s="240">
        <f t="shared" si="14"/>
        <v>0</v>
      </c>
      <c r="ED8" s="240">
        <f t="shared" si="15"/>
        <v>799687.84135321621</v>
      </c>
      <c r="EE8" s="240">
        <f t="shared" si="16"/>
        <v>0</v>
      </c>
      <c r="EF8" s="240">
        <f t="shared" si="17"/>
        <v>0</v>
      </c>
    </row>
    <row r="9" spans="1:136">
      <c r="A9" s="166">
        <v>10025</v>
      </c>
      <c r="B9" s="167" t="s">
        <v>10</v>
      </c>
      <c r="C9" s="240">
        <v>0</v>
      </c>
      <c r="D9" s="240">
        <v>0</v>
      </c>
      <c r="E9" s="150">
        <f>VLOOKUP($A9,TOCA_previous!$A$2:$AI$137,MATCH(E$4,TOCA_previous!$A$2:$AI$2,0),FALSE)</f>
        <v>8.4525999999999994E-3</v>
      </c>
      <c r="F9" s="151">
        <f>VLOOKUP($A9,TOCA_previous!$A$2:$AI$137,MATCH(F$4,TOCA_previous!$A$2:$AI$2,0),FALSE)</f>
        <v>8.4525999999999994E-3</v>
      </c>
      <c r="G9" s="151">
        <f t="shared" si="2"/>
        <v>0</v>
      </c>
      <c r="H9" s="151">
        <f>VLOOKUP($A9,TOCA_previous!$A$2:$AI$137,MATCH(H$4,TOCA_previous!$A$2:$AI$2,0),FALSE)</f>
        <v>6.6141900000000003E-2</v>
      </c>
      <c r="I9" s="151">
        <f t="shared" si="3"/>
        <v>0</v>
      </c>
      <c r="J9" s="151">
        <f t="shared" si="4"/>
        <v>0</v>
      </c>
      <c r="K9" s="226">
        <f>VLOOKUP(A9, IRD!$A$5:$C$139, 3, FALSE)</f>
        <v>82900.857000000004</v>
      </c>
      <c r="L9" s="227">
        <f t="array" ref="L9">IF($G9=0, INDEX(LS_previous!$D$4:$AY$138, MATCH('Staging Table'!$A9, LS_previous!$B$4:$B$138, 0), MATCH(L$4&amp;L$5, LS_previous!$D$2:$AY$2&amp;LS_previous!$D$3:$AY$3, 0)),SUM(VLOOKUP($A9, LS_previous!$B$4:$AY$138, LS_previous!D$149, FALSE), VLOOKUP('Staging Table'!$A9, LS_previous!$B$4:$AY$138,LS_previous!AB$149, FALSE))/2)</f>
        <v>-1300</v>
      </c>
      <c r="M9" s="227">
        <f t="array" ref="M9">IF($G9=0, INDEX(LS_previous!$D$4:$AY$138, MATCH('Staging Table'!$A9, LS_previous!$B$4:$B$138, 0), MATCH(M$4&amp;M$5, LS_previous!$D$2:$AY$2&amp;LS_previous!$D$3:$AY$3, 0)),SUM(VLOOKUP($A9, LS_previous!$B$4:$AY$138, LS_previous!E$149, FALSE), VLOOKUP('Staging Table'!$A9, LS_previous!$B$4:$AY$138,LS_previous!AC$149, FALSE))/2)</f>
        <v>1447</v>
      </c>
      <c r="N9" s="227">
        <f t="array" ref="N9">IF($G9=0, INDEX(LS_previous!$D$4:$AY$138, MATCH('Staging Table'!$A9, LS_previous!$B$4:$B$138, 0), MATCH(N$4&amp;N$5, LS_previous!$D$2:$AY$2&amp;LS_previous!$D$3:$AY$3, 0)),SUM(VLOOKUP($A9, LS_previous!$B$4:$AY$138, LS_previous!F$149, FALSE), VLOOKUP('Staging Table'!$A9, LS_previous!$B$4:$AY$138,LS_previous!AD$149, FALSE))/2)</f>
        <v>-10170</v>
      </c>
      <c r="O9" s="227">
        <f t="array" ref="O9">IF($G9=0, INDEX(LS_previous!$D$4:$AY$138, MATCH('Staging Table'!$A9, LS_previous!$B$4:$B$138, 0), MATCH(O$4&amp;O$5, LS_previous!$D$2:$AY$2&amp;LS_previous!$D$3:$AY$3, 0)),SUM(VLOOKUP($A9, LS_previous!$B$4:$AY$138, LS_previous!G$149, FALSE), VLOOKUP('Staging Table'!$A9, LS_previous!$B$4:$AY$138,LS_previous!AE$149, FALSE))/2)</f>
        <v>-2693</v>
      </c>
      <c r="P9" s="227">
        <f t="array" ref="P9">IF($G9=0, INDEX(LS_previous!$D$4:$AY$138, MATCH('Staging Table'!$A9, LS_previous!$B$4:$B$138, 0), MATCH(P$4&amp;P$5, LS_previous!$D$2:$AY$2&amp;LS_previous!$D$3:$AY$3, 0)),SUM(VLOOKUP($A9, LS_previous!$B$4:$AY$138, LS_previous!H$149, FALSE), VLOOKUP('Staging Table'!$A9, LS_previous!$B$4:$AY$138,LS_previous!AF$149, FALSE))/2)</f>
        <v>-5308</v>
      </c>
      <c r="Q9" s="227">
        <f t="array" ref="Q9">IF($G9=0, INDEX(LS_previous!$D$4:$AY$138, MATCH('Staging Table'!$A9, LS_previous!$B$4:$B$138, 0), MATCH(Q$4&amp;Q$5, LS_previous!$D$2:$AY$2&amp;LS_previous!$D$3:$AY$3, 0)),SUM(VLOOKUP($A9, LS_previous!$B$4:$AY$138, LS_previous!I$149, FALSE), VLOOKUP('Staging Table'!$A9, LS_previous!$B$4:$AY$138,LS_previous!AG$149, FALSE))/2)</f>
        <v>1934</v>
      </c>
      <c r="R9" s="227">
        <f t="array" ref="R9">IF($G9=0, INDEX(LS_previous!$D$4:$AY$138, MATCH('Staging Table'!$A9, LS_previous!$B$4:$B$138, 0), MATCH(R$4&amp;R$5, LS_previous!$D$2:$AY$2&amp;LS_previous!$D$3:$AY$3, 0)),SUM(VLOOKUP($A9, LS_previous!$B$4:$AY$138, LS_previous!J$149, FALSE), VLOOKUP('Staging Table'!$A9, LS_previous!$B$4:$AY$138,LS_previous!AH$149, FALSE))/2)</f>
        <v>-294</v>
      </c>
      <c r="S9" s="227">
        <f t="array" ref="S9">IF($G9=0, INDEX(LS_previous!$D$4:$AY$138, MATCH('Staging Table'!$A9, LS_previous!$B$4:$B$138, 0), MATCH(S$4&amp;S$5, LS_previous!$D$2:$AY$2&amp;LS_previous!$D$3:$AY$3, 0)),SUM(VLOOKUP($A9, LS_previous!$B$4:$AY$138, LS_previous!K$149, FALSE), VLOOKUP('Staging Table'!$A9, LS_previous!$B$4:$AY$138,LS_previous!AI$149, FALSE))/2)</f>
        <v>2426</v>
      </c>
      <c r="T9" s="227">
        <f t="array" ref="T9">IF($G9=0, INDEX(LS_previous!$D$4:$AY$138, MATCH('Staging Table'!$A9, LS_previous!$B$4:$B$138, 0), MATCH(T$4&amp;T$5, LS_previous!$D$2:$AY$2&amp;LS_previous!$D$3:$AY$3, 0)),SUM(VLOOKUP($A9, LS_previous!$B$4:$AY$138, LS_previous!L$149, FALSE), VLOOKUP('Staging Table'!$A9, LS_previous!$B$4:$AY$138,LS_previous!AJ$149, FALSE))/2)</f>
        <v>-670</v>
      </c>
      <c r="U9" s="227">
        <f t="array" ref="U9">IF($G9=0, INDEX(LS_previous!$D$4:$AY$138, MATCH('Staging Table'!$A9, LS_previous!$B$4:$B$138, 0), MATCH(U$4&amp;U$5, LS_previous!$D$2:$AY$2&amp;LS_previous!$D$3:$AY$3, 0)),SUM(VLOOKUP($A9, LS_previous!$B$4:$AY$138, LS_previous!M$149, FALSE), VLOOKUP('Staging Table'!$A9, LS_previous!$B$4:$AY$138,LS_previous!AK$149, FALSE))/2)</f>
        <v>1636</v>
      </c>
      <c r="V9" s="227">
        <f t="array" ref="V9">IF($G9=0, INDEX(LS_previous!$D$4:$AY$138, MATCH('Staging Table'!$A9, LS_previous!$B$4:$B$138, 0), MATCH(V$4&amp;V$5, LS_previous!$D$2:$AY$2&amp;LS_previous!$D$3:$AY$3, 0)),SUM(VLOOKUP($A9, LS_previous!$B$4:$AY$138, LS_previous!N$149, FALSE), VLOOKUP('Staging Table'!$A9, LS_previous!$B$4:$AY$138,LS_previous!AL$149, FALSE))/2)</f>
        <v>-7634</v>
      </c>
      <c r="W9" s="227">
        <f t="array" ref="W9">IF($G9=0, INDEX(LS_previous!$D$4:$AY$138, MATCH('Staging Table'!$A9, LS_previous!$B$4:$B$138, 0), MATCH(W$4&amp;W$5, LS_previous!$D$2:$AY$2&amp;LS_previous!$D$3:$AY$3, 0)),SUM(VLOOKUP($A9, LS_previous!$B$4:$AY$138, LS_previous!O$149, FALSE), VLOOKUP('Staging Table'!$A9, LS_previous!$B$4:$AY$138,LS_previous!AM$149, FALSE))/2)</f>
        <v>-1800</v>
      </c>
      <c r="X9" s="227">
        <f t="array" ref="X9">IF($G9=0, INDEX(LS_previous!$D$4:$AY$138, MATCH('Staging Table'!$A9, LS_previous!$B$4:$B$138, 0), MATCH(X$4&amp;X$5, LS_previous!$D$2:$AY$2&amp;LS_previous!$D$3:$AY$3, 0)),SUM(VLOOKUP($A9, LS_previous!$B$4:$AY$138, LS_previous!P$149, FALSE), VLOOKUP('Staging Table'!$A9, LS_previous!$B$4:$AY$138,LS_previous!AN$149, FALSE))/2)</f>
        <v>-2258</v>
      </c>
      <c r="Y9" s="227">
        <f t="array" ref="Y9">IF($G9=0, INDEX(LS_previous!$D$4:$AY$138, MATCH('Staging Table'!$A9, LS_previous!$B$4:$B$138, 0), MATCH(Y$4&amp;Y$5, LS_previous!$D$2:$AY$2&amp;LS_previous!$D$3:$AY$3, 0)),SUM(VLOOKUP($A9, LS_previous!$B$4:$AY$138, LS_previous!Q$149, FALSE), VLOOKUP('Staging Table'!$A9, LS_previous!$B$4:$AY$138,LS_previous!AO$149, FALSE))/2)</f>
        <v>722</v>
      </c>
      <c r="Z9" s="227">
        <f t="array" ref="Z9">IF($G9=0, INDEX(LS_previous!$D$4:$AY$138, MATCH('Staging Table'!$A9, LS_previous!$B$4:$B$138, 0), MATCH(Z$4&amp;Z$5, LS_previous!$D$2:$AY$2&amp;LS_previous!$D$3:$AY$3, 0)),SUM(VLOOKUP($A9, LS_previous!$B$4:$AY$138, LS_previous!R$149, FALSE), VLOOKUP('Staging Table'!$A9, LS_previous!$B$4:$AY$138,LS_previous!AP$149, FALSE))/2)</f>
        <v>-9109</v>
      </c>
      <c r="AA9" s="227">
        <f t="array" ref="AA9">IF($G9=0, INDEX(LS_previous!$D$4:$AY$138, MATCH('Staging Table'!$A9, LS_previous!$B$4:$B$138, 0), MATCH(AA$4&amp;AA$5, LS_previous!$D$2:$AY$2&amp;LS_previous!$D$3:$AY$3, 0)),SUM(VLOOKUP($A9, LS_previous!$B$4:$AY$138, LS_previous!S$149, FALSE), VLOOKUP('Staging Table'!$A9, LS_previous!$B$4:$AY$138,LS_previous!AQ$149, FALSE))/2)</f>
        <v>-2334</v>
      </c>
      <c r="AB9" s="227">
        <f t="array" ref="AB9">IF($G9=0, INDEX(LS_previous!$D$4:$AY$138, MATCH('Staging Table'!$A9, LS_previous!$B$4:$B$138, 0), MATCH(AB$4&amp;AB$5, LS_previous!$D$2:$AY$2&amp;LS_previous!$D$3:$AY$3, 0)),SUM(VLOOKUP($A9, LS_previous!$B$4:$AY$138, LS_previous!T$149, FALSE), VLOOKUP('Staging Table'!$A9, LS_previous!$B$4:$AY$138,LS_previous!AR$149, FALSE))/2)</f>
        <v>-252</v>
      </c>
      <c r="AC9" s="227">
        <f t="array" ref="AC9">IF($G9=0, INDEX(LS_previous!$D$4:$AY$138, MATCH('Staging Table'!$A9, LS_previous!$B$4:$B$138, 0), MATCH(AC$4&amp;AC$5, LS_previous!$D$2:$AY$2&amp;LS_previous!$D$3:$AY$3, 0)),SUM(VLOOKUP($A9, LS_previous!$B$4:$AY$138, LS_previous!U$149, FALSE), VLOOKUP('Staging Table'!$A9, LS_previous!$B$4:$AY$138,LS_previous!AS$149, FALSE))/2)</f>
        <v>4951</v>
      </c>
      <c r="AD9" s="227">
        <f t="array" ref="AD9">IF($G9=0, INDEX(LS_previous!$D$4:$AY$138, MATCH('Staging Table'!$A9, LS_previous!$B$4:$B$138, 0), MATCH(AD$4&amp;AD$5, LS_previous!$D$2:$AY$2&amp;LS_previous!$D$3:$AY$3, 0)),SUM(VLOOKUP($A9, LS_previous!$B$4:$AY$138, LS_previous!V$149, FALSE), VLOOKUP('Staging Table'!$A9, LS_previous!$B$4:$AY$138,LS_previous!AT$149, FALSE))/2)</f>
        <v>13268</v>
      </c>
      <c r="AE9" s="227">
        <f t="array" ref="AE9">IF($G9=0, INDEX(LS_previous!$D$4:$AY$138, MATCH('Staging Table'!$A9, LS_previous!$B$4:$B$138, 0), MATCH(AE$4&amp;AE$5, LS_previous!$D$2:$AY$2&amp;LS_previous!$D$3:$AY$3, 0)),SUM(VLOOKUP($A9, LS_previous!$B$4:$AY$138, LS_previous!W$149, FALSE), VLOOKUP('Staging Table'!$A9, LS_previous!$B$4:$AY$138,LS_previous!AU$149, FALSE))/2)</f>
        <v>12180</v>
      </c>
      <c r="AF9" s="227">
        <f t="array" ref="AF9">IF($G9=0, INDEX(LS_previous!$D$4:$AY$138, MATCH('Staging Table'!$A9, LS_previous!$B$4:$B$138, 0), MATCH(AF$4&amp;AF$5, LS_previous!$D$2:$AY$2&amp;LS_previous!$D$3:$AY$3, 0)),SUM(VLOOKUP($A9, LS_previous!$B$4:$AY$138, LS_previous!X$149, FALSE), VLOOKUP('Staging Table'!$A9, LS_previous!$B$4:$AY$138,LS_previous!AV$149, FALSE))/2)</f>
        <v>8872</v>
      </c>
      <c r="AG9" s="227">
        <f t="array" ref="AG9">IF($G9=0, INDEX(LS_previous!$D$4:$AY$138, MATCH('Staging Table'!$A9, LS_previous!$B$4:$B$138, 0), MATCH(AG$4&amp;AG$5, LS_previous!$D$2:$AY$2&amp;LS_previous!$D$3:$AY$3, 0)),SUM(VLOOKUP($A9, LS_previous!$B$4:$AY$138, LS_previous!Y$149, FALSE), VLOOKUP('Staging Table'!$A9, LS_previous!$B$4:$AY$138,LS_previous!AW$149, FALSE))/2)</f>
        <v>9748</v>
      </c>
      <c r="AH9" s="227">
        <f t="array" ref="AH9">IF($G9=0, INDEX(LS_previous!$D$4:$AY$138, MATCH('Staging Table'!$A9, LS_previous!$B$4:$B$138, 0), MATCH(AH$4&amp;AH$5, LS_previous!$D$2:$AY$2&amp;LS_previous!$D$3:$AY$3, 0)),SUM(VLOOKUP($A9, LS_previous!$B$4:$AY$138, LS_previous!Z$149, FALSE), VLOOKUP('Staging Table'!$A9, LS_previous!$B$4:$AY$138,LS_previous!AX$149, FALSE))/2)</f>
        <v>1060</v>
      </c>
      <c r="AI9" s="227">
        <f t="array" ref="AI9">IF($G9=0, INDEX(LS_previous!$D$4:$AY$138, MATCH('Staging Table'!$A9, LS_previous!$B$4:$B$138, 0), MATCH(AI$4&amp;AI$5, LS_previous!$D$2:$AY$2&amp;LS_previous!$D$3:$AY$3, 0)),SUM(VLOOKUP($A9, LS_previous!$B$4:$AY$138, LS_previous!AA$149, FALSE), VLOOKUP('Staging Table'!$A9, LS_previous!$B$4:$AY$138,LS_previous!AY$149, FALSE))/2)</f>
        <v>5794</v>
      </c>
      <c r="AJ9" s="424">
        <f t="array" ref="AJ9">INDEX(Demand_previous!$D$4:$AY$138, MATCH('Staging Table'!$A9, Demand_previous!$B$4:$B$138, 0), MATCH(AJ$4&amp;AJ$5,Demand_previous!$D$2:$AY$2&amp;Demand_previous!$D$3:$AY$3, 0))/1000</f>
        <v>5.4480000000000004</v>
      </c>
      <c r="AK9" s="424">
        <f t="array" ref="AK9">INDEX(Demand_previous!$D$4:$AY$138, MATCH('Staging Table'!$A9, Demand_previous!$B$4:$B$138, 0), MATCH(AK$4&amp;AK$5,Demand_previous!$D$2:$AY$2&amp;Demand_previous!$D$3:$AY$3, 0))/1000</f>
        <v>3.2719999999999998</v>
      </c>
      <c r="AL9" s="424">
        <f t="array" ref="AL9">INDEX(Demand_previous!$D$4:$AY$138, MATCH('Staging Table'!$A9, Demand_previous!$B$4:$B$138, 0), MATCH(AL$4&amp;AL$5,Demand_previous!$D$2:$AY$2&amp;Demand_previous!$D$3:$AY$3, 0))/1000</f>
        <v>10.750999999999999</v>
      </c>
      <c r="AM9" s="424">
        <f t="array" ref="AM9">INDEX(Demand_previous!$D$4:$AY$138, MATCH('Staging Table'!$A9, Demand_previous!$B$4:$B$138, 0), MATCH(AM$4&amp;AM$5,Demand_previous!$D$2:$AY$2&amp;Demand_previous!$D$3:$AY$3, 0))/1000</f>
        <v>6.7220000000000004</v>
      </c>
      <c r="AN9" s="424">
        <f t="array" ref="AN9">INDEX(Demand_previous!$D$4:$AY$138, MATCH('Staging Table'!$A9, Demand_previous!$B$4:$B$138, 0), MATCH(AN$4&amp;AN$5,Demand_previous!$D$2:$AY$2&amp;Demand_previous!$D$3:$AY$3, 0))/1000</f>
        <v>2.4710000000000001</v>
      </c>
      <c r="AO9" s="424">
        <f t="array" ref="AO9">INDEX(Demand_previous!$D$4:$AY$138, MATCH('Staging Table'!$A9, Demand_previous!$B$4:$B$138, 0), MATCH(AO$4&amp;AO$5,Demand_previous!$D$2:$AY$2&amp;Demand_previous!$D$3:$AY$3, 0))/1000</f>
        <v>6.556</v>
      </c>
      <c r="AP9" s="424">
        <f t="array" ref="AP9">INDEX(Demand_previous!$D$4:$AY$138, MATCH('Staging Table'!$A9, Demand_previous!$B$4:$B$138, 0), MATCH(AP$4&amp;AP$5,Demand_previous!$D$2:$AY$2&amp;Demand_previous!$D$3:$AY$3, 0))/1000</f>
        <v>0</v>
      </c>
      <c r="AQ9" s="424">
        <f t="array" ref="AQ9">INDEX(Demand_previous!$D$4:$AY$138, MATCH('Staging Table'!$A9, Demand_previous!$B$4:$B$138, 0), MATCH(AQ$4&amp;AQ$5,Demand_previous!$D$2:$AY$2&amp;Demand_previous!$D$3:$AY$3, 0))/1000</f>
        <v>5.9429999999999996</v>
      </c>
      <c r="AR9" s="424">
        <f t="array" ref="AR9">INDEX(Demand_previous!$D$4:$AY$138, MATCH('Staging Table'!$A9, Demand_previous!$B$4:$B$138, 0), MATCH(AR$4&amp;AR$5,Demand_previous!$D$2:$AY$2&amp;Demand_previous!$D$3:$AY$3, 0))/1000</f>
        <v>17.376000000000001</v>
      </c>
      <c r="AS9" s="424">
        <f t="array" ref="AS9">INDEX(Demand_previous!$D$4:$AY$138, MATCH('Staging Table'!$A9, Demand_previous!$B$4:$B$138, 0), MATCH(AS$4&amp;AS$5,Demand_previous!$D$2:$AY$2&amp;Demand_previous!$D$3:$AY$3, 0))/1000</f>
        <v>10.72</v>
      </c>
      <c r="AT9" s="424">
        <f t="array" ref="AT9">INDEX(Demand_previous!$D$4:$AY$138, MATCH('Staging Table'!$A9, Demand_previous!$B$4:$B$138, 0), MATCH(AT$4&amp;AT$5,Demand_previous!$D$2:$AY$2&amp;Demand_previous!$D$3:$AY$3, 0))/1000</f>
        <v>15.087</v>
      </c>
      <c r="AU9" s="424">
        <f t="array" ref="AU9">INDEX(Demand_previous!$D$4:$AY$138, MATCH('Staging Table'!$A9, Demand_previous!$B$4:$B$138, 0), MATCH(AU$4&amp;AU$5,Demand_previous!$D$2:$AY$2&amp;Demand_previous!$D$3:$AY$3, 0))/1000</f>
        <v>12.727</v>
      </c>
      <c r="AV9" s="227">
        <f>$F9*(VLOOKUP(AV$4, Rates_previous!$G$6:$Q$29, 10, FALSE)+VLOOKUP(AV$4, Rates_previous!$G$6:$Q$29, 11, FALSE))</f>
        <v>39632.870070373479</v>
      </c>
      <c r="AW9" s="227">
        <f>$F9*(VLOOKUP(AW$4, Rates_previous!$G$6:$Q$29, 10, FALSE)+VLOOKUP(AW$4, Rates_previous!$G$6:$Q$29, 11, FALSE))</f>
        <v>48983.215149220632</v>
      </c>
      <c r="AX9" s="227">
        <f>$F9*(VLOOKUP(AX$4, Rates_previous!$G$6:$Q$29, 10, FALSE)+VLOOKUP(AX$4, Rates_previous!$G$6:$Q$29, 11, FALSE))</f>
        <v>48394.985322033674</v>
      </c>
      <c r="AY9" s="227">
        <f>$F9*(VLOOKUP(AY$4, Rates_previous!$G$6:$Q$29, 10, FALSE)+VLOOKUP(AY$4, Rates_previous!$G$6:$Q$29, 11, FALSE))</f>
        <v>41348.902153741416</v>
      </c>
      <c r="AZ9" s="227">
        <f>$F9*(VLOOKUP(AZ$4, Rates_previous!$G$6:$Q$29, 10, FALSE)+VLOOKUP(AZ$4, Rates_previous!$G$6:$Q$29, 11, FALSE))</f>
        <v>33898.079272052135</v>
      </c>
      <c r="BA9" s="227">
        <f>$F9*(VLOOKUP(BA$4, Rates_previous!$G$6:$Q$29, 10, FALSE)+VLOOKUP(BA$4, Rates_previous!$G$6:$Q$29, 11, FALSE))</f>
        <v>40134.094565599662</v>
      </c>
      <c r="BB9" s="227">
        <f>$F9*(VLOOKUP(BB$4, Rates_previous!$G$6:$Q$29, 10, FALSE)+VLOOKUP(BB$4, Rates_previous!$G$6:$Q$29, 11, FALSE))</f>
        <v>38574.702737757216</v>
      </c>
      <c r="BC9" s="227">
        <f>$F9*(VLOOKUP(BC$4, Rates_previous!$G$6:$Q$29, 10, FALSE)+VLOOKUP(BC$4, Rates_previous!$G$6:$Q$29, 11, FALSE))</f>
        <v>56605.64661570848</v>
      </c>
      <c r="BD9" s="227">
        <f>$F9*(VLOOKUP(BD$4, Rates_previous!$G$6:$Q$29, 10, FALSE)+VLOOKUP(BD$4, Rates_previous!$G$6:$Q$29, 11, FALSE))</f>
        <v>44660.359074317152</v>
      </c>
      <c r="BE9" s="227">
        <f>$F9*(VLOOKUP(BE$4, Rates_previous!$G$6:$Q$29, 10, FALSE)+VLOOKUP(BE$4, Rates_previous!$G$6:$Q$29, 11, FALSE))</f>
        <v>39215.543858170917</v>
      </c>
      <c r="BF9" s="227">
        <f>$F9*(VLOOKUP(BF$4, Rates_previous!$G$6:$Q$29, 10, FALSE)+VLOOKUP(BF$4, Rates_previous!$G$6:$Q$29, 11, FALSE))</f>
        <v>43432.784531451565</v>
      </c>
      <c r="BG9" s="227">
        <f>$F9*(VLOOKUP(BG$4, Rates_previous!$G$6:$Q$29, 10, FALSE)+VLOOKUP(BG$4, Rates_previous!$G$6:$Q$29, 11, FALSE))</f>
        <v>39348.37557190533</v>
      </c>
      <c r="BH9" s="229">
        <f>IF($D9=0,IF(C9=0, MAX(BK9 - (VLOOKUP($A9,TOCA_previous!$A$2:$AI$137,MATCH("RHWM 2018",TOCA_previous!$A$2:$AI$2,0),FALSE)*$F$2*TOCA_previous!C6),0),0), 0)</f>
        <v>20216.046424495929</v>
      </c>
      <c r="BI9" s="266">
        <f>VLOOKUP($A9,REP_previous!$A$1:$D$135,MATCH("FY "&amp;$F$1&amp; " Total Refund",REP_previous!$A$1:$D$1,0),0)</f>
        <v>701205.67308877385</v>
      </c>
      <c r="BJ9" s="241">
        <f>MIN(VLOOKUP($A9,TOCA_previous!$A$2:$AI$137,MATCH("TRL - NLSL - Existing Resource "&amp;$F$1,TOCA_previous!$A$2:$AI$2,0),FALSE)*$F$2,(VLOOKUP($A9,TOCA_previous!$A$2:$AI$137,MATCH("RHWM 2018",TOCA_previous!$A$2:$AI$2,0),FALSE)*$F$2))</f>
        <v>514229.51999999996</v>
      </c>
      <c r="BK9" s="229">
        <f>SUM(L9:AI9)+(F9*RT1SC!$C$3*$F$2)</f>
        <v>534445.56642449589</v>
      </c>
      <c r="BL9" s="241">
        <f>VLOOKUP($A9,TOCA_previous!$A$2:$AI$137,MATCH("Above RHWM Not Served with LS "&amp;$F$1,TOCA_previous!$A$2:$AI$2,0),FALSE)*$F$2</f>
        <v>66392.039999999994</v>
      </c>
      <c r="BM9" s="151">
        <f t="shared" si="5"/>
        <v>20216.046424495929</v>
      </c>
      <c r="BN9" s="242">
        <f>(VLOOKUP($A9,TOCA_previous!$A$2:$AI$137,MATCH("RHWM 2018",TOCA_previous!$A$2:$AI$2,0),FALSE)*$F$2) - $BJ9</f>
        <v>0</v>
      </c>
      <c r="BO9" s="151">
        <f t="shared" si="6"/>
        <v>0</v>
      </c>
      <c r="BP9" s="243">
        <f t="shared" si="7"/>
        <v>0</v>
      </c>
      <c r="BQ9" s="237">
        <f t="shared" si="8"/>
        <v>0</v>
      </c>
      <c r="BR9" s="242">
        <f t="shared" si="9"/>
        <v>0</v>
      </c>
      <c r="BS9" s="151">
        <f>VLOOKUP($A9,TOCA_current!$A$2:$AI$137,MATCH(BS$4,TOCA_current!$A$2:$AI$2,0),FALSE)</f>
        <v>8.4480000000000006E-3</v>
      </c>
      <c r="BT9" s="151">
        <f>VLOOKUP($A9,TOCA_current!$A$2:$AI$137,MATCH(BT$4,TOCA_current!$A$2:$AI$2,0),FALSE)</f>
        <v>8.4480000000000006E-3</v>
      </c>
      <c r="BU9" s="236">
        <f t="shared" si="10"/>
        <v>0</v>
      </c>
      <c r="BV9" s="151">
        <f>VLOOKUP($A9,TOCA_current!A5:BG140,MATCH(BV$4,TOCA_current!$A$2:$BG$2,0),FALSE)</f>
        <v>6.7244300000000007E-2</v>
      </c>
      <c r="BW9" s="151">
        <f t="shared" si="11"/>
        <v>0</v>
      </c>
      <c r="BX9" s="151">
        <f t="shared" si="12"/>
        <v>0</v>
      </c>
      <c r="BY9" s="226">
        <f>VLOOKUP($A9,IRD!$A$4:$G$139, 7, FALSE)</f>
        <v>82900.857000000004</v>
      </c>
      <c r="BZ9" s="227">
        <f t="array" ref="BZ9">IF($BU9=0, INDEX(LS_current!$D$4:$AY$138, MATCH('Staging Table'!$A9, LS_current!$B$4:$B$138, 0), MATCH(BZ$4&amp;BZ$5, LS_current!$D$2:$AY$2&amp;LS_current!$D$3:$AY$3, 0)),SUM(VLOOKUP($A9, LS_current!$B$4:$AY$138, LS_current!D$148, FALSE), VLOOKUP($A9, LS_current!$B$4:$AY$138,LS_current!D$148, FALSE))/2)</f>
        <v>-885</v>
      </c>
      <c r="CA9" s="227">
        <f t="array" ref="CA9">IF($BU9=0, INDEX(LS_current!$D$4:$AY$138, MATCH('Staging Table'!$A9, LS_current!$B$4:$B$138, 0), MATCH(CA$4&amp;CA$5, LS_current!$D$2:$AY$2&amp;LS_current!$D$3:$AY$3, 0)),SUM(VLOOKUP($A9, LS_current!$B$4:$AY$138, LS_current!E$148, FALSE), VLOOKUP($A9, LS_current!$B$4:$AY$138,LS_current!E$148, FALSE))/2)</f>
        <v>1966</v>
      </c>
      <c r="CB9" s="227">
        <f t="array" ref="CB9">IF($BU9=0, INDEX(LS_current!$D$4:$AY$138, MATCH('Staging Table'!$A9, LS_current!$B$4:$B$138, 0), MATCH(CB$4&amp;CB$5, LS_current!$D$2:$AY$2&amp;LS_current!$D$3:$AY$3, 0)),SUM(VLOOKUP($A9, LS_current!$B$4:$AY$138, LS_current!F$148, FALSE), VLOOKUP($A9, LS_current!$B$4:$AY$138,LS_current!F$148, FALSE))/2)</f>
        <v>-10206</v>
      </c>
      <c r="CC9" s="227">
        <f t="array" ref="CC9">IF($BU9=0, INDEX(LS_current!$D$4:$AY$138, MATCH('Staging Table'!$A9, LS_current!$B$4:$B$138, 0), MATCH(CC$4&amp;CC$5, LS_current!$D$2:$AY$2&amp;LS_current!$D$3:$AY$3, 0)),SUM(VLOOKUP($A9, LS_current!$B$4:$AY$138, LS_current!G$148, FALSE), VLOOKUP($A9, LS_current!$B$4:$AY$138,LS_current!G$148, FALSE))/2)</f>
        <v>-2926</v>
      </c>
      <c r="CD9" s="227">
        <f t="array" ref="CD9">IF($BU9=0, INDEX(LS_current!$D$4:$AY$138, MATCH('Staging Table'!$A9, LS_current!$B$4:$B$138, 0), MATCH(CD$4&amp;CD$5, LS_current!$D$2:$AY$2&amp;LS_current!$D$3:$AY$3, 0)),SUM(VLOOKUP($A9, LS_current!$B$4:$AY$138, LS_current!H$148, FALSE), VLOOKUP($A9, LS_current!$B$4:$AY$138,LS_current!H$148, FALSE))/2)</f>
        <v>-5395</v>
      </c>
      <c r="CE9" s="227">
        <f t="array" ref="CE9">IF($BU9=0, INDEX(LS_current!$D$4:$AY$138, MATCH('Staging Table'!$A9, LS_current!$B$4:$B$138, 0), MATCH(CE$4&amp;CE$5, LS_current!$D$2:$AY$2&amp;LS_current!$D$3:$AY$3, 0)),SUM(VLOOKUP($A9, LS_current!$B$4:$AY$138, LS_current!I$148, FALSE), VLOOKUP($A9, LS_current!$B$4:$AY$138,LS_current!I$148, FALSE))/2)</f>
        <v>1771</v>
      </c>
      <c r="CF9" s="227">
        <f t="array" ref="CF9">IF($BU9=0, INDEX(LS_current!$D$4:$AY$138, MATCH('Staging Table'!$A9, LS_current!$B$4:$B$138, 0), MATCH(CF$4&amp;CF$5, LS_current!$D$2:$AY$2&amp;LS_current!$D$3:$AY$3, 0)),SUM(VLOOKUP($A9, LS_current!$B$4:$AY$138, LS_current!J$148, FALSE), VLOOKUP($A9, LS_current!$B$4:$AY$138,LS_current!J$148, FALSE))/2)</f>
        <v>-220</v>
      </c>
      <c r="CG9" s="227">
        <f t="array" ref="CG9">IF($BU9=0, INDEX(LS_current!$D$4:$AY$138, MATCH('Staging Table'!$A9, LS_current!$B$4:$B$138, 0), MATCH(CG$4&amp;CG$5, LS_current!$D$2:$AY$2&amp;LS_current!$D$3:$AY$3, 0)),SUM(VLOOKUP($A9, LS_current!$B$4:$AY$138, LS_current!K$148, FALSE), VLOOKUP($A9, LS_current!$B$4:$AY$138,LS_current!K$148, FALSE))/2)</f>
        <v>3204</v>
      </c>
      <c r="CH9" s="227">
        <f t="array" ref="CH9">IF($BU9=0, INDEX(LS_current!$D$4:$AY$138, MATCH('Staging Table'!$A9, LS_current!$B$4:$B$138, 0), MATCH(CH$4&amp;CH$5, LS_current!$D$2:$AY$2&amp;LS_current!$D$3:$AY$3, 0)),SUM(VLOOKUP($A9, LS_current!$B$4:$AY$138, LS_current!L$148, FALSE), VLOOKUP($A9, LS_current!$B$4:$AY$138,LS_current!L$148, FALSE))/2)</f>
        <v>-2534</v>
      </c>
      <c r="CI9" s="227">
        <f t="array" ref="CI9">IF($BU9=0, INDEX(LS_current!$D$4:$AY$138, MATCH('Staging Table'!$A9, LS_current!$B$4:$B$138, 0), MATCH(CI$4&amp;CI$5, LS_current!$D$2:$AY$2&amp;LS_current!$D$3:$AY$3, 0)),SUM(VLOOKUP($A9, LS_current!$B$4:$AY$138, LS_current!M$148, FALSE), VLOOKUP($A9, LS_current!$B$4:$AY$138,LS_current!M$148, FALSE))/2)</f>
        <v>540</v>
      </c>
      <c r="CJ9" s="227">
        <f t="array" ref="CJ9">IF($BU9=0, INDEX(LS_current!$D$4:$AY$138, MATCH('Staging Table'!$A9, LS_current!$B$4:$B$138, 0), MATCH(CJ$4&amp;CJ$5, LS_current!$D$2:$AY$2&amp;LS_current!$D$3:$AY$3, 0)),SUM(VLOOKUP($A9, LS_current!$B$4:$AY$138, LS_current!N$148, FALSE), VLOOKUP($A9, LS_current!$B$4:$AY$138,LS_current!N$148, FALSE))/2)</f>
        <v>-8104</v>
      </c>
      <c r="CK9" s="227">
        <f t="array" ref="CK9">IF($BU9=0, INDEX(LS_current!$D$4:$AY$138, MATCH('Staging Table'!$A9, LS_current!$B$4:$B$138, 0), MATCH(CK$4&amp;CK$5, LS_current!$D$2:$AY$2&amp;LS_current!$D$3:$AY$3, 0)),SUM(VLOOKUP($A9, LS_current!$B$4:$AY$138, LS_current!O$148, FALSE), VLOOKUP($A9, LS_current!$B$4:$AY$138,LS_current!O$148, FALSE))/2)</f>
        <v>-2006</v>
      </c>
      <c r="CL9" s="227">
        <f t="array" ref="CL9">IF($BU9=0, INDEX(LS_current!$D$4:$AY$138, MATCH('Staging Table'!$A9, LS_current!$B$4:$B$138, 0), MATCH(CL$4&amp;CL$5, LS_current!$D$2:$AY$2&amp;LS_current!$D$3:$AY$3, 0)),SUM(VLOOKUP($A9, LS_current!$B$4:$AY$138, LS_current!P$148, FALSE), VLOOKUP($A9, LS_current!$B$4:$AY$138,LS_current!P$148, FALSE))/2)</f>
        <v>1535</v>
      </c>
      <c r="CM9" s="227">
        <f t="array" ref="CM9">IF($BU9=0, INDEX(LS_current!$D$4:$AY$138, MATCH('Staging Table'!$A9, LS_current!$B$4:$B$138, 0), MATCH(CM$4&amp;CM$5, LS_current!$D$2:$AY$2&amp;LS_current!$D$3:$AY$3, 0)),SUM(VLOOKUP($A9, LS_current!$B$4:$AY$138, LS_current!Q$148, FALSE), VLOOKUP($A9, LS_current!$B$4:$AY$138,LS_current!Q$148, FALSE))/2)</f>
        <v>2325</v>
      </c>
      <c r="CN9" s="227">
        <f t="array" ref="CN9">IF($BU9=0, INDEX(LS_current!$D$4:$AY$138, MATCH('Staging Table'!$A9, LS_current!$B$4:$B$138, 0), MATCH(CN$4&amp;CN$5, LS_current!$D$2:$AY$2&amp;LS_current!$D$3:$AY$3, 0)),SUM(VLOOKUP($A9, LS_current!$B$4:$AY$138, LS_current!R$148, FALSE), VLOOKUP($A9, LS_current!$B$4:$AY$138,LS_current!R$148, FALSE))/2)</f>
        <v>-2043</v>
      </c>
      <c r="CO9" s="227">
        <f t="array" ref="CO9">IF($BU9=0, INDEX(LS_current!$D$4:$AY$138, MATCH('Staging Table'!$A9, LS_current!$B$4:$B$138, 0), MATCH(CO$4&amp;CO$5, LS_current!$D$2:$AY$2&amp;LS_current!$D$3:$AY$3, 0)),SUM(VLOOKUP($A9, LS_current!$B$4:$AY$138, LS_current!S$148, FALSE), VLOOKUP($A9, LS_current!$B$4:$AY$138,LS_current!S$148, FALSE))/2)</f>
        <v>2364</v>
      </c>
      <c r="CP9" s="227">
        <f t="array" ref="CP9">IF($BU9=0, INDEX(LS_current!$D$4:$AY$138, MATCH('Staging Table'!$A9, LS_current!$B$4:$B$138, 0), MATCH(CP$4&amp;CP$5, LS_current!$D$2:$AY$2&amp;LS_current!$D$3:$AY$3, 0)),SUM(VLOOKUP($A9, LS_current!$B$4:$AY$138, LS_current!T$148, FALSE), VLOOKUP($A9, LS_current!$B$4:$AY$138,LS_current!T$148, FALSE))/2)</f>
        <v>-8251</v>
      </c>
      <c r="CQ9" s="227">
        <f t="array" ref="CQ9">IF($BU9=0, INDEX(LS_current!$D$4:$AY$138, MATCH('Staging Table'!$A9, LS_current!$B$4:$B$138, 0), MATCH(CQ$4&amp;CQ$5, LS_current!$D$2:$AY$2&amp;LS_current!$D$3:$AY$3, 0)),SUM(VLOOKUP($A9, LS_current!$B$4:$AY$138, LS_current!U$148, FALSE), VLOOKUP($A9, LS_current!$B$4:$AY$138,LS_current!U$148, FALSE))/2)</f>
        <v>300</v>
      </c>
      <c r="CR9" s="227">
        <f t="array" ref="CR9">IF($BU9=0, INDEX(LS_current!$D$4:$AY$138, MATCH('Staging Table'!$A9, LS_current!$B$4:$B$138, 0), MATCH(CR$4&amp;CR$5, LS_current!$D$2:$AY$2&amp;LS_current!$D$3:$AY$3, 0)),SUM(VLOOKUP($A9, LS_current!$B$4:$AY$138, LS_current!V$148, FALSE), VLOOKUP($A9, LS_current!$B$4:$AY$138,LS_current!V$148, FALSE))/2)</f>
        <v>7866</v>
      </c>
      <c r="CS9" s="227">
        <f t="array" ref="CS9">IF($BU9=0, INDEX(LS_current!$D$4:$AY$138, MATCH('Staging Table'!$A9, LS_current!$B$4:$B$138, 0), MATCH(CS$4&amp;CS$5, LS_current!$D$2:$AY$2&amp;LS_current!$D$3:$AY$3, 0)),SUM(VLOOKUP($A9, LS_current!$B$4:$AY$138, LS_current!W$148, FALSE), VLOOKUP($A9, LS_current!$B$4:$AY$138,LS_current!W$148, FALSE))/2)</f>
        <v>11940</v>
      </c>
      <c r="CT9" s="227">
        <f t="array" ref="CT9">IF($BU9=0, INDEX(LS_current!$D$4:$AY$138, MATCH('Staging Table'!$A9, LS_current!$B$4:$B$138, 0), MATCH(CT$4&amp;CT$5, LS_current!$D$2:$AY$2&amp;LS_current!$D$3:$AY$3, 0)),SUM(VLOOKUP($A9, LS_current!$B$4:$AY$138, LS_current!X$148, FALSE), VLOOKUP($A9, LS_current!$B$4:$AY$138,LS_current!X$148, FALSE))/2)</f>
        <v>8081</v>
      </c>
      <c r="CU9" s="227">
        <f t="array" ref="CU9">IF($BU9=0, INDEX(LS_current!$D$4:$AY$138, MATCH('Staging Table'!$A9, LS_current!$B$4:$B$138, 0), MATCH(CU$4&amp;CU$5, LS_current!$D$2:$AY$2&amp;LS_current!$D$3:$AY$3, 0)),SUM(VLOOKUP($A9, LS_current!$B$4:$AY$138, LS_current!Y$148, FALSE), VLOOKUP($A9, LS_current!$B$4:$AY$138,LS_current!Y$148, FALSE))/2)</f>
        <v>10297</v>
      </c>
      <c r="CV9" s="227">
        <f t="array" ref="CV9">IF($BU9=0, INDEX(LS_current!$D$4:$AY$138, MATCH('Staging Table'!$A9, LS_current!$B$4:$B$138, 0), MATCH(CV$4&amp;CV$5, LS_current!$D$2:$AY$2&amp;LS_current!$D$3:$AY$3, 0)),SUM(VLOOKUP($A9, LS_current!$B$4:$AY$138, LS_current!Z$148, FALSE), VLOOKUP($A9, LS_current!$B$4:$AY$138,LS_current!Z$148, FALSE))/2)</f>
        <v>969</v>
      </c>
      <c r="CW9" s="227">
        <f t="array" ref="CW9">IF($BU9=0, INDEX(LS_current!$D$4:$AY$138, MATCH('Staging Table'!$A9, LS_current!$B$4:$B$138, 0), MATCH(CW$4&amp;CW$5, LS_current!$D$2:$AY$2&amp;LS_current!$D$3:$AY$3, 0)),SUM(VLOOKUP($A9, LS_current!$B$4:$AY$138, LS_current!AA$148, FALSE), VLOOKUP($A9, LS_current!$B$4:$AY$138,LS_current!AA$148, FALSE))/2)</f>
        <v>6044</v>
      </c>
      <c r="CX9" s="229">
        <f t="array" ref="CX9">INDEX(Demand_current!$D$4:$AY$138, MATCH($A9, Demand_current!$B$4:$B$138, 0), MATCH(CX$4&amp;CX$5,Demand_current!$D$2:$AY$2&amp;Demand_current!$D$3:$AY$3, 0))/1000</f>
        <v>7.9080000000000004</v>
      </c>
      <c r="CY9" s="229">
        <f t="array" ref="CY9">INDEX(Demand_current!$D$4:$AY$138, MATCH($A9, Demand_current!$B$4:$B$138, 0), MATCH(CY$4&amp;CY$5,Demand_current!$D$2:$AY$2&amp;Demand_current!$D$3:$AY$3, 0))/1000</f>
        <v>3.2719999999999998</v>
      </c>
      <c r="CZ9" s="229">
        <f t="array" ref="CZ9">INDEX(Demand_current!$D$4:$AY$138, MATCH($A9, Demand_current!$B$4:$B$138, 0), MATCH(CZ$4&amp;CZ$5,Demand_current!$D$2:$AY$2&amp;Demand_current!$D$3:$AY$3, 0))/1000</f>
        <v>10.750999999999999</v>
      </c>
      <c r="DA9" s="229">
        <f t="array" ref="DA9">INDEX(Demand_current!$D$4:$AY$138, MATCH($A9, Demand_current!$B$4:$B$138, 0), MATCH(DA$4&amp;DA$5,Demand_current!$D$2:$AY$2&amp;Demand_current!$D$3:$AY$3, 0))/1000</f>
        <v>6.7220000000000004</v>
      </c>
      <c r="DB9" s="229">
        <f t="array" ref="DB9">INDEX(Demand_current!$D$4:$AY$138, MATCH($A9, Demand_current!$B$4:$B$138, 0), MATCH(DB$4&amp;DB$5,Demand_current!$D$2:$AY$2&amp;Demand_current!$D$3:$AY$3, 0))/1000</f>
        <v>4.9340000000000002</v>
      </c>
      <c r="DC9" s="229">
        <f t="array" ref="DC9">INDEX(Demand_current!$D$4:$AY$138, MATCH($A9, Demand_current!$B$4:$B$138, 0), MATCH(DC$4&amp;DC$5,Demand_current!$D$2:$AY$2&amp;Demand_current!$D$3:$AY$3, 0))/1000</f>
        <v>4.6840000000000002</v>
      </c>
      <c r="DD9" s="229">
        <f t="array" ref="DD9">INDEX(Demand_current!$D$4:$AY$138, MATCH($A9, Demand_current!$B$4:$B$138, 0), MATCH(DD$4&amp;DD$5,Demand_current!$D$2:$AY$2&amp;Demand_current!$D$3:$AY$3, 0))/1000</f>
        <v>1.8149999999999999</v>
      </c>
      <c r="DE9" s="229">
        <f t="array" ref="DE9">INDEX(Demand_current!$D$4:$AY$138, MATCH($A9, Demand_current!$B$4:$B$138, 0), MATCH(DE$4&amp;DE$5,Demand_current!$D$2:$AY$2&amp;Demand_current!$D$3:$AY$3, 0))/1000</f>
        <v>3.0470000000000002</v>
      </c>
      <c r="DF9" s="229">
        <f t="array" ref="DF9">INDEX(Demand_current!$D$4:$AY$138, MATCH($A9, Demand_current!$B$4:$B$138, 0), MATCH(DF$4&amp;DF$5,Demand_current!$D$2:$AY$2&amp;Demand_current!$D$3:$AY$3, 0))/1000</f>
        <v>17.376000000000001</v>
      </c>
      <c r="DG9" s="229">
        <f t="array" ref="DG9">INDEX(Demand_current!$D$4:$AY$138, MATCH($A9, Demand_current!$B$4:$B$138, 0), MATCH(DG$4&amp;DG$5,Demand_current!$D$2:$AY$2&amp;Demand_current!$D$3:$AY$3, 0))/1000</f>
        <v>14.753</v>
      </c>
      <c r="DH9" s="229">
        <f t="array" ref="DH9">INDEX(Demand_current!$D$4:$AY$138, MATCH($A9, Demand_current!$B$4:$B$138, 0), MATCH(DH$4&amp;DH$5,Demand_current!$D$2:$AY$2&amp;Demand_current!$D$3:$AY$3, 0))/1000</f>
        <v>11.417999999999999</v>
      </c>
      <c r="DI9" s="229">
        <f t="array" ref="DI9">INDEX(Demand_current!$D$4:$AY$138, MATCH($A9, Demand_current!$B$4:$B$138, 0), MATCH(DI$4&amp;DI$5,Demand_current!$D$2:$AY$2&amp;Demand_current!$D$3:$AY$3, 0))/1000</f>
        <v>15.760999999999999</v>
      </c>
      <c r="DJ9" s="227">
        <f>$BT9*(VLOOKUP(DJ$4, Rates_current!$G$6:$Q$29, 10, FALSE)+VLOOKUP(DJ$4, Rates_current!$G$6:$Q$29, 11, FALSE))</f>
        <v>39007.095671807998</v>
      </c>
      <c r="DK9" s="227">
        <f>$BT9*(VLOOKUP(DK$4, Rates_current!$G$6:$Q$29, 10, FALSE)+VLOOKUP(DK$4, Rates_current!$G$6:$Q$29, 11, FALSE))</f>
        <v>49551.180003072004</v>
      </c>
      <c r="DL9" s="227">
        <f>$BT9*(VLOOKUP(DL$4, Rates_current!$G$6:$Q$29, 10, FALSE)+VLOOKUP(DL$4, Rates_current!$G$6:$Q$29, 11, FALSE))</f>
        <v>48952.78245580801</v>
      </c>
      <c r="DM9" s="227">
        <f>$BT9*(VLOOKUP(DM$4, Rates_current!$G$6:$Q$29, 10, FALSE)+VLOOKUP(DM$4, Rates_current!$G$6:$Q$29, 11, FALSE))</f>
        <v>40805.125751808009</v>
      </c>
      <c r="DN9" s="227">
        <f>$BT9*(VLOOKUP(DN$4, Rates_current!$G$6:$Q$29, 10, FALSE)+VLOOKUP(DN$4, Rates_current!$G$6:$Q$29, 11, FALSE))</f>
        <v>36965.210726400001</v>
      </c>
      <c r="DO9" s="227">
        <f>$BT9*(VLOOKUP(DO$4, Rates_current!$G$6:$Q$29, 10, FALSE)+VLOOKUP(DO$4, Rates_current!$G$6:$Q$29, 11, FALSE))</f>
        <v>41117.057515776003</v>
      </c>
      <c r="DP9" s="227">
        <f>$BT9*(VLOOKUP(DP$4, Rates_current!$G$6:$Q$29, 10, FALSE)+VLOOKUP(DP$4, Rates_current!$G$6:$Q$29, 11, FALSE))</f>
        <v>33477.552599040006</v>
      </c>
      <c r="DQ9" s="227">
        <f>$BT9*(VLOOKUP(DQ$4, Rates_current!$G$6:$Q$29, 10, FALSE)+VLOOKUP(DQ$4, Rates_current!$G$6:$Q$29, 11, FALSE))</f>
        <v>45149.471735808009</v>
      </c>
      <c r="DR9" s="227">
        <f>$BT9*(VLOOKUP(DR$4, Rates_current!$G$6:$Q$29, 10, FALSE)+VLOOKUP(DR$4, Rates_current!$G$6:$Q$29, 11, FALSE))</f>
        <v>57607.655255040008</v>
      </c>
      <c r="DS9" s="227">
        <f>$BT9*(VLOOKUP(DS$4, Rates_current!$G$6:$Q$29, 10, FALSE)+VLOOKUP(DS$4, Rates_current!$G$6:$Q$29, 11, FALSE))</f>
        <v>45166.228343808005</v>
      </c>
      <c r="DT9" s="227">
        <f>$BT9*(VLOOKUP(DT$4, Rates_current!$G$6:$Q$29, 10, FALSE)+VLOOKUP(DT$4, Rates_current!$G$6:$Q$29, 11, FALSE))</f>
        <v>43982.912759808009</v>
      </c>
      <c r="DU9" s="227">
        <f>$BT9*(VLOOKUP(DU$4, Rates_current!$G$6:$Q$29, 10, FALSE)+VLOOKUP(DU$4, Rates_current!$G$6:$Q$29, 11, FALSE))</f>
        <v>39487.299287040005</v>
      </c>
      <c r="DV9" s="229">
        <f>IF(D9=0,IF(C9=0,MAX(0,DY9 - (VLOOKUP($A9,TOCA_current!$A$2:$AI$137,MATCH("RHWM 2020",TOCA_current!$A$2:$AI$2,0),FALSE)*$BT$2)), 0),0)</f>
        <v>16632.67967078404</v>
      </c>
      <c r="DW9" s="266">
        <f>VLOOKUP($A9,REP_current!$A$1:$D$135,MATCH("FY "&amp;$BT$1&amp; " Total Refund",REP_current!$A$1:$D$1,0),0)</f>
        <v>0</v>
      </c>
      <c r="DX9" s="295">
        <f>MIN(VLOOKUP($A9,TOCA_current!$A$2:$AI$137,MATCH("TRL - NLSL - Existing Resource "&amp;$BT$1,TOCA_current!$A$2:$AI$2,0),FALSE)*$BT$2, VLOOKUP($A9,TOCA_current!$A$2:$AI$137,MATCH("RHWM 2020",TOCA_current!$A$2:$AI$2,0),FALSE)*$BT$2)</f>
        <v>521268.91200000001</v>
      </c>
      <c r="DY9" s="240">
        <f>SUM(BZ9:CW9)+(BT9*RT1SC!$C$4*$BT$2)</f>
        <v>537901.59167078405</v>
      </c>
      <c r="DZ9" s="271">
        <f>VLOOKUP($A9,TOCA_current!$A$2:$AI$137,MATCH("Above RHWM Not Served with LS "&amp;$BT$1,TOCA_current!$A$2:$AI$2,0),FALSE)*$BT$2</f>
        <v>62937.36</v>
      </c>
      <c r="EA9" s="244">
        <f t="shared" si="13"/>
        <v>16632.67967078404</v>
      </c>
      <c r="EB9" s="295">
        <f>(VLOOKUP($A9,TOCA_current!$A$2:$AI$137,MATCH("RHWM 2020",TOCA_current!$A$2:$AI$2,0),FALSE)*$BT$2) - $DX9</f>
        <v>0</v>
      </c>
      <c r="EC9" s="240">
        <f t="shared" si="14"/>
        <v>0</v>
      </c>
      <c r="ED9" s="240">
        <f t="shared" si="15"/>
        <v>0</v>
      </c>
      <c r="EE9" s="240">
        <f t="shared" si="16"/>
        <v>0</v>
      </c>
      <c r="EF9" s="240">
        <f t="shared" si="17"/>
        <v>0</v>
      </c>
    </row>
    <row r="10" spans="1:136">
      <c r="A10" s="166">
        <v>10027</v>
      </c>
      <c r="B10" s="167" t="s">
        <v>11</v>
      </c>
      <c r="C10" s="240">
        <v>0</v>
      </c>
      <c r="D10" s="240">
        <v>0</v>
      </c>
      <c r="E10" s="150">
        <f>VLOOKUP($A10,TOCA_previous!$A$2:$AI$137,MATCH(E$4,TOCA_previous!$A$2:$AI$2,0),FALSE)</f>
        <v>8.6700000000000006E-3</v>
      </c>
      <c r="F10" s="151">
        <f>VLOOKUP($A10,TOCA_previous!$A$2:$AI$137,MATCH(F$4,TOCA_previous!$A$2:$AI$2,0),FALSE)</f>
        <v>8.6700000000000006E-3</v>
      </c>
      <c r="G10" s="151">
        <f t="shared" si="2"/>
        <v>0</v>
      </c>
      <c r="H10" s="151">
        <f>VLOOKUP($A10,TOCA_previous!$A$2:$AI$137,MATCH(H$4,TOCA_previous!$A$2:$AI$2,0),FALSE)</f>
        <v>7.4102699999999994E-2</v>
      </c>
      <c r="I10" s="151">
        <f t="shared" si="3"/>
        <v>0</v>
      </c>
      <c r="J10" s="151">
        <f t="shared" si="4"/>
        <v>0</v>
      </c>
      <c r="K10" s="226">
        <f>VLOOKUP(A10, IRD!$A$5:$C$139, 3, FALSE)</f>
        <v>209669.54</v>
      </c>
      <c r="L10" s="227">
        <f t="array" ref="L10">IF($G10=0, INDEX(LS_previous!$D$4:$AY$138, MATCH('Staging Table'!$A10, LS_previous!$B$4:$B$138, 0), MATCH(L$4&amp;L$5, LS_previous!$D$2:$AY$2&amp;LS_previous!$D$3:$AY$3, 0)),SUM(VLOOKUP($A10, LS_previous!$B$4:$AY$138, LS_previous!D$149, FALSE), VLOOKUP('Staging Table'!$A10, LS_previous!$B$4:$AY$138,LS_previous!AB$149, FALSE))/2)</f>
        <v>-4121</v>
      </c>
      <c r="M10" s="227">
        <f t="array" ref="M10">IF($G10=0, INDEX(LS_previous!$D$4:$AY$138, MATCH('Staging Table'!$A10, LS_previous!$B$4:$B$138, 0), MATCH(M$4&amp;M$5, LS_previous!$D$2:$AY$2&amp;LS_previous!$D$3:$AY$3, 0)),SUM(VLOOKUP($A10, LS_previous!$B$4:$AY$138, LS_previous!E$149, FALSE), VLOOKUP('Staging Table'!$A10, LS_previous!$B$4:$AY$138,LS_previous!AC$149, FALSE))/2)</f>
        <v>752</v>
      </c>
      <c r="N10" s="227">
        <f t="array" ref="N10">IF($G10=0, INDEX(LS_previous!$D$4:$AY$138, MATCH('Staging Table'!$A10, LS_previous!$B$4:$B$138, 0), MATCH(N$4&amp;N$5, LS_previous!$D$2:$AY$2&amp;LS_previous!$D$3:$AY$3, 0)),SUM(VLOOKUP($A10, LS_previous!$B$4:$AY$138, LS_previous!F$149, FALSE), VLOOKUP('Staging Table'!$A10, LS_previous!$B$4:$AY$138,LS_previous!AD$149, FALSE))/2)</f>
        <v>-17445</v>
      </c>
      <c r="O10" s="227">
        <f t="array" ref="O10">IF($G10=0, INDEX(LS_previous!$D$4:$AY$138, MATCH('Staging Table'!$A10, LS_previous!$B$4:$B$138, 0), MATCH(O$4&amp;O$5, LS_previous!$D$2:$AY$2&amp;LS_previous!$D$3:$AY$3, 0)),SUM(VLOOKUP($A10, LS_previous!$B$4:$AY$138, LS_previous!G$149, FALSE), VLOOKUP('Staging Table'!$A10, LS_previous!$B$4:$AY$138,LS_previous!AE$149, FALSE))/2)</f>
        <v>-8067</v>
      </c>
      <c r="P10" s="227">
        <f t="array" ref="P10">IF($G10=0, INDEX(LS_previous!$D$4:$AY$138, MATCH('Staging Table'!$A10, LS_previous!$B$4:$B$138, 0), MATCH(P$4&amp;P$5, LS_previous!$D$2:$AY$2&amp;LS_previous!$D$3:$AY$3, 0)),SUM(VLOOKUP($A10, LS_previous!$B$4:$AY$138, LS_previous!H$149, FALSE), VLOOKUP('Staging Table'!$A10, LS_previous!$B$4:$AY$138,LS_previous!AF$149, FALSE))/2)</f>
        <v>-14078</v>
      </c>
      <c r="Q10" s="227">
        <f t="array" ref="Q10">IF($G10=0, INDEX(LS_previous!$D$4:$AY$138, MATCH('Staging Table'!$A10, LS_previous!$B$4:$B$138, 0), MATCH(Q$4&amp;Q$5, LS_previous!$D$2:$AY$2&amp;LS_previous!$D$3:$AY$3, 0)),SUM(VLOOKUP($A10, LS_previous!$B$4:$AY$138, LS_previous!I$149, FALSE), VLOOKUP('Staging Table'!$A10, LS_previous!$B$4:$AY$138,LS_previous!AG$149, FALSE))/2)</f>
        <v>-6323</v>
      </c>
      <c r="R10" s="227">
        <f t="array" ref="R10">IF($G10=0, INDEX(LS_previous!$D$4:$AY$138, MATCH('Staging Table'!$A10, LS_previous!$B$4:$B$138, 0), MATCH(R$4&amp;R$5, LS_previous!$D$2:$AY$2&amp;LS_previous!$D$3:$AY$3, 0)),SUM(VLOOKUP($A10, LS_previous!$B$4:$AY$138, LS_previous!J$149, FALSE), VLOOKUP('Staging Table'!$A10, LS_previous!$B$4:$AY$138,LS_previous!AH$149, FALSE))/2)</f>
        <v>-9918</v>
      </c>
      <c r="S10" s="227">
        <f t="array" ref="S10">IF($G10=0, INDEX(LS_previous!$D$4:$AY$138, MATCH('Staging Table'!$A10, LS_previous!$B$4:$B$138, 0), MATCH(S$4&amp;S$5, LS_previous!$D$2:$AY$2&amp;LS_previous!$D$3:$AY$3, 0)),SUM(VLOOKUP($A10, LS_previous!$B$4:$AY$138, LS_previous!K$149, FALSE), VLOOKUP('Staging Table'!$A10, LS_previous!$B$4:$AY$138,LS_previous!AI$149, FALSE))/2)</f>
        <v>-4296</v>
      </c>
      <c r="T10" s="227">
        <f t="array" ref="T10">IF($G10=0, INDEX(LS_previous!$D$4:$AY$138, MATCH('Staging Table'!$A10, LS_previous!$B$4:$B$138, 0), MATCH(T$4&amp;T$5, LS_previous!$D$2:$AY$2&amp;LS_previous!$D$3:$AY$3, 0)),SUM(VLOOKUP($A10, LS_previous!$B$4:$AY$138, LS_previous!L$149, FALSE), VLOOKUP('Staging Table'!$A10, LS_previous!$B$4:$AY$138,LS_previous!AJ$149, FALSE))/2)</f>
        <v>-8085</v>
      </c>
      <c r="U10" s="227">
        <f t="array" ref="U10">IF($G10=0, INDEX(LS_previous!$D$4:$AY$138, MATCH('Staging Table'!$A10, LS_previous!$B$4:$B$138, 0), MATCH(U$4&amp;U$5, LS_previous!$D$2:$AY$2&amp;LS_previous!$D$3:$AY$3, 0)),SUM(VLOOKUP($A10, LS_previous!$B$4:$AY$138, LS_previous!M$149, FALSE), VLOOKUP('Staging Table'!$A10, LS_previous!$B$4:$AY$138,LS_previous!AK$149, FALSE))/2)</f>
        <v>-3215</v>
      </c>
      <c r="V10" s="227">
        <f t="array" ref="V10">IF($G10=0, INDEX(LS_previous!$D$4:$AY$138, MATCH('Staging Table'!$A10, LS_previous!$B$4:$B$138, 0), MATCH(V$4&amp;V$5, LS_previous!$D$2:$AY$2&amp;LS_previous!$D$3:$AY$3, 0)),SUM(VLOOKUP($A10, LS_previous!$B$4:$AY$138, LS_previous!N$149, FALSE), VLOOKUP('Staging Table'!$A10, LS_previous!$B$4:$AY$138,LS_previous!AL$149, FALSE))/2)</f>
        <v>-11871</v>
      </c>
      <c r="W10" s="227">
        <f t="array" ref="W10">IF($G10=0, INDEX(LS_previous!$D$4:$AY$138, MATCH('Staging Table'!$A10, LS_previous!$B$4:$B$138, 0), MATCH(W$4&amp;W$5, LS_previous!$D$2:$AY$2&amp;LS_previous!$D$3:$AY$3, 0)),SUM(VLOOKUP($A10, LS_previous!$B$4:$AY$138, LS_previous!O$149, FALSE), VLOOKUP('Staging Table'!$A10, LS_previous!$B$4:$AY$138,LS_previous!AM$149, FALSE))/2)</f>
        <v>-5857</v>
      </c>
      <c r="X10" s="227">
        <f t="array" ref="X10">IF($G10=0, INDEX(LS_previous!$D$4:$AY$138, MATCH('Staging Table'!$A10, LS_previous!$B$4:$B$138, 0), MATCH(X$4&amp;X$5, LS_previous!$D$2:$AY$2&amp;LS_previous!$D$3:$AY$3, 0)),SUM(VLOOKUP($A10, LS_previous!$B$4:$AY$138, LS_previous!P$149, FALSE), VLOOKUP('Staging Table'!$A10, LS_previous!$B$4:$AY$138,LS_previous!AN$149, FALSE))/2)</f>
        <v>-1061</v>
      </c>
      <c r="Y10" s="227">
        <f t="array" ref="Y10">IF($G10=0, INDEX(LS_previous!$D$4:$AY$138, MATCH('Staging Table'!$A10, LS_previous!$B$4:$B$138, 0), MATCH(Y$4&amp;Y$5, LS_previous!$D$2:$AY$2&amp;LS_previous!$D$3:$AY$3, 0)),SUM(VLOOKUP($A10, LS_previous!$B$4:$AY$138, LS_previous!Q$149, FALSE), VLOOKUP('Staging Table'!$A10, LS_previous!$B$4:$AY$138,LS_previous!AO$149, FALSE))/2)</f>
        <v>2318</v>
      </c>
      <c r="Z10" s="227">
        <f t="array" ref="Z10">IF($G10=0, INDEX(LS_previous!$D$4:$AY$138, MATCH('Staging Table'!$A10, LS_previous!$B$4:$B$138, 0), MATCH(Z$4&amp;Z$5, LS_previous!$D$2:$AY$2&amp;LS_previous!$D$3:$AY$3, 0)),SUM(VLOOKUP($A10, LS_previous!$B$4:$AY$138, LS_previous!R$149, FALSE), VLOOKUP('Staging Table'!$A10, LS_previous!$B$4:$AY$138,LS_previous!AP$149, FALSE))/2)</f>
        <v>-3056</v>
      </c>
      <c r="AA10" s="227">
        <f t="array" ref="AA10">IF($G10=0, INDEX(LS_previous!$D$4:$AY$138, MATCH('Staging Table'!$A10, LS_previous!$B$4:$B$138, 0), MATCH(AA$4&amp;AA$5, LS_previous!$D$2:$AY$2&amp;LS_previous!$D$3:$AY$3, 0)),SUM(VLOOKUP($A10, LS_previous!$B$4:$AY$138, LS_previous!S$149, FALSE), VLOOKUP('Staging Table'!$A10, LS_previous!$B$4:$AY$138,LS_previous!AQ$149, FALSE))/2)</f>
        <v>4172</v>
      </c>
      <c r="AB10" s="227">
        <f t="array" ref="AB10">IF($G10=0, INDEX(LS_previous!$D$4:$AY$138, MATCH('Staging Table'!$A10, LS_previous!$B$4:$B$138, 0), MATCH(AB$4&amp;AB$5, LS_previous!$D$2:$AY$2&amp;LS_previous!$D$3:$AY$3, 0)),SUM(VLOOKUP($A10, LS_previous!$B$4:$AY$138, LS_previous!T$149, FALSE), VLOOKUP('Staging Table'!$A10, LS_previous!$B$4:$AY$138,LS_previous!AR$149, FALSE))/2)</f>
        <v>12791</v>
      </c>
      <c r="AC10" s="227">
        <f t="array" ref="AC10">IF($G10=0, INDEX(LS_previous!$D$4:$AY$138, MATCH('Staging Table'!$A10, LS_previous!$B$4:$B$138, 0), MATCH(AC$4&amp;AC$5, LS_previous!$D$2:$AY$2&amp;LS_previous!$D$3:$AY$3, 0)),SUM(VLOOKUP($A10, LS_previous!$B$4:$AY$138, LS_previous!U$149, FALSE), VLOOKUP('Staging Table'!$A10, LS_previous!$B$4:$AY$138,LS_previous!AS$149, FALSE))/2)</f>
        <v>13415</v>
      </c>
      <c r="AD10" s="227">
        <f t="array" ref="AD10">IF($G10=0, INDEX(LS_previous!$D$4:$AY$138, MATCH('Staging Table'!$A10, LS_previous!$B$4:$B$138, 0), MATCH(AD$4&amp;AD$5, LS_previous!$D$2:$AY$2&amp;LS_previous!$D$3:$AY$3, 0)),SUM(VLOOKUP($A10, LS_previous!$B$4:$AY$138, LS_previous!V$149, FALSE), VLOOKUP('Staging Table'!$A10, LS_previous!$B$4:$AY$138,LS_previous!AT$149, FALSE))/2)</f>
        <v>18019</v>
      </c>
      <c r="AE10" s="227">
        <f t="array" ref="AE10">IF($G10=0, INDEX(LS_previous!$D$4:$AY$138, MATCH('Staging Table'!$A10, LS_previous!$B$4:$B$138, 0), MATCH(AE$4&amp;AE$5, LS_previous!$D$2:$AY$2&amp;LS_previous!$D$3:$AY$3, 0)),SUM(VLOOKUP($A10, LS_previous!$B$4:$AY$138, LS_previous!W$149, FALSE), VLOOKUP('Staging Table'!$A10, LS_previous!$B$4:$AY$138,LS_previous!AU$149, FALSE))/2)</f>
        <v>19535</v>
      </c>
      <c r="AF10" s="227">
        <f t="array" ref="AF10">IF($G10=0, INDEX(LS_previous!$D$4:$AY$138, MATCH('Staging Table'!$A10, LS_previous!$B$4:$B$138, 0), MATCH(AF$4&amp;AF$5, LS_previous!$D$2:$AY$2&amp;LS_previous!$D$3:$AY$3, 0)),SUM(VLOOKUP($A10, LS_previous!$B$4:$AY$138, LS_previous!X$149, FALSE), VLOOKUP('Staging Table'!$A10, LS_previous!$B$4:$AY$138,LS_previous!AV$149, FALSE))/2)</f>
        <v>12507</v>
      </c>
      <c r="AG10" s="227">
        <f t="array" ref="AG10">IF($G10=0, INDEX(LS_previous!$D$4:$AY$138, MATCH('Staging Table'!$A10, LS_previous!$B$4:$B$138, 0), MATCH(AG$4&amp;AG$5, LS_previous!$D$2:$AY$2&amp;LS_previous!$D$3:$AY$3, 0)),SUM(VLOOKUP($A10, LS_previous!$B$4:$AY$138, LS_previous!Y$149, FALSE), VLOOKUP('Staging Table'!$A10, LS_previous!$B$4:$AY$138,LS_previous!AW$149, FALSE))/2)</f>
        <v>14424</v>
      </c>
      <c r="AH10" s="227">
        <f t="array" ref="AH10">IF($G10=0, INDEX(LS_previous!$D$4:$AY$138, MATCH('Staging Table'!$A10, LS_previous!$B$4:$B$138, 0), MATCH(AH$4&amp;AH$5, LS_previous!$D$2:$AY$2&amp;LS_previous!$D$3:$AY$3, 0)),SUM(VLOOKUP($A10, LS_previous!$B$4:$AY$138, LS_previous!Z$149, FALSE), VLOOKUP('Staging Table'!$A10, LS_previous!$B$4:$AY$138,LS_previous!AX$149, FALSE))/2)</f>
        <v>5331</v>
      </c>
      <c r="AI10" s="227">
        <f t="array" ref="AI10">IF($G10=0, INDEX(LS_previous!$D$4:$AY$138, MATCH('Staging Table'!$A10, LS_previous!$B$4:$B$138, 0), MATCH(AI$4&amp;AI$5, LS_previous!$D$2:$AY$2&amp;LS_previous!$D$3:$AY$3, 0)),SUM(VLOOKUP($A10, LS_previous!$B$4:$AY$138, LS_previous!AA$149, FALSE), VLOOKUP('Staging Table'!$A10, LS_previous!$B$4:$AY$138,LS_previous!AY$149, FALSE))/2)</f>
        <v>8465</v>
      </c>
      <c r="AJ10" s="424">
        <f t="array" ref="AJ10">INDEX(Demand_previous!$D$4:$AY$138, MATCH('Staging Table'!$A10, Demand_previous!$B$4:$B$138, 0), MATCH(AJ$4&amp;AJ$5,Demand_previous!$D$2:$AY$2&amp;Demand_previous!$D$3:$AY$3, 0))/1000</f>
        <v>12.000999999999999</v>
      </c>
      <c r="AK10" s="424">
        <f t="array" ref="AK10">INDEX(Demand_previous!$D$4:$AY$138, MATCH('Staging Table'!$A10, Demand_previous!$B$4:$B$138, 0), MATCH(AK$4&amp;AK$5,Demand_previous!$D$2:$AY$2&amp;Demand_previous!$D$3:$AY$3, 0))/1000</f>
        <v>8.6669999999999998</v>
      </c>
      <c r="AL10" s="424">
        <f t="array" ref="AL10">INDEX(Demand_previous!$D$4:$AY$138, MATCH('Staging Table'!$A10, Demand_previous!$B$4:$B$138, 0), MATCH(AL$4&amp;AL$5,Demand_previous!$D$2:$AY$2&amp;Demand_previous!$D$3:$AY$3, 0))/1000</f>
        <v>9.9939999999999998</v>
      </c>
      <c r="AM10" s="424">
        <f t="array" ref="AM10">INDEX(Demand_previous!$D$4:$AY$138, MATCH('Staging Table'!$A10, Demand_previous!$B$4:$B$138, 0), MATCH(AM$4&amp;AM$5,Demand_previous!$D$2:$AY$2&amp;Demand_previous!$D$3:$AY$3, 0))/1000</f>
        <v>11.384</v>
      </c>
      <c r="AN10" s="424">
        <f t="array" ref="AN10">INDEX(Demand_previous!$D$4:$AY$138, MATCH('Staging Table'!$A10, Demand_previous!$B$4:$B$138, 0), MATCH(AN$4&amp;AN$5,Demand_previous!$D$2:$AY$2&amp;Demand_previous!$D$3:$AY$3, 0))/1000</f>
        <v>4.3140000000000001</v>
      </c>
      <c r="AO10" s="424">
        <f t="array" ref="AO10">INDEX(Demand_previous!$D$4:$AY$138, MATCH('Staging Table'!$A10, Demand_previous!$B$4:$B$138, 0), MATCH(AO$4&amp;AO$5,Demand_previous!$D$2:$AY$2&amp;Demand_previous!$D$3:$AY$3, 0))/1000</f>
        <v>9.9879999999999995</v>
      </c>
      <c r="AP10" s="424">
        <f t="array" ref="AP10">INDEX(Demand_previous!$D$4:$AY$138, MATCH('Staging Table'!$A10, Demand_previous!$B$4:$B$138, 0), MATCH(AP$4&amp;AP$5,Demand_previous!$D$2:$AY$2&amp;Demand_previous!$D$3:$AY$3, 0))/1000</f>
        <v>10.526</v>
      </c>
      <c r="AQ10" s="424">
        <f t="array" ref="AQ10">INDEX(Demand_previous!$D$4:$AY$138, MATCH('Staging Table'!$A10, Demand_previous!$B$4:$B$138, 0), MATCH(AQ$4&amp;AQ$5,Demand_previous!$D$2:$AY$2&amp;Demand_previous!$D$3:$AY$3, 0))/1000</f>
        <v>9.98</v>
      </c>
      <c r="AR10" s="424">
        <f t="array" ref="AR10">INDEX(Demand_previous!$D$4:$AY$138, MATCH('Staging Table'!$A10, Demand_previous!$B$4:$B$138, 0), MATCH(AR$4&amp;AR$5,Demand_previous!$D$2:$AY$2&amp;Demand_previous!$D$3:$AY$3, 0))/1000</f>
        <v>15.631</v>
      </c>
      <c r="AS10" s="424">
        <f t="array" ref="AS10">INDEX(Demand_previous!$D$4:$AY$138, MATCH('Staging Table'!$A10, Demand_previous!$B$4:$B$138, 0), MATCH(AS$4&amp;AS$5,Demand_previous!$D$2:$AY$2&amp;Demand_previous!$D$3:$AY$3, 0))/1000</f>
        <v>15.523999999999999</v>
      </c>
      <c r="AT10" s="424">
        <f t="array" ref="AT10">INDEX(Demand_previous!$D$4:$AY$138, MATCH('Staging Table'!$A10, Demand_previous!$B$4:$B$138, 0), MATCH(AT$4&amp;AT$5,Demand_previous!$D$2:$AY$2&amp;Demand_previous!$D$3:$AY$3, 0))/1000</f>
        <v>22.498000000000001</v>
      </c>
      <c r="AU10" s="424">
        <f t="array" ref="AU10">INDEX(Demand_previous!$D$4:$AY$138, MATCH('Staging Table'!$A10, Demand_previous!$B$4:$B$138, 0), MATCH(AU$4&amp;AU$5,Demand_previous!$D$2:$AY$2&amp;Demand_previous!$D$3:$AY$3, 0))/1000</f>
        <v>12.318</v>
      </c>
      <c r="AV10" s="227">
        <f>$F10*(VLOOKUP(AV$4, Rates_previous!$G$6:$Q$29, 10, FALSE)+VLOOKUP(AV$4, Rates_previous!$G$6:$Q$29, 11, FALSE))</f>
        <v>40652.223399916962</v>
      </c>
      <c r="AW10" s="227">
        <f>$F10*(VLOOKUP(AW$4, Rates_previous!$G$6:$Q$29, 10, FALSE)+VLOOKUP(AW$4, Rates_previous!$G$6:$Q$29, 11, FALSE))</f>
        <v>50243.05838957752</v>
      </c>
      <c r="AX10" s="227">
        <f>$F10*(VLOOKUP(AX$4, Rates_previous!$G$6:$Q$29, 10, FALSE)+VLOOKUP(AX$4, Rates_previous!$G$6:$Q$29, 11, FALSE))</f>
        <v>49639.699351919175</v>
      </c>
      <c r="AY10" s="227">
        <f>$F10*(VLOOKUP(AY$4, Rates_previous!$G$6:$Q$29, 10, FALSE)+VLOOKUP(AY$4, Rates_previous!$G$6:$Q$29, 11, FALSE))</f>
        <v>42412.391651437203</v>
      </c>
      <c r="AZ10" s="227">
        <f>$F10*(VLOOKUP(AZ$4, Rates_previous!$G$6:$Q$29, 10, FALSE)+VLOOKUP(AZ$4, Rates_previous!$G$6:$Q$29, 11, FALSE))</f>
        <v>34769.934373884018</v>
      </c>
      <c r="BA10" s="227">
        <f>$F10*(VLOOKUP(BA$4, Rates_previous!$G$6:$Q$29, 10, FALSE)+VLOOKUP(BA$4, Rates_previous!$G$6:$Q$29, 11, FALSE))</f>
        <v>41166.339337452278</v>
      </c>
      <c r="BB10" s="227">
        <f>$F10*(VLOOKUP(BB$4, Rates_previous!$G$6:$Q$29, 10, FALSE)+VLOOKUP(BB$4, Rates_previous!$G$6:$Q$29, 11, FALSE))</f>
        <v>39566.840112670077</v>
      </c>
      <c r="BC10" s="227">
        <f>$F10*(VLOOKUP(BC$4, Rates_previous!$G$6:$Q$29, 10, FALSE)+VLOOKUP(BC$4, Rates_previous!$G$6:$Q$29, 11, FALSE))</f>
        <v>58061.538007026546</v>
      </c>
      <c r="BD10" s="227">
        <f>$F10*(VLOOKUP(BD$4, Rates_previous!$G$6:$Q$29, 10, FALSE)+VLOOKUP(BD$4, Rates_previous!$G$6:$Q$29, 11, FALSE))</f>
        <v>45809.018902388583</v>
      </c>
      <c r="BE10" s="227">
        <f>$F10*(VLOOKUP(BE$4, Rates_previous!$G$6:$Q$29, 10, FALSE)+VLOOKUP(BE$4, Rates_previous!$G$6:$Q$29, 11, FALSE))</f>
        <v>40224.163600589396</v>
      </c>
      <c r="BF10" s="227">
        <f>$F10*(VLOOKUP(BF$4, Rates_previous!$G$6:$Q$29, 10, FALSE)+VLOOKUP(BF$4, Rates_previous!$G$6:$Q$29, 11, FALSE))</f>
        <v>44549.871268921415</v>
      </c>
      <c r="BG10" s="227">
        <f>$F10*(VLOOKUP(BG$4, Rates_previous!$G$6:$Q$29, 10, FALSE)+VLOOKUP(BG$4, Rates_previous!$G$6:$Q$29, 11, FALSE))</f>
        <v>40360.411732297667</v>
      </c>
      <c r="BH10" s="229">
        <f>IF($D10=0,IF(C10=0, MAX(BK10 - (VLOOKUP($A10,TOCA_previous!$A$2:$AI$137,MATCH("RHWM 2018",TOCA_previous!$A$2:$AI$2,0),FALSE)*$F$2*TOCA_previous!C7),0),0), 0)</f>
        <v>14334.37782319996</v>
      </c>
      <c r="BI10" s="266">
        <f>VLOOKUP($A10,REP_previous!$A$1:$D$135,MATCH("FY "&amp;$F$1&amp; " Total Refund",REP_previous!$A$1:$D$1,0),0)</f>
        <v>524473.06420202751</v>
      </c>
      <c r="BJ10" s="241">
        <f>MIN(VLOOKUP($A10,TOCA_previous!$A$2:$AI$137,MATCH("TRL - NLSL - Existing Resource "&amp;$F$1,TOCA_previous!$A$2:$AI$2,0),FALSE)*$F$2,(VLOOKUP($A10,TOCA_previous!$A$2:$AI$137,MATCH("RHWM 2018",TOCA_previous!$A$2:$AI$2,0),FALSE)*$F$2))</f>
        <v>527457.12</v>
      </c>
      <c r="BK10" s="229">
        <f>SUM(L10:AI10)+(F10*RT1SC!$C$3*$F$2)</f>
        <v>541791.49782319996</v>
      </c>
      <c r="BL10" s="241">
        <f>VLOOKUP($A10,TOCA_previous!$A$2:$AI$137,MATCH("Above RHWM Not Served with LS "&amp;$F$1,TOCA_previous!$A$2:$AI$2,0),FALSE)*$F$2</f>
        <v>30914.04</v>
      </c>
      <c r="BM10" s="151">
        <f t="shared" si="5"/>
        <v>14334.37782319996</v>
      </c>
      <c r="BN10" s="242">
        <f>(VLOOKUP($A10,TOCA_previous!$A$2:$AI$137,MATCH("RHWM 2018",TOCA_previous!$A$2:$AI$2,0),FALSE)*$F$2) - $BJ10</f>
        <v>0</v>
      </c>
      <c r="BO10" s="151">
        <f t="shared" si="6"/>
        <v>0</v>
      </c>
      <c r="BP10" s="243">
        <f t="shared" si="7"/>
        <v>0</v>
      </c>
      <c r="BQ10" s="237">
        <f t="shared" si="8"/>
        <v>0</v>
      </c>
      <c r="BR10" s="242">
        <f t="shared" si="9"/>
        <v>0</v>
      </c>
      <c r="BS10" s="151">
        <f>VLOOKUP($A10,TOCA_current!$A$2:$AI$137,MATCH(BS$4,TOCA_current!$A$2:$AI$2,0),FALSE)</f>
        <v>8.6654000000000002E-3</v>
      </c>
      <c r="BT10" s="151">
        <f>VLOOKUP($A10,TOCA_current!$A$2:$AI$137,MATCH(BT$4,TOCA_current!$A$2:$AI$2,0),FALSE)</f>
        <v>8.6654000000000002E-3</v>
      </c>
      <c r="BU10" s="236">
        <f t="shared" si="10"/>
        <v>0</v>
      </c>
      <c r="BV10" s="151">
        <f>VLOOKUP($A10,TOCA_current!A6:BG141,MATCH(BV$4,TOCA_current!$A$2:$BG$2,0),FALSE)</f>
        <v>7.4978299999999998E-2</v>
      </c>
      <c r="BW10" s="151">
        <f t="shared" si="11"/>
        <v>0</v>
      </c>
      <c r="BX10" s="151">
        <f t="shared" si="12"/>
        <v>0</v>
      </c>
      <c r="BY10" s="226">
        <f>VLOOKUP($A10,IRD!$A$4:$G$139, 7, FALSE)</f>
        <v>209669.54</v>
      </c>
      <c r="BZ10" s="227">
        <f t="array" ref="BZ10">IF($BU10=0, INDEX(LS_current!$D$4:$AY$138, MATCH('Staging Table'!$A10, LS_current!$B$4:$B$138, 0), MATCH(BZ$4&amp;BZ$5, LS_current!$D$2:$AY$2&amp;LS_current!$D$3:$AY$3, 0)),SUM(VLOOKUP($A10, LS_current!$B$4:$AY$138, LS_current!D$148, FALSE), VLOOKUP($A10, LS_current!$B$4:$AY$138,LS_current!D$148, FALSE))/2)</f>
        <v>-4157</v>
      </c>
      <c r="CA10" s="227">
        <f t="array" ref="CA10">IF($BU10=0, INDEX(LS_current!$D$4:$AY$138, MATCH('Staging Table'!$A10, LS_current!$B$4:$B$138, 0), MATCH(CA$4&amp;CA$5, LS_current!$D$2:$AY$2&amp;LS_current!$D$3:$AY$3, 0)),SUM(VLOOKUP($A10, LS_current!$B$4:$AY$138, LS_current!E$148, FALSE), VLOOKUP($A10, LS_current!$B$4:$AY$138,LS_current!E$148, FALSE))/2)</f>
        <v>835</v>
      </c>
      <c r="CB10" s="227">
        <f t="array" ref="CB10">IF($BU10=0, INDEX(LS_current!$D$4:$AY$138, MATCH('Staging Table'!$A10, LS_current!$B$4:$B$138, 0), MATCH(CB$4&amp;CB$5, LS_current!$D$2:$AY$2&amp;LS_current!$D$3:$AY$3, 0)),SUM(VLOOKUP($A10, LS_current!$B$4:$AY$138, LS_current!F$148, FALSE), VLOOKUP($A10, LS_current!$B$4:$AY$138,LS_current!F$148, FALSE))/2)</f>
        <v>-17972</v>
      </c>
      <c r="CC10" s="227">
        <f t="array" ref="CC10">IF($BU10=0, INDEX(LS_current!$D$4:$AY$138, MATCH('Staging Table'!$A10, LS_current!$B$4:$B$138, 0), MATCH(CC$4&amp;CC$5, LS_current!$D$2:$AY$2&amp;LS_current!$D$3:$AY$3, 0)),SUM(VLOOKUP($A10, LS_current!$B$4:$AY$138, LS_current!G$148, FALSE), VLOOKUP($A10, LS_current!$B$4:$AY$138,LS_current!G$148, FALSE))/2)</f>
        <v>-8700</v>
      </c>
      <c r="CD10" s="227">
        <f t="array" ref="CD10">IF($BU10=0, INDEX(LS_current!$D$4:$AY$138, MATCH('Staging Table'!$A10, LS_current!$B$4:$B$138, 0), MATCH(CD$4&amp;CD$5, LS_current!$D$2:$AY$2&amp;LS_current!$D$3:$AY$3, 0)),SUM(VLOOKUP($A10, LS_current!$B$4:$AY$138, LS_current!H$148, FALSE), VLOOKUP($A10, LS_current!$B$4:$AY$138,LS_current!H$148, FALSE))/2)</f>
        <v>-14657</v>
      </c>
      <c r="CE10" s="227">
        <f t="array" ref="CE10">IF($BU10=0, INDEX(LS_current!$D$4:$AY$138, MATCH('Staging Table'!$A10, LS_current!$B$4:$B$138, 0), MATCH(CE$4&amp;CE$5, LS_current!$D$2:$AY$2&amp;LS_current!$D$3:$AY$3, 0)),SUM(VLOOKUP($A10, LS_current!$B$4:$AY$138, LS_current!I$148, FALSE), VLOOKUP($A10, LS_current!$B$4:$AY$138,LS_current!I$148, FALSE))/2)</f>
        <v>-6912</v>
      </c>
      <c r="CF10" s="227">
        <f t="array" ref="CF10">IF($BU10=0, INDEX(LS_current!$D$4:$AY$138, MATCH('Staging Table'!$A10, LS_current!$B$4:$B$138, 0), MATCH(CF$4&amp;CF$5, LS_current!$D$2:$AY$2&amp;LS_current!$D$3:$AY$3, 0)),SUM(VLOOKUP($A10, LS_current!$B$4:$AY$138, LS_current!J$148, FALSE), VLOOKUP($A10, LS_current!$B$4:$AY$138,LS_current!J$148, FALSE))/2)</f>
        <v>-10352</v>
      </c>
      <c r="CG10" s="227">
        <f t="array" ref="CG10">IF($BU10=0, INDEX(LS_current!$D$4:$AY$138, MATCH('Staging Table'!$A10, LS_current!$B$4:$B$138, 0), MATCH(CG$4&amp;CG$5, LS_current!$D$2:$AY$2&amp;LS_current!$D$3:$AY$3, 0)),SUM(VLOOKUP($A10, LS_current!$B$4:$AY$138, LS_current!K$148, FALSE), VLOOKUP($A10, LS_current!$B$4:$AY$138,LS_current!K$148, FALSE))/2)</f>
        <v>-3899</v>
      </c>
      <c r="CH10" s="227">
        <f t="array" ref="CH10">IF($BU10=0, INDEX(LS_current!$D$4:$AY$138, MATCH('Staging Table'!$A10, LS_current!$B$4:$B$138, 0), MATCH(CH$4&amp;CH$5, LS_current!$D$2:$AY$2&amp;LS_current!$D$3:$AY$3, 0)),SUM(VLOOKUP($A10, LS_current!$B$4:$AY$138, LS_current!L$148, FALSE), VLOOKUP($A10, LS_current!$B$4:$AY$138,LS_current!L$148, FALSE))/2)</f>
        <v>-10420</v>
      </c>
      <c r="CI10" s="227">
        <f t="array" ref="CI10">IF($BU10=0, INDEX(LS_current!$D$4:$AY$138, MATCH('Staging Table'!$A10, LS_current!$B$4:$B$138, 0), MATCH(CI$4&amp;CI$5, LS_current!$D$2:$AY$2&amp;LS_current!$D$3:$AY$3, 0)),SUM(VLOOKUP($A10, LS_current!$B$4:$AY$138, LS_current!M$148, FALSE), VLOOKUP($A10, LS_current!$B$4:$AY$138,LS_current!M$148, FALSE))/2)</f>
        <v>-4668</v>
      </c>
      <c r="CJ10" s="227">
        <f t="array" ref="CJ10">IF($BU10=0, INDEX(LS_current!$D$4:$AY$138, MATCH('Staging Table'!$A10, LS_current!$B$4:$B$138, 0), MATCH(CJ$4&amp;CJ$5, LS_current!$D$2:$AY$2&amp;LS_current!$D$3:$AY$3, 0)),SUM(VLOOKUP($A10, LS_current!$B$4:$AY$138, LS_current!N$148, FALSE), VLOOKUP($A10, LS_current!$B$4:$AY$138,LS_current!N$148, FALSE))/2)</f>
        <v>-12931</v>
      </c>
      <c r="CK10" s="227">
        <f t="array" ref="CK10">IF($BU10=0, INDEX(LS_current!$D$4:$AY$138, MATCH('Staging Table'!$A10, LS_current!$B$4:$B$138, 0), MATCH(CK$4&amp;CK$5, LS_current!$D$2:$AY$2&amp;LS_current!$D$3:$AY$3, 0)),SUM(VLOOKUP($A10, LS_current!$B$4:$AY$138, LS_current!O$148, FALSE), VLOOKUP($A10, LS_current!$B$4:$AY$138,LS_current!O$148, FALSE))/2)</f>
        <v>-6400</v>
      </c>
      <c r="CL10" s="227">
        <f t="array" ref="CL10">IF($BU10=0, INDEX(LS_current!$D$4:$AY$138, MATCH('Staging Table'!$A10, LS_current!$B$4:$B$138, 0), MATCH(CL$4&amp;CL$5, LS_current!$D$2:$AY$2&amp;LS_current!$D$3:$AY$3, 0)),SUM(VLOOKUP($A10, LS_current!$B$4:$AY$138, LS_current!P$148, FALSE), VLOOKUP($A10, LS_current!$B$4:$AY$138,LS_current!P$148, FALSE))/2)</f>
        <v>2387</v>
      </c>
      <c r="CM10" s="227">
        <f t="array" ref="CM10">IF($BU10=0, INDEX(LS_current!$D$4:$AY$138, MATCH('Staging Table'!$A10, LS_current!$B$4:$B$138, 0), MATCH(CM$4&amp;CM$5, LS_current!$D$2:$AY$2&amp;LS_current!$D$3:$AY$3, 0)),SUM(VLOOKUP($A10, LS_current!$B$4:$AY$138, LS_current!Q$148, FALSE), VLOOKUP($A10, LS_current!$B$4:$AY$138,LS_current!Q$148, FALSE))/2)</f>
        <v>3521</v>
      </c>
      <c r="CN10" s="227">
        <f t="array" ref="CN10">IF($BU10=0, INDEX(LS_current!$D$4:$AY$138, MATCH('Staging Table'!$A10, LS_current!$B$4:$B$138, 0), MATCH(CN$4&amp;CN$5, LS_current!$D$2:$AY$2&amp;LS_current!$D$3:$AY$3, 0)),SUM(VLOOKUP($A10, LS_current!$B$4:$AY$138, LS_current!R$148, FALSE), VLOOKUP($A10, LS_current!$B$4:$AY$138,LS_current!R$148, FALSE))/2)</f>
        <v>3633</v>
      </c>
      <c r="CO10" s="227">
        <f t="array" ref="CO10">IF($BU10=0, INDEX(LS_current!$D$4:$AY$138, MATCH('Staging Table'!$A10, LS_current!$B$4:$B$138, 0), MATCH(CO$4&amp;CO$5, LS_current!$D$2:$AY$2&amp;LS_current!$D$3:$AY$3, 0)),SUM(VLOOKUP($A10, LS_current!$B$4:$AY$138, LS_current!S$148, FALSE), VLOOKUP($A10, LS_current!$B$4:$AY$138,LS_current!S$148, FALSE))/2)</f>
        <v>8637</v>
      </c>
      <c r="CP10" s="227">
        <f t="array" ref="CP10">IF($BU10=0, INDEX(LS_current!$D$4:$AY$138, MATCH('Staging Table'!$A10, LS_current!$B$4:$B$138, 0), MATCH(CP$4&amp;CP$5, LS_current!$D$2:$AY$2&amp;LS_current!$D$3:$AY$3, 0)),SUM(VLOOKUP($A10, LS_current!$B$4:$AY$138, LS_current!T$148, FALSE), VLOOKUP($A10, LS_current!$B$4:$AY$138,LS_current!T$148, FALSE))/2)</f>
        <v>4077</v>
      </c>
      <c r="CQ10" s="227">
        <f t="array" ref="CQ10">IF($BU10=0, INDEX(LS_current!$D$4:$AY$138, MATCH('Staging Table'!$A10, LS_current!$B$4:$B$138, 0), MATCH(CQ$4&amp;CQ$5, LS_current!$D$2:$AY$2&amp;LS_current!$D$3:$AY$3, 0)),SUM(VLOOKUP($A10, LS_current!$B$4:$AY$138, LS_current!U$148, FALSE), VLOOKUP($A10, LS_current!$B$4:$AY$138,LS_current!U$148, FALSE))/2)</f>
        <v>8272</v>
      </c>
      <c r="CR10" s="227">
        <f t="array" ref="CR10">IF($BU10=0, INDEX(LS_current!$D$4:$AY$138, MATCH('Staging Table'!$A10, LS_current!$B$4:$B$138, 0), MATCH(CR$4&amp;CR$5, LS_current!$D$2:$AY$2&amp;LS_current!$D$3:$AY$3, 0)),SUM(VLOOKUP($A10, LS_current!$B$4:$AY$138, LS_current!V$148, FALSE), VLOOKUP($A10, LS_current!$B$4:$AY$138,LS_current!V$148, FALSE))/2)</f>
        <v>12036</v>
      </c>
      <c r="CS10" s="227">
        <f t="array" ref="CS10">IF($BU10=0, INDEX(LS_current!$D$4:$AY$138, MATCH('Staging Table'!$A10, LS_current!$B$4:$B$138, 0), MATCH(CS$4&amp;CS$5, LS_current!$D$2:$AY$2&amp;LS_current!$D$3:$AY$3, 0)),SUM(VLOOKUP($A10, LS_current!$B$4:$AY$138, LS_current!W$148, FALSE), VLOOKUP($A10, LS_current!$B$4:$AY$138,LS_current!W$148, FALSE))/2)</f>
        <v>18818</v>
      </c>
      <c r="CT10" s="227">
        <f t="array" ref="CT10">IF($BU10=0, INDEX(LS_current!$D$4:$AY$138, MATCH('Staging Table'!$A10, LS_current!$B$4:$B$138, 0), MATCH(CT$4&amp;CT$5, LS_current!$D$2:$AY$2&amp;LS_current!$D$3:$AY$3, 0)),SUM(VLOOKUP($A10, LS_current!$B$4:$AY$138, LS_current!X$148, FALSE), VLOOKUP($A10, LS_current!$B$4:$AY$138,LS_current!X$148, FALSE))/2)</f>
        <v>11119</v>
      </c>
      <c r="CU10" s="227">
        <f t="array" ref="CU10">IF($BU10=0, INDEX(LS_current!$D$4:$AY$138, MATCH('Staging Table'!$A10, LS_current!$B$4:$B$138, 0), MATCH(CU$4&amp;CU$5, LS_current!$D$2:$AY$2&amp;LS_current!$D$3:$AY$3, 0)),SUM(VLOOKUP($A10, LS_current!$B$4:$AY$138, LS_current!Y$148, FALSE), VLOOKUP($A10, LS_current!$B$4:$AY$138,LS_current!Y$148, FALSE))/2)</f>
        <v>14653</v>
      </c>
      <c r="CV10" s="227">
        <f t="array" ref="CV10">IF($BU10=0, INDEX(LS_current!$D$4:$AY$138, MATCH('Staging Table'!$A10, LS_current!$B$4:$B$138, 0), MATCH(CV$4&amp;CV$5, LS_current!$D$2:$AY$2&amp;LS_current!$D$3:$AY$3, 0)),SUM(VLOOKUP($A10, LS_current!$B$4:$AY$138, LS_current!Z$148, FALSE), VLOOKUP($A10, LS_current!$B$4:$AY$138,LS_current!Z$148, FALSE))/2)</f>
        <v>4815</v>
      </c>
      <c r="CW10" s="227">
        <f t="array" ref="CW10">IF($BU10=0, INDEX(LS_current!$D$4:$AY$138, MATCH('Staging Table'!$A10, LS_current!$B$4:$B$138, 0), MATCH(CW$4&amp;CW$5, LS_current!$D$2:$AY$2&amp;LS_current!$D$3:$AY$3, 0)),SUM(VLOOKUP($A10, LS_current!$B$4:$AY$138, LS_current!AA$148, FALSE), VLOOKUP($A10, LS_current!$B$4:$AY$138,LS_current!AA$148, FALSE))/2)</f>
        <v>8261</v>
      </c>
      <c r="CX10" s="229">
        <f t="array" ref="CX10">INDEX(Demand_current!$D$4:$AY$138, MATCH($A10, Demand_current!$B$4:$B$138, 0), MATCH(CX$4&amp;CX$5,Demand_current!$D$2:$AY$2&amp;Demand_current!$D$3:$AY$3, 0))/1000</f>
        <v>14.119</v>
      </c>
      <c r="CY10" s="229">
        <f t="array" ref="CY10">INDEX(Demand_current!$D$4:$AY$138, MATCH($A10, Demand_current!$B$4:$B$138, 0), MATCH(CY$4&amp;CY$5,Demand_current!$D$2:$AY$2&amp;Demand_current!$D$3:$AY$3, 0))/1000</f>
        <v>8.6669999999999998</v>
      </c>
      <c r="CZ10" s="229">
        <f t="array" ref="CZ10">INDEX(Demand_current!$D$4:$AY$138, MATCH($A10, Demand_current!$B$4:$B$138, 0), MATCH(CZ$4&amp;CZ$5,Demand_current!$D$2:$AY$2&amp;Demand_current!$D$3:$AY$3, 0))/1000</f>
        <v>9.9939999999999998</v>
      </c>
      <c r="DA10" s="229">
        <f t="array" ref="DA10">INDEX(Demand_current!$D$4:$AY$138, MATCH($A10, Demand_current!$B$4:$B$138, 0), MATCH(DA$4&amp;DA$5,Demand_current!$D$2:$AY$2&amp;Demand_current!$D$3:$AY$3, 0))/1000</f>
        <v>11.384</v>
      </c>
      <c r="DB10" s="229">
        <f t="array" ref="DB10">INDEX(Demand_current!$D$4:$AY$138, MATCH($A10, Demand_current!$B$4:$B$138, 0), MATCH(DB$4&amp;DB$5,Demand_current!$D$2:$AY$2&amp;Demand_current!$D$3:$AY$3, 0))/1000</f>
        <v>5.9009999999999998</v>
      </c>
      <c r="DC10" s="229">
        <f t="array" ref="DC10">INDEX(Demand_current!$D$4:$AY$138, MATCH($A10, Demand_current!$B$4:$B$138, 0), MATCH(DC$4&amp;DC$5,Demand_current!$D$2:$AY$2&amp;Demand_current!$D$3:$AY$3, 0))/1000</f>
        <v>8.5920000000000005</v>
      </c>
      <c r="DD10" s="229">
        <f t="array" ref="DD10">INDEX(Demand_current!$D$4:$AY$138, MATCH($A10, Demand_current!$B$4:$B$138, 0), MATCH(DD$4&amp;DD$5,Demand_current!$D$2:$AY$2&amp;Demand_current!$D$3:$AY$3, 0))/1000</f>
        <v>13.006</v>
      </c>
      <c r="DE10" s="229">
        <f t="array" ref="DE10">INDEX(Demand_current!$D$4:$AY$138, MATCH($A10, Demand_current!$B$4:$B$138, 0), MATCH(DE$4&amp;DE$5,Demand_current!$D$2:$AY$2&amp;Demand_current!$D$3:$AY$3, 0))/1000</f>
        <v>6.5739999999999998</v>
      </c>
      <c r="DF10" s="229">
        <f t="array" ref="DF10">INDEX(Demand_current!$D$4:$AY$138, MATCH($A10, Demand_current!$B$4:$B$138, 0), MATCH(DF$4&amp;DF$5,Demand_current!$D$2:$AY$2&amp;Demand_current!$D$3:$AY$3, 0))/1000</f>
        <v>15.631</v>
      </c>
      <c r="DG10" s="229">
        <f t="array" ref="DG10">INDEX(Demand_current!$D$4:$AY$138, MATCH($A10, Demand_current!$B$4:$B$138, 0), MATCH(DG$4&amp;DG$5,Demand_current!$D$2:$AY$2&amp;Demand_current!$D$3:$AY$3, 0))/1000</f>
        <v>19.920999999999999</v>
      </c>
      <c r="DH10" s="229">
        <f t="array" ref="DH10">INDEX(Demand_current!$D$4:$AY$138, MATCH($A10, Demand_current!$B$4:$B$138, 0), MATCH(DH$4&amp;DH$5,Demand_current!$D$2:$AY$2&amp;Demand_current!$D$3:$AY$3, 0))/1000</f>
        <v>18.596</v>
      </c>
      <c r="DI10" s="229">
        <f t="array" ref="DI10">INDEX(Demand_current!$D$4:$AY$138, MATCH($A10, Demand_current!$B$4:$B$138, 0), MATCH(DI$4&amp;DI$5,Demand_current!$D$2:$AY$2&amp;Demand_current!$D$3:$AY$3, 0))/1000</f>
        <v>15.702</v>
      </c>
      <c r="DJ10" s="227">
        <f>$BT10*(VLOOKUP(DJ$4, Rates_current!$G$6:$Q$29, 10, FALSE)+VLOOKUP(DJ$4, Rates_current!$G$6:$Q$29, 11, FALSE))</f>
        <v>40010.900430218397</v>
      </c>
      <c r="DK10" s="227">
        <f>$BT10*(VLOOKUP(DK$4, Rates_current!$G$6:$Q$29, 10, FALSE)+VLOOKUP(DK$4, Rates_current!$G$6:$Q$29, 11, FALSE))</f>
        <v>50826.3251892306</v>
      </c>
      <c r="DL10" s="227">
        <f>$BT10*(VLOOKUP(DL$4, Rates_current!$G$6:$Q$29, 10, FALSE)+VLOOKUP(DL$4, Rates_current!$G$6:$Q$29, 11, FALSE))</f>
        <v>50212.528538418403</v>
      </c>
      <c r="DM10" s="227">
        <f>$BT10*(VLOOKUP(DM$4, Rates_current!$G$6:$Q$29, 10, FALSE)+VLOOKUP(DM$4, Rates_current!$G$6:$Q$29, 11, FALSE))</f>
        <v>41855.200839218407</v>
      </c>
      <c r="DN10" s="227">
        <f>$BT10*(VLOOKUP(DN$4, Rates_current!$G$6:$Q$29, 10, FALSE)+VLOOKUP(DN$4, Rates_current!$G$6:$Q$29, 11, FALSE))</f>
        <v>37916.469818719997</v>
      </c>
      <c r="DO10" s="227">
        <f>$BT10*(VLOOKUP(DO$4, Rates_current!$G$6:$Q$29, 10, FALSE)+VLOOKUP(DO$4, Rates_current!$G$6:$Q$29, 11, FALSE))</f>
        <v>42175.159824479801</v>
      </c>
      <c r="DP10" s="227">
        <f>$BT10*(VLOOKUP(DP$4, Rates_current!$G$6:$Q$29, 10, FALSE)+VLOOKUP(DP$4, Rates_current!$G$6:$Q$29, 11, FALSE))</f>
        <v>34339.060640591997</v>
      </c>
      <c r="DQ10" s="227">
        <f>$BT10*(VLOOKUP(DQ$4, Rates_current!$G$6:$Q$29, 10, FALSE)+VLOOKUP(DQ$4, Rates_current!$G$6:$Q$29, 11, FALSE))</f>
        <v>46311.343794918408</v>
      </c>
      <c r="DR10" s="227">
        <f>$BT10*(VLOOKUP(DR$4, Rates_current!$G$6:$Q$29, 10, FALSE)+VLOOKUP(DR$4, Rates_current!$G$6:$Q$29, 11, FALSE))</f>
        <v>59090.124981892004</v>
      </c>
      <c r="DS10" s="227">
        <f>$BT10*(VLOOKUP(DS$4, Rates_current!$G$6:$Q$29, 10, FALSE)+VLOOKUP(DS$4, Rates_current!$G$6:$Q$29, 11, FALSE))</f>
        <v>46328.531615818407</v>
      </c>
      <c r="DT10" s="227">
        <f>$BT10*(VLOOKUP(DT$4, Rates_current!$G$6:$Q$29, 10, FALSE)+VLOOKUP(DT$4, Rates_current!$G$6:$Q$29, 11, FALSE))</f>
        <v>45114.764705118403</v>
      </c>
      <c r="DU10" s="227">
        <f>$BT10*(VLOOKUP(DU$4, Rates_current!$G$6:$Q$29, 10, FALSE)+VLOOKUP(DU$4, Rates_current!$G$6:$Q$29, 11, FALSE))</f>
        <v>40503.461557992006</v>
      </c>
      <c r="DV10" s="229">
        <f>IF(D10=0,IF(C10=0,MAX(0,DY10 - (VLOOKUP($A10,TOCA_current!$A$2:$AI$137,MATCH("RHWM 2020",TOCA_current!$A$2:$AI$2,0),FALSE)*$BT$2)), 0),0)</f>
        <v>0</v>
      </c>
      <c r="DW10" s="266">
        <f>VLOOKUP($A10,REP_current!$A$1:$D$135,MATCH("FY "&amp;$BT$1&amp; " Total Refund",REP_current!$A$1:$D$1,0),0)</f>
        <v>0</v>
      </c>
      <c r="DX10" s="295">
        <f>MIN(VLOOKUP($A10,TOCA_current!$A$2:$AI$137,MATCH("TRL - NLSL - Existing Resource "&amp;$BT$1,TOCA_current!$A$2:$AI$2,0),FALSE)*$BT$2, VLOOKUP($A10,TOCA_current!$A$2:$AI$137,MATCH("RHWM 2020",TOCA_current!$A$2:$AI$2,0),FALSE)*$BT$2)</f>
        <v>534682.07999999996</v>
      </c>
      <c r="DY10" s="240">
        <f>SUM(BZ10:CW10)+(BT10*RT1SC!$C$4*$BT$2)</f>
        <v>534679.89200568316</v>
      </c>
      <c r="DZ10" s="271">
        <f>VLOOKUP($A10,TOCA_current!$A$2:$AI$137,MATCH("Above RHWM Not Served with LS "&amp;$BT$1,TOCA_current!$A$2:$AI$2,0),FALSE)*$BT$2</f>
        <v>38025.935999999994</v>
      </c>
      <c r="EA10" s="244">
        <f t="shared" si="13"/>
        <v>-2.1879943168023601</v>
      </c>
      <c r="EB10" s="295">
        <f>(VLOOKUP($A10,TOCA_current!$A$2:$AI$137,MATCH("RHWM 2020",TOCA_current!$A$2:$AI$2,0),FALSE)*$BT$2) - $DX10</f>
        <v>0</v>
      </c>
      <c r="EC10" s="240">
        <f t="shared" si="14"/>
        <v>0</v>
      </c>
      <c r="ED10" s="240">
        <f t="shared" si="15"/>
        <v>0</v>
      </c>
      <c r="EE10" s="240">
        <f t="shared" si="16"/>
        <v>0</v>
      </c>
      <c r="EF10" s="240">
        <f t="shared" si="17"/>
        <v>0</v>
      </c>
    </row>
    <row r="11" spans="1:136">
      <c r="A11" s="166">
        <v>10029</v>
      </c>
      <c r="B11" s="167" t="s">
        <v>12</v>
      </c>
      <c r="C11" s="240">
        <v>1</v>
      </c>
      <c r="D11" s="240">
        <v>0</v>
      </c>
      <c r="E11" s="150">
        <f>VLOOKUP($A11,TOCA_previous!$A$2:$AI$137,MATCH(E$4,TOCA_previous!$A$2:$AI$2,0),FALSE)</f>
        <v>2.4957999999999998E-3</v>
      </c>
      <c r="F11" s="151">
        <f>VLOOKUP($A11,TOCA_previous!$A$2:$AI$137,MATCH(F$4,TOCA_previous!$A$2:$AI$2,0),FALSE)</f>
        <v>2.4957999999999998E-3</v>
      </c>
      <c r="G11" s="151">
        <f t="shared" si="2"/>
        <v>0</v>
      </c>
      <c r="H11" s="151">
        <f>VLOOKUP($A11,TOCA_previous!$A$2:$AI$137,MATCH(H$4,TOCA_previous!$A$2:$AI$2,0),FALSE)</f>
        <v>6.3538899999999995E-2</v>
      </c>
      <c r="I11" s="151">
        <f t="shared" si="3"/>
        <v>6.3538899999999995E-2</v>
      </c>
      <c r="J11" s="151">
        <f t="shared" si="4"/>
        <v>2.4957999999999998E-3</v>
      </c>
      <c r="K11" s="226">
        <f>VLOOKUP(A11, IRD!$A$5:$C$139, 3, FALSE)</f>
        <v>0</v>
      </c>
      <c r="L11" s="227">
        <f t="array" ref="L11">IF($G11=0, INDEX(LS_previous!$D$4:$AY$138, MATCH('Staging Table'!$A11, LS_previous!$B$4:$B$138, 0), MATCH(L$4&amp;L$5, LS_previous!$D$2:$AY$2&amp;LS_previous!$D$3:$AY$3, 0)),SUM(VLOOKUP($A11, LS_previous!$B$4:$AY$138, LS_previous!D$149, FALSE), VLOOKUP('Staging Table'!$A11, LS_previous!$B$4:$AY$138,LS_previous!AB$149, FALSE))/2)</f>
        <v>0</v>
      </c>
      <c r="M11" s="227">
        <f t="array" ref="M11">IF($G11=0, INDEX(LS_previous!$D$4:$AY$138, MATCH('Staging Table'!$A11, LS_previous!$B$4:$B$138, 0), MATCH(M$4&amp;M$5, LS_previous!$D$2:$AY$2&amp;LS_previous!$D$3:$AY$3, 0)),SUM(VLOOKUP($A11, LS_previous!$B$4:$AY$138, LS_previous!E$149, FALSE), VLOOKUP('Staging Table'!$A11, LS_previous!$B$4:$AY$138,LS_previous!AC$149, FALSE))/2)</f>
        <v>0</v>
      </c>
      <c r="N11" s="227">
        <f t="array" ref="N11">IF($G11=0, INDEX(LS_previous!$D$4:$AY$138, MATCH('Staging Table'!$A11, LS_previous!$B$4:$B$138, 0), MATCH(N$4&amp;N$5, LS_previous!$D$2:$AY$2&amp;LS_previous!$D$3:$AY$3, 0)),SUM(VLOOKUP($A11, LS_previous!$B$4:$AY$138, LS_previous!F$149, FALSE), VLOOKUP('Staging Table'!$A11, LS_previous!$B$4:$AY$138,LS_previous!AD$149, FALSE))/2)</f>
        <v>0</v>
      </c>
      <c r="O11" s="227">
        <f t="array" ref="O11">IF($G11=0, INDEX(LS_previous!$D$4:$AY$138, MATCH('Staging Table'!$A11, LS_previous!$B$4:$B$138, 0), MATCH(O$4&amp;O$5, LS_previous!$D$2:$AY$2&amp;LS_previous!$D$3:$AY$3, 0)),SUM(VLOOKUP($A11, LS_previous!$B$4:$AY$138, LS_previous!G$149, FALSE), VLOOKUP('Staging Table'!$A11, LS_previous!$B$4:$AY$138,LS_previous!AE$149, FALSE))/2)</f>
        <v>0</v>
      </c>
      <c r="P11" s="227">
        <f t="array" ref="P11">IF($G11=0, INDEX(LS_previous!$D$4:$AY$138, MATCH('Staging Table'!$A11, LS_previous!$B$4:$B$138, 0), MATCH(P$4&amp;P$5, LS_previous!$D$2:$AY$2&amp;LS_previous!$D$3:$AY$3, 0)),SUM(VLOOKUP($A11, LS_previous!$B$4:$AY$138, LS_previous!H$149, FALSE), VLOOKUP('Staging Table'!$A11, LS_previous!$B$4:$AY$138,LS_previous!AF$149, FALSE))/2)</f>
        <v>0</v>
      </c>
      <c r="Q11" s="227">
        <f t="array" ref="Q11">IF($G11=0, INDEX(LS_previous!$D$4:$AY$138, MATCH('Staging Table'!$A11, LS_previous!$B$4:$B$138, 0), MATCH(Q$4&amp;Q$5, LS_previous!$D$2:$AY$2&amp;LS_previous!$D$3:$AY$3, 0)),SUM(VLOOKUP($A11, LS_previous!$B$4:$AY$138, LS_previous!I$149, FALSE), VLOOKUP('Staging Table'!$A11, LS_previous!$B$4:$AY$138,LS_previous!AG$149, FALSE))/2)</f>
        <v>0</v>
      </c>
      <c r="R11" s="227">
        <f t="array" ref="R11">IF($G11=0, INDEX(LS_previous!$D$4:$AY$138, MATCH('Staging Table'!$A11, LS_previous!$B$4:$B$138, 0), MATCH(R$4&amp;R$5, LS_previous!$D$2:$AY$2&amp;LS_previous!$D$3:$AY$3, 0)),SUM(VLOOKUP($A11, LS_previous!$B$4:$AY$138, LS_previous!J$149, FALSE), VLOOKUP('Staging Table'!$A11, LS_previous!$B$4:$AY$138,LS_previous!AH$149, FALSE))/2)</f>
        <v>0</v>
      </c>
      <c r="S11" s="227">
        <f t="array" ref="S11">IF($G11=0, INDEX(LS_previous!$D$4:$AY$138, MATCH('Staging Table'!$A11, LS_previous!$B$4:$B$138, 0), MATCH(S$4&amp;S$5, LS_previous!$D$2:$AY$2&amp;LS_previous!$D$3:$AY$3, 0)),SUM(VLOOKUP($A11, LS_previous!$B$4:$AY$138, LS_previous!K$149, FALSE), VLOOKUP('Staging Table'!$A11, LS_previous!$B$4:$AY$138,LS_previous!AI$149, FALSE))/2)</f>
        <v>0</v>
      </c>
      <c r="T11" s="227">
        <f t="array" ref="T11">IF($G11=0, INDEX(LS_previous!$D$4:$AY$138, MATCH('Staging Table'!$A11, LS_previous!$B$4:$B$138, 0), MATCH(T$4&amp;T$5, LS_previous!$D$2:$AY$2&amp;LS_previous!$D$3:$AY$3, 0)),SUM(VLOOKUP($A11, LS_previous!$B$4:$AY$138, LS_previous!L$149, FALSE), VLOOKUP('Staging Table'!$A11, LS_previous!$B$4:$AY$138,LS_previous!AJ$149, FALSE))/2)</f>
        <v>0</v>
      </c>
      <c r="U11" s="227">
        <f t="array" ref="U11">IF($G11=0, INDEX(LS_previous!$D$4:$AY$138, MATCH('Staging Table'!$A11, LS_previous!$B$4:$B$138, 0), MATCH(U$4&amp;U$5, LS_previous!$D$2:$AY$2&amp;LS_previous!$D$3:$AY$3, 0)),SUM(VLOOKUP($A11, LS_previous!$B$4:$AY$138, LS_previous!M$149, FALSE), VLOOKUP('Staging Table'!$A11, LS_previous!$B$4:$AY$138,LS_previous!AK$149, FALSE))/2)</f>
        <v>0</v>
      </c>
      <c r="V11" s="227">
        <f t="array" ref="V11">IF($G11=0, INDEX(LS_previous!$D$4:$AY$138, MATCH('Staging Table'!$A11, LS_previous!$B$4:$B$138, 0), MATCH(V$4&amp;V$5, LS_previous!$D$2:$AY$2&amp;LS_previous!$D$3:$AY$3, 0)),SUM(VLOOKUP($A11, LS_previous!$B$4:$AY$138, LS_previous!N$149, FALSE), VLOOKUP('Staging Table'!$A11, LS_previous!$B$4:$AY$138,LS_previous!AL$149, FALSE))/2)</f>
        <v>0</v>
      </c>
      <c r="W11" s="227">
        <f t="array" ref="W11">IF($G11=0, INDEX(LS_previous!$D$4:$AY$138, MATCH('Staging Table'!$A11, LS_previous!$B$4:$B$138, 0), MATCH(W$4&amp;W$5, LS_previous!$D$2:$AY$2&amp;LS_previous!$D$3:$AY$3, 0)),SUM(VLOOKUP($A11, LS_previous!$B$4:$AY$138, LS_previous!O$149, FALSE), VLOOKUP('Staging Table'!$A11, LS_previous!$B$4:$AY$138,LS_previous!AM$149, FALSE))/2)</f>
        <v>0</v>
      </c>
      <c r="X11" s="227">
        <f t="array" ref="X11">IF($G11=0, INDEX(LS_previous!$D$4:$AY$138, MATCH('Staging Table'!$A11, LS_previous!$B$4:$B$138, 0), MATCH(X$4&amp;X$5, LS_previous!$D$2:$AY$2&amp;LS_previous!$D$3:$AY$3, 0)),SUM(VLOOKUP($A11, LS_previous!$B$4:$AY$138, LS_previous!P$149, FALSE), VLOOKUP('Staging Table'!$A11, LS_previous!$B$4:$AY$138,LS_previous!AN$149, FALSE))/2)</f>
        <v>0</v>
      </c>
      <c r="Y11" s="227">
        <f t="array" ref="Y11">IF($G11=0, INDEX(LS_previous!$D$4:$AY$138, MATCH('Staging Table'!$A11, LS_previous!$B$4:$B$138, 0), MATCH(Y$4&amp;Y$5, LS_previous!$D$2:$AY$2&amp;LS_previous!$D$3:$AY$3, 0)),SUM(VLOOKUP($A11, LS_previous!$B$4:$AY$138, LS_previous!Q$149, FALSE), VLOOKUP('Staging Table'!$A11, LS_previous!$B$4:$AY$138,LS_previous!AO$149, FALSE))/2)</f>
        <v>0</v>
      </c>
      <c r="Z11" s="227">
        <f t="array" ref="Z11">IF($G11=0, INDEX(LS_previous!$D$4:$AY$138, MATCH('Staging Table'!$A11, LS_previous!$B$4:$B$138, 0), MATCH(Z$4&amp;Z$5, LS_previous!$D$2:$AY$2&amp;LS_previous!$D$3:$AY$3, 0)),SUM(VLOOKUP($A11, LS_previous!$B$4:$AY$138, LS_previous!R$149, FALSE), VLOOKUP('Staging Table'!$A11, LS_previous!$B$4:$AY$138,LS_previous!AP$149, FALSE))/2)</f>
        <v>0</v>
      </c>
      <c r="AA11" s="227">
        <f t="array" ref="AA11">IF($G11=0, INDEX(LS_previous!$D$4:$AY$138, MATCH('Staging Table'!$A11, LS_previous!$B$4:$B$138, 0), MATCH(AA$4&amp;AA$5, LS_previous!$D$2:$AY$2&amp;LS_previous!$D$3:$AY$3, 0)),SUM(VLOOKUP($A11, LS_previous!$B$4:$AY$138, LS_previous!S$149, FALSE), VLOOKUP('Staging Table'!$A11, LS_previous!$B$4:$AY$138,LS_previous!AQ$149, FALSE))/2)</f>
        <v>0</v>
      </c>
      <c r="AB11" s="227">
        <f t="array" ref="AB11">IF($G11=0, INDEX(LS_previous!$D$4:$AY$138, MATCH('Staging Table'!$A11, LS_previous!$B$4:$B$138, 0), MATCH(AB$4&amp;AB$5, LS_previous!$D$2:$AY$2&amp;LS_previous!$D$3:$AY$3, 0)),SUM(VLOOKUP($A11, LS_previous!$B$4:$AY$138, LS_previous!T$149, FALSE), VLOOKUP('Staging Table'!$A11, LS_previous!$B$4:$AY$138,LS_previous!AR$149, FALSE))/2)</f>
        <v>0</v>
      </c>
      <c r="AC11" s="227">
        <f t="array" ref="AC11">IF($G11=0, INDEX(LS_previous!$D$4:$AY$138, MATCH('Staging Table'!$A11, LS_previous!$B$4:$B$138, 0), MATCH(AC$4&amp;AC$5, LS_previous!$D$2:$AY$2&amp;LS_previous!$D$3:$AY$3, 0)),SUM(VLOOKUP($A11, LS_previous!$B$4:$AY$138, LS_previous!U$149, FALSE), VLOOKUP('Staging Table'!$A11, LS_previous!$B$4:$AY$138,LS_previous!AS$149, FALSE))/2)</f>
        <v>0</v>
      </c>
      <c r="AD11" s="227">
        <f t="array" ref="AD11">IF($G11=0, INDEX(LS_previous!$D$4:$AY$138, MATCH('Staging Table'!$A11, LS_previous!$B$4:$B$138, 0), MATCH(AD$4&amp;AD$5, LS_previous!$D$2:$AY$2&amp;LS_previous!$D$3:$AY$3, 0)),SUM(VLOOKUP($A11, LS_previous!$B$4:$AY$138, LS_previous!V$149, FALSE), VLOOKUP('Staging Table'!$A11, LS_previous!$B$4:$AY$138,LS_previous!AT$149, FALSE))/2)</f>
        <v>0</v>
      </c>
      <c r="AE11" s="227">
        <f t="array" ref="AE11">IF($G11=0, INDEX(LS_previous!$D$4:$AY$138, MATCH('Staging Table'!$A11, LS_previous!$B$4:$B$138, 0), MATCH(AE$4&amp;AE$5, LS_previous!$D$2:$AY$2&amp;LS_previous!$D$3:$AY$3, 0)),SUM(VLOOKUP($A11, LS_previous!$B$4:$AY$138, LS_previous!W$149, FALSE), VLOOKUP('Staging Table'!$A11, LS_previous!$B$4:$AY$138,LS_previous!AU$149, FALSE))/2)</f>
        <v>0</v>
      </c>
      <c r="AF11" s="227">
        <f t="array" ref="AF11">IF($G11=0, INDEX(LS_previous!$D$4:$AY$138, MATCH('Staging Table'!$A11, LS_previous!$B$4:$B$138, 0), MATCH(AF$4&amp;AF$5, LS_previous!$D$2:$AY$2&amp;LS_previous!$D$3:$AY$3, 0)),SUM(VLOOKUP($A11, LS_previous!$B$4:$AY$138, LS_previous!X$149, FALSE), VLOOKUP('Staging Table'!$A11, LS_previous!$B$4:$AY$138,LS_previous!AV$149, FALSE))/2)</f>
        <v>0</v>
      </c>
      <c r="AG11" s="227">
        <f t="array" ref="AG11">IF($G11=0, INDEX(LS_previous!$D$4:$AY$138, MATCH('Staging Table'!$A11, LS_previous!$B$4:$B$138, 0), MATCH(AG$4&amp;AG$5, LS_previous!$D$2:$AY$2&amp;LS_previous!$D$3:$AY$3, 0)),SUM(VLOOKUP($A11, LS_previous!$B$4:$AY$138, LS_previous!Y$149, FALSE), VLOOKUP('Staging Table'!$A11, LS_previous!$B$4:$AY$138,LS_previous!AW$149, FALSE))/2)</f>
        <v>0</v>
      </c>
      <c r="AH11" s="227">
        <f t="array" ref="AH11">IF($G11=0, INDEX(LS_previous!$D$4:$AY$138, MATCH('Staging Table'!$A11, LS_previous!$B$4:$B$138, 0), MATCH(AH$4&amp;AH$5, LS_previous!$D$2:$AY$2&amp;LS_previous!$D$3:$AY$3, 0)),SUM(VLOOKUP($A11, LS_previous!$B$4:$AY$138, LS_previous!Z$149, FALSE), VLOOKUP('Staging Table'!$A11, LS_previous!$B$4:$AY$138,LS_previous!AX$149, FALSE))/2)</f>
        <v>0</v>
      </c>
      <c r="AI11" s="227">
        <f t="array" ref="AI11">IF($G11=0, INDEX(LS_previous!$D$4:$AY$138, MATCH('Staging Table'!$A11, LS_previous!$B$4:$B$138, 0), MATCH(AI$4&amp;AI$5, LS_previous!$D$2:$AY$2&amp;LS_previous!$D$3:$AY$3, 0)),SUM(VLOOKUP($A11, LS_previous!$B$4:$AY$138, LS_previous!AA$149, FALSE), VLOOKUP('Staging Table'!$A11, LS_previous!$B$4:$AY$138,LS_previous!AY$149, FALSE))/2)</f>
        <v>0</v>
      </c>
      <c r="AJ11" s="424">
        <f t="array" ref="AJ11">INDEX(Demand_previous!$D$4:$AY$138, MATCH('Staging Table'!$A11, Demand_previous!$B$4:$B$138, 0), MATCH(AJ$4&amp;AJ$5,Demand_previous!$D$2:$AY$2&amp;Demand_previous!$D$3:$AY$3, 0))/1000</f>
        <v>0</v>
      </c>
      <c r="AK11" s="424">
        <f t="array" ref="AK11">INDEX(Demand_previous!$D$4:$AY$138, MATCH('Staging Table'!$A11, Demand_previous!$B$4:$B$138, 0), MATCH(AK$4&amp;AK$5,Demand_previous!$D$2:$AY$2&amp;Demand_previous!$D$3:$AY$3, 0))/1000</f>
        <v>0</v>
      </c>
      <c r="AL11" s="424">
        <f t="array" ref="AL11">INDEX(Demand_previous!$D$4:$AY$138, MATCH('Staging Table'!$A11, Demand_previous!$B$4:$B$138, 0), MATCH(AL$4&amp;AL$5,Demand_previous!$D$2:$AY$2&amp;Demand_previous!$D$3:$AY$3, 0))/1000</f>
        <v>0</v>
      </c>
      <c r="AM11" s="424">
        <f t="array" ref="AM11">INDEX(Demand_previous!$D$4:$AY$138, MATCH('Staging Table'!$A11, Demand_previous!$B$4:$B$138, 0), MATCH(AM$4&amp;AM$5,Demand_previous!$D$2:$AY$2&amp;Demand_previous!$D$3:$AY$3, 0))/1000</f>
        <v>0</v>
      </c>
      <c r="AN11" s="424">
        <f t="array" ref="AN11">INDEX(Demand_previous!$D$4:$AY$138, MATCH('Staging Table'!$A11, Demand_previous!$B$4:$B$138, 0), MATCH(AN$4&amp;AN$5,Demand_previous!$D$2:$AY$2&amp;Demand_previous!$D$3:$AY$3, 0))/1000</f>
        <v>0</v>
      </c>
      <c r="AO11" s="424">
        <f t="array" ref="AO11">INDEX(Demand_previous!$D$4:$AY$138, MATCH('Staging Table'!$A11, Demand_previous!$B$4:$B$138, 0), MATCH(AO$4&amp;AO$5,Demand_previous!$D$2:$AY$2&amp;Demand_previous!$D$3:$AY$3, 0))/1000</f>
        <v>0</v>
      </c>
      <c r="AP11" s="424">
        <f t="array" ref="AP11">INDEX(Demand_previous!$D$4:$AY$138, MATCH('Staging Table'!$A11, Demand_previous!$B$4:$B$138, 0), MATCH(AP$4&amp;AP$5,Demand_previous!$D$2:$AY$2&amp;Demand_previous!$D$3:$AY$3, 0))/1000</f>
        <v>0</v>
      </c>
      <c r="AQ11" s="424">
        <f t="array" ref="AQ11">INDEX(Demand_previous!$D$4:$AY$138, MATCH('Staging Table'!$A11, Demand_previous!$B$4:$B$138, 0), MATCH(AQ$4&amp;AQ$5,Demand_previous!$D$2:$AY$2&amp;Demand_previous!$D$3:$AY$3, 0))/1000</f>
        <v>0</v>
      </c>
      <c r="AR11" s="424">
        <f t="array" ref="AR11">INDEX(Demand_previous!$D$4:$AY$138, MATCH('Staging Table'!$A11, Demand_previous!$B$4:$B$138, 0), MATCH(AR$4&amp;AR$5,Demand_previous!$D$2:$AY$2&amp;Demand_previous!$D$3:$AY$3, 0))/1000</f>
        <v>0</v>
      </c>
      <c r="AS11" s="424">
        <f t="array" ref="AS11">INDEX(Demand_previous!$D$4:$AY$138, MATCH('Staging Table'!$A11, Demand_previous!$B$4:$B$138, 0), MATCH(AS$4&amp;AS$5,Demand_previous!$D$2:$AY$2&amp;Demand_previous!$D$3:$AY$3, 0))/1000</f>
        <v>0</v>
      </c>
      <c r="AT11" s="424">
        <f t="array" ref="AT11">INDEX(Demand_previous!$D$4:$AY$138, MATCH('Staging Table'!$A11, Demand_previous!$B$4:$B$138, 0), MATCH(AT$4&amp;AT$5,Demand_previous!$D$2:$AY$2&amp;Demand_previous!$D$3:$AY$3, 0))/1000</f>
        <v>0</v>
      </c>
      <c r="AU11" s="424">
        <f t="array" ref="AU11">INDEX(Demand_previous!$D$4:$AY$138, MATCH('Staging Table'!$A11, Demand_previous!$B$4:$B$138, 0), MATCH(AU$4&amp;AU$5,Demand_previous!$D$2:$AY$2&amp;Demand_previous!$D$3:$AY$3, 0))/1000</f>
        <v>0</v>
      </c>
      <c r="AV11" s="227">
        <f>$F11*(VLOOKUP(AV$4, Rates_previous!$G$6:$Q$29, 10, FALSE)+VLOOKUP(AV$4, Rates_previous!$G$6:$Q$29, 11, FALSE))</f>
        <v>11702.401287371713</v>
      </c>
      <c r="AW11" s="227">
        <f>$F11*(VLOOKUP(AW$4, Rates_previous!$G$6:$Q$29, 10, FALSE)+VLOOKUP(AW$4, Rates_previous!$G$6:$Q$29, 11, FALSE))</f>
        <v>14463.278561557965</v>
      </c>
      <c r="AX11" s="227">
        <f>$F11*(VLOOKUP(AX$4, Rates_previous!$G$6:$Q$29, 10, FALSE)+VLOOKUP(AX$4, Rates_previous!$G$6:$Q$29, 11, FALSE))</f>
        <v>14289.591884950387</v>
      </c>
      <c r="AY11" s="227">
        <f>$F11*(VLOOKUP(AY$4, Rates_previous!$G$6:$Q$29, 10, FALSE)+VLOOKUP(AY$4, Rates_previous!$G$6:$Q$29, 11, FALSE))</f>
        <v>12209.094242636327</v>
      </c>
      <c r="AZ11" s="227">
        <f>$F11*(VLOOKUP(AZ$4, Rates_previous!$G$6:$Q$29, 10, FALSE)+VLOOKUP(AZ$4, Rates_previous!$G$6:$Q$29, 11, FALSE))</f>
        <v>10009.089066936531</v>
      </c>
      <c r="BA11" s="227">
        <f>$F11*(VLOOKUP(BA$4, Rates_previous!$G$6:$Q$29, 10, FALSE)+VLOOKUP(BA$4, Rates_previous!$G$6:$Q$29, 11, FALSE))</f>
        <v>11850.39789139716</v>
      </c>
      <c r="BB11" s="227">
        <f>$F11*(VLOOKUP(BB$4, Rates_previous!$G$6:$Q$29, 10, FALSE)+VLOOKUP(BB$4, Rates_previous!$G$6:$Q$29, 11, FALSE))</f>
        <v>11389.956119169778</v>
      </c>
      <c r="BC11" s="227">
        <f>$F11*(VLOOKUP(BC$4, Rates_previous!$G$6:$Q$29, 10, FALSE)+VLOOKUP(BC$4, Rates_previous!$G$6:$Q$29, 11, FALSE))</f>
        <v>16713.954620292599</v>
      </c>
      <c r="BD11" s="227">
        <f>$F11*(VLOOKUP(BD$4, Rates_previous!$G$6:$Q$29, 10, FALSE)+VLOOKUP(BD$4, Rates_previous!$G$6:$Q$29, 11, FALSE))</f>
        <v>13186.868440205468</v>
      </c>
      <c r="BE11" s="227">
        <f>$F11*(VLOOKUP(BE$4, Rates_previous!$G$6:$Q$29, 10, FALSE)+VLOOKUP(BE$4, Rates_previous!$G$6:$Q$29, 11, FALSE))</f>
        <v>11579.177337295385</v>
      </c>
      <c r="BF11" s="227">
        <f>$F11*(VLOOKUP(BF$4, Rates_previous!$G$6:$Q$29, 10, FALSE)+VLOOKUP(BF$4, Rates_previous!$G$6:$Q$29, 11, FALSE))</f>
        <v>12824.402389039682</v>
      </c>
      <c r="BG11" s="227">
        <f>$F11*(VLOOKUP(BG$4, Rates_previous!$G$6:$Q$29, 10, FALSE)+VLOOKUP(BG$4, Rates_previous!$G$6:$Q$29, 11, FALSE))</f>
        <v>11618.39856995023</v>
      </c>
      <c r="BH11" s="229">
        <f>IF($D11=0,IF(C11=0, MAX(BK11 - (VLOOKUP($A11,TOCA_previous!$A$2:$AI$137,MATCH("RHWM 2018",TOCA_previous!$A$2:$AI$2,0),FALSE)*$F$2*TOCA_previous!C8),0),0), 0)</f>
        <v>0</v>
      </c>
      <c r="BI11" s="266">
        <f>VLOOKUP($A11,REP_previous!$A$1:$D$135,MATCH("FY "&amp;$F$1&amp; " Total Refund",REP_previous!$A$1:$D$1,0),0)</f>
        <v>201878.73449378833</v>
      </c>
      <c r="BJ11" s="241">
        <f>MIN(VLOOKUP($A11,TOCA_previous!$A$2:$AI$137,MATCH("TRL - NLSL - Existing Resource "&amp;$F$1,TOCA_previous!$A$2:$AI$2,0),FALSE)*$F$2,(VLOOKUP($A11,TOCA_previous!$A$2:$AI$137,MATCH("RHWM 2018",TOCA_previous!$A$2:$AI$2,0),FALSE)*$F$2))</f>
        <v>151837.07999999999</v>
      </c>
      <c r="BK11" s="229">
        <f>SUM(L11:AI11)+(F11*RT1SC!$C$3*$F$2)</f>
        <v>151836.61262596797</v>
      </c>
      <c r="BL11" s="241">
        <f>VLOOKUP($A11,TOCA_previous!$A$2:$AI$137,MATCH("Above RHWM Not Served with LS "&amp;$F$1,TOCA_previous!$A$2:$AI$2,0),FALSE)*$F$2</f>
        <v>23573.16</v>
      </c>
      <c r="BM11" s="151">
        <f t="shared" si="5"/>
        <v>-0.46737403201404959</v>
      </c>
      <c r="BN11" s="242">
        <f>(VLOOKUP($A11,TOCA_previous!$A$2:$AI$137,MATCH("RHWM 2018",TOCA_previous!$A$2:$AI$2,0),FALSE)*$F$2) - $BJ11</f>
        <v>0</v>
      </c>
      <c r="BO11" s="151">
        <f t="shared" si="6"/>
        <v>0</v>
      </c>
      <c r="BP11" s="243">
        <f t="shared" si="7"/>
        <v>0</v>
      </c>
      <c r="BQ11" s="237">
        <f t="shared" si="8"/>
        <v>0</v>
      </c>
      <c r="BR11" s="242">
        <f t="shared" si="9"/>
        <v>0</v>
      </c>
      <c r="BS11" s="151">
        <f>VLOOKUP($A11,TOCA_current!$A$2:$AI$137,MATCH(BS$4,TOCA_current!$A$2:$AI$2,0),FALSE)</f>
        <v>2.4945000000000002E-3</v>
      </c>
      <c r="BT11" s="151">
        <f>VLOOKUP($A11,TOCA_current!$A$2:$AI$137,MATCH(BT$4,TOCA_current!$A$2:$AI$2,0),FALSE)</f>
        <v>2.4945000000000002E-3</v>
      </c>
      <c r="BU11" s="236">
        <f t="shared" si="10"/>
        <v>0</v>
      </c>
      <c r="BV11" s="151">
        <f>VLOOKUP($A11,TOCA_current!A7:BG142,MATCH(BV$4,TOCA_current!$A$2:$BG$2,0),FALSE)</f>
        <v>7.2473899999999994E-2</v>
      </c>
      <c r="BW11" s="151">
        <f t="shared" si="11"/>
        <v>7.2473899999999994E-2</v>
      </c>
      <c r="BX11" s="151">
        <f t="shared" si="12"/>
        <v>2.4945000000000002E-3</v>
      </c>
      <c r="BY11" s="226">
        <f>VLOOKUP($A11,IRD!$A$4:$G$139, 7, FALSE)</f>
        <v>0</v>
      </c>
      <c r="BZ11" s="227">
        <f t="array" ref="BZ11">IF($BU11=0, INDEX(LS_current!$D$4:$AY$138, MATCH('Staging Table'!$A11, LS_current!$B$4:$B$138, 0), MATCH(BZ$4&amp;BZ$5, LS_current!$D$2:$AY$2&amp;LS_current!$D$3:$AY$3, 0)),SUM(VLOOKUP($A11, LS_current!$B$4:$AY$138, LS_current!D$148, FALSE), VLOOKUP($A11, LS_current!$B$4:$AY$138,LS_current!D$148, FALSE))/2)</f>
        <v>0</v>
      </c>
      <c r="CA11" s="227">
        <f t="array" ref="CA11">IF($BU11=0, INDEX(LS_current!$D$4:$AY$138, MATCH('Staging Table'!$A11, LS_current!$B$4:$B$138, 0), MATCH(CA$4&amp;CA$5, LS_current!$D$2:$AY$2&amp;LS_current!$D$3:$AY$3, 0)),SUM(VLOOKUP($A11, LS_current!$B$4:$AY$138, LS_current!E$148, FALSE), VLOOKUP($A11, LS_current!$B$4:$AY$138,LS_current!E$148, FALSE))/2)</f>
        <v>0</v>
      </c>
      <c r="CB11" s="227">
        <f t="array" ref="CB11">IF($BU11=0, INDEX(LS_current!$D$4:$AY$138, MATCH('Staging Table'!$A11, LS_current!$B$4:$B$138, 0), MATCH(CB$4&amp;CB$5, LS_current!$D$2:$AY$2&amp;LS_current!$D$3:$AY$3, 0)),SUM(VLOOKUP($A11, LS_current!$B$4:$AY$138, LS_current!F$148, FALSE), VLOOKUP($A11, LS_current!$B$4:$AY$138,LS_current!F$148, FALSE))/2)</f>
        <v>0</v>
      </c>
      <c r="CC11" s="227">
        <f t="array" ref="CC11">IF($BU11=0, INDEX(LS_current!$D$4:$AY$138, MATCH('Staging Table'!$A11, LS_current!$B$4:$B$138, 0), MATCH(CC$4&amp;CC$5, LS_current!$D$2:$AY$2&amp;LS_current!$D$3:$AY$3, 0)),SUM(VLOOKUP($A11, LS_current!$B$4:$AY$138, LS_current!G$148, FALSE), VLOOKUP($A11, LS_current!$B$4:$AY$138,LS_current!G$148, FALSE))/2)</f>
        <v>0</v>
      </c>
      <c r="CD11" s="227">
        <f t="array" ref="CD11">IF($BU11=0, INDEX(LS_current!$D$4:$AY$138, MATCH('Staging Table'!$A11, LS_current!$B$4:$B$138, 0), MATCH(CD$4&amp;CD$5, LS_current!$D$2:$AY$2&amp;LS_current!$D$3:$AY$3, 0)),SUM(VLOOKUP($A11, LS_current!$B$4:$AY$138, LS_current!H$148, FALSE), VLOOKUP($A11, LS_current!$B$4:$AY$138,LS_current!H$148, FALSE))/2)</f>
        <v>0</v>
      </c>
      <c r="CE11" s="227">
        <f t="array" ref="CE11">IF($BU11=0, INDEX(LS_current!$D$4:$AY$138, MATCH('Staging Table'!$A11, LS_current!$B$4:$B$138, 0), MATCH(CE$4&amp;CE$5, LS_current!$D$2:$AY$2&amp;LS_current!$D$3:$AY$3, 0)),SUM(VLOOKUP($A11, LS_current!$B$4:$AY$138, LS_current!I$148, FALSE), VLOOKUP($A11, LS_current!$B$4:$AY$138,LS_current!I$148, FALSE))/2)</f>
        <v>0</v>
      </c>
      <c r="CF11" s="227">
        <f t="array" ref="CF11">IF($BU11=0, INDEX(LS_current!$D$4:$AY$138, MATCH('Staging Table'!$A11, LS_current!$B$4:$B$138, 0), MATCH(CF$4&amp;CF$5, LS_current!$D$2:$AY$2&amp;LS_current!$D$3:$AY$3, 0)),SUM(VLOOKUP($A11, LS_current!$B$4:$AY$138, LS_current!J$148, FALSE), VLOOKUP($A11, LS_current!$B$4:$AY$138,LS_current!J$148, FALSE))/2)</f>
        <v>0</v>
      </c>
      <c r="CG11" s="227">
        <f t="array" ref="CG11">IF($BU11=0, INDEX(LS_current!$D$4:$AY$138, MATCH('Staging Table'!$A11, LS_current!$B$4:$B$138, 0), MATCH(CG$4&amp;CG$5, LS_current!$D$2:$AY$2&amp;LS_current!$D$3:$AY$3, 0)),SUM(VLOOKUP($A11, LS_current!$B$4:$AY$138, LS_current!K$148, FALSE), VLOOKUP($A11, LS_current!$B$4:$AY$138,LS_current!K$148, FALSE))/2)</f>
        <v>0</v>
      </c>
      <c r="CH11" s="227">
        <f t="array" ref="CH11">IF($BU11=0, INDEX(LS_current!$D$4:$AY$138, MATCH('Staging Table'!$A11, LS_current!$B$4:$B$138, 0), MATCH(CH$4&amp;CH$5, LS_current!$D$2:$AY$2&amp;LS_current!$D$3:$AY$3, 0)),SUM(VLOOKUP($A11, LS_current!$B$4:$AY$138, LS_current!L$148, FALSE), VLOOKUP($A11, LS_current!$B$4:$AY$138,LS_current!L$148, FALSE))/2)</f>
        <v>0</v>
      </c>
      <c r="CI11" s="227">
        <f t="array" ref="CI11">IF($BU11=0, INDEX(LS_current!$D$4:$AY$138, MATCH('Staging Table'!$A11, LS_current!$B$4:$B$138, 0), MATCH(CI$4&amp;CI$5, LS_current!$D$2:$AY$2&amp;LS_current!$D$3:$AY$3, 0)),SUM(VLOOKUP($A11, LS_current!$B$4:$AY$138, LS_current!M$148, FALSE), VLOOKUP($A11, LS_current!$B$4:$AY$138,LS_current!M$148, FALSE))/2)</f>
        <v>0</v>
      </c>
      <c r="CJ11" s="227">
        <f t="array" ref="CJ11">IF($BU11=0, INDEX(LS_current!$D$4:$AY$138, MATCH('Staging Table'!$A11, LS_current!$B$4:$B$138, 0), MATCH(CJ$4&amp;CJ$5, LS_current!$D$2:$AY$2&amp;LS_current!$D$3:$AY$3, 0)),SUM(VLOOKUP($A11, LS_current!$B$4:$AY$138, LS_current!N$148, FALSE), VLOOKUP($A11, LS_current!$B$4:$AY$138,LS_current!N$148, FALSE))/2)</f>
        <v>0</v>
      </c>
      <c r="CK11" s="227">
        <f t="array" ref="CK11">IF($BU11=0, INDEX(LS_current!$D$4:$AY$138, MATCH('Staging Table'!$A11, LS_current!$B$4:$B$138, 0), MATCH(CK$4&amp;CK$5, LS_current!$D$2:$AY$2&amp;LS_current!$D$3:$AY$3, 0)),SUM(VLOOKUP($A11, LS_current!$B$4:$AY$138, LS_current!O$148, FALSE), VLOOKUP($A11, LS_current!$B$4:$AY$138,LS_current!O$148, FALSE))/2)</f>
        <v>0</v>
      </c>
      <c r="CL11" s="227">
        <f t="array" ref="CL11">IF($BU11=0, INDEX(LS_current!$D$4:$AY$138, MATCH('Staging Table'!$A11, LS_current!$B$4:$B$138, 0), MATCH(CL$4&amp;CL$5, LS_current!$D$2:$AY$2&amp;LS_current!$D$3:$AY$3, 0)),SUM(VLOOKUP($A11, LS_current!$B$4:$AY$138, LS_current!P$148, FALSE), VLOOKUP($A11, LS_current!$B$4:$AY$138,LS_current!P$148, FALSE))/2)</f>
        <v>0</v>
      </c>
      <c r="CM11" s="227">
        <f t="array" ref="CM11">IF($BU11=0, INDEX(LS_current!$D$4:$AY$138, MATCH('Staging Table'!$A11, LS_current!$B$4:$B$138, 0), MATCH(CM$4&amp;CM$5, LS_current!$D$2:$AY$2&amp;LS_current!$D$3:$AY$3, 0)),SUM(VLOOKUP($A11, LS_current!$B$4:$AY$138, LS_current!Q$148, FALSE), VLOOKUP($A11, LS_current!$B$4:$AY$138,LS_current!Q$148, FALSE))/2)</f>
        <v>0</v>
      </c>
      <c r="CN11" s="227">
        <f t="array" ref="CN11">IF($BU11=0, INDEX(LS_current!$D$4:$AY$138, MATCH('Staging Table'!$A11, LS_current!$B$4:$B$138, 0), MATCH(CN$4&amp;CN$5, LS_current!$D$2:$AY$2&amp;LS_current!$D$3:$AY$3, 0)),SUM(VLOOKUP($A11, LS_current!$B$4:$AY$138, LS_current!R$148, FALSE), VLOOKUP($A11, LS_current!$B$4:$AY$138,LS_current!R$148, FALSE))/2)</f>
        <v>0</v>
      </c>
      <c r="CO11" s="227">
        <f t="array" ref="CO11">IF($BU11=0, INDEX(LS_current!$D$4:$AY$138, MATCH('Staging Table'!$A11, LS_current!$B$4:$B$138, 0), MATCH(CO$4&amp;CO$5, LS_current!$D$2:$AY$2&amp;LS_current!$D$3:$AY$3, 0)),SUM(VLOOKUP($A11, LS_current!$B$4:$AY$138, LS_current!S$148, FALSE), VLOOKUP($A11, LS_current!$B$4:$AY$138,LS_current!S$148, FALSE))/2)</f>
        <v>0</v>
      </c>
      <c r="CP11" s="227">
        <f t="array" ref="CP11">IF($BU11=0, INDEX(LS_current!$D$4:$AY$138, MATCH('Staging Table'!$A11, LS_current!$B$4:$B$138, 0), MATCH(CP$4&amp;CP$5, LS_current!$D$2:$AY$2&amp;LS_current!$D$3:$AY$3, 0)),SUM(VLOOKUP($A11, LS_current!$B$4:$AY$138, LS_current!T$148, FALSE), VLOOKUP($A11, LS_current!$B$4:$AY$138,LS_current!T$148, FALSE))/2)</f>
        <v>0</v>
      </c>
      <c r="CQ11" s="227">
        <f t="array" ref="CQ11">IF($BU11=0, INDEX(LS_current!$D$4:$AY$138, MATCH('Staging Table'!$A11, LS_current!$B$4:$B$138, 0), MATCH(CQ$4&amp;CQ$5, LS_current!$D$2:$AY$2&amp;LS_current!$D$3:$AY$3, 0)),SUM(VLOOKUP($A11, LS_current!$B$4:$AY$138, LS_current!U$148, FALSE), VLOOKUP($A11, LS_current!$B$4:$AY$138,LS_current!U$148, FALSE))/2)</f>
        <v>0</v>
      </c>
      <c r="CR11" s="227">
        <f t="array" ref="CR11">IF($BU11=0, INDEX(LS_current!$D$4:$AY$138, MATCH('Staging Table'!$A11, LS_current!$B$4:$B$138, 0), MATCH(CR$4&amp;CR$5, LS_current!$D$2:$AY$2&amp;LS_current!$D$3:$AY$3, 0)),SUM(VLOOKUP($A11, LS_current!$B$4:$AY$138, LS_current!V$148, FALSE), VLOOKUP($A11, LS_current!$B$4:$AY$138,LS_current!V$148, FALSE))/2)</f>
        <v>0</v>
      </c>
      <c r="CS11" s="227">
        <f t="array" ref="CS11">IF($BU11=0, INDEX(LS_current!$D$4:$AY$138, MATCH('Staging Table'!$A11, LS_current!$B$4:$B$138, 0), MATCH(CS$4&amp;CS$5, LS_current!$D$2:$AY$2&amp;LS_current!$D$3:$AY$3, 0)),SUM(VLOOKUP($A11, LS_current!$B$4:$AY$138, LS_current!W$148, FALSE), VLOOKUP($A11, LS_current!$B$4:$AY$138,LS_current!W$148, FALSE))/2)</f>
        <v>0</v>
      </c>
      <c r="CT11" s="227">
        <f t="array" ref="CT11">IF($BU11=0, INDEX(LS_current!$D$4:$AY$138, MATCH('Staging Table'!$A11, LS_current!$B$4:$B$138, 0), MATCH(CT$4&amp;CT$5, LS_current!$D$2:$AY$2&amp;LS_current!$D$3:$AY$3, 0)),SUM(VLOOKUP($A11, LS_current!$B$4:$AY$138, LS_current!X$148, FALSE), VLOOKUP($A11, LS_current!$B$4:$AY$138,LS_current!X$148, FALSE))/2)</f>
        <v>0</v>
      </c>
      <c r="CU11" s="227">
        <f t="array" ref="CU11">IF($BU11=0, INDEX(LS_current!$D$4:$AY$138, MATCH('Staging Table'!$A11, LS_current!$B$4:$B$138, 0), MATCH(CU$4&amp;CU$5, LS_current!$D$2:$AY$2&amp;LS_current!$D$3:$AY$3, 0)),SUM(VLOOKUP($A11, LS_current!$B$4:$AY$138, LS_current!Y$148, FALSE), VLOOKUP($A11, LS_current!$B$4:$AY$138,LS_current!Y$148, FALSE))/2)</f>
        <v>0</v>
      </c>
      <c r="CV11" s="227">
        <f t="array" ref="CV11">IF($BU11=0, INDEX(LS_current!$D$4:$AY$138, MATCH('Staging Table'!$A11, LS_current!$B$4:$B$138, 0), MATCH(CV$4&amp;CV$5, LS_current!$D$2:$AY$2&amp;LS_current!$D$3:$AY$3, 0)),SUM(VLOOKUP($A11, LS_current!$B$4:$AY$138, LS_current!Z$148, FALSE), VLOOKUP($A11, LS_current!$B$4:$AY$138,LS_current!Z$148, FALSE))/2)</f>
        <v>0</v>
      </c>
      <c r="CW11" s="227">
        <f t="array" ref="CW11">IF($BU11=0, INDEX(LS_current!$D$4:$AY$138, MATCH('Staging Table'!$A11, LS_current!$B$4:$B$138, 0), MATCH(CW$4&amp;CW$5, LS_current!$D$2:$AY$2&amp;LS_current!$D$3:$AY$3, 0)),SUM(VLOOKUP($A11, LS_current!$B$4:$AY$138, LS_current!AA$148, FALSE), VLOOKUP($A11, LS_current!$B$4:$AY$138,LS_current!AA$148, FALSE))/2)</f>
        <v>0</v>
      </c>
      <c r="CX11" s="229">
        <f t="array" ref="CX11">INDEX(Demand_current!$D$4:$AY$138, MATCH($A11, Demand_current!$B$4:$B$138, 0), MATCH(CX$4&amp;CX$5,Demand_current!$D$2:$AY$2&amp;Demand_current!$D$3:$AY$3, 0))/1000</f>
        <v>0</v>
      </c>
      <c r="CY11" s="229">
        <f t="array" ref="CY11">INDEX(Demand_current!$D$4:$AY$138, MATCH($A11, Demand_current!$B$4:$B$138, 0), MATCH(CY$4&amp;CY$5,Demand_current!$D$2:$AY$2&amp;Demand_current!$D$3:$AY$3, 0))/1000</f>
        <v>0</v>
      </c>
      <c r="CZ11" s="229">
        <f t="array" ref="CZ11">INDEX(Demand_current!$D$4:$AY$138, MATCH($A11, Demand_current!$B$4:$B$138, 0), MATCH(CZ$4&amp;CZ$5,Demand_current!$D$2:$AY$2&amp;Demand_current!$D$3:$AY$3, 0))/1000</f>
        <v>0</v>
      </c>
      <c r="DA11" s="229">
        <f t="array" ref="DA11">INDEX(Demand_current!$D$4:$AY$138, MATCH($A11, Demand_current!$B$4:$B$138, 0), MATCH(DA$4&amp;DA$5,Demand_current!$D$2:$AY$2&amp;Demand_current!$D$3:$AY$3, 0))/1000</f>
        <v>0</v>
      </c>
      <c r="DB11" s="229">
        <f t="array" ref="DB11">INDEX(Demand_current!$D$4:$AY$138, MATCH($A11, Demand_current!$B$4:$B$138, 0), MATCH(DB$4&amp;DB$5,Demand_current!$D$2:$AY$2&amp;Demand_current!$D$3:$AY$3, 0))/1000</f>
        <v>0</v>
      </c>
      <c r="DC11" s="229">
        <f t="array" ref="DC11">INDEX(Demand_current!$D$4:$AY$138, MATCH($A11, Demand_current!$B$4:$B$138, 0), MATCH(DC$4&amp;DC$5,Demand_current!$D$2:$AY$2&amp;Demand_current!$D$3:$AY$3, 0))/1000</f>
        <v>0</v>
      </c>
      <c r="DD11" s="229">
        <f t="array" ref="DD11">INDEX(Demand_current!$D$4:$AY$138, MATCH($A11, Demand_current!$B$4:$B$138, 0), MATCH(DD$4&amp;DD$5,Demand_current!$D$2:$AY$2&amp;Demand_current!$D$3:$AY$3, 0))/1000</f>
        <v>0</v>
      </c>
      <c r="DE11" s="229">
        <f t="array" ref="DE11">INDEX(Demand_current!$D$4:$AY$138, MATCH($A11, Demand_current!$B$4:$B$138, 0), MATCH(DE$4&amp;DE$5,Demand_current!$D$2:$AY$2&amp;Demand_current!$D$3:$AY$3, 0))/1000</f>
        <v>0</v>
      </c>
      <c r="DF11" s="229">
        <f t="array" ref="DF11">INDEX(Demand_current!$D$4:$AY$138, MATCH($A11, Demand_current!$B$4:$B$138, 0), MATCH(DF$4&amp;DF$5,Demand_current!$D$2:$AY$2&amp;Demand_current!$D$3:$AY$3, 0))/1000</f>
        <v>0</v>
      </c>
      <c r="DG11" s="229">
        <f t="array" ref="DG11">INDEX(Demand_current!$D$4:$AY$138, MATCH($A11, Demand_current!$B$4:$B$138, 0), MATCH(DG$4&amp;DG$5,Demand_current!$D$2:$AY$2&amp;Demand_current!$D$3:$AY$3, 0))/1000</f>
        <v>0</v>
      </c>
      <c r="DH11" s="229">
        <f t="array" ref="DH11">INDEX(Demand_current!$D$4:$AY$138, MATCH($A11, Demand_current!$B$4:$B$138, 0), MATCH(DH$4&amp;DH$5,Demand_current!$D$2:$AY$2&amp;Demand_current!$D$3:$AY$3, 0))/1000</f>
        <v>0</v>
      </c>
      <c r="DI11" s="229">
        <f t="array" ref="DI11">INDEX(Demand_current!$D$4:$AY$138, MATCH($A11, Demand_current!$B$4:$B$138, 0), MATCH(DI$4&amp;DI$5,Demand_current!$D$2:$AY$2&amp;Demand_current!$D$3:$AY$3, 0))/1000</f>
        <v>0</v>
      </c>
      <c r="DJ11" s="227">
        <f>$BT11*(VLOOKUP(DJ$4, Rates_current!$G$6:$Q$29, 10, FALSE)+VLOOKUP(DJ$4, Rates_current!$G$6:$Q$29, 11, FALSE))</f>
        <v>11517.897745422</v>
      </c>
      <c r="DK11" s="227">
        <f>$BT11*(VLOOKUP(DK$4, Rates_current!$G$6:$Q$29, 10, FALSE)+VLOOKUP(DK$4, Rates_current!$G$6:$Q$29, 11, FALSE))</f>
        <v>14631.323214685501</v>
      </c>
      <c r="DL11" s="227">
        <f>$BT11*(VLOOKUP(DL$4, Rates_current!$G$6:$Q$29, 10, FALSE)+VLOOKUP(DL$4, Rates_current!$G$6:$Q$29, 11, FALSE))</f>
        <v>14454.630188922003</v>
      </c>
      <c r="DM11" s="227">
        <f>$BT11*(VLOOKUP(DM$4, Rates_current!$G$6:$Q$29, 10, FALSE)+VLOOKUP(DM$4, Rates_current!$G$6:$Q$29, 11, FALSE))</f>
        <v>12048.814652922001</v>
      </c>
      <c r="DN11" s="227">
        <f>$BT11*(VLOOKUP(DN$4, Rates_current!$G$6:$Q$29, 10, FALSE)+VLOOKUP(DN$4, Rates_current!$G$6:$Q$29, 11, FALSE))</f>
        <v>10914.9761076</v>
      </c>
      <c r="DO11" s="227">
        <f>$BT11*(VLOOKUP(DO$4, Rates_current!$G$6:$Q$29, 10, FALSE)+VLOOKUP(DO$4, Rates_current!$G$6:$Q$29, 11, FALSE))</f>
        <v>12140.920924846501</v>
      </c>
      <c r="DP11" s="227">
        <f>$BT11*(VLOOKUP(DP$4, Rates_current!$G$6:$Q$29, 10, FALSE)+VLOOKUP(DP$4, Rates_current!$G$6:$Q$29, 11, FALSE))</f>
        <v>9885.150918360001</v>
      </c>
      <c r="DQ11" s="227">
        <f>$BT11*(VLOOKUP(DQ$4, Rates_current!$G$6:$Q$29, 10, FALSE)+VLOOKUP(DQ$4, Rates_current!$G$6:$Q$29, 11, FALSE))</f>
        <v>13331.600052672002</v>
      </c>
      <c r="DR11" s="227">
        <f>$BT11*(VLOOKUP(DR$4, Rates_current!$G$6:$Q$29, 10, FALSE)+VLOOKUP(DR$4, Rates_current!$G$6:$Q$29, 11, FALSE))</f>
        <v>17010.214966110001</v>
      </c>
      <c r="DS11" s="227">
        <f>$BT11*(VLOOKUP(DS$4, Rates_current!$G$6:$Q$29, 10, FALSE)+VLOOKUP(DS$4, Rates_current!$G$6:$Q$29, 11, FALSE))</f>
        <v>13336.547893422003</v>
      </c>
      <c r="DT11" s="227">
        <f>$BT11*(VLOOKUP(DT$4, Rates_current!$G$6:$Q$29, 10, FALSE)+VLOOKUP(DT$4, Rates_current!$G$6:$Q$29, 11, FALSE))</f>
        <v>12987.142031172003</v>
      </c>
      <c r="DU11" s="227">
        <f>$BT11*(VLOOKUP(DU$4, Rates_current!$G$6:$Q$29, 10, FALSE)+VLOOKUP(DU$4, Rates_current!$G$6:$Q$29, 11, FALSE))</f>
        <v>11659.690822860002</v>
      </c>
      <c r="DV11" s="229">
        <f>IF(D11=0,IF(C11=0,MAX(0,DY11 - (VLOOKUP($A11,TOCA_current!$A$2:$AI$137,MATCH("RHWM 2020",TOCA_current!$A$2:$AI$2,0),FALSE)*$BT$2)), 0),0)</f>
        <v>0</v>
      </c>
      <c r="DW11" s="266">
        <f>VLOOKUP($A11,REP_current!$A$1:$D$135,MATCH("FY "&amp;$BT$1&amp; " Total Refund",REP_current!$A$1:$D$1,0),0)</f>
        <v>0</v>
      </c>
      <c r="DX11" s="295">
        <f>MIN(VLOOKUP($A11,TOCA_current!$A$2:$AI$137,MATCH("TRL - NLSL - Existing Resource "&amp;$BT$1,TOCA_current!$A$2:$AI$2,0),FALSE)*$BT$2, VLOOKUP($A11,TOCA_current!$A$2:$AI$137,MATCH("RHWM 2020",TOCA_current!$A$2:$AI$2,0),FALSE)*$BT$2)</f>
        <v>153922.03200000001</v>
      </c>
      <c r="DY11" s="240">
        <f>SUM(BZ11:CW11)+(BT11*RT1SC!$C$4*$BT$2)</f>
        <v>153918.91529625602</v>
      </c>
      <c r="DZ11" s="271">
        <f>VLOOKUP($A11,TOCA_current!$A$2:$AI$137,MATCH("Above RHWM Not Served with LS "&amp;$BT$1,TOCA_current!$A$2:$AI$2,0),FALSE)*$BT$2</f>
        <v>32000.111999999997</v>
      </c>
      <c r="EA11" s="244">
        <f t="shared" si="13"/>
        <v>-3.1167037439881824</v>
      </c>
      <c r="EB11" s="295">
        <f>(VLOOKUP($A11,TOCA_current!$A$2:$AI$137,MATCH("RHWM 2020",TOCA_current!$A$2:$AI$2,0),FALSE)*$BT$2) - $DX11</f>
        <v>0</v>
      </c>
      <c r="EC11" s="240">
        <f t="shared" si="14"/>
        <v>0</v>
      </c>
      <c r="ED11" s="240">
        <f t="shared" si="15"/>
        <v>0</v>
      </c>
      <c r="EE11" s="240">
        <f t="shared" si="16"/>
        <v>0</v>
      </c>
      <c r="EF11" s="240">
        <f t="shared" si="17"/>
        <v>0</v>
      </c>
    </row>
    <row r="12" spans="1:136">
      <c r="A12" s="166">
        <v>10044</v>
      </c>
      <c r="B12" s="167" t="s">
        <v>13</v>
      </c>
      <c r="C12" s="240">
        <v>0</v>
      </c>
      <c r="D12" s="240">
        <v>0</v>
      </c>
      <c r="E12" s="150">
        <f>VLOOKUP($A12,TOCA_previous!$A$2:$AI$137,MATCH(E$4,TOCA_previous!$A$2:$AI$2,0),FALSE)</f>
        <v>2.8774E-3</v>
      </c>
      <c r="F12" s="151">
        <f>VLOOKUP($A12,TOCA_previous!$A$2:$AI$137,MATCH(F$4,TOCA_previous!$A$2:$AI$2,0),FALSE)</f>
        <v>2.8774E-3</v>
      </c>
      <c r="G12" s="151">
        <f t="shared" si="2"/>
        <v>0</v>
      </c>
      <c r="H12" s="151">
        <f>VLOOKUP($A12,TOCA_previous!$A$2:$AI$137,MATCH(H$4,TOCA_previous!$A$2:$AI$2,0),FALSE)</f>
        <v>0</v>
      </c>
      <c r="I12" s="151">
        <f t="shared" si="3"/>
        <v>0</v>
      </c>
      <c r="J12" s="151">
        <f t="shared" si="4"/>
        <v>0</v>
      </c>
      <c r="K12" s="226">
        <f>VLOOKUP(A12, IRD!$A$5:$C$139, 3, FALSE)</f>
        <v>0</v>
      </c>
      <c r="L12" s="227">
        <f t="array" ref="L12">IF($G12=0, INDEX(LS_previous!$D$4:$AY$138, MATCH('Staging Table'!$A12, LS_previous!$B$4:$B$138, 0), MATCH(L$4&amp;L$5, LS_previous!$D$2:$AY$2&amp;LS_previous!$D$3:$AY$3, 0)),SUM(VLOOKUP($A12, LS_previous!$B$4:$AY$138, LS_previous!D$149, FALSE), VLOOKUP('Staging Table'!$A12, LS_previous!$B$4:$AY$138,LS_previous!AB$149, FALSE))/2)</f>
        <v>355</v>
      </c>
      <c r="M12" s="227">
        <f t="array" ref="M12">IF($G12=0, INDEX(LS_previous!$D$4:$AY$138, MATCH('Staging Table'!$A12, LS_previous!$B$4:$B$138, 0), MATCH(M$4&amp;M$5, LS_previous!$D$2:$AY$2&amp;LS_previous!$D$3:$AY$3, 0)),SUM(VLOOKUP($A12, LS_previous!$B$4:$AY$138, LS_previous!E$149, FALSE), VLOOKUP('Staging Table'!$A12, LS_previous!$B$4:$AY$138,LS_previous!AC$149, FALSE))/2)</f>
        <v>9</v>
      </c>
      <c r="N12" s="227">
        <f t="array" ref="N12">IF($G12=0, INDEX(LS_previous!$D$4:$AY$138, MATCH('Staging Table'!$A12, LS_previous!$B$4:$B$138, 0), MATCH(N$4&amp;N$5, LS_previous!$D$2:$AY$2&amp;LS_previous!$D$3:$AY$3, 0)),SUM(VLOOKUP($A12, LS_previous!$B$4:$AY$138, LS_previous!F$149, FALSE), VLOOKUP('Staging Table'!$A12, LS_previous!$B$4:$AY$138,LS_previous!AD$149, FALSE))/2)</f>
        <v>-202</v>
      </c>
      <c r="O12" s="227">
        <f t="array" ref="O12">IF($G12=0, INDEX(LS_previous!$D$4:$AY$138, MATCH('Staging Table'!$A12, LS_previous!$B$4:$B$138, 0), MATCH(O$4&amp;O$5, LS_previous!$D$2:$AY$2&amp;LS_previous!$D$3:$AY$3, 0)),SUM(VLOOKUP($A12, LS_previous!$B$4:$AY$138, LS_previous!G$149, FALSE), VLOOKUP('Staging Table'!$A12, LS_previous!$B$4:$AY$138,LS_previous!AE$149, FALSE))/2)</f>
        <v>-68</v>
      </c>
      <c r="P12" s="227">
        <f t="array" ref="P12">IF($G12=0, INDEX(LS_previous!$D$4:$AY$138, MATCH('Staging Table'!$A12, LS_previous!$B$4:$B$138, 0), MATCH(P$4&amp;P$5, LS_previous!$D$2:$AY$2&amp;LS_previous!$D$3:$AY$3, 0)),SUM(VLOOKUP($A12, LS_previous!$B$4:$AY$138, LS_previous!H$149, FALSE), VLOOKUP('Staging Table'!$A12, LS_previous!$B$4:$AY$138,LS_previous!AF$149, FALSE))/2)</f>
        <v>1095</v>
      </c>
      <c r="Q12" s="227">
        <f t="array" ref="Q12">IF($G12=0, INDEX(LS_previous!$D$4:$AY$138, MATCH('Staging Table'!$A12, LS_previous!$B$4:$B$138, 0), MATCH(Q$4&amp;Q$5, LS_previous!$D$2:$AY$2&amp;LS_previous!$D$3:$AY$3, 0)),SUM(VLOOKUP($A12, LS_previous!$B$4:$AY$138, LS_previous!I$149, FALSE), VLOOKUP('Staging Table'!$A12, LS_previous!$B$4:$AY$138,LS_previous!AG$149, FALSE))/2)</f>
        <v>1105</v>
      </c>
      <c r="R12" s="227">
        <f t="array" ref="R12">IF($G12=0, INDEX(LS_previous!$D$4:$AY$138, MATCH('Staging Table'!$A12, LS_previous!$B$4:$B$138, 0), MATCH(R$4&amp;R$5, LS_previous!$D$2:$AY$2&amp;LS_previous!$D$3:$AY$3, 0)),SUM(VLOOKUP($A12, LS_previous!$B$4:$AY$138, LS_previous!J$149, FALSE), VLOOKUP('Staging Table'!$A12, LS_previous!$B$4:$AY$138,LS_previous!AH$149, FALSE))/2)</f>
        <v>2604</v>
      </c>
      <c r="S12" s="227">
        <f t="array" ref="S12">IF($G12=0, INDEX(LS_previous!$D$4:$AY$138, MATCH('Staging Table'!$A12, LS_previous!$B$4:$B$138, 0), MATCH(S$4&amp;S$5, LS_previous!$D$2:$AY$2&amp;LS_previous!$D$3:$AY$3, 0)),SUM(VLOOKUP($A12, LS_previous!$B$4:$AY$138, LS_previous!K$149, FALSE), VLOOKUP('Staging Table'!$A12, LS_previous!$B$4:$AY$138,LS_previous!AI$149, FALSE))/2)</f>
        <v>1251</v>
      </c>
      <c r="T12" s="227">
        <f t="array" ref="T12">IF($G12=0, INDEX(LS_previous!$D$4:$AY$138, MATCH('Staging Table'!$A12, LS_previous!$B$4:$B$138, 0), MATCH(T$4&amp;T$5, LS_previous!$D$2:$AY$2&amp;LS_previous!$D$3:$AY$3, 0)),SUM(VLOOKUP($A12, LS_previous!$B$4:$AY$138, LS_previous!L$149, FALSE), VLOOKUP('Staging Table'!$A12, LS_previous!$B$4:$AY$138,LS_previous!AJ$149, FALSE))/2)</f>
        <v>2874</v>
      </c>
      <c r="U12" s="227">
        <f t="array" ref="U12">IF($G12=0, INDEX(LS_previous!$D$4:$AY$138, MATCH('Staging Table'!$A12, LS_previous!$B$4:$B$138, 0), MATCH(U$4&amp;U$5, LS_previous!$D$2:$AY$2&amp;LS_previous!$D$3:$AY$3, 0)),SUM(VLOOKUP($A12, LS_previous!$B$4:$AY$138, LS_previous!M$149, FALSE), VLOOKUP('Staging Table'!$A12, LS_previous!$B$4:$AY$138,LS_previous!AK$149, FALSE))/2)</f>
        <v>1302</v>
      </c>
      <c r="V12" s="227">
        <f t="array" ref="V12">IF($G12=0, INDEX(LS_previous!$D$4:$AY$138, MATCH('Staging Table'!$A12, LS_previous!$B$4:$B$138, 0), MATCH(V$4&amp;V$5, LS_previous!$D$2:$AY$2&amp;LS_previous!$D$3:$AY$3, 0)),SUM(VLOOKUP($A12, LS_previous!$B$4:$AY$138, LS_previous!N$149, FALSE), VLOOKUP('Staging Table'!$A12, LS_previous!$B$4:$AY$138,LS_previous!AL$149, FALSE))/2)</f>
        <v>847</v>
      </c>
      <c r="W12" s="227">
        <f t="array" ref="W12">IF($G12=0, INDEX(LS_previous!$D$4:$AY$138, MATCH('Staging Table'!$A12, LS_previous!$B$4:$B$138, 0), MATCH(W$4&amp;W$5, LS_previous!$D$2:$AY$2&amp;LS_previous!$D$3:$AY$3, 0)),SUM(VLOOKUP($A12, LS_previous!$B$4:$AY$138, LS_previous!O$149, FALSE), VLOOKUP('Staging Table'!$A12, LS_previous!$B$4:$AY$138,LS_previous!AM$149, FALSE))/2)</f>
        <v>450</v>
      </c>
      <c r="X12" s="227">
        <f t="array" ref="X12">IF($G12=0, INDEX(LS_previous!$D$4:$AY$138, MATCH('Staging Table'!$A12, LS_previous!$B$4:$B$138, 0), MATCH(X$4&amp;X$5, LS_previous!$D$2:$AY$2&amp;LS_previous!$D$3:$AY$3, 0)),SUM(VLOOKUP($A12, LS_previous!$B$4:$AY$138, LS_previous!P$149, FALSE), VLOOKUP('Staging Table'!$A12, LS_previous!$B$4:$AY$138,LS_previous!AN$149, FALSE))/2)</f>
        <v>674</v>
      </c>
      <c r="Y12" s="227">
        <f t="array" ref="Y12">IF($G12=0, INDEX(LS_previous!$D$4:$AY$138, MATCH('Staging Table'!$A12, LS_previous!$B$4:$B$138, 0), MATCH(Y$4&amp;Y$5, LS_previous!$D$2:$AY$2&amp;LS_previous!$D$3:$AY$3, 0)),SUM(VLOOKUP($A12, LS_previous!$B$4:$AY$138, LS_previous!Q$149, FALSE), VLOOKUP('Staging Table'!$A12, LS_previous!$B$4:$AY$138,LS_previous!AO$149, FALSE))/2)</f>
        <v>154</v>
      </c>
      <c r="Z12" s="227">
        <f t="array" ref="Z12">IF($G12=0, INDEX(LS_previous!$D$4:$AY$138, MATCH('Staging Table'!$A12, LS_previous!$B$4:$B$138, 0), MATCH(Z$4&amp;Z$5, LS_previous!$D$2:$AY$2&amp;LS_previous!$D$3:$AY$3, 0)),SUM(VLOOKUP($A12, LS_previous!$B$4:$AY$138, LS_previous!R$149, FALSE), VLOOKUP('Staging Table'!$A12, LS_previous!$B$4:$AY$138,LS_previous!AP$149, FALSE))/2)</f>
        <v>-3908</v>
      </c>
      <c r="AA12" s="227">
        <f t="array" ref="AA12">IF($G12=0, INDEX(LS_previous!$D$4:$AY$138, MATCH('Staging Table'!$A12, LS_previous!$B$4:$B$138, 0), MATCH(AA$4&amp;AA$5, LS_previous!$D$2:$AY$2&amp;LS_previous!$D$3:$AY$3, 0)),SUM(VLOOKUP($A12, LS_previous!$B$4:$AY$138, LS_previous!S$149, FALSE), VLOOKUP('Staging Table'!$A12, LS_previous!$B$4:$AY$138,LS_previous!AQ$149, FALSE))/2)</f>
        <v>-1895</v>
      </c>
      <c r="AB12" s="227">
        <f t="array" ref="AB12">IF($G12=0, INDEX(LS_previous!$D$4:$AY$138, MATCH('Staging Table'!$A12, LS_previous!$B$4:$B$138, 0), MATCH(AB$4&amp;AB$5, LS_previous!$D$2:$AY$2&amp;LS_previous!$D$3:$AY$3, 0)),SUM(VLOOKUP($A12, LS_previous!$B$4:$AY$138, LS_previous!T$149, FALSE), VLOOKUP('Staging Table'!$A12, LS_previous!$B$4:$AY$138,LS_previous!AR$149, FALSE))/2)</f>
        <v>-1137</v>
      </c>
      <c r="AC12" s="227">
        <f t="array" ref="AC12">IF($G12=0, INDEX(LS_previous!$D$4:$AY$138, MATCH('Staging Table'!$A12, LS_previous!$B$4:$B$138, 0), MATCH(AC$4&amp;AC$5, LS_previous!$D$2:$AY$2&amp;LS_previous!$D$3:$AY$3, 0)),SUM(VLOOKUP($A12, LS_previous!$B$4:$AY$138, LS_previous!U$149, FALSE), VLOOKUP('Staging Table'!$A12, LS_previous!$B$4:$AY$138,LS_previous!AS$149, FALSE))/2)</f>
        <v>-677</v>
      </c>
      <c r="AD12" s="227">
        <f t="array" ref="AD12">IF($G12=0, INDEX(LS_previous!$D$4:$AY$138, MATCH('Staging Table'!$A12, LS_previous!$B$4:$B$138, 0), MATCH(AD$4&amp;AD$5, LS_previous!$D$2:$AY$2&amp;LS_previous!$D$3:$AY$3, 0)),SUM(VLOOKUP($A12, LS_previous!$B$4:$AY$138, LS_previous!V$149, FALSE), VLOOKUP('Staging Table'!$A12, LS_previous!$B$4:$AY$138,LS_previous!AT$149, FALSE))/2)</f>
        <v>971</v>
      </c>
      <c r="AE12" s="227">
        <f t="array" ref="AE12">IF($G12=0, INDEX(LS_previous!$D$4:$AY$138, MATCH('Staging Table'!$A12, LS_previous!$B$4:$B$138, 0), MATCH(AE$4&amp;AE$5, LS_previous!$D$2:$AY$2&amp;LS_previous!$D$3:$AY$3, 0)),SUM(VLOOKUP($A12, LS_previous!$B$4:$AY$138, LS_previous!W$149, FALSE), VLOOKUP('Staging Table'!$A12, LS_previous!$B$4:$AY$138,LS_previous!AU$149, FALSE))/2)</f>
        <v>759</v>
      </c>
      <c r="AF12" s="227">
        <f t="array" ref="AF12">IF($G12=0, INDEX(LS_previous!$D$4:$AY$138, MATCH('Staging Table'!$A12, LS_previous!$B$4:$B$138, 0), MATCH(AF$4&amp;AF$5, LS_previous!$D$2:$AY$2&amp;LS_previous!$D$3:$AY$3, 0)),SUM(VLOOKUP($A12, LS_previous!$B$4:$AY$138, LS_previous!X$149, FALSE), VLOOKUP('Staging Table'!$A12, LS_previous!$B$4:$AY$138,LS_previous!AV$149, FALSE))/2)</f>
        <v>-154</v>
      </c>
      <c r="AG12" s="227">
        <f t="array" ref="AG12">IF($G12=0, INDEX(LS_previous!$D$4:$AY$138, MATCH('Staging Table'!$A12, LS_previous!$B$4:$B$138, 0), MATCH(AG$4&amp;AG$5, LS_previous!$D$2:$AY$2&amp;LS_previous!$D$3:$AY$3, 0)),SUM(VLOOKUP($A12, LS_previous!$B$4:$AY$138, LS_previous!Y$149, FALSE), VLOOKUP('Staging Table'!$A12, LS_previous!$B$4:$AY$138,LS_previous!AW$149, FALSE))/2)</f>
        <v>537</v>
      </c>
      <c r="AH12" s="227">
        <f t="array" ref="AH12">IF($G12=0, INDEX(LS_previous!$D$4:$AY$138, MATCH('Staging Table'!$A12, LS_previous!$B$4:$B$138, 0), MATCH(AH$4&amp;AH$5, LS_previous!$D$2:$AY$2&amp;LS_previous!$D$3:$AY$3, 0)),SUM(VLOOKUP($A12, LS_previous!$B$4:$AY$138, LS_previous!Z$149, FALSE), VLOOKUP('Staging Table'!$A12, LS_previous!$B$4:$AY$138,LS_previous!AX$149, FALSE))/2)</f>
        <v>26</v>
      </c>
      <c r="AI12" s="227">
        <f t="array" ref="AI12">IF($G12=0, INDEX(LS_previous!$D$4:$AY$138, MATCH('Staging Table'!$A12, LS_previous!$B$4:$B$138, 0), MATCH(AI$4&amp;AI$5, LS_previous!$D$2:$AY$2&amp;LS_previous!$D$3:$AY$3, 0)),SUM(VLOOKUP($A12, LS_previous!$B$4:$AY$138, LS_previous!AA$149, FALSE), VLOOKUP('Staging Table'!$A12, LS_previous!$B$4:$AY$138,LS_previous!AY$149, FALSE))/2)</f>
        <v>-57</v>
      </c>
      <c r="AJ12" s="424">
        <f t="array" ref="AJ12">INDEX(Demand_previous!$D$4:$AY$138, MATCH('Staging Table'!$A12, Demand_previous!$B$4:$B$138, 0), MATCH(AJ$4&amp;AJ$5,Demand_previous!$D$2:$AY$2&amp;Demand_previous!$D$3:$AY$3, 0))/1000</f>
        <v>1.29</v>
      </c>
      <c r="AK12" s="424">
        <f t="array" ref="AK12">INDEX(Demand_previous!$D$4:$AY$138, MATCH('Staging Table'!$A12, Demand_previous!$B$4:$B$138, 0), MATCH(AK$4&amp;AK$5,Demand_previous!$D$2:$AY$2&amp;Demand_previous!$D$3:$AY$3, 0))/1000</f>
        <v>0.70899999999999996</v>
      </c>
      <c r="AL12" s="424">
        <f t="array" ref="AL12">INDEX(Demand_previous!$D$4:$AY$138, MATCH('Staging Table'!$A12, Demand_previous!$B$4:$B$138, 0), MATCH(AL$4&amp;AL$5,Demand_previous!$D$2:$AY$2&amp;Demand_previous!$D$3:$AY$3, 0))/1000</f>
        <v>1.84</v>
      </c>
      <c r="AM12" s="424">
        <f t="array" ref="AM12">INDEX(Demand_previous!$D$4:$AY$138, MATCH('Staging Table'!$A12, Demand_previous!$B$4:$B$138, 0), MATCH(AM$4&amp;AM$5,Demand_previous!$D$2:$AY$2&amp;Demand_previous!$D$3:$AY$3, 0))/1000</f>
        <v>4.0339999999999998</v>
      </c>
      <c r="AN12" s="424">
        <f t="array" ref="AN12">INDEX(Demand_previous!$D$4:$AY$138, MATCH('Staging Table'!$A12, Demand_previous!$B$4:$B$138, 0), MATCH(AN$4&amp;AN$5,Demand_previous!$D$2:$AY$2&amp;Demand_previous!$D$3:$AY$3, 0))/1000</f>
        <v>0.96899999999999997</v>
      </c>
      <c r="AO12" s="424">
        <f t="array" ref="AO12">INDEX(Demand_previous!$D$4:$AY$138, MATCH('Staging Table'!$A12, Demand_previous!$B$4:$B$138, 0), MATCH(AO$4&amp;AO$5,Demand_previous!$D$2:$AY$2&amp;Demand_previous!$D$3:$AY$3, 0))/1000</f>
        <v>4.1749999999999998</v>
      </c>
      <c r="AP12" s="424">
        <f t="array" ref="AP12">INDEX(Demand_previous!$D$4:$AY$138, MATCH('Staging Table'!$A12, Demand_previous!$B$4:$B$138, 0), MATCH(AP$4&amp;AP$5,Demand_previous!$D$2:$AY$2&amp;Demand_previous!$D$3:$AY$3, 0))/1000</f>
        <v>1.2210000000000001</v>
      </c>
      <c r="AQ12" s="424">
        <f t="array" ref="AQ12">INDEX(Demand_previous!$D$4:$AY$138, MATCH('Staging Table'!$A12, Demand_previous!$B$4:$B$138, 0), MATCH(AQ$4&amp;AQ$5,Demand_previous!$D$2:$AY$2&amp;Demand_previous!$D$3:$AY$3, 0))/1000</f>
        <v>2.2040000000000002</v>
      </c>
      <c r="AR12" s="424">
        <f t="array" ref="AR12">INDEX(Demand_previous!$D$4:$AY$138, MATCH('Staging Table'!$A12, Demand_previous!$B$4:$B$138, 0), MATCH(AR$4&amp;AR$5,Demand_previous!$D$2:$AY$2&amp;Demand_previous!$D$3:$AY$3, 0))/1000</f>
        <v>1.8109999999999999</v>
      </c>
      <c r="AS12" s="424">
        <f t="array" ref="AS12">INDEX(Demand_previous!$D$4:$AY$138, MATCH('Staging Table'!$A12, Demand_previous!$B$4:$B$138, 0), MATCH(AS$4&amp;AS$5,Demand_previous!$D$2:$AY$2&amp;Demand_previous!$D$3:$AY$3, 0))/1000</f>
        <v>0.69699999999999995</v>
      </c>
      <c r="AT12" s="424">
        <f t="array" ref="AT12">INDEX(Demand_previous!$D$4:$AY$138, MATCH('Staging Table'!$A12, Demand_previous!$B$4:$B$138, 0), MATCH(AT$4&amp;AT$5,Demand_previous!$D$2:$AY$2&amp;Demand_previous!$D$3:$AY$3, 0))/1000</f>
        <v>3.8719999999999999</v>
      </c>
      <c r="AU12" s="424">
        <f t="array" ref="AU12">INDEX(Demand_previous!$D$4:$AY$138, MATCH('Staging Table'!$A12, Demand_previous!$B$4:$B$138, 0), MATCH(AU$4&amp;AU$5,Demand_previous!$D$2:$AY$2&amp;Demand_previous!$D$3:$AY$3, 0))/1000</f>
        <v>2.3620000000000001</v>
      </c>
      <c r="AV12" s="227">
        <f>$F12*(VLOOKUP(AV$4, Rates_previous!$G$6:$Q$29, 10, FALSE)+VLOOKUP(AV$4, Rates_previous!$G$6:$Q$29, 11, FALSE))</f>
        <v>13491.661777499547</v>
      </c>
      <c r="AW12" s="227">
        <f>$F12*(VLOOKUP(AW$4, Rates_previous!$G$6:$Q$29, 10, FALSE)+VLOOKUP(AW$4, Rates_previous!$G$6:$Q$29, 11, FALSE))</f>
        <v>16674.668536351826</v>
      </c>
      <c r="AX12" s="227">
        <f>$F12*(VLOOKUP(AX$4, Rates_previous!$G$6:$Q$29, 10, FALSE)+VLOOKUP(AX$4, Rates_previous!$G$6:$Q$29, 11, FALSE))</f>
        <v>16474.425711097141</v>
      </c>
      <c r="AY12" s="227">
        <f>$F12*(VLOOKUP(AY$4, Rates_previous!$G$6:$Q$29, 10, FALSE)+VLOOKUP(AY$4, Rates_previous!$G$6:$Q$29, 11, FALSE))</f>
        <v>14075.826498021384</v>
      </c>
      <c r="AZ12" s="227">
        <f>$F12*(VLOOKUP(AZ$4, Rates_previous!$G$6:$Q$29, 10, FALSE)+VLOOKUP(AZ$4, Rates_previous!$G$6:$Q$29, 11, FALSE))</f>
        <v>11539.447424153848</v>
      </c>
      <c r="BA12" s="227">
        <f>$F12*(VLOOKUP(BA$4, Rates_previous!$G$6:$Q$29, 10, FALSE)+VLOOKUP(BA$4, Rates_previous!$G$6:$Q$29, 11, FALSE))</f>
        <v>13662.286598568071</v>
      </c>
      <c r="BB12" s="227">
        <f>$F12*(VLOOKUP(BB$4, Rates_previous!$G$6:$Q$29, 10, FALSE)+VLOOKUP(BB$4, Rates_previous!$G$6:$Q$29, 11, FALSE))</f>
        <v>13131.444722052696</v>
      </c>
      <c r="BC12" s="227">
        <f>$F12*(VLOOKUP(BC$4, Rates_previous!$G$6:$Q$29, 10, FALSE)+VLOOKUP(BC$4, Rates_previous!$G$6:$Q$29, 11, FALSE))</f>
        <v>19269.46591250498</v>
      </c>
      <c r="BD12" s="227">
        <f>$F12*(VLOOKUP(BD$4, Rates_previous!$G$6:$Q$29, 10, FALSE)+VLOOKUP(BD$4, Rates_previous!$G$6:$Q$29, 11, FALSE))</f>
        <v>15203.099306774267</v>
      </c>
      <c r="BE12" s="227">
        <f>$F12*(VLOOKUP(BE$4, Rates_previous!$G$6:$Q$29, 10, FALSE)+VLOOKUP(BE$4, Rates_previous!$G$6:$Q$29, 11, FALSE))</f>
        <v>13349.597271549701</v>
      </c>
      <c r="BF12" s="227">
        <f>$F12*(VLOOKUP(BF$4, Rates_previous!$G$6:$Q$29, 10, FALSE)+VLOOKUP(BF$4, Rates_previous!$G$6:$Q$29, 11, FALSE))</f>
        <v>14785.21333208702</v>
      </c>
      <c r="BG12" s="227">
        <f>$F12*(VLOOKUP(BG$4, Rates_previous!$G$6:$Q$29, 10, FALSE)+VLOOKUP(BG$4, Rates_previous!$G$6:$Q$29, 11, FALSE))</f>
        <v>13394.815307787001</v>
      </c>
      <c r="BH12" s="229">
        <f>IF($D12=0,IF(C12=0, MAX(BK12 - (VLOOKUP($A12,TOCA_previous!$A$2:$AI$137,MATCH("RHWM 2018",TOCA_previous!$A$2:$AI$2,0),FALSE)*$F$2*TOCA_previous!C9),0),0), 0)</f>
        <v>6915.8749523039733</v>
      </c>
      <c r="BI12" s="266">
        <f>VLOOKUP($A12,REP_previous!$A$1:$D$135,MATCH("FY "&amp;$F$1&amp; " Total Refund",REP_previous!$A$1:$D$1,0),0)</f>
        <v>260931.86102272948</v>
      </c>
      <c r="BJ12" s="241">
        <f>MIN(VLOOKUP($A12,TOCA_previous!$A$2:$AI$137,MATCH("TRL - NLSL - Existing Resource "&amp;$F$1,TOCA_previous!$A$2:$AI$2,0),FALSE)*$F$2,(VLOOKUP($A12,TOCA_previous!$A$2:$AI$137,MATCH("RHWM 2018",TOCA_previous!$A$2:$AI$2,0),FALSE)*$F$2))</f>
        <v>175051.08000000002</v>
      </c>
      <c r="BK12" s="229">
        <f>SUM(L12:AI12)+(F12*RT1SC!$C$3*$F$2)</f>
        <v>181966.95495230399</v>
      </c>
      <c r="BL12" s="241">
        <f>VLOOKUP($A12,TOCA_previous!$A$2:$AI$137,MATCH("Above RHWM Not Served with LS "&amp;$F$1,TOCA_previous!$A$2:$AI$2,0),FALSE)*$F$2</f>
        <v>0</v>
      </c>
      <c r="BM12" s="151">
        <f t="shared" si="5"/>
        <v>6915.8749523039733</v>
      </c>
      <c r="BN12" s="242">
        <f>(VLOOKUP($A12,TOCA_previous!$A$2:$AI$137,MATCH("RHWM 2018",TOCA_previous!$A$2:$AI$2,0),FALSE)*$F$2) - $BJ12</f>
        <v>0</v>
      </c>
      <c r="BO12" s="151">
        <f t="shared" si="6"/>
        <v>0</v>
      </c>
      <c r="BP12" s="243">
        <f t="shared" si="7"/>
        <v>0</v>
      </c>
      <c r="BQ12" s="237">
        <f t="shared" si="8"/>
        <v>0</v>
      </c>
      <c r="BR12" s="242">
        <f t="shared" si="9"/>
        <v>0</v>
      </c>
      <c r="BS12" s="151">
        <f>VLOOKUP($A12,TOCA_current!$A$2:$AI$137,MATCH(BS$4,TOCA_current!$A$2:$AI$2,0),FALSE)</f>
        <v>2.8758999999999998E-3</v>
      </c>
      <c r="BT12" s="151">
        <f>VLOOKUP($A12,TOCA_current!$A$2:$AI$137,MATCH(BT$4,TOCA_current!$A$2:$AI$2,0),FALSE)</f>
        <v>2.8758999999999998E-3</v>
      </c>
      <c r="BU12" s="236">
        <f t="shared" si="10"/>
        <v>0</v>
      </c>
      <c r="BV12" s="151">
        <f>VLOOKUP($A12,TOCA_current!A8:BG143,MATCH(BV$4,TOCA_current!$A$2:$BG$2,0),FALSE)</f>
        <v>0</v>
      </c>
      <c r="BW12" s="151">
        <f t="shared" si="11"/>
        <v>0</v>
      </c>
      <c r="BX12" s="151">
        <f t="shared" si="12"/>
        <v>0</v>
      </c>
      <c r="BY12" s="226">
        <f>VLOOKUP($A12,IRD!$A$4:$G$139, 7, FALSE)</f>
        <v>0</v>
      </c>
      <c r="BZ12" s="227">
        <f t="array" ref="BZ12">IF($BU12=0, INDEX(LS_current!$D$4:$AY$138, MATCH('Staging Table'!$A12, LS_current!$B$4:$B$138, 0), MATCH(BZ$4&amp;BZ$5, LS_current!$D$2:$AY$2&amp;LS_current!$D$3:$AY$3, 0)),SUM(VLOOKUP($A12, LS_current!$B$4:$AY$138, LS_current!D$148, FALSE), VLOOKUP($A12, LS_current!$B$4:$AY$138,LS_current!D$148, FALSE))/2)</f>
        <v>477</v>
      </c>
      <c r="CA12" s="227">
        <f t="array" ref="CA12">IF($BU12=0, INDEX(LS_current!$D$4:$AY$138, MATCH('Staging Table'!$A12, LS_current!$B$4:$B$138, 0), MATCH(CA$4&amp;CA$5, LS_current!$D$2:$AY$2&amp;LS_current!$D$3:$AY$3, 0)),SUM(VLOOKUP($A12, LS_current!$B$4:$AY$138, LS_current!E$148, FALSE), VLOOKUP($A12, LS_current!$B$4:$AY$138,LS_current!E$148, FALSE))/2)</f>
        <v>100</v>
      </c>
      <c r="CB12" s="227">
        <f t="array" ref="CB12">IF($BU12=0, INDEX(LS_current!$D$4:$AY$138, MATCH('Staging Table'!$A12, LS_current!$B$4:$B$138, 0), MATCH(CB$4&amp;CB$5, LS_current!$D$2:$AY$2&amp;LS_current!$D$3:$AY$3, 0)),SUM(VLOOKUP($A12, LS_current!$B$4:$AY$138, LS_current!F$148, FALSE), VLOOKUP($A12, LS_current!$B$4:$AY$138,LS_current!F$148, FALSE))/2)</f>
        <v>-271</v>
      </c>
      <c r="CC12" s="227">
        <f t="array" ref="CC12">IF($BU12=0, INDEX(LS_current!$D$4:$AY$138, MATCH('Staging Table'!$A12, LS_current!$B$4:$B$138, 0), MATCH(CC$4&amp;CC$5, LS_current!$D$2:$AY$2&amp;LS_current!$D$3:$AY$3, 0)),SUM(VLOOKUP($A12, LS_current!$B$4:$AY$138, LS_current!G$148, FALSE), VLOOKUP($A12, LS_current!$B$4:$AY$138,LS_current!G$148, FALSE))/2)</f>
        <v>-193</v>
      </c>
      <c r="CD12" s="227">
        <f t="array" ref="CD12">IF($BU12=0, INDEX(LS_current!$D$4:$AY$138, MATCH('Staging Table'!$A12, LS_current!$B$4:$B$138, 0), MATCH(CD$4&amp;CD$5, LS_current!$D$2:$AY$2&amp;LS_current!$D$3:$AY$3, 0)),SUM(VLOOKUP($A12, LS_current!$B$4:$AY$138, LS_current!H$148, FALSE), VLOOKUP($A12, LS_current!$B$4:$AY$138,LS_current!H$148, FALSE))/2)</f>
        <v>1009</v>
      </c>
      <c r="CE12" s="227">
        <f t="array" ref="CE12">IF($BU12=0, INDEX(LS_current!$D$4:$AY$138, MATCH('Staging Table'!$A12, LS_current!$B$4:$B$138, 0), MATCH(CE$4&amp;CE$5, LS_current!$D$2:$AY$2&amp;LS_current!$D$3:$AY$3, 0)),SUM(VLOOKUP($A12, LS_current!$B$4:$AY$138, LS_current!I$148, FALSE), VLOOKUP($A12, LS_current!$B$4:$AY$138,LS_current!I$148, FALSE))/2)</f>
        <v>1001</v>
      </c>
      <c r="CF12" s="227">
        <f t="array" ref="CF12">IF($BU12=0, INDEX(LS_current!$D$4:$AY$138, MATCH('Staging Table'!$A12, LS_current!$B$4:$B$138, 0), MATCH(CF$4&amp;CF$5, LS_current!$D$2:$AY$2&amp;LS_current!$D$3:$AY$3, 0)),SUM(VLOOKUP($A12, LS_current!$B$4:$AY$138, LS_current!J$148, FALSE), VLOOKUP($A12, LS_current!$B$4:$AY$138,LS_current!J$148, FALSE))/2)</f>
        <v>2570</v>
      </c>
      <c r="CG12" s="227">
        <f t="array" ref="CG12">IF($BU12=0, INDEX(LS_current!$D$4:$AY$138, MATCH('Staging Table'!$A12, LS_current!$B$4:$B$138, 0), MATCH(CG$4&amp;CG$5, LS_current!$D$2:$AY$2&amp;LS_current!$D$3:$AY$3, 0)),SUM(VLOOKUP($A12, LS_current!$B$4:$AY$138, LS_current!K$148, FALSE), VLOOKUP($A12, LS_current!$B$4:$AY$138,LS_current!K$148, FALSE))/2)</f>
        <v>1470</v>
      </c>
      <c r="CH12" s="227">
        <f t="array" ref="CH12">IF($BU12=0, INDEX(LS_current!$D$4:$AY$138, MATCH('Staging Table'!$A12, LS_current!$B$4:$B$138, 0), MATCH(CH$4&amp;CH$5, LS_current!$D$2:$AY$2&amp;LS_current!$D$3:$AY$3, 0)),SUM(VLOOKUP($A12, LS_current!$B$4:$AY$138, LS_current!L$148, FALSE), VLOOKUP($A12, LS_current!$B$4:$AY$138,LS_current!L$148, FALSE))/2)</f>
        <v>2224</v>
      </c>
      <c r="CI12" s="227">
        <f t="array" ref="CI12">IF($BU12=0, INDEX(LS_current!$D$4:$AY$138, MATCH('Staging Table'!$A12, LS_current!$B$4:$B$138, 0), MATCH(CI$4&amp;CI$5, LS_current!$D$2:$AY$2&amp;LS_current!$D$3:$AY$3, 0)),SUM(VLOOKUP($A12, LS_current!$B$4:$AY$138, LS_current!M$148, FALSE), VLOOKUP($A12, LS_current!$B$4:$AY$138,LS_current!M$148, FALSE))/2)</f>
        <v>908</v>
      </c>
      <c r="CJ12" s="227">
        <f t="array" ref="CJ12">IF($BU12=0, INDEX(LS_current!$D$4:$AY$138, MATCH('Staging Table'!$A12, LS_current!$B$4:$B$138, 0), MATCH(CJ$4&amp;CJ$5, LS_current!$D$2:$AY$2&amp;LS_current!$D$3:$AY$3, 0)),SUM(VLOOKUP($A12, LS_current!$B$4:$AY$138, LS_current!N$148, FALSE), VLOOKUP($A12, LS_current!$B$4:$AY$138,LS_current!N$148, FALSE))/2)</f>
        <v>586</v>
      </c>
      <c r="CK12" s="227">
        <f t="array" ref="CK12">IF($BU12=0, INDEX(LS_current!$D$4:$AY$138, MATCH('Staging Table'!$A12, LS_current!$B$4:$B$138, 0), MATCH(CK$4&amp;CK$5, LS_current!$D$2:$AY$2&amp;LS_current!$D$3:$AY$3, 0)),SUM(VLOOKUP($A12, LS_current!$B$4:$AY$138, LS_current!O$148, FALSE), VLOOKUP($A12, LS_current!$B$4:$AY$138,LS_current!O$148, FALSE))/2)</f>
        <v>375</v>
      </c>
      <c r="CL12" s="227">
        <f t="array" ref="CL12">IF($BU12=0, INDEX(LS_current!$D$4:$AY$138, MATCH('Staging Table'!$A12, LS_current!$B$4:$B$138, 0), MATCH(CL$4&amp;CL$5, LS_current!$D$2:$AY$2&amp;LS_current!$D$3:$AY$3, 0)),SUM(VLOOKUP($A12, LS_current!$B$4:$AY$138, LS_current!P$148, FALSE), VLOOKUP($A12, LS_current!$B$4:$AY$138,LS_current!P$148, FALSE))/2)</f>
        <v>1947</v>
      </c>
      <c r="CM12" s="227">
        <f t="array" ref="CM12">IF($BU12=0, INDEX(LS_current!$D$4:$AY$138, MATCH('Staging Table'!$A12, LS_current!$B$4:$B$138, 0), MATCH(CM$4&amp;CM$5, LS_current!$D$2:$AY$2&amp;LS_current!$D$3:$AY$3, 0)),SUM(VLOOKUP($A12, LS_current!$B$4:$AY$138, LS_current!Q$148, FALSE), VLOOKUP($A12, LS_current!$B$4:$AY$138,LS_current!Q$148, FALSE))/2)</f>
        <v>616</v>
      </c>
      <c r="CN12" s="227">
        <f t="array" ref="CN12">IF($BU12=0, INDEX(LS_current!$D$4:$AY$138, MATCH('Staging Table'!$A12, LS_current!$B$4:$B$138, 0), MATCH(CN$4&amp;CN$5, LS_current!$D$2:$AY$2&amp;LS_current!$D$3:$AY$3, 0)),SUM(VLOOKUP($A12, LS_current!$B$4:$AY$138, LS_current!R$148, FALSE), VLOOKUP($A12, LS_current!$B$4:$AY$138,LS_current!R$148, FALSE))/2)</f>
        <v>-1601</v>
      </c>
      <c r="CO12" s="227">
        <f t="array" ref="CO12">IF($BU12=0, INDEX(LS_current!$D$4:$AY$138, MATCH('Staging Table'!$A12, LS_current!$B$4:$B$138, 0), MATCH(CO$4&amp;CO$5, LS_current!$D$2:$AY$2&amp;LS_current!$D$3:$AY$3, 0)),SUM(VLOOKUP($A12, LS_current!$B$4:$AY$138, LS_current!S$148, FALSE), VLOOKUP($A12, LS_current!$B$4:$AY$138,LS_current!S$148, FALSE))/2)</f>
        <v>-304</v>
      </c>
      <c r="CP12" s="227">
        <f t="array" ref="CP12">IF($BU12=0, INDEX(LS_current!$D$4:$AY$138, MATCH('Staging Table'!$A12, LS_current!$B$4:$B$138, 0), MATCH(CP$4&amp;CP$5, LS_current!$D$2:$AY$2&amp;LS_current!$D$3:$AY$3, 0)),SUM(VLOOKUP($A12, LS_current!$B$4:$AY$138, LS_current!T$148, FALSE), VLOOKUP($A12, LS_current!$B$4:$AY$138,LS_current!T$148, FALSE))/2)</f>
        <v>-3919</v>
      </c>
      <c r="CQ12" s="227">
        <f t="array" ref="CQ12">IF($BU12=0, INDEX(LS_current!$D$4:$AY$138, MATCH('Staging Table'!$A12, LS_current!$B$4:$B$138, 0), MATCH(CQ$4&amp;CQ$5, LS_current!$D$2:$AY$2&amp;LS_current!$D$3:$AY$3, 0)),SUM(VLOOKUP($A12, LS_current!$B$4:$AY$138, LS_current!U$148, FALSE), VLOOKUP($A12, LS_current!$B$4:$AY$138,LS_current!U$148, FALSE))/2)</f>
        <v>-2303</v>
      </c>
      <c r="CR12" s="227">
        <f t="array" ref="CR12">IF($BU12=0, INDEX(LS_current!$D$4:$AY$138, MATCH('Staging Table'!$A12, LS_current!$B$4:$B$138, 0), MATCH(CR$4&amp;CR$5, LS_current!$D$2:$AY$2&amp;LS_current!$D$3:$AY$3, 0)),SUM(VLOOKUP($A12, LS_current!$B$4:$AY$138, LS_current!V$148, FALSE), VLOOKUP($A12, LS_current!$B$4:$AY$138,LS_current!V$148, FALSE))/2)</f>
        <v>-886</v>
      </c>
      <c r="CS12" s="227">
        <f t="array" ref="CS12">IF($BU12=0, INDEX(LS_current!$D$4:$AY$138, MATCH('Staging Table'!$A12, LS_current!$B$4:$B$138, 0), MATCH(CS$4&amp;CS$5, LS_current!$D$2:$AY$2&amp;LS_current!$D$3:$AY$3, 0)),SUM(VLOOKUP($A12, LS_current!$B$4:$AY$138, LS_current!W$148, FALSE), VLOOKUP($A12, LS_current!$B$4:$AY$138,LS_current!W$148, FALSE))/2)</f>
        <v>589</v>
      </c>
      <c r="CT12" s="227">
        <f t="array" ref="CT12">IF($BU12=0, INDEX(LS_current!$D$4:$AY$138, MATCH('Staging Table'!$A12, LS_current!$B$4:$B$138, 0), MATCH(CT$4&amp;CT$5, LS_current!$D$2:$AY$2&amp;LS_current!$D$3:$AY$3, 0)),SUM(VLOOKUP($A12, LS_current!$B$4:$AY$138, LS_current!X$148, FALSE), VLOOKUP($A12, LS_current!$B$4:$AY$138,LS_current!X$148, FALSE))/2)</f>
        <v>-523</v>
      </c>
      <c r="CU12" s="227">
        <f t="array" ref="CU12">IF($BU12=0, INDEX(LS_current!$D$4:$AY$138, MATCH('Staging Table'!$A12, LS_current!$B$4:$B$138, 0), MATCH(CU$4&amp;CU$5, LS_current!$D$2:$AY$2&amp;LS_current!$D$3:$AY$3, 0)),SUM(VLOOKUP($A12, LS_current!$B$4:$AY$138, LS_current!Y$148, FALSE), VLOOKUP($A12, LS_current!$B$4:$AY$138,LS_current!Y$148, FALSE))/2)</f>
        <v>719</v>
      </c>
      <c r="CV12" s="227">
        <f t="array" ref="CV12">IF($BU12=0, INDEX(LS_current!$D$4:$AY$138, MATCH('Staging Table'!$A12, LS_current!$B$4:$B$138, 0), MATCH(CV$4&amp;CV$5, LS_current!$D$2:$AY$2&amp;LS_current!$D$3:$AY$3, 0)),SUM(VLOOKUP($A12, LS_current!$B$4:$AY$138, LS_current!Z$148, FALSE), VLOOKUP($A12, LS_current!$B$4:$AY$138,LS_current!Z$148, FALSE))/2)</f>
        <v>-20</v>
      </c>
      <c r="CW12" s="227">
        <f t="array" ref="CW12">IF($BU12=0, INDEX(LS_current!$D$4:$AY$138, MATCH('Staging Table'!$A12, LS_current!$B$4:$B$138, 0), MATCH(CW$4&amp;CW$5, LS_current!$D$2:$AY$2&amp;LS_current!$D$3:$AY$3, 0)),SUM(VLOOKUP($A12, LS_current!$B$4:$AY$138, LS_current!AA$148, FALSE), VLOOKUP($A12, LS_current!$B$4:$AY$138,LS_current!AA$148, FALSE))/2)</f>
        <v>-59</v>
      </c>
      <c r="CX12" s="229">
        <f t="array" ref="CX12">INDEX(Demand_current!$D$4:$AY$138, MATCH($A12, Demand_current!$B$4:$B$138, 0), MATCH(CX$4&amp;CX$5,Demand_current!$D$2:$AY$2&amp;Demand_current!$D$3:$AY$3, 0))/1000</f>
        <v>2.1019999999999999</v>
      </c>
      <c r="CY12" s="229">
        <f t="array" ref="CY12">INDEX(Demand_current!$D$4:$AY$138, MATCH($A12, Demand_current!$B$4:$B$138, 0), MATCH(CY$4&amp;CY$5,Demand_current!$D$2:$AY$2&amp;Demand_current!$D$3:$AY$3, 0))/1000</f>
        <v>0.70899999999999996</v>
      </c>
      <c r="CZ12" s="229">
        <f t="array" ref="CZ12">INDEX(Demand_current!$D$4:$AY$138, MATCH($A12, Demand_current!$B$4:$B$138, 0), MATCH(CZ$4&amp;CZ$5,Demand_current!$D$2:$AY$2&amp;Demand_current!$D$3:$AY$3, 0))/1000</f>
        <v>1.84</v>
      </c>
      <c r="DA12" s="229">
        <f t="array" ref="DA12">INDEX(Demand_current!$D$4:$AY$138, MATCH($A12, Demand_current!$B$4:$B$138, 0), MATCH(DA$4&amp;DA$5,Demand_current!$D$2:$AY$2&amp;Demand_current!$D$3:$AY$3, 0))/1000</f>
        <v>4.0339999999999998</v>
      </c>
      <c r="DB12" s="229">
        <f t="array" ref="DB12">INDEX(Demand_current!$D$4:$AY$138, MATCH($A12, Demand_current!$B$4:$B$138, 0), MATCH(DB$4&amp;DB$5,Demand_current!$D$2:$AY$2&amp;Demand_current!$D$3:$AY$3, 0))/1000</f>
        <v>2.0270000000000001</v>
      </c>
      <c r="DC12" s="229">
        <f t="array" ref="DC12">INDEX(Demand_current!$D$4:$AY$138, MATCH($A12, Demand_current!$B$4:$B$138, 0), MATCH(DC$4&amp;DC$5,Demand_current!$D$2:$AY$2&amp;Demand_current!$D$3:$AY$3, 0))/1000</f>
        <v>3.331</v>
      </c>
      <c r="DD12" s="229">
        <f t="array" ref="DD12">INDEX(Demand_current!$D$4:$AY$138, MATCH($A12, Demand_current!$B$4:$B$138, 0), MATCH(DD$4&amp;DD$5,Demand_current!$D$2:$AY$2&amp;Demand_current!$D$3:$AY$3, 0))/1000</f>
        <v>2.0979999999999999</v>
      </c>
      <c r="DE12" s="229">
        <f t="array" ref="DE12">INDEX(Demand_current!$D$4:$AY$138, MATCH($A12, Demand_current!$B$4:$B$138, 0), MATCH(DE$4&amp;DE$5,Demand_current!$D$2:$AY$2&amp;Demand_current!$D$3:$AY$3, 0))/1000</f>
        <v>1.399</v>
      </c>
      <c r="DF12" s="229">
        <f t="array" ref="DF12">INDEX(Demand_current!$D$4:$AY$138, MATCH($A12, Demand_current!$B$4:$B$138, 0), MATCH(DF$4&amp;DF$5,Demand_current!$D$2:$AY$2&amp;Demand_current!$D$3:$AY$3, 0))/1000</f>
        <v>1.8109999999999999</v>
      </c>
      <c r="DG12" s="229">
        <f t="array" ref="DG12">INDEX(Demand_current!$D$4:$AY$138, MATCH($A12, Demand_current!$B$4:$B$138, 0), MATCH(DG$4&amp;DG$5,Demand_current!$D$2:$AY$2&amp;Demand_current!$D$3:$AY$3, 0))/1000</f>
        <v>1.629</v>
      </c>
      <c r="DH12" s="229">
        <f t="array" ref="DH12">INDEX(Demand_current!$D$4:$AY$138, MATCH($A12, Demand_current!$B$4:$B$138, 0), MATCH(DH$4&amp;DH$5,Demand_current!$D$2:$AY$2&amp;Demand_current!$D$3:$AY$3, 0))/1000</f>
        <v>3.0049999999999999</v>
      </c>
      <c r="DI12" s="229">
        <f t="array" ref="DI12">INDEX(Demand_current!$D$4:$AY$138, MATCH($A12, Demand_current!$B$4:$B$138, 0), MATCH(DI$4&amp;DI$5,Demand_current!$D$2:$AY$2&amp;Demand_current!$D$3:$AY$3, 0))/1000</f>
        <v>3.2570000000000001</v>
      </c>
      <c r="DJ12" s="227">
        <f>$BT12*(VLOOKUP(DJ$4, Rates_current!$G$6:$Q$29, 10, FALSE)+VLOOKUP(DJ$4, Rates_current!$G$6:$Q$29, 11, FALSE))</f>
        <v>13278.942523976399</v>
      </c>
      <c r="DK12" s="227">
        <f>$BT12*(VLOOKUP(DK$4, Rates_current!$G$6:$Q$29, 10, FALSE)+VLOOKUP(DK$4, Rates_current!$G$6:$Q$29, 11, FALSE))</f>
        <v>16868.399452040099</v>
      </c>
      <c r="DL12" s="227">
        <f>$BT12*(VLOOKUP(DL$4, Rates_current!$G$6:$Q$29, 10, FALSE)+VLOOKUP(DL$4, Rates_current!$G$6:$Q$29, 11, FALSE))</f>
        <v>16664.690703676399</v>
      </c>
      <c r="DM12" s="227">
        <f>$BT12*(VLOOKUP(DM$4, Rates_current!$G$6:$Q$29, 10, FALSE)+VLOOKUP(DM$4, Rates_current!$G$6:$Q$29, 11, FALSE))</f>
        <v>13891.034700476401</v>
      </c>
      <c r="DN12" s="227">
        <f>$BT12*(VLOOKUP(DN$4, Rates_current!$G$6:$Q$29, 10, FALSE)+VLOOKUP(DN$4, Rates_current!$G$6:$Q$29, 11, FALSE))</f>
        <v>12583.836355119998</v>
      </c>
      <c r="DO12" s="227">
        <f>$BT12*(VLOOKUP(DO$4, Rates_current!$G$6:$Q$29, 10, FALSE)+VLOOKUP(DO$4, Rates_current!$G$6:$Q$29, 11, FALSE))</f>
        <v>13997.223687218298</v>
      </c>
      <c r="DP12" s="227">
        <f>$BT12*(VLOOKUP(DP$4, Rates_current!$G$6:$Q$29, 10, FALSE)+VLOOKUP(DP$4, Rates_current!$G$6:$Q$29, 11, FALSE))</f>
        <v>11396.554630631999</v>
      </c>
      <c r="DQ12" s="227">
        <f>$BT12*(VLOOKUP(DQ$4, Rates_current!$G$6:$Q$29, 10, FALSE)+VLOOKUP(DQ$4, Rates_current!$G$6:$Q$29, 11, FALSE))</f>
        <v>15369.9533339264</v>
      </c>
      <c r="DR12" s="227">
        <f>$BT12*(VLOOKUP(DR$4, Rates_current!$G$6:$Q$29, 10, FALSE)+VLOOKUP(DR$4, Rates_current!$G$6:$Q$29, 11, FALSE))</f>
        <v>19611.015121682001</v>
      </c>
      <c r="DS12" s="227">
        <f>$BT12*(VLOOKUP(DS$4, Rates_current!$G$6:$Q$29, 10, FALSE)+VLOOKUP(DS$4, Rates_current!$G$6:$Q$29, 11, FALSE))</f>
        <v>15375.6576815764</v>
      </c>
      <c r="DT12" s="227">
        <f>$BT12*(VLOOKUP(DT$4, Rates_current!$G$6:$Q$29, 10, FALSE)+VLOOKUP(DT$4, Rates_current!$G$6:$Q$29, 11, FALSE))</f>
        <v>14972.8289306264</v>
      </c>
      <c r="DU12" s="227">
        <f>$BT12*(VLOOKUP(DU$4, Rates_current!$G$6:$Q$29, 10, FALSE)+VLOOKUP(DU$4, Rates_current!$G$6:$Q$29, 11, FALSE))</f>
        <v>13442.415248532001</v>
      </c>
      <c r="DV12" s="229">
        <f>IF(D12=0,IF(C12=0,MAX(0,DY12 - (VLOOKUP($A12,TOCA_current!$A$2:$AI$137,MATCH("RHWM 2020",TOCA_current!$A$2:$AI$2,0),FALSE)*$BT$2)), 0),0)</f>
        <v>4510.1910300671589</v>
      </c>
      <c r="DW12" s="266">
        <f>VLOOKUP($A12,REP_current!$A$1:$D$135,MATCH("FY "&amp;$BT$1&amp; " Total Refund",REP_current!$A$1:$D$1,0),0)</f>
        <v>0</v>
      </c>
      <c r="DX12" s="295">
        <f>MIN(VLOOKUP($A12,TOCA_current!$A$2:$AI$137,MATCH("TRL - NLSL - Existing Resource "&amp;$BT$1,TOCA_current!$A$2:$AI$2,0),FALSE)*$BT$2, VLOOKUP($A12,TOCA_current!$A$2:$AI$137,MATCH("RHWM 2020",TOCA_current!$A$2:$AI$2,0),FALSE)*$BT$2)</f>
        <v>177454.36800000002</v>
      </c>
      <c r="DY12" s="240">
        <f>SUM(BZ12:CW12)+(BT12*RT1SC!$C$4*$BT$2)</f>
        <v>181964.55903006718</v>
      </c>
      <c r="DZ12" s="271">
        <f>VLOOKUP($A12,TOCA_current!$A$2:$AI$137,MATCH("Above RHWM Not Served with LS "&amp;$BT$1,TOCA_current!$A$2:$AI$2,0),FALSE)*$BT$2</f>
        <v>0</v>
      </c>
      <c r="EA12" s="244">
        <f t="shared" si="13"/>
        <v>4510.1910300671589</v>
      </c>
      <c r="EB12" s="295">
        <f>(VLOOKUP($A12,TOCA_current!$A$2:$AI$137,MATCH("RHWM 2020",TOCA_current!$A$2:$AI$2,0),FALSE)*$BT$2) - $DX12</f>
        <v>0</v>
      </c>
      <c r="EC12" s="240">
        <f t="shared" si="14"/>
        <v>0</v>
      </c>
      <c r="ED12" s="240">
        <f t="shared" si="15"/>
        <v>0</v>
      </c>
      <c r="EE12" s="240">
        <f t="shared" si="16"/>
        <v>0</v>
      </c>
      <c r="EF12" s="240">
        <f t="shared" si="17"/>
        <v>0</v>
      </c>
    </row>
    <row r="13" spans="1:136">
      <c r="A13" s="166">
        <v>10046</v>
      </c>
      <c r="B13" s="167" t="s">
        <v>14</v>
      </c>
      <c r="C13" s="240">
        <v>1</v>
      </c>
      <c r="D13" s="240">
        <v>0</v>
      </c>
      <c r="E13" s="150">
        <f>VLOOKUP($A13,TOCA_previous!$A$2:$AI$137,MATCH(E$4,TOCA_previous!$A$2:$AI$2,0),FALSE)</f>
        <v>1.15967E-2</v>
      </c>
      <c r="F13" s="151">
        <f>VLOOKUP($A13,TOCA_previous!$A$2:$AI$137,MATCH(F$4,TOCA_previous!$A$2:$AI$2,0),FALSE)</f>
        <v>1.15967E-2</v>
      </c>
      <c r="G13" s="151">
        <f t="shared" si="2"/>
        <v>0</v>
      </c>
      <c r="H13" s="151">
        <f>VLOOKUP($A13,TOCA_previous!$A$2:$AI$137,MATCH(H$4,TOCA_previous!$A$2:$AI$2,0),FALSE)</f>
        <v>7.1799199999999994E-2</v>
      </c>
      <c r="I13" s="151">
        <f t="shared" si="3"/>
        <v>7.1799199999999994E-2</v>
      </c>
      <c r="J13" s="151">
        <f t="shared" si="4"/>
        <v>1.15967E-2</v>
      </c>
      <c r="K13" s="226">
        <f>VLOOKUP(A13, IRD!$A$5:$C$139, 3, FALSE)</f>
        <v>41085.457000000002</v>
      </c>
      <c r="L13" s="227">
        <f t="array" ref="L13">IF($G13=0, INDEX(LS_previous!$D$4:$AY$138, MATCH('Staging Table'!$A13, LS_previous!$B$4:$B$138, 0), MATCH(L$4&amp;L$5, LS_previous!$D$2:$AY$2&amp;LS_previous!$D$3:$AY$3, 0)),SUM(VLOOKUP($A13, LS_previous!$B$4:$AY$138, LS_previous!D$149, FALSE), VLOOKUP('Staging Table'!$A13, LS_previous!$B$4:$AY$138,LS_previous!AB$149, FALSE))/2)</f>
        <v>0</v>
      </c>
      <c r="M13" s="227">
        <f t="array" ref="M13">IF($G13=0, INDEX(LS_previous!$D$4:$AY$138, MATCH('Staging Table'!$A13, LS_previous!$B$4:$B$138, 0), MATCH(M$4&amp;M$5, LS_previous!$D$2:$AY$2&amp;LS_previous!$D$3:$AY$3, 0)),SUM(VLOOKUP($A13, LS_previous!$B$4:$AY$138, LS_previous!E$149, FALSE), VLOOKUP('Staging Table'!$A13, LS_previous!$B$4:$AY$138,LS_previous!AC$149, FALSE))/2)</f>
        <v>0</v>
      </c>
      <c r="N13" s="227">
        <f t="array" ref="N13">IF($G13=0, INDEX(LS_previous!$D$4:$AY$138, MATCH('Staging Table'!$A13, LS_previous!$B$4:$B$138, 0), MATCH(N$4&amp;N$5, LS_previous!$D$2:$AY$2&amp;LS_previous!$D$3:$AY$3, 0)),SUM(VLOOKUP($A13, LS_previous!$B$4:$AY$138, LS_previous!F$149, FALSE), VLOOKUP('Staging Table'!$A13, LS_previous!$B$4:$AY$138,LS_previous!AD$149, FALSE))/2)</f>
        <v>0</v>
      </c>
      <c r="O13" s="227">
        <f t="array" ref="O13">IF($G13=0, INDEX(LS_previous!$D$4:$AY$138, MATCH('Staging Table'!$A13, LS_previous!$B$4:$B$138, 0), MATCH(O$4&amp;O$5, LS_previous!$D$2:$AY$2&amp;LS_previous!$D$3:$AY$3, 0)),SUM(VLOOKUP($A13, LS_previous!$B$4:$AY$138, LS_previous!G$149, FALSE), VLOOKUP('Staging Table'!$A13, LS_previous!$B$4:$AY$138,LS_previous!AE$149, FALSE))/2)</f>
        <v>0</v>
      </c>
      <c r="P13" s="227">
        <f t="array" ref="P13">IF($G13=0, INDEX(LS_previous!$D$4:$AY$138, MATCH('Staging Table'!$A13, LS_previous!$B$4:$B$138, 0), MATCH(P$4&amp;P$5, LS_previous!$D$2:$AY$2&amp;LS_previous!$D$3:$AY$3, 0)),SUM(VLOOKUP($A13, LS_previous!$B$4:$AY$138, LS_previous!H$149, FALSE), VLOOKUP('Staging Table'!$A13, LS_previous!$B$4:$AY$138,LS_previous!AF$149, FALSE))/2)</f>
        <v>0</v>
      </c>
      <c r="Q13" s="227">
        <f t="array" ref="Q13">IF($G13=0, INDEX(LS_previous!$D$4:$AY$138, MATCH('Staging Table'!$A13, LS_previous!$B$4:$B$138, 0), MATCH(Q$4&amp;Q$5, LS_previous!$D$2:$AY$2&amp;LS_previous!$D$3:$AY$3, 0)),SUM(VLOOKUP($A13, LS_previous!$B$4:$AY$138, LS_previous!I$149, FALSE), VLOOKUP('Staging Table'!$A13, LS_previous!$B$4:$AY$138,LS_previous!AG$149, FALSE))/2)</f>
        <v>0</v>
      </c>
      <c r="R13" s="227">
        <f t="array" ref="R13">IF($G13=0, INDEX(LS_previous!$D$4:$AY$138, MATCH('Staging Table'!$A13, LS_previous!$B$4:$B$138, 0), MATCH(R$4&amp;R$5, LS_previous!$D$2:$AY$2&amp;LS_previous!$D$3:$AY$3, 0)),SUM(VLOOKUP($A13, LS_previous!$B$4:$AY$138, LS_previous!J$149, FALSE), VLOOKUP('Staging Table'!$A13, LS_previous!$B$4:$AY$138,LS_previous!AH$149, FALSE))/2)</f>
        <v>0</v>
      </c>
      <c r="S13" s="227">
        <f t="array" ref="S13">IF($G13=0, INDEX(LS_previous!$D$4:$AY$138, MATCH('Staging Table'!$A13, LS_previous!$B$4:$B$138, 0), MATCH(S$4&amp;S$5, LS_previous!$D$2:$AY$2&amp;LS_previous!$D$3:$AY$3, 0)),SUM(VLOOKUP($A13, LS_previous!$B$4:$AY$138, LS_previous!K$149, FALSE), VLOOKUP('Staging Table'!$A13, LS_previous!$B$4:$AY$138,LS_previous!AI$149, FALSE))/2)</f>
        <v>0</v>
      </c>
      <c r="T13" s="227">
        <f t="array" ref="T13">IF($G13=0, INDEX(LS_previous!$D$4:$AY$138, MATCH('Staging Table'!$A13, LS_previous!$B$4:$B$138, 0), MATCH(T$4&amp;T$5, LS_previous!$D$2:$AY$2&amp;LS_previous!$D$3:$AY$3, 0)),SUM(VLOOKUP($A13, LS_previous!$B$4:$AY$138, LS_previous!L$149, FALSE), VLOOKUP('Staging Table'!$A13, LS_previous!$B$4:$AY$138,LS_previous!AJ$149, FALSE))/2)</f>
        <v>0</v>
      </c>
      <c r="U13" s="227">
        <f t="array" ref="U13">IF($G13=0, INDEX(LS_previous!$D$4:$AY$138, MATCH('Staging Table'!$A13, LS_previous!$B$4:$B$138, 0), MATCH(U$4&amp;U$5, LS_previous!$D$2:$AY$2&amp;LS_previous!$D$3:$AY$3, 0)),SUM(VLOOKUP($A13, LS_previous!$B$4:$AY$138, LS_previous!M$149, FALSE), VLOOKUP('Staging Table'!$A13, LS_previous!$B$4:$AY$138,LS_previous!AK$149, FALSE))/2)</f>
        <v>0</v>
      </c>
      <c r="V13" s="227">
        <f t="array" ref="V13">IF($G13=0, INDEX(LS_previous!$D$4:$AY$138, MATCH('Staging Table'!$A13, LS_previous!$B$4:$B$138, 0), MATCH(V$4&amp;V$5, LS_previous!$D$2:$AY$2&amp;LS_previous!$D$3:$AY$3, 0)),SUM(VLOOKUP($A13, LS_previous!$B$4:$AY$138, LS_previous!N$149, FALSE), VLOOKUP('Staging Table'!$A13, LS_previous!$B$4:$AY$138,LS_previous!AL$149, FALSE))/2)</f>
        <v>0</v>
      </c>
      <c r="W13" s="227">
        <f t="array" ref="W13">IF($G13=0, INDEX(LS_previous!$D$4:$AY$138, MATCH('Staging Table'!$A13, LS_previous!$B$4:$B$138, 0), MATCH(W$4&amp;W$5, LS_previous!$D$2:$AY$2&amp;LS_previous!$D$3:$AY$3, 0)),SUM(VLOOKUP($A13, LS_previous!$B$4:$AY$138, LS_previous!O$149, FALSE), VLOOKUP('Staging Table'!$A13, LS_previous!$B$4:$AY$138,LS_previous!AM$149, FALSE))/2)</f>
        <v>0</v>
      </c>
      <c r="X13" s="227">
        <f t="array" ref="X13">IF($G13=0, INDEX(LS_previous!$D$4:$AY$138, MATCH('Staging Table'!$A13, LS_previous!$B$4:$B$138, 0), MATCH(X$4&amp;X$5, LS_previous!$D$2:$AY$2&amp;LS_previous!$D$3:$AY$3, 0)),SUM(VLOOKUP($A13, LS_previous!$B$4:$AY$138, LS_previous!P$149, FALSE), VLOOKUP('Staging Table'!$A13, LS_previous!$B$4:$AY$138,LS_previous!AN$149, FALSE))/2)</f>
        <v>0</v>
      </c>
      <c r="Y13" s="227">
        <f t="array" ref="Y13">IF($G13=0, INDEX(LS_previous!$D$4:$AY$138, MATCH('Staging Table'!$A13, LS_previous!$B$4:$B$138, 0), MATCH(Y$4&amp;Y$5, LS_previous!$D$2:$AY$2&amp;LS_previous!$D$3:$AY$3, 0)),SUM(VLOOKUP($A13, LS_previous!$B$4:$AY$138, LS_previous!Q$149, FALSE), VLOOKUP('Staging Table'!$A13, LS_previous!$B$4:$AY$138,LS_previous!AO$149, FALSE))/2)</f>
        <v>0</v>
      </c>
      <c r="Z13" s="227">
        <f t="array" ref="Z13">IF($G13=0, INDEX(LS_previous!$D$4:$AY$138, MATCH('Staging Table'!$A13, LS_previous!$B$4:$B$138, 0), MATCH(Z$4&amp;Z$5, LS_previous!$D$2:$AY$2&amp;LS_previous!$D$3:$AY$3, 0)),SUM(VLOOKUP($A13, LS_previous!$B$4:$AY$138, LS_previous!R$149, FALSE), VLOOKUP('Staging Table'!$A13, LS_previous!$B$4:$AY$138,LS_previous!AP$149, FALSE))/2)</f>
        <v>0</v>
      </c>
      <c r="AA13" s="227">
        <f t="array" ref="AA13">IF($G13=0, INDEX(LS_previous!$D$4:$AY$138, MATCH('Staging Table'!$A13, LS_previous!$B$4:$B$138, 0), MATCH(AA$4&amp;AA$5, LS_previous!$D$2:$AY$2&amp;LS_previous!$D$3:$AY$3, 0)),SUM(VLOOKUP($A13, LS_previous!$B$4:$AY$138, LS_previous!S$149, FALSE), VLOOKUP('Staging Table'!$A13, LS_previous!$B$4:$AY$138,LS_previous!AQ$149, FALSE))/2)</f>
        <v>0</v>
      </c>
      <c r="AB13" s="227">
        <f t="array" ref="AB13">IF($G13=0, INDEX(LS_previous!$D$4:$AY$138, MATCH('Staging Table'!$A13, LS_previous!$B$4:$B$138, 0), MATCH(AB$4&amp;AB$5, LS_previous!$D$2:$AY$2&amp;LS_previous!$D$3:$AY$3, 0)),SUM(VLOOKUP($A13, LS_previous!$B$4:$AY$138, LS_previous!T$149, FALSE), VLOOKUP('Staging Table'!$A13, LS_previous!$B$4:$AY$138,LS_previous!AR$149, FALSE))/2)</f>
        <v>0</v>
      </c>
      <c r="AC13" s="227">
        <f t="array" ref="AC13">IF($G13=0, INDEX(LS_previous!$D$4:$AY$138, MATCH('Staging Table'!$A13, LS_previous!$B$4:$B$138, 0), MATCH(AC$4&amp;AC$5, LS_previous!$D$2:$AY$2&amp;LS_previous!$D$3:$AY$3, 0)),SUM(VLOOKUP($A13, LS_previous!$B$4:$AY$138, LS_previous!U$149, FALSE), VLOOKUP('Staging Table'!$A13, LS_previous!$B$4:$AY$138,LS_previous!AS$149, FALSE))/2)</f>
        <v>0</v>
      </c>
      <c r="AD13" s="227">
        <f t="array" ref="AD13">IF($G13=0, INDEX(LS_previous!$D$4:$AY$138, MATCH('Staging Table'!$A13, LS_previous!$B$4:$B$138, 0), MATCH(AD$4&amp;AD$5, LS_previous!$D$2:$AY$2&amp;LS_previous!$D$3:$AY$3, 0)),SUM(VLOOKUP($A13, LS_previous!$B$4:$AY$138, LS_previous!V$149, FALSE), VLOOKUP('Staging Table'!$A13, LS_previous!$B$4:$AY$138,LS_previous!AT$149, FALSE))/2)</f>
        <v>0</v>
      </c>
      <c r="AE13" s="227">
        <f t="array" ref="AE13">IF($G13=0, INDEX(LS_previous!$D$4:$AY$138, MATCH('Staging Table'!$A13, LS_previous!$B$4:$B$138, 0), MATCH(AE$4&amp;AE$5, LS_previous!$D$2:$AY$2&amp;LS_previous!$D$3:$AY$3, 0)),SUM(VLOOKUP($A13, LS_previous!$B$4:$AY$138, LS_previous!W$149, FALSE), VLOOKUP('Staging Table'!$A13, LS_previous!$B$4:$AY$138,LS_previous!AU$149, FALSE))/2)</f>
        <v>0</v>
      </c>
      <c r="AF13" s="227">
        <f t="array" ref="AF13">IF($G13=0, INDEX(LS_previous!$D$4:$AY$138, MATCH('Staging Table'!$A13, LS_previous!$B$4:$B$138, 0), MATCH(AF$4&amp;AF$5, LS_previous!$D$2:$AY$2&amp;LS_previous!$D$3:$AY$3, 0)),SUM(VLOOKUP($A13, LS_previous!$B$4:$AY$138, LS_previous!X$149, FALSE), VLOOKUP('Staging Table'!$A13, LS_previous!$B$4:$AY$138,LS_previous!AV$149, FALSE))/2)</f>
        <v>0</v>
      </c>
      <c r="AG13" s="227">
        <f t="array" ref="AG13">IF($G13=0, INDEX(LS_previous!$D$4:$AY$138, MATCH('Staging Table'!$A13, LS_previous!$B$4:$B$138, 0), MATCH(AG$4&amp;AG$5, LS_previous!$D$2:$AY$2&amp;LS_previous!$D$3:$AY$3, 0)),SUM(VLOOKUP($A13, LS_previous!$B$4:$AY$138, LS_previous!Y$149, FALSE), VLOOKUP('Staging Table'!$A13, LS_previous!$B$4:$AY$138,LS_previous!AW$149, FALSE))/2)</f>
        <v>0</v>
      </c>
      <c r="AH13" s="227">
        <f t="array" ref="AH13">IF($G13=0, INDEX(LS_previous!$D$4:$AY$138, MATCH('Staging Table'!$A13, LS_previous!$B$4:$B$138, 0), MATCH(AH$4&amp;AH$5, LS_previous!$D$2:$AY$2&amp;LS_previous!$D$3:$AY$3, 0)),SUM(VLOOKUP($A13, LS_previous!$B$4:$AY$138, LS_previous!Z$149, FALSE), VLOOKUP('Staging Table'!$A13, LS_previous!$B$4:$AY$138,LS_previous!AX$149, FALSE))/2)</f>
        <v>0</v>
      </c>
      <c r="AI13" s="227">
        <f t="array" ref="AI13">IF($G13=0, INDEX(LS_previous!$D$4:$AY$138, MATCH('Staging Table'!$A13, LS_previous!$B$4:$B$138, 0), MATCH(AI$4&amp;AI$5, LS_previous!$D$2:$AY$2&amp;LS_previous!$D$3:$AY$3, 0)),SUM(VLOOKUP($A13, LS_previous!$B$4:$AY$138, LS_previous!AA$149, FALSE), VLOOKUP('Staging Table'!$A13, LS_previous!$B$4:$AY$138,LS_previous!AY$149, FALSE))/2)</f>
        <v>0</v>
      </c>
      <c r="AJ13" s="424">
        <f t="array" ref="AJ13">INDEX(Demand_previous!$D$4:$AY$138, MATCH('Staging Table'!$A13, Demand_previous!$B$4:$B$138, 0), MATCH(AJ$4&amp;AJ$5,Demand_previous!$D$2:$AY$2&amp;Demand_previous!$D$3:$AY$3, 0))/1000</f>
        <v>0</v>
      </c>
      <c r="AK13" s="424">
        <f t="array" ref="AK13">INDEX(Demand_previous!$D$4:$AY$138, MATCH('Staging Table'!$A13, Demand_previous!$B$4:$B$138, 0), MATCH(AK$4&amp;AK$5,Demand_previous!$D$2:$AY$2&amp;Demand_previous!$D$3:$AY$3, 0))/1000</f>
        <v>0</v>
      </c>
      <c r="AL13" s="424">
        <f t="array" ref="AL13">INDEX(Demand_previous!$D$4:$AY$138, MATCH('Staging Table'!$A13, Demand_previous!$B$4:$B$138, 0), MATCH(AL$4&amp;AL$5,Demand_previous!$D$2:$AY$2&amp;Demand_previous!$D$3:$AY$3, 0))/1000</f>
        <v>0</v>
      </c>
      <c r="AM13" s="424">
        <f t="array" ref="AM13">INDEX(Demand_previous!$D$4:$AY$138, MATCH('Staging Table'!$A13, Demand_previous!$B$4:$B$138, 0), MATCH(AM$4&amp;AM$5,Demand_previous!$D$2:$AY$2&amp;Demand_previous!$D$3:$AY$3, 0))/1000</f>
        <v>0</v>
      </c>
      <c r="AN13" s="424">
        <f t="array" ref="AN13">INDEX(Demand_previous!$D$4:$AY$138, MATCH('Staging Table'!$A13, Demand_previous!$B$4:$B$138, 0), MATCH(AN$4&amp;AN$5,Demand_previous!$D$2:$AY$2&amp;Demand_previous!$D$3:$AY$3, 0))/1000</f>
        <v>0</v>
      </c>
      <c r="AO13" s="424">
        <f t="array" ref="AO13">INDEX(Demand_previous!$D$4:$AY$138, MATCH('Staging Table'!$A13, Demand_previous!$B$4:$B$138, 0), MATCH(AO$4&amp;AO$5,Demand_previous!$D$2:$AY$2&amp;Demand_previous!$D$3:$AY$3, 0))/1000</f>
        <v>0</v>
      </c>
      <c r="AP13" s="424">
        <f t="array" ref="AP13">INDEX(Demand_previous!$D$4:$AY$138, MATCH('Staging Table'!$A13, Demand_previous!$B$4:$B$138, 0), MATCH(AP$4&amp;AP$5,Demand_previous!$D$2:$AY$2&amp;Demand_previous!$D$3:$AY$3, 0))/1000</f>
        <v>0</v>
      </c>
      <c r="AQ13" s="424">
        <f t="array" ref="AQ13">INDEX(Demand_previous!$D$4:$AY$138, MATCH('Staging Table'!$A13, Demand_previous!$B$4:$B$138, 0), MATCH(AQ$4&amp;AQ$5,Demand_previous!$D$2:$AY$2&amp;Demand_previous!$D$3:$AY$3, 0))/1000</f>
        <v>0</v>
      </c>
      <c r="AR13" s="424">
        <f t="array" ref="AR13">INDEX(Demand_previous!$D$4:$AY$138, MATCH('Staging Table'!$A13, Demand_previous!$B$4:$B$138, 0), MATCH(AR$4&amp;AR$5,Demand_previous!$D$2:$AY$2&amp;Demand_previous!$D$3:$AY$3, 0))/1000</f>
        <v>0</v>
      </c>
      <c r="AS13" s="424">
        <f t="array" ref="AS13">INDEX(Demand_previous!$D$4:$AY$138, MATCH('Staging Table'!$A13, Demand_previous!$B$4:$B$138, 0), MATCH(AS$4&amp;AS$5,Demand_previous!$D$2:$AY$2&amp;Demand_previous!$D$3:$AY$3, 0))/1000</f>
        <v>0</v>
      </c>
      <c r="AT13" s="424">
        <f t="array" ref="AT13">INDEX(Demand_previous!$D$4:$AY$138, MATCH('Staging Table'!$A13, Demand_previous!$B$4:$B$138, 0), MATCH(AT$4&amp;AT$5,Demand_previous!$D$2:$AY$2&amp;Demand_previous!$D$3:$AY$3, 0))/1000</f>
        <v>0</v>
      </c>
      <c r="AU13" s="424">
        <f t="array" ref="AU13">INDEX(Demand_previous!$D$4:$AY$138, MATCH('Staging Table'!$A13, Demand_previous!$B$4:$B$138, 0), MATCH(AU$4&amp;AU$5,Demand_previous!$D$2:$AY$2&amp;Demand_previous!$D$3:$AY$3, 0))/1000</f>
        <v>0</v>
      </c>
      <c r="AV13" s="227">
        <f>$F13*(VLOOKUP(AV$4, Rates_previous!$G$6:$Q$29, 10, FALSE)+VLOOKUP(AV$4, Rates_previous!$G$6:$Q$29, 11, FALSE))</f>
        <v>54375.044879102308</v>
      </c>
      <c r="AW13" s="227">
        <f>$F13*(VLOOKUP(AW$4, Rates_previous!$G$6:$Q$29, 10, FALSE)+VLOOKUP(AW$4, Rates_previous!$G$6:$Q$29, 11, FALSE))</f>
        <v>67203.422748144585</v>
      </c>
      <c r="AX13" s="227">
        <f>$F13*(VLOOKUP(AX$4, Rates_previous!$G$6:$Q$29, 10, FALSE)+VLOOKUP(AX$4, Rates_previous!$G$6:$Q$29, 11, FALSE))</f>
        <v>66396.390020115461</v>
      </c>
      <c r="AY13" s="227">
        <f>$F13*(VLOOKUP(AY$4, Rates_previous!$G$6:$Q$29, 10, FALSE)+VLOOKUP(AY$4, Rates_previous!$G$6:$Q$29, 11, FALSE))</f>
        <v>56729.386651005967</v>
      </c>
      <c r="AZ13" s="227">
        <f>$F13*(VLOOKUP(AZ$4, Rates_previous!$G$6:$Q$29, 10, FALSE)+VLOOKUP(AZ$4, Rates_previous!$G$6:$Q$29, 11, FALSE))</f>
        <v>46507.093189575637</v>
      </c>
      <c r="BA13" s="227">
        <f>$F13*(VLOOKUP(BA$4, Rates_previous!$G$6:$Q$29, 10, FALSE)+VLOOKUP(BA$4, Rates_previous!$G$6:$Q$29, 11, FALSE))</f>
        <v>55062.709042056835</v>
      </c>
      <c r="BB13" s="227">
        <f>$F13*(VLOOKUP(BB$4, Rates_previous!$G$6:$Q$29, 10, FALSE)+VLOOKUP(BB$4, Rates_previous!$G$6:$Q$29, 11, FALSE))</f>
        <v>52923.272749088937</v>
      </c>
      <c r="BC13" s="227">
        <f>$F13*(VLOOKUP(BC$4, Rates_previous!$G$6:$Q$29, 10, FALSE)+VLOOKUP(BC$4, Rates_previous!$G$6:$Q$29, 11, FALSE))</f>
        <v>77661.157763100884</v>
      </c>
      <c r="BD13" s="227">
        <f>$F13*(VLOOKUP(BD$4, Rates_previous!$G$6:$Q$29, 10, FALSE)+VLOOKUP(BD$4, Rates_previous!$G$6:$Q$29, 11, FALSE))</f>
        <v>61272.600865666624</v>
      </c>
      <c r="BE13" s="227">
        <f>$F13*(VLOOKUP(BE$4, Rates_previous!$G$6:$Q$29, 10, FALSE)+VLOOKUP(BE$4, Rates_previous!$G$6:$Q$29, 11, FALSE))</f>
        <v>53802.486508299306</v>
      </c>
      <c r="BF13" s="227">
        <f>$F13*(VLOOKUP(BF$4, Rates_previous!$G$6:$Q$29, 10, FALSE)+VLOOKUP(BF$4, Rates_previous!$G$6:$Q$29, 11, FALSE))</f>
        <v>59588.407398419942</v>
      </c>
      <c r="BG13" s="227">
        <f>$F13*(VLOOKUP(BG$4, Rates_previous!$G$6:$Q$29, 10, FALSE)+VLOOKUP(BG$4, Rates_previous!$G$6:$Q$29, 11, FALSE))</f>
        <v>53984.727420523217</v>
      </c>
      <c r="BH13" s="229">
        <f>IF($D13=0,IF(C13=0, MAX(BK13 - (VLOOKUP($A13,TOCA_previous!$A$2:$AI$137,MATCH("RHWM 2018",TOCA_previous!$A$2:$AI$2,0),FALSE)*$F$2*TOCA_previous!C10),0),0), 0)</f>
        <v>0</v>
      </c>
      <c r="BI13" s="266">
        <f>VLOOKUP($A13,REP_previous!$A$1:$D$135,MATCH("FY "&amp;$F$1&amp; " Total Refund",REP_previous!$A$1:$D$1,0),0)</f>
        <v>860546.92159758043</v>
      </c>
      <c r="BJ13" s="241">
        <f>MIN(VLOOKUP($A13,TOCA_previous!$A$2:$AI$137,MATCH("TRL - NLSL - Existing Resource "&amp;$F$1,TOCA_previous!$A$2:$AI$2,0),FALSE)*$F$2,(VLOOKUP($A13,TOCA_previous!$A$2:$AI$137,MATCH("RHWM 2018",TOCA_previous!$A$2:$AI$2,0),FALSE)*$F$2))</f>
        <v>705504.12000000011</v>
      </c>
      <c r="BK13" s="229">
        <f>SUM(L13:AI13)+(F13*RT1SC!$C$3*$F$2)</f>
        <v>705506.70952783199</v>
      </c>
      <c r="BL13" s="241">
        <f>VLOOKUP($A13,TOCA_previous!$A$2:$AI$137,MATCH("Above RHWM Not Served with LS "&amp;$F$1,TOCA_previous!$A$2:$AI$2,0),FALSE)*$F$2</f>
        <v>18133.199999999997</v>
      </c>
      <c r="BM13" s="151">
        <f t="shared" si="5"/>
        <v>2.5895278318785131</v>
      </c>
      <c r="BN13" s="242">
        <f>(VLOOKUP($A13,TOCA_previous!$A$2:$AI$137,MATCH("RHWM 2018",TOCA_previous!$A$2:$AI$2,0),FALSE)*$F$2) - $BJ13</f>
        <v>0</v>
      </c>
      <c r="BO13" s="151">
        <f t="shared" si="6"/>
        <v>0</v>
      </c>
      <c r="BP13" s="243">
        <f t="shared" si="7"/>
        <v>0</v>
      </c>
      <c r="BQ13" s="237">
        <f t="shared" si="8"/>
        <v>0</v>
      </c>
      <c r="BR13" s="242">
        <f t="shared" si="9"/>
        <v>0</v>
      </c>
      <c r="BS13" s="151">
        <f>VLOOKUP($A13,TOCA_current!$A$2:$AI$137,MATCH(BS$4,TOCA_current!$A$2:$AI$2,0),FALSE)</f>
        <v>1.15906E-2</v>
      </c>
      <c r="BT13" s="151">
        <f>VLOOKUP($A13,TOCA_current!$A$2:$AI$137,MATCH(BT$4,TOCA_current!$A$2:$AI$2,0),FALSE)</f>
        <v>1.15906E-2</v>
      </c>
      <c r="BU13" s="236">
        <f t="shared" si="10"/>
        <v>0</v>
      </c>
      <c r="BV13" s="151">
        <f>VLOOKUP($A13,TOCA_current!A9:BG144,MATCH(BV$4,TOCA_current!$A$2:$BG$2,0),FALSE)</f>
        <v>7.2325700000000007E-2</v>
      </c>
      <c r="BW13" s="151">
        <f t="shared" si="11"/>
        <v>7.2325700000000007E-2</v>
      </c>
      <c r="BX13" s="151">
        <f t="shared" si="12"/>
        <v>1.15906E-2</v>
      </c>
      <c r="BY13" s="226">
        <f>VLOOKUP($A13,IRD!$A$4:$G$139, 7, FALSE)</f>
        <v>41085.457000000002</v>
      </c>
      <c r="BZ13" s="227">
        <f t="array" ref="BZ13">IF($BU13=0, INDEX(LS_current!$D$4:$AY$138, MATCH('Staging Table'!$A13, LS_current!$B$4:$B$138, 0), MATCH(BZ$4&amp;BZ$5, LS_current!$D$2:$AY$2&amp;LS_current!$D$3:$AY$3, 0)),SUM(VLOOKUP($A13, LS_current!$B$4:$AY$138, LS_current!D$148, FALSE), VLOOKUP($A13, LS_current!$B$4:$AY$138,LS_current!D$148, FALSE))/2)</f>
        <v>0</v>
      </c>
      <c r="CA13" s="227">
        <f t="array" ref="CA13">IF($BU13=0, INDEX(LS_current!$D$4:$AY$138, MATCH('Staging Table'!$A13, LS_current!$B$4:$B$138, 0), MATCH(CA$4&amp;CA$5, LS_current!$D$2:$AY$2&amp;LS_current!$D$3:$AY$3, 0)),SUM(VLOOKUP($A13, LS_current!$B$4:$AY$138, LS_current!E$148, FALSE), VLOOKUP($A13, LS_current!$B$4:$AY$138,LS_current!E$148, FALSE))/2)</f>
        <v>0</v>
      </c>
      <c r="CB13" s="227">
        <f t="array" ref="CB13">IF($BU13=0, INDEX(LS_current!$D$4:$AY$138, MATCH('Staging Table'!$A13, LS_current!$B$4:$B$138, 0), MATCH(CB$4&amp;CB$5, LS_current!$D$2:$AY$2&amp;LS_current!$D$3:$AY$3, 0)),SUM(VLOOKUP($A13, LS_current!$B$4:$AY$138, LS_current!F$148, FALSE), VLOOKUP($A13, LS_current!$B$4:$AY$138,LS_current!F$148, FALSE))/2)</f>
        <v>0</v>
      </c>
      <c r="CC13" s="227">
        <f t="array" ref="CC13">IF($BU13=0, INDEX(LS_current!$D$4:$AY$138, MATCH('Staging Table'!$A13, LS_current!$B$4:$B$138, 0), MATCH(CC$4&amp;CC$5, LS_current!$D$2:$AY$2&amp;LS_current!$D$3:$AY$3, 0)),SUM(VLOOKUP($A13, LS_current!$B$4:$AY$138, LS_current!G$148, FALSE), VLOOKUP($A13, LS_current!$B$4:$AY$138,LS_current!G$148, FALSE))/2)</f>
        <v>0</v>
      </c>
      <c r="CD13" s="227">
        <f t="array" ref="CD13">IF($BU13=0, INDEX(LS_current!$D$4:$AY$138, MATCH('Staging Table'!$A13, LS_current!$B$4:$B$138, 0), MATCH(CD$4&amp;CD$5, LS_current!$D$2:$AY$2&amp;LS_current!$D$3:$AY$3, 0)),SUM(VLOOKUP($A13, LS_current!$B$4:$AY$138, LS_current!H$148, FALSE), VLOOKUP($A13, LS_current!$B$4:$AY$138,LS_current!H$148, FALSE))/2)</f>
        <v>0</v>
      </c>
      <c r="CE13" s="227">
        <f t="array" ref="CE13">IF($BU13=0, INDEX(LS_current!$D$4:$AY$138, MATCH('Staging Table'!$A13, LS_current!$B$4:$B$138, 0), MATCH(CE$4&amp;CE$5, LS_current!$D$2:$AY$2&amp;LS_current!$D$3:$AY$3, 0)),SUM(VLOOKUP($A13, LS_current!$B$4:$AY$138, LS_current!I$148, FALSE), VLOOKUP($A13, LS_current!$B$4:$AY$138,LS_current!I$148, FALSE))/2)</f>
        <v>0</v>
      </c>
      <c r="CF13" s="227">
        <f t="array" ref="CF13">IF($BU13=0, INDEX(LS_current!$D$4:$AY$138, MATCH('Staging Table'!$A13, LS_current!$B$4:$B$138, 0), MATCH(CF$4&amp;CF$5, LS_current!$D$2:$AY$2&amp;LS_current!$D$3:$AY$3, 0)),SUM(VLOOKUP($A13, LS_current!$B$4:$AY$138, LS_current!J$148, FALSE), VLOOKUP($A13, LS_current!$B$4:$AY$138,LS_current!J$148, FALSE))/2)</f>
        <v>0</v>
      </c>
      <c r="CG13" s="227">
        <f t="array" ref="CG13">IF($BU13=0, INDEX(LS_current!$D$4:$AY$138, MATCH('Staging Table'!$A13, LS_current!$B$4:$B$138, 0), MATCH(CG$4&amp;CG$5, LS_current!$D$2:$AY$2&amp;LS_current!$D$3:$AY$3, 0)),SUM(VLOOKUP($A13, LS_current!$B$4:$AY$138, LS_current!K$148, FALSE), VLOOKUP($A13, LS_current!$B$4:$AY$138,LS_current!K$148, FALSE))/2)</f>
        <v>0</v>
      </c>
      <c r="CH13" s="227">
        <f t="array" ref="CH13">IF($BU13=0, INDEX(LS_current!$D$4:$AY$138, MATCH('Staging Table'!$A13, LS_current!$B$4:$B$138, 0), MATCH(CH$4&amp;CH$5, LS_current!$D$2:$AY$2&amp;LS_current!$D$3:$AY$3, 0)),SUM(VLOOKUP($A13, LS_current!$B$4:$AY$138, LS_current!L$148, FALSE), VLOOKUP($A13, LS_current!$B$4:$AY$138,LS_current!L$148, FALSE))/2)</f>
        <v>0</v>
      </c>
      <c r="CI13" s="227">
        <f t="array" ref="CI13">IF($BU13=0, INDEX(LS_current!$D$4:$AY$138, MATCH('Staging Table'!$A13, LS_current!$B$4:$B$138, 0), MATCH(CI$4&amp;CI$5, LS_current!$D$2:$AY$2&amp;LS_current!$D$3:$AY$3, 0)),SUM(VLOOKUP($A13, LS_current!$B$4:$AY$138, LS_current!M$148, FALSE), VLOOKUP($A13, LS_current!$B$4:$AY$138,LS_current!M$148, FALSE))/2)</f>
        <v>0</v>
      </c>
      <c r="CJ13" s="227">
        <f t="array" ref="CJ13">IF($BU13=0, INDEX(LS_current!$D$4:$AY$138, MATCH('Staging Table'!$A13, LS_current!$B$4:$B$138, 0), MATCH(CJ$4&amp;CJ$5, LS_current!$D$2:$AY$2&amp;LS_current!$D$3:$AY$3, 0)),SUM(VLOOKUP($A13, LS_current!$B$4:$AY$138, LS_current!N$148, FALSE), VLOOKUP($A13, LS_current!$B$4:$AY$138,LS_current!N$148, FALSE))/2)</f>
        <v>0</v>
      </c>
      <c r="CK13" s="227">
        <f t="array" ref="CK13">IF($BU13=0, INDEX(LS_current!$D$4:$AY$138, MATCH('Staging Table'!$A13, LS_current!$B$4:$B$138, 0), MATCH(CK$4&amp;CK$5, LS_current!$D$2:$AY$2&amp;LS_current!$D$3:$AY$3, 0)),SUM(VLOOKUP($A13, LS_current!$B$4:$AY$138, LS_current!O$148, FALSE), VLOOKUP($A13, LS_current!$B$4:$AY$138,LS_current!O$148, FALSE))/2)</f>
        <v>0</v>
      </c>
      <c r="CL13" s="227">
        <f t="array" ref="CL13">IF($BU13=0, INDEX(LS_current!$D$4:$AY$138, MATCH('Staging Table'!$A13, LS_current!$B$4:$B$138, 0), MATCH(CL$4&amp;CL$5, LS_current!$D$2:$AY$2&amp;LS_current!$D$3:$AY$3, 0)),SUM(VLOOKUP($A13, LS_current!$B$4:$AY$138, LS_current!P$148, FALSE), VLOOKUP($A13, LS_current!$B$4:$AY$138,LS_current!P$148, FALSE))/2)</f>
        <v>0</v>
      </c>
      <c r="CM13" s="227">
        <f t="array" ref="CM13">IF($BU13=0, INDEX(LS_current!$D$4:$AY$138, MATCH('Staging Table'!$A13, LS_current!$B$4:$B$138, 0), MATCH(CM$4&amp;CM$5, LS_current!$D$2:$AY$2&amp;LS_current!$D$3:$AY$3, 0)),SUM(VLOOKUP($A13, LS_current!$B$4:$AY$138, LS_current!Q$148, FALSE), VLOOKUP($A13, LS_current!$B$4:$AY$138,LS_current!Q$148, FALSE))/2)</f>
        <v>0</v>
      </c>
      <c r="CN13" s="227">
        <f t="array" ref="CN13">IF($BU13=0, INDEX(LS_current!$D$4:$AY$138, MATCH('Staging Table'!$A13, LS_current!$B$4:$B$138, 0), MATCH(CN$4&amp;CN$5, LS_current!$D$2:$AY$2&amp;LS_current!$D$3:$AY$3, 0)),SUM(VLOOKUP($A13, LS_current!$B$4:$AY$138, LS_current!R$148, FALSE), VLOOKUP($A13, LS_current!$B$4:$AY$138,LS_current!R$148, FALSE))/2)</f>
        <v>0</v>
      </c>
      <c r="CO13" s="227">
        <f t="array" ref="CO13">IF($BU13=0, INDEX(LS_current!$D$4:$AY$138, MATCH('Staging Table'!$A13, LS_current!$B$4:$B$138, 0), MATCH(CO$4&amp;CO$5, LS_current!$D$2:$AY$2&amp;LS_current!$D$3:$AY$3, 0)),SUM(VLOOKUP($A13, LS_current!$B$4:$AY$138, LS_current!S$148, FALSE), VLOOKUP($A13, LS_current!$B$4:$AY$138,LS_current!S$148, FALSE))/2)</f>
        <v>0</v>
      </c>
      <c r="CP13" s="227">
        <f t="array" ref="CP13">IF($BU13=0, INDEX(LS_current!$D$4:$AY$138, MATCH('Staging Table'!$A13, LS_current!$B$4:$B$138, 0), MATCH(CP$4&amp;CP$5, LS_current!$D$2:$AY$2&amp;LS_current!$D$3:$AY$3, 0)),SUM(VLOOKUP($A13, LS_current!$B$4:$AY$138, LS_current!T$148, FALSE), VLOOKUP($A13, LS_current!$B$4:$AY$138,LS_current!T$148, FALSE))/2)</f>
        <v>0</v>
      </c>
      <c r="CQ13" s="227">
        <f t="array" ref="CQ13">IF($BU13=0, INDEX(LS_current!$D$4:$AY$138, MATCH('Staging Table'!$A13, LS_current!$B$4:$B$138, 0), MATCH(CQ$4&amp;CQ$5, LS_current!$D$2:$AY$2&amp;LS_current!$D$3:$AY$3, 0)),SUM(VLOOKUP($A13, LS_current!$B$4:$AY$138, LS_current!U$148, FALSE), VLOOKUP($A13, LS_current!$B$4:$AY$138,LS_current!U$148, FALSE))/2)</f>
        <v>0</v>
      </c>
      <c r="CR13" s="227">
        <f t="array" ref="CR13">IF($BU13=0, INDEX(LS_current!$D$4:$AY$138, MATCH('Staging Table'!$A13, LS_current!$B$4:$B$138, 0), MATCH(CR$4&amp;CR$5, LS_current!$D$2:$AY$2&amp;LS_current!$D$3:$AY$3, 0)),SUM(VLOOKUP($A13, LS_current!$B$4:$AY$138, LS_current!V$148, FALSE), VLOOKUP($A13, LS_current!$B$4:$AY$138,LS_current!V$148, FALSE))/2)</f>
        <v>0</v>
      </c>
      <c r="CS13" s="227">
        <f t="array" ref="CS13">IF($BU13=0, INDEX(LS_current!$D$4:$AY$138, MATCH('Staging Table'!$A13, LS_current!$B$4:$B$138, 0), MATCH(CS$4&amp;CS$5, LS_current!$D$2:$AY$2&amp;LS_current!$D$3:$AY$3, 0)),SUM(VLOOKUP($A13, LS_current!$B$4:$AY$138, LS_current!W$148, FALSE), VLOOKUP($A13, LS_current!$B$4:$AY$138,LS_current!W$148, FALSE))/2)</f>
        <v>0</v>
      </c>
      <c r="CT13" s="227">
        <f t="array" ref="CT13">IF($BU13=0, INDEX(LS_current!$D$4:$AY$138, MATCH('Staging Table'!$A13, LS_current!$B$4:$B$138, 0), MATCH(CT$4&amp;CT$5, LS_current!$D$2:$AY$2&amp;LS_current!$D$3:$AY$3, 0)),SUM(VLOOKUP($A13, LS_current!$B$4:$AY$138, LS_current!X$148, FALSE), VLOOKUP($A13, LS_current!$B$4:$AY$138,LS_current!X$148, FALSE))/2)</f>
        <v>0</v>
      </c>
      <c r="CU13" s="227">
        <f t="array" ref="CU13">IF($BU13=0, INDEX(LS_current!$D$4:$AY$138, MATCH('Staging Table'!$A13, LS_current!$B$4:$B$138, 0), MATCH(CU$4&amp;CU$5, LS_current!$D$2:$AY$2&amp;LS_current!$D$3:$AY$3, 0)),SUM(VLOOKUP($A13, LS_current!$B$4:$AY$138, LS_current!Y$148, FALSE), VLOOKUP($A13, LS_current!$B$4:$AY$138,LS_current!Y$148, FALSE))/2)</f>
        <v>0</v>
      </c>
      <c r="CV13" s="227">
        <f t="array" ref="CV13">IF($BU13=0, INDEX(LS_current!$D$4:$AY$138, MATCH('Staging Table'!$A13, LS_current!$B$4:$B$138, 0), MATCH(CV$4&amp;CV$5, LS_current!$D$2:$AY$2&amp;LS_current!$D$3:$AY$3, 0)),SUM(VLOOKUP($A13, LS_current!$B$4:$AY$138, LS_current!Z$148, FALSE), VLOOKUP($A13, LS_current!$B$4:$AY$138,LS_current!Z$148, FALSE))/2)</f>
        <v>0</v>
      </c>
      <c r="CW13" s="227">
        <f t="array" ref="CW13">IF($BU13=0, INDEX(LS_current!$D$4:$AY$138, MATCH('Staging Table'!$A13, LS_current!$B$4:$B$138, 0), MATCH(CW$4&amp;CW$5, LS_current!$D$2:$AY$2&amp;LS_current!$D$3:$AY$3, 0)),SUM(VLOOKUP($A13, LS_current!$B$4:$AY$138, LS_current!AA$148, FALSE), VLOOKUP($A13, LS_current!$B$4:$AY$138,LS_current!AA$148, FALSE))/2)</f>
        <v>0</v>
      </c>
      <c r="CX13" s="229">
        <f t="array" ref="CX13">INDEX(Demand_current!$D$4:$AY$138, MATCH($A13, Demand_current!$B$4:$B$138, 0), MATCH(CX$4&amp;CX$5,Demand_current!$D$2:$AY$2&amp;Demand_current!$D$3:$AY$3, 0))/1000</f>
        <v>0</v>
      </c>
      <c r="CY13" s="229">
        <f t="array" ref="CY13">INDEX(Demand_current!$D$4:$AY$138, MATCH($A13, Demand_current!$B$4:$B$138, 0), MATCH(CY$4&amp;CY$5,Demand_current!$D$2:$AY$2&amp;Demand_current!$D$3:$AY$3, 0))/1000</f>
        <v>0</v>
      </c>
      <c r="CZ13" s="229">
        <f t="array" ref="CZ13">INDEX(Demand_current!$D$4:$AY$138, MATCH($A13, Demand_current!$B$4:$B$138, 0), MATCH(CZ$4&amp;CZ$5,Demand_current!$D$2:$AY$2&amp;Demand_current!$D$3:$AY$3, 0))/1000</f>
        <v>0</v>
      </c>
      <c r="DA13" s="229">
        <f t="array" ref="DA13">INDEX(Demand_current!$D$4:$AY$138, MATCH($A13, Demand_current!$B$4:$B$138, 0), MATCH(DA$4&amp;DA$5,Demand_current!$D$2:$AY$2&amp;Demand_current!$D$3:$AY$3, 0))/1000</f>
        <v>0</v>
      </c>
      <c r="DB13" s="229">
        <f t="array" ref="DB13">INDEX(Demand_current!$D$4:$AY$138, MATCH($A13, Demand_current!$B$4:$B$138, 0), MATCH(DB$4&amp;DB$5,Demand_current!$D$2:$AY$2&amp;Demand_current!$D$3:$AY$3, 0))/1000</f>
        <v>0</v>
      </c>
      <c r="DC13" s="229">
        <f t="array" ref="DC13">INDEX(Demand_current!$D$4:$AY$138, MATCH($A13, Demand_current!$B$4:$B$138, 0), MATCH(DC$4&amp;DC$5,Demand_current!$D$2:$AY$2&amp;Demand_current!$D$3:$AY$3, 0))/1000</f>
        <v>0</v>
      </c>
      <c r="DD13" s="229">
        <f t="array" ref="DD13">INDEX(Demand_current!$D$4:$AY$138, MATCH($A13, Demand_current!$B$4:$B$138, 0), MATCH(DD$4&amp;DD$5,Demand_current!$D$2:$AY$2&amp;Demand_current!$D$3:$AY$3, 0))/1000</f>
        <v>0</v>
      </c>
      <c r="DE13" s="229">
        <f t="array" ref="DE13">INDEX(Demand_current!$D$4:$AY$138, MATCH($A13, Demand_current!$B$4:$B$138, 0), MATCH(DE$4&amp;DE$5,Demand_current!$D$2:$AY$2&amp;Demand_current!$D$3:$AY$3, 0))/1000</f>
        <v>0</v>
      </c>
      <c r="DF13" s="229">
        <f t="array" ref="DF13">INDEX(Demand_current!$D$4:$AY$138, MATCH($A13, Demand_current!$B$4:$B$138, 0), MATCH(DF$4&amp;DF$5,Demand_current!$D$2:$AY$2&amp;Demand_current!$D$3:$AY$3, 0))/1000</f>
        <v>0</v>
      </c>
      <c r="DG13" s="229">
        <f t="array" ref="DG13">INDEX(Demand_current!$D$4:$AY$138, MATCH($A13, Demand_current!$B$4:$B$138, 0), MATCH(DG$4&amp;DG$5,Demand_current!$D$2:$AY$2&amp;Demand_current!$D$3:$AY$3, 0))/1000</f>
        <v>0</v>
      </c>
      <c r="DH13" s="229">
        <f t="array" ref="DH13">INDEX(Demand_current!$D$4:$AY$138, MATCH($A13, Demand_current!$B$4:$B$138, 0), MATCH(DH$4&amp;DH$5,Demand_current!$D$2:$AY$2&amp;Demand_current!$D$3:$AY$3, 0))/1000</f>
        <v>0</v>
      </c>
      <c r="DI13" s="229">
        <f t="array" ref="DI13">INDEX(Demand_current!$D$4:$AY$138, MATCH($A13, Demand_current!$B$4:$B$138, 0), MATCH(DI$4&amp;DI$5,Demand_current!$D$2:$AY$2&amp;Demand_current!$D$3:$AY$3, 0))/1000</f>
        <v>0</v>
      </c>
      <c r="DJ13" s="227">
        <f>$BT13*(VLOOKUP(DJ$4, Rates_current!$G$6:$Q$29, 10, FALSE)+VLOOKUP(DJ$4, Rates_current!$G$6:$Q$29, 11, FALSE))</f>
        <v>53517.476691957592</v>
      </c>
      <c r="DK13" s="227">
        <f>$BT13*(VLOOKUP(DK$4, Rates_current!$G$6:$Q$29, 10, FALSE)+VLOOKUP(DK$4, Rates_current!$G$6:$Q$29, 11, FALSE))</f>
        <v>67983.890499953399</v>
      </c>
      <c r="DL13" s="227">
        <f>$BT13*(VLOOKUP(DL$4, Rates_current!$G$6:$Q$29, 10, FALSE)+VLOOKUP(DL$4, Rates_current!$G$6:$Q$29, 11, FALSE))</f>
        <v>67162.893031757601</v>
      </c>
      <c r="DM13" s="227">
        <f>$BT13*(VLOOKUP(DM$4, Rates_current!$G$6:$Q$29, 10, FALSE)+VLOOKUP(DM$4, Rates_current!$G$6:$Q$29, 11, FALSE))</f>
        <v>55984.362042957604</v>
      </c>
      <c r="DN13" s="227">
        <f>$BT13*(VLOOKUP(DN$4, Rates_current!$G$6:$Q$29, 10, FALSE)+VLOOKUP(DN$4, Rates_current!$G$6:$Q$29, 11, FALSE))</f>
        <v>50716.024082079995</v>
      </c>
      <c r="DO13" s="227">
        <f>$BT13*(VLOOKUP(DO$4, Rates_current!$G$6:$Q$29, 10, FALSE)+VLOOKUP(DO$4, Rates_current!$G$6:$Q$29, 11, FALSE))</f>
        <v>56412.330355392194</v>
      </c>
      <c r="DP13" s="227">
        <f>$BT13*(VLOOKUP(DP$4, Rates_current!$G$6:$Q$29, 10, FALSE)+VLOOKUP(DP$4, Rates_current!$G$6:$Q$29, 11, FALSE))</f>
        <v>45930.980250287997</v>
      </c>
      <c r="DQ13" s="227">
        <f>$BT13*(VLOOKUP(DQ$4, Rates_current!$G$6:$Q$29, 10, FALSE)+VLOOKUP(DQ$4, Rates_current!$G$6:$Q$29, 11, FALSE))</f>
        <v>61944.775935257603</v>
      </c>
      <c r="DR13" s="227">
        <f>$BT13*(VLOOKUP(DR$4, Rates_current!$G$6:$Q$29, 10, FALSE)+VLOOKUP(DR$4, Rates_current!$G$6:$Q$29, 11, FALSE))</f>
        <v>79037.321140988002</v>
      </c>
      <c r="DS13" s="227">
        <f>$BT13*(VLOOKUP(DS$4, Rates_current!$G$6:$Q$29, 10, FALSE)+VLOOKUP(DS$4, Rates_current!$G$6:$Q$29, 11, FALSE))</f>
        <v>61967.765890357601</v>
      </c>
      <c r="DT13" s="227">
        <f>$BT13*(VLOOKUP(DT$4, Rates_current!$G$6:$Q$29, 10, FALSE)+VLOOKUP(DT$4, Rates_current!$G$6:$Q$29, 11, FALSE))</f>
        <v>60344.2647530576</v>
      </c>
      <c r="DU13" s="227">
        <f>$BT13*(VLOOKUP(DU$4, Rates_current!$G$6:$Q$29, 10, FALSE)+VLOOKUP(DU$4, Rates_current!$G$6:$Q$29, 11, FALSE))</f>
        <v>54176.312868888002</v>
      </c>
      <c r="DV13" s="229">
        <f>IF(D13=0,IF(C13=0,MAX(0,DY13 - (VLOOKUP($A13,TOCA_current!$A$2:$AI$137,MATCH("RHWM 2020",TOCA_current!$A$2:$AI$2,0),FALSE)*$BT$2)), 0),0)</f>
        <v>0</v>
      </c>
      <c r="DW13" s="266">
        <f>VLOOKUP($A13,REP_current!$A$1:$D$135,MATCH("FY "&amp;$BT$1&amp; " Total Refund",REP_current!$A$1:$D$1,0),0)</f>
        <v>0</v>
      </c>
      <c r="DX13" s="295">
        <f>MIN(VLOOKUP($A13,TOCA_current!$A$2:$AI$137,MATCH("TRL - NLSL - Existing Resource "&amp;$BT$1,TOCA_current!$A$2:$AI$2,0),FALSE)*$BT$2, VLOOKUP($A13,TOCA_current!$A$2:$AI$137,MATCH("RHWM 2020",TOCA_current!$A$2:$AI$2,0),FALSE)*$BT$2)</f>
        <v>715175.71200000006</v>
      </c>
      <c r="DY13" s="240">
        <f>SUM(BZ13:CW13)+(BT13*RT1SC!$C$4*$BT$2)</f>
        <v>715178.42438676476</v>
      </c>
      <c r="DZ13" s="271">
        <f>VLOOKUP($A13,TOCA_current!$A$2:$AI$137,MATCH("Above RHWM Not Served with LS "&amp;$BT$1,TOCA_current!$A$2:$AI$2,0),FALSE)*$BT$2</f>
        <v>80601.983999999997</v>
      </c>
      <c r="EA13" s="244">
        <f t="shared" si="13"/>
        <v>2.7123867647023872</v>
      </c>
      <c r="EB13" s="295">
        <f>(VLOOKUP($A13,TOCA_current!$A$2:$AI$137,MATCH("RHWM 2020",TOCA_current!$A$2:$AI$2,0),FALSE)*$BT$2) - $DX13</f>
        <v>0</v>
      </c>
      <c r="EC13" s="240">
        <f t="shared" si="14"/>
        <v>0</v>
      </c>
      <c r="ED13" s="240">
        <f t="shared" si="15"/>
        <v>0</v>
      </c>
      <c r="EE13" s="240">
        <f t="shared" si="16"/>
        <v>0</v>
      </c>
      <c r="EF13" s="240">
        <f t="shared" si="17"/>
        <v>0</v>
      </c>
    </row>
    <row r="14" spans="1:136">
      <c r="A14" s="166">
        <v>10047</v>
      </c>
      <c r="B14" s="167" t="s">
        <v>15</v>
      </c>
      <c r="C14" s="240">
        <v>0</v>
      </c>
      <c r="D14" s="240">
        <v>0</v>
      </c>
      <c r="E14" s="150">
        <f>VLOOKUP($A14,TOCA_previous!$A$2:$AI$137,MATCH(E$4,TOCA_previous!$A$2:$AI$2,0),FALSE)</f>
        <v>2.2011099999999999E-2</v>
      </c>
      <c r="F14" s="151">
        <f>VLOOKUP($A14,TOCA_previous!$A$2:$AI$137,MATCH(F$4,TOCA_previous!$A$2:$AI$2,0),FALSE)</f>
        <v>2.2011099999999999E-2</v>
      </c>
      <c r="G14" s="151">
        <f t="shared" si="2"/>
        <v>0</v>
      </c>
      <c r="H14" s="151">
        <f>VLOOKUP($A14,TOCA_previous!$A$2:$AI$137,MATCH(H$4,TOCA_previous!$A$2:$AI$2,0),FALSE)</f>
        <v>0</v>
      </c>
      <c r="I14" s="151">
        <f t="shared" si="3"/>
        <v>0</v>
      </c>
      <c r="J14" s="151">
        <f t="shared" si="4"/>
        <v>0</v>
      </c>
      <c r="K14" s="226">
        <f>VLOOKUP(A14, IRD!$A$5:$C$139, 3, FALSE)</f>
        <v>0</v>
      </c>
      <c r="L14" s="227">
        <f t="array" ref="L14">IF($G14=0, INDEX(LS_previous!$D$4:$AY$138, MATCH('Staging Table'!$A14, LS_previous!$B$4:$B$138, 0), MATCH(L$4&amp;L$5, LS_previous!$D$2:$AY$2&amp;LS_previous!$D$3:$AY$3, 0)),SUM(VLOOKUP($A14, LS_previous!$B$4:$AY$138, LS_previous!D$149, FALSE), VLOOKUP('Staging Table'!$A14, LS_previous!$B$4:$AY$138,LS_previous!AB$149, FALSE))/2)</f>
        <v>773</v>
      </c>
      <c r="M14" s="227">
        <f t="array" ref="M14">IF($G14=0, INDEX(LS_previous!$D$4:$AY$138, MATCH('Staging Table'!$A14, LS_previous!$B$4:$B$138, 0), MATCH(M$4&amp;M$5, LS_previous!$D$2:$AY$2&amp;LS_previous!$D$3:$AY$3, 0)),SUM(VLOOKUP($A14, LS_previous!$B$4:$AY$138, LS_previous!E$149, FALSE), VLOOKUP('Staging Table'!$A14, LS_previous!$B$4:$AY$138,LS_previous!AC$149, FALSE))/2)</f>
        <v>7455</v>
      </c>
      <c r="N14" s="227">
        <f t="array" ref="N14">IF($G14=0, INDEX(LS_previous!$D$4:$AY$138, MATCH('Staging Table'!$A14, LS_previous!$B$4:$B$138, 0), MATCH(N$4&amp;N$5, LS_previous!$D$2:$AY$2&amp;LS_previous!$D$3:$AY$3, 0)),SUM(VLOOKUP($A14, LS_previous!$B$4:$AY$138, LS_previous!F$149, FALSE), VLOOKUP('Staging Table'!$A14, LS_previous!$B$4:$AY$138,LS_previous!AD$149, FALSE))/2)</f>
        <v>-8265</v>
      </c>
      <c r="O14" s="227">
        <f t="array" ref="O14">IF($G14=0, INDEX(LS_previous!$D$4:$AY$138, MATCH('Staging Table'!$A14, LS_previous!$B$4:$B$138, 0), MATCH(O$4&amp;O$5, LS_previous!$D$2:$AY$2&amp;LS_previous!$D$3:$AY$3, 0)),SUM(VLOOKUP($A14, LS_previous!$B$4:$AY$138, LS_previous!G$149, FALSE), VLOOKUP('Staging Table'!$A14, LS_previous!$B$4:$AY$138,LS_previous!AE$149, FALSE))/2)</f>
        <v>5151</v>
      </c>
      <c r="P14" s="227">
        <f t="array" ref="P14">IF($G14=0, INDEX(LS_previous!$D$4:$AY$138, MATCH('Staging Table'!$A14, LS_previous!$B$4:$B$138, 0), MATCH(P$4&amp;P$5, LS_previous!$D$2:$AY$2&amp;LS_previous!$D$3:$AY$3, 0)),SUM(VLOOKUP($A14, LS_previous!$B$4:$AY$138, LS_previous!H$149, FALSE), VLOOKUP('Staging Table'!$A14, LS_previous!$B$4:$AY$138,LS_previous!AF$149, FALSE))/2)</f>
        <v>-3374</v>
      </c>
      <c r="Q14" s="227">
        <f t="array" ref="Q14">IF($G14=0, INDEX(LS_previous!$D$4:$AY$138, MATCH('Staging Table'!$A14, LS_previous!$B$4:$B$138, 0), MATCH(Q$4&amp;Q$5, LS_previous!$D$2:$AY$2&amp;LS_previous!$D$3:$AY$3, 0)),SUM(VLOOKUP($A14, LS_previous!$B$4:$AY$138, LS_previous!I$149, FALSE), VLOOKUP('Staging Table'!$A14, LS_previous!$B$4:$AY$138,LS_previous!AG$149, FALSE))/2)</f>
        <v>10136</v>
      </c>
      <c r="R14" s="227">
        <f t="array" ref="R14">IF($G14=0, INDEX(LS_previous!$D$4:$AY$138, MATCH('Staging Table'!$A14, LS_previous!$B$4:$B$138, 0), MATCH(R$4&amp;R$5, LS_previous!$D$2:$AY$2&amp;LS_previous!$D$3:$AY$3, 0)),SUM(VLOOKUP($A14, LS_previous!$B$4:$AY$138, LS_previous!J$149, FALSE), VLOOKUP('Staging Table'!$A14, LS_previous!$B$4:$AY$138,LS_previous!AH$149, FALSE))/2)</f>
        <v>11069</v>
      </c>
      <c r="S14" s="227">
        <f t="array" ref="S14">IF($G14=0, INDEX(LS_previous!$D$4:$AY$138, MATCH('Staging Table'!$A14, LS_previous!$B$4:$B$138, 0), MATCH(S$4&amp;S$5, LS_previous!$D$2:$AY$2&amp;LS_previous!$D$3:$AY$3, 0)),SUM(VLOOKUP($A14, LS_previous!$B$4:$AY$138, LS_previous!K$149, FALSE), VLOOKUP('Staging Table'!$A14, LS_previous!$B$4:$AY$138,LS_previous!AI$149, FALSE))/2)</f>
        <v>14239</v>
      </c>
      <c r="T14" s="227">
        <f t="array" ref="T14">IF($G14=0, INDEX(LS_previous!$D$4:$AY$138, MATCH('Staging Table'!$A14, LS_previous!$B$4:$B$138, 0), MATCH(T$4&amp;T$5, LS_previous!$D$2:$AY$2&amp;LS_previous!$D$3:$AY$3, 0)),SUM(VLOOKUP($A14, LS_previous!$B$4:$AY$138, LS_previous!L$149, FALSE), VLOOKUP('Staging Table'!$A14, LS_previous!$B$4:$AY$138,LS_previous!AJ$149, FALSE))/2)</f>
        <v>12836</v>
      </c>
      <c r="U14" s="227">
        <f t="array" ref="U14">IF($G14=0, INDEX(LS_previous!$D$4:$AY$138, MATCH('Staging Table'!$A14, LS_previous!$B$4:$B$138, 0), MATCH(U$4&amp;U$5, LS_previous!$D$2:$AY$2&amp;LS_previous!$D$3:$AY$3, 0)),SUM(VLOOKUP($A14, LS_previous!$B$4:$AY$138, LS_previous!M$149, FALSE), VLOOKUP('Staging Table'!$A14, LS_previous!$B$4:$AY$138,LS_previous!AK$149, FALSE))/2)</f>
        <v>12824</v>
      </c>
      <c r="V14" s="227">
        <f t="array" ref="V14">IF($G14=0, INDEX(LS_previous!$D$4:$AY$138, MATCH('Staging Table'!$A14, LS_previous!$B$4:$B$138, 0), MATCH(V$4&amp;V$5, LS_previous!$D$2:$AY$2&amp;LS_previous!$D$3:$AY$3, 0)),SUM(VLOOKUP($A14, LS_previous!$B$4:$AY$138, LS_previous!N$149, FALSE), VLOOKUP('Staging Table'!$A14, LS_previous!$B$4:$AY$138,LS_previous!AL$149, FALSE))/2)</f>
        <v>2619</v>
      </c>
      <c r="W14" s="227">
        <f t="array" ref="W14">IF($G14=0, INDEX(LS_previous!$D$4:$AY$138, MATCH('Staging Table'!$A14, LS_previous!$B$4:$B$138, 0), MATCH(W$4&amp;W$5, LS_previous!$D$2:$AY$2&amp;LS_previous!$D$3:$AY$3, 0)),SUM(VLOOKUP($A14, LS_previous!$B$4:$AY$138, LS_previous!O$149, FALSE), VLOOKUP('Staging Table'!$A14, LS_previous!$B$4:$AY$138,LS_previous!AM$149, FALSE))/2)</f>
        <v>10058</v>
      </c>
      <c r="X14" s="227">
        <f t="array" ref="X14">IF($G14=0, INDEX(LS_previous!$D$4:$AY$138, MATCH('Staging Table'!$A14, LS_previous!$B$4:$B$138, 0), MATCH(X$4&amp;X$5, LS_previous!$D$2:$AY$2&amp;LS_previous!$D$3:$AY$3, 0)),SUM(VLOOKUP($A14, LS_previous!$B$4:$AY$138, LS_previous!P$149, FALSE), VLOOKUP('Staging Table'!$A14, LS_previous!$B$4:$AY$138,LS_previous!AN$149, FALSE))/2)</f>
        <v>-1832</v>
      </c>
      <c r="Y14" s="227">
        <f t="array" ref="Y14">IF($G14=0, INDEX(LS_previous!$D$4:$AY$138, MATCH('Staging Table'!$A14, LS_previous!$B$4:$B$138, 0), MATCH(Y$4&amp;Y$5, LS_previous!$D$2:$AY$2&amp;LS_previous!$D$3:$AY$3, 0)),SUM(VLOOKUP($A14, LS_previous!$B$4:$AY$138, LS_previous!Q$149, FALSE), VLOOKUP('Staging Table'!$A14, LS_previous!$B$4:$AY$138,LS_previous!AO$149, FALSE))/2)</f>
        <v>5695</v>
      </c>
      <c r="Z14" s="227">
        <f t="array" ref="Z14">IF($G14=0, INDEX(LS_previous!$D$4:$AY$138, MATCH('Staging Table'!$A14, LS_previous!$B$4:$B$138, 0), MATCH(Z$4&amp;Z$5, LS_previous!$D$2:$AY$2&amp;LS_previous!$D$3:$AY$3, 0)),SUM(VLOOKUP($A14, LS_previous!$B$4:$AY$138, LS_previous!R$149, FALSE), VLOOKUP('Staging Table'!$A14, LS_previous!$B$4:$AY$138,LS_previous!AP$149, FALSE))/2)</f>
        <v>-37206</v>
      </c>
      <c r="AA14" s="227">
        <f t="array" ref="AA14">IF($G14=0, INDEX(LS_previous!$D$4:$AY$138, MATCH('Staging Table'!$A14, LS_previous!$B$4:$B$138, 0), MATCH(AA$4&amp;AA$5, LS_previous!$D$2:$AY$2&amp;LS_previous!$D$3:$AY$3, 0)),SUM(VLOOKUP($A14, LS_previous!$B$4:$AY$138, LS_previous!S$149, FALSE), VLOOKUP('Staging Table'!$A14, LS_previous!$B$4:$AY$138,LS_previous!AQ$149, FALSE))/2)</f>
        <v>-8916</v>
      </c>
      <c r="AB14" s="227">
        <f t="array" ref="AB14">IF($G14=0, INDEX(LS_previous!$D$4:$AY$138, MATCH('Staging Table'!$A14, LS_previous!$B$4:$B$138, 0), MATCH(AB$4&amp;AB$5, LS_previous!$D$2:$AY$2&amp;LS_previous!$D$3:$AY$3, 0)),SUM(VLOOKUP($A14, LS_previous!$B$4:$AY$138, LS_previous!T$149, FALSE), VLOOKUP('Staging Table'!$A14, LS_previous!$B$4:$AY$138,LS_previous!AR$149, FALSE))/2)</f>
        <v>-17062</v>
      </c>
      <c r="AC14" s="227">
        <f t="array" ref="AC14">IF($G14=0, INDEX(LS_previous!$D$4:$AY$138, MATCH('Staging Table'!$A14, LS_previous!$B$4:$B$138, 0), MATCH(AC$4&amp;AC$5, LS_previous!$D$2:$AY$2&amp;LS_previous!$D$3:$AY$3, 0)),SUM(VLOOKUP($A14, LS_previous!$B$4:$AY$138, LS_previous!U$149, FALSE), VLOOKUP('Staging Table'!$A14, LS_previous!$B$4:$AY$138,LS_previous!AS$149, FALSE))/2)</f>
        <v>-1169</v>
      </c>
      <c r="AD14" s="227">
        <f t="array" ref="AD14">IF($G14=0, INDEX(LS_previous!$D$4:$AY$138, MATCH('Staging Table'!$A14, LS_previous!$B$4:$B$138, 0), MATCH(AD$4&amp;AD$5, LS_previous!$D$2:$AY$2&amp;LS_previous!$D$3:$AY$3, 0)),SUM(VLOOKUP($A14, LS_previous!$B$4:$AY$138, LS_previous!V$149, FALSE), VLOOKUP('Staging Table'!$A14, LS_previous!$B$4:$AY$138,LS_previous!AT$149, FALSE))/2)</f>
        <v>-8195</v>
      </c>
      <c r="AE14" s="227">
        <f t="array" ref="AE14">IF($G14=0, INDEX(LS_previous!$D$4:$AY$138, MATCH('Staging Table'!$A14, LS_previous!$B$4:$B$138, 0), MATCH(AE$4&amp;AE$5, LS_previous!$D$2:$AY$2&amp;LS_previous!$D$3:$AY$3, 0)),SUM(VLOOKUP($A14, LS_previous!$B$4:$AY$138, LS_previous!W$149, FALSE), VLOOKUP('Staging Table'!$A14, LS_previous!$B$4:$AY$138,LS_previous!AU$149, FALSE))/2)</f>
        <v>6511</v>
      </c>
      <c r="AF14" s="227">
        <f t="array" ref="AF14">IF($G14=0, INDEX(LS_previous!$D$4:$AY$138, MATCH('Staging Table'!$A14, LS_previous!$B$4:$B$138, 0), MATCH(AF$4&amp;AF$5, LS_previous!$D$2:$AY$2&amp;LS_previous!$D$3:$AY$3, 0)),SUM(VLOOKUP($A14, LS_previous!$B$4:$AY$138, LS_previous!X$149, FALSE), VLOOKUP('Staging Table'!$A14, LS_previous!$B$4:$AY$138,LS_previous!AV$149, FALSE))/2)</f>
        <v>-16552</v>
      </c>
      <c r="AG14" s="227">
        <f t="array" ref="AG14">IF($G14=0, INDEX(LS_previous!$D$4:$AY$138, MATCH('Staging Table'!$A14, LS_previous!$B$4:$B$138, 0), MATCH(AG$4&amp;AG$5, LS_previous!$D$2:$AY$2&amp;LS_previous!$D$3:$AY$3, 0)),SUM(VLOOKUP($A14, LS_previous!$B$4:$AY$138, LS_previous!Y$149, FALSE), VLOOKUP('Staging Table'!$A14, LS_previous!$B$4:$AY$138,LS_previous!AW$149, FALSE))/2)</f>
        <v>4561</v>
      </c>
      <c r="AH14" s="227">
        <f t="array" ref="AH14">IF($G14=0, INDEX(LS_previous!$D$4:$AY$138, MATCH('Staging Table'!$A14, LS_previous!$B$4:$B$138, 0), MATCH(AH$4&amp;AH$5, LS_previous!$D$2:$AY$2&amp;LS_previous!$D$3:$AY$3, 0)),SUM(VLOOKUP($A14, LS_previous!$B$4:$AY$138, LS_previous!Z$149, FALSE), VLOOKUP('Staging Table'!$A14, LS_previous!$B$4:$AY$138,LS_previous!AX$149, FALSE))/2)</f>
        <v>-5805</v>
      </c>
      <c r="AI14" s="227">
        <f t="array" ref="AI14">IF($G14=0, INDEX(LS_previous!$D$4:$AY$138, MATCH('Staging Table'!$A14, LS_previous!$B$4:$B$138, 0), MATCH(AI$4&amp;AI$5, LS_previous!$D$2:$AY$2&amp;LS_previous!$D$3:$AY$3, 0)),SUM(VLOOKUP($A14, LS_previous!$B$4:$AY$138, LS_previous!AA$149, FALSE), VLOOKUP('Staging Table'!$A14, LS_previous!$B$4:$AY$138,LS_previous!AY$149, FALSE))/2)</f>
        <v>6268</v>
      </c>
      <c r="AJ14" s="424">
        <f t="array" ref="AJ14">INDEX(Demand_previous!$D$4:$AY$138, MATCH('Staging Table'!$A14, Demand_previous!$B$4:$B$138, 0), MATCH(AJ$4&amp;AJ$5,Demand_previous!$D$2:$AY$2&amp;Demand_previous!$D$3:$AY$3, 0))/1000</f>
        <v>4.3159999999999998</v>
      </c>
      <c r="AK14" s="424">
        <f t="array" ref="AK14">INDEX(Demand_previous!$D$4:$AY$138, MATCH('Staging Table'!$A14, Demand_previous!$B$4:$B$138, 0), MATCH(AK$4&amp;AK$5,Demand_previous!$D$2:$AY$2&amp;Demand_previous!$D$3:$AY$3, 0))/1000</f>
        <v>5.6219999999999999</v>
      </c>
      <c r="AL14" s="424">
        <f t="array" ref="AL14">INDEX(Demand_previous!$D$4:$AY$138, MATCH('Staging Table'!$A14, Demand_previous!$B$4:$B$138, 0), MATCH(AL$4&amp;AL$5,Demand_previous!$D$2:$AY$2&amp;Demand_previous!$D$3:$AY$3, 0))/1000</f>
        <v>28.724</v>
      </c>
      <c r="AM14" s="424">
        <f t="array" ref="AM14">INDEX(Demand_previous!$D$4:$AY$138, MATCH('Staging Table'!$A14, Demand_previous!$B$4:$B$138, 0), MATCH(AM$4&amp;AM$5,Demand_previous!$D$2:$AY$2&amp;Demand_previous!$D$3:$AY$3, 0))/1000</f>
        <v>23.023</v>
      </c>
      <c r="AN14" s="424">
        <f t="array" ref="AN14">INDEX(Demand_previous!$D$4:$AY$138, MATCH('Staging Table'!$A14, Demand_previous!$B$4:$B$138, 0), MATCH(AN$4&amp;AN$5,Demand_previous!$D$2:$AY$2&amp;Demand_previous!$D$3:$AY$3, 0))/1000</f>
        <v>6.8639999999999999</v>
      </c>
      <c r="AO14" s="424">
        <f t="array" ref="AO14">INDEX(Demand_previous!$D$4:$AY$138, MATCH('Staging Table'!$A14, Demand_previous!$B$4:$B$138, 0), MATCH(AO$4&amp;AO$5,Demand_previous!$D$2:$AY$2&amp;Demand_previous!$D$3:$AY$3, 0))/1000</f>
        <v>28.672999999999998</v>
      </c>
      <c r="AP14" s="424">
        <f t="array" ref="AP14">INDEX(Demand_previous!$D$4:$AY$138, MATCH('Staging Table'!$A14, Demand_previous!$B$4:$B$138, 0), MATCH(AP$4&amp;AP$5,Demand_previous!$D$2:$AY$2&amp;Demand_previous!$D$3:$AY$3, 0))/1000</f>
        <v>20.56</v>
      </c>
      <c r="AQ14" s="424">
        <f t="array" ref="AQ14">INDEX(Demand_previous!$D$4:$AY$138, MATCH('Staging Table'!$A14, Demand_previous!$B$4:$B$138, 0), MATCH(AQ$4&amp;AQ$5,Demand_previous!$D$2:$AY$2&amp;Demand_previous!$D$3:$AY$3, 0))/1000</f>
        <v>2.1480000000000001</v>
      </c>
      <c r="AR14" s="424">
        <f t="array" ref="AR14">INDEX(Demand_previous!$D$4:$AY$138, MATCH('Staging Table'!$A14, Demand_previous!$B$4:$B$138, 0), MATCH(AR$4&amp;AR$5,Demand_previous!$D$2:$AY$2&amp;Demand_previous!$D$3:$AY$3, 0))/1000</f>
        <v>3.1989999999999998</v>
      </c>
      <c r="AS14" s="424">
        <f t="array" ref="AS14">INDEX(Demand_previous!$D$4:$AY$138, MATCH('Staging Table'!$A14, Demand_previous!$B$4:$B$138, 0), MATCH(AS$4&amp;AS$5,Demand_previous!$D$2:$AY$2&amp;Demand_previous!$D$3:$AY$3, 0))/1000</f>
        <v>4.2110000000000003</v>
      </c>
      <c r="AT14" s="424">
        <f t="array" ref="AT14">INDEX(Demand_previous!$D$4:$AY$138, MATCH('Staging Table'!$A14, Demand_previous!$B$4:$B$138, 0), MATCH(AT$4&amp;AT$5,Demand_previous!$D$2:$AY$2&amp;Demand_previous!$D$3:$AY$3, 0))/1000</f>
        <v>17.937000000000001</v>
      </c>
      <c r="AU14" s="424">
        <f t="array" ref="AU14">INDEX(Demand_previous!$D$4:$AY$138, MATCH('Staging Table'!$A14, Demand_previous!$B$4:$B$138, 0), MATCH(AU$4&amp;AU$5,Demand_previous!$D$2:$AY$2&amp;Demand_previous!$D$3:$AY$3, 0))/1000</f>
        <v>0</v>
      </c>
      <c r="AV14" s="227">
        <f>$F14*(VLOOKUP(AV$4, Rates_previous!$G$6:$Q$29, 10, FALSE)+VLOOKUP(AV$4, Rates_previous!$G$6:$Q$29, 11, FALSE))</f>
        <v>103206.47687173152</v>
      </c>
      <c r="AW14" s="227">
        <f>$F14*(VLOOKUP(AW$4, Rates_previous!$G$6:$Q$29, 10, FALSE)+VLOOKUP(AW$4, Rates_previous!$G$6:$Q$29, 11, FALSE))</f>
        <v>127555.36130551668</v>
      </c>
      <c r="AX14" s="227">
        <f>$F14*(VLOOKUP(AX$4, Rates_previous!$G$6:$Q$29, 10, FALSE)+VLOOKUP(AX$4, Rates_previous!$G$6:$Q$29, 11, FALSE))</f>
        <v>126023.57397981868</v>
      </c>
      <c r="AY14" s="227">
        <f>$F14*(VLOOKUP(AY$4, Rates_previous!$G$6:$Q$29, 10, FALSE)+VLOOKUP(AY$4, Rates_previous!$G$6:$Q$29, 11, FALSE))</f>
        <v>107675.13193528827</v>
      </c>
      <c r="AZ14" s="227">
        <f>$F14*(VLOOKUP(AZ$4, Rates_previous!$G$6:$Q$29, 10, FALSE)+VLOOKUP(AZ$4, Rates_previous!$G$6:$Q$29, 11, FALSE))</f>
        <v>88272.722317992899</v>
      </c>
      <c r="BA14" s="227">
        <f>$F14*(VLOOKUP(BA$4, Rates_previous!$G$6:$Q$29, 10, FALSE)+VLOOKUP(BA$4, Rates_previous!$G$6:$Q$29, 11, FALSE))</f>
        <v>104511.6968616604</v>
      </c>
      <c r="BB14" s="227">
        <f>$F14*(VLOOKUP(BB$4, Rates_previous!$G$6:$Q$29, 10, FALSE)+VLOOKUP(BB$4, Rates_previous!$G$6:$Q$29, 11, FALSE))</f>
        <v>100450.94283783072</v>
      </c>
      <c r="BC14" s="227">
        <f>$F14*(VLOOKUP(BC$4, Rates_previous!$G$6:$Q$29, 10, FALSE)+VLOOKUP(BC$4, Rates_previous!$G$6:$Q$29, 11, FALSE))</f>
        <v>147404.65042981107</v>
      </c>
      <c r="BD14" s="227">
        <f>$F14*(VLOOKUP(BD$4, Rates_previous!$G$6:$Q$29, 10, FALSE)+VLOOKUP(BD$4, Rates_previous!$G$6:$Q$29, 11, FALSE))</f>
        <v>116298.37323672032</v>
      </c>
      <c r="BE14" s="227">
        <f>$F14*(VLOOKUP(BE$4, Rates_previous!$G$6:$Q$29, 10, FALSE)+VLOOKUP(BE$4, Rates_previous!$G$6:$Q$29, 11, FALSE))</f>
        <v>102119.73326746633</v>
      </c>
      <c r="BF14" s="227">
        <f>$F14*(VLOOKUP(BF$4, Rates_previous!$G$6:$Q$29, 10, FALSE)+VLOOKUP(BF$4, Rates_previous!$G$6:$Q$29, 11, FALSE))</f>
        <v>113101.69221307451</v>
      </c>
      <c r="BG14" s="227">
        <f>$F14*(VLOOKUP(BG$4, Rates_previous!$G$6:$Q$29, 10, FALSE)+VLOOKUP(BG$4, Rates_previous!$G$6:$Q$29, 11, FALSE))</f>
        <v>102465.63537263864</v>
      </c>
      <c r="BH14" s="229">
        <f>IF($D14=0,IF(C14=0, MAX(BK14 - (VLOOKUP($A14,TOCA_previous!$A$2:$AI$137,MATCH("RHWM 2018",TOCA_previous!$A$2:$AI$2,0),FALSE)*$F$2*TOCA_previous!C11),0),0), 0)</f>
        <v>0</v>
      </c>
      <c r="BI14" s="266">
        <f>VLOOKUP($A14,REP_previous!$A$1:$D$135,MATCH("FY "&amp;$F$1&amp; " Total Refund",REP_previous!$A$1:$D$1,0),0)</f>
        <v>1356406.4002414742</v>
      </c>
      <c r="BJ14" s="241">
        <f>MIN(VLOOKUP($A14,TOCA_previous!$A$2:$AI$137,MATCH("TRL - NLSL - Existing Resource "&amp;$F$1,TOCA_previous!$A$2:$AI$2,0),FALSE)*$F$2,(VLOOKUP($A14,TOCA_previous!$A$2:$AI$137,MATCH("RHWM 2018",TOCA_previous!$A$2:$AI$2,0),FALSE)*$F$2))</f>
        <v>1339088.6400000001</v>
      </c>
      <c r="BK14" s="229">
        <f>SUM(L14:AI14)+(F14*RT1SC!$C$3*$F$2)</f>
        <v>1340905.0101656558</v>
      </c>
      <c r="BL14" s="241">
        <f>VLOOKUP($A14,TOCA_previous!$A$2:$AI$137,MATCH("Above RHWM Not Served with LS "&amp;$F$1,TOCA_previous!$A$2:$AI$2,0),FALSE)*$F$2</f>
        <v>0</v>
      </c>
      <c r="BM14" s="151">
        <f t="shared" si="5"/>
        <v>1816.3701656556223</v>
      </c>
      <c r="BN14" s="242">
        <f>(VLOOKUP($A14,TOCA_previous!$A$2:$AI$137,MATCH("RHWM 2018",TOCA_previous!$A$2:$AI$2,0),FALSE)*$F$2) - $BJ14</f>
        <v>11335.439999999711</v>
      </c>
      <c r="BO14" s="151">
        <f t="shared" si="6"/>
        <v>-1816.3701656556223</v>
      </c>
      <c r="BP14" s="243">
        <f t="shared" si="7"/>
        <v>0</v>
      </c>
      <c r="BQ14" s="237">
        <f t="shared" si="8"/>
        <v>0</v>
      </c>
      <c r="BR14" s="242">
        <f t="shared" si="9"/>
        <v>-1816.3701656556223</v>
      </c>
      <c r="BS14" s="151">
        <f>VLOOKUP($A14,TOCA_current!$A$2:$AI$137,MATCH(BS$4,TOCA_current!$A$2:$AI$2,0),FALSE)</f>
        <v>2.19518E-2</v>
      </c>
      <c r="BT14" s="151">
        <f>VLOOKUP($A14,TOCA_current!$A$2:$AI$137,MATCH(BT$4,TOCA_current!$A$2:$AI$2,0),FALSE)</f>
        <v>2.19518E-2</v>
      </c>
      <c r="BU14" s="236">
        <f t="shared" si="10"/>
        <v>0</v>
      </c>
      <c r="BV14" s="151">
        <f>VLOOKUP($A14,TOCA_current!A10:BG145,MATCH(BV$4,TOCA_current!$A$2:$BG$2,0),FALSE)</f>
        <v>0</v>
      </c>
      <c r="BW14" s="151">
        <f t="shared" si="11"/>
        <v>0</v>
      </c>
      <c r="BX14" s="151">
        <f t="shared" si="12"/>
        <v>0</v>
      </c>
      <c r="BY14" s="226">
        <f>VLOOKUP($A14,IRD!$A$4:$G$139, 7, FALSE)</f>
        <v>0</v>
      </c>
      <c r="BZ14" s="227">
        <f t="array" ref="BZ14">IF($BU14=0, INDEX(LS_current!$D$4:$AY$138, MATCH('Staging Table'!$A14, LS_current!$B$4:$B$138, 0), MATCH(BZ$4&amp;BZ$5, LS_current!$D$2:$AY$2&amp;LS_current!$D$3:$AY$3, 0)),SUM(VLOOKUP($A14, LS_current!$B$4:$AY$138, LS_current!D$148, FALSE), VLOOKUP($A14, LS_current!$B$4:$AY$138,LS_current!D$148, FALSE))/2)</f>
        <v>1846</v>
      </c>
      <c r="CA14" s="227">
        <f t="array" ref="CA14">IF($BU14=0, INDEX(LS_current!$D$4:$AY$138, MATCH('Staging Table'!$A14, LS_current!$B$4:$B$138, 0), MATCH(CA$4&amp;CA$5, LS_current!$D$2:$AY$2&amp;LS_current!$D$3:$AY$3, 0)),SUM(VLOOKUP($A14, LS_current!$B$4:$AY$138, LS_current!E$148, FALSE), VLOOKUP($A14, LS_current!$B$4:$AY$138,LS_current!E$148, FALSE))/2)</f>
        <v>8231</v>
      </c>
      <c r="CB14" s="227">
        <f t="array" ref="CB14">IF($BU14=0, INDEX(LS_current!$D$4:$AY$138, MATCH('Staging Table'!$A14, LS_current!$B$4:$B$138, 0), MATCH(CB$4&amp;CB$5, LS_current!$D$2:$AY$2&amp;LS_current!$D$3:$AY$3, 0)),SUM(VLOOKUP($A14, LS_current!$B$4:$AY$138, LS_current!F$148, FALSE), VLOOKUP($A14, LS_current!$B$4:$AY$138,LS_current!F$148, FALSE))/2)</f>
        <v>-8616</v>
      </c>
      <c r="CC14" s="227">
        <f t="array" ref="CC14">IF($BU14=0, INDEX(LS_current!$D$4:$AY$138, MATCH('Staging Table'!$A14, LS_current!$B$4:$B$138, 0), MATCH(CC$4&amp;CC$5, LS_current!$D$2:$AY$2&amp;LS_current!$D$3:$AY$3, 0)),SUM(VLOOKUP($A14, LS_current!$B$4:$AY$138, LS_current!G$148, FALSE), VLOOKUP($A14, LS_current!$B$4:$AY$138,LS_current!G$148, FALSE))/2)</f>
        <v>4301</v>
      </c>
      <c r="CD14" s="227">
        <f t="array" ref="CD14">IF($BU14=0, INDEX(LS_current!$D$4:$AY$138, MATCH('Staging Table'!$A14, LS_current!$B$4:$B$138, 0), MATCH(CD$4&amp;CD$5, LS_current!$D$2:$AY$2&amp;LS_current!$D$3:$AY$3, 0)),SUM(VLOOKUP($A14, LS_current!$B$4:$AY$138, LS_current!H$148, FALSE), VLOOKUP($A14, LS_current!$B$4:$AY$138,LS_current!H$148, FALSE))/2)</f>
        <v>-3860</v>
      </c>
      <c r="CE14" s="227">
        <f t="array" ref="CE14">IF($BU14=0, INDEX(LS_current!$D$4:$AY$138, MATCH('Staging Table'!$A14, LS_current!$B$4:$B$138, 0), MATCH(CE$4&amp;CE$5, LS_current!$D$2:$AY$2&amp;LS_current!$D$3:$AY$3, 0)),SUM(VLOOKUP($A14, LS_current!$B$4:$AY$138, LS_current!I$148, FALSE), VLOOKUP($A14, LS_current!$B$4:$AY$138,LS_current!I$148, FALSE))/2)</f>
        <v>9444</v>
      </c>
      <c r="CF14" s="227">
        <f t="array" ref="CF14">IF($BU14=0, INDEX(LS_current!$D$4:$AY$138, MATCH('Staging Table'!$A14, LS_current!$B$4:$B$138, 0), MATCH(CF$4&amp;CF$5, LS_current!$D$2:$AY$2&amp;LS_current!$D$3:$AY$3, 0)),SUM(VLOOKUP($A14, LS_current!$B$4:$AY$138, LS_current!J$148, FALSE), VLOOKUP($A14, LS_current!$B$4:$AY$138,LS_current!J$148, FALSE))/2)</f>
        <v>10956</v>
      </c>
      <c r="CG14" s="227">
        <f t="array" ref="CG14">IF($BU14=0, INDEX(LS_current!$D$4:$AY$138, MATCH('Staging Table'!$A14, LS_current!$B$4:$B$138, 0), MATCH(CG$4&amp;CG$5, LS_current!$D$2:$AY$2&amp;LS_current!$D$3:$AY$3, 0)),SUM(VLOOKUP($A14, LS_current!$B$4:$AY$138, LS_current!K$148, FALSE), VLOOKUP($A14, LS_current!$B$4:$AY$138,LS_current!K$148, FALSE))/2)</f>
        <v>15997</v>
      </c>
      <c r="CH14" s="227">
        <f t="array" ref="CH14">IF($BU14=0, INDEX(LS_current!$D$4:$AY$138, MATCH('Staging Table'!$A14, LS_current!$B$4:$B$138, 0), MATCH(CH$4&amp;CH$5, LS_current!$D$2:$AY$2&amp;LS_current!$D$3:$AY$3, 0)),SUM(VLOOKUP($A14, LS_current!$B$4:$AY$138, LS_current!L$148, FALSE), VLOOKUP($A14, LS_current!$B$4:$AY$138,LS_current!L$148, FALSE))/2)</f>
        <v>7996</v>
      </c>
      <c r="CI14" s="227">
        <f t="array" ref="CI14">IF($BU14=0, INDEX(LS_current!$D$4:$AY$138, MATCH('Staging Table'!$A14, LS_current!$B$4:$B$138, 0), MATCH(CI$4&amp;CI$5, LS_current!$D$2:$AY$2&amp;LS_current!$D$3:$AY$3, 0)),SUM(VLOOKUP($A14, LS_current!$B$4:$AY$138, LS_current!M$148, FALSE), VLOOKUP($A14, LS_current!$B$4:$AY$138,LS_current!M$148, FALSE))/2)</f>
        <v>9884</v>
      </c>
      <c r="CJ14" s="227">
        <f t="array" ref="CJ14">IF($BU14=0, INDEX(LS_current!$D$4:$AY$138, MATCH('Staging Table'!$A14, LS_current!$B$4:$B$138, 0), MATCH(CJ$4&amp;CJ$5, LS_current!$D$2:$AY$2&amp;LS_current!$D$3:$AY$3, 0)),SUM(VLOOKUP($A14, LS_current!$B$4:$AY$138, LS_current!N$148, FALSE), VLOOKUP($A14, LS_current!$B$4:$AY$138,LS_current!N$148, FALSE))/2)</f>
        <v>777</v>
      </c>
      <c r="CK14" s="227">
        <f t="array" ref="CK14">IF($BU14=0, INDEX(LS_current!$D$4:$AY$138, MATCH('Staging Table'!$A14, LS_current!$B$4:$B$138, 0), MATCH(CK$4&amp;CK$5, LS_current!$D$2:$AY$2&amp;LS_current!$D$3:$AY$3, 0)),SUM(VLOOKUP($A14, LS_current!$B$4:$AY$138, LS_current!O$148, FALSE), VLOOKUP($A14, LS_current!$B$4:$AY$138,LS_current!O$148, FALSE))/2)</f>
        <v>9570</v>
      </c>
      <c r="CL14" s="227">
        <f t="array" ref="CL14">IF($BU14=0, INDEX(LS_current!$D$4:$AY$138, MATCH('Staging Table'!$A14, LS_current!$B$4:$B$138, 0), MATCH(CL$4&amp;CL$5, LS_current!$D$2:$AY$2&amp;LS_current!$D$3:$AY$3, 0)),SUM(VLOOKUP($A14, LS_current!$B$4:$AY$138, LS_current!P$148, FALSE), VLOOKUP($A14, LS_current!$B$4:$AY$138,LS_current!P$148, FALSE))/2)</f>
        <v>8030</v>
      </c>
      <c r="CM14" s="227">
        <f t="array" ref="CM14">IF($BU14=0, INDEX(LS_current!$D$4:$AY$138, MATCH('Staging Table'!$A14, LS_current!$B$4:$B$138, 0), MATCH(CM$4&amp;CM$5, LS_current!$D$2:$AY$2&amp;LS_current!$D$3:$AY$3, 0)),SUM(VLOOKUP($A14, LS_current!$B$4:$AY$138, LS_current!Q$148, FALSE), VLOOKUP($A14, LS_current!$B$4:$AY$138,LS_current!Q$148, FALSE))/2)</f>
        <v>9294</v>
      </c>
      <c r="CN14" s="227">
        <f t="array" ref="CN14">IF($BU14=0, INDEX(LS_current!$D$4:$AY$138, MATCH('Staging Table'!$A14, LS_current!$B$4:$B$138, 0), MATCH(CN$4&amp;CN$5, LS_current!$D$2:$AY$2&amp;LS_current!$D$3:$AY$3, 0)),SUM(VLOOKUP($A14, LS_current!$B$4:$AY$138, LS_current!R$148, FALSE), VLOOKUP($A14, LS_current!$B$4:$AY$138,LS_current!R$148, FALSE))/2)</f>
        <v>-19387</v>
      </c>
      <c r="CO14" s="227">
        <f t="array" ref="CO14">IF($BU14=0, INDEX(LS_current!$D$4:$AY$138, MATCH('Staging Table'!$A14, LS_current!$B$4:$B$138, 0), MATCH(CO$4&amp;CO$5, LS_current!$D$2:$AY$2&amp;LS_current!$D$3:$AY$3, 0)),SUM(VLOOKUP($A14, LS_current!$B$4:$AY$138, LS_current!S$148, FALSE), VLOOKUP($A14, LS_current!$B$4:$AY$138,LS_current!S$148, FALSE))/2)</f>
        <v>3351</v>
      </c>
      <c r="CP14" s="227">
        <f t="array" ref="CP14">IF($BU14=0, INDEX(LS_current!$D$4:$AY$138, MATCH('Staging Table'!$A14, LS_current!$B$4:$B$138, 0), MATCH(CP$4&amp;CP$5, LS_current!$D$2:$AY$2&amp;LS_current!$D$3:$AY$3, 0)),SUM(VLOOKUP($A14, LS_current!$B$4:$AY$138, LS_current!T$148, FALSE), VLOOKUP($A14, LS_current!$B$4:$AY$138,LS_current!T$148, FALSE))/2)</f>
        <v>-38130</v>
      </c>
      <c r="CQ14" s="227">
        <f t="array" ref="CQ14">IF($BU14=0, INDEX(LS_current!$D$4:$AY$138, MATCH('Staging Table'!$A14, LS_current!$B$4:$B$138, 0), MATCH(CQ$4&amp;CQ$5, LS_current!$D$2:$AY$2&amp;LS_current!$D$3:$AY$3, 0)),SUM(VLOOKUP($A14, LS_current!$B$4:$AY$138, LS_current!U$148, FALSE), VLOOKUP($A14, LS_current!$B$4:$AY$138,LS_current!U$148, FALSE))/2)</f>
        <v>-13494</v>
      </c>
      <c r="CR14" s="227">
        <f t="array" ref="CR14">IF($BU14=0, INDEX(LS_current!$D$4:$AY$138, MATCH('Staging Table'!$A14, LS_current!$B$4:$B$138, 0), MATCH(CR$4&amp;CR$5, LS_current!$D$2:$AY$2&amp;LS_current!$D$3:$AY$3, 0)),SUM(VLOOKUP($A14, LS_current!$B$4:$AY$138, LS_current!V$148, FALSE), VLOOKUP($A14, LS_current!$B$4:$AY$138,LS_current!V$148, FALSE))/2)</f>
        <v>-22220</v>
      </c>
      <c r="CS14" s="227">
        <f t="array" ref="CS14">IF($BU14=0, INDEX(LS_current!$D$4:$AY$138, MATCH('Staging Table'!$A14, LS_current!$B$4:$B$138, 0), MATCH(CS$4&amp;CS$5, LS_current!$D$2:$AY$2&amp;LS_current!$D$3:$AY$3, 0)),SUM(VLOOKUP($A14, LS_current!$B$4:$AY$138, LS_current!W$148, FALSE), VLOOKUP($A14, LS_current!$B$4:$AY$138,LS_current!W$148, FALSE))/2)</f>
        <v>5294</v>
      </c>
      <c r="CT14" s="227">
        <f t="array" ref="CT14">IF($BU14=0, INDEX(LS_current!$D$4:$AY$138, MATCH('Staging Table'!$A14, LS_current!$B$4:$B$138, 0), MATCH(CT$4&amp;CT$5, LS_current!$D$2:$AY$2&amp;LS_current!$D$3:$AY$3, 0)),SUM(VLOOKUP($A14, LS_current!$B$4:$AY$138, LS_current!X$148, FALSE), VLOOKUP($A14, LS_current!$B$4:$AY$138,LS_current!X$148, FALSE))/2)</f>
        <v>-19205</v>
      </c>
      <c r="CU14" s="227">
        <f t="array" ref="CU14">IF($BU14=0, INDEX(LS_current!$D$4:$AY$138, MATCH('Staging Table'!$A14, LS_current!$B$4:$B$138, 0), MATCH(CU$4&amp;CU$5, LS_current!$D$2:$AY$2&amp;LS_current!$D$3:$AY$3, 0)),SUM(VLOOKUP($A14, LS_current!$B$4:$AY$138, LS_current!Y$148, FALSE), VLOOKUP($A14, LS_current!$B$4:$AY$138,LS_current!Y$148, FALSE))/2)</f>
        <v>6028</v>
      </c>
      <c r="CV14" s="227">
        <f t="array" ref="CV14">IF($BU14=0, INDEX(LS_current!$D$4:$AY$138, MATCH('Staging Table'!$A14, LS_current!$B$4:$B$138, 0), MATCH(CV$4&amp;CV$5, LS_current!$D$2:$AY$2&amp;LS_current!$D$3:$AY$3, 0)),SUM(VLOOKUP($A14, LS_current!$B$4:$AY$138, LS_current!Z$148, FALSE), VLOOKUP($A14, LS_current!$B$4:$AY$138,LS_current!Z$148, FALSE))/2)</f>
        <v>-6015</v>
      </c>
      <c r="CW14" s="227">
        <f t="array" ref="CW14">IF($BU14=0, INDEX(LS_current!$D$4:$AY$138, MATCH('Staging Table'!$A14, LS_current!$B$4:$B$138, 0), MATCH(CW$4&amp;CW$5, LS_current!$D$2:$AY$2&amp;LS_current!$D$3:$AY$3, 0)),SUM(VLOOKUP($A14, LS_current!$B$4:$AY$138, LS_current!AA$148, FALSE), VLOOKUP($A14, LS_current!$B$4:$AY$138,LS_current!AA$148, FALSE))/2)</f>
        <v>6337</v>
      </c>
      <c r="CX14" s="229">
        <f t="array" ref="CX14">INDEX(Demand_current!$D$4:$AY$138, MATCH($A14, Demand_current!$B$4:$B$138, 0), MATCH(CX$4&amp;CX$5,Demand_current!$D$2:$AY$2&amp;Demand_current!$D$3:$AY$3, 0))/1000</f>
        <v>10.361000000000001</v>
      </c>
      <c r="CY14" s="229">
        <f t="array" ref="CY14">INDEX(Demand_current!$D$4:$AY$138, MATCH($A14, Demand_current!$B$4:$B$138, 0), MATCH(CY$4&amp;CY$5,Demand_current!$D$2:$AY$2&amp;Demand_current!$D$3:$AY$3, 0))/1000</f>
        <v>5.6219999999999999</v>
      </c>
      <c r="CZ14" s="229">
        <f t="array" ref="CZ14">INDEX(Demand_current!$D$4:$AY$138, MATCH($A14, Demand_current!$B$4:$B$138, 0), MATCH(CZ$4&amp;CZ$5,Demand_current!$D$2:$AY$2&amp;Demand_current!$D$3:$AY$3, 0))/1000</f>
        <v>28.724</v>
      </c>
      <c r="DA14" s="229">
        <f t="array" ref="DA14">INDEX(Demand_current!$D$4:$AY$138, MATCH($A14, Demand_current!$B$4:$B$138, 0), MATCH(DA$4&amp;DA$5,Demand_current!$D$2:$AY$2&amp;Demand_current!$D$3:$AY$3, 0))/1000</f>
        <v>23.023</v>
      </c>
      <c r="DB14" s="229">
        <f t="array" ref="DB14">INDEX(Demand_current!$D$4:$AY$138, MATCH($A14, Demand_current!$B$4:$B$138, 0), MATCH(DB$4&amp;DB$5,Demand_current!$D$2:$AY$2&amp;Demand_current!$D$3:$AY$3, 0))/1000</f>
        <v>14.01</v>
      </c>
      <c r="DC14" s="229">
        <f t="array" ref="DC14">INDEX(Demand_current!$D$4:$AY$138, MATCH($A14, Demand_current!$B$4:$B$138, 0), MATCH(DC$4&amp;DC$5,Demand_current!$D$2:$AY$2&amp;Demand_current!$D$3:$AY$3, 0))/1000</f>
        <v>22.555</v>
      </c>
      <c r="DD14" s="229">
        <f t="array" ref="DD14">INDEX(Demand_current!$D$4:$AY$138, MATCH($A14, Demand_current!$B$4:$B$138, 0), MATCH(DD$4&amp;DD$5,Demand_current!$D$2:$AY$2&amp;Demand_current!$D$3:$AY$3, 0))/1000</f>
        <v>26.594999999999999</v>
      </c>
      <c r="DE14" s="229">
        <f t="array" ref="DE14">INDEX(Demand_current!$D$4:$AY$138, MATCH($A14, Demand_current!$B$4:$B$138, 0), MATCH(DE$4&amp;DE$5,Demand_current!$D$2:$AY$2&amp;Demand_current!$D$3:$AY$3, 0))/1000</f>
        <v>0</v>
      </c>
      <c r="DF14" s="229">
        <f t="array" ref="DF14">INDEX(Demand_current!$D$4:$AY$138, MATCH($A14, Demand_current!$B$4:$B$138, 0), MATCH(DF$4&amp;DF$5,Demand_current!$D$2:$AY$2&amp;Demand_current!$D$3:$AY$3, 0))/1000</f>
        <v>3.1989999999999998</v>
      </c>
      <c r="DG14" s="229">
        <f t="array" ref="DG14">INDEX(Demand_current!$D$4:$AY$138, MATCH($A14, Demand_current!$B$4:$B$138, 0), MATCH(DG$4&amp;DG$5,Demand_current!$D$2:$AY$2&amp;Demand_current!$D$3:$AY$3, 0))/1000</f>
        <v>9.843</v>
      </c>
      <c r="DH14" s="229">
        <f t="array" ref="DH14">INDEX(Demand_current!$D$4:$AY$138, MATCH($A14, Demand_current!$B$4:$B$138, 0), MATCH(DH$4&amp;DH$5,Demand_current!$D$2:$AY$2&amp;Demand_current!$D$3:$AY$3, 0))/1000</f>
        <v>12.673999999999999</v>
      </c>
      <c r="DI14" s="229">
        <f t="array" ref="DI14">INDEX(Demand_current!$D$4:$AY$138, MATCH($A14, Demand_current!$B$4:$B$138, 0), MATCH(DI$4&amp;DI$5,Demand_current!$D$2:$AY$2&amp;Demand_current!$D$3:$AY$3, 0))/1000</f>
        <v>0</v>
      </c>
      <c r="DJ14" s="227">
        <f>$BT14*(VLOOKUP(DJ$4, Rates_current!$G$6:$Q$29, 10, FALSE)+VLOOKUP(DJ$4, Rates_current!$G$6:$Q$29, 11, FALSE))</f>
        <v>101358.42362315279</v>
      </c>
      <c r="DK14" s="227">
        <f>$BT14*(VLOOKUP(DK$4, Rates_current!$G$6:$Q$29, 10, FALSE)+VLOOKUP(DK$4, Rates_current!$G$6:$Q$29, 11, FALSE))</f>
        <v>128756.8173758802</v>
      </c>
      <c r="DL14" s="227">
        <f>$BT14*(VLOOKUP(DL$4, Rates_current!$G$6:$Q$29, 10, FALSE)+VLOOKUP(DL$4, Rates_current!$G$6:$Q$29, 11, FALSE))</f>
        <v>127201.90458255282</v>
      </c>
      <c r="DM14" s="227">
        <f>$BT14*(VLOOKUP(DM$4, Rates_current!$G$6:$Q$29, 10, FALSE)+VLOOKUP(DM$4, Rates_current!$G$6:$Q$29, 11, FALSE))</f>
        <v>106030.53497615282</v>
      </c>
      <c r="DN14" s="227">
        <f>$BT14*(VLOOKUP(DN$4, Rates_current!$G$6:$Q$29, 10, FALSE)+VLOOKUP(DN$4, Rates_current!$G$6:$Q$29, 11, FALSE))</f>
        <v>96052.664870239998</v>
      </c>
      <c r="DO14" s="227">
        <f>$BT14*(VLOOKUP(DO$4, Rates_current!$G$6:$Q$29, 10, FALSE)+VLOOKUP(DO$4, Rates_current!$G$6:$Q$29, 11, FALSE))</f>
        <v>106841.0775538366</v>
      </c>
      <c r="DP14" s="227">
        <f>$BT14*(VLOOKUP(DP$4, Rates_current!$G$6:$Q$29, 10, FALSE)+VLOOKUP(DP$4, Rates_current!$G$6:$Q$29, 11, FALSE))</f>
        <v>86990.120637264001</v>
      </c>
      <c r="DQ14" s="227">
        <f>$BT14*(VLOOKUP(DQ$4, Rates_current!$G$6:$Q$29, 10, FALSE)+VLOOKUP(DQ$4, Rates_current!$G$6:$Q$29, 11, FALSE))</f>
        <v>117319.14934305281</v>
      </c>
      <c r="DR14" s="227">
        <f>$BT14*(VLOOKUP(DR$4, Rates_current!$G$6:$Q$29, 10, FALSE)+VLOOKUP(DR$4, Rates_current!$G$6:$Q$29, 11, FALSE))</f>
        <v>149691.255519364</v>
      </c>
      <c r="DS14" s="227">
        <f>$BT14*(VLOOKUP(DS$4, Rates_current!$G$6:$Q$29, 10, FALSE)+VLOOKUP(DS$4, Rates_current!$G$6:$Q$29, 11, FALSE))</f>
        <v>117362.69073835282</v>
      </c>
      <c r="DT14" s="227">
        <f>$BT14*(VLOOKUP(DT$4, Rates_current!$G$6:$Q$29, 10, FALSE)+VLOOKUP(DT$4, Rates_current!$G$6:$Q$29, 11, FALSE))</f>
        <v>114287.89113645282</v>
      </c>
      <c r="DU14" s="227">
        <f>$BT14*(VLOOKUP(DU$4, Rates_current!$G$6:$Q$29, 10, FALSE)+VLOOKUP(DU$4, Rates_current!$G$6:$Q$29, 11, FALSE))</f>
        <v>102606.21407306401</v>
      </c>
      <c r="DV14" s="229">
        <f>IF(D14=0,IF(C14=0,MAX(0,DY14 - (VLOOKUP($A14,TOCA_current!$A$2:$AI$137,MATCH("RHWM 2020",TOCA_current!$A$2:$AI$2,0),FALSE)*$BT$2)), 0),0)</f>
        <v>0</v>
      </c>
      <c r="DW14" s="266">
        <f>VLOOKUP($A14,REP_current!$A$1:$D$135,MATCH("FY "&amp;$BT$1&amp; " Total Refund",REP_current!$A$1:$D$1,0),0)</f>
        <v>0</v>
      </c>
      <c r="DX14" s="295">
        <f>MIN(VLOOKUP($A14,TOCA_current!$A$2:$AI$137,MATCH("TRL - NLSL - Existing Resource "&amp;$BT$1,TOCA_current!$A$2:$AI$2,0),FALSE)*$BT$2, VLOOKUP($A14,TOCA_current!$A$2:$AI$137,MATCH("RHWM 2020",TOCA_current!$A$2:$AI$2,0),FALSE)*$BT$2)</f>
        <v>1354501.584</v>
      </c>
      <c r="DY14" s="240">
        <f>SUM(BZ14:CW14)+(BT14*RT1SC!$C$4*$BT$2)</f>
        <v>1340907.7952697342</v>
      </c>
      <c r="DZ14" s="271">
        <f>VLOOKUP($A14,TOCA_current!$A$2:$AI$137,MATCH("Above RHWM Not Served with LS "&amp;$BT$1,TOCA_current!$A$2:$AI$2,0),FALSE)*$BT$2</f>
        <v>0</v>
      </c>
      <c r="EA14" s="244">
        <f t="shared" si="13"/>
        <v>-13593.788730265805</v>
      </c>
      <c r="EB14" s="295">
        <f>(VLOOKUP($A14,TOCA_current!$A$2:$AI$137,MATCH("RHWM 2020",TOCA_current!$A$2:$AI$2,0),FALSE)*$BT$2) - $DX14</f>
        <v>14423.32799999998</v>
      </c>
      <c r="EC14" s="240">
        <f t="shared" si="14"/>
        <v>0</v>
      </c>
      <c r="ED14" s="240">
        <f t="shared" si="15"/>
        <v>13593.788730265805</v>
      </c>
      <c r="EE14" s="240">
        <f t="shared" si="16"/>
        <v>0</v>
      </c>
      <c r="EF14" s="240">
        <f t="shared" si="17"/>
        <v>13593.788730265805</v>
      </c>
    </row>
    <row r="15" spans="1:136">
      <c r="A15" s="166">
        <v>10055</v>
      </c>
      <c r="B15" s="167" t="s">
        <v>16</v>
      </c>
      <c r="C15" s="240">
        <v>0</v>
      </c>
      <c r="D15" s="240">
        <v>0</v>
      </c>
      <c r="E15" s="150">
        <f>VLOOKUP($A15,TOCA_previous!$A$2:$AI$137,MATCH(E$4,TOCA_previous!$A$2:$AI$2,0),FALSE)</f>
        <v>5.63E-5</v>
      </c>
      <c r="F15" s="151">
        <f>VLOOKUP($A15,TOCA_previous!$A$2:$AI$137,MATCH(F$4,TOCA_previous!$A$2:$AI$2,0),FALSE)</f>
        <v>5.63E-5</v>
      </c>
      <c r="G15" s="151">
        <f t="shared" si="2"/>
        <v>0</v>
      </c>
      <c r="H15" s="151">
        <f>VLOOKUP($A15,TOCA_previous!$A$2:$AI$137,MATCH(H$4,TOCA_previous!$A$2:$AI$2,0),FALSE)</f>
        <v>0</v>
      </c>
      <c r="I15" s="151">
        <f t="shared" si="3"/>
        <v>0</v>
      </c>
      <c r="J15" s="151">
        <f t="shared" si="4"/>
        <v>0</v>
      </c>
      <c r="K15" s="226">
        <f>VLOOKUP(A15, IRD!$A$5:$C$139, 3, FALSE)</f>
        <v>0</v>
      </c>
      <c r="L15" s="227">
        <f t="array" ref="L15">IF($G15=0, INDEX(LS_previous!$D$4:$AY$138, MATCH('Staging Table'!$A15, LS_previous!$B$4:$B$138, 0), MATCH(L$4&amp;L$5, LS_previous!$D$2:$AY$2&amp;LS_previous!$D$3:$AY$3, 0)),SUM(VLOOKUP($A15, LS_previous!$B$4:$AY$138, LS_previous!D$149, FALSE), VLOOKUP('Staging Table'!$A15, LS_previous!$B$4:$AY$138,LS_previous!AB$149, FALSE))/2)</f>
        <v>-30</v>
      </c>
      <c r="M15" s="227">
        <f t="array" ref="M15">IF($G15=0, INDEX(LS_previous!$D$4:$AY$138, MATCH('Staging Table'!$A15, LS_previous!$B$4:$B$138, 0), MATCH(M$4&amp;M$5, LS_previous!$D$2:$AY$2&amp;LS_previous!$D$3:$AY$3, 0)),SUM(VLOOKUP($A15, LS_previous!$B$4:$AY$138, LS_previous!E$149, FALSE), VLOOKUP('Staging Table'!$A15, LS_previous!$B$4:$AY$138,LS_previous!AC$149, FALSE))/2)</f>
        <v>-1</v>
      </c>
      <c r="N15" s="227">
        <f t="array" ref="N15">IF($G15=0, INDEX(LS_previous!$D$4:$AY$138, MATCH('Staging Table'!$A15, LS_previous!$B$4:$B$138, 0), MATCH(N$4&amp;N$5, LS_previous!$D$2:$AY$2&amp;LS_previous!$D$3:$AY$3, 0)),SUM(VLOOKUP($A15, LS_previous!$B$4:$AY$138, LS_previous!F$149, FALSE), VLOOKUP('Staging Table'!$A15, LS_previous!$B$4:$AY$138,LS_previous!AD$149, FALSE))/2)</f>
        <v>-26</v>
      </c>
      <c r="O15" s="227">
        <f t="array" ref="O15">IF($G15=0, INDEX(LS_previous!$D$4:$AY$138, MATCH('Staging Table'!$A15, LS_previous!$B$4:$B$138, 0), MATCH(O$4&amp;O$5, LS_previous!$D$2:$AY$2&amp;LS_previous!$D$3:$AY$3, 0)),SUM(VLOOKUP($A15, LS_previous!$B$4:$AY$138, LS_previous!G$149, FALSE), VLOOKUP('Staging Table'!$A15, LS_previous!$B$4:$AY$138,LS_previous!AE$149, FALSE))/2)</f>
        <v>17</v>
      </c>
      <c r="P15" s="227">
        <f t="array" ref="P15">IF($G15=0, INDEX(LS_previous!$D$4:$AY$138, MATCH('Staging Table'!$A15, LS_previous!$B$4:$B$138, 0), MATCH(P$4&amp;P$5, LS_previous!$D$2:$AY$2&amp;LS_previous!$D$3:$AY$3, 0)),SUM(VLOOKUP($A15, LS_previous!$B$4:$AY$138, LS_previous!H$149, FALSE), VLOOKUP('Staging Table'!$A15, LS_previous!$B$4:$AY$138,LS_previous!AF$149, FALSE))/2)</f>
        <v>42</v>
      </c>
      <c r="Q15" s="227">
        <f t="array" ref="Q15">IF($G15=0, INDEX(LS_previous!$D$4:$AY$138, MATCH('Staging Table'!$A15, LS_previous!$B$4:$B$138, 0), MATCH(Q$4&amp;Q$5, LS_previous!$D$2:$AY$2&amp;LS_previous!$D$3:$AY$3, 0)),SUM(VLOOKUP($A15, LS_previous!$B$4:$AY$138, LS_previous!I$149, FALSE), VLOOKUP('Staging Table'!$A15, LS_previous!$B$4:$AY$138,LS_previous!AG$149, FALSE))/2)</f>
        <v>79</v>
      </c>
      <c r="R15" s="227">
        <f t="array" ref="R15">IF($G15=0, INDEX(LS_previous!$D$4:$AY$138, MATCH('Staging Table'!$A15, LS_previous!$B$4:$B$138, 0), MATCH(R$4&amp;R$5, LS_previous!$D$2:$AY$2&amp;LS_previous!$D$3:$AY$3, 0)),SUM(VLOOKUP($A15, LS_previous!$B$4:$AY$138, LS_previous!J$149, FALSE), VLOOKUP('Staging Table'!$A15, LS_previous!$B$4:$AY$138,LS_previous!AH$149, FALSE))/2)</f>
        <v>77</v>
      </c>
      <c r="S15" s="227">
        <f t="array" ref="S15">IF($G15=0, INDEX(LS_previous!$D$4:$AY$138, MATCH('Staging Table'!$A15, LS_previous!$B$4:$B$138, 0), MATCH(S$4&amp;S$5, LS_previous!$D$2:$AY$2&amp;LS_previous!$D$3:$AY$3, 0)),SUM(VLOOKUP($A15, LS_previous!$B$4:$AY$138, LS_previous!K$149, FALSE), VLOOKUP('Staging Table'!$A15, LS_previous!$B$4:$AY$138,LS_previous!AI$149, FALSE))/2)</f>
        <v>88</v>
      </c>
      <c r="T15" s="227">
        <f t="array" ref="T15">IF($G15=0, INDEX(LS_previous!$D$4:$AY$138, MATCH('Staging Table'!$A15, LS_previous!$B$4:$B$138, 0), MATCH(T$4&amp;T$5, LS_previous!$D$2:$AY$2&amp;LS_previous!$D$3:$AY$3, 0)),SUM(VLOOKUP($A15, LS_previous!$B$4:$AY$138, LS_previous!L$149, FALSE), VLOOKUP('Staging Table'!$A15, LS_previous!$B$4:$AY$138,LS_previous!AJ$149, FALSE))/2)</f>
        <v>71</v>
      </c>
      <c r="U15" s="227">
        <f t="array" ref="U15">IF($G15=0, INDEX(LS_previous!$D$4:$AY$138, MATCH('Staging Table'!$A15, LS_previous!$B$4:$B$138, 0), MATCH(U$4&amp;U$5, LS_previous!$D$2:$AY$2&amp;LS_previous!$D$3:$AY$3, 0)),SUM(VLOOKUP($A15, LS_previous!$B$4:$AY$138, LS_previous!M$149, FALSE), VLOOKUP('Staging Table'!$A15, LS_previous!$B$4:$AY$138,LS_previous!AK$149, FALSE))/2)</f>
        <v>71</v>
      </c>
      <c r="V15" s="227">
        <f t="array" ref="V15">IF($G15=0, INDEX(LS_previous!$D$4:$AY$138, MATCH('Staging Table'!$A15, LS_previous!$B$4:$B$138, 0), MATCH(V$4&amp;V$5, LS_previous!$D$2:$AY$2&amp;LS_previous!$D$3:$AY$3, 0)),SUM(VLOOKUP($A15, LS_previous!$B$4:$AY$138, LS_previous!N$149, FALSE), VLOOKUP('Staging Table'!$A15, LS_previous!$B$4:$AY$138,LS_previous!AL$149, FALSE))/2)</f>
        <v>3</v>
      </c>
      <c r="W15" s="227">
        <f t="array" ref="W15">IF($G15=0, INDEX(LS_previous!$D$4:$AY$138, MATCH('Staging Table'!$A15, LS_previous!$B$4:$B$138, 0), MATCH(W$4&amp;W$5, LS_previous!$D$2:$AY$2&amp;LS_previous!$D$3:$AY$3, 0)),SUM(VLOOKUP($A15, LS_previous!$B$4:$AY$138, LS_previous!O$149, FALSE), VLOOKUP('Staging Table'!$A15, LS_previous!$B$4:$AY$138,LS_previous!AM$149, FALSE))/2)</f>
        <v>33</v>
      </c>
      <c r="X15" s="227">
        <f t="array" ref="X15">IF($G15=0, INDEX(LS_previous!$D$4:$AY$138, MATCH('Staging Table'!$A15, LS_previous!$B$4:$B$138, 0), MATCH(X$4&amp;X$5, LS_previous!$D$2:$AY$2&amp;LS_previous!$D$3:$AY$3, 0)),SUM(VLOOKUP($A15, LS_previous!$B$4:$AY$138, LS_previous!P$149, FALSE), VLOOKUP('Staging Table'!$A15, LS_previous!$B$4:$AY$138,LS_previous!AN$149, FALSE))/2)</f>
        <v>-15</v>
      </c>
      <c r="Y15" s="227">
        <f t="array" ref="Y15">IF($G15=0, INDEX(LS_previous!$D$4:$AY$138, MATCH('Staging Table'!$A15, LS_previous!$B$4:$B$138, 0), MATCH(Y$4&amp;Y$5, LS_previous!$D$2:$AY$2&amp;LS_previous!$D$3:$AY$3, 0)),SUM(VLOOKUP($A15, LS_previous!$B$4:$AY$138, LS_previous!Q$149, FALSE), VLOOKUP('Staging Table'!$A15, LS_previous!$B$4:$AY$138,LS_previous!AO$149, FALSE))/2)</f>
        <v>12</v>
      </c>
      <c r="Z15" s="227">
        <f t="array" ref="Z15">IF($G15=0, INDEX(LS_previous!$D$4:$AY$138, MATCH('Staging Table'!$A15, LS_previous!$B$4:$B$138, 0), MATCH(Z$4&amp;Z$5, LS_previous!$D$2:$AY$2&amp;LS_previous!$D$3:$AY$3, 0)),SUM(VLOOKUP($A15, LS_previous!$B$4:$AY$138, LS_previous!R$149, FALSE), VLOOKUP('Staging Table'!$A15, LS_previous!$B$4:$AY$138,LS_previous!AP$149, FALSE))/2)</f>
        <v>-119</v>
      </c>
      <c r="AA15" s="227">
        <f t="array" ref="AA15">IF($G15=0, INDEX(LS_previous!$D$4:$AY$138, MATCH('Staging Table'!$A15, LS_previous!$B$4:$B$138, 0), MATCH(AA$4&amp;AA$5, LS_previous!$D$2:$AY$2&amp;LS_previous!$D$3:$AY$3, 0)),SUM(VLOOKUP($A15, LS_previous!$B$4:$AY$138, LS_previous!S$149, FALSE), VLOOKUP('Staging Table'!$A15, LS_previous!$B$4:$AY$138,LS_previous!AQ$149, FALSE))/2)</f>
        <v>-43</v>
      </c>
      <c r="AB15" s="227">
        <f t="array" ref="AB15">IF($G15=0, INDEX(LS_previous!$D$4:$AY$138, MATCH('Staging Table'!$A15, LS_previous!$B$4:$B$138, 0), MATCH(AB$4&amp;AB$5, LS_previous!$D$2:$AY$2&amp;LS_previous!$D$3:$AY$3, 0)),SUM(VLOOKUP($A15, LS_previous!$B$4:$AY$138, LS_previous!T$149, FALSE), VLOOKUP('Staging Table'!$A15, LS_previous!$B$4:$AY$138,LS_previous!AR$149, FALSE))/2)</f>
        <v>-69</v>
      </c>
      <c r="AC15" s="227">
        <f t="array" ref="AC15">IF($G15=0, INDEX(LS_previous!$D$4:$AY$138, MATCH('Staging Table'!$A15, LS_previous!$B$4:$B$138, 0), MATCH(AC$4&amp;AC$5, LS_previous!$D$2:$AY$2&amp;LS_previous!$D$3:$AY$3, 0)),SUM(VLOOKUP($A15, LS_previous!$B$4:$AY$138, LS_previous!U$149, FALSE), VLOOKUP('Staging Table'!$A15, LS_previous!$B$4:$AY$138,LS_previous!AS$149, FALSE))/2)</f>
        <v>-31</v>
      </c>
      <c r="AD15" s="227">
        <f t="array" ref="AD15">IF($G15=0, INDEX(LS_previous!$D$4:$AY$138, MATCH('Staging Table'!$A15, LS_previous!$B$4:$B$138, 0), MATCH(AD$4&amp;AD$5, LS_previous!$D$2:$AY$2&amp;LS_previous!$D$3:$AY$3, 0)),SUM(VLOOKUP($A15, LS_previous!$B$4:$AY$138, LS_previous!V$149, FALSE), VLOOKUP('Staging Table'!$A15, LS_previous!$B$4:$AY$138,LS_previous!AT$149, FALSE))/2)</f>
        <v>-30</v>
      </c>
      <c r="AE15" s="227">
        <f t="array" ref="AE15">IF($G15=0, INDEX(LS_previous!$D$4:$AY$138, MATCH('Staging Table'!$A15, LS_previous!$B$4:$B$138, 0), MATCH(AE$4&amp;AE$5, LS_previous!$D$2:$AY$2&amp;LS_previous!$D$3:$AY$3, 0)),SUM(VLOOKUP($A15, LS_previous!$B$4:$AY$138, LS_previous!W$149, FALSE), VLOOKUP('Staging Table'!$A15, LS_previous!$B$4:$AY$138,LS_previous!AU$149, FALSE))/2)</f>
        <v>-8</v>
      </c>
      <c r="AF15" s="227">
        <f t="array" ref="AF15">IF($G15=0, INDEX(LS_previous!$D$4:$AY$138, MATCH('Staging Table'!$A15, LS_previous!$B$4:$B$138, 0), MATCH(AF$4&amp;AF$5, LS_previous!$D$2:$AY$2&amp;LS_previous!$D$3:$AY$3, 0)),SUM(VLOOKUP($A15, LS_previous!$B$4:$AY$138, LS_previous!X$149, FALSE), VLOOKUP('Staging Table'!$A15, LS_previous!$B$4:$AY$138,LS_previous!AV$149, FALSE))/2)</f>
        <v>-63</v>
      </c>
      <c r="AG15" s="227">
        <f t="array" ref="AG15">IF($G15=0, INDEX(LS_previous!$D$4:$AY$138, MATCH('Staging Table'!$A15, LS_previous!$B$4:$B$138, 0), MATCH(AG$4&amp;AG$5, LS_previous!$D$2:$AY$2&amp;LS_previous!$D$3:$AY$3, 0)),SUM(VLOOKUP($A15, LS_previous!$B$4:$AY$138, LS_previous!Y$149, FALSE), VLOOKUP('Staging Table'!$A15, LS_previous!$B$4:$AY$138,LS_previous!AW$149, FALSE))/2)</f>
        <v>-20</v>
      </c>
      <c r="AH15" s="227">
        <f t="array" ref="AH15">IF($G15=0, INDEX(LS_previous!$D$4:$AY$138, MATCH('Staging Table'!$A15, LS_previous!$B$4:$B$138, 0), MATCH(AH$4&amp;AH$5, LS_previous!$D$2:$AY$2&amp;LS_previous!$D$3:$AY$3, 0)),SUM(VLOOKUP($A15, LS_previous!$B$4:$AY$138, LS_previous!Z$149, FALSE), VLOOKUP('Staging Table'!$A15, LS_previous!$B$4:$AY$138,LS_previous!AX$149, FALSE))/2)</f>
        <v>-52</v>
      </c>
      <c r="AI15" s="227">
        <f t="array" ref="AI15">IF($G15=0, INDEX(LS_previous!$D$4:$AY$138, MATCH('Staging Table'!$A15, LS_previous!$B$4:$B$138, 0), MATCH(AI$4&amp;AI$5, LS_previous!$D$2:$AY$2&amp;LS_previous!$D$3:$AY$3, 0)),SUM(VLOOKUP($A15, LS_previous!$B$4:$AY$138, LS_previous!AA$149, FALSE), VLOOKUP('Staging Table'!$A15, LS_previous!$B$4:$AY$138,LS_previous!AY$149, FALSE))/2)</f>
        <v>-20</v>
      </c>
      <c r="AJ15" s="424">
        <f t="array" ref="AJ15">INDEX(Demand_previous!$D$4:$AY$138, MATCH('Staging Table'!$A15, Demand_previous!$B$4:$B$138, 0), MATCH(AJ$4&amp;AJ$5,Demand_previous!$D$2:$AY$2&amp;Demand_previous!$D$3:$AY$3, 0))/1000</f>
        <v>9.7000000000000003E-2</v>
      </c>
      <c r="AK15" s="424">
        <f t="array" ref="AK15">INDEX(Demand_previous!$D$4:$AY$138, MATCH('Staging Table'!$A15, Demand_previous!$B$4:$B$138, 0), MATCH(AK$4&amp;AK$5,Demand_previous!$D$2:$AY$2&amp;Demand_previous!$D$3:$AY$3, 0))/1000</f>
        <v>9.1999999999999998E-2</v>
      </c>
      <c r="AL15" s="424">
        <f t="array" ref="AL15">INDEX(Demand_previous!$D$4:$AY$138, MATCH('Staging Table'!$A15, Demand_previous!$B$4:$B$138, 0), MATCH(AL$4&amp;AL$5,Demand_previous!$D$2:$AY$2&amp;Demand_previous!$D$3:$AY$3, 0))/1000</f>
        <v>0.28299999999999997</v>
      </c>
      <c r="AM15" s="424">
        <f t="array" ref="AM15">INDEX(Demand_previous!$D$4:$AY$138, MATCH('Staging Table'!$A15, Demand_previous!$B$4:$B$138, 0), MATCH(AM$4&amp;AM$5,Demand_previous!$D$2:$AY$2&amp;Demand_previous!$D$3:$AY$3, 0))/1000</f>
        <v>0.22900000000000001</v>
      </c>
      <c r="AN15" s="424">
        <f t="array" ref="AN15">INDEX(Demand_previous!$D$4:$AY$138, MATCH('Staging Table'!$A15, Demand_previous!$B$4:$B$138, 0), MATCH(AN$4&amp;AN$5,Demand_previous!$D$2:$AY$2&amp;Demand_previous!$D$3:$AY$3, 0))/1000</f>
        <v>8.3000000000000004E-2</v>
      </c>
      <c r="AO15" s="424">
        <f t="array" ref="AO15">INDEX(Demand_previous!$D$4:$AY$138, MATCH('Staging Table'!$A15, Demand_previous!$B$4:$B$138, 0), MATCH(AO$4&amp;AO$5,Demand_previous!$D$2:$AY$2&amp;Demand_previous!$D$3:$AY$3, 0))/1000</f>
        <v>0.182</v>
      </c>
      <c r="AP15" s="424">
        <f t="array" ref="AP15">INDEX(Demand_previous!$D$4:$AY$138, MATCH('Staging Table'!$A15, Demand_previous!$B$4:$B$138, 0), MATCH(AP$4&amp;AP$5,Demand_previous!$D$2:$AY$2&amp;Demand_previous!$D$3:$AY$3, 0))/1000</f>
        <v>0</v>
      </c>
      <c r="AQ15" s="424">
        <f t="array" ref="AQ15">INDEX(Demand_previous!$D$4:$AY$138, MATCH('Staging Table'!$A15, Demand_previous!$B$4:$B$138, 0), MATCH(AQ$4&amp;AQ$5,Demand_previous!$D$2:$AY$2&amp;Demand_previous!$D$3:$AY$3, 0))/1000</f>
        <v>4.2000000000000003E-2</v>
      </c>
      <c r="AR15" s="424">
        <f t="array" ref="AR15">INDEX(Demand_previous!$D$4:$AY$138, MATCH('Staging Table'!$A15, Demand_previous!$B$4:$B$138, 0), MATCH(AR$4&amp;AR$5,Demand_previous!$D$2:$AY$2&amp;Demand_previous!$D$3:$AY$3, 0))/1000</f>
        <v>2.3E-2</v>
      </c>
      <c r="AS15" s="424">
        <f t="array" ref="AS15">INDEX(Demand_previous!$D$4:$AY$138, MATCH('Staging Table'!$A15, Demand_previous!$B$4:$B$138, 0), MATCH(AS$4&amp;AS$5,Demand_previous!$D$2:$AY$2&amp;Demand_previous!$D$3:$AY$3, 0))/1000</f>
        <v>4.2000000000000003E-2</v>
      </c>
      <c r="AT15" s="424">
        <f t="array" ref="AT15">INDEX(Demand_previous!$D$4:$AY$138, MATCH('Staging Table'!$A15, Demand_previous!$B$4:$B$138, 0), MATCH(AT$4&amp;AT$5,Demand_previous!$D$2:$AY$2&amp;Demand_previous!$D$3:$AY$3, 0))/1000</f>
        <v>7.5999999999999998E-2</v>
      </c>
      <c r="AU15" s="424">
        <f t="array" ref="AU15">INDEX(Demand_previous!$D$4:$AY$138, MATCH('Staging Table'!$A15, Demand_previous!$B$4:$B$138, 0), MATCH(AU$4&amp;AU$5,Demand_previous!$D$2:$AY$2&amp;Demand_previous!$D$3:$AY$3, 0))/1000</f>
        <v>0</v>
      </c>
      <c r="AV15" s="227">
        <f>$F15*(VLOOKUP(AV$4, Rates_previous!$G$6:$Q$29, 10, FALSE)+VLOOKUP(AV$4, Rates_previous!$G$6:$Q$29, 11, FALSE))</f>
        <v>263.98156602252885</v>
      </c>
      <c r="AW15" s="227">
        <f>$F15*(VLOOKUP(AW$4, Rates_previous!$G$6:$Q$29, 10, FALSE)+VLOOKUP(AW$4, Rates_previous!$G$6:$Q$29, 11, FALSE))</f>
        <v>326.26115194154715</v>
      </c>
      <c r="AX15" s="227">
        <f>$F15*(VLOOKUP(AX$4, Rates_previous!$G$6:$Q$29, 10, FALSE)+VLOOKUP(AX$4, Rates_previous!$G$6:$Q$29, 11, FALSE))</f>
        <v>322.34314573391572</v>
      </c>
      <c r="AY15" s="227">
        <f>$F15*(VLOOKUP(AY$4, Rates_previous!$G$6:$Q$29, 10, FALSE)+VLOOKUP(AY$4, Rates_previous!$G$6:$Q$29, 11, FALSE))</f>
        <v>275.41149365350799</v>
      </c>
      <c r="AZ15" s="227">
        <f>$F15*(VLOOKUP(AZ$4, Rates_previous!$G$6:$Q$29, 10, FALSE)+VLOOKUP(AZ$4, Rates_previous!$G$6:$Q$29, 11, FALSE))</f>
        <v>225.78400291230335</v>
      </c>
      <c r="BA15" s="227">
        <f>$F15*(VLOOKUP(BA$4, Rates_previous!$G$6:$Q$29, 10, FALSE)+VLOOKUP(BA$4, Rates_previous!$G$6:$Q$29, 11, FALSE))</f>
        <v>267.3200582120603</v>
      </c>
      <c r="BB15" s="227">
        <f>$F15*(VLOOKUP(BB$4, Rates_previous!$G$6:$Q$29, 10, FALSE)+VLOOKUP(BB$4, Rates_previous!$G$6:$Q$29, 11, FALSE))</f>
        <v>256.93346001653117</v>
      </c>
      <c r="BC15" s="227">
        <f>$F15*(VLOOKUP(BC$4, Rates_previous!$G$6:$Q$29, 10, FALSE)+VLOOKUP(BC$4, Rates_previous!$G$6:$Q$29, 11, FALSE))</f>
        <v>377.03167125670063</v>
      </c>
      <c r="BD15" s="227">
        <f>$F15*(VLOOKUP(BD$4, Rates_previous!$G$6:$Q$29, 10, FALSE)+VLOOKUP(BD$4, Rates_previous!$G$6:$Q$29, 11, FALSE))</f>
        <v>297.46802355299621</v>
      </c>
      <c r="BE15" s="227">
        <f>$F15*(VLOOKUP(BE$4, Rates_previous!$G$6:$Q$29, 10, FALSE)+VLOOKUP(BE$4, Rates_previous!$G$6:$Q$29, 11, FALSE))</f>
        <v>261.2018928158227</v>
      </c>
      <c r="BF15" s="227">
        <f>$F15*(VLOOKUP(BF$4, Rates_previous!$G$6:$Q$29, 10, FALSE)+VLOOKUP(BF$4, Rates_previous!$G$6:$Q$29, 11, FALSE))</f>
        <v>289.29155160787491</v>
      </c>
      <c r="BG15" s="227">
        <f>$F15*(VLOOKUP(BG$4, Rates_previous!$G$6:$Q$29, 10, FALSE)+VLOOKUP(BG$4, Rates_previous!$G$6:$Q$29, 11, FALSE))</f>
        <v>262.08664135275183</v>
      </c>
      <c r="BH15" s="229">
        <f>IF($D15=0,IF(C15=0, MAX(BK15 - (VLOOKUP($A15,TOCA_previous!$A$2:$AI$137,MATCH("RHWM 2018",TOCA_previous!$A$2:$AI$2,0),FALSE)*$F$2*TOCA_previous!C12),0),0), 0)</f>
        <v>0</v>
      </c>
      <c r="BI15" s="266">
        <f>VLOOKUP($A15,REP_previous!$A$1:$D$135,MATCH("FY "&amp;$F$1&amp; " Total Refund",REP_previous!$A$1:$D$1,0),0)</f>
        <v>2233.2709507485338</v>
      </c>
      <c r="BJ15" s="241">
        <f>MIN(VLOOKUP($A15,TOCA_previous!$A$2:$AI$137,MATCH("TRL - NLSL - Existing Resource "&amp;$F$1,TOCA_previous!$A$2:$AI$2,0),FALSE)*$F$2,(VLOOKUP($A15,TOCA_previous!$A$2:$AI$137,MATCH("RHWM 2018",TOCA_previous!$A$2:$AI$2,0),FALSE)*$F$2))</f>
        <v>3425.1600000000003</v>
      </c>
      <c r="BK15" s="229">
        <f>SUM(L15:AI15)+(F15*RT1SC!$C$3*$F$2)</f>
        <v>3391.1147090479999</v>
      </c>
      <c r="BL15" s="241">
        <f>VLOOKUP($A15,TOCA_previous!$A$2:$AI$137,MATCH("Above RHWM Not Served with LS "&amp;$F$1,TOCA_previous!$A$2:$AI$2,0),FALSE)*$F$2</f>
        <v>0</v>
      </c>
      <c r="BM15" s="151">
        <f t="shared" si="5"/>
        <v>-34.045290952000414</v>
      </c>
      <c r="BN15" s="242">
        <f>(VLOOKUP($A15,TOCA_previous!$A$2:$AI$137,MATCH("RHWM 2018",TOCA_previous!$A$2:$AI$2,0),FALSE)*$F$2) - $BJ15</f>
        <v>8.7599999999997635</v>
      </c>
      <c r="BO15" s="151">
        <f t="shared" si="6"/>
        <v>0</v>
      </c>
      <c r="BP15" s="243">
        <f>IF(BM15&lt;0,IF(BL15&lt;ABS(BM15),MAX(0,ABS($BM15)-(BL15)),0),0)</f>
        <v>34.045290952000414</v>
      </c>
      <c r="BQ15" s="237">
        <f t="shared" si="8"/>
        <v>0</v>
      </c>
      <c r="BR15" s="242">
        <f t="shared" si="9"/>
        <v>34.045290952000414</v>
      </c>
      <c r="BS15" s="151">
        <f>VLOOKUP($A15,TOCA_current!$A$2:$AI$137,MATCH(BS$4,TOCA_current!$A$2:$AI$2,0),FALSE)</f>
        <v>5.4799999999999997E-5</v>
      </c>
      <c r="BT15" s="151">
        <f>VLOOKUP($A15,TOCA_current!$A$2:$AI$137,MATCH(BT$4,TOCA_current!$A$2:$AI$2,0),FALSE)</f>
        <v>5.4799999999999997E-5</v>
      </c>
      <c r="BU15" s="236">
        <f t="shared" si="10"/>
        <v>0</v>
      </c>
      <c r="BV15" s="151">
        <f>VLOOKUP($A15,TOCA_current!A11:BG146,MATCH(BV$4,TOCA_current!$A$2:$BG$2,0),FALSE)</f>
        <v>0</v>
      </c>
      <c r="BW15" s="151">
        <f t="shared" si="11"/>
        <v>0</v>
      </c>
      <c r="BX15" s="151">
        <f t="shared" si="12"/>
        <v>0</v>
      </c>
      <c r="BY15" s="226">
        <f>VLOOKUP($A15,IRD!$A$4:$G$139, 7, FALSE)</f>
        <v>0</v>
      </c>
      <c r="BZ15" s="227">
        <f t="array" ref="BZ15">IF($BU15=0, INDEX(LS_current!$D$4:$AY$138, MATCH('Staging Table'!$A15, LS_current!$B$4:$B$138, 0), MATCH(BZ$4&amp;BZ$5, LS_current!$D$2:$AY$2&amp;LS_current!$D$3:$AY$3, 0)),SUM(VLOOKUP($A15, LS_current!$B$4:$AY$138, LS_current!D$148, FALSE), VLOOKUP($A15, LS_current!$B$4:$AY$138,LS_current!D$148, FALSE))/2)</f>
        <v>-23</v>
      </c>
      <c r="CA15" s="227">
        <f t="array" ref="CA15">IF($BU15=0, INDEX(LS_current!$D$4:$AY$138, MATCH('Staging Table'!$A15, LS_current!$B$4:$B$138, 0), MATCH(CA$4&amp;CA$5, LS_current!$D$2:$AY$2&amp;LS_current!$D$3:$AY$3, 0)),SUM(VLOOKUP($A15, LS_current!$B$4:$AY$138, LS_current!E$148, FALSE), VLOOKUP($A15, LS_current!$B$4:$AY$138,LS_current!E$148, FALSE))/2)</f>
        <v>3</v>
      </c>
      <c r="CB15" s="227">
        <f t="array" ref="CB15">IF($BU15=0, INDEX(LS_current!$D$4:$AY$138, MATCH('Staging Table'!$A15, LS_current!$B$4:$B$138, 0), MATCH(CB$4&amp;CB$5, LS_current!$D$2:$AY$2&amp;LS_current!$D$3:$AY$3, 0)),SUM(VLOOKUP($A15, LS_current!$B$4:$AY$138, LS_current!F$148, FALSE), VLOOKUP($A15, LS_current!$B$4:$AY$138,LS_current!F$148, FALSE))/2)</f>
        <v>-22</v>
      </c>
      <c r="CC15" s="227">
        <f t="array" ref="CC15">IF($BU15=0, INDEX(LS_current!$D$4:$AY$138, MATCH('Staging Table'!$A15, LS_current!$B$4:$B$138, 0), MATCH(CC$4&amp;CC$5, LS_current!$D$2:$AY$2&amp;LS_current!$D$3:$AY$3, 0)),SUM(VLOOKUP($A15, LS_current!$B$4:$AY$138, LS_current!G$148, FALSE), VLOOKUP($A15, LS_current!$B$4:$AY$138,LS_current!G$148, FALSE))/2)</f>
        <v>17</v>
      </c>
      <c r="CD15" s="227">
        <f t="array" ref="CD15">IF($BU15=0, INDEX(LS_current!$D$4:$AY$138, MATCH('Staging Table'!$A15, LS_current!$B$4:$B$138, 0), MATCH(CD$4&amp;CD$5, LS_current!$D$2:$AY$2&amp;LS_current!$D$3:$AY$3, 0)),SUM(VLOOKUP($A15, LS_current!$B$4:$AY$138, LS_current!H$148, FALSE), VLOOKUP($A15, LS_current!$B$4:$AY$138,LS_current!H$148, FALSE))/2)</f>
        <v>46</v>
      </c>
      <c r="CE15" s="227">
        <f t="array" ref="CE15">IF($BU15=0, INDEX(LS_current!$D$4:$AY$138, MATCH('Staging Table'!$A15, LS_current!$B$4:$B$138, 0), MATCH(CE$4&amp;CE$5, LS_current!$D$2:$AY$2&amp;LS_current!$D$3:$AY$3, 0)),SUM(VLOOKUP($A15, LS_current!$B$4:$AY$138, LS_current!I$148, FALSE), VLOOKUP($A15, LS_current!$B$4:$AY$138,LS_current!I$148, FALSE))/2)</f>
        <v>81</v>
      </c>
      <c r="CF15" s="227">
        <f t="array" ref="CF15">IF($BU15=0, INDEX(LS_current!$D$4:$AY$138, MATCH('Staging Table'!$A15, LS_current!$B$4:$B$138, 0), MATCH(CF$4&amp;CF$5, LS_current!$D$2:$AY$2&amp;LS_current!$D$3:$AY$3, 0)),SUM(VLOOKUP($A15, LS_current!$B$4:$AY$138, LS_current!J$148, FALSE), VLOOKUP($A15, LS_current!$B$4:$AY$138,LS_current!J$148, FALSE))/2)</f>
        <v>81</v>
      </c>
      <c r="CG15" s="227">
        <f t="array" ref="CG15">IF($BU15=0, INDEX(LS_current!$D$4:$AY$138, MATCH('Staging Table'!$A15, LS_current!$B$4:$B$138, 0), MATCH(CG$4&amp;CG$5, LS_current!$D$2:$AY$2&amp;LS_current!$D$3:$AY$3, 0)),SUM(VLOOKUP($A15, LS_current!$B$4:$AY$138, LS_current!K$148, FALSE), VLOOKUP($A15, LS_current!$B$4:$AY$138,LS_current!K$148, FALSE))/2)</f>
        <v>95</v>
      </c>
      <c r="CH15" s="227">
        <f t="array" ref="CH15">IF($BU15=0, INDEX(LS_current!$D$4:$AY$138, MATCH('Staging Table'!$A15, LS_current!$B$4:$B$138, 0), MATCH(CH$4&amp;CH$5, LS_current!$D$2:$AY$2&amp;LS_current!$D$3:$AY$3, 0)),SUM(VLOOKUP($A15, LS_current!$B$4:$AY$138, LS_current!L$148, FALSE), VLOOKUP($A15, LS_current!$B$4:$AY$138,LS_current!L$148, FALSE))/2)</f>
        <v>62</v>
      </c>
      <c r="CI15" s="227">
        <f t="array" ref="CI15">IF($BU15=0, INDEX(LS_current!$D$4:$AY$138, MATCH('Staging Table'!$A15, LS_current!$B$4:$B$138, 0), MATCH(CI$4&amp;CI$5, LS_current!$D$2:$AY$2&amp;LS_current!$D$3:$AY$3, 0)),SUM(VLOOKUP($A15, LS_current!$B$4:$AY$138, LS_current!M$148, FALSE), VLOOKUP($A15, LS_current!$B$4:$AY$138,LS_current!M$148, FALSE))/2)</f>
        <v>66</v>
      </c>
      <c r="CJ15" s="227">
        <f t="array" ref="CJ15">IF($BU15=0, INDEX(LS_current!$D$4:$AY$138, MATCH('Staging Table'!$A15, LS_current!$B$4:$B$138, 0), MATCH(CJ$4&amp;CJ$5, LS_current!$D$2:$AY$2&amp;LS_current!$D$3:$AY$3, 0)),SUM(VLOOKUP($A15, LS_current!$B$4:$AY$138, LS_current!N$148, FALSE), VLOOKUP($A15, LS_current!$B$4:$AY$138,LS_current!N$148, FALSE))/2)</f>
        <v>2</v>
      </c>
      <c r="CK15" s="227">
        <f t="array" ref="CK15">IF($BU15=0, INDEX(LS_current!$D$4:$AY$138, MATCH('Staging Table'!$A15, LS_current!$B$4:$B$138, 0), MATCH(CK$4&amp;CK$5, LS_current!$D$2:$AY$2&amp;LS_current!$D$3:$AY$3, 0)),SUM(VLOOKUP($A15, LS_current!$B$4:$AY$138, LS_current!O$148, FALSE), VLOOKUP($A15, LS_current!$B$4:$AY$138,LS_current!O$148, FALSE))/2)</f>
        <v>34</v>
      </c>
      <c r="CL15" s="227">
        <f t="array" ref="CL15">IF($BU15=0, INDEX(LS_current!$D$4:$AY$138, MATCH('Staging Table'!$A15, LS_current!$B$4:$B$138, 0), MATCH(CL$4&amp;CL$5, LS_current!$D$2:$AY$2&amp;LS_current!$D$3:$AY$3, 0)),SUM(VLOOKUP($A15, LS_current!$B$4:$AY$138, LS_current!P$148, FALSE), VLOOKUP($A15, LS_current!$B$4:$AY$138,LS_current!P$148, FALSE))/2)</f>
        <v>14</v>
      </c>
      <c r="CM15" s="227">
        <f t="array" ref="CM15">IF($BU15=0, INDEX(LS_current!$D$4:$AY$138, MATCH('Staging Table'!$A15, LS_current!$B$4:$B$138, 0), MATCH(CM$4&amp;CM$5, LS_current!$D$2:$AY$2&amp;LS_current!$D$3:$AY$3, 0)),SUM(VLOOKUP($A15, LS_current!$B$4:$AY$138, LS_current!Q$148, FALSE), VLOOKUP($A15, LS_current!$B$4:$AY$138,LS_current!Q$148, FALSE))/2)</f>
        <v>23</v>
      </c>
      <c r="CN15" s="227">
        <f t="array" ref="CN15">IF($BU15=0, INDEX(LS_current!$D$4:$AY$138, MATCH('Staging Table'!$A15, LS_current!$B$4:$B$138, 0), MATCH(CN$4&amp;CN$5, LS_current!$D$2:$AY$2&amp;LS_current!$D$3:$AY$3, 0)),SUM(VLOOKUP($A15, LS_current!$B$4:$AY$138, LS_current!R$148, FALSE), VLOOKUP($A15, LS_current!$B$4:$AY$138,LS_current!R$148, FALSE))/2)</f>
        <v>-69</v>
      </c>
      <c r="CO15" s="227">
        <f t="array" ref="CO15">IF($BU15=0, INDEX(LS_current!$D$4:$AY$138, MATCH('Staging Table'!$A15, LS_current!$B$4:$B$138, 0), MATCH(CO$4&amp;CO$5, LS_current!$D$2:$AY$2&amp;LS_current!$D$3:$AY$3, 0)),SUM(VLOOKUP($A15, LS_current!$B$4:$AY$138, LS_current!S$148, FALSE), VLOOKUP($A15, LS_current!$B$4:$AY$138,LS_current!S$148, FALSE))/2)</f>
        <v>-10</v>
      </c>
      <c r="CP15" s="227">
        <f t="array" ref="CP15">IF($BU15=0, INDEX(LS_current!$D$4:$AY$138, MATCH('Staging Table'!$A15, LS_current!$B$4:$B$138, 0), MATCH(CP$4&amp;CP$5, LS_current!$D$2:$AY$2&amp;LS_current!$D$3:$AY$3, 0)),SUM(VLOOKUP($A15, LS_current!$B$4:$AY$138, LS_current!T$148, FALSE), VLOOKUP($A15, LS_current!$B$4:$AY$138,LS_current!T$148, FALSE))/2)</f>
        <v>-117</v>
      </c>
      <c r="CQ15" s="227">
        <f t="array" ref="CQ15">IF($BU15=0, INDEX(LS_current!$D$4:$AY$138, MATCH('Staging Table'!$A15, LS_current!$B$4:$B$138, 0), MATCH(CQ$4&amp;CQ$5, LS_current!$D$2:$AY$2&amp;LS_current!$D$3:$AY$3, 0)),SUM(VLOOKUP($A15, LS_current!$B$4:$AY$138, LS_current!U$148, FALSE), VLOOKUP($A15, LS_current!$B$4:$AY$138,LS_current!U$148, FALSE))/2)</f>
        <v>-60</v>
      </c>
      <c r="CR15" s="227">
        <f t="array" ref="CR15">IF($BU15=0, INDEX(LS_current!$D$4:$AY$138, MATCH('Staging Table'!$A15, LS_current!$B$4:$B$138, 0), MATCH(CR$4&amp;CR$5, LS_current!$D$2:$AY$2&amp;LS_current!$D$3:$AY$3, 0)),SUM(VLOOKUP($A15, LS_current!$B$4:$AY$138, LS_current!V$148, FALSE), VLOOKUP($A15, LS_current!$B$4:$AY$138,LS_current!V$148, FALSE))/2)</f>
        <v>-61</v>
      </c>
      <c r="CS15" s="227">
        <f t="array" ref="CS15">IF($BU15=0, INDEX(LS_current!$D$4:$AY$138, MATCH('Staging Table'!$A15, LS_current!$B$4:$B$138, 0), MATCH(CS$4&amp;CS$5, LS_current!$D$2:$AY$2&amp;LS_current!$D$3:$AY$3, 0)),SUM(VLOOKUP($A15, LS_current!$B$4:$AY$138, LS_current!W$148, FALSE), VLOOKUP($A15, LS_current!$B$4:$AY$138,LS_current!W$148, FALSE))/2)</f>
        <v>-9</v>
      </c>
      <c r="CT15" s="227">
        <f t="array" ref="CT15">IF($BU15=0, INDEX(LS_current!$D$4:$AY$138, MATCH('Staging Table'!$A15, LS_current!$B$4:$B$138, 0), MATCH(CT$4&amp;CT$5, LS_current!$D$2:$AY$2&amp;LS_current!$D$3:$AY$3, 0)),SUM(VLOOKUP($A15, LS_current!$B$4:$AY$138, LS_current!X$148, FALSE), VLOOKUP($A15, LS_current!$B$4:$AY$138,LS_current!X$148, FALSE))/2)</f>
        <v>-65</v>
      </c>
      <c r="CU15" s="227">
        <f t="array" ref="CU15">IF($BU15=0, INDEX(LS_current!$D$4:$AY$138, MATCH('Staging Table'!$A15, LS_current!$B$4:$B$138, 0), MATCH(CU$4&amp;CU$5, LS_current!$D$2:$AY$2&amp;LS_current!$D$3:$AY$3, 0)),SUM(VLOOKUP($A15, LS_current!$B$4:$AY$138, LS_current!Y$148, FALSE), VLOOKUP($A15, LS_current!$B$4:$AY$138,LS_current!Y$148, FALSE))/2)</f>
        <v>-14</v>
      </c>
      <c r="CV15" s="227">
        <f t="array" ref="CV15">IF($BU15=0, INDEX(LS_current!$D$4:$AY$138, MATCH('Staging Table'!$A15, LS_current!$B$4:$B$138, 0), MATCH(CV$4&amp;CV$5, LS_current!$D$2:$AY$2&amp;LS_current!$D$3:$AY$3, 0)),SUM(VLOOKUP($A15, LS_current!$B$4:$AY$138, LS_current!Z$148, FALSE), VLOOKUP($A15, LS_current!$B$4:$AY$138,LS_current!Z$148, FALSE))/2)</f>
        <v>-48</v>
      </c>
      <c r="CW15" s="227">
        <f t="array" ref="CW15">IF($BU15=0, INDEX(LS_current!$D$4:$AY$138, MATCH('Staging Table'!$A15, LS_current!$B$4:$B$138, 0), MATCH(CW$4&amp;CW$5, LS_current!$D$2:$AY$2&amp;LS_current!$D$3:$AY$3, 0)),SUM(VLOOKUP($A15, LS_current!$B$4:$AY$138, LS_current!AA$148, FALSE), VLOOKUP($A15, LS_current!$B$4:$AY$138,LS_current!AA$148, FALSE))/2)</f>
        <v>-18</v>
      </c>
      <c r="CX15" s="229">
        <f t="array" ref="CX15">INDEX(Demand_current!$D$4:$AY$138, MATCH($A15, Demand_current!$B$4:$B$138, 0), MATCH(CX$4&amp;CX$5,Demand_current!$D$2:$AY$2&amp;Demand_current!$D$3:$AY$3, 0))/1000</f>
        <v>0.109</v>
      </c>
      <c r="CY15" s="229">
        <f t="array" ref="CY15">INDEX(Demand_current!$D$4:$AY$138, MATCH($A15, Demand_current!$B$4:$B$138, 0), MATCH(CY$4&amp;CY$5,Demand_current!$D$2:$AY$2&amp;Demand_current!$D$3:$AY$3, 0))/1000</f>
        <v>9.1999999999999998E-2</v>
      </c>
      <c r="CZ15" s="229">
        <f t="array" ref="CZ15">INDEX(Demand_current!$D$4:$AY$138, MATCH($A15, Demand_current!$B$4:$B$138, 0), MATCH(CZ$4&amp;CZ$5,Demand_current!$D$2:$AY$2&amp;Demand_current!$D$3:$AY$3, 0))/1000</f>
        <v>0.28299999999999997</v>
      </c>
      <c r="DA15" s="229">
        <f t="array" ref="DA15">INDEX(Demand_current!$D$4:$AY$138, MATCH($A15, Demand_current!$B$4:$B$138, 0), MATCH(DA$4&amp;DA$5,Demand_current!$D$2:$AY$2&amp;Demand_current!$D$3:$AY$3, 0))/1000</f>
        <v>0.22900000000000001</v>
      </c>
      <c r="DB15" s="229">
        <f t="array" ref="DB15">INDEX(Demand_current!$D$4:$AY$138, MATCH($A15, Demand_current!$B$4:$B$138, 0), MATCH(DB$4&amp;DB$5,Demand_current!$D$2:$AY$2&amp;Demand_current!$D$3:$AY$3, 0))/1000</f>
        <v>0.106</v>
      </c>
      <c r="DC15" s="229">
        <f t="array" ref="DC15">INDEX(Demand_current!$D$4:$AY$138, MATCH($A15, Demand_current!$B$4:$B$138, 0), MATCH(DC$4&amp;DC$5,Demand_current!$D$2:$AY$2&amp;Demand_current!$D$3:$AY$3, 0))/1000</f>
        <v>0.16700000000000001</v>
      </c>
      <c r="DD15" s="229">
        <f t="array" ref="DD15">INDEX(Demand_current!$D$4:$AY$138, MATCH($A15, Demand_current!$B$4:$B$138, 0), MATCH(DD$4&amp;DD$5,Demand_current!$D$2:$AY$2&amp;Demand_current!$D$3:$AY$3, 0))/1000</f>
        <v>0</v>
      </c>
      <c r="DE15" s="229">
        <f t="array" ref="DE15">INDEX(Demand_current!$D$4:$AY$138, MATCH($A15, Demand_current!$B$4:$B$138, 0), MATCH(DE$4&amp;DE$5,Demand_current!$D$2:$AY$2&amp;Demand_current!$D$3:$AY$3, 0))/1000</f>
        <v>0.03</v>
      </c>
      <c r="DF15" s="229">
        <f t="array" ref="DF15">INDEX(Demand_current!$D$4:$AY$138, MATCH($A15, Demand_current!$B$4:$B$138, 0), MATCH(DF$4&amp;DF$5,Demand_current!$D$2:$AY$2&amp;Demand_current!$D$3:$AY$3, 0))/1000</f>
        <v>2.3E-2</v>
      </c>
      <c r="DG15" s="229">
        <f t="array" ref="DG15">INDEX(Demand_current!$D$4:$AY$138, MATCH($A15, Demand_current!$B$4:$B$138, 0), MATCH(DG$4&amp;DG$5,Demand_current!$D$2:$AY$2&amp;Demand_current!$D$3:$AY$3, 0))/1000</f>
        <v>5.6000000000000001E-2</v>
      </c>
      <c r="DH15" s="229">
        <f t="array" ref="DH15">INDEX(Demand_current!$D$4:$AY$138, MATCH($A15, Demand_current!$B$4:$B$138, 0), MATCH(DH$4&amp;DH$5,Demand_current!$D$2:$AY$2&amp;Demand_current!$D$3:$AY$3, 0))/1000</f>
        <v>6.5000000000000002E-2</v>
      </c>
      <c r="DI15" s="229">
        <f t="array" ref="DI15">INDEX(Demand_current!$D$4:$AY$138, MATCH($A15, Demand_current!$B$4:$B$138, 0), MATCH(DI$4&amp;DI$5,Demand_current!$D$2:$AY$2&amp;Demand_current!$D$3:$AY$3, 0))/1000</f>
        <v>0</v>
      </c>
      <c r="DJ15" s="227">
        <f>$BT15*(VLOOKUP(DJ$4, Rates_current!$G$6:$Q$29, 10, FALSE)+VLOOKUP(DJ$4, Rates_current!$G$6:$Q$29, 11, FALSE))</f>
        <v>253.02898234079996</v>
      </c>
      <c r="DK15" s="227">
        <f>$BT15*(VLOOKUP(DK$4, Rates_current!$G$6:$Q$29, 10, FALSE)+VLOOKUP(DK$4, Rates_current!$G$6:$Q$29, 11, FALSE))</f>
        <v>321.42574149719997</v>
      </c>
      <c r="DL15" s="227">
        <f>$BT15*(VLOOKUP(DL$4, Rates_current!$G$6:$Q$29, 10, FALSE)+VLOOKUP(DL$4, Rates_current!$G$6:$Q$29, 11, FALSE))</f>
        <v>317.54409074080002</v>
      </c>
      <c r="DM15" s="227">
        <f>$BT15*(VLOOKUP(DM$4, Rates_current!$G$6:$Q$29, 10, FALSE)+VLOOKUP(DM$4, Rates_current!$G$6:$Q$29, 11, FALSE))</f>
        <v>264.6923403408</v>
      </c>
      <c r="DN15" s="227">
        <f>$BT15*(VLOOKUP(DN$4, Rates_current!$G$6:$Q$29, 10, FALSE)+VLOOKUP(DN$4, Rates_current!$G$6:$Q$29, 11, FALSE))</f>
        <v>239.78380063999998</v>
      </c>
      <c r="DO15" s="227">
        <f>$BT15*(VLOOKUP(DO$4, Rates_current!$G$6:$Q$29, 10, FALSE)+VLOOKUP(DO$4, Rates_current!$G$6:$Q$29, 11, FALSE))</f>
        <v>266.71576134759999</v>
      </c>
      <c r="DP15" s="227">
        <f>$BT15*(VLOOKUP(DP$4, Rates_current!$G$6:$Q$29, 10, FALSE)+VLOOKUP(DP$4, Rates_current!$G$6:$Q$29, 11, FALSE))</f>
        <v>217.160260704</v>
      </c>
      <c r="DQ15" s="227">
        <f>$BT15*(VLOOKUP(DQ$4, Rates_current!$G$6:$Q$29, 10, FALSE)+VLOOKUP(DQ$4, Rates_current!$G$6:$Q$29, 11, FALSE))</f>
        <v>292.87299374079998</v>
      </c>
      <c r="DR15" s="227">
        <f>$BT15*(VLOOKUP(DR$4, Rates_current!$G$6:$Q$29, 10, FALSE)+VLOOKUP(DR$4, Rates_current!$G$6:$Q$29, 11, FALSE))</f>
        <v>373.68602130400001</v>
      </c>
      <c r="DS15" s="227">
        <f>$BT15*(VLOOKUP(DS$4, Rates_current!$G$6:$Q$29, 10, FALSE)+VLOOKUP(DS$4, Rates_current!$G$6:$Q$29, 11, FALSE))</f>
        <v>292.98168954080001</v>
      </c>
      <c r="DT15" s="227">
        <f>$BT15*(VLOOKUP(DT$4, Rates_current!$G$6:$Q$29, 10, FALSE)+VLOOKUP(DT$4, Rates_current!$G$6:$Q$29, 11, FALSE))</f>
        <v>285.30582614080004</v>
      </c>
      <c r="DU15" s="227">
        <f>$BT15*(VLOOKUP(DU$4, Rates_current!$G$6:$Q$29, 10, FALSE)+VLOOKUP(DU$4, Rates_current!$G$6:$Q$29, 11, FALSE))</f>
        <v>256.143939504</v>
      </c>
      <c r="DV15" s="229">
        <f>IF(D15=0,IF(C15=0,MAX(0,DY15 - (VLOOKUP($A15,TOCA_current!$A$2:$AI$137,MATCH("RHWM 2020",TOCA_current!$A$2:$AI$2,0),FALSE)*$BT$2)), 0),0)</f>
        <v>0</v>
      </c>
      <c r="DW15" s="266">
        <f>VLOOKUP($A15,REP_current!$A$1:$D$135,MATCH("FY "&amp;$BT$1&amp; " Total Refund",REP_current!$A$1:$D$1,0),0)</f>
        <v>0</v>
      </c>
      <c r="DX15" s="295">
        <f>MIN(VLOOKUP($A15,TOCA_current!$A$2:$AI$137,MATCH("TRL - NLSL - Existing Resource "&amp;$BT$1,TOCA_current!$A$2:$AI$2,0),FALSE)*$BT$2, VLOOKUP($A15,TOCA_current!$A$2:$AI$137,MATCH("RHWM 2020",TOCA_current!$A$2:$AI$2,0),FALSE)*$BT$2)</f>
        <v>3381.84</v>
      </c>
      <c r="DY15" s="240">
        <f>SUM(BZ15:CW15)+(BT15*RT1SC!$C$4*$BT$2)</f>
        <v>3389.3415747583999</v>
      </c>
      <c r="DZ15" s="271">
        <f>VLOOKUP($A15,TOCA_current!$A$2:$AI$137,MATCH("Above RHWM Not Served with LS "&amp;$BT$1,TOCA_current!$A$2:$AI$2,0),FALSE)*$BT$2</f>
        <v>0</v>
      </c>
      <c r="EA15" s="244">
        <f t="shared" si="13"/>
        <v>7.5015747583997836</v>
      </c>
      <c r="EB15" s="295">
        <f>(VLOOKUP($A15,TOCA_current!$A$2:$AI$137,MATCH("RHWM 2020",TOCA_current!$A$2:$AI$2,0),FALSE)*$BT$2) - $DX15</f>
        <v>96.623999999999796</v>
      </c>
      <c r="EC15" s="240">
        <f t="shared" si="14"/>
        <v>-7.5015747583997836</v>
      </c>
      <c r="ED15" s="240">
        <f t="shared" si="15"/>
        <v>0</v>
      </c>
      <c r="EE15" s="240">
        <f t="shared" si="16"/>
        <v>0</v>
      </c>
      <c r="EF15" s="240">
        <f t="shared" si="17"/>
        <v>-7.5015747583997836</v>
      </c>
    </row>
    <row r="16" spans="1:136">
      <c r="A16" s="166">
        <v>10057</v>
      </c>
      <c r="B16" s="167" t="s">
        <v>17</v>
      </c>
      <c r="C16" s="240">
        <v>0</v>
      </c>
      <c r="D16" s="240">
        <v>0</v>
      </c>
      <c r="E16" s="150">
        <f>VLOOKUP($A16,TOCA_previous!$A$2:$AI$137,MATCH(E$4,TOCA_previous!$A$2:$AI$2,0),FALSE)</f>
        <v>2.9851000000000001E-3</v>
      </c>
      <c r="F16" s="151">
        <f>VLOOKUP($A16,TOCA_previous!$A$2:$AI$137,MATCH(F$4,TOCA_previous!$A$2:$AI$2,0),FALSE)</f>
        <v>2.9851000000000001E-3</v>
      </c>
      <c r="G16" s="151">
        <f t="shared" si="2"/>
        <v>0</v>
      </c>
      <c r="H16" s="151">
        <f>VLOOKUP($A16,TOCA_previous!$A$2:$AI$137,MATCH(H$4,TOCA_previous!$A$2:$AI$2,0),FALSE)</f>
        <v>0</v>
      </c>
      <c r="I16" s="151">
        <f t="shared" si="3"/>
        <v>0</v>
      </c>
      <c r="J16" s="151">
        <f t="shared" si="4"/>
        <v>0</v>
      </c>
      <c r="K16" s="226">
        <f>VLOOKUP(A16, IRD!$A$5:$C$139, 3, FALSE)</f>
        <v>0</v>
      </c>
      <c r="L16" s="227">
        <f t="array" ref="L16">IF($G16=0, INDEX(LS_previous!$D$4:$AY$138, MATCH('Staging Table'!$A16, LS_previous!$B$4:$B$138, 0), MATCH(L$4&amp;L$5, LS_previous!$D$2:$AY$2&amp;LS_previous!$D$3:$AY$3, 0)),SUM(VLOOKUP($A16, LS_previous!$B$4:$AY$138, LS_previous!D$149, FALSE), VLOOKUP('Staging Table'!$A16, LS_previous!$B$4:$AY$138,LS_previous!AB$149, FALSE))/2)</f>
        <v>-394</v>
      </c>
      <c r="M16" s="227">
        <f t="array" ref="M16">IF($G16=0, INDEX(LS_previous!$D$4:$AY$138, MATCH('Staging Table'!$A16, LS_previous!$B$4:$B$138, 0), MATCH(M$4&amp;M$5, LS_previous!$D$2:$AY$2&amp;LS_previous!$D$3:$AY$3, 0)),SUM(VLOOKUP($A16, LS_previous!$B$4:$AY$138, LS_previous!E$149, FALSE), VLOOKUP('Staging Table'!$A16, LS_previous!$B$4:$AY$138,LS_previous!AC$149, FALSE))/2)</f>
        <v>-367</v>
      </c>
      <c r="N16" s="227">
        <f t="array" ref="N16">IF($G16=0, INDEX(LS_previous!$D$4:$AY$138, MATCH('Staging Table'!$A16, LS_previous!$B$4:$B$138, 0), MATCH(N$4&amp;N$5, LS_previous!$D$2:$AY$2&amp;LS_previous!$D$3:$AY$3, 0)),SUM(VLOOKUP($A16, LS_previous!$B$4:$AY$138, LS_previous!F$149, FALSE), VLOOKUP('Staging Table'!$A16, LS_previous!$B$4:$AY$138,LS_previous!AD$149, FALSE))/2)</f>
        <v>-834</v>
      </c>
      <c r="O16" s="227">
        <f t="array" ref="O16">IF($G16=0, INDEX(LS_previous!$D$4:$AY$138, MATCH('Staging Table'!$A16, LS_previous!$B$4:$B$138, 0), MATCH(O$4&amp;O$5, LS_previous!$D$2:$AY$2&amp;LS_previous!$D$3:$AY$3, 0)),SUM(VLOOKUP($A16, LS_previous!$B$4:$AY$138, LS_previous!G$149, FALSE), VLOOKUP('Staging Table'!$A16, LS_previous!$B$4:$AY$138,LS_previous!AE$149, FALSE))/2)</f>
        <v>-290</v>
      </c>
      <c r="P16" s="227">
        <f t="array" ref="P16">IF($G16=0, INDEX(LS_previous!$D$4:$AY$138, MATCH('Staging Table'!$A16, LS_previous!$B$4:$B$138, 0), MATCH(P$4&amp;P$5, LS_previous!$D$2:$AY$2&amp;LS_previous!$D$3:$AY$3, 0)),SUM(VLOOKUP($A16, LS_previous!$B$4:$AY$138, LS_previous!H$149, FALSE), VLOOKUP('Staging Table'!$A16, LS_previous!$B$4:$AY$138,LS_previous!AF$149, FALSE))/2)</f>
        <v>58</v>
      </c>
      <c r="Q16" s="227">
        <f t="array" ref="Q16">IF($G16=0, INDEX(LS_previous!$D$4:$AY$138, MATCH('Staging Table'!$A16, LS_previous!$B$4:$B$138, 0), MATCH(Q$4&amp;Q$5, LS_previous!$D$2:$AY$2&amp;LS_previous!$D$3:$AY$3, 0)),SUM(VLOOKUP($A16, LS_previous!$B$4:$AY$138, LS_previous!I$149, FALSE), VLOOKUP('Staging Table'!$A16, LS_previous!$B$4:$AY$138,LS_previous!AG$149, FALSE))/2)</f>
        <v>672</v>
      </c>
      <c r="R16" s="227">
        <f t="array" ref="R16">IF($G16=0, INDEX(LS_previous!$D$4:$AY$138, MATCH('Staging Table'!$A16, LS_previous!$B$4:$B$138, 0), MATCH(R$4&amp;R$5, LS_previous!$D$2:$AY$2&amp;LS_previous!$D$3:$AY$3, 0)),SUM(VLOOKUP($A16, LS_previous!$B$4:$AY$138, LS_previous!J$149, FALSE), VLOOKUP('Staging Table'!$A16, LS_previous!$B$4:$AY$138,LS_previous!AH$149, FALSE))/2)</f>
        <v>2300</v>
      </c>
      <c r="S16" s="227">
        <f t="array" ref="S16">IF($G16=0, INDEX(LS_previous!$D$4:$AY$138, MATCH('Staging Table'!$A16, LS_previous!$B$4:$B$138, 0), MATCH(S$4&amp;S$5, LS_previous!$D$2:$AY$2&amp;LS_previous!$D$3:$AY$3, 0)),SUM(VLOOKUP($A16, LS_previous!$B$4:$AY$138, LS_previous!K$149, FALSE), VLOOKUP('Staging Table'!$A16, LS_previous!$B$4:$AY$138,LS_previous!AI$149, FALSE))/2)</f>
        <v>1237</v>
      </c>
      <c r="T16" s="227">
        <f t="array" ref="T16">IF($G16=0, INDEX(LS_previous!$D$4:$AY$138, MATCH('Staging Table'!$A16, LS_previous!$B$4:$B$138, 0), MATCH(T$4&amp;T$5, LS_previous!$D$2:$AY$2&amp;LS_previous!$D$3:$AY$3, 0)),SUM(VLOOKUP($A16, LS_previous!$B$4:$AY$138, LS_previous!L$149, FALSE), VLOOKUP('Staging Table'!$A16, LS_previous!$B$4:$AY$138,LS_previous!AJ$149, FALSE))/2)</f>
        <v>2295</v>
      </c>
      <c r="U16" s="227">
        <f t="array" ref="U16">IF($G16=0, INDEX(LS_previous!$D$4:$AY$138, MATCH('Staging Table'!$A16, LS_previous!$B$4:$B$138, 0), MATCH(U$4&amp;U$5, LS_previous!$D$2:$AY$2&amp;LS_previous!$D$3:$AY$3, 0)),SUM(VLOOKUP($A16, LS_previous!$B$4:$AY$138, LS_previous!M$149, FALSE), VLOOKUP('Staging Table'!$A16, LS_previous!$B$4:$AY$138,LS_previous!AK$149, FALSE))/2)</f>
        <v>1147</v>
      </c>
      <c r="V16" s="227">
        <f t="array" ref="V16">IF($G16=0, INDEX(LS_previous!$D$4:$AY$138, MATCH('Staging Table'!$A16, LS_previous!$B$4:$B$138, 0), MATCH(V$4&amp;V$5, LS_previous!$D$2:$AY$2&amp;LS_previous!$D$3:$AY$3, 0)),SUM(VLOOKUP($A16, LS_previous!$B$4:$AY$138, LS_previous!N$149, FALSE), VLOOKUP('Staging Table'!$A16, LS_previous!$B$4:$AY$138,LS_previous!AL$149, FALSE))/2)</f>
        <v>195</v>
      </c>
      <c r="W16" s="227">
        <f t="array" ref="W16">IF($G16=0, INDEX(LS_previous!$D$4:$AY$138, MATCH('Staging Table'!$A16, LS_previous!$B$4:$B$138, 0), MATCH(W$4&amp;W$5, LS_previous!$D$2:$AY$2&amp;LS_previous!$D$3:$AY$3, 0)),SUM(VLOOKUP($A16, LS_previous!$B$4:$AY$138, LS_previous!O$149, FALSE), VLOOKUP('Staging Table'!$A16, LS_previous!$B$4:$AY$138,LS_previous!AM$149, FALSE))/2)</f>
        <v>309</v>
      </c>
      <c r="X16" s="227">
        <f t="array" ref="X16">IF($G16=0, INDEX(LS_previous!$D$4:$AY$138, MATCH('Staging Table'!$A16, LS_previous!$B$4:$B$138, 0), MATCH(X$4&amp;X$5, LS_previous!$D$2:$AY$2&amp;LS_previous!$D$3:$AY$3, 0)),SUM(VLOOKUP($A16, LS_previous!$B$4:$AY$138, LS_previous!P$149, FALSE), VLOOKUP('Staging Table'!$A16, LS_previous!$B$4:$AY$138,LS_previous!AN$149, FALSE))/2)</f>
        <v>-1</v>
      </c>
      <c r="Y16" s="227">
        <f t="array" ref="Y16">IF($G16=0, INDEX(LS_previous!$D$4:$AY$138, MATCH('Staging Table'!$A16, LS_previous!$B$4:$B$138, 0), MATCH(Y$4&amp;Y$5, LS_previous!$D$2:$AY$2&amp;LS_previous!$D$3:$AY$3, 0)),SUM(VLOOKUP($A16, LS_previous!$B$4:$AY$138, LS_previous!Q$149, FALSE), VLOOKUP('Staging Table'!$A16, LS_previous!$B$4:$AY$138,LS_previous!AO$149, FALSE))/2)</f>
        <v>-138</v>
      </c>
      <c r="Z16" s="227">
        <f t="array" ref="Z16">IF($G16=0, INDEX(LS_previous!$D$4:$AY$138, MATCH('Staging Table'!$A16, LS_previous!$B$4:$B$138, 0), MATCH(Z$4&amp;Z$5, LS_previous!$D$2:$AY$2&amp;LS_previous!$D$3:$AY$3, 0)),SUM(VLOOKUP($A16, LS_previous!$B$4:$AY$138, LS_previous!R$149, FALSE), VLOOKUP('Staging Table'!$A16, LS_previous!$B$4:$AY$138,LS_previous!AP$149, FALSE))/2)</f>
        <v>-5097</v>
      </c>
      <c r="AA16" s="227">
        <f t="array" ref="AA16">IF($G16=0, INDEX(LS_previous!$D$4:$AY$138, MATCH('Staging Table'!$A16, LS_previous!$B$4:$B$138, 0), MATCH(AA$4&amp;AA$5, LS_previous!$D$2:$AY$2&amp;LS_previous!$D$3:$AY$3, 0)),SUM(VLOOKUP($A16, LS_previous!$B$4:$AY$138, LS_previous!S$149, FALSE), VLOOKUP('Staging Table'!$A16, LS_previous!$B$4:$AY$138,LS_previous!AQ$149, FALSE))/2)</f>
        <v>-2404</v>
      </c>
      <c r="AB16" s="227">
        <f t="array" ref="AB16">IF($G16=0, INDEX(LS_previous!$D$4:$AY$138, MATCH('Staging Table'!$A16, LS_previous!$B$4:$B$138, 0), MATCH(AB$4&amp;AB$5, LS_previous!$D$2:$AY$2&amp;LS_previous!$D$3:$AY$3, 0)),SUM(VLOOKUP($A16, LS_previous!$B$4:$AY$138, LS_previous!T$149, FALSE), VLOOKUP('Staging Table'!$A16, LS_previous!$B$4:$AY$138,LS_previous!AR$149, FALSE))/2)</f>
        <v>-2391</v>
      </c>
      <c r="AC16" s="227">
        <f t="array" ref="AC16">IF($G16=0, INDEX(LS_previous!$D$4:$AY$138, MATCH('Staging Table'!$A16, LS_previous!$B$4:$B$138, 0), MATCH(AC$4&amp;AC$5, LS_previous!$D$2:$AY$2&amp;LS_previous!$D$3:$AY$3, 0)),SUM(VLOOKUP($A16, LS_previous!$B$4:$AY$138, LS_previous!U$149, FALSE), VLOOKUP('Staging Table'!$A16, LS_previous!$B$4:$AY$138,LS_previous!AS$149, FALSE))/2)</f>
        <v>-1353</v>
      </c>
      <c r="AD16" s="227">
        <f t="array" ref="AD16">IF($G16=0, INDEX(LS_previous!$D$4:$AY$138, MATCH('Staging Table'!$A16, LS_previous!$B$4:$B$138, 0), MATCH(AD$4&amp;AD$5, LS_previous!$D$2:$AY$2&amp;LS_previous!$D$3:$AY$3, 0)),SUM(VLOOKUP($A16, LS_previous!$B$4:$AY$138, LS_previous!V$149, FALSE), VLOOKUP('Staging Table'!$A16, LS_previous!$B$4:$AY$138,LS_previous!AT$149, FALSE))/2)</f>
        <v>788</v>
      </c>
      <c r="AE16" s="227">
        <f t="array" ref="AE16">IF($G16=0, INDEX(LS_previous!$D$4:$AY$138, MATCH('Staging Table'!$A16, LS_previous!$B$4:$B$138, 0), MATCH(AE$4&amp;AE$5, LS_previous!$D$2:$AY$2&amp;LS_previous!$D$3:$AY$3, 0)),SUM(VLOOKUP($A16, LS_previous!$B$4:$AY$138, LS_previous!W$149, FALSE), VLOOKUP('Staging Table'!$A16, LS_previous!$B$4:$AY$138,LS_previous!AU$149, FALSE))/2)</f>
        <v>493</v>
      </c>
      <c r="AF16" s="227">
        <f t="array" ref="AF16">IF($G16=0, INDEX(LS_previous!$D$4:$AY$138, MATCH('Staging Table'!$A16, LS_previous!$B$4:$B$138, 0), MATCH(AF$4&amp;AF$5, LS_previous!$D$2:$AY$2&amp;LS_previous!$D$3:$AY$3, 0)),SUM(VLOOKUP($A16, LS_previous!$B$4:$AY$138, LS_previous!X$149, FALSE), VLOOKUP('Staging Table'!$A16, LS_previous!$B$4:$AY$138,LS_previous!AV$149, FALSE))/2)</f>
        <v>-573</v>
      </c>
      <c r="AG16" s="227">
        <f t="array" ref="AG16">IF($G16=0, INDEX(LS_previous!$D$4:$AY$138, MATCH('Staging Table'!$A16, LS_previous!$B$4:$B$138, 0), MATCH(AG$4&amp;AG$5, LS_previous!$D$2:$AY$2&amp;LS_previous!$D$3:$AY$3, 0)),SUM(VLOOKUP($A16, LS_previous!$B$4:$AY$138, LS_previous!Y$149, FALSE), VLOOKUP('Staging Table'!$A16, LS_previous!$B$4:$AY$138,LS_previous!AW$149, FALSE))/2)</f>
        <v>234</v>
      </c>
      <c r="AH16" s="227">
        <f t="array" ref="AH16">IF($G16=0, INDEX(LS_previous!$D$4:$AY$138, MATCH('Staging Table'!$A16, LS_previous!$B$4:$B$138, 0), MATCH(AH$4&amp;AH$5, LS_previous!$D$2:$AY$2&amp;LS_previous!$D$3:$AY$3, 0)),SUM(VLOOKUP($A16, LS_previous!$B$4:$AY$138, LS_previous!Z$149, FALSE), VLOOKUP('Staging Table'!$A16, LS_previous!$B$4:$AY$138,LS_previous!AX$149, FALSE))/2)</f>
        <v>-1284</v>
      </c>
      <c r="AI16" s="227">
        <f t="array" ref="AI16">IF($G16=0, INDEX(LS_previous!$D$4:$AY$138, MATCH('Staging Table'!$A16, LS_previous!$B$4:$B$138, 0), MATCH(AI$4&amp;AI$5, LS_previous!$D$2:$AY$2&amp;LS_previous!$D$3:$AY$3, 0)),SUM(VLOOKUP($A16, LS_previous!$B$4:$AY$138, LS_previous!AA$149, FALSE), VLOOKUP('Staging Table'!$A16, LS_previous!$B$4:$AY$138,LS_previous!AY$149, FALSE))/2)</f>
        <v>-726</v>
      </c>
      <c r="AJ16" s="424">
        <f t="array" ref="AJ16">INDEX(Demand_previous!$D$4:$AY$138, MATCH('Staging Table'!$A16, Demand_previous!$B$4:$B$138, 0), MATCH(AJ$4&amp;AJ$5,Demand_previous!$D$2:$AY$2&amp;Demand_previous!$D$3:$AY$3, 0))/1000</f>
        <v>0.495</v>
      </c>
      <c r="AK16" s="424">
        <f t="array" ref="AK16">INDEX(Demand_previous!$D$4:$AY$138, MATCH('Staging Table'!$A16, Demand_previous!$B$4:$B$138, 0), MATCH(AK$4&amp;AK$5,Demand_previous!$D$2:$AY$2&amp;Demand_previous!$D$3:$AY$3, 0))/1000</f>
        <v>0</v>
      </c>
      <c r="AL16" s="424">
        <f t="array" ref="AL16">INDEX(Demand_previous!$D$4:$AY$138, MATCH('Staging Table'!$A16, Demand_previous!$B$4:$B$138, 0), MATCH(AL$4&amp;AL$5,Demand_previous!$D$2:$AY$2&amp;Demand_previous!$D$3:$AY$3, 0))/1000</f>
        <v>2.8090000000000002</v>
      </c>
      <c r="AM16" s="424">
        <f t="array" ref="AM16">INDEX(Demand_previous!$D$4:$AY$138, MATCH('Staging Table'!$A16, Demand_previous!$B$4:$B$138, 0), MATCH(AM$4&amp;AM$5,Demand_previous!$D$2:$AY$2&amp;Demand_previous!$D$3:$AY$3, 0))/1000</f>
        <v>1.671</v>
      </c>
      <c r="AN16" s="424">
        <f t="array" ref="AN16">INDEX(Demand_previous!$D$4:$AY$138, MATCH('Staging Table'!$A16, Demand_previous!$B$4:$B$138, 0), MATCH(AN$4&amp;AN$5,Demand_previous!$D$2:$AY$2&amp;Demand_previous!$D$3:$AY$3, 0))/1000</f>
        <v>1.5860000000000001</v>
      </c>
      <c r="AO16" s="424">
        <f t="array" ref="AO16">INDEX(Demand_previous!$D$4:$AY$138, MATCH('Staging Table'!$A16, Demand_previous!$B$4:$B$138, 0), MATCH(AO$4&amp;AO$5,Demand_previous!$D$2:$AY$2&amp;Demand_previous!$D$3:$AY$3, 0))/1000</f>
        <v>4.9029999999999996</v>
      </c>
      <c r="AP16" s="424">
        <f t="array" ref="AP16">INDEX(Demand_previous!$D$4:$AY$138, MATCH('Staging Table'!$A16, Demand_previous!$B$4:$B$138, 0), MATCH(AP$4&amp;AP$5,Demand_previous!$D$2:$AY$2&amp;Demand_previous!$D$3:$AY$3, 0))/1000</f>
        <v>1.7430000000000001</v>
      </c>
      <c r="AQ16" s="424">
        <f t="array" ref="AQ16">INDEX(Demand_previous!$D$4:$AY$138, MATCH('Staging Table'!$A16, Demand_previous!$B$4:$B$138, 0), MATCH(AQ$4&amp;AQ$5,Demand_previous!$D$2:$AY$2&amp;Demand_previous!$D$3:$AY$3, 0))/1000</f>
        <v>0</v>
      </c>
      <c r="AR16" s="424">
        <f t="array" ref="AR16">INDEX(Demand_previous!$D$4:$AY$138, MATCH('Staging Table'!$A16, Demand_previous!$B$4:$B$138, 0), MATCH(AR$4&amp;AR$5,Demand_previous!$D$2:$AY$2&amp;Demand_previous!$D$3:$AY$3, 0))/1000</f>
        <v>3.9329999999999998</v>
      </c>
      <c r="AS16" s="424">
        <f t="array" ref="AS16">INDEX(Demand_previous!$D$4:$AY$138, MATCH('Staging Table'!$A16, Demand_previous!$B$4:$B$138, 0), MATCH(AS$4&amp;AS$5,Demand_previous!$D$2:$AY$2&amp;Demand_previous!$D$3:$AY$3, 0))/1000</f>
        <v>3.3740000000000001</v>
      </c>
      <c r="AT16" s="424">
        <f t="array" ref="AT16">INDEX(Demand_previous!$D$4:$AY$138, MATCH('Staging Table'!$A16, Demand_previous!$B$4:$B$138, 0), MATCH(AT$4&amp;AT$5,Demand_previous!$D$2:$AY$2&amp;Demand_previous!$D$3:$AY$3, 0))/1000</f>
        <v>4.4489999999999998</v>
      </c>
      <c r="AU16" s="424">
        <f t="array" ref="AU16">INDEX(Demand_previous!$D$4:$AY$138, MATCH('Staging Table'!$A16, Demand_previous!$B$4:$B$138, 0), MATCH(AU$4&amp;AU$5,Demand_previous!$D$2:$AY$2&amp;Demand_previous!$D$3:$AY$3, 0))/1000</f>
        <v>4.3040000000000003</v>
      </c>
      <c r="AV16" s="227">
        <f>$F16*(VLOOKUP(AV$4, Rates_previous!$G$6:$Q$29, 10, FALSE)+VLOOKUP(AV$4, Rates_previous!$G$6:$Q$29, 11, FALSE))</f>
        <v>13996.649604508895</v>
      </c>
      <c r="AW16" s="227">
        <f>$F16*(VLOOKUP(AW$4, Rates_previous!$G$6:$Q$29, 10, FALSE)+VLOOKUP(AW$4, Rates_previous!$G$6:$Q$29, 11, FALSE))</f>
        <v>17298.795109426512</v>
      </c>
      <c r="AX16" s="227">
        <f>$F16*(VLOOKUP(AX$4, Rates_previous!$G$6:$Q$29, 10, FALSE)+VLOOKUP(AX$4, Rates_previous!$G$6:$Q$29, 11, FALSE))</f>
        <v>17091.057270520636</v>
      </c>
      <c r="AY16" s="227">
        <f>$F16*(VLOOKUP(AY$4, Rates_previous!$G$6:$Q$29, 10, FALSE)+VLOOKUP(AY$4, Rates_previous!$G$6:$Q$29, 11, FALSE))</f>
        <v>14602.679390854117</v>
      </c>
      <c r="AZ16" s="227">
        <f>$F16*(VLOOKUP(AZ$4, Rates_previous!$G$6:$Q$29, 10, FALSE)+VLOOKUP(AZ$4, Rates_previous!$G$6:$Q$29, 11, FALSE))</f>
        <v>11971.364602016283</v>
      </c>
      <c r="BA16" s="227">
        <f>$F16*(VLOOKUP(BA$4, Rates_previous!$G$6:$Q$29, 10, FALSE)+VLOOKUP(BA$4, Rates_previous!$G$6:$Q$29, 11, FALSE))</f>
        <v>14173.660848469295</v>
      </c>
      <c r="BB16" s="227">
        <f>$F16*(VLOOKUP(BB$4, Rates_previous!$G$6:$Q$29, 10, FALSE)+VLOOKUP(BB$4, Rates_previous!$G$6:$Q$29, 11, FALSE))</f>
        <v>13622.949760130501</v>
      </c>
      <c r="BC16" s="227">
        <f>$F16*(VLOOKUP(BC$4, Rates_previous!$G$6:$Q$29, 10, FALSE)+VLOOKUP(BC$4, Rates_previous!$G$6:$Q$29, 11, FALSE))</f>
        <v>19990.714775637247</v>
      </c>
      <c r="BD16" s="227">
        <f>$F16*(VLOOKUP(BD$4, Rates_previous!$G$6:$Q$29, 10, FALSE)+VLOOKUP(BD$4, Rates_previous!$G$6:$Q$29, 11, FALSE))</f>
        <v>15772.145596945807</v>
      </c>
      <c r="BE16" s="227">
        <f>$F16*(VLOOKUP(BE$4, Rates_previous!$G$6:$Q$29, 10, FALSE)+VLOOKUP(BE$4, Rates_previous!$G$6:$Q$29, 11, FALSE))</f>
        <v>13849.267677522421</v>
      </c>
      <c r="BF16" s="227">
        <f>$F16*(VLOOKUP(BF$4, Rates_previous!$G$6:$Q$29, 10, FALSE)+VLOOKUP(BF$4, Rates_previous!$G$6:$Q$29, 11, FALSE))</f>
        <v>15338.618307365317</v>
      </c>
      <c r="BG16" s="227">
        <f>$F16*(VLOOKUP(BG$4, Rates_previous!$G$6:$Q$29, 10, FALSE)+VLOOKUP(BG$4, Rates_previous!$G$6:$Q$29, 11, FALSE))</f>
        <v>13896.178207852567</v>
      </c>
      <c r="BH16" s="229">
        <f>IF($D16=0,IF(C16=0, MAX(BK16 - (VLOOKUP($A16,TOCA_previous!$A$2:$AI$137,MATCH("RHWM 2018",TOCA_previous!$A$2:$AI$2,0),FALSE)*$F$2*TOCA_previous!C13),0),0), 0)</f>
        <v>0</v>
      </c>
      <c r="BI16" s="266">
        <f>VLOOKUP($A16,REP_previous!$A$1:$D$135,MATCH("FY "&amp;$F$1&amp; " Total Refund",REP_previous!$A$1:$D$1,0),0)</f>
        <v>279929.27915920061</v>
      </c>
      <c r="BJ16" s="241">
        <f>MIN(VLOOKUP($A16,TOCA_previous!$A$2:$AI$137,MATCH("TRL - NLSL - Existing Resource "&amp;$F$1,TOCA_previous!$A$2:$AI$2,0),FALSE)*$F$2,(VLOOKUP($A16,TOCA_previous!$A$2:$AI$137,MATCH("RHWM 2018",TOCA_previous!$A$2:$AI$2,0),FALSE)*$F$2))</f>
        <v>181603.56000000003</v>
      </c>
      <c r="BK16" s="229">
        <f>SUM(L16:AI16)+(F16*RT1SC!$C$3*$F$2)</f>
        <v>175480.08380069601</v>
      </c>
      <c r="BL16" s="241">
        <f>VLOOKUP($A16,TOCA_previous!$A$2:$AI$137,MATCH("Above RHWM Not Served with LS "&amp;$F$1,TOCA_previous!$A$2:$AI$2,0),FALSE)*$F$2</f>
        <v>0</v>
      </c>
      <c r="BM16" s="151">
        <f t="shared" si="5"/>
        <v>-6123.4761993040156</v>
      </c>
      <c r="BN16" s="242">
        <f>(VLOOKUP($A16,TOCA_previous!$A$2:$AI$137,MATCH("RHWM 2018",TOCA_previous!$A$2:$AI$2,0),FALSE)*$F$2) - $BJ16</f>
        <v>0</v>
      </c>
      <c r="BO16" s="151">
        <f t="shared" si="6"/>
        <v>0</v>
      </c>
      <c r="BP16" s="243">
        <f t="shared" si="7"/>
        <v>6123.4761993040156</v>
      </c>
      <c r="BQ16" s="237">
        <f t="shared" si="8"/>
        <v>0</v>
      </c>
      <c r="BR16" s="242">
        <f t="shared" si="9"/>
        <v>6123.4761993040156</v>
      </c>
      <c r="BS16" s="151">
        <f>VLOOKUP($A16,TOCA_current!$A$2:$AI$137,MATCH(BS$4,TOCA_current!$A$2:$AI$2,0),FALSE)</f>
        <v>2.8459000000000002E-3</v>
      </c>
      <c r="BT16" s="151">
        <f>VLOOKUP($A16,TOCA_current!$A$2:$AI$137,MATCH(BT$4,TOCA_current!$A$2:$AI$2,0),FALSE)</f>
        <v>2.8459000000000002E-3</v>
      </c>
      <c r="BU16" s="236">
        <f t="shared" si="10"/>
        <v>0</v>
      </c>
      <c r="BV16" s="151">
        <f>VLOOKUP($A16,TOCA_current!A12:BG147,MATCH(BV$4,TOCA_current!$A$2:$BG$2,0),FALSE)</f>
        <v>0</v>
      </c>
      <c r="BW16" s="151">
        <f t="shared" si="11"/>
        <v>0</v>
      </c>
      <c r="BX16" s="151">
        <f t="shared" si="12"/>
        <v>0</v>
      </c>
      <c r="BY16" s="226">
        <f>VLOOKUP($A16,IRD!$A$4:$G$139, 7, FALSE)</f>
        <v>0</v>
      </c>
      <c r="BZ16" s="227">
        <f t="array" ref="BZ16">IF($BU16=0, INDEX(LS_current!$D$4:$AY$138, MATCH('Staging Table'!$A16, LS_current!$B$4:$B$138, 0), MATCH(BZ$4&amp;BZ$5, LS_current!$D$2:$AY$2&amp;LS_current!$D$3:$AY$3, 0)),SUM(VLOOKUP($A16, LS_current!$B$4:$AY$138, LS_current!D$148, FALSE), VLOOKUP($A16, LS_current!$B$4:$AY$138,LS_current!D$148, FALSE))/2)</f>
        <v>147</v>
      </c>
      <c r="CA16" s="227">
        <f t="array" ref="CA16">IF($BU16=0, INDEX(LS_current!$D$4:$AY$138, MATCH('Staging Table'!$A16, LS_current!$B$4:$B$138, 0), MATCH(CA$4&amp;CA$5, LS_current!$D$2:$AY$2&amp;LS_current!$D$3:$AY$3, 0)),SUM(VLOOKUP($A16, LS_current!$B$4:$AY$138, LS_current!E$148, FALSE), VLOOKUP($A16, LS_current!$B$4:$AY$138,LS_current!E$148, FALSE))/2)</f>
        <v>-51</v>
      </c>
      <c r="CB16" s="227">
        <f t="array" ref="CB16">IF($BU16=0, INDEX(LS_current!$D$4:$AY$138, MATCH('Staging Table'!$A16, LS_current!$B$4:$B$138, 0), MATCH(CB$4&amp;CB$5, LS_current!$D$2:$AY$2&amp;LS_current!$D$3:$AY$3, 0)),SUM(VLOOKUP($A16, LS_current!$B$4:$AY$138, LS_current!F$148, FALSE), VLOOKUP($A16, LS_current!$B$4:$AY$138,LS_current!F$148, FALSE))/2)</f>
        <v>-399</v>
      </c>
      <c r="CC16" s="227">
        <f t="array" ref="CC16">IF($BU16=0, INDEX(LS_current!$D$4:$AY$138, MATCH('Staging Table'!$A16, LS_current!$B$4:$B$138, 0), MATCH(CC$4&amp;CC$5, LS_current!$D$2:$AY$2&amp;LS_current!$D$3:$AY$3, 0)),SUM(VLOOKUP($A16, LS_current!$B$4:$AY$138, LS_current!G$148, FALSE), VLOOKUP($A16, LS_current!$B$4:$AY$138,LS_current!G$148, FALSE))/2)</f>
        <v>-119</v>
      </c>
      <c r="CD16" s="227">
        <f t="array" ref="CD16">IF($BU16=0, INDEX(LS_current!$D$4:$AY$138, MATCH('Staging Table'!$A16, LS_current!$B$4:$B$138, 0), MATCH(CD$4&amp;CD$5, LS_current!$D$2:$AY$2&amp;LS_current!$D$3:$AY$3, 0)),SUM(VLOOKUP($A16, LS_current!$B$4:$AY$138, LS_current!H$148, FALSE), VLOOKUP($A16, LS_current!$B$4:$AY$138,LS_current!H$148, FALSE))/2)</f>
        <v>464</v>
      </c>
      <c r="CE16" s="227">
        <f t="array" ref="CE16">IF($BU16=0, INDEX(LS_current!$D$4:$AY$138, MATCH('Staging Table'!$A16, LS_current!$B$4:$B$138, 0), MATCH(CE$4&amp;CE$5, LS_current!$D$2:$AY$2&amp;LS_current!$D$3:$AY$3, 0)),SUM(VLOOKUP($A16, LS_current!$B$4:$AY$138, LS_current!I$148, FALSE), VLOOKUP($A16, LS_current!$B$4:$AY$138,LS_current!I$148, FALSE))/2)</f>
        <v>866</v>
      </c>
      <c r="CF16" s="227">
        <f t="array" ref="CF16">IF($BU16=0, INDEX(LS_current!$D$4:$AY$138, MATCH('Staging Table'!$A16, LS_current!$B$4:$B$138, 0), MATCH(CF$4&amp;CF$5, LS_current!$D$2:$AY$2&amp;LS_current!$D$3:$AY$3, 0)),SUM(VLOOKUP($A16, LS_current!$B$4:$AY$138, LS_current!J$148, FALSE), VLOOKUP($A16, LS_current!$B$4:$AY$138,LS_current!J$148, FALSE))/2)</f>
        <v>2682</v>
      </c>
      <c r="CG16" s="227">
        <f t="array" ref="CG16">IF($BU16=0, INDEX(LS_current!$D$4:$AY$138, MATCH('Staging Table'!$A16, LS_current!$B$4:$B$138, 0), MATCH(CG$4&amp;CG$5, LS_current!$D$2:$AY$2&amp;LS_current!$D$3:$AY$3, 0)),SUM(VLOOKUP($A16, LS_current!$B$4:$AY$138, LS_current!K$148, FALSE), VLOOKUP($A16, LS_current!$B$4:$AY$138,LS_current!K$148, FALSE))/2)</f>
        <v>1711</v>
      </c>
      <c r="CH16" s="227">
        <f t="array" ref="CH16">IF($BU16=0, INDEX(LS_current!$D$4:$AY$138, MATCH('Staging Table'!$A16, LS_current!$B$4:$B$138, 0), MATCH(CH$4&amp;CH$5, LS_current!$D$2:$AY$2&amp;LS_current!$D$3:$AY$3, 0)),SUM(VLOOKUP($A16, LS_current!$B$4:$AY$138, LS_current!L$148, FALSE), VLOOKUP($A16, LS_current!$B$4:$AY$138,LS_current!L$148, FALSE))/2)</f>
        <v>2000</v>
      </c>
      <c r="CI16" s="227">
        <f t="array" ref="CI16">IF($BU16=0, INDEX(LS_current!$D$4:$AY$138, MATCH('Staging Table'!$A16, LS_current!$B$4:$B$138, 0), MATCH(CI$4&amp;CI$5, LS_current!$D$2:$AY$2&amp;LS_current!$D$3:$AY$3, 0)),SUM(VLOOKUP($A16, LS_current!$B$4:$AY$138, LS_current!M$148, FALSE), VLOOKUP($A16, LS_current!$B$4:$AY$138,LS_current!M$148, FALSE))/2)</f>
        <v>961</v>
      </c>
      <c r="CJ16" s="227">
        <f t="array" ref="CJ16">IF($BU16=0, INDEX(LS_current!$D$4:$AY$138, MATCH('Staging Table'!$A16, LS_current!$B$4:$B$138, 0), MATCH(CJ$4&amp;CJ$5, LS_current!$D$2:$AY$2&amp;LS_current!$D$3:$AY$3, 0)),SUM(VLOOKUP($A16, LS_current!$B$4:$AY$138, LS_current!N$148, FALSE), VLOOKUP($A16, LS_current!$B$4:$AY$138,LS_current!N$148, FALSE))/2)</f>
        <v>351</v>
      </c>
      <c r="CK16" s="227">
        <f t="array" ref="CK16">IF($BU16=0, INDEX(LS_current!$D$4:$AY$138, MATCH('Staging Table'!$A16, LS_current!$B$4:$B$138, 0), MATCH(CK$4&amp;CK$5, LS_current!$D$2:$AY$2&amp;LS_current!$D$3:$AY$3, 0)),SUM(VLOOKUP($A16, LS_current!$B$4:$AY$138, LS_current!O$148, FALSE), VLOOKUP($A16, LS_current!$B$4:$AY$138,LS_current!O$148, FALSE))/2)</f>
        <v>475</v>
      </c>
      <c r="CL16" s="227">
        <f t="array" ref="CL16">IF($BU16=0, INDEX(LS_current!$D$4:$AY$138, MATCH('Staging Table'!$A16, LS_current!$B$4:$B$138, 0), MATCH(CL$4&amp;CL$5, LS_current!$D$2:$AY$2&amp;LS_current!$D$3:$AY$3, 0)),SUM(VLOOKUP($A16, LS_current!$B$4:$AY$138, LS_current!P$148, FALSE), VLOOKUP($A16, LS_current!$B$4:$AY$138,LS_current!P$148, FALSE))/2)</f>
        <v>1663</v>
      </c>
      <c r="CM16" s="227">
        <f t="array" ref="CM16">IF($BU16=0, INDEX(LS_current!$D$4:$AY$138, MATCH('Staging Table'!$A16, LS_current!$B$4:$B$138, 0), MATCH(CM$4&amp;CM$5, LS_current!$D$2:$AY$2&amp;LS_current!$D$3:$AY$3, 0)),SUM(VLOOKUP($A16, LS_current!$B$4:$AY$138, LS_current!Q$148, FALSE), VLOOKUP($A16, LS_current!$B$4:$AY$138,LS_current!Q$148, FALSE))/2)</f>
        <v>542</v>
      </c>
      <c r="CN16" s="227">
        <f t="array" ref="CN16">IF($BU16=0, INDEX(LS_current!$D$4:$AY$138, MATCH('Staging Table'!$A16, LS_current!$B$4:$B$138, 0), MATCH(CN$4&amp;CN$5, LS_current!$D$2:$AY$2&amp;LS_current!$D$3:$AY$3, 0)),SUM(VLOOKUP($A16, LS_current!$B$4:$AY$138, LS_current!R$148, FALSE), VLOOKUP($A16, LS_current!$B$4:$AY$138,LS_current!R$148, FALSE))/2)</f>
        <v>-2226</v>
      </c>
      <c r="CO16" s="227">
        <f t="array" ref="CO16">IF($BU16=0, INDEX(LS_current!$D$4:$AY$138, MATCH('Staging Table'!$A16, LS_current!$B$4:$B$138, 0), MATCH(CO$4&amp;CO$5, LS_current!$D$2:$AY$2&amp;LS_current!$D$3:$AY$3, 0)),SUM(VLOOKUP($A16, LS_current!$B$4:$AY$138, LS_current!S$148, FALSE), VLOOKUP($A16, LS_current!$B$4:$AY$138,LS_current!S$148, FALSE))/2)</f>
        <v>-494</v>
      </c>
      <c r="CP16" s="227">
        <f t="array" ref="CP16">IF($BU16=0, INDEX(LS_current!$D$4:$AY$138, MATCH('Staging Table'!$A16, LS_current!$B$4:$B$138, 0), MATCH(CP$4&amp;CP$5, LS_current!$D$2:$AY$2&amp;LS_current!$D$3:$AY$3, 0)),SUM(VLOOKUP($A16, LS_current!$B$4:$AY$138, LS_current!T$148, FALSE), VLOOKUP($A16, LS_current!$B$4:$AY$138,LS_current!T$148, FALSE))/2)</f>
        <v>-4668</v>
      </c>
      <c r="CQ16" s="227">
        <f t="array" ref="CQ16">IF($BU16=0, INDEX(LS_current!$D$4:$AY$138, MATCH('Staging Table'!$A16, LS_current!$B$4:$B$138, 0), MATCH(CQ$4&amp;CQ$5, LS_current!$D$2:$AY$2&amp;LS_current!$D$3:$AY$3, 0)),SUM(VLOOKUP($A16, LS_current!$B$4:$AY$138, LS_current!U$148, FALSE), VLOOKUP($A16, LS_current!$B$4:$AY$138,LS_current!U$148, FALSE))/2)</f>
        <v>-2710</v>
      </c>
      <c r="CR16" s="227">
        <f t="array" ref="CR16">IF($BU16=0, INDEX(LS_current!$D$4:$AY$138, MATCH('Staging Table'!$A16, LS_current!$B$4:$B$138, 0), MATCH(CR$4&amp;CR$5, LS_current!$D$2:$AY$2&amp;LS_current!$D$3:$AY$3, 0)),SUM(VLOOKUP($A16, LS_current!$B$4:$AY$138, LS_current!V$148, FALSE), VLOOKUP($A16, LS_current!$B$4:$AY$138,LS_current!V$148, FALSE))/2)</f>
        <v>-632</v>
      </c>
      <c r="CS16" s="227">
        <f t="array" ref="CS16">IF($BU16=0, INDEX(LS_current!$D$4:$AY$138, MATCH('Staging Table'!$A16, LS_current!$B$4:$B$138, 0), MATCH(CS$4&amp;CS$5, LS_current!$D$2:$AY$2&amp;LS_current!$D$3:$AY$3, 0)),SUM(VLOOKUP($A16, LS_current!$B$4:$AY$138, LS_current!W$148, FALSE), VLOOKUP($A16, LS_current!$B$4:$AY$138,LS_current!W$148, FALSE))/2)</f>
        <v>546</v>
      </c>
      <c r="CT16" s="227">
        <f t="array" ref="CT16">IF($BU16=0, INDEX(LS_current!$D$4:$AY$138, MATCH('Staging Table'!$A16, LS_current!$B$4:$B$138, 0), MATCH(CT$4&amp;CT$5, LS_current!$D$2:$AY$2&amp;LS_current!$D$3:$AY$3, 0)),SUM(VLOOKUP($A16, LS_current!$B$4:$AY$138, LS_current!X$148, FALSE), VLOOKUP($A16, LS_current!$B$4:$AY$138,LS_current!X$148, FALSE))/2)</f>
        <v>-465</v>
      </c>
      <c r="CU16" s="227">
        <f t="array" ref="CU16">IF($BU16=0, INDEX(LS_current!$D$4:$AY$138, MATCH('Staging Table'!$A16, LS_current!$B$4:$B$138, 0), MATCH(CU$4&amp;CU$5, LS_current!$D$2:$AY$2&amp;LS_current!$D$3:$AY$3, 0)),SUM(VLOOKUP($A16, LS_current!$B$4:$AY$138, LS_current!Y$148, FALSE), VLOOKUP($A16, LS_current!$B$4:$AY$138,LS_current!Y$148, FALSE))/2)</f>
        <v>648</v>
      </c>
      <c r="CV16" s="227">
        <f t="array" ref="CV16">IF($BU16=0, INDEX(LS_current!$D$4:$AY$138, MATCH('Staging Table'!$A16, LS_current!$B$4:$B$138, 0), MATCH(CV$4&amp;CV$5, LS_current!$D$2:$AY$2&amp;LS_current!$D$3:$AY$3, 0)),SUM(VLOOKUP($A16, LS_current!$B$4:$AY$138, LS_current!Z$148, FALSE), VLOOKUP($A16, LS_current!$B$4:$AY$138,LS_current!Z$148, FALSE))/2)</f>
        <v>-919</v>
      </c>
      <c r="CW16" s="227">
        <f t="array" ref="CW16">IF($BU16=0, INDEX(LS_current!$D$4:$AY$138, MATCH('Staging Table'!$A16, LS_current!$B$4:$B$138, 0), MATCH(CW$4&amp;CW$5, LS_current!$D$2:$AY$2&amp;LS_current!$D$3:$AY$3, 0)),SUM(VLOOKUP($A16, LS_current!$B$4:$AY$138, LS_current!AA$148, FALSE), VLOOKUP($A16, LS_current!$B$4:$AY$138,LS_current!AA$148, FALSE))/2)</f>
        <v>-496</v>
      </c>
      <c r="CX16" s="229">
        <f t="array" ref="CX16">INDEX(Demand_current!$D$4:$AY$138, MATCH($A16, Demand_current!$B$4:$B$138, 0), MATCH(CX$4&amp;CX$5,Demand_current!$D$2:$AY$2&amp;Demand_current!$D$3:$AY$3, 0))/1000</f>
        <v>1.2749999999999999</v>
      </c>
      <c r="CY16" s="229">
        <f t="array" ref="CY16">INDEX(Demand_current!$D$4:$AY$138, MATCH($A16, Demand_current!$B$4:$B$138, 0), MATCH(CY$4&amp;CY$5,Demand_current!$D$2:$AY$2&amp;Demand_current!$D$3:$AY$3, 0))/1000</f>
        <v>0</v>
      </c>
      <c r="CZ16" s="229">
        <f t="array" ref="CZ16">INDEX(Demand_current!$D$4:$AY$138, MATCH($A16, Demand_current!$B$4:$B$138, 0), MATCH(CZ$4&amp;CZ$5,Demand_current!$D$2:$AY$2&amp;Demand_current!$D$3:$AY$3, 0))/1000</f>
        <v>2.8090000000000002</v>
      </c>
      <c r="DA16" s="229">
        <f t="array" ref="DA16">INDEX(Demand_current!$D$4:$AY$138, MATCH($A16, Demand_current!$B$4:$B$138, 0), MATCH(DA$4&amp;DA$5,Demand_current!$D$2:$AY$2&amp;Demand_current!$D$3:$AY$3, 0))/1000</f>
        <v>1.671</v>
      </c>
      <c r="DB16" s="229">
        <f t="array" ref="DB16">INDEX(Demand_current!$D$4:$AY$138, MATCH($A16, Demand_current!$B$4:$B$138, 0), MATCH(DB$4&amp;DB$5,Demand_current!$D$2:$AY$2&amp;Demand_current!$D$3:$AY$3, 0))/1000</f>
        <v>2.62</v>
      </c>
      <c r="DC16" s="229">
        <f t="array" ref="DC16">INDEX(Demand_current!$D$4:$AY$138, MATCH($A16, Demand_current!$B$4:$B$138, 0), MATCH(DC$4&amp;DC$5,Demand_current!$D$2:$AY$2&amp;Demand_current!$D$3:$AY$3, 0))/1000</f>
        <v>4.0810000000000004</v>
      </c>
      <c r="DD16" s="229">
        <f t="array" ref="DD16">INDEX(Demand_current!$D$4:$AY$138, MATCH($A16, Demand_current!$B$4:$B$138, 0), MATCH(DD$4&amp;DD$5,Demand_current!$D$2:$AY$2&amp;Demand_current!$D$3:$AY$3, 0))/1000</f>
        <v>2.593</v>
      </c>
      <c r="DE16" s="229">
        <f t="array" ref="DE16">INDEX(Demand_current!$D$4:$AY$138, MATCH($A16, Demand_current!$B$4:$B$138, 0), MATCH(DE$4&amp;DE$5,Demand_current!$D$2:$AY$2&amp;Demand_current!$D$3:$AY$3, 0))/1000</f>
        <v>0</v>
      </c>
      <c r="DF16" s="229">
        <f t="array" ref="DF16">INDEX(Demand_current!$D$4:$AY$138, MATCH($A16, Demand_current!$B$4:$B$138, 0), MATCH(DF$4&amp;DF$5,Demand_current!$D$2:$AY$2&amp;Demand_current!$D$3:$AY$3, 0))/1000</f>
        <v>3.9329999999999998</v>
      </c>
      <c r="DG16" s="229">
        <f t="array" ref="DG16">INDEX(Demand_current!$D$4:$AY$138, MATCH($A16, Demand_current!$B$4:$B$138, 0), MATCH(DG$4&amp;DG$5,Demand_current!$D$2:$AY$2&amp;Demand_current!$D$3:$AY$3, 0))/1000</f>
        <v>4.3280000000000003</v>
      </c>
      <c r="DH16" s="229">
        <f t="array" ref="DH16">INDEX(Demand_current!$D$4:$AY$138, MATCH($A16, Demand_current!$B$4:$B$138, 0), MATCH(DH$4&amp;DH$5,Demand_current!$D$2:$AY$2&amp;Demand_current!$D$3:$AY$3, 0))/1000</f>
        <v>3.581</v>
      </c>
      <c r="DI16" s="229">
        <f t="array" ref="DI16">INDEX(Demand_current!$D$4:$AY$138, MATCH($A16, Demand_current!$B$4:$B$138, 0), MATCH(DI$4&amp;DI$5,Demand_current!$D$2:$AY$2&amp;Demand_current!$D$3:$AY$3, 0))/1000</f>
        <v>5.0990000000000002</v>
      </c>
      <c r="DJ16" s="227">
        <f>$BT16*(VLOOKUP(DJ$4, Rates_current!$G$6:$Q$29, 10, FALSE)+VLOOKUP(DJ$4, Rates_current!$G$6:$Q$29, 11, FALSE))</f>
        <v>13140.423008096399</v>
      </c>
      <c r="DK16" s="227">
        <f>$BT16*(VLOOKUP(DK$4, Rates_current!$G$6:$Q$29, 10, FALSE)+VLOOKUP(DK$4, Rates_current!$G$6:$Q$29, 11, FALSE))</f>
        <v>16692.436454870101</v>
      </c>
      <c r="DL16" s="227">
        <f>$BT16*(VLOOKUP(DL$4, Rates_current!$G$6:$Q$29, 10, FALSE)+VLOOKUP(DL$4, Rates_current!$G$6:$Q$29, 11, FALSE))</f>
        <v>16490.852697796403</v>
      </c>
      <c r="DM16" s="227">
        <f>$BT16*(VLOOKUP(DM$4, Rates_current!$G$6:$Q$29, 10, FALSE)+VLOOKUP(DM$4, Rates_current!$G$6:$Q$29, 11, FALSE))</f>
        <v>13746.130134596402</v>
      </c>
      <c r="DN16" s="227">
        <f>$BT16*(VLOOKUP(DN$4, Rates_current!$G$6:$Q$29, 10, FALSE)+VLOOKUP(DN$4, Rates_current!$G$6:$Q$29, 11, FALSE))</f>
        <v>12452.56785112</v>
      </c>
      <c r="DO16" s="227">
        <f>$BT16*(VLOOKUP(DO$4, Rates_current!$G$6:$Q$29, 10, FALSE)+VLOOKUP(DO$4, Rates_current!$G$6:$Q$29, 11, FALSE))</f>
        <v>13851.2114091083</v>
      </c>
      <c r="DP16" s="227">
        <f>$BT16*(VLOOKUP(DP$4, Rates_current!$G$6:$Q$29, 10, FALSE)+VLOOKUP(DP$4, Rates_current!$G$6:$Q$29, 11, FALSE))</f>
        <v>11277.671276232</v>
      </c>
      <c r="DQ16" s="227">
        <f>$BT16*(VLOOKUP(DQ$4, Rates_current!$G$6:$Q$29, 10, FALSE)+VLOOKUP(DQ$4, Rates_current!$G$6:$Q$29, 11, FALSE))</f>
        <v>15209.621403046402</v>
      </c>
      <c r="DR16" s="227">
        <f>$BT16*(VLOOKUP(DR$4, Rates_current!$G$6:$Q$29, 10, FALSE)+VLOOKUP(DR$4, Rates_current!$G$6:$Q$29, 11, FALSE))</f>
        <v>19406.442482282004</v>
      </c>
      <c r="DS16" s="227">
        <f>$BT16*(VLOOKUP(DS$4, Rates_current!$G$6:$Q$29, 10, FALSE)+VLOOKUP(DS$4, Rates_current!$G$6:$Q$29, 11, FALSE))</f>
        <v>15215.266245696403</v>
      </c>
      <c r="DT16" s="227">
        <f>$BT16*(VLOOKUP(DT$4, Rates_current!$G$6:$Q$29, 10, FALSE)+VLOOKUP(DT$4, Rates_current!$G$6:$Q$29, 11, FALSE))</f>
        <v>14816.639609746402</v>
      </c>
      <c r="DU16" s="227">
        <f>$BT16*(VLOOKUP(DU$4, Rates_current!$G$6:$Q$29, 10, FALSE)+VLOOKUP(DU$4, Rates_current!$G$6:$Q$29, 11, FALSE))</f>
        <v>13302.190464132002</v>
      </c>
      <c r="DV16" s="229">
        <f>IF(D16=0,IF(C16=0,MAX(0,DY16 - (VLOOKUP($A16,TOCA_current!$A$2:$AI$137,MATCH("RHWM 2020",TOCA_current!$A$2:$AI$2,0),FALSE)*$BT$2)), 0),0)</f>
        <v>0</v>
      </c>
      <c r="DW16" s="266">
        <f>VLOOKUP($A16,REP_current!$A$1:$D$135,MATCH("FY "&amp;$BT$1&amp; " Total Refund",REP_current!$A$1:$D$1,0),0)</f>
        <v>0</v>
      </c>
      <c r="DX16" s="295">
        <f>MIN(VLOOKUP($A16,TOCA_current!$A$2:$AI$137,MATCH("TRL - NLSL - Existing Resource "&amp;$BT$1,TOCA_current!$A$2:$AI$2,0),FALSE)*$BT$2, VLOOKUP($A16,TOCA_current!$A$2:$AI$137,MATCH("RHWM 2020",TOCA_current!$A$2:$AI$2,0),FALSE)*$BT$2)</f>
        <v>175600.94399999999</v>
      </c>
      <c r="DY16" s="240">
        <f>SUM(BZ16:CW16)+(BT16*RT1SC!$C$4*$BT$2)</f>
        <v>175478.45962782719</v>
      </c>
      <c r="DZ16" s="271">
        <f>VLOOKUP($A16,TOCA_current!$A$2:$AI$137,MATCH("Above RHWM Not Served with LS "&amp;$BT$1,TOCA_current!$A$2:$AI$2,0),FALSE)*$BT$2</f>
        <v>0</v>
      </c>
      <c r="EA16" s="244">
        <f t="shared" si="13"/>
        <v>-122.4843721727957</v>
      </c>
      <c r="EB16" s="295">
        <f>(VLOOKUP($A16,TOCA_current!$A$2:$AI$137,MATCH("RHWM 2020",TOCA_current!$A$2:$AI$2,0),FALSE)*$BT$2) - $DX16</f>
        <v>8485.3440000000119</v>
      </c>
      <c r="EC16" s="240">
        <f t="shared" si="14"/>
        <v>0</v>
      </c>
      <c r="ED16" s="240">
        <f t="shared" si="15"/>
        <v>122.4843721727957</v>
      </c>
      <c r="EE16" s="240">
        <f t="shared" si="16"/>
        <v>0</v>
      </c>
      <c r="EF16" s="240">
        <f t="shared" si="17"/>
        <v>122.4843721727957</v>
      </c>
    </row>
    <row r="17" spans="1:136">
      <c r="A17" s="166">
        <v>10059</v>
      </c>
      <c r="B17" s="167" t="s">
        <v>18</v>
      </c>
      <c r="C17" s="240">
        <v>0</v>
      </c>
      <c r="D17" s="240">
        <v>0</v>
      </c>
      <c r="E17" s="150">
        <f>VLOOKUP($A17,TOCA_previous!$A$2:$AI$137,MATCH(E$4,TOCA_previous!$A$2:$AI$2,0),FALSE)</f>
        <v>1.075E-3</v>
      </c>
      <c r="F17" s="151">
        <f>VLOOKUP($A17,TOCA_previous!$A$2:$AI$137,MATCH(F$4,TOCA_previous!$A$2:$AI$2,0),FALSE)</f>
        <v>1.075E-3</v>
      </c>
      <c r="G17" s="151">
        <f t="shared" si="2"/>
        <v>0</v>
      </c>
      <c r="H17" s="151">
        <f>VLOOKUP($A17,TOCA_previous!$A$2:$AI$137,MATCH(H$4,TOCA_previous!$A$2:$AI$2,0),FALSE)</f>
        <v>0</v>
      </c>
      <c r="I17" s="151">
        <f t="shared" si="3"/>
        <v>0</v>
      </c>
      <c r="J17" s="151">
        <f t="shared" si="4"/>
        <v>0</v>
      </c>
      <c r="K17" s="226">
        <f>VLOOKUP(A17, IRD!$A$5:$C$139, 3, FALSE)</f>
        <v>0</v>
      </c>
      <c r="L17" s="227">
        <f t="array" ref="L17">IF($G17=0, INDEX(LS_previous!$D$4:$AY$138, MATCH('Staging Table'!$A17, LS_previous!$B$4:$B$138, 0), MATCH(L$4&amp;L$5, LS_previous!$D$2:$AY$2&amp;LS_previous!$D$3:$AY$3, 0)),SUM(VLOOKUP($A17, LS_previous!$B$4:$AY$138, LS_previous!D$149, FALSE), VLOOKUP('Staging Table'!$A17, LS_previous!$B$4:$AY$138,LS_previous!AB$149, FALSE))/2)</f>
        <v>55</v>
      </c>
      <c r="M17" s="227">
        <f t="array" ref="M17">IF($G17=0, INDEX(LS_previous!$D$4:$AY$138, MATCH('Staging Table'!$A17, LS_previous!$B$4:$B$138, 0), MATCH(M$4&amp;M$5, LS_previous!$D$2:$AY$2&amp;LS_previous!$D$3:$AY$3, 0)),SUM(VLOOKUP($A17, LS_previous!$B$4:$AY$138, LS_previous!E$149, FALSE), VLOOKUP('Staging Table'!$A17, LS_previous!$B$4:$AY$138,LS_previous!AC$149, FALSE))/2)</f>
        <v>35</v>
      </c>
      <c r="N17" s="227">
        <f t="array" ref="N17">IF($G17=0, INDEX(LS_previous!$D$4:$AY$138, MATCH('Staging Table'!$A17, LS_previous!$B$4:$B$138, 0), MATCH(N$4&amp;N$5, LS_previous!$D$2:$AY$2&amp;LS_previous!$D$3:$AY$3, 0)),SUM(VLOOKUP($A17, LS_previous!$B$4:$AY$138, LS_previous!F$149, FALSE), VLOOKUP('Staging Table'!$A17, LS_previous!$B$4:$AY$138,LS_previous!AD$149, FALSE))/2)</f>
        <v>-23</v>
      </c>
      <c r="O17" s="227">
        <f t="array" ref="O17">IF($G17=0, INDEX(LS_previous!$D$4:$AY$138, MATCH('Staging Table'!$A17, LS_previous!$B$4:$B$138, 0), MATCH(O$4&amp;O$5, LS_previous!$D$2:$AY$2&amp;LS_previous!$D$3:$AY$3, 0)),SUM(VLOOKUP($A17, LS_previous!$B$4:$AY$138, LS_previous!G$149, FALSE), VLOOKUP('Staging Table'!$A17, LS_previous!$B$4:$AY$138,LS_previous!AE$149, FALSE))/2)</f>
        <v>206</v>
      </c>
      <c r="P17" s="227">
        <f t="array" ref="P17">IF($G17=0, INDEX(LS_previous!$D$4:$AY$138, MATCH('Staging Table'!$A17, LS_previous!$B$4:$B$138, 0), MATCH(P$4&amp;P$5, LS_previous!$D$2:$AY$2&amp;LS_previous!$D$3:$AY$3, 0)),SUM(VLOOKUP($A17, LS_previous!$B$4:$AY$138, LS_previous!H$149, FALSE), VLOOKUP('Staging Table'!$A17, LS_previous!$B$4:$AY$138,LS_previous!AF$149, FALSE))/2)</f>
        <v>232</v>
      </c>
      <c r="Q17" s="227">
        <f t="array" ref="Q17">IF($G17=0, INDEX(LS_previous!$D$4:$AY$138, MATCH('Staging Table'!$A17, LS_previous!$B$4:$B$138, 0), MATCH(Q$4&amp;Q$5, LS_previous!$D$2:$AY$2&amp;LS_previous!$D$3:$AY$3, 0)),SUM(VLOOKUP($A17, LS_previous!$B$4:$AY$138, LS_previous!I$149, FALSE), VLOOKUP('Staging Table'!$A17, LS_previous!$B$4:$AY$138,LS_previous!AG$149, FALSE))/2)</f>
        <v>544</v>
      </c>
      <c r="R17" s="227">
        <f t="array" ref="R17">IF($G17=0, INDEX(LS_previous!$D$4:$AY$138, MATCH('Staging Table'!$A17, LS_previous!$B$4:$B$138, 0), MATCH(R$4&amp;R$5, LS_previous!$D$2:$AY$2&amp;LS_previous!$D$3:$AY$3, 0)),SUM(VLOOKUP($A17, LS_previous!$B$4:$AY$138, LS_previous!J$149, FALSE), VLOOKUP('Staging Table'!$A17, LS_previous!$B$4:$AY$138,LS_previous!AH$149, FALSE))/2)</f>
        <v>1246</v>
      </c>
      <c r="S17" s="227">
        <f t="array" ref="S17">IF($G17=0, INDEX(LS_previous!$D$4:$AY$138, MATCH('Staging Table'!$A17, LS_previous!$B$4:$B$138, 0), MATCH(S$4&amp;S$5, LS_previous!$D$2:$AY$2&amp;LS_previous!$D$3:$AY$3, 0)),SUM(VLOOKUP($A17, LS_previous!$B$4:$AY$138, LS_previous!K$149, FALSE), VLOOKUP('Staging Table'!$A17, LS_previous!$B$4:$AY$138,LS_previous!AI$149, FALSE))/2)</f>
        <v>900</v>
      </c>
      <c r="T17" s="227">
        <f t="array" ref="T17">IF($G17=0, INDEX(LS_previous!$D$4:$AY$138, MATCH('Staging Table'!$A17, LS_previous!$B$4:$B$138, 0), MATCH(T$4&amp;T$5, LS_previous!$D$2:$AY$2&amp;LS_previous!$D$3:$AY$3, 0)),SUM(VLOOKUP($A17, LS_previous!$B$4:$AY$138, LS_previous!L$149, FALSE), VLOOKUP('Staging Table'!$A17, LS_previous!$B$4:$AY$138,LS_previous!AJ$149, FALSE))/2)</f>
        <v>1212</v>
      </c>
      <c r="U17" s="227">
        <f t="array" ref="U17">IF($G17=0, INDEX(LS_previous!$D$4:$AY$138, MATCH('Staging Table'!$A17, LS_previous!$B$4:$B$138, 0), MATCH(U$4&amp;U$5, LS_previous!$D$2:$AY$2&amp;LS_previous!$D$3:$AY$3, 0)),SUM(VLOOKUP($A17, LS_previous!$B$4:$AY$138, LS_previous!M$149, FALSE), VLOOKUP('Staging Table'!$A17, LS_previous!$B$4:$AY$138,LS_previous!AK$149, FALSE))/2)</f>
        <v>755</v>
      </c>
      <c r="V17" s="227">
        <f t="array" ref="V17">IF($G17=0, INDEX(LS_previous!$D$4:$AY$138, MATCH('Staging Table'!$A17, LS_previous!$B$4:$B$138, 0), MATCH(V$4&amp;V$5, LS_previous!$D$2:$AY$2&amp;LS_previous!$D$3:$AY$3, 0)),SUM(VLOOKUP($A17, LS_previous!$B$4:$AY$138, LS_previous!N$149, FALSE), VLOOKUP('Staging Table'!$A17, LS_previous!$B$4:$AY$138,LS_previous!AL$149, FALSE))/2)</f>
        <v>486</v>
      </c>
      <c r="W17" s="227">
        <f t="array" ref="W17">IF($G17=0, INDEX(LS_previous!$D$4:$AY$138, MATCH('Staging Table'!$A17, LS_previous!$B$4:$B$138, 0), MATCH(W$4&amp;W$5, LS_previous!$D$2:$AY$2&amp;LS_previous!$D$3:$AY$3, 0)),SUM(VLOOKUP($A17, LS_previous!$B$4:$AY$138, LS_previous!O$149, FALSE), VLOOKUP('Staging Table'!$A17, LS_previous!$B$4:$AY$138,LS_previous!AM$149, FALSE))/2)</f>
        <v>524</v>
      </c>
      <c r="X17" s="227">
        <f t="array" ref="X17">IF($G17=0, INDEX(LS_previous!$D$4:$AY$138, MATCH('Staging Table'!$A17, LS_previous!$B$4:$B$138, 0), MATCH(X$4&amp;X$5, LS_previous!$D$2:$AY$2&amp;LS_previous!$D$3:$AY$3, 0)),SUM(VLOOKUP($A17, LS_previous!$B$4:$AY$138, LS_previous!P$149, FALSE), VLOOKUP('Staging Table'!$A17, LS_previous!$B$4:$AY$138,LS_previous!AN$149, FALSE))/2)</f>
        <v>372</v>
      </c>
      <c r="Y17" s="227">
        <f t="array" ref="Y17">IF($G17=0, INDEX(LS_previous!$D$4:$AY$138, MATCH('Staging Table'!$A17, LS_previous!$B$4:$B$138, 0), MATCH(Y$4&amp;Y$5, LS_previous!$D$2:$AY$2&amp;LS_previous!$D$3:$AY$3, 0)),SUM(VLOOKUP($A17, LS_previous!$B$4:$AY$138, LS_previous!Q$149, FALSE), VLOOKUP('Staging Table'!$A17, LS_previous!$B$4:$AY$138,LS_previous!AO$149, FALSE))/2)</f>
        <v>354</v>
      </c>
      <c r="Z17" s="227">
        <f t="array" ref="Z17">IF($G17=0, INDEX(LS_previous!$D$4:$AY$138, MATCH('Staging Table'!$A17, LS_previous!$B$4:$B$138, 0), MATCH(Z$4&amp;Z$5, LS_previous!$D$2:$AY$2&amp;LS_previous!$D$3:$AY$3, 0)),SUM(VLOOKUP($A17, LS_previous!$B$4:$AY$138, LS_previous!R$149, FALSE), VLOOKUP('Staging Table'!$A17, LS_previous!$B$4:$AY$138,LS_previous!AP$149, FALSE))/2)</f>
        <v>-1811</v>
      </c>
      <c r="AA17" s="227">
        <f t="array" ref="AA17">IF($G17=0, INDEX(LS_previous!$D$4:$AY$138, MATCH('Staging Table'!$A17, LS_previous!$B$4:$B$138, 0), MATCH(AA$4&amp;AA$5, LS_previous!$D$2:$AY$2&amp;LS_previous!$D$3:$AY$3, 0)),SUM(VLOOKUP($A17, LS_previous!$B$4:$AY$138, LS_previous!S$149, FALSE), VLOOKUP('Staging Table'!$A17, LS_previous!$B$4:$AY$138,LS_previous!AQ$149, FALSE))/2)</f>
        <v>-682</v>
      </c>
      <c r="AB17" s="227">
        <f t="array" ref="AB17">IF($G17=0, INDEX(LS_previous!$D$4:$AY$138, MATCH('Staging Table'!$A17, LS_previous!$B$4:$B$138, 0), MATCH(AB$4&amp;AB$5, LS_previous!$D$2:$AY$2&amp;LS_previous!$D$3:$AY$3, 0)),SUM(VLOOKUP($A17, LS_previous!$B$4:$AY$138, LS_previous!T$149, FALSE), VLOOKUP('Staging Table'!$A17, LS_previous!$B$4:$AY$138,LS_previous!AR$149, FALSE))/2)</f>
        <v>-836</v>
      </c>
      <c r="AC17" s="227">
        <f t="array" ref="AC17">IF($G17=0, INDEX(LS_previous!$D$4:$AY$138, MATCH('Staging Table'!$A17, LS_previous!$B$4:$B$138, 0), MATCH(AC$4&amp;AC$5, LS_previous!$D$2:$AY$2&amp;LS_previous!$D$3:$AY$3, 0)),SUM(VLOOKUP($A17, LS_previous!$B$4:$AY$138, LS_previous!U$149, FALSE), VLOOKUP('Staging Table'!$A17, LS_previous!$B$4:$AY$138,LS_previous!AS$149, FALSE))/2)</f>
        <v>-334</v>
      </c>
      <c r="AD17" s="227">
        <f t="array" ref="AD17">IF($G17=0, INDEX(LS_previous!$D$4:$AY$138, MATCH('Staging Table'!$A17, LS_previous!$B$4:$B$138, 0), MATCH(AD$4&amp;AD$5, LS_previous!$D$2:$AY$2&amp;LS_previous!$D$3:$AY$3, 0)),SUM(VLOOKUP($A17, LS_previous!$B$4:$AY$138, LS_previous!V$149, FALSE), VLOOKUP('Staging Table'!$A17, LS_previous!$B$4:$AY$138,LS_previous!AT$149, FALSE))/2)</f>
        <v>-463</v>
      </c>
      <c r="AE17" s="227">
        <f t="array" ref="AE17">IF($G17=0, INDEX(LS_previous!$D$4:$AY$138, MATCH('Staging Table'!$A17, LS_previous!$B$4:$B$138, 0), MATCH(AE$4&amp;AE$5, LS_previous!$D$2:$AY$2&amp;LS_previous!$D$3:$AY$3, 0)),SUM(VLOOKUP($A17, LS_previous!$B$4:$AY$138, LS_previous!W$149, FALSE), VLOOKUP('Staging Table'!$A17, LS_previous!$B$4:$AY$138,LS_previous!AU$149, FALSE))/2)</f>
        <v>-27</v>
      </c>
      <c r="AF17" s="227">
        <f t="array" ref="AF17">IF($G17=0, INDEX(LS_previous!$D$4:$AY$138, MATCH('Staging Table'!$A17, LS_previous!$B$4:$B$138, 0), MATCH(AF$4&amp;AF$5, LS_previous!$D$2:$AY$2&amp;LS_previous!$D$3:$AY$3, 0)),SUM(VLOOKUP($A17, LS_previous!$B$4:$AY$138, LS_previous!X$149, FALSE), VLOOKUP('Staging Table'!$A17, LS_previous!$B$4:$AY$138,LS_previous!AV$149, FALSE))/2)</f>
        <v>-871</v>
      </c>
      <c r="AG17" s="227">
        <f t="array" ref="AG17">IF($G17=0, INDEX(LS_previous!$D$4:$AY$138, MATCH('Staging Table'!$A17, LS_previous!$B$4:$B$138, 0), MATCH(AG$4&amp;AG$5, LS_previous!$D$2:$AY$2&amp;LS_previous!$D$3:$AY$3, 0)),SUM(VLOOKUP($A17, LS_previous!$B$4:$AY$138, LS_previous!Y$149, FALSE), VLOOKUP('Staging Table'!$A17, LS_previous!$B$4:$AY$138,LS_previous!AW$149, FALSE))/2)</f>
        <v>-125</v>
      </c>
      <c r="AH17" s="227">
        <f t="array" ref="AH17">IF($G17=0, INDEX(LS_previous!$D$4:$AY$138, MATCH('Staging Table'!$A17, LS_previous!$B$4:$B$138, 0), MATCH(AH$4&amp;AH$5, LS_previous!$D$2:$AY$2&amp;LS_previous!$D$3:$AY$3, 0)),SUM(VLOOKUP($A17, LS_previous!$B$4:$AY$138, LS_previous!Z$149, FALSE), VLOOKUP('Staging Table'!$A17, LS_previous!$B$4:$AY$138,LS_previous!AX$149, FALSE))/2)</f>
        <v>-328</v>
      </c>
      <c r="AI17" s="227">
        <f t="array" ref="AI17">IF($G17=0, INDEX(LS_previous!$D$4:$AY$138, MATCH('Staging Table'!$A17, LS_previous!$B$4:$B$138, 0), MATCH(AI$4&amp;AI$5, LS_previous!$D$2:$AY$2&amp;LS_previous!$D$3:$AY$3, 0)),SUM(VLOOKUP($A17, LS_previous!$B$4:$AY$138, LS_previous!AA$149, FALSE), VLOOKUP('Staging Table'!$A17, LS_previous!$B$4:$AY$138,LS_previous!AY$149, FALSE))/2)</f>
        <v>-66</v>
      </c>
      <c r="AJ17" s="424">
        <f t="array" ref="AJ17">INDEX(Demand_previous!$D$4:$AY$138, MATCH('Staging Table'!$A17, Demand_previous!$B$4:$B$138, 0), MATCH(AJ$4&amp;AJ$5,Demand_previous!$D$2:$AY$2&amp;Demand_previous!$D$3:$AY$3, 0))/1000</f>
        <v>0</v>
      </c>
      <c r="AK17" s="424">
        <f t="array" ref="AK17">INDEX(Demand_previous!$D$4:$AY$138, MATCH('Staging Table'!$A17, Demand_previous!$B$4:$B$138, 0), MATCH(AK$4&amp;AK$5,Demand_previous!$D$2:$AY$2&amp;Demand_previous!$D$3:$AY$3, 0))/1000</f>
        <v>1.099</v>
      </c>
      <c r="AL17" s="424">
        <f t="array" ref="AL17">INDEX(Demand_previous!$D$4:$AY$138, MATCH('Staging Table'!$A17, Demand_previous!$B$4:$B$138, 0), MATCH(AL$4&amp;AL$5,Demand_previous!$D$2:$AY$2&amp;Demand_previous!$D$3:$AY$3, 0))/1000</f>
        <v>2.1869999999999998</v>
      </c>
      <c r="AM17" s="424">
        <f t="array" ref="AM17">INDEX(Demand_previous!$D$4:$AY$138, MATCH('Staging Table'!$A17, Demand_previous!$B$4:$B$138, 0), MATCH(AM$4&amp;AM$5,Demand_previous!$D$2:$AY$2&amp;Demand_previous!$D$3:$AY$3, 0))/1000</f>
        <v>2.919</v>
      </c>
      <c r="AN17" s="424">
        <f t="array" ref="AN17">INDEX(Demand_previous!$D$4:$AY$138, MATCH('Staging Table'!$A17, Demand_previous!$B$4:$B$138, 0), MATCH(AN$4&amp;AN$5,Demand_previous!$D$2:$AY$2&amp;Demand_previous!$D$3:$AY$3, 0))/1000</f>
        <v>1.5369999999999999</v>
      </c>
      <c r="AO17" s="424">
        <f t="array" ref="AO17">INDEX(Demand_previous!$D$4:$AY$138, MATCH('Staging Table'!$A17, Demand_previous!$B$4:$B$138, 0), MATCH(AO$4&amp;AO$5,Demand_previous!$D$2:$AY$2&amp;Demand_previous!$D$3:$AY$3, 0))/1000</f>
        <v>3.286</v>
      </c>
      <c r="AP17" s="424">
        <f t="array" ref="AP17">INDEX(Demand_previous!$D$4:$AY$138, MATCH('Staging Table'!$A17, Demand_previous!$B$4:$B$138, 0), MATCH(AP$4&amp;AP$5,Demand_previous!$D$2:$AY$2&amp;Demand_previous!$D$3:$AY$3, 0))/1000</f>
        <v>1.0189999999999999</v>
      </c>
      <c r="AQ17" s="424">
        <f t="array" ref="AQ17">INDEX(Demand_previous!$D$4:$AY$138, MATCH('Staging Table'!$A17, Demand_previous!$B$4:$B$138, 0), MATCH(AQ$4&amp;AQ$5,Demand_previous!$D$2:$AY$2&amp;Demand_previous!$D$3:$AY$3, 0))/1000</f>
        <v>0</v>
      </c>
      <c r="AR17" s="424">
        <f t="array" ref="AR17">INDEX(Demand_previous!$D$4:$AY$138, MATCH('Staging Table'!$A17, Demand_previous!$B$4:$B$138, 0), MATCH(AR$4&amp;AR$5,Demand_previous!$D$2:$AY$2&amp;Demand_previous!$D$3:$AY$3, 0))/1000</f>
        <v>3.7999999999999999E-2</v>
      </c>
      <c r="AS17" s="424">
        <f t="array" ref="AS17">INDEX(Demand_previous!$D$4:$AY$138, MATCH('Staging Table'!$A17, Demand_previous!$B$4:$B$138, 0), MATCH(AS$4&amp;AS$5,Demand_previous!$D$2:$AY$2&amp;Demand_previous!$D$3:$AY$3, 0))/1000</f>
        <v>9.0999999999999998E-2</v>
      </c>
      <c r="AT17" s="424">
        <f t="array" ref="AT17">INDEX(Demand_previous!$D$4:$AY$138, MATCH('Staging Table'!$A17, Demand_previous!$B$4:$B$138, 0), MATCH(AT$4&amp;AT$5,Demand_previous!$D$2:$AY$2&amp;Demand_previous!$D$3:$AY$3, 0))/1000</f>
        <v>0.60099999999999998</v>
      </c>
      <c r="AU17" s="424">
        <f t="array" ref="AU17">INDEX(Demand_previous!$D$4:$AY$138, MATCH('Staging Table'!$A17, Demand_previous!$B$4:$B$138, 0), MATCH(AU$4&amp;AU$5,Demand_previous!$D$2:$AY$2&amp;Demand_previous!$D$3:$AY$3, 0))/1000</f>
        <v>0</v>
      </c>
      <c r="AV17" s="227">
        <f>$F17*(VLOOKUP(AV$4, Rates_previous!$G$6:$Q$29, 10, FALSE)+VLOOKUP(AV$4, Rates_previous!$G$6:$Q$29, 11, FALSE))</f>
        <v>5040.5005945687126</v>
      </c>
      <c r="AW17" s="227">
        <f>$F17*(VLOOKUP(AW$4, Rates_previous!$G$6:$Q$29, 10, FALSE)+VLOOKUP(AW$4, Rates_previous!$G$6:$Q$29, 11, FALSE))</f>
        <v>6229.6756365393112</v>
      </c>
      <c r="AX17" s="227">
        <f>$F17*(VLOOKUP(AX$4, Rates_previous!$G$6:$Q$29, 10, FALSE)+VLOOKUP(AX$4, Rates_previous!$G$6:$Q$29, 11, FALSE))</f>
        <v>6154.864683196437</v>
      </c>
      <c r="AY17" s="227">
        <f>$F17*(VLOOKUP(AY$4, Rates_previous!$G$6:$Q$29, 10, FALSE)+VLOOKUP(AY$4, Rates_previous!$G$6:$Q$29, 11, FALSE))</f>
        <v>5258.7452162970003</v>
      </c>
      <c r="AZ17" s="227">
        <f>$F17*(VLOOKUP(AZ$4, Rates_previous!$G$6:$Q$29, 10, FALSE)+VLOOKUP(AZ$4, Rates_previous!$G$6:$Q$29, 11, FALSE))</f>
        <v>4311.1510325173376</v>
      </c>
      <c r="BA17" s="227">
        <f>$F17*(VLOOKUP(BA$4, Rates_previous!$G$6:$Q$29, 10, FALSE)+VLOOKUP(BA$4, Rates_previous!$G$6:$Q$29, 11, FALSE))</f>
        <v>5104.2462269620755</v>
      </c>
      <c r="BB17" s="227">
        <f>$F17*(VLOOKUP(BB$4, Rates_previous!$G$6:$Q$29, 10, FALSE)+VLOOKUP(BB$4, Rates_previous!$G$6:$Q$29, 11, FALSE))</f>
        <v>4905.9230820207995</v>
      </c>
      <c r="BC17" s="227">
        <f>$F17*(VLOOKUP(BC$4, Rates_previous!$G$6:$Q$29, 10, FALSE)+VLOOKUP(BC$4, Rates_previous!$G$6:$Q$29, 11, FALSE))</f>
        <v>7199.0949662691501</v>
      </c>
      <c r="BD17" s="227">
        <f>$F17*(VLOOKUP(BD$4, Rates_previous!$G$6:$Q$29, 10, FALSE)+VLOOKUP(BD$4, Rates_previous!$G$6:$Q$29, 11, FALSE))</f>
        <v>5679.8956539870496</v>
      </c>
      <c r="BE17" s="227">
        <f>$F17*(VLOOKUP(BE$4, Rates_previous!$G$6:$Q$29, 10, FALSE)+VLOOKUP(BE$4, Rates_previous!$G$6:$Q$29, 11, FALSE))</f>
        <v>4987.425129254163</v>
      </c>
      <c r="BF17" s="227">
        <f>$F17*(VLOOKUP(BF$4, Rates_previous!$G$6:$Q$29, 10, FALSE)+VLOOKUP(BF$4, Rates_previous!$G$6:$Q$29, 11, FALSE))</f>
        <v>5523.7729658697253</v>
      </c>
      <c r="BG17" s="227">
        <f>$F17*(VLOOKUP(BG$4, Rates_previous!$G$6:$Q$29, 10, FALSE)+VLOOKUP(BG$4, Rates_previous!$G$6:$Q$29, 11, FALSE))</f>
        <v>5004.3186403944619</v>
      </c>
      <c r="BH17" s="229">
        <f>IF($D17=0,IF(C17=0, MAX(BK17 - (VLOOKUP($A17,TOCA_previous!$A$2:$AI$137,MATCH("RHWM 2018",TOCA_previous!$A$2:$AI$2,0),FALSE)*$F$2*TOCA_previous!C14),0),0), 0)</f>
        <v>914.45478199998615</v>
      </c>
      <c r="BI17" s="266">
        <f>VLOOKUP($A17,REP_previous!$A$1:$D$135,MATCH("FY "&amp;$F$1&amp; " Total Refund",REP_previous!$A$1:$D$1,0),0)</f>
        <v>98196.636354647344</v>
      </c>
      <c r="BJ17" s="241">
        <f>MIN(VLOOKUP($A17,TOCA_previous!$A$2:$AI$137,MATCH("TRL - NLSL - Existing Resource "&amp;$F$1,TOCA_previous!$A$2:$AI$2,0),FALSE)*$F$2,(VLOOKUP($A17,TOCA_previous!$A$2:$AI$137,MATCH("RHWM 2018",TOCA_previous!$A$2:$AI$2,0),FALSE)*$F$2))</f>
        <v>65402.16</v>
      </c>
      <c r="BK17" s="229">
        <f>SUM(L17:AI17)+(F17*RT1SC!$C$3*$F$2)</f>
        <v>66754.61478199999</v>
      </c>
      <c r="BL17" s="241">
        <f>VLOOKUP($A17,TOCA_previous!$A$2:$AI$137,MATCH("Above RHWM Not Served with LS "&amp;$F$1,TOCA_previous!$A$2:$AI$2,0),FALSE)*$F$2</f>
        <v>0</v>
      </c>
      <c r="BM17" s="151">
        <f t="shared" si="5"/>
        <v>1352.4547819999862</v>
      </c>
      <c r="BN17" s="242">
        <f>(VLOOKUP($A17,TOCA_previous!$A$2:$AI$137,MATCH("RHWM 2018",TOCA_previous!$A$2:$AI$2,0),FALSE)*$F$2) - $BJ17</f>
        <v>438</v>
      </c>
      <c r="BO17" s="151">
        <f t="shared" si="6"/>
        <v>-438</v>
      </c>
      <c r="BP17" s="243">
        <f t="shared" si="7"/>
        <v>0</v>
      </c>
      <c r="BQ17" s="237">
        <f t="shared" si="8"/>
        <v>0</v>
      </c>
      <c r="BR17" s="242">
        <f t="shared" si="9"/>
        <v>-438</v>
      </c>
      <c r="BS17" s="151">
        <f>VLOOKUP($A17,TOCA_current!$A$2:$AI$137,MATCH(BS$4,TOCA_current!$A$2:$AI$2,0),FALSE)</f>
        <v>1.0625999999999999E-3</v>
      </c>
      <c r="BT17" s="151">
        <f>VLOOKUP($A17,TOCA_current!$A$2:$AI$137,MATCH(BT$4,TOCA_current!$A$2:$AI$2,0),FALSE)</f>
        <v>1.0625999999999999E-3</v>
      </c>
      <c r="BU17" s="236">
        <f t="shared" si="10"/>
        <v>0</v>
      </c>
      <c r="BV17" s="151">
        <f>VLOOKUP($A17,TOCA_current!A13:BG148,MATCH(BV$4,TOCA_current!$A$2:$BG$2,0),FALSE)</f>
        <v>0</v>
      </c>
      <c r="BW17" s="151">
        <f t="shared" si="11"/>
        <v>0</v>
      </c>
      <c r="BX17" s="151">
        <f t="shared" si="12"/>
        <v>0</v>
      </c>
      <c r="BY17" s="226">
        <f>VLOOKUP($A17,IRD!$A$4:$G$139, 7, FALSE)</f>
        <v>0</v>
      </c>
      <c r="BZ17" s="227">
        <f t="array" ref="BZ17">IF($BU17=0, INDEX(LS_current!$D$4:$AY$138, MATCH('Staging Table'!$A17, LS_current!$B$4:$B$138, 0), MATCH(BZ$4&amp;BZ$5, LS_current!$D$2:$AY$2&amp;LS_current!$D$3:$AY$3, 0)),SUM(VLOOKUP($A17, LS_current!$B$4:$AY$138, LS_current!D$148, FALSE), VLOOKUP($A17, LS_current!$B$4:$AY$138,LS_current!D$148, FALSE))/2)</f>
        <v>136</v>
      </c>
      <c r="CA17" s="227">
        <f t="array" ref="CA17">IF($BU17=0, INDEX(LS_current!$D$4:$AY$138, MATCH('Staging Table'!$A17, LS_current!$B$4:$B$138, 0), MATCH(CA$4&amp;CA$5, LS_current!$D$2:$AY$2&amp;LS_current!$D$3:$AY$3, 0)),SUM(VLOOKUP($A17, LS_current!$B$4:$AY$138, LS_current!E$148, FALSE), VLOOKUP($A17, LS_current!$B$4:$AY$138,LS_current!E$148, FALSE))/2)</f>
        <v>88</v>
      </c>
      <c r="CB17" s="227">
        <f t="array" ref="CB17">IF($BU17=0, INDEX(LS_current!$D$4:$AY$138, MATCH('Staging Table'!$A17, LS_current!$B$4:$B$138, 0), MATCH(CB$4&amp;CB$5, LS_current!$D$2:$AY$2&amp;LS_current!$D$3:$AY$3, 0)),SUM(VLOOKUP($A17, LS_current!$B$4:$AY$138, LS_current!F$148, FALSE), VLOOKUP($A17, LS_current!$B$4:$AY$138,LS_current!F$148, FALSE))/2)</f>
        <v>-6</v>
      </c>
      <c r="CC17" s="227">
        <f t="array" ref="CC17">IF($BU17=0, INDEX(LS_current!$D$4:$AY$138, MATCH('Staging Table'!$A17, LS_current!$B$4:$B$138, 0), MATCH(CC$4&amp;CC$5, LS_current!$D$2:$AY$2&amp;LS_current!$D$3:$AY$3, 0)),SUM(VLOOKUP($A17, LS_current!$B$4:$AY$138, LS_current!G$148, FALSE), VLOOKUP($A17, LS_current!$B$4:$AY$138,LS_current!G$148, FALSE))/2)</f>
        <v>186</v>
      </c>
      <c r="CD17" s="227">
        <f t="array" ref="CD17">IF($BU17=0, INDEX(LS_current!$D$4:$AY$138, MATCH('Staging Table'!$A17, LS_current!$B$4:$B$138, 0), MATCH(CD$4&amp;CD$5, LS_current!$D$2:$AY$2&amp;LS_current!$D$3:$AY$3, 0)),SUM(VLOOKUP($A17, LS_current!$B$4:$AY$138, LS_current!H$148, FALSE), VLOOKUP($A17, LS_current!$B$4:$AY$138,LS_current!H$148, FALSE))/2)</f>
        <v>243</v>
      </c>
      <c r="CE17" s="227">
        <f t="array" ref="CE17">IF($BU17=0, INDEX(LS_current!$D$4:$AY$138, MATCH('Staging Table'!$A17, LS_current!$B$4:$B$138, 0), MATCH(CE$4&amp;CE$5, LS_current!$D$2:$AY$2&amp;LS_current!$D$3:$AY$3, 0)),SUM(VLOOKUP($A17, LS_current!$B$4:$AY$138, LS_current!I$148, FALSE), VLOOKUP($A17, LS_current!$B$4:$AY$138,LS_current!I$148, FALSE))/2)</f>
        <v>531</v>
      </c>
      <c r="CF17" s="227">
        <f t="array" ref="CF17">IF($BU17=0, INDEX(LS_current!$D$4:$AY$138, MATCH('Staging Table'!$A17, LS_current!$B$4:$B$138, 0), MATCH(CF$4&amp;CF$5, LS_current!$D$2:$AY$2&amp;LS_current!$D$3:$AY$3, 0)),SUM(VLOOKUP($A17, LS_current!$B$4:$AY$138, LS_current!J$148, FALSE), VLOOKUP($A17, LS_current!$B$4:$AY$138,LS_current!J$148, FALSE))/2)</f>
        <v>1269</v>
      </c>
      <c r="CG17" s="227">
        <f t="array" ref="CG17">IF($BU17=0, INDEX(LS_current!$D$4:$AY$138, MATCH('Staging Table'!$A17, LS_current!$B$4:$B$138, 0), MATCH(CG$4&amp;CG$5, LS_current!$D$2:$AY$2&amp;LS_current!$D$3:$AY$3, 0)),SUM(VLOOKUP($A17, LS_current!$B$4:$AY$138, LS_current!K$148, FALSE), VLOOKUP($A17, LS_current!$B$4:$AY$138,LS_current!K$148, FALSE))/2)</f>
        <v>1003</v>
      </c>
      <c r="CH17" s="227">
        <f t="array" ref="CH17">IF($BU17=0, INDEX(LS_current!$D$4:$AY$138, MATCH('Staging Table'!$A17, LS_current!$B$4:$B$138, 0), MATCH(CH$4&amp;CH$5, LS_current!$D$2:$AY$2&amp;LS_current!$D$3:$AY$3, 0)),SUM(VLOOKUP($A17, LS_current!$B$4:$AY$138, LS_current!L$148, FALSE), VLOOKUP($A17, LS_current!$B$4:$AY$138,LS_current!L$148, FALSE))/2)</f>
        <v>1002</v>
      </c>
      <c r="CI17" s="227">
        <f t="array" ref="CI17">IF($BU17=0, INDEX(LS_current!$D$4:$AY$138, MATCH('Staging Table'!$A17, LS_current!$B$4:$B$138, 0), MATCH(CI$4&amp;CI$5, LS_current!$D$2:$AY$2&amp;LS_current!$D$3:$AY$3, 0)),SUM(VLOOKUP($A17, LS_current!$B$4:$AY$138, LS_current!M$148, FALSE), VLOOKUP($A17, LS_current!$B$4:$AY$138,LS_current!M$148, FALSE))/2)</f>
        <v>627</v>
      </c>
      <c r="CJ17" s="227">
        <f t="array" ref="CJ17">IF($BU17=0, INDEX(LS_current!$D$4:$AY$138, MATCH('Staging Table'!$A17, LS_current!$B$4:$B$138, 0), MATCH(CJ$4&amp;CJ$5, LS_current!$D$2:$AY$2&amp;LS_current!$D$3:$AY$3, 0)),SUM(VLOOKUP($A17, LS_current!$B$4:$AY$138, LS_current!N$148, FALSE), VLOOKUP($A17, LS_current!$B$4:$AY$138,LS_current!N$148, FALSE))/2)</f>
        <v>426</v>
      </c>
      <c r="CK17" s="227">
        <f t="array" ref="CK17">IF($BU17=0, INDEX(LS_current!$D$4:$AY$138, MATCH('Staging Table'!$A17, LS_current!$B$4:$B$138, 0), MATCH(CK$4&amp;CK$5, LS_current!$D$2:$AY$2&amp;LS_current!$D$3:$AY$3, 0)),SUM(VLOOKUP($A17, LS_current!$B$4:$AY$138, LS_current!O$148, FALSE), VLOOKUP($A17, LS_current!$B$4:$AY$138,LS_current!O$148, FALSE))/2)</f>
        <v>517</v>
      </c>
      <c r="CL17" s="227">
        <f t="array" ref="CL17">IF($BU17=0, INDEX(LS_current!$D$4:$AY$138, MATCH('Staging Table'!$A17, LS_current!$B$4:$B$138, 0), MATCH(CL$4&amp;CL$5, LS_current!$D$2:$AY$2&amp;LS_current!$D$3:$AY$3, 0)),SUM(VLOOKUP($A17, LS_current!$B$4:$AY$138, LS_current!P$148, FALSE), VLOOKUP($A17, LS_current!$B$4:$AY$138,LS_current!P$148, FALSE))/2)</f>
        <v>878</v>
      </c>
      <c r="CM17" s="227">
        <f t="array" ref="CM17">IF($BU17=0, INDEX(LS_current!$D$4:$AY$138, MATCH('Staging Table'!$A17, LS_current!$B$4:$B$138, 0), MATCH(CM$4&amp;CM$5, LS_current!$D$2:$AY$2&amp;LS_current!$D$3:$AY$3, 0)),SUM(VLOOKUP($A17, LS_current!$B$4:$AY$138, LS_current!Q$148, FALSE), VLOOKUP($A17, LS_current!$B$4:$AY$138,LS_current!Q$148, FALSE))/2)</f>
        <v>544</v>
      </c>
      <c r="CN17" s="227">
        <f t="array" ref="CN17">IF($BU17=0, INDEX(LS_current!$D$4:$AY$138, MATCH('Staging Table'!$A17, LS_current!$B$4:$B$138, 0), MATCH(CN$4&amp;CN$5, LS_current!$D$2:$AY$2&amp;LS_current!$D$3:$AY$3, 0)),SUM(VLOOKUP($A17, LS_current!$B$4:$AY$138, LS_current!R$148, FALSE), VLOOKUP($A17, LS_current!$B$4:$AY$138,LS_current!R$148, FALSE))/2)</f>
        <v>-908</v>
      </c>
      <c r="CO17" s="227">
        <f t="array" ref="CO17">IF($BU17=0, INDEX(LS_current!$D$4:$AY$138, MATCH('Staging Table'!$A17, LS_current!$B$4:$B$138, 0), MATCH(CO$4&amp;CO$5, LS_current!$D$2:$AY$2&amp;LS_current!$D$3:$AY$3, 0)),SUM(VLOOKUP($A17, LS_current!$B$4:$AY$138, LS_current!S$148, FALSE), VLOOKUP($A17, LS_current!$B$4:$AY$138,LS_current!S$148, FALSE))/2)</f>
        <v>-65</v>
      </c>
      <c r="CP17" s="227">
        <f t="array" ref="CP17">IF($BU17=0, INDEX(LS_current!$D$4:$AY$138, MATCH('Staging Table'!$A17, LS_current!$B$4:$B$138, 0), MATCH(CP$4&amp;CP$5, LS_current!$D$2:$AY$2&amp;LS_current!$D$3:$AY$3, 0)),SUM(VLOOKUP($A17, LS_current!$B$4:$AY$138, LS_current!T$148, FALSE), VLOOKUP($A17, LS_current!$B$4:$AY$138,LS_current!T$148, FALSE))/2)</f>
        <v>-1823</v>
      </c>
      <c r="CQ17" s="227">
        <f t="array" ref="CQ17">IF($BU17=0, INDEX(LS_current!$D$4:$AY$138, MATCH('Staging Table'!$A17, LS_current!$B$4:$B$138, 0), MATCH(CQ$4&amp;CQ$5, LS_current!$D$2:$AY$2&amp;LS_current!$D$3:$AY$3, 0)),SUM(VLOOKUP($A17, LS_current!$B$4:$AY$138, LS_current!U$148, FALSE), VLOOKUP($A17, LS_current!$B$4:$AY$138,LS_current!U$148, FALSE))/2)</f>
        <v>-913</v>
      </c>
      <c r="CR17" s="227">
        <f t="array" ref="CR17">IF($BU17=0, INDEX(LS_current!$D$4:$AY$138, MATCH('Staging Table'!$A17, LS_current!$B$4:$B$138, 0), MATCH(CR$4&amp;CR$5, LS_current!$D$2:$AY$2&amp;LS_current!$D$3:$AY$3, 0)),SUM(VLOOKUP($A17, LS_current!$B$4:$AY$138, LS_current!V$148, FALSE), VLOOKUP($A17, LS_current!$B$4:$AY$138,LS_current!V$148, FALSE))/2)</f>
        <v>-1113</v>
      </c>
      <c r="CS17" s="227">
        <f t="array" ref="CS17">IF($BU17=0, INDEX(LS_current!$D$4:$AY$138, MATCH('Staging Table'!$A17, LS_current!$B$4:$B$138, 0), MATCH(CS$4&amp;CS$5, LS_current!$D$2:$AY$2&amp;LS_current!$D$3:$AY$3, 0)),SUM(VLOOKUP($A17, LS_current!$B$4:$AY$138, LS_current!W$148, FALSE), VLOOKUP($A17, LS_current!$B$4:$AY$138,LS_current!W$148, FALSE))/2)</f>
        <v>-71</v>
      </c>
      <c r="CT17" s="227">
        <f t="array" ref="CT17">IF($BU17=0, INDEX(LS_current!$D$4:$AY$138, MATCH('Staging Table'!$A17, LS_current!$B$4:$B$138, 0), MATCH(CT$4&amp;CT$5, LS_current!$D$2:$AY$2&amp;LS_current!$D$3:$AY$3, 0)),SUM(VLOOKUP($A17, LS_current!$B$4:$AY$138, LS_current!X$148, FALSE), VLOOKUP($A17, LS_current!$B$4:$AY$138,LS_current!X$148, FALSE))/2)</f>
        <v>-967</v>
      </c>
      <c r="CU17" s="227">
        <f t="array" ref="CU17">IF($BU17=0, INDEX(LS_current!$D$4:$AY$138, MATCH('Staging Table'!$A17, LS_current!$B$4:$B$138, 0), MATCH(CU$4&amp;CU$5, LS_current!$D$2:$AY$2&amp;LS_current!$D$3:$AY$3, 0)),SUM(VLOOKUP($A17, LS_current!$B$4:$AY$138, LS_current!Y$148, FALSE), VLOOKUP($A17, LS_current!$B$4:$AY$138,LS_current!Y$148, FALSE))/2)</f>
        <v>-38</v>
      </c>
      <c r="CV17" s="227">
        <f t="array" ref="CV17">IF($BU17=0, INDEX(LS_current!$D$4:$AY$138, MATCH('Staging Table'!$A17, LS_current!$B$4:$B$138, 0), MATCH(CV$4&amp;CV$5, LS_current!$D$2:$AY$2&amp;LS_current!$D$3:$AY$3, 0)),SUM(VLOOKUP($A17, LS_current!$B$4:$AY$138, LS_current!Z$148, FALSE), VLOOKUP($A17, LS_current!$B$4:$AY$138,LS_current!Z$148, FALSE))/2)</f>
        <v>-309</v>
      </c>
      <c r="CW17" s="227">
        <f t="array" ref="CW17">IF($BU17=0, INDEX(LS_current!$D$4:$AY$138, MATCH('Staging Table'!$A17, LS_current!$B$4:$B$138, 0), MATCH(CW$4&amp;CW$5, LS_current!$D$2:$AY$2&amp;LS_current!$D$3:$AY$3, 0)),SUM(VLOOKUP($A17, LS_current!$B$4:$AY$138, LS_current!AA$148, FALSE), VLOOKUP($A17, LS_current!$B$4:$AY$138,LS_current!AA$148, FALSE))/2)</f>
        <v>-47</v>
      </c>
      <c r="CX17" s="229">
        <f t="array" ref="CX17">INDEX(Demand_current!$D$4:$AY$138, MATCH($A17, Demand_current!$B$4:$B$138, 0), MATCH(CX$4&amp;CX$5,Demand_current!$D$2:$AY$2&amp;Demand_current!$D$3:$AY$3, 0))/1000</f>
        <v>0.115</v>
      </c>
      <c r="CY17" s="229">
        <f t="array" ref="CY17">INDEX(Demand_current!$D$4:$AY$138, MATCH($A17, Demand_current!$B$4:$B$138, 0), MATCH(CY$4&amp;CY$5,Demand_current!$D$2:$AY$2&amp;Demand_current!$D$3:$AY$3, 0))/1000</f>
        <v>1.099</v>
      </c>
      <c r="CZ17" s="229">
        <f t="array" ref="CZ17">INDEX(Demand_current!$D$4:$AY$138, MATCH($A17, Demand_current!$B$4:$B$138, 0), MATCH(CZ$4&amp;CZ$5,Demand_current!$D$2:$AY$2&amp;Demand_current!$D$3:$AY$3, 0))/1000</f>
        <v>2.1869999999999998</v>
      </c>
      <c r="DA17" s="229">
        <f t="array" ref="DA17">INDEX(Demand_current!$D$4:$AY$138, MATCH($A17, Demand_current!$B$4:$B$138, 0), MATCH(DA$4&amp;DA$5,Demand_current!$D$2:$AY$2&amp;Demand_current!$D$3:$AY$3, 0))/1000</f>
        <v>2.919</v>
      </c>
      <c r="DB17" s="229">
        <f t="array" ref="DB17">INDEX(Demand_current!$D$4:$AY$138, MATCH($A17, Demand_current!$B$4:$B$138, 0), MATCH(DB$4&amp;DB$5,Demand_current!$D$2:$AY$2&amp;Demand_current!$D$3:$AY$3, 0))/1000</f>
        <v>1.9470000000000001</v>
      </c>
      <c r="DC17" s="229">
        <f t="array" ref="DC17">INDEX(Demand_current!$D$4:$AY$138, MATCH($A17, Demand_current!$B$4:$B$138, 0), MATCH(DC$4&amp;DC$5,Demand_current!$D$2:$AY$2&amp;Demand_current!$D$3:$AY$3, 0))/1000</f>
        <v>2.9550000000000001</v>
      </c>
      <c r="DD17" s="229">
        <f t="array" ref="DD17">INDEX(Demand_current!$D$4:$AY$138, MATCH($A17, Demand_current!$B$4:$B$138, 0), MATCH(DD$4&amp;DD$5,Demand_current!$D$2:$AY$2&amp;Demand_current!$D$3:$AY$3, 0))/1000</f>
        <v>1.3580000000000001</v>
      </c>
      <c r="DE17" s="229">
        <f t="array" ref="DE17">INDEX(Demand_current!$D$4:$AY$138, MATCH($A17, Demand_current!$B$4:$B$138, 0), MATCH(DE$4&amp;DE$5,Demand_current!$D$2:$AY$2&amp;Demand_current!$D$3:$AY$3, 0))/1000</f>
        <v>0</v>
      </c>
      <c r="DF17" s="229">
        <f t="array" ref="DF17">INDEX(Demand_current!$D$4:$AY$138, MATCH($A17, Demand_current!$B$4:$B$138, 0), MATCH(DF$4&amp;DF$5,Demand_current!$D$2:$AY$2&amp;Demand_current!$D$3:$AY$3, 0))/1000</f>
        <v>3.7999999999999999E-2</v>
      </c>
      <c r="DG17" s="229">
        <f t="array" ref="DG17">INDEX(Demand_current!$D$4:$AY$138, MATCH($A17, Demand_current!$B$4:$B$138, 0), MATCH(DG$4&amp;DG$5,Demand_current!$D$2:$AY$2&amp;Demand_current!$D$3:$AY$3, 0))/1000</f>
        <v>0.36</v>
      </c>
      <c r="DH17" s="229">
        <f t="array" ref="DH17">INDEX(Demand_current!$D$4:$AY$138, MATCH($A17, Demand_current!$B$4:$B$138, 0), MATCH(DH$4&amp;DH$5,Demand_current!$D$2:$AY$2&amp;Demand_current!$D$3:$AY$3, 0))/1000</f>
        <v>0.35</v>
      </c>
      <c r="DI17" s="229">
        <f t="array" ref="DI17">INDEX(Demand_current!$D$4:$AY$138, MATCH($A17, Demand_current!$B$4:$B$138, 0), MATCH(DI$4&amp;DI$5,Demand_current!$D$2:$AY$2&amp;Demand_current!$D$3:$AY$3, 0))/1000</f>
        <v>0</v>
      </c>
      <c r="DJ17" s="227">
        <f>$BT17*(VLOOKUP(DJ$4, Rates_current!$G$6:$Q$29, 10, FALSE)+VLOOKUP(DJ$4, Rates_current!$G$6:$Q$29, 11, FALSE))</f>
        <v>4906.3612524695991</v>
      </c>
      <c r="DK17" s="227">
        <f>$BT17*(VLOOKUP(DK$4, Rates_current!$G$6:$Q$29, 10, FALSE)+VLOOKUP(DK$4, Rates_current!$G$6:$Q$29, 11, FALSE))</f>
        <v>6232.6093597613999</v>
      </c>
      <c r="DL17" s="227">
        <f>$BT17*(VLOOKUP(DL$4, Rates_current!$G$6:$Q$29, 10, FALSE)+VLOOKUP(DL$4, Rates_current!$G$6:$Q$29, 11, FALSE))</f>
        <v>6157.3421682695998</v>
      </c>
      <c r="DM17" s="227">
        <f>$BT17*(VLOOKUP(DM$4, Rates_current!$G$6:$Q$29, 10, FALSE)+VLOOKUP(DM$4, Rates_current!$G$6:$Q$29, 11, FALSE))</f>
        <v>5132.5197234695997</v>
      </c>
      <c r="DN17" s="227">
        <f>$BT17*(VLOOKUP(DN$4, Rates_current!$G$6:$Q$29, 10, FALSE)+VLOOKUP(DN$4, Rates_current!$G$6:$Q$29, 11, FALSE))</f>
        <v>4649.5304116799998</v>
      </c>
      <c r="DO17" s="227">
        <f>$BT17*(VLOOKUP(DO$4, Rates_current!$G$6:$Q$29, 10, FALSE)+VLOOKUP(DO$4, Rates_current!$G$6:$Q$29, 11, FALSE))</f>
        <v>5171.7548906561997</v>
      </c>
      <c r="DP17" s="227">
        <f>$BT17*(VLOOKUP(DP$4, Rates_current!$G$6:$Q$29, 10, FALSE)+VLOOKUP(DP$4, Rates_current!$G$6:$Q$29, 11, FALSE))</f>
        <v>4210.8484128479995</v>
      </c>
      <c r="DQ17" s="227">
        <f>$BT17*(VLOOKUP(DQ$4, Rates_current!$G$6:$Q$29, 10, FALSE)+VLOOKUP(DQ$4, Rates_current!$G$6:$Q$29, 11, FALSE))</f>
        <v>5678.9569917695999</v>
      </c>
      <c r="DR17" s="227">
        <f>$BT17*(VLOOKUP(DR$4, Rates_current!$G$6:$Q$29, 10, FALSE)+VLOOKUP(DR$4, Rates_current!$G$6:$Q$29, 11, FALSE))</f>
        <v>7245.9628875480003</v>
      </c>
      <c r="DS17" s="227">
        <f>$BT17*(VLOOKUP(DS$4, Rates_current!$G$6:$Q$29, 10, FALSE)+VLOOKUP(DS$4, Rates_current!$G$6:$Q$29, 11, FALSE))</f>
        <v>5681.0646588696</v>
      </c>
      <c r="DT17" s="227">
        <f>$BT17*(VLOOKUP(DT$4, Rates_current!$G$6:$Q$29, 10, FALSE)+VLOOKUP(DT$4, Rates_current!$G$6:$Q$29, 11, FALSE))</f>
        <v>5532.2257455695999</v>
      </c>
      <c r="DU17" s="227">
        <f>$BT17*(VLOOKUP(DU$4, Rates_current!$G$6:$Q$29, 10, FALSE)+VLOOKUP(DU$4, Rates_current!$G$6:$Q$29, 11, FALSE))</f>
        <v>4966.7618634480004</v>
      </c>
      <c r="DV17" s="229">
        <f>IF(D17=0,IF(C17=0,MAX(0,DY17 - (VLOOKUP($A17,TOCA_current!$A$2:$AI$137,MATCH("RHWM 2020",TOCA_current!$A$2:$AI$2,0),FALSE)*$BT$2)), 0),0)</f>
        <v>6.3248273407953093</v>
      </c>
      <c r="DW17" s="266">
        <f>VLOOKUP($A17,REP_current!$A$1:$D$135,MATCH("FY "&amp;$BT$1&amp; " Total Refund",REP_current!$A$1:$D$1,0),0)</f>
        <v>0</v>
      </c>
      <c r="DX17" s="295">
        <f>MIN(VLOOKUP($A17,TOCA_current!$A$2:$AI$137,MATCH("TRL - NLSL - Existing Resource "&amp;$BT$1,TOCA_current!$A$2:$AI$2,0),FALSE)*$BT$2, VLOOKUP($A17,TOCA_current!$A$2:$AI$137,MATCH("RHWM 2020",TOCA_current!$A$2:$AI$2,0),FALSE)*$BT$2)</f>
        <v>65563.775999999998</v>
      </c>
      <c r="DY17" s="240">
        <f>SUM(BZ17:CW17)+(BT17*RT1SC!$C$4*$BT$2)</f>
        <v>66755.94082734079</v>
      </c>
      <c r="DZ17" s="271">
        <f>VLOOKUP($A17,TOCA_current!$A$2:$AI$137,MATCH("Above RHWM Not Served with LS "&amp;$BT$1,TOCA_current!$A$2:$AI$2,0),FALSE)*$BT$2</f>
        <v>0</v>
      </c>
      <c r="EA17" s="244">
        <f t="shared" si="13"/>
        <v>1192.1648273407918</v>
      </c>
      <c r="EB17" s="295">
        <f>(VLOOKUP($A17,TOCA_current!$A$2:$AI$137,MATCH("RHWM 2020",TOCA_current!$A$2:$AI$2,0),FALSE)*$BT$2) - $DX17</f>
        <v>1185.8399999999965</v>
      </c>
      <c r="EC17" s="240">
        <f t="shared" si="14"/>
        <v>-1185.8399999999965</v>
      </c>
      <c r="ED17" s="240">
        <f t="shared" si="15"/>
        <v>0</v>
      </c>
      <c r="EE17" s="240">
        <f t="shared" si="16"/>
        <v>0</v>
      </c>
      <c r="EF17" s="240">
        <f t="shared" si="17"/>
        <v>-1185.8399999999965</v>
      </c>
    </row>
    <row r="18" spans="1:136">
      <c r="A18" s="166">
        <v>10061</v>
      </c>
      <c r="B18" s="167" t="s">
        <v>19</v>
      </c>
      <c r="C18" s="240">
        <v>0</v>
      </c>
      <c r="D18" s="240">
        <v>0</v>
      </c>
      <c r="E18" s="150">
        <f>VLOOKUP($A18,TOCA_previous!$A$2:$AI$137,MATCH(E$4,TOCA_previous!$A$2:$AI$2,0),FALSE)</f>
        <v>1.2392E-3</v>
      </c>
      <c r="F18" s="151">
        <f>VLOOKUP($A18,TOCA_previous!$A$2:$AI$137,MATCH(F$4,TOCA_previous!$A$2:$AI$2,0),FALSE)</f>
        <v>1.2392E-3</v>
      </c>
      <c r="G18" s="151">
        <f t="shared" si="2"/>
        <v>0</v>
      </c>
      <c r="H18" s="151">
        <f>VLOOKUP($A18,TOCA_previous!$A$2:$AI$137,MATCH(H$4,TOCA_previous!$A$2:$AI$2,0),FALSE)</f>
        <v>0</v>
      </c>
      <c r="I18" s="151">
        <f t="shared" si="3"/>
        <v>0</v>
      </c>
      <c r="J18" s="151">
        <f t="shared" si="4"/>
        <v>0</v>
      </c>
      <c r="K18" s="226">
        <f>VLOOKUP(A18, IRD!$A$5:$C$139, 3, FALSE)</f>
        <v>0</v>
      </c>
      <c r="L18" s="227">
        <f t="array" ref="L18">IF($G18=0, INDEX(LS_previous!$D$4:$AY$138, MATCH('Staging Table'!$A18, LS_previous!$B$4:$B$138, 0), MATCH(L$4&amp;L$5, LS_previous!$D$2:$AY$2&amp;LS_previous!$D$3:$AY$3, 0)),SUM(VLOOKUP($A18, LS_previous!$B$4:$AY$138, LS_previous!D$149, FALSE), VLOOKUP('Staging Table'!$A18, LS_previous!$B$4:$AY$138,LS_previous!AB$149, FALSE))/2)</f>
        <v>478</v>
      </c>
      <c r="M18" s="227">
        <f t="array" ref="M18">IF($G18=0, INDEX(LS_previous!$D$4:$AY$138, MATCH('Staging Table'!$A18, LS_previous!$B$4:$B$138, 0), MATCH(M$4&amp;M$5, LS_previous!$D$2:$AY$2&amp;LS_previous!$D$3:$AY$3, 0)),SUM(VLOOKUP($A18, LS_previous!$B$4:$AY$138, LS_previous!E$149, FALSE), VLOOKUP('Staging Table'!$A18, LS_previous!$B$4:$AY$138,LS_previous!AC$149, FALSE))/2)</f>
        <v>441</v>
      </c>
      <c r="N18" s="227">
        <f t="array" ref="N18">IF($G18=0, INDEX(LS_previous!$D$4:$AY$138, MATCH('Staging Table'!$A18, LS_previous!$B$4:$B$138, 0), MATCH(N$4&amp;N$5, LS_previous!$D$2:$AY$2&amp;LS_previous!$D$3:$AY$3, 0)),SUM(VLOOKUP($A18, LS_previous!$B$4:$AY$138, LS_previous!F$149, FALSE), VLOOKUP('Staging Table'!$A18, LS_previous!$B$4:$AY$138,LS_previous!AD$149, FALSE))/2)</f>
        <v>41</v>
      </c>
      <c r="O18" s="227">
        <f t="array" ref="O18">IF($G18=0, INDEX(LS_previous!$D$4:$AY$138, MATCH('Staging Table'!$A18, LS_previous!$B$4:$B$138, 0), MATCH(O$4&amp;O$5, LS_previous!$D$2:$AY$2&amp;LS_previous!$D$3:$AY$3, 0)),SUM(VLOOKUP($A18, LS_previous!$B$4:$AY$138, LS_previous!G$149, FALSE), VLOOKUP('Staging Table'!$A18, LS_previous!$B$4:$AY$138,LS_previous!AE$149, FALSE))/2)</f>
        <v>397</v>
      </c>
      <c r="P18" s="227">
        <f t="array" ref="P18">IF($G18=0, INDEX(LS_previous!$D$4:$AY$138, MATCH('Staging Table'!$A18, LS_previous!$B$4:$B$138, 0), MATCH(P$4&amp;P$5, LS_previous!$D$2:$AY$2&amp;LS_previous!$D$3:$AY$3, 0)),SUM(VLOOKUP($A18, LS_previous!$B$4:$AY$138, LS_previous!H$149, FALSE), VLOOKUP('Staging Table'!$A18, LS_previous!$B$4:$AY$138,LS_previous!AF$149, FALSE))/2)</f>
        <v>361</v>
      </c>
      <c r="Q18" s="227">
        <f t="array" ref="Q18">IF($G18=0, INDEX(LS_previous!$D$4:$AY$138, MATCH('Staging Table'!$A18, LS_previous!$B$4:$B$138, 0), MATCH(Q$4&amp;Q$5, LS_previous!$D$2:$AY$2&amp;LS_previous!$D$3:$AY$3, 0)),SUM(VLOOKUP($A18, LS_previous!$B$4:$AY$138, LS_previous!I$149, FALSE), VLOOKUP('Staging Table'!$A18, LS_previous!$B$4:$AY$138,LS_previous!AG$149, FALSE))/2)</f>
        <v>746</v>
      </c>
      <c r="R18" s="227">
        <f t="array" ref="R18">IF($G18=0, INDEX(LS_previous!$D$4:$AY$138, MATCH('Staging Table'!$A18, LS_previous!$B$4:$B$138, 0), MATCH(R$4&amp;R$5, LS_previous!$D$2:$AY$2&amp;LS_previous!$D$3:$AY$3, 0)),SUM(VLOOKUP($A18, LS_previous!$B$4:$AY$138, LS_previous!J$149, FALSE), VLOOKUP('Staging Table'!$A18, LS_previous!$B$4:$AY$138,LS_previous!AH$149, FALSE))/2)</f>
        <v>1354</v>
      </c>
      <c r="S18" s="227">
        <f t="array" ref="S18">IF($G18=0, INDEX(LS_previous!$D$4:$AY$138, MATCH('Staging Table'!$A18, LS_previous!$B$4:$B$138, 0), MATCH(S$4&amp;S$5, LS_previous!$D$2:$AY$2&amp;LS_previous!$D$3:$AY$3, 0)),SUM(VLOOKUP($A18, LS_previous!$B$4:$AY$138, LS_previous!K$149, FALSE), VLOOKUP('Staging Table'!$A18, LS_previous!$B$4:$AY$138,LS_previous!AI$149, FALSE))/2)</f>
        <v>1043</v>
      </c>
      <c r="T18" s="227">
        <f t="array" ref="T18">IF($G18=0, INDEX(LS_previous!$D$4:$AY$138, MATCH('Staging Table'!$A18, LS_previous!$B$4:$B$138, 0), MATCH(T$4&amp;T$5, LS_previous!$D$2:$AY$2&amp;LS_previous!$D$3:$AY$3, 0)),SUM(VLOOKUP($A18, LS_previous!$B$4:$AY$138, LS_previous!L$149, FALSE), VLOOKUP('Staging Table'!$A18, LS_previous!$B$4:$AY$138,LS_previous!AJ$149, FALSE))/2)</f>
        <v>1523</v>
      </c>
      <c r="U18" s="227">
        <f t="array" ref="U18">IF($G18=0, INDEX(LS_previous!$D$4:$AY$138, MATCH('Staging Table'!$A18, LS_previous!$B$4:$B$138, 0), MATCH(U$4&amp;U$5, LS_previous!$D$2:$AY$2&amp;LS_previous!$D$3:$AY$3, 0)),SUM(VLOOKUP($A18, LS_previous!$B$4:$AY$138, LS_previous!M$149, FALSE), VLOOKUP('Staging Table'!$A18, LS_previous!$B$4:$AY$138,LS_previous!AK$149, FALSE))/2)</f>
        <v>1089</v>
      </c>
      <c r="V18" s="227">
        <f t="array" ref="V18">IF($G18=0, INDEX(LS_previous!$D$4:$AY$138, MATCH('Staging Table'!$A18, LS_previous!$B$4:$B$138, 0), MATCH(V$4&amp;V$5, LS_previous!$D$2:$AY$2&amp;LS_previous!$D$3:$AY$3, 0)),SUM(VLOOKUP($A18, LS_previous!$B$4:$AY$138, LS_previous!N$149, FALSE), VLOOKUP('Staging Table'!$A18, LS_previous!$B$4:$AY$138,LS_previous!AL$149, FALSE))/2)</f>
        <v>678</v>
      </c>
      <c r="W18" s="227">
        <f t="array" ref="W18">IF($G18=0, INDEX(LS_previous!$D$4:$AY$138, MATCH('Staging Table'!$A18, LS_previous!$B$4:$B$138, 0), MATCH(W$4&amp;W$5, LS_previous!$D$2:$AY$2&amp;LS_previous!$D$3:$AY$3, 0)),SUM(VLOOKUP($A18, LS_previous!$B$4:$AY$138, LS_previous!O$149, FALSE), VLOOKUP('Staging Table'!$A18, LS_previous!$B$4:$AY$138,LS_previous!AM$149, FALSE))/2)</f>
        <v>776</v>
      </c>
      <c r="X18" s="227">
        <f t="array" ref="X18">IF($G18=0, INDEX(LS_previous!$D$4:$AY$138, MATCH('Staging Table'!$A18, LS_previous!$B$4:$B$138, 0), MATCH(X$4&amp;X$5, LS_previous!$D$2:$AY$2&amp;LS_previous!$D$3:$AY$3, 0)),SUM(VLOOKUP($A18, LS_previous!$B$4:$AY$138, LS_previous!P$149, FALSE), VLOOKUP('Staging Table'!$A18, LS_previous!$B$4:$AY$138,LS_previous!AN$149, FALSE))/2)</f>
        <v>440</v>
      </c>
      <c r="Y18" s="227">
        <f t="array" ref="Y18">IF($G18=0, INDEX(LS_previous!$D$4:$AY$138, MATCH('Staging Table'!$A18, LS_previous!$B$4:$B$138, 0), MATCH(Y$4&amp;Y$5, LS_previous!$D$2:$AY$2&amp;LS_previous!$D$3:$AY$3, 0)),SUM(VLOOKUP($A18, LS_previous!$B$4:$AY$138, LS_previous!Q$149, FALSE), VLOOKUP('Staging Table'!$A18, LS_previous!$B$4:$AY$138,LS_previous!AO$149, FALSE))/2)</f>
        <v>490</v>
      </c>
      <c r="Z18" s="227">
        <f t="array" ref="Z18">IF($G18=0, INDEX(LS_previous!$D$4:$AY$138, MATCH('Staging Table'!$A18, LS_previous!$B$4:$B$138, 0), MATCH(Z$4&amp;Z$5, LS_previous!$D$2:$AY$2&amp;LS_previous!$D$3:$AY$3, 0)),SUM(VLOOKUP($A18, LS_previous!$B$4:$AY$138, LS_previous!R$149, FALSE), VLOOKUP('Staging Table'!$A18, LS_previous!$B$4:$AY$138,LS_previous!AP$149, FALSE))/2)</f>
        <v>-1690</v>
      </c>
      <c r="AA18" s="227">
        <f t="array" ref="AA18">IF($G18=0, INDEX(LS_previous!$D$4:$AY$138, MATCH('Staging Table'!$A18, LS_previous!$B$4:$B$138, 0), MATCH(AA$4&amp;AA$5, LS_previous!$D$2:$AY$2&amp;LS_previous!$D$3:$AY$3, 0)),SUM(VLOOKUP($A18, LS_previous!$B$4:$AY$138, LS_previous!S$149, FALSE), VLOOKUP('Staging Table'!$A18, LS_previous!$B$4:$AY$138,LS_previous!AQ$149, FALSE))/2)</f>
        <v>-427</v>
      </c>
      <c r="AB18" s="227">
        <f t="array" ref="AB18">IF($G18=0, INDEX(LS_previous!$D$4:$AY$138, MATCH('Staging Table'!$A18, LS_previous!$B$4:$B$138, 0), MATCH(AB$4&amp;AB$5, LS_previous!$D$2:$AY$2&amp;LS_previous!$D$3:$AY$3, 0)),SUM(VLOOKUP($A18, LS_previous!$B$4:$AY$138, LS_previous!T$149, FALSE), VLOOKUP('Staging Table'!$A18, LS_previous!$B$4:$AY$138,LS_previous!AR$149, FALSE))/2)</f>
        <v>-644</v>
      </c>
      <c r="AC18" s="227">
        <f t="array" ref="AC18">IF($G18=0, INDEX(LS_previous!$D$4:$AY$138, MATCH('Staging Table'!$A18, LS_previous!$B$4:$B$138, 0), MATCH(AC$4&amp;AC$5, LS_previous!$D$2:$AY$2&amp;LS_previous!$D$3:$AY$3, 0)),SUM(VLOOKUP($A18, LS_previous!$B$4:$AY$138, LS_previous!U$149, FALSE), VLOOKUP('Staging Table'!$A18, LS_previous!$B$4:$AY$138,LS_previous!AS$149, FALSE))/2)</f>
        <v>-57</v>
      </c>
      <c r="AD18" s="227">
        <f t="array" ref="AD18">IF($G18=0, INDEX(LS_previous!$D$4:$AY$138, MATCH('Staging Table'!$A18, LS_previous!$B$4:$B$138, 0), MATCH(AD$4&amp;AD$5, LS_previous!$D$2:$AY$2&amp;LS_previous!$D$3:$AY$3, 0)),SUM(VLOOKUP($A18, LS_previous!$B$4:$AY$138, LS_previous!V$149, FALSE), VLOOKUP('Staging Table'!$A18, LS_previous!$B$4:$AY$138,LS_previous!AT$149, FALSE))/2)</f>
        <v>-33</v>
      </c>
      <c r="AE18" s="227">
        <f t="array" ref="AE18">IF($G18=0, INDEX(LS_previous!$D$4:$AY$138, MATCH('Staging Table'!$A18, LS_previous!$B$4:$B$138, 0), MATCH(AE$4&amp;AE$5, LS_previous!$D$2:$AY$2&amp;LS_previous!$D$3:$AY$3, 0)),SUM(VLOOKUP($A18, LS_previous!$B$4:$AY$138, LS_previous!W$149, FALSE), VLOOKUP('Staging Table'!$A18, LS_previous!$B$4:$AY$138,LS_previous!AU$149, FALSE))/2)</f>
        <v>462</v>
      </c>
      <c r="AF18" s="227">
        <f t="array" ref="AF18">IF($G18=0, INDEX(LS_previous!$D$4:$AY$138, MATCH('Staging Table'!$A18, LS_previous!$B$4:$B$138, 0), MATCH(AF$4&amp;AF$5, LS_previous!$D$2:$AY$2&amp;LS_previous!$D$3:$AY$3, 0)),SUM(VLOOKUP($A18, LS_previous!$B$4:$AY$138, LS_previous!X$149, FALSE), VLOOKUP('Staging Table'!$A18, LS_previous!$B$4:$AY$138,LS_previous!AV$149, FALSE))/2)</f>
        <v>-485</v>
      </c>
      <c r="AG18" s="227">
        <f t="array" ref="AG18">IF($G18=0, INDEX(LS_previous!$D$4:$AY$138, MATCH('Staging Table'!$A18, LS_previous!$B$4:$B$138, 0), MATCH(AG$4&amp;AG$5, LS_previous!$D$2:$AY$2&amp;LS_previous!$D$3:$AY$3, 0)),SUM(VLOOKUP($A18, LS_previous!$B$4:$AY$138, LS_previous!Y$149, FALSE), VLOOKUP('Staging Table'!$A18, LS_previous!$B$4:$AY$138,LS_previous!AW$149, FALSE))/2)</f>
        <v>374</v>
      </c>
      <c r="AH18" s="227">
        <f t="array" ref="AH18">IF($G18=0, INDEX(LS_previous!$D$4:$AY$138, MATCH('Staging Table'!$A18, LS_previous!$B$4:$B$138, 0), MATCH(AH$4&amp;AH$5, LS_previous!$D$2:$AY$2&amp;LS_previous!$D$3:$AY$3, 0)),SUM(VLOOKUP($A18, LS_previous!$B$4:$AY$138, LS_previous!Z$149, FALSE), VLOOKUP('Staging Table'!$A18, LS_previous!$B$4:$AY$138,LS_previous!AX$149, FALSE))/2)</f>
        <v>-10</v>
      </c>
      <c r="AI18" s="227">
        <f t="array" ref="AI18">IF($G18=0, INDEX(LS_previous!$D$4:$AY$138, MATCH('Staging Table'!$A18, LS_previous!$B$4:$B$138, 0), MATCH(AI$4&amp;AI$5, LS_previous!$D$2:$AY$2&amp;LS_previous!$D$3:$AY$3, 0)),SUM(VLOOKUP($A18, LS_previous!$B$4:$AY$138, LS_previous!AA$149, FALSE), VLOOKUP('Staging Table'!$A18, LS_previous!$B$4:$AY$138,LS_previous!AY$149, FALSE))/2)</f>
        <v>299</v>
      </c>
      <c r="AJ18" s="424">
        <f t="array" ref="AJ18">INDEX(Demand_previous!$D$4:$AY$138, MATCH('Staging Table'!$A18, Demand_previous!$B$4:$B$138, 0), MATCH(AJ$4&amp;AJ$5,Demand_previous!$D$2:$AY$2&amp;Demand_previous!$D$3:$AY$3, 0))/1000</f>
        <v>0.42699999999999999</v>
      </c>
      <c r="AK18" s="424">
        <f t="array" ref="AK18">INDEX(Demand_previous!$D$4:$AY$138, MATCH('Staging Table'!$A18, Demand_previous!$B$4:$B$138, 0), MATCH(AK$4&amp;AK$5,Demand_previous!$D$2:$AY$2&amp;Demand_previous!$D$3:$AY$3, 0))/1000</f>
        <v>0.98599999999999999</v>
      </c>
      <c r="AL18" s="424">
        <f t="array" ref="AL18">INDEX(Demand_previous!$D$4:$AY$138, MATCH('Staging Table'!$A18, Demand_previous!$B$4:$B$138, 0), MATCH(AL$4&amp;AL$5,Demand_previous!$D$2:$AY$2&amp;Demand_previous!$D$3:$AY$3, 0))/1000</f>
        <v>1.69</v>
      </c>
      <c r="AM18" s="424">
        <f t="array" ref="AM18">INDEX(Demand_previous!$D$4:$AY$138, MATCH('Staging Table'!$A18, Demand_previous!$B$4:$B$138, 0), MATCH(AM$4&amp;AM$5,Demand_previous!$D$2:$AY$2&amp;Demand_previous!$D$3:$AY$3, 0))/1000</f>
        <v>1.3520000000000001</v>
      </c>
      <c r="AN18" s="424">
        <f t="array" ref="AN18">INDEX(Demand_previous!$D$4:$AY$138, MATCH('Staging Table'!$A18, Demand_previous!$B$4:$B$138, 0), MATCH(AN$4&amp;AN$5,Demand_previous!$D$2:$AY$2&amp;Demand_previous!$D$3:$AY$3, 0))/1000</f>
        <v>0.67900000000000005</v>
      </c>
      <c r="AO18" s="424">
        <f t="array" ref="AO18">INDEX(Demand_previous!$D$4:$AY$138, MATCH('Staging Table'!$A18, Demand_previous!$B$4:$B$138, 0), MATCH(AO$4&amp;AO$5,Demand_previous!$D$2:$AY$2&amp;Demand_previous!$D$3:$AY$3, 0))/1000</f>
        <v>1.75</v>
      </c>
      <c r="AP18" s="424">
        <f t="array" ref="AP18">INDEX(Demand_previous!$D$4:$AY$138, MATCH('Staging Table'!$A18, Demand_previous!$B$4:$B$138, 0), MATCH(AP$4&amp;AP$5,Demand_previous!$D$2:$AY$2&amp;Demand_previous!$D$3:$AY$3, 0))/1000</f>
        <v>0.75</v>
      </c>
      <c r="AQ18" s="424">
        <f t="array" ref="AQ18">INDEX(Demand_previous!$D$4:$AY$138, MATCH('Staging Table'!$A18, Demand_previous!$B$4:$B$138, 0), MATCH(AQ$4&amp;AQ$5,Demand_previous!$D$2:$AY$2&amp;Demand_previous!$D$3:$AY$3, 0))/1000</f>
        <v>1.171</v>
      </c>
      <c r="AR18" s="424">
        <f t="array" ref="AR18">INDEX(Demand_previous!$D$4:$AY$138, MATCH('Staging Table'!$A18, Demand_previous!$B$4:$B$138, 0), MATCH(AR$4&amp;AR$5,Demand_previous!$D$2:$AY$2&amp;Demand_previous!$D$3:$AY$3, 0))/1000</f>
        <v>0.998</v>
      </c>
      <c r="AS18" s="424">
        <f t="array" ref="AS18">INDEX(Demand_previous!$D$4:$AY$138, MATCH('Staging Table'!$A18, Demand_previous!$B$4:$B$138, 0), MATCH(AS$4&amp;AS$5,Demand_previous!$D$2:$AY$2&amp;Demand_previous!$D$3:$AY$3, 0))/1000</f>
        <v>0.57299999999999995</v>
      </c>
      <c r="AT18" s="424">
        <f t="array" ref="AT18">INDEX(Demand_previous!$D$4:$AY$138, MATCH('Staging Table'!$A18, Demand_previous!$B$4:$B$138, 0), MATCH(AT$4&amp;AT$5,Demand_previous!$D$2:$AY$2&amp;Demand_previous!$D$3:$AY$3, 0))/1000</f>
        <v>1.631</v>
      </c>
      <c r="AU18" s="424">
        <f t="array" ref="AU18">INDEX(Demand_previous!$D$4:$AY$138, MATCH('Staging Table'!$A18, Demand_previous!$B$4:$B$138, 0), MATCH(AU$4&amp;AU$5,Demand_previous!$D$2:$AY$2&amp;Demand_previous!$D$3:$AY$3, 0))/1000</f>
        <v>0.69899999999999995</v>
      </c>
      <c r="AV18" s="227">
        <f>$F18*(VLOOKUP(AV$4, Rates_previous!$G$6:$Q$29, 10, FALSE)+VLOOKUP(AV$4, Rates_previous!$G$6:$Q$29, 11, FALSE))</f>
        <v>5810.4077551530681</v>
      </c>
      <c r="AW18" s="227">
        <f>$F18*(VLOOKUP(AW$4, Rates_previous!$G$6:$Q$29, 10, FALSE)+VLOOKUP(AW$4, Rates_previous!$G$6:$Q$29, 11, FALSE))</f>
        <v>7181.222370976292</v>
      </c>
      <c r="AX18" s="227">
        <f>$F18*(VLOOKUP(AX$4, Rates_previous!$G$6:$Q$29, 10, FALSE)+VLOOKUP(AX$4, Rates_previous!$G$6:$Q$29, 11, FALSE))</f>
        <v>7094.9844794576975</v>
      </c>
      <c r="AY18" s="227">
        <f>$F18*(VLOOKUP(AY$4, Rates_previous!$G$6:$Q$29, 10, FALSE)+VLOOKUP(AY$4, Rates_previous!$G$6:$Q$29, 11, FALSE))</f>
        <v>6061.9879739862718</v>
      </c>
      <c r="AZ18" s="227">
        <f>$F18*(VLOOKUP(AZ$4, Rates_previous!$G$6:$Q$29, 10, FALSE)+VLOOKUP(AZ$4, Rates_previous!$G$6:$Q$29, 11, FALSE))</f>
        <v>4969.6542879027766</v>
      </c>
      <c r="BA18" s="227">
        <f>$F18*(VLOOKUP(BA$4, Rates_previous!$G$6:$Q$29, 10, FALSE)+VLOOKUP(BA$4, Rates_previous!$G$6:$Q$29, 11, FALSE))</f>
        <v>5883.8901622803751</v>
      </c>
      <c r="BB18" s="227">
        <f>$F18*(VLOOKUP(BB$4, Rates_previous!$G$6:$Q$29, 10, FALSE)+VLOOKUP(BB$4, Rates_previous!$G$6:$Q$29, 11, FALSE))</f>
        <v>5655.2743099908603</v>
      </c>
      <c r="BC18" s="227">
        <f>$F18*(VLOOKUP(BC$4, Rates_previous!$G$6:$Q$29, 10, FALSE)+VLOOKUP(BC$4, Rates_previous!$G$6:$Q$29, 11, FALSE))</f>
        <v>8298.7148671634714</v>
      </c>
      <c r="BD18" s="227">
        <f>$F18*(VLOOKUP(BD$4, Rates_previous!$G$6:$Q$29, 10, FALSE)+VLOOKUP(BD$4, Rates_previous!$G$6:$Q$29, 11, FALSE))</f>
        <v>6547.4666924844205</v>
      </c>
      <c r="BE18" s="227">
        <f>$F18*(VLOOKUP(BE$4, Rates_previous!$G$6:$Q$29, 10, FALSE)+VLOOKUP(BE$4, Rates_previous!$G$6:$Q$29, 11, FALSE))</f>
        <v>5749.225321090008</v>
      </c>
      <c r="BF18" s="227">
        <f>$F18*(VLOOKUP(BF$4, Rates_previous!$G$6:$Q$29, 10, FALSE)+VLOOKUP(BF$4, Rates_previous!$G$6:$Q$29, 11, FALSE))</f>
        <v>6367.4971714472213</v>
      </c>
      <c r="BG18" s="227">
        <f>$F18*(VLOOKUP(BG$4, Rates_previous!$G$6:$Q$29, 10, FALSE)+VLOOKUP(BG$4, Rates_previous!$G$6:$Q$29, 11, FALSE))</f>
        <v>5768.6992178389</v>
      </c>
      <c r="BH18" s="229">
        <f>IF($D18=0,IF(C18=0, MAX(BK18 - (VLOOKUP($A18,TOCA_previous!$A$2:$AI$137,MATCH("RHWM 2018",TOCA_previous!$A$2:$AI$2,0),FALSE)*$F$2*TOCA_previous!C15),0),0), 0)</f>
        <v>7646.4657096319861</v>
      </c>
      <c r="BI18" s="266">
        <f>VLOOKUP($A18,REP_previous!$A$1:$D$135,MATCH("FY "&amp;$F$1&amp; " Total Refund",REP_previous!$A$1:$D$1,0),0)</f>
        <v>109661.91720420276</v>
      </c>
      <c r="BJ18" s="241">
        <f>MIN(VLOOKUP($A18,TOCA_previous!$A$2:$AI$137,MATCH("TRL - NLSL - Existing Resource "&amp;$F$1,TOCA_previous!$A$2:$AI$2,0),FALSE)*$F$2,(VLOOKUP($A18,TOCA_previous!$A$2:$AI$137,MATCH("RHWM 2018",TOCA_previous!$A$2:$AI$2,0),FALSE)*$F$2))</f>
        <v>75388.56</v>
      </c>
      <c r="BK18" s="229">
        <f>SUM(L18:AI18)+(F18*RT1SC!$C$3*$F$2)</f>
        <v>83035.025709631984</v>
      </c>
      <c r="BL18" s="241">
        <f>VLOOKUP($A18,TOCA_previous!$A$2:$AI$137,MATCH("Above RHWM Not Served with LS "&amp;$F$1,TOCA_previous!$A$2:$AI$2,0),FALSE)*$F$2</f>
        <v>0</v>
      </c>
      <c r="BM18" s="151">
        <f t="shared" si="5"/>
        <v>7646.4657096319861</v>
      </c>
      <c r="BN18" s="242">
        <f>(VLOOKUP($A18,TOCA_previous!$A$2:$AI$137,MATCH("RHWM 2018",TOCA_previous!$A$2:$AI$2,0),FALSE)*$F$2) - $BJ18</f>
        <v>0</v>
      </c>
      <c r="BO18" s="151">
        <f t="shared" si="6"/>
        <v>0</v>
      </c>
      <c r="BP18" s="243">
        <f t="shared" si="7"/>
        <v>0</v>
      </c>
      <c r="BQ18" s="237">
        <f t="shared" si="8"/>
        <v>0</v>
      </c>
      <c r="BR18" s="242">
        <f t="shared" si="9"/>
        <v>0</v>
      </c>
      <c r="BS18" s="151">
        <f>VLOOKUP($A18,TOCA_current!$A$2:$AI$137,MATCH(BS$4,TOCA_current!$A$2:$AI$2,0),FALSE)</f>
        <v>1.2385E-3</v>
      </c>
      <c r="BT18" s="151">
        <f>VLOOKUP($A18,TOCA_current!$A$2:$AI$137,MATCH(BT$4,TOCA_current!$A$2:$AI$2,0),FALSE)</f>
        <v>1.2385E-3</v>
      </c>
      <c r="BU18" s="236">
        <f t="shared" si="10"/>
        <v>0</v>
      </c>
      <c r="BV18" s="151">
        <f>VLOOKUP($A18,TOCA_current!A14:BG149,MATCH(BV$4,TOCA_current!$A$2:$BG$2,0),FALSE)</f>
        <v>0</v>
      </c>
      <c r="BW18" s="151">
        <f t="shared" si="11"/>
        <v>0</v>
      </c>
      <c r="BX18" s="151">
        <f t="shared" si="12"/>
        <v>0</v>
      </c>
      <c r="BY18" s="226">
        <f>VLOOKUP($A18,IRD!$A$4:$G$139, 7, FALSE)</f>
        <v>0</v>
      </c>
      <c r="BZ18" s="227">
        <f t="array" ref="BZ18">IF($BU18=0, INDEX(LS_current!$D$4:$AY$138, MATCH('Staging Table'!$A18, LS_current!$B$4:$B$138, 0), MATCH(BZ$4&amp;BZ$5, LS_current!$D$2:$AY$2&amp;LS_current!$D$3:$AY$3, 0)),SUM(VLOOKUP($A18, LS_current!$B$4:$AY$138, LS_current!D$148, FALSE), VLOOKUP($A18, LS_current!$B$4:$AY$138,LS_current!D$148, FALSE))/2)</f>
        <v>530</v>
      </c>
      <c r="CA18" s="227">
        <f t="array" ref="CA18">IF($BU18=0, INDEX(LS_current!$D$4:$AY$138, MATCH('Staging Table'!$A18, LS_current!$B$4:$B$138, 0), MATCH(CA$4&amp;CA$5, LS_current!$D$2:$AY$2&amp;LS_current!$D$3:$AY$3, 0)),SUM(VLOOKUP($A18, LS_current!$B$4:$AY$138, LS_current!E$148, FALSE), VLOOKUP($A18, LS_current!$B$4:$AY$138,LS_current!E$148, FALSE))/2)</f>
        <v>480</v>
      </c>
      <c r="CB18" s="227">
        <f t="array" ref="CB18">IF($BU18=0, INDEX(LS_current!$D$4:$AY$138, MATCH('Staging Table'!$A18, LS_current!$B$4:$B$138, 0), MATCH(CB$4&amp;CB$5, LS_current!$D$2:$AY$2&amp;LS_current!$D$3:$AY$3, 0)),SUM(VLOOKUP($A18, LS_current!$B$4:$AY$138, LS_current!F$148, FALSE), VLOOKUP($A18, LS_current!$B$4:$AY$138,LS_current!F$148, FALSE))/2)</f>
        <v>12</v>
      </c>
      <c r="CC18" s="227">
        <f t="array" ref="CC18">IF($BU18=0, INDEX(LS_current!$D$4:$AY$138, MATCH('Staging Table'!$A18, LS_current!$B$4:$B$138, 0), MATCH(CC$4&amp;CC$5, LS_current!$D$2:$AY$2&amp;LS_current!$D$3:$AY$3, 0)),SUM(VLOOKUP($A18, LS_current!$B$4:$AY$138, LS_current!G$148, FALSE), VLOOKUP($A18, LS_current!$B$4:$AY$138,LS_current!G$148, FALSE))/2)</f>
        <v>344</v>
      </c>
      <c r="CD18" s="227">
        <f t="array" ref="CD18">IF($BU18=0, INDEX(LS_current!$D$4:$AY$138, MATCH('Staging Table'!$A18, LS_current!$B$4:$B$138, 0), MATCH(CD$4&amp;CD$5, LS_current!$D$2:$AY$2&amp;LS_current!$D$3:$AY$3, 0)),SUM(VLOOKUP($A18, LS_current!$B$4:$AY$138, LS_current!H$148, FALSE), VLOOKUP($A18, LS_current!$B$4:$AY$138,LS_current!H$148, FALSE))/2)</f>
        <v>324</v>
      </c>
      <c r="CE18" s="227">
        <f t="array" ref="CE18">IF($BU18=0, INDEX(LS_current!$D$4:$AY$138, MATCH('Staging Table'!$A18, LS_current!$B$4:$B$138, 0), MATCH(CE$4&amp;CE$5, LS_current!$D$2:$AY$2&amp;LS_current!$D$3:$AY$3, 0)),SUM(VLOOKUP($A18, LS_current!$B$4:$AY$138, LS_current!I$148, FALSE), VLOOKUP($A18, LS_current!$B$4:$AY$138,LS_current!I$148, FALSE))/2)</f>
        <v>701</v>
      </c>
      <c r="CF18" s="227">
        <f t="array" ref="CF18">IF($BU18=0, INDEX(LS_current!$D$4:$AY$138, MATCH('Staging Table'!$A18, LS_current!$B$4:$B$138, 0), MATCH(CF$4&amp;CF$5, LS_current!$D$2:$AY$2&amp;LS_current!$D$3:$AY$3, 0)),SUM(VLOOKUP($A18, LS_current!$B$4:$AY$138, LS_current!J$148, FALSE), VLOOKUP($A18, LS_current!$B$4:$AY$138,LS_current!J$148, FALSE))/2)</f>
        <v>1339</v>
      </c>
      <c r="CG18" s="227">
        <f t="array" ref="CG18">IF($BU18=0, INDEX(LS_current!$D$4:$AY$138, MATCH('Staging Table'!$A18, LS_current!$B$4:$B$138, 0), MATCH(CG$4&amp;CG$5, LS_current!$D$2:$AY$2&amp;LS_current!$D$3:$AY$3, 0)),SUM(VLOOKUP($A18, LS_current!$B$4:$AY$138, LS_current!K$148, FALSE), VLOOKUP($A18, LS_current!$B$4:$AY$138,LS_current!K$148, FALSE))/2)</f>
        <v>1137</v>
      </c>
      <c r="CH18" s="227">
        <f t="array" ref="CH18">IF($BU18=0, INDEX(LS_current!$D$4:$AY$138, MATCH('Staging Table'!$A18, LS_current!$B$4:$B$138, 0), MATCH(CH$4&amp;CH$5, LS_current!$D$2:$AY$2&amp;LS_current!$D$3:$AY$3, 0)),SUM(VLOOKUP($A18, LS_current!$B$4:$AY$138, LS_current!L$148, FALSE), VLOOKUP($A18, LS_current!$B$4:$AY$138,LS_current!L$148, FALSE))/2)</f>
        <v>1243</v>
      </c>
      <c r="CI18" s="227">
        <f t="array" ref="CI18">IF($BU18=0, INDEX(LS_current!$D$4:$AY$138, MATCH('Staging Table'!$A18, LS_current!$B$4:$B$138, 0), MATCH(CI$4&amp;CI$5, LS_current!$D$2:$AY$2&amp;LS_current!$D$3:$AY$3, 0)),SUM(VLOOKUP($A18, LS_current!$B$4:$AY$138, LS_current!M$148, FALSE), VLOOKUP($A18, LS_current!$B$4:$AY$138,LS_current!M$148, FALSE))/2)</f>
        <v>920</v>
      </c>
      <c r="CJ18" s="227">
        <f t="array" ref="CJ18">IF($BU18=0, INDEX(LS_current!$D$4:$AY$138, MATCH('Staging Table'!$A18, LS_current!$B$4:$B$138, 0), MATCH(CJ$4&amp;CJ$5, LS_current!$D$2:$AY$2&amp;LS_current!$D$3:$AY$3, 0)),SUM(VLOOKUP($A18, LS_current!$B$4:$AY$138, LS_current!N$148, FALSE), VLOOKUP($A18, LS_current!$B$4:$AY$138,LS_current!N$148, FALSE))/2)</f>
        <v>566</v>
      </c>
      <c r="CK18" s="227">
        <f t="array" ref="CK18">IF($BU18=0, INDEX(LS_current!$D$4:$AY$138, MATCH('Staging Table'!$A18, LS_current!$B$4:$B$138, 0), MATCH(CK$4&amp;CK$5, LS_current!$D$2:$AY$2&amp;LS_current!$D$3:$AY$3, 0)),SUM(VLOOKUP($A18, LS_current!$B$4:$AY$138, LS_current!O$148, FALSE), VLOOKUP($A18, LS_current!$B$4:$AY$138,LS_current!O$148, FALSE))/2)</f>
        <v>744</v>
      </c>
      <c r="CL18" s="227">
        <f t="array" ref="CL18">IF($BU18=0, INDEX(LS_current!$D$4:$AY$138, MATCH('Staging Table'!$A18, LS_current!$B$4:$B$138, 0), MATCH(CL$4&amp;CL$5, LS_current!$D$2:$AY$2&amp;LS_current!$D$3:$AY$3, 0)),SUM(VLOOKUP($A18, LS_current!$B$4:$AY$138, LS_current!P$148, FALSE), VLOOKUP($A18, LS_current!$B$4:$AY$138,LS_current!P$148, FALSE))/2)</f>
        <v>988</v>
      </c>
      <c r="CM18" s="227">
        <f t="array" ref="CM18">IF($BU18=0, INDEX(LS_current!$D$4:$AY$138, MATCH('Staging Table'!$A18, LS_current!$B$4:$B$138, 0), MATCH(CM$4&amp;CM$5, LS_current!$D$2:$AY$2&amp;LS_current!$D$3:$AY$3, 0)),SUM(VLOOKUP($A18, LS_current!$B$4:$AY$138, LS_current!Q$148, FALSE), VLOOKUP($A18, LS_current!$B$4:$AY$138,LS_current!Q$148, FALSE))/2)</f>
        <v>689</v>
      </c>
      <c r="CN18" s="227">
        <f t="array" ref="CN18">IF($BU18=0, INDEX(LS_current!$D$4:$AY$138, MATCH('Staging Table'!$A18, LS_current!$B$4:$B$138, 0), MATCH(CN$4&amp;CN$5, LS_current!$D$2:$AY$2&amp;LS_current!$D$3:$AY$3, 0)),SUM(VLOOKUP($A18, LS_current!$B$4:$AY$138, LS_current!R$148, FALSE), VLOOKUP($A18, LS_current!$B$4:$AY$138,LS_current!R$148, FALSE))/2)</f>
        <v>-696</v>
      </c>
      <c r="CO18" s="227">
        <f t="array" ref="CO18">IF($BU18=0, INDEX(LS_current!$D$4:$AY$138, MATCH('Staging Table'!$A18, LS_current!$B$4:$B$138, 0), MATCH(CO$4&amp;CO$5, LS_current!$D$2:$AY$2&amp;LS_current!$D$3:$AY$3, 0)),SUM(VLOOKUP($A18, LS_current!$B$4:$AY$138, LS_current!S$148, FALSE), VLOOKUP($A18, LS_current!$B$4:$AY$138,LS_current!S$148, FALSE))/2)</f>
        <v>259</v>
      </c>
      <c r="CP18" s="227">
        <f t="array" ref="CP18">IF($BU18=0, INDEX(LS_current!$D$4:$AY$138, MATCH('Staging Table'!$A18, LS_current!$B$4:$B$138, 0), MATCH(CP$4&amp;CP$5, LS_current!$D$2:$AY$2&amp;LS_current!$D$3:$AY$3, 0)),SUM(VLOOKUP($A18, LS_current!$B$4:$AY$138, LS_current!T$148, FALSE), VLOOKUP($A18, LS_current!$B$4:$AY$138,LS_current!T$148, FALSE))/2)</f>
        <v>-1842</v>
      </c>
      <c r="CQ18" s="227">
        <f t="array" ref="CQ18">IF($BU18=0, INDEX(LS_current!$D$4:$AY$138, MATCH('Staging Table'!$A18, LS_current!$B$4:$B$138, 0), MATCH(CQ$4&amp;CQ$5, LS_current!$D$2:$AY$2&amp;LS_current!$D$3:$AY$3, 0)),SUM(VLOOKUP($A18, LS_current!$B$4:$AY$138, LS_current!U$148, FALSE), VLOOKUP($A18, LS_current!$B$4:$AY$138,LS_current!U$148, FALSE))/2)</f>
        <v>-757</v>
      </c>
      <c r="CR18" s="227">
        <f t="array" ref="CR18">IF($BU18=0, INDEX(LS_current!$D$4:$AY$138, MATCH('Staging Table'!$A18, LS_current!$B$4:$B$138, 0), MATCH(CR$4&amp;CR$5, LS_current!$D$2:$AY$2&amp;LS_current!$D$3:$AY$3, 0)),SUM(VLOOKUP($A18, LS_current!$B$4:$AY$138, LS_current!V$148, FALSE), VLOOKUP($A18, LS_current!$B$4:$AY$138,LS_current!V$148, FALSE))/2)</f>
        <v>-832</v>
      </c>
      <c r="CS18" s="227">
        <f t="array" ref="CS18">IF($BU18=0, INDEX(LS_current!$D$4:$AY$138, MATCH('Staging Table'!$A18, LS_current!$B$4:$B$138, 0), MATCH(CS$4&amp;CS$5, LS_current!$D$2:$AY$2&amp;LS_current!$D$3:$AY$3, 0)),SUM(VLOOKUP($A18, LS_current!$B$4:$AY$138, LS_current!W$148, FALSE), VLOOKUP($A18, LS_current!$B$4:$AY$138,LS_current!W$148, FALSE))/2)</f>
        <v>389</v>
      </c>
      <c r="CT18" s="227">
        <f t="array" ref="CT18">IF($BU18=0, INDEX(LS_current!$D$4:$AY$138, MATCH('Staging Table'!$A18, LS_current!$B$4:$B$138, 0), MATCH(CT$4&amp;CT$5, LS_current!$D$2:$AY$2&amp;LS_current!$D$3:$AY$3, 0)),SUM(VLOOKUP($A18, LS_current!$B$4:$AY$138, LS_current!X$148, FALSE), VLOOKUP($A18, LS_current!$B$4:$AY$138,LS_current!X$148, FALSE))/2)</f>
        <v>-644</v>
      </c>
      <c r="CU18" s="227">
        <f t="array" ref="CU18">IF($BU18=0, INDEX(LS_current!$D$4:$AY$138, MATCH('Staging Table'!$A18, LS_current!$B$4:$B$138, 0), MATCH(CU$4&amp;CU$5, LS_current!$D$2:$AY$2&amp;LS_current!$D$3:$AY$3, 0)),SUM(VLOOKUP($A18, LS_current!$B$4:$AY$138, LS_current!Y$148, FALSE), VLOOKUP($A18, LS_current!$B$4:$AY$138,LS_current!Y$148, FALSE))/2)</f>
        <v>452</v>
      </c>
      <c r="CV18" s="227">
        <f t="array" ref="CV18">IF($BU18=0, INDEX(LS_current!$D$4:$AY$138, MATCH('Staging Table'!$A18, LS_current!$B$4:$B$138, 0), MATCH(CV$4&amp;CV$5, LS_current!$D$2:$AY$2&amp;LS_current!$D$3:$AY$3, 0)),SUM(VLOOKUP($A18, LS_current!$B$4:$AY$138, LS_current!Z$148, FALSE), VLOOKUP($A18, LS_current!$B$4:$AY$138,LS_current!Z$148, FALSE))/2)</f>
        <v>-29</v>
      </c>
      <c r="CW18" s="227">
        <f t="array" ref="CW18">IF($BU18=0, INDEX(LS_current!$D$4:$AY$138, MATCH('Staging Table'!$A18, LS_current!$B$4:$B$138, 0), MATCH(CW$4&amp;CW$5, LS_current!$D$2:$AY$2&amp;LS_current!$D$3:$AY$3, 0)),SUM(VLOOKUP($A18, LS_current!$B$4:$AY$138, LS_current!AA$148, FALSE), VLOOKUP($A18, LS_current!$B$4:$AY$138,LS_current!AA$148, FALSE))/2)</f>
        <v>299</v>
      </c>
      <c r="CX18" s="229">
        <f t="array" ref="CX18">INDEX(Demand_current!$D$4:$AY$138, MATCH($A18, Demand_current!$B$4:$B$138, 0), MATCH(CX$4&amp;CX$5,Demand_current!$D$2:$AY$2&amp;Demand_current!$D$3:$AY$3, 0))/1000</f>
        <v>0.80600000000000005</v>
      </c>
      <c r="CY18" s="229">
        <f t="array" ref="CY18">INDEX(Demand_current!$D$4:$AY$138, MATCH($A18, Demand_current!$B$4:$B$138, 0), MATCH(CY$4&amp;CY$5,Demand_current!$D$2:$AY$2&amp;Demand_current!$D$3:$AY$3, 0))/1000</f>
        <v>0.98599999999999999</v>
      </c>
      <c r="CZ18" s="229">
        <f t="array" ref="CZ18">INDEX(Demand_current!$D$4:$AY$138, MATCH($A18, Demand_current!$B$4:$B$138, 0), MATCH(CZ$4&amp;CZ$5,Demand_current!$D$2:$AY$2&amp;Demand_current!$D$3:$AY$3, 0))/1000</f>
        <v>1.69</v>
      </c>
      <c r="DA18" s="229">
        <f t="array" ref="DA18">INDEX(Demand_current!$D$4:$AY$138, MATCH($A18, Demand_current!$B$4:$B$138, 0), MATCH(DA$4&amp;DA$5,Demand_current!$D$2:$AY$2&amp;Demand_current!$D$3:$AY$3, 0))/1000</f>
        <v>1.3520000000000001</v>
      </c>
      <c r="DB18" s="229">
        <f t="array" ref="DB18">INDEX(Demand_current!$D$4:$AY$138, MATCH($A18, Demand_current!$B$4:$B$138, 0), MATCH(DB$4&amp;DB$5,Demand_current!$D$2:$AY$2&amp;Demand_current!$D$3:$AY$3, 0))/1000</f>
        <v>1.165</v>
      </c>
      <c r="DC18" s="229">
        <f t="array" ref="DC18">INDEX(Demand_current!$D$4:$AY$138, MATCH($A18, Demand_current!$B$4:$B$138, 0), MATCH(DC$4&amp;DC$5,Demand_current!$D$2:$AY$2&amp;Demand_current!$D$3:$AY$3, 0))/1000</f>
        <v>1.359</v>
      </c>
      <c r="DD18" s="229">
        <f t="array" ref="DD18">INDEX(Demand_current!$D$4:$AY$138, MATCH($A18, Demand_current!$B$4:$B$138, 0), MATCH(DD$4&amp;DD$5,Demand_current!$D$2:$AY$2&amp;Demand_current!$D$3:$AY$3, 0))/1000</f>
        <v>1.1419999999999999</v>
      </c>
      <c r="DE18" s="229">
        <f t="array" ref="DE18">INDEX(Demand_current!$D$4:$AY$138, MATCH($A18, Demand_current!$B$4:$B$138, 0), MATCH(DE$4&amp;DE$5,Demand_current!$D$2:$AY$2&amp;Demand_current!$D$3:$AY$3, 0))/1000</f>
        <v>0.82499999999999996</v>
      </c>
      <c r="DF18" s="229">
        <f t="array" ref="DF18">INDEX(Demand_current!$D$4:$AY$138, MATCH($A18, Demand_current!$B$4:$B$138, 0), MATCH(DF$4&amp;DF$5,Demand_current!$D$2:$AY$2&amp;Demand_current!$D$3:$AY$3, 0))/1000</f>
        <v>0.998</v>
      </c>
      <c r="DG18" s="229">
        <f t="array" ref="DG18">INDEX(Demand_current!$D$4:$AY$138, MATCH($A18, Demand_current!$B$4:$B$138, 0), MATCH(DG$4&amp;DG$5,Demand_current!$D$2:$AY$2&amp;Demand_current!$D$3:$AY$3, 0))/1000</f>
        <v>0.93200000000000005</v>
      </c>
      <c r="DH18" s="229">
        <f t="array" ref="DH18">INDEX(Demand_current!$D$4:$AY$138, MATCH($A18, Demand_current!$B$4:$B$138, 0), MATCH(DH$4&amp;DH$5,Demand_current!$D$2:$AY$2&amp;Demand_current!$D$3:$AY$3, 0))/1000</f>
        <v>1.2949999999999999</v>
      </c>
      <c r="DI18" s="229">
        <f t="array" ref="DI18">INDEX(Demand_current!$D$4:$AY$138, MATCH($A18, Demand_current!$B$4:$B$138, 0), MATCH(DI$4&amp;DI$5,Demand_current!$D$2:$AY$2&amp;Demand_current!$D$3:$AY$3, 0))/1000</f>
        <v>1.0820000000000001</v>
      </c>
      <c r="DJ18" s="227">
        <f>$BT18*(VLOOKUP(DJ$4, Rates_current!$G$6:$Q$29, 10, FALSE)+VLOOKUP(DJ$4, Rates_current!$G$6:$Q$29, 11, FALSE))</f>
        <v>5718.5473472459998</v>
      </c>
      <c r="DK18" s="227">
        <f>$BT18*(VLOOKUP(DK$4, Rates_current!$G$6:$Q$29, 10, FALSE)+VLOOKUP(DK$4, Rates_current!$G$6:$Q$29, 11, FALSE))</f>
        <v>7264.3390665015004</v>
      </c>
      <c r="DL18" s="227">
        <f>$BT18*(VLOOKUP(DL$4, Rates_current!$G$6:$Q$29, 10, FALSE)+VLOOKUP(DL$4, Rates_current!$G$6:$Q$29, 11, FALSE))</f>
        <v>7176.6123427460006</v>
      </c>
      <c r="DM18" s="227">
        <f>$BT18*(VLOOKUP(DM$4, Rates_current!$G$6:$Q$29, 10, FALSE)+VLOOKUP(DM$4, Rates_current!$G$6:$Q$29, 11, FALSE))</f>
        <v>5982.1434947460002</v>
      </c>
      <c r="DN18" s="227">
        <f>$BT18*(VLOOKUP(DN$4, Rates_current!$G$6:$Q$29, 10, FALSE)+VLOOKUP(DN$4, Rates_current!$G$6:$Q$29, 11, FALSE))</f>
        <v>5419.2014067999999</v>
      </c>
      <c r="DO18" s="227">
        <f>$BT18*(VLOOKUP(DO$4, Rates_current!$G$6:$Q$29, 10, FALSE)+VLOOKUP(DO$4, Rates_current!$G$6:$Q$29, 11, FALSE))</f>
        <v>6027.8735479745001</v>
      </c>
      <c r="DP18" s="227">
        <f>$BT18*(VLOOKUP(DP$4, Rates_current!$G$6:$Q$29, 10, FALSE)+VLOOKUP(DP$4, Rates_current!$G$6:$Q$29, 11, FALSE))</f>
        <v>4907.90114748</v>
      </c>
      <c r="DQ18" s="227">
        <f>$BT18*(VLOOKUP(DQ$4, Rates_current!$G$6:$Q$29, 10, FALSE)+VLOOKUP(DQ$4, Rates_current!$G$6:$Q$29, 11, FALSE))</f>
        <v>6619.0365464960005</v>
      </c>
      <c r="DR18" s="227">
        <f>$BT18*(VLOOKUP(DR$4, Rates_current!$G$6:$Q$29, 10, FALSE)+VLOOKUP(DR$4, Rates_current!$G$6:$Q$29, 11, FALSE))</f>
        <v>8445.4404632300011</v>
      </c>
      <c r="DS18" s="227">
        <f>$BT18*(VLOOKUP(DS$4, Rates_current!$G$6:$Q$29, 10, FALSE)+VLOOKUP(DS$4, Rates_current!$G$6:$Q$29, 11, FALSE))</f>
        <v>6621.4931112460008</v>
      </c>
      <c r="DT18" s="227">
        <f>$BT18*(VLOOKUP(DT$4, Rates_current!$G$6:$Q$29, 10, FALSE)+VLOOKUP(DT$4, Rates_current!$G$6:$Q$29, 11, FALSE))</f>
        <v>6448.015796996001</v>
      </c>
      <c r="DU18" s="227">
        <f>$BT18*(VLOOKUP(DU$4, Rates_current!$G$6:$Q$29, 10, FALSE)+VLOOKUP(DU$4, Rates_current!$G$6:$Q$29, 11, FALSE))</f>
        <v>5788.9465159800002</v>
      </c>
      <c r="DV18" s="229">
        <f>IF(D18=0,IF(C18=0,MAX(0,DY18 - (VLOOKUP($A18,TOCA_current!$A$2:$AI$137,MATCH("RHWM 2020",TOCA_current!$A$2:$AI$2,0),FALSE)*$BT$2)), 0),0)</f>
        <v>6614.7536558080028</v>
      </c>
      <c r="DW18" s="266">
        <f>VLOOKUP($A18,REP_current!$A$1:$D$135,MATCH("FY "&amp;$BT$1&amp; " Total Refund",REP_current!$A$1:$D$1,0),0)</f>
        <v>0</v>
      </c>
      <c r="DX18" s="295">
        <f>MIN(VLOOKUP($A18,TOCA_current!$A$2:$AI$137,MATCH("TRL - NLSL - Existing Resource "&amp;$BT$1,TOCA_current!$A$2:$AI$2,0),FALSE)*$BT$2, VLOOKUP($A18,TOCA_current!$A$2:$AI$137,MATCH("RHWM 2020",TOCA_current!$A$2:$AI$2,0),FALSE)*$BT$2)</f>
        <v>76420.799999999988</v>
      </c>
      <c r="DY18" s="240">
        <f>SUM(BZ18:CW18)+(BT18*RT1SC!$C$4*$BT$2)</f>
        <v>83035.553655807991</v>
      </c>
      <c r="DZ18" s="271">
        <f>VLOOKUP($A18,TOCA_current!$A$2:$AI$137,MATCH("Above RHWM Not Served with LS "&amp;$BT$1,TOCA_current!$A$2:$AI$2,0),FALSE)*$BT$2</f>
        <v>0</v>
      </c>
      <c r="EA18" s="244">
        <f t="shared" si="13"/>
        <v>6614.7536558080028</v>
      </c>
      <c r="EB18" s="295">
        <f>(VLOOKUP($A18,TOCA_current!$A$2:$AI$137,MATCH("RHWM 2020",TOCA_current!$A$2:$AI$2,0),FALSE)*$BT$2) - $DX18</f>
        <v>0</v>
      </c>
      <c r="EC18" s="240">
        <f t="shared" si="14"/>
        <v>0</v>
      </c>
      <c r="ED18" s="240">
        <f t="shared" si="15"/>
        <v>0</v>
      </c>
      <c r="EE18" s="240">
        <f t="shared" si="16"/>
        <v>0</v>
      </c>
      <c r="EF18" s="240">
        <f t="shared" si="17"/>
        <v>0</v>
      </c>
    </row>
    <row r="19" spans="1:136">
      <c r="A19" s="166">
        <v>10062</v>
      </c>
      <c r="B19" s="167" t="s">
        <v>20</v>
      </c>
      <c r="C19" s="240">
        <v>0</v>
      </c>
      <c r="D19" s="240">
        <v>0</v>
      </c>
      <c r="E19" s="150">
        <f>VLOOKUP($A19,TOCA_previous!$A$2:$AI$137,MATCH(E$4,TOCA_previous!$A$2:$AI$2,0),FALSE)</f>
        <v>7.5370000000000005E-4</v>
      </c>
      <c r="F19" s="151">
        <f>VLOOKUP($A19,TOCA_previous!$A$2:$AI$137,MATCH(F$4,TOCA_previous!$A$2:$AI$2,0),FALSE)</f>
        <v>7.5370000000000005E-4</v>
      </c>
      <c r="G19" s="151">
        <f t="shared" si="2"/>
        <v>0</v>
      </c>
      <c r="H19" s="151">
        <f>VLOOKUP($A19,TOCA_previous!$A$2:$AI$137,MATCH(H$4,TOCA_previous!$A$2:$AI$2,0),FALSE)</f>
        <v>0</v>
      </c>
      <c r="I19" s="151">
        <f t="shared" si="3"/>
        <v>0</v>
      </c>
      <c r="J19" s="151">
        <f t="shared" si="4"/>
        <v>0</v>
      </c>
      <c r="K19" s="226">
        <f>VLOOKUP(A19, IRD!$A$5:$C$139, 3, FALSE)</f>
        <v>0</v>
      </c>
      <c r="L19" s="227">
        <f t="array" ref="L19">IF($G19=0, INDEX(LS_previous!$D$4:$AY$138, MATCH('Staging Table'!$A19, LS_previous!$B$4:$B$138, 0), MATCH(L$4&amp;L$5, LS_previous!$D$2:$AY$2&amp;LS_previous!$D$3:$AY$3, 0)),SUM(VLOOKUP($A19, LS_previous!$B$4:$AY$138, LS_previous!D$149, FALSE), VLOOKUP('Staging Table'!$A19, LS_previous!$B$4:$AY$138,LS_previous!AB$149, FALSE))/2)</f>
        <v>742</v>
      </c>
      <c r="M19" s="227">
        <f t="array" ref="M19">IF($G19=0, INDEX(LS_previous!$D$4:$AY$138, MATCH('Staging Table'!$A19, LS_previous!$B$4:$B$138, 0), MATCH(M$4&amp;M$5, LS_previous!$D$2:$AY$2&amp;LS_previous!$D$3:$AY$3, 0)),SUM(VLOOKUP($A19, LS_previous!$B$4:$AY$138, LS_previous!E$149, FALSE), VLOOKUP('Staging Table'!$A19, LS_previous!$B$4:$AY$138,LS_previous!AC$149, FALSE))/2)</f>
        <v>77</v>
      </c>
      <c r="N19" s="227">
        <f t="array" ref="N19">IF($G19=0, INDEX(LS_previous!$D$4:$AY$138, MATCH('Staging Table'!$A19, LS_previous!$B$4:$B$138, 0), MATCH(N$4&amp;N$5, LS_previous!$D$2:$AY$2&amp;LS_previous!$D$3:$AY$3, 0)),SUM(VLOOKUP($A19, LS_previous!$B$4:$AY$138, LS_previous!F$149, FALSE), VLOOKUP('Staging Table'!$A19, LS_previous!$B$4:$AY$138,LS_previous!AD$149, FALSE))/2)</f>
        <v>699</v>
      </c>
      <c r="O19" s="227">
        <f t="array" ref="O19">IF($G19=0, INDEX(LS_previous!$D$4:$AY$138, MATCH('Staging Table'!$A19, LS_previous!$B$4:$B$138, 0), MATCH(O$4&amp;O$5, LS_previous!$D$2:$AY$2&amp;LS_previous!$D$3:$AY$3, 0)),SUM(VLOOKUP($A19, LS_previous!$B$4:$AY$138, LS_previous!G$149, FALSE), VLOOKUP('Staging Table'!$A19, LS_previous!$B$4:$AY$138,LS_previous!AE$149, FALSE))/2)</f>
        <v>257</v>
      </c>
      <c r="P19" s="227">
        <f t="array" ref="P19">IF($G19=0, INDEX(LS_previous!$D$4:$AY$138, MATCH('Staging Table'!$A19, LS_previous!$B$4:$B$138, 0), MATCH(P$4&amp;P$5, LS_previous!$D$2:$AY$2&amp;LS_previous!$D$3:$AY$3, 0)),SUM(VLOOKUP($A19, LS_previous!$B$4:$AY$138, LS_previous!H$149, FALSE), VLOOKUP('Staging Table'!$A19, LS_previous!$B$4:$AY$138,LS_previous!AF$149, FALSE))/2)</f>
        <v>1701</v>
      </c>
      <c r="Q19" s="227">
        <f t="array" ref="Q19">IF($G19=0, INDEX(LS_previous!$D$4:$AY$138, MATCH('Staging Table'!$A19, LS_previous!$B$4:$B$138, 0), MATCH(Q$4&amp;Q$5, LS_previous!$D$2:$AY$2&amp;LS_previous!$D$3:$AY$3, 0)),SUM(VLOOKUP($A19, LS_previous!$B$4:$AY$138, LS_previous!I$149, FALSE), VLOOKUP('Staging Table'!$A19, LS_previous!$B$4:$AY$138,LS_previous!AG$149, FALSE))/2)</f>
        <v>864</v>
      </c>
      <c r="R19" s="227">
        <f t="array" ref="R19">IF($G19=0, INDEX(LS_previous!$D$4:$AY$138, MATCH('Staging Table'!$A19, LS_previous!$B$4:$B$138, 0), MATCH(R$4&amp;R$5, LS_previous!$D$2:$AY$2&amp;LS_previous!$D$3:$AY$3, 0)),SUM(VLOOKUP($A19, LS_previous!$B$4:$AY$138, LS_previous!J$149, FALSE), VLOOKUP('Staging Table'!$A19, LS_previous!$B$4:$AY$138,LS_previous!AH$149, FALSE))/2)</f>
        <v>2006</v>
      </c>
      <c r="S19" s="227">
        <f t="array" ref="S19">IF($G19=0, INDEX(LS_previous!$D$4:$AY$138, MATCH('Staging Table'!$A19, LS_previous!$B$4:$B$138, 0), MATCH(S$4&amp;S$5, LS_previous!$D$2:$AY$2&amp;LS_previous!$D$3:$AY$3, 0)),SUM(VLOOKUP($A19, LS_previous!$B$4:$AY$138, LS_previous!K$149, FALSE), VLOOKUP('Staging Table'!$A19, LS_previous!$B$4:$AY$138,LS_previous!AI$149, FALSE))/2)</f>
        <v>1113</v>
      </c>
      <c r="T19" s="227">
        <f t="array" ref="T19">IF($G19=0, INDEX(LS_previous!$D$4:$AY$138, MATCH('Staging Table'!$A19, LS_previous!$B$4:$B$138, 0), MATCH(T$4&amp;T$5, LS_previous!$D$2:$AY$2&amp;LS_previous!$D$3:$AY$3, 0)),SUM(VLOOKUP($A19, LS_previous!$B$4:$AY$138, LS_previous!L$149, FALSE), VLOOKUP('Staging Table'!$A19, LS_previous!$B$4:$AY$138,LS_previous!AJ$149, FALSE))/2)</f>
        <v>2003</v>
      </c>
      <c r="U19" s="227">
        <f t="array" ref="U19">IF($G19=0, INDEX(LS_previous!$D$4:$AY$138, MATCH('Staging Table'!$A19, LS_previous!$B$4:$B$138, 0), MATCH(U$4&amp;U$5, LS_previous!$D$2:$AY$2&amp;LS_previous!$D$3:$AY$3, 0)),SUM(VLOOKUP($A19, LS_previous!$B$4:$AY$138, LS_previous!M$149, FALSE), VLOOKUP('Staging Table'!$A19, LS_previous!$B$4:$AY$138,LS_previous!AK$149, FALSE))/2)</f>
        <v>991</v>
      </c>
      <c r="V19" s="227">
        <f t="array" ref="V19">IF($G19=0, INDEX(LS_previous!$D$4:$AY$138, MATCH('Staging Table'!$A19, LS_previous!$B$4:$B$138, 0), MATCH(V$4&amp;V$5, LS_previous!$D$2:$AY$2&amp;LS_previous!$D$3:$AY$3, 0)),SUM(VLOOKUP($A19, LS_previous!$B$4:$AY$138, LS_previous!N$149, FALSE), VLOOKUP('Staging Table'!$A19, LS_previous!$B$4:$AY$138,LS_previous!AL$149, FALSE))/2)</f>
        <v>1144</v>
      </c>
      <c r="W19" s="227">
        <f t="array" ref="W19">IF($G19=0, INDEX(LS_previous!$D$4:$AY$138, MATCH('Staging Table'!$A19, LS_previous!$B$4:$B$138, 0), MATCH(W$4&amp;W$5, LS_previous!$D$2:$AY$2&amp;LS_previous!$D$3:$AY$3, 0)),SUM(VLOOKUP($A19, LS_previous!$B$4:$AY$138, LS_previous!O$149, FALSE), VLOOKUP('Staging Table'!$A19, LS_previous!$B$4:$AY$138,LS_previous!AM$149, FALSE))/2)</f>
        <v>329</v>
      </c>
      <c r="X19" s="227">
        <f t="array" ref="X19">IF($G19=0, INDEX(LS_previous!$D$4:$AY$138, MATCH('Staging Table'!$A19, LS_previous!$B$4:$B$138, 0), MATCH(X$4&amp;X$5, LS_previous!$D$2:$AY$2&amp;LS_previous!$D$3:$AY$3, 0)),SUM(VLOOKUP($A19, LS_previous!$B$4:$AY$138, LS_previous!P$149, FALSE), VLOOKUP('Staging Table'!$A19, LS_previous!$B$4:$AY$138,LS_previous!AN$149, FALSE))/2)</f>
        <v>132</v>
      </c>
      <c r="Y19" s="227">
        <f t="array" ref="Y19">IF($G19=0, INDEX(LS_previous!$D$4:$AY$138, MATCH('Staging Table'!$A19, LS_previous!$B$4:$B$138, 0), MATCH(Y$4&amp;Y$5, LS_previous!$D$2:$AY$2&amp;LS_previous!$D$3:$AY$3, 0)),SUM(VLOOKUP($A19, LS_previous!$B$4:$AY$138, LS_previous!Q$149, FALSE), VLOOKUP('Staging Table'!$A19, LS_previous!$B$4:$AY$138,LS_previous!AO$149, FALSE))/2)</f>
        <v>-290</v>
      </c>
      <c r="Z19" s="227">
        <f t="array" ref="Z19">IF($G19=0, INDEX(LS_previous!$D$4:$AY$138, MATCH('Staging Table'!$A19, LS_previous!$B$4:$B$138, 0), MATCH(Z$4&amp;Z$5, LS_previous!$D$2:$AY$2&amp;LS_previous!$D$3:$AY$3, 0)),SUM(VLOOKUP($A19, LS_previous!$B$4:$AY$138, LS_previous!R$149, FALSE), VLOOKUP('Staging Table'!$A19, LS_previous!$B$4:$AY$138,LS_previous!AP$149, FALSE))/2)</f>
        <v>-1820</v>
      </c>
      <c r="AA19" s="227">
        <f t="array" ref="AA19">IF($G19=0, INDEX(LS_previous!$D$4:$AY$138, MATCH('Staging Table'!$A19, LS_previous!$B$4:$B$138, 0), MATCH(AA$4&amp;AA$5, LS_previous!$D$2:$AY$2&amp;LS_previous!$D$3:$AY$3, 0)),SUM(VLOOKUP($A19, LS_previous!$B$4:$AY$138, LS_previous!S$149, FALSE), VLOOKUP('Staging Table'!$A19, LS_previous!$B$4:$AY$138,LS_previous!AQ$149, FALSE))/2)</f>
        <v>-1708</v>
      </c>
      <c r="AB19" s="227">
        <f t="array" ref="AB19">IF($G19=0, INDEX(LS_previous!$D$4:$AY$138, MATCH('Staging Table'!$A19, LS_previous!$B$4:$B$138, 0), MATCH(AB$4&amp;AB$5, LS_previous!$D$2:$AY$2&amp;LS_previous!$D$3:$AY$3, 0)),SUM(VLOOKUP($A19, LS_previous!$B$4:$AY$138, LS_previous!T$149, FALSE), VLOOKUP('Staging Table'!$A19, LS_previous!$B$4:$AY$138,LS_previous!AR$149, FALSE))/2)</f>
        <v>-1217</v>
      </c>
      <c r="AC19" s="227">
        <f t="array" ref="AC19">IF($G19=0, INDEX(LS_previous!$D$4:$AY$138, MATCH('Staging Table'!$A19, LS_previous!$B$4:$B$138, 0), MATCH(AC$4&amp;AC$5, LS_previous!$D$2:$AY$2&amp;LS_previous!$D$3:$AY$3, 0)),SUM(VLOOKUP($A19, LS_previous!$B$4:$AY$138, LS_previous!U$149, FALSE), VLOOKUP('Staging Table'!$A19, LS_previous!$B$4:$AY$138,LS_previous!AS$149, FALSE))/2)</f>
        <v>-1220</v>
      </c>
      <c r="AD19" s="227">
        <f t="array" ref="AD19">IF($G19=0, INDEX(LS_previous!$D$4:$AY$138, MATCH('Staging Table'!$A19, LS_previous!$B$4:$B$138, 0), MATCH(AD$4&amp;AD$5, LS_previous!$D$2:$AY$2&amp;LS_previous!$D$3:$AY$3, 0)),SUM(VLOOKUP($A19, LS_previous!$B$4:$AY$138, LS_previous!V$149, FALSE), VLOOKUP('Staging Table'!$A19, LS_previous!$B$4:$AY$138,LS_previous!AT$149, FALSE))/2)</f>
        <v>-193</v>
      </c>
      <c r="AE19" s="227">
        <f t="array" ref="AE19">IF($G19=0, INDEX(LS_previous!$D$4:$AY$138, MATCH('Staging Table'!$A19, LS_previous!$B$4:$B$138, 0), MATCH(AE$4&amp;AE$5, LS_previous!$D$2:$AY$2&amp;LS_previous!$D$3:$AY$3, 0)),SUM(VLOOKUP($A19, LS_previous!$B$4:$AY$138, LS_previous!W$149, FALSE), VLOOKUP('Staging Table'!$A19, LS_previous!$B$4:$AY$138,LS_previous!AU$149, FALSE))/2)</f>
        <v>-567</v>
      </c>
      <c r="AF19" s="227">
        <f t="array" ref="AF19">IF($G19=0, INDEX(LS_previous!$D$4:$AY$138, MATCH('Staging Table'!$A19, LS_previous!$B$4:$B$138, 0), MATCH(AF$4&amp;AF$5, LS_previous!$D$2:$AY$2&amp;LS_previous!$D$3:$AY$3, 0)),SUM(VLOOKUP($A19, LS_previous!$B$4:$AY$138, LS_previous!X$149, FALSE), VLOOKUP('Staging Table'!$A19, LS_previous!$B$4:$AY$138,LS_previous!AV$149, FALSE))/2)</f>
        <v>407</v>
      </c>
      <c r="AG19" s="227">
        <f t="array" ref="AG19">IF($G19=0, INDEX(LS_previous!$D$4:$AY$138, MATCH('Staging Table'!$A19, LS_previous!$B$4:$B$138, 0), MATCH(AG$4&amp;AG$5, LS_previous!$D$2:$AY$2&amp;LS_previous!$D$3:$AY$3, 0)),SUM(VLOOKUP($A19, LS_previous!$B$4:$AY$138, LS_previous!Y$149, FALSE), VLOOKUP('Staging Table'!$A19, LS_previous!$B$4:$AY$138,LS_previous!AW$149, FALSE))/2)</f>
        <v>-94</v>
      </c>
      <c r="AH19" s="227">
        <f t="array" ref="AH19">IF($G19=0, INDEX(LS_previous!$D$4:$AY$138, MATCH('Staging Table'!$A19, LS_previous!$B$4:$B$138, 0), MATCH(AH$4&amp;AH$5, LS_previous!$D$2:$AY$2&amp;LS_previous!$D$3:$AY$3, 0)),SUM(VLOOKUP($A19, LS_previous!$B$4:$AY$138, LS_previous!Z$149, FALSE), VLOOKUP('Staging Table'!$A19, LS_previous!$B$4:$AY$138,LS_previous!AX$149, FALSE))/2)</f>
        <v>538</v>
      </c>
      <c r="AI19" s="227">
        <f t="array" ref="AI19">IF($G19=0, INDEX(LS_previous!$D$4:$AY$138, MATCH('Staging Table'!$A19, LS_previous!$B$4:$B$138, 0), MATCH(AI$4&amp;AI$5, LS_previous!$D$2:$AY$2&amp;LS_previous!$D$3:$AY$3, 0)),SUM(VLOOKUP($A19, LS_previous!$B$4:$AY$138, LS_previous!AA$149, FALSE), VLOOKUP('Staging Table'!$A19, LS_previous!$B$4:$AY$138,LS_previous!AY$149, FALSE))/2)</f>
        <v>-23</v>
      </c>
      <c r="AJ19" s="424">
        <f t="array" ref="AJ19">INDEX(Demand_previous!$D$4:$AY$138, MATCH('Staging Table'!$A19, Demand_previous!$B$4:$B$138, 0), MATCH(AJ$4&amp;AJ$5,Demand_previous!$D$2:$AY$2&amp;Demand_previous!$D$3:$AY$3, 0))/1000</f>
        <v>0</v>
      </c>
      <c r="AK19" s="424">
        <f t="array" ref="AK19">INDEX(Demand_previous!$D$4:$AY$138, MATCH('Staging Table'!$A19, Demand_previous!$B$4:$B$138, 0), MATCH(AK$4&amp;AK$5,Demand_previous!$D$2:$AY$2&amp;Demand_previous!$D$3:$AY$3, 0))/1000</f>
        <v>0.47899999999999998</v>
      </c>
      <c r="AL19" s="424">
        <f t="array" ref="AL19">INDEX(Demand_previous!$D$4:$AY$138, MATCH('Staging Table'!$A19, Demand_previous!$B$4:$B$138, 0), MATCH(AL$4&amp;AL$5,Demand_previous!$D$2:$AY$2&amp;Demand_previous!$D$3:$AY$3, 0))/1000</f>
        <v>1.423</v>
      </c>
      <c r="AM19" s="424">
        <f t="array" ref="AM19">INDEX(Demand_previous!$D$4:$AY$138, MATCH('Staging Table'!$A19, Demand_previous!$B$4:$B$138, 0), MATCH(AM$4&amp;AM$5,Demand_previous!$D$2:$AY$2&amp;Demand_previous!$D$3:$AY$3, 0))/1000</f>
        <v>1.155</v>
      </c>
      <c r="AN19" s="424">
        <f t="array" ref="AN19">INDEX(Demand_previous!$D$4:$AY$138, MATCH('Staging Table'!$A19, Demand_previous!$B$4:$B$138, 0), MATCH(AN$4&amp;AN$5,Demand_previous!$D$2:$AY$2&amp;Demand_previous!$D$3:$AY$3, 0))/1000</f>
        <v>0.33900000000000002</v>
      </c>
      <c r="AO19" s="424">
        <f t="array" ref="AO19">INDEX(Demand_previous!$D$4:$AY$138, MATCH('Staging Table'!$A19, Demand_previous!$B$4:$B$138, 0), MATCH(AO$4&amp;AO$5,Demand_previous!$D$2:$AY$2&amp;Demand_previous!$D$3:$AY$3, 0))/1000</f>
        <v>0.46100000000000002</v>
      </c>
      <c r="AP19" s="424">
        <f t="array" ref="AP19">INDEX(Demand_previous!$D$4:$AY$138, MATCH('Staging Table'!$A19, Demand_previous!$B$4:$B$138, 0), MATCH(AP$4&amp;AP$5,Demand_previous!$D$2:$AY$2&amp;Demand_previous!$D$3:$AY$3, 0))/1000</f>
        <v>0.52500000000000002</v>
      </c>
      <c r="AQ19" s="424">
        <f t="array" ref="AQ19">INDEX(Demand_previous!$D$4:$AY$138, MATCH('Staging Table'!$A19, Demand_previous!$B$4:$B$138, 0), MATCH(AQ$4&amp;AQ$5,Demand_previous!$D$2:$AY$2&amp;Demand_previous!$D$3:$AY$3, 0))/1000</f>
        <v>0.52500000000000002</v>
      </c>
      <c r="AR19" s="424">
        <f t="array" ref="AR19">INDEX(Demand_previous!$D$4:$AY$138, MATCH('Staging Table'!$A19, Demand_previous!$B$4:$B$138, 0), MATCH(AR$4&amp;AR$5,Demand_previous!$D$2:$AY$2&amp;Demand_previous!$D$3:$AY$3, 0))/1000</f>
        <v>0.91</v>
      </c>
      <c r="AS19" s="424">
        <f t="array" ref="AS19">INDEX(Demand_previous!$D$4:$AY$138, MATCH('Staging Table'!$A19, Demand_previous!$B$4:$B$138, 0), MATCH(AS$4&amp;AS$5,Demand_previous!$D$2:$AY$2&amp;Demand_previous!$D$3:$AY$3, 0))/1000</f>
        <v>7.4999999999999997E-2</v>
      </c>
      <c r="AT19" s="424">
        <f t="array" ref="AT19">INDEX(Demand_previous!$D$4:$AY$138, MATCH('Staging Table'!$A19, Demand_previous!$B$4:$B$138, 0), MATCH(AT$4&amp;AT$5,Demand_previous!$D$2:$AY$2&amp;Demand_previous!$D$3:$AY$3, 0))/1000</f>
        <v>0.38500000000000001</v>
      </c>
      <c r="AU19" s="424">
        <f t="array" ref="AU19">INDEX(Demand_previous!$D$4:$AY$138, MATCH('Staging Table'!$A19, Demand_previous!$B$4:$B$138, 0), MATCH(AU$4&amp;AU$5,Demand_previous!$D$2:$AY$2&amp;Demand_previous!$D$3:$AY$3, 0))/1000</f>
        <v>0.27400000000000002</v>
      </c>
      <c r="AV19" s="227">
        <f>$F19*(VLOOKUP(AV$4, Rates_previous!$G$6:$Q$29, 10, FALSE)+VLOOKUP(AV$4, Rates_previous!$G$6:$Q$29, 11, FALSE))</f>
        <v>3533.9770215129661</v>
      </c>
      <c r="AW19" s="227">
        <f>$F19*(VLOOKUP(AW$4, Rates_previous!$G$6:$Q$29, 10, FALSE)+VLOOKUP(AW$4, Rates_previous!$G$6:$Q$29, 11, FALSE))</f>
        <v>4367.7270021020267</v>
      </c>
      <c r="AX19" s="227">
        <f>$F19*(VLOOKUP(AX$4, Rates_previous!$G$6:$Q$29, 10, FALSE)+VLOOKUP(AX$4, Rates_previous!$G$6:$Q$29, 11, FALSE))</f>
        <v>4315.2758248606096</v>
      </c>
      <c r="AY19" s="227">
        <f>$F19*(VLOOKUP(AY$4, Rates_previous!$G$6:$Q$29, 10, FALSE)+VLOOKUP(AY$4, Rates_previous!$G$6:$Q$29, 11, FALSE))</f>
        <v>3686.9918786260923</v>
      </c>
      <c r="AZ19" s="227">
        <f>$F19*(VLOOKUP(AZ$4, Rates_previous!$G$6:$Q$29, 10, FALSE)+VLOOKUP(AZ$4, Rates_previous!$G$6:$Q$29, 11, FALSE))</f>
        <v>3022.6181704263417</v>
      </c>
      <c r="BA19" s="227">
        <f>$F19*(VLOOKUP(BA$4, Rates_previous!$G$6:$Q$29, 10, FALSE)+VLOOKUP(BA$4, Rates_previous!$G$6:$Q$29, 11, FALSE))</f>
        <v>3578.6701221035501</v>
      </c>
      <c r="BB19" s="227">
        <f>$F19*(VLOOKUP(BB$4, Rates_previous!$G$6:$Q$29, 10, FALSE)+VLOOKUP(BB$4, Rates_previous!$G$6:$Q$29, 11, FALSE))</f>
        <v>3439.6225366689087</v>
      </c>
      <c r="BC19" s="227">
        <f>$F19*(VLOOKUP(BC$4, Rates_previous!$G$6:$Q$29, 10, FALSE)+VLOOKUP(BC$4, Rates_previous!$G$6:$Q$29, 11, FALSE))</f>
        <v>5047.4026754205197</v>
      </c>
      <c r="BD19" s="227">
        <f>$F19*(VLOOKUP(BD$4, Rates_previous!$G$6:$Q$29, 10, FALSE)+VLOOKUP(BD$4, Rates_previous!$G$6:$Q$29, 11, FALSE))</f>
        <v>3982.2673064279443</v>
      </c>
      <c r="BE19" s="227">
        <f>$F19*(VLOOKUP(BE$4, Rates_previous!$G$6:$Q$29, 10, FALSE)+VLOOKUP(BE$4, Rates_previous!$G$6:$Q$29, 11, FALSE))</f>
        <v>3496.7649487617332</v>
      </c>
      <c r="BF19" s="227">
        <f>$F19*(VLOOKUP(BF$4, Rates_previous!$G$6:$Q$29, 10, FALSE)+VLOOKUP(BF$4, Rates_previous!$G$6:$Q$29, 11, FALSE))</f>
        <v>3872.8071482567552</v>
      </c>
      <c r="BG19" s="227">
        <f>$F19*(VLOOKUP(BG$4, Rates_previous!$G$6:$Q$29, 10, FALSE)+VLOOKUP(BG$4, Rates_previous!$G$6:$Q$29, 11, FALSE))</f>
        <v>3508.6092644328432</v>
      </c>
      <c r="BH19" s="229">
        <f>IF($D19=0,IF(C19=0, MAX(BK19 - (VLOOKUP($A19,TOCA_previous!$A$2:$AI$137,MATCH("RHWM 2018",TOCA_previous!$A$2:$AI$2,0),FALSE)*$F$2*TOCA_previous!C16),0),0), 0)</f>
        <v>5873.8945685520011</v>
      </c>
      <c r="BI19" s="266">
        <f>VLOOKUP($A19,REP_previous!$A$1:$D$135,MATCH("FY "&amp;$F$1&amp; " Total Refund",REP_previous!$A$1:$D$1,0),0)</f>
        <v>75485.934594487466</v>
      </c>
      <c r="BJ19" s="241">
        <f>MIN(VLOOKUP($A19,TOCA_previous!$A$2:$AI$137,MATCH("TRL - NLSL - Existing Resource "&amp;$F$1,TOCA_previous!$A$2:$AI$2,0),FALSE)*$F$2,(VLOOKUP($A19,TOCA_previous!$A$2:$AI$137,MATCH("RHWM 2018",TOCA_previous!$A$2:$AI$2,0),FALSE)*$F$2))</f>
        <v>45849.84</v>
      </c>
      <c r="BK19" s="229">
        <f>SUM(L19:AI19)+(F19*RT1SC!$C$3*$F$2)</f>
        <v>51723.734568551998</v>
      </c>
      <c r="BL19" s="241">
        <f>VLOOKUP($A19,TOCA_previous!$A$2:$AI$137,MATCH("Above RHWM Not Served with LS "&amp;$F$1,TOCA_previous!$A$2:$AI$2,0),FALSE)*$F$2</f>
        <v>9898.7999999999993</v>
      </c>
      <c r="BM19" s="151">
        <f t="shared" si="5"/>
        <v>5873.8945685520011</v>
      </c>
      <c r="BN19" s="242">
        <f>(VLOOKUP($A19,TOCA_previous!$A$2:$AI$137,MATCH("RHWM 2018",TOCA_previous!$A$2:$AI$2,0),FALSE)*$F$2) - $BJ19</f>
        <v>0</v>
      </c>
      <c r="BO19" s="151">
        <f t="shared" si="6"/>
        <v>0</v>
      </c>
      <c r="BP19" s="243">
        <f t="shared" si="7"/>
        <v>0</v>
      </c>
      <c r="BQ19" s="237">
        <f t="shared" si="8"/>
        <v>0</v>
      </c>
      <c r="BR19" s="242">
        <f t="shared" si="9"/>
        <v>0</v>
      </c>
      <c r="BS19" s="151">
        <f>VLOOKUP($A19,TOCA_current!$A$2:$AI$137,MATCH(BS$4,TOCA_current!$A$2:$AI$2,0),FALSE)</f>
        <v>7.5319999999999998E-4</v>
      </c>
      <c r="BT19" s="151">
        <f>VLOOKUP($A19,TOCA_current!$A$2:$AI$137,MATCH(BT$4,TOCA_current!$A$2:$AI$2,0),FALSE)</f>
        <v>7.5319999999999998E-4</v>
      </c>
      <c r="BU19" s="236">
        <f t="shared" si="10"/>
        <v>0</v>
      </c>
      <c r="BV19" s="151">
        <f>VLOOKUP($A19,TOCA_current!A15:BG150,MATCH(BV$4,TOCA_current!$A$2:$BG$2,0),FALSE)</f>
        <v>0</v>
      </c>
      <c r="BW19" s="151">
        <f t="shared" si="11"/>
        <v>0</v>
      </c>
      <c r="BX19" s="151">
        <f t="shared" si="12"/>
        <v>0</v>
      </c>
      <c r="BY19" s="226">
        <f>VLOOKUP($A19,IRD!$A$4:$G$139, 7, FALSE)</f>
        <v>0</v>
      </c>
      <c r="BZ19" s="227">
        <f t="array" ref="BZ19">IF($BU19=0, INDEX(LS_current!$D$4:$AY$138, MATCH('Staging Table'!$A19, LS_current!$B$4:$B$138, 0), MATCH(BZ$4&amp;BZ$5, LS_current!$D$2:$AY$2&amp;LS_current!$D$3:$AY$3, 0)),SUM(VLOOKUP($A19, LS_current!$B$4:$AY$138, LS_current!D$148, FALSE), VLOOKUP($A19, LS_current!$B$4:$AY$138,LS_current!D$148, FALSE))/2)</f>
        <v>556</v>
      </c>
      <c r="CA19" s="227">
        <f t="array" ref="CA19">IF($BU19=0, INDEX(LS_current!$D$4:$AY$138, MATCH('Staging Table'!$A19, LS_current!$B$4:$B$138, 0), MATCH(CA$4&amp;CA$5, LS_current!$D$2:$AY$2&amp;LS_current!$D$3:$AY$3, 0)),SUM(VLOOKUP($A19, LS_current!$B$4:$AY$138, LS_current!E$148, FALSE), VLOOKUP($A19, LS_current!$B$4:$AY$138,LS_current!E$148, FALSE))/2)</f>
        <v>-25</v>
      </c>
      <c r="CB19" s="227">
        <f t="array" ref="CB19">IF($BU19=0, INDEX(LS_current!$D$4:$AY$138, MATCH('Staging Table'!$A19, LS_current!$B$4:$B$138, 0), MATCH(CB$4&amp;CB$5, LS_current!$D$2:$AY$2&amp;LS_current!$D$3:$AY$3, 0)),SUM(VLOOKUP($A19, LS_current!$B$4:$AY$138, LS_current!F$148, FALSE), VLOOKUP($A19, LS_current!$B$4:$AY$138,LS_current!F$148, FALSE))/2)</f>
        <v>496</v>
      </c>
      <c r="CC19" s="227">
        <f t="array" ref="CC19">IF($BU19=0, INDEX(LS_current!$D$4:$AY$138, MATCH('Staging Table'!$A19, LS_current!$B$4:$B$138, 0), MATCH(CC$4&amp;CC$5, LS_current!$D$2:$AY$2&amp;LS_current!$D$3:$AY$3, 0)),SUM(VLOOKUP($A19, LS_current!$B$4:$AY$138, LS_current!G$148, FALSE), VLOOKUP($A19, LS_current!$B$4:$AY$138,LS_current!G$148, FALSE))/2)</f>
        <v>77</v>
      </c>
      <c r="CD19" s="227">
        <f t="array" ref="CD19">IF($BU19=0, INDEX(LS_current!$D$4:$AY$138, MATCH('Staging Table'!$A19, LS_current!$B$4:$B$138, 0), MATCH(CD$4&amp;CD$5, LS_current!$D$2:$AY$2&amp;LS_current!$D$3:$AY$3, 0)),SUM(VLOOKUP($A19, LS_current!$B$4:$AY$138, LS_current!H$148, FALSE), VLOOKUP($A19, LS_current!$B$4:$AY$138,LS_current!H$148, FALSE))/2)</f>
        <v>1494</v>
      </c>
      <c r="CE19" s="227">
        <f t="array" ref="CE19">IF($BU19=0, INDEX(LS_current!$D$4:$AY$138, MATCH('Staging Table'!$A19, LS_current!$B$4:$B$138, 0), MATCH(CE$4&amp;CE$5, LS_current!$D$2:$AY$2&amp;LS_current!$D$3:$AY$3, 0)),SUM(VLOOKUP($A19, LS_current!$B$4:$AY$138, LS_current!I$148, FALSE), VLOOKUP($A19, LS_current!$B$4:$AY$138,LS_current!I$148, FALSE))/2)</f>
        <v>678</v>
      </c>
      <c r="CF19" s="227">
        <f t="array" ref="CF19">IF($BU19=0, INDEX(LS_current!$D$4:$AY$138, MATCH('Staging Table'!$A19, LS_current!$B$4:$B$138, 0), MATCH(CF$4&amp;CF$5, LS_current!$D$2:$AY$2&amp;LS_current!$D$3:$AY$3, 0)),SUM(VLOOKUP($A19, LS_current!$B$4:$AY$138, LS_current!J$148, FALSE), VLOOKUP($A19, LS_current!$B$4:$AY$138,LS_current!J$148, FALSE))/2)</f>
        <v>1805</v>
      </c>
      <c r="CG19" s="227">
        <f t="array" ref="CG19">IF($BU19=0, INDEX(LS_current!$D$4:$AY$138, MATCH('Staging Table'!$A19, LS_current!$B$4:$B$138, 0), MATCH(CG$4&amp;CG$5, LS_current!$D$2:$AY$2&amp;LS_current!$D$3:$AY$3, 0)),SUM(VLOOKUP($A19, LS_current!$B$4:$AY$138, LS_current!K$148, FALSE), VLOOKUP($A19, LS_current!$B$4:$AY$138,LS_current!K$148, FALSE))/2)</f>
        <v>1019</v>
      </c>
      <c r="CH19" s="227">
        <f t="array" ref="CH19">IF($BU19=0, INDEX(LS_current!$D$4:$AY$138, MATCH('Staging Table'!$A19, LS_current!$B$4:$B$138, 0), MATCH(CH$4&amp;CH$5, LS_current!$D$2:$AY$2&amp;LS_current!$D$3:$AY$3, 0)),SUM(VLOOKUP($A19, LS_current!$B$4:$AY$138, LS_current!L$148, FALSE), VLOOKUP($A19, LS_current!$B$4:$AY$138,LS_current!L$148, FALSE))/2)</f>
        <v>1630</v>
      </c>
      <c r="CI19" s="227">
        <f t="array" ref="CI19">IF($BU19=0, INDEX(LS_current!$D$4:$AY$138, MATCH('Staging Table'!$A19, LS_current!$B$4:$B$138, 0), MATCH(CI$4&amp;CI$5, LS_current!$D$2:$AY$2&amp;LS_current!$D$3:$AY$3, 0)),SUM(VLOOKUP($A19, LS_current!$B$4:$AY$138, LS_current!M$148, FALSE), VLOOKUP($A19, LS_current!$B$4:$AY$138,LS_current!M$148, FALSE))/2)</f>
        <v>742</v>
      </c>
      <c r="CJ19" s="227">
        <f t="array" ref="CJ19">IF($BU19=0, INDEX(LS_current!$D$4:$AY$138, MATCH('Staging Table'!$A19, LS_current!$B$4:$B$138, 0), MATCH(CJ$4&amp;CJ$5, LS_current!$D$2:$AY$2&amp;LS_current!$D$3:$AY$3, 0)),SUM(VLOOKUP($A19, LS_current!$B$4:$AY$138, LS_current!N$148, FALSE), VLOOKUP($A19, LS_current!$B$4:$AY$138,LS_current!N$148, FALSE))/2)</f>
        <v>902</v>
      </c>
      <c r="CK19" s="227">
        <f t="array" ref="CK19">IF($BU19=0, INDEX(LS_current!$D$4:$AY$138, MATCH('Staging Table'!$A19, LS_current!$B$4:$B$138, 0), MATCH(CK$4&amp;CK$5, LS_current!$D$2:$AY$2&amp;LS_current!$D$3:$AY$3, 0)),SUM(VLOOKUP($A19, LS_current!$B$4:$AY$138, LS_current!O$148, FALSE), VLOOKUP($A19, LS_current!$B$4:$AY$138,LS_current!O$148, FALSE))/2)</f>
        <v>140</v>
      </c>
      <c r="CL19" s="227">
        <f t="array" ref="CL19">IF($BU19=0, INDEX(LS_current!$D$4:$AY$138, MATCH('Staging Table'!$A19, LS_current!$B$4:$B$138, 0), MATCH(CL$4&amp;CL$5, LS_current!$D$2:$AY$2&amp;LS_current!$D$3:$AY$3, 0)),SUM(VLOOKUP($A19, LS_current!$B$4:$AY$138, LS_current!P$148, FALSE), VLOOKUP($A19, LS_current!$B$4:$AY$138,LS_current!P$148, FALSE))/2)</f>
        <v>256</v>
      </c>
      <c r="CM19" s="227">
        <f t="array" ref="CM19">IF($BU19=0, INDEX(LS_current!$D$4:$AY$138, MATCH('Staging Table'!$A19, LS_current!$B$4:$B$138, 0), MATCH(CM$4&amp;CM$5, LS_current!$D$2:$AY$2&amp;LS_current!$D$3:$AY$3, 0)),SUM(VLOOKUP($A19, LS_current!$B$4:$AY$138, LS_current!Q$148, FALSE), VLOOKUP($A19, LS_current!$B$4:$AY$138,LS_current!Q$148, FALSE))/2)</f>
        <v>-291</v>
      </c>
      <c r="CN19" s="227">
        <f t="array" ref="CN19">IF($BU19=0, INDEX(LS_current!$D$4:$AY$138, MATCH('Staging Table'!$A19, LS_current!$B$4:$B$138, 0), MATCH(CN$4&amp;CN$5, LS_current!$D$2:$AY$2&amp;LS_current!$D$3:$AY$3, 0)),SUM(VLOOKUP($A19, LS_current!$B$4:$AY$138, LS_current!R$148, FALSE), VLOOKUP($A19, LS_current!$B$4:$AY$138,LS_current!R$148, FALSE))/2)</f>
        <v>-1382</v>
      </c>
      <c r="CO19" s="227">
        <f t="array" ref="CO19">IF($BU19=0, INDEX(LS_current!$D$4:$AY$138, MATCH('Staging Table'!$A19, LS_current!$B$4:$B$138, 0), MATCH(CO$4&amp;CO$5, LS_current!$D$2:$AY$2&amp;LS_current!$D$3:$AY$3, 0)),SUM(VLOOKUP($A19, LS_current!$B$4:$AY$138, LS_current!S$148, FALSE), VLOOKUP($A19, LS_current!$B$4:$AY$138,LS_current!S$148, FALSE))/2)</f>
        <v>-1468</v>
      </c>
      <c r="CP19" s="227">
        <f t="array" ref="CP19">IF($BU19=0, INDEX(LS_current!$D$4:$AY$138, MATCH('Staging Table'!$A19, LS_current!$B$4:$B$138, 0), MATCH(CP$4&amp;CP$5, LS_current!$D$2:$AY$2&amp;LS_current!$D$3:$AY$3, 0)),SUM(VLOOKUP($A19, LS_current!$B$4:$AY$138, LS_current!T$148, FALSE), VLOOKUP($A19, LS_current!$B$4:$AY$138,LS_current!T$148, FALSE))/2)</f>
        <v>-2137</v>
      </c>
      <c r="CQ19" s="227">
        <f t="array" ref="CQ19">IF($BU19=0, INDEX(LS_current!$D$4:$AY$138, MATCH('Staging Table'!$A19, LS_current!$B$4:$B$138, 0), MATCH(CQ$4&amp;CQ$5, LS_current!$D$2:$AY$2&amp;LS_current!$D$3:$AY$3, 0)),SUM(VLOOKUP($A19, LS_current!$B$4:$AY$138, LS_current!U$148, FALSE), VLOOKUP($A19, LS_current!$B$4:$AY$138,LS_current!U$148, FALSE))/2)</f>
        <v>-1786</v>
      </c>
      <c r="CR19" s="227">
        <f t="array" ref="CR19">IF($BU19=0, INDEX(LS_current!$D$4:$AY$138, MATCH('Staging Table'!$A19, LS_current!$B$4:$B$138, 0), MATCH(CR$4&amp;CR$5, LS_current!$D$2:$AY$2&amp;LS_current!$D$3:$AY$3, 0)),SUM(VLOOKUP($A19, LS_current!$B$4:$AY$138, LS_current!V$148, FALSE), VLOOKUP($A19, LS_current!$B$4:$AY$138,LS_current!V$148, FALSE))/2)</f>
        <v>-889</v>
      </c>
      <c r="CS19" s="227">
        <f t="array" ref="CS19">IF($BU19=0, INDEX(LS_current!$D$4:$AY$138, MATCH('Staging Table'!$A19, LS_current!$B$4:$B$138, 0), MATCH(CS$4&amp;CS$5, LS_current!$D$2:$AY$2&amp;LS_current!$D$3:$AY$3, 0)),SUM(VLOOKUP($A19, LS_current!$B$4:$AY$138, LS_current!W$148, FALSE), VLOOKUP($A19, LS_current!$B$4:$AY$138,LS_current!W$148, FALSE))/2)</f>
        <v>-745</v>
      </c>
      <c r="CT19" s="227">
        <f t="array" ref="CT19">IF($BU19=0, INDEX(LS_current!$D$4:$AY$138, MATCH('Staging Table'!$A19, LS_current!$B$4:$B$138, 0), MATCH(CT$4&amp;CT$5, LS_current!$D$2:$AY$2&amp;LS_current!$D$3:$AY$3, 0)),SUM(VLOOKUP($A19, LS_current!$B$4:$AY$138, LS_current!X$148, FALSE), VLOOKUP($A19, LS_current!$B$4:$AY$138,LS_current!X$148, FALSE))/2)</f>
        <v>137</v>
      </c>
      <c r="CU19" s="227">
        <f t="array" ref="CU19">IF($BU19=0, INDEX(LS_current!$D$4:$AY$138, MATCH('Staging Table'!$A19, LS_current!$B$4:$B$138, 0), MATCH(CU$4&amp;CU$5, LS_current!$D$2:$AY$2&amp;LS_current!$D$3:$AY$3, 0)),SUM(VLOOKUP($A19, LS_current!$B$4:$AY$138, LS_current!Y$148, FALSE), VLOOKUP($A19, LS_current!$B$4:$AY$138,LS_current!Y$148, FALSE))/2)</f>
        <v>-216</v>
      </c>
      <c r="CV19" s="227">
        <f t="array" ref="CV19">IF($BU19=0, INDEX(LS_current!$D$4:$AY$138, MATCH('Staging Table'!$A19, LS_current!$B$4:$B$138, 0), MATCH(CV$4&amp;CV$5, LS_current!$D$2:$AY$2&amp;LS_current!$D$3:$AY$3, 0)),SUM(VLOOKUP($A19, LS_current!$B$4:$AY$138, LS_current!Z$148, FALSE), VLOOKUP($A19, LS_current!$B$4:$AY$138,LS_current!Z$148, FALSE))/2)</f>
        <v>323</v>
      </c>
      <c r="CW19" s="227">
        <f t="array" ref="CW19">IF($BU19=0, INDEX(LS_current!$D$4:$AY$138, MATCH('Staging Table'!$A19, LS_current!$B$4:$B$138, 0), MATCH(CW$4&amp;CW$5, LS_current!$D$2:$AY$2&amp;LS_current!$D$3:$AY$3, 0)),SUM(VLOOKUP($A19, LS_current!$B$4:$AY$138, LS_current!AA$148, FALSE), VLOOKUP($A19, LS_current!$B$4:$AY$138,LS_current!AA$148, FALSE))/2)</f>
        <v>-153</v>
      </c>
      <c r="CX19" s="229">
        <f t="array" ref="CX19">INDEX(Demand_current!$D$4:$AY$138, MATCH($A19, Demand_current!$B$4:$B$138, 0), MATCH(CX$4&amp;CX$5,Demand_current!$D$2:$AY$2&amp;Demand_current!$D$3:$AY$3, 0))/1000</f>
        <v>0.23599999999999999</v>
      </c>
      <c r="CY19" s="229">
        <f t="array" ref="CY19">INDEX(Demand_current!$D$4:$AY$138, MATCH($A19, Demand_current!$B$4:$B$138, 0), MATCH(CY$4&amp;CY$5,Demand_current!$D$2:$AY$2&amp;Demand_current!$D$3:$AY$3, 0))/1000</f>
        <v>0.47899999999999998</v>
      </c>
      <c r="CZ19" s="229">
        <f t="array" ref="CZ19">INDEX(Demand_current!$D$4:$AY$138, MATCH($A19, Demand_current!$B$4:$B$138, 0), MATCH(CZ$4&amp;CZ$5,Demand_current!$D$2:$AY$2&amp;Demand_current!$D$3:$AY$3, 0))/1000</f>
        <v>1.423</v>
      </c>
      <c r="DA19" s="229">
        <f t="array" ref="DA19">INDEX(Demand_current!$D$4:$AY$138, MATCH($A19, Demand_current!$B$4:$B$138, 0), MATCH(DA$4&amp;DA$5,Demand_current!$D$2:$AY$2&amp;Demand_current!$D$3:$AY$3, 0))/1000</f>
        <v>1.155</v>
      </c>
      <c r="DB19" s="229">
        <f t="array" ref="DB19">INDEX(Demand_current!$D$4:$AY$138, MATCH($A19, Demand_current!$B$4:$B$138, 0), MATCH(DB$4&amp;DB$5,Demand_current!$D$2:$AY$2&amp;Demand_current!$D$3:$AY$3, 0))/1000</f>
        <v>0.82399999999999995</v>
      </c>
      <c r="DC19" s="229">
        <f t="array" ref="DC19">INDEX(Demand_current!$D$4:$AY$138, MATCH($A19, Demand_current!$B$4:$B$138, 0), MATCH(DC$4&amp;DC$5,Demand_current!$D$2:$AY$2&amp;Demand_current!$D$3:$AY$3, 0))/1000</f>
        <v>5.5E-2</v>
      </c>
      <c r="DD19" s="229">
        <f t="array" ref="DD19">INDEX(Demand_current!$D$4:$AY$138, MATCH($A19, Demand_current!$B$4:$B$138, 0), MATCH(DD$4&amp;DD$5,Demand_current!$D$2:$AY$2&amp;Demand_current!$D$3:$AY$3, 0))/1000</f>
        <v>0.90200000000000002</v>
      </c>
      <c r="DE19" s="229">
        <f t="array" ref="DE19">INDEX(Demand_current!$D$4:$AY$138, MATCH($A19, Demand_current!$B$4:$B$138, 0), MATCH(DE$4&amp;DE$5,Demand_current!$D$2:$AY$2&amp;Demand_current!$D$3:$AY$3, 0))/1000</f>
        <v>0.17699999999999999</v>
      </c>
      <c r="DF19" s="229">
        <f t="array" ref="DF19">INDEX(Demand_current!$D$4:$AY$138, MATCH($A19, Demand_current!$B$4:$B$138, 0), MATCH(DF$4&amp;DF$5,Demand_current!$D$2:$AY$2&amp;Demand_current!$D$3:$AY$3, 0))/1000</f>
        <v>0.91</v>
      </c>
      <c r="DG19" s="229">
        <f t="array" ref="DG19">INDEX(Demand_current!$D$4:$AY$138, MATCH($A19, Demand_current!$B$4:$B$138, 0), MATCH(DG$4&amp;DG$5,Demand_current!$D$2:$AY$2&amp;Demand_current!$D$3:$AY$3, 0))/1000</f>
        <v>0.437</v>
      </c>
      <c r="DH19" s="229">
        <f t="array" ref="DH19">INDEX(Demand_current!$D$4:$AY$138, MATCH($A19, Demand_current!$B$4:$B$138, 0), MATCH(DH$4&amp;DH$5,Demand_current!$D$2:$AY$2&amp;Demand_current!$D$3:$AY$3, 0))/1000</f>
        <v>3.4000000000000002E-2</v>
      </c>
      <c r="DI19" s="229">
        <f t="array" ref="DI19">INDEX(Demand_current!$D$4:$AY$138, MATCH($A19, Demand_current!$B$4:$B$138, 0), MATCH(DI$4&amp;DI$5,Demand_current!$D$2:$AY$2&amp;Demand_current!$D$3:$AY$3, 0))/1000</f>
        <v>0.64700000000000002</v>
      </c>
      <c r="DJ19" s="227">
        <f>$BT19*(VLOOKUP(DJ$4, Rates_current!$G$6:$Q$29, 10, FALSE)+VLOOKUP(DJ$4, Rates_current!$G$6:$Q$29, 11, FALSE))</f>
        <v>3477.7633120271994</v>
      </c>
      <c r="DK19" s="227">
        <f>$BT19*(VLOOKUP(DK$4, Rates_current!$G$6:$Q$29, 10, FALSE)+VLOOKUP(DK$4, Rates_current!$G$6:$Q$29, 11, FALSE))</f>
        <v>4417.8443156147996</v>
      </c>
      <c r="DL19" s="227">
        <f>$BT19*(VLOOKUP(DL$4, Rates_current!$G$6:$Q$29, 10, FALSE)+VLOOKUP(DL$4, Rates_current!$G$6:$Q$29, 11, FALSE))</f>
        <v>4364.4928676272002</v>
      </c>
      <c r="DM19" s="227">
        <f>$BT19*(VLOOKUP(DM$4, Rates_current!$G$6:$Q$29, 10, FALSE)+VLOOKUP(DM$4, Rates_current!$G$6:$Q$29, 11, FALSE))</f>
        <v>3638.0706340272004</v>
      </c>
      <c r="DN19" s="227">
        <f>$BT19*(VLOOKUP(DN$4, Rates_current!$G$6:$Q$29, 10, FALSE)+VLOOKUP(DN$4, Rates_current!$G$6:$Q$29, 11, FALSE))</f>
        <v>3295.7145737599999</v>
      </c>
      <c r="DO19" s="227">
        <f>$BT19*(VLOOKUP(DO$4, Rates_current!$G$6:$Q$29, 10, FALSE)+VLOOKUP(DO$4, Rates_current!$G$6:$Q$29, 11, FALSE))</f>
        <v>3665.8815957483998</v>
      </c>
      <c r="DP19" s="227">
        <f>$BT19*(VLOOKUP(DP$4, Rates_current!$G$6:$Q$29, 10, FALSE)+VLOOKUP(DP$4, Rates_current!$G$6:$Q$29, 11, FALSE))</f>
        <v>2984.7647511360001</v>
      </c>
      <c r="DQ19" s="227">
        <f>$BT19*(VLOOKUP(DQ$4, Rates_current!$G$6:$Q$29, 10, FALSE)+VLOOKUP(DQ$4, Rates_current!$G$6:$Q$29, 11, FALSE))</f>
        <v>4025.4003446272004</v>
      </c>
      <c r="DR19" s="227">
        <f>$BT19*(VLOOKUP(DR$4, Rates_current!$G$6:$Q$29, 10, FALSE)+VLOOKUP(DR$4, Rates_current!$G$6:$Q$29, 11, FALSE))</f>
        <v>5136.137066536</v>
      </c>
      <c r="DS19" s="227">
        <f>$BT19*(VLOOKUP(DS$4, Rates_current!$G$6:$Q$29, 10, FALSE)+VLOOKUP(DS$4, Rates_current!$G$6:$Q$29, 11, FALSE))</f>
        <v>4026.8943168272003</v>
      </c>
      <c r="DT19" s="227">
        <f>$BT19*(VLOOKUP(DT$4, Rates_current!$G$6:$Q$29, 10, FALSE)+VLOOKUP(DT$4, Rates_current!$G$6:$Q$29, 11, FALSE))</f>
        <v>3921.3932162272004</v>
      </c>
      <c r="DU19" s="227">
        <f>$BT19*(VLOOKUP(DU$4, Rates_current!$G$6:$Q$29, 10, FALSE)+VLOOKUP(DU$4, Rates_current!$G$6:$Q$29, 11, FALSE))</f>
        <v>3520.5769203360001</v>
      </c>
      <c r="DV19" s="229">
        <f>IF(D19=0,IF(C19=0,MAX(0,DY19 - (VLOOKUP($A19,TOCA_current!$A$2:$AI$137,MATCH("RHWM 2020",TOCA_current!$A$2:$AI$2,0),FALSE)*$BT$2)), 0),0)</f>
        <v>1161.7916589055967</v>
      </c>
      <c r="DW19" s="266">
        <f>VLOOKUP($A19,REP_current!$A$1:$D$135,MATCH("FY "&amp;$BT$1&amp; " Total Refund",REP_current!$A$1:$D$1,0),0)</f>
        <v>0</v>
      </c>
      <c r="DX19" s="295">
        <f>MIN(VLOOKUP($A19,TOCA_current!$A$2:$AI$137,MATCH("TRL - NLSL - Existing Resource "&amp;$BT$1,TOCA_current!$A$2:$AI$2,0),FALSE)*$BT$2, VLOOKUP($A19,TOCA_current!$A$2:$AI$137,MATCH("RHWM 2020",TOCA_current!$A$2:$AI$2,0),FALSE)*$BT$2)</f>
        <v>46476.144</v>
      </c>
      <c r="DY19" s="240">
        <f>SUM(BZ19:CW19)+(BT19*RT1SC!$C$4*$BT$2)</f>
        <v>47637.935658905597</v>
      </c>
      <c r="DZ19" s="271">
        <f>VLOOKUP($A19,TOCA_current!$A$2:$AI$137,MATCH("Above RHWM Not Served with LS "&amp;$BT$1,TOCA_current!$A$2:$AI$2,0),FALSE)*$BT$2</f>
        <v>13984.128000000001</v>
      </c>
      <c r="EA19" s="244">
        <f t="shared" si="13"/>
        <v>1161.7916589055967</v>
      </c>
      <c r="EB19" s="295">
        <f>(VLOOKUP($A19,TOCA_current!$A$2:$AI$137,MATCH("RHWM 2020",TOCA_current!$A$2:$AI$2,0),FALSE)*$BT$2) - $DX19</f>
        <v>0</v>
      </c>
      <c r="EC19" s="240">
        <f t="shared" si="14"/>
        <v>0</v>
      </c>
      <c r="ED19" s="240">
        <f t="shared" si="15"/>
        <v>0</v>
      </c>
      <c r="EE19" s="240">
        <f t="shared" si="16"/>
        <v>0</v>
      </c>
      <c r="EF19" s="240">
        <f t="shared" si="17"/>
        <v>0</v>
      </c>
    </row>
    <row r="20" spans="1:136">
      <c r="A20" s="166">
        <v>10064</v>
      </c>
      <c r="B20" s="167" t="s">
        <v>21</v>
      </c>
      <c r="C20" s="240">
        <v>0</v>
      </c>
      <c r="D20" s="240">
        <v>0</v>
      </c>
      <c r="E20" s="150">
        <f>VLOOKUP($A20,TOCA_previous!$A$2:$AI$137,MATCH(E$4,TOCA_previous!$A$2:$AI$2,0),FALSE)</f>
        <v>1.9926000000000002E-3</v>
      </c>
      <c r="F20" s="151">
        <f>VLOOKUP($A20,TOCA_previous!$A$2:$AI$137,MATCH(F$4,TOCA_previous!$A$2:$AI$2,0),FALSE)</f>
        <v>1.9926000000000002E-3</v>
      </c>
      <c r="G20" s="151">
        <f t="shared" si="2"/>
        <v>0</v>
      </c>
      <c r="H20" s="151">
        <f>VLOOKUP($A20,TOCA_previous!$A$2:$AI$137,MATCH(H$4,TOCA_previous!$A$2:$AI$2,0),FALSE)</f>
        <v>0</v>
      </c>
      <c r="I20" s="151">
        <f t="shared" si="3"/>
        <v>0</v>
      </c>
      <c r="J20" s="151">
        <f t="shared" si="4"/>
        <v>0</v>
      </c>
      <c r="K20" s="226">
        <f>VLOOKUP(A20, IRD!$A$5:$C$139, 3, FALSE)</f>
        <v>0</v>
      </c>
      <c r="L20" s="227">
        <f t="array" ref="L20">IF($G20=0, INDEX(LS_previous!$D$4:$AY$138, MATCH('Staging Table'!$A20, LS_previous!$B$4:$B$138, 0), MATCH(L$4&amp;L$5, LS_previous!$D$2:$AY$2&amp;LS_previous!$D$3:$AY$3, 0)),SUM(VLOOKUP($A20, LS_previous!$B$4:$AY$138, LS_previous!D$149, FALSE), VLOOKUP('Staging Table'!$A20, LS_previous!$B$4:$AY$138,LS_previous!AB$149, FALSE))/2)</f>
        <v>-441</v>
      </c>
      <c r="M20" s="227">
        <f t="array" ref="M20">IF($G20=0, INDEX(LS_previous!$D$4:$AY$138, MATCH('Staging Table'!$A20, LS_previous!$B$4:$B$138, 0), MATCH(M$4&amp;M$5, LS_previous!$D$2:$AY$2&amp;LS_previous!$D$3:$AY$3, 0)),SUM(VLOOKUP($A20, LS_previous!$B$4:$AY$138, LS_previous!E$149, FALSE), VLOOKUP('Staging Table'!$A20, LS_previous!$B$4:$AY$138,LS_previous!AC$149, FALSE))/2)</f>
        <v>-164</v>
      </c>
      <c r="N20" s="227">
        <f t="array" ref="N20">IF($G20=0, INDEX(LS_previous!$D$4:$AY$138, MATCH('Staging Table'!$A20, LS_previous!$B$4:$B$138, 0), MATCH(N$4&amp;N$5, LS_previous!$D$2:$AY$2&amp;LS_previous!$D$3:$AY$3, 0)),SUM(VLOOKUP($A20, LS_previous!$B$4:$AY$138, LS_previous!F$149, FALSE), VLOOKUP('Staging Table'!$A20, LS_previous!$B$4:$AY$138,LS_previous!AD$149, FALSE))/2)</f>
        <v>-1117</v>
      </c>
      <c r="O20" s="227">
        <f t="array" ref="O20">IF($G20=0, INDEX(LS_previous!$D$4:$AY$138, MATCH('Staging Table'!$A20, LS_previous!$B$4:$B$138, 0), MATCH(O$4&amp;O$5, LS_previous!$D$2:$AY$2&amp;LS_previous!$D$3:$AY$3, 0)),SUM(VLOOKUP($A20, LS_previous!$B$4:$AY$138, LS_previous!G$149, FALSE), VLOOKUP('Staging Table'!$A20, LS_previous!$B$4:$AY$138,LS_previous!AE$149, FALSE))/2)</f>
        <v>-287</v>
      </c>
      <c r="P20" s="227">
        <f t="array" ref="P20">IF($G20=0, INDEX(LS_previous!$D$4:$AY$138, MATCH('Staging Table'!$A20, LS_previous!$B$4:$B$138, 0), MATCH(P$4&amp;P$5, LS_previous!$D$2:$AY$2&amp;LS_previous!$D$3:$AY$3, 0)),SUM(VLOOKUP($A20, LS_previous!$B$4:$AY$138, LS_previous!H$149, FALSE), VLOOKUP('Staging Table'!$A20, LS_previous!$B$4:$AY$138,LS_previous!AF$149, FALSE))/2)</f>
        <v>188</v>
      </c>
      <c r="Q20" s="227">
        <f t="array" ref="Q20">IF($G20=0, INDEX(LS_previous!$D$4:$AY$138, MATCH('Staging Table'!$A20, LS_previous!$B$4:$B$138, 0), MATCH(Q$4&amp;Q$5, LS_previous!$D$2:$AY$2&amp;LS_previous!$D$3:$AY$3, 0)),SUM(VLOOKUP($A20, LS_previous!$B$4:$AY$138, LS_previous!I$149, FALSE), VLOOKUP('Staging Table'!$A20, LS_previous!$B$4:$AY$138,LS_previous!AG$149, FALSE))/2)</f>
        <v>892</v>
      </c>
      <c r="R20" s="227">
        <f t="array" ref="R20">IF($G20=0, INDEX(LS_previous!$D$4:$AY$138, MATCH('Staging Table'!$A20, LS_previous!$B$4:$B$138, 0), MATCH(R$4&amp;R$5, LS_previous!$D$2:$AY$2&amp;LS_previous!$D$3:$AY$3, 0)),SUM(VLOOKUP($A20, LS_previous!$B$4:$AY$138, LS_previous!J$149, FALSE), VLOOKUP('Staging Table'!$A20, LS_previous!$B$4:$AY$138,LS_previous!AH$149, FALSE))/2)</f>
        <v>1653</v>
      </c>
      <c r="S20" s="227">
        <f t="array" ref="S20">IF($G20=0, INDEX(LS_previous!$D$4:$AY$138, MATCH('Staging Table'!$A20, LS_previous!$B$4:$B$138, 0), MATCH(S$4&amp;S$5, LS_previous!$D$2:$AY$2&amp;LS_previous!$D$3:$AY$3, 0)),SUM(VLOOKUP($A20, LS_previous!$B$4:$AY$138, LS_previous!K$149, FALSE), VLOOKUP('Staging Table'!$A20, LS_previous!$B$4:$AY$138,LS_previous!AI$149, FALSE))/2)</f>
        <v>1305</v>
      </c>
      <c r="T20" s="227">
        <f t="array" ref="T20">IF($G20=0, INDEX(LS_previous!$D$4:$AY$138, MATCH('Staging Table'!$A20, LS_previous!$B$4:$B$138, 0), MATCH(T$4&amp;T$5, LS_previous!$D$2:$AY$2&amp;LS_previous!$D$3:$AY$3, 0)),SUM(VLOOKUP($A20, LS_previous!$B$4:$AY$138, LS_previous!L$149, FALSE), VLOOKUP('Staging Table'!$A20, LS_previous!$B$4:$AY$138,LS_previous!AJ$149, FALSE))/2)</f>
        <v>1802</v>
      </c>
      <c r="U20" s="227">
        <f t="array" ref="U20">IF($G20=0, INDEX(LS_previous!$D$4:$AY$138, MATCH('Staging Table'!$A20, LS_previous!$B$4:$B$138, 0), MATCH(U$4&amp;U$5, LS_previous!$D$2:$AY$2&amp;LS_previous!$D$3:$AY$3, 0)),SUM(VLOOKUP($A20, LS_previous!$B$4:$AY$138, LS_previous!M$149, FALSE), VLOOKUP('Staging Table'!$A20, LS_previous!$B$4:$AY$138,LS_previous!AK$149, FALSE))/2)</f>
        <v>1233</v>
      </c>
      <c r="V20" s="227">
        <f t="array" ref="V20">IF($G20=0, INDEX(LS_previous!$D$4:$AY$138, MATCH('Staging Table'!$A20, LS_previous!$B$4:$B$138, 0), MATCH(V$4&amp;V$5, LS_previous!$D$2:$AY$2&amp;LS_previous!$D$3:$AY$3, 0)),SUM(VLOOKUP($A20, LS_previous!$B$4:$AY$138, LS_previous!N$149, FALSE), VLOOKUP('Staging Table'!$A20, LS_previous!$B$4:$AY$138,LS_previous!AL$149, FALSE))/2)</f>
        <v>74</v>
      </c>
      <c r="W20" s="227">
        <f t="array" ref="W20">IF($G20=0, INDEX(LS_previous!$D$4:$AY$138, MATCH('Staging Table'!$A20, LS_previous!$B$4:$B$138, 0), MATCH(W$4&amp;W$5, LS_previous!$D$2:$AY$2&amp;LS_previous!$D$3:$AY$3, 0)),SUM(VLOOKUP($A20, LS_previous!$B$4:$AY$138, LS_previous!O$149, FALSE), VLOOKUP('Staging Table'!$A20, LS_previous!$B$4:$AY$138,LS_previous!AM$149, FALSE))/2)</f>
        <v>403</v>
      </c>
      <c r="X20" s="227">
        <f t="array" ref="X20">IF($G20=0, INDEX(LS_previous!$D$4:$AY$138, MATCH('Staging Table'!$A20, LS_previous!$B$4:$B$138, 0), MATCH(X$4&amp;X$5, LS_previous!$D$2:$AY$2&amp;LS_previous!$D$3:$AY$3, 0)),SUM(VLOOKUP($A20, LS_previous!$B$4:$AY$138, LS_previous!P$149, FALSE), VLOOKUP('Staging Table'!$A20, LS_previous!$B$4:$AY$138,LS_previous!AN$149, FALSE))/2)</f>
        <v>-181</v>
      </c>
      <c r="Y20" s="227">
        <f t="array" ref="Y20">IF($G20=0, INDEX(LS_previous!$D$4:$AY$138, MATCH('Staging Table'!$A20, LS_previous!$B$4:$B$138, 0), MATCH(Y$4&amp;Y$5, LS_previous!$D$2:$AY$2&amp;LS_previous!$D$3:$AY$3, 0)),SUM(VLOOKUP($A20, LS_previous!$B$4:$AY$138, LS_previous!Q$149, FALSE), VLOOKUP('Staging Table'!$A20, LS_previous!$B$4:$AY$138,LS_previous!AO$149, FALSE))/2)</f>
        <v>-10</v>
      </c>
      <c r="Z20" s="227">
        <f t="array" ref="Z20">IF($G20=0, INDEX(LS_previous!$D$4:$AY$138, MATCH('Staging Table'!$A20, LS_previous!$B$4:$B$138, 0), MATCH(Z$4&amp;Z$5, LS_previous!$D$2:$AY$2&amp;LS_previous!$D$3:$AY$3, 0)),SUM(VLOOKUP($A20, LS_previous!$B$4:$AY$138, LS_previous!R$149, FALSE), VLOOKUP('Staging Table'!$A20, LS_previous!$B$4:$AY$138,LS_previous!AP$149, FALSE))/2)</f>
        <v>-3243</v>
      </c>
      <c r="AA20" s="227">
        <f t="array" ref="AA20">IF($G20=0, INDEX(LS_previous!$D$4:$AY$138, MATCH('Staging Table'!$A20, LS_previous!$B$4:$B$138, 0), MATCH(AA$4&amp;AA$5, LS_previous!$D$2:$AY$2&amp;LS_previous!$D$3:$AY$3, 0)),SUM(VLOOKUP($A20, LS_previous!$B$4:$AY$138, LS_previous!S$149, FALSE), VLOOKUP('Staging Table'!$A20, LS_previous!$B$4:$AY$138,LS_previous!AQ$149, FALSE))/2)</f>
        <v>-1427</v>
      </c>
      <c r="AB20" s="227">
        <f t="array" ref="AB20">IF($G20=0, INDEX(LS_previous!$D$4:$AY$138, MATCH('Staging Table'!$A20, LS_previous!$B$4:$B$138, 0), MATCH(AB$4&amp;AB$5, LS_previous!$D$2:$AY$2&amp;LS_previous!$D$3:$AY$3, 0)),SUM(VLOOKUP($A20, LS_previous!$B$4:$AY$138, LS_previous!T$149, FALSE), VLOOKUP('Staging Table'!$A20, LS_previous!$B$4:$AY$138,LS_previous!AR$149, FALSE))/2)</f>
        <v>-1231</v>
      </c>
      <c r="AC20" s="227">
        <f t="array" ref="AC20">IF($G20=0, INDEX(LS_previous!$D$4:$AY$138, MATCH('Staging Table'!$A20, LS_previous!$B$4:$B$138, 0), MATCH(AC$4&amp;AC$5, LS_previous!$D$2:$AY$2&amp;LS_previous!$D$3:$AY$3, 0)),SUM(VLOOKUP($A20, LS_previous!$B$4:$AY$138, LS_previous!U$149, FALSE), VLOOKUP('Staging Table'!$A20, LS_previous!$B$4:$AY$138,LS_previous!AS$149, FALSE))/2)</f>
        <v>-640</v>
      </c>
      <c r="AD20" s="227">
        <f t="array" ref="AD20">IF($G20=0, INDEX(LS_previous!$D$4:$AY$138, MATCH('Staging Table'!$A20, LS_previous!$B$4:$B$138, 0), MATCH(AD$4&amp;AD$5, LS_previous!$D$2:$AY$2&amp;LS_previous!$D$3:$AY$3, 0)),SUM(VLOOKUP($A20, LS_previous!$B$4:$AY$138, LS_previous!V$149, FALSE), VLOOKUP('Staging Table'!$A20, LS_previous!$B$4:$AY$138,LS_previous!AT$149, FALSE))/2)</f>
        <v>600</v>
      </c>
      <c r="AE20" s="227">
        <f t="array" ref="AE20">IF($G20=0, INDEX(LS_previous!$D$4:$AY$138, MATCH('Staging Table'!$A20, LS_previous!$B$4:$B$138, 0), MATCH(AE$4&amp;AE$5, LS_previous!$D$2:$AY$2&amp;LS_previous!$D$3:$AY$3, 0)),SUM(VLOOKUP($A20, LS_previous!$B$4:$AY$138, LS_previous!W$149, FALSE), VLOOKUP('Staging Table'!$A20, LS_previous!$B$4:$AY$138,LS_previous!AU$149, FALSE))/2)</f>
        <v>530</v>
      </c>
      <c r="AF20" s="227">
        <f t="array" ref="AF20">IF($G20=0, INDEX(LS_previous!$D$4:$AY$138, MATCH('Staging Table'!$A20, LS_previous!$B$4:$B$138, 0), MATCH(AF$4&amp;AF$5, LS_previous!$D$2:$AY$2&amp;LS_previous!$D$3:$AY$3, 0)),SUM(VLOOKUP($A20, LS_previous!$B$4:$AY$138, LS_previous!X$149, FALSE), VLOOKUP('Staging Table'!$A20, LS_previous!$B$4:$AY$138,LS_previous!AV$149, FALSE))/2)</f>
        <v>-448</v>
      </c>
      <c r="AG20" s="227">
        <f t="array" ref="AG20">IF($G20=0, INDEX(LS_previous!$D$4:$AY$138, MATCH('Staging Table'!$A20, LS_previous!$B$4:$B$138, 0), MATCH(AG$4&amp;AG$5, LS_previous!$D$2:$AY$2&amp;LS_previous!$D$3:$AY$3, 0)),SUM(VLOOKUP($A20, LS_previous!$B$4:$AY$138, LS_previous!Y$149, FALSE), VLOOKUP('Staging Table'!$A20, LS_previous!$B$4:$AY$138,LS_previous!AW$149, FALSE))/2)</f>
        <v>218</v>
      </c>
      <c r="AH20" s="227">
        <f t="array" ref="AH20">IF($G20=0, INDEX(LS_previous!$D$4:$AY$138, MATCH('Staging Table'!$A20, LS_previous!$B$4:$B$138, 0), MATCH(AH$4&amp;AH$5, LS_previous!$D$2:$AY$2&amp;LS_previous!$D$3:$AY$3, 0)),SUM(VLOOKUP($A20, LS_previous!$B$4:$AY$138, LS_previous!Z$149, FALSE), VLOOKUP('Staging Table'!$A20, LS_previous!$B$4:$AY$138,LS_previous!AX$149, FALSE))/2)</f>
        <v>-524</v>
      </c>
      <c r="AI20" s="227">
        <f t="array" ref="AI20">IF($G20=0, INDEX(LS_previous!$D$4:$AY$138, MATCH('Staging Table'!$A20, LS_previous!$B$4:$B$138, 0), MATCH(AI$4&amp;AI$5, LS_previous!$D$2:$AY$2&amp;LS_previous!$D$3:$AY$3, 0)),SUM(VLOOKUP($A20, LS_previous!$B$4:$AY$138, LS_previous!AA$149, FALSE), VLOOKUP('Staging Table'!$A20, LS_previous!$B$4:$AY$138,LS_previous!AY$149, FALSE))/2)</f>
        <v>-206</v>
      </c>
      <c r="AJ20" s="424">
        <f t="array" ref="AJ20">INDEX(Demand_previous!$D$4:$AY$138, MATCH('Staging Table'!$A20, Demand_previous!$B$4:$B$138, 0), MATCH(AJ$4&amp;AJ$5,Demand_previous!$D$2:$AY$2&amp;Demand_previous!$D$3:$AY$3, 0))/1000</f>
        <v>1.5049999999999999</v>
      </c>
      <c r="AK20" s="424">
        <f t="array" ref="AK20">INDEX(Demand_previous!$D$4:$AY$138, MATCH('Staging Table'!$A20, Demand_previous!$B$4:$B$138, 0), MATCH(AK$4&amp;AK$5,Demand_previous!$D$2:$AY$2&amp;Demand_previous!$D$3:$AY$3, 0))/1000</f>
        <v>0.93200000000000005</v>
      </c>
      <c r="AL20" s="424">
        <f t="array" ref="AL20">INDEX(Demand_previous!$D$4:$AY$138, MATCH('Staging Table'!$A20, Demand_previous!$B$4:$B$138, 0), MATCH(AL$4&amp;AL$5,Demand_previous!$D$2:$AY$2&amp;Demand_previous!$D$3:$AY$3, 0))/1000</f>
        <v>1.8220000000000001</v>
      </c>
      <c r="AM20" s="424">
        <f t="array" ref="AM20">INDEX(Demand_previous!$D$4:$AY$138, MATCH('Staging Table'!$A20, Demand_previous!$B$4:$B$138, 0), MATCH(AM$4&amp;AM$5,Demand_previous!$D$2:$AY$2&amp;Demand_previous!$D$3:$AY$3, 0))/1000</f>
        <v>2.2759999999999998</v>
      </c>
      <c r="AN20" s="424">
        <f t="array" ref="AN20">INDEX(Demand_previous!$D$4:$AY$138, MATCH('Staging Table'!$A20, Demand_previous!$B$4:$B$138, 0), MATCH(AN$4&amp;AN$5,Demand_previous!$D$2:$AY$2&amp;Demand_previous!$D$3:$AY$3, 0))/1000</f>
        <v>3.3000000000000002E-2</v>
      </c>
      <c r="AO20" s="424">
        <f t="array" ref="AO20">INDEX(Demand_previous!$D$4:$AY$138, MATCH('Staging Table'!$A20, Demand_previous!$B$4:$B$138, 0), MATCH(AO$4&amp;AO$5,Demand_previous!$D$2:$AY$2&amp;Demand_previous!$D$3:$AY$3, 0))/1000</f>
        <v>3.21</v>
      </c>
      <c r="AP20" s="424">
        <f t="array" ref="AP20">INDEX(Demand_previous!$D$4:$AY$138, MATCH('Staging Table'!$A20, Demand_previous!$B$4:$B$138, 0), MATCH(AP$4&amp;AP$5,Demand_previous!$D$2:$AY$2&amp;Demand_previous!$D$3:$AY$3, 0))/1000</f>
        <v>0.752</v>
      </c>
      <c r="AQ20" s="424">
        <f t="array" ref="AQ20">INDEX(Demand_previous!$D$4:$AY$138, MATCH('Staging Table'!$A20, Demand_previous!$B$4:$B$138, 0), MATCH(AQ$4&amp;AQ$5,Demand_previous!$D$2:$AY$2&amp;Demand_previous!$D$3:$AY$3, 0))/1000</f>
        <v>1.9119999999999999</v>
      </c>
      <c r="AR20" s="424">
        <f t="array" ref="AR20">INDEX(Demand_previous!$D$4:$AY$138, MATCH('Staging Table'!$A20, Demand_previous!$B$4:$B$138, 0), MATCH(AR$4&amp;AR$5,Demand_previous!$D$2:$AY$2&amp;Demand_previous!$D$3:$AY$3, 0))/1000</f>
        <v>2.464</v>
      </c>
      <c r="AS20" s="424">
        <f t="array" ref="AS20">INDEX(Demand_previous!$D$4:$AY$138, MATCH('Staging Table'!$A20, Demand_previous!$B$4:$B$138, 0), MATCH(AS$4&amp;AS$5,Demand_previous!$D$2:$AY$2&amp;Demand_previous!$D$3:$AY$3, 0))/1000</f>
        <v>2.056</v>
      </c>
      <c r="AT20" s="424">
        <f t="array" ref="AT20">INDEX(Demand_previous!$D$4:$AY$138, MATCH('Staging Table'!$A20, Demand_previous!$B$4:$B$138, 0), MATCH(AT$4&amp;AT$5,Demand_previous!$D$2:$AY$2&amp;Demand_previous!$D$3:$AY$3, 0))/1000</f>
        <v>2.7679999999999998</v>
      </c>
      <c r="AU20" s="424">
        <f t="array" ref="AU20">INDEX(Demand_previous!$D$4:$AY$138, MATCH('Staging Table'!$A20, Demand_previous!$B$4:$B$138, 0), MATCH(AU$4&amp;AU$5,Demand_previous!$D$2:$AY$2&amp;Demand_previous!$D$3:$AY$3, 0))/1000</f>
        <v>1.7849999999999999</v>
      </c>
      <c r="AV20" s="227">
        <f>$F20*(VLOOKUP(AV$4, Rates_previous!$G$6:$Q$29, 10, FALSE)+VLOOKUP(AV$4, Rates_previous!$G$6:$Q$29, 11, FALSE))</f>
        <v>9342.9781253373185</v>
      </c>
      <c r="AW20" s="227">
        <f>$F20*(VLOOKUP(AW$4, Rates_previous!$G$6:$Q$29, 10, FALSE)+VLOOKUP(AW$4, Rates_previous!$G$6:$Q$29, 11, FALSE))</f>
        <v>11547.210858947194</v>
      </c>
      <c r="AX20" s="227">
        <f>$F20*(VLOOKUP(AX$4, Rates_previous!$G$6:$Q$29, 10, FALSE)+VLOOKUP(AX$4, Rates_previous!$G$6:$Q$29, 11, FALSE))</f>
        <v>11408.542667662532</v>
      </c>
      <c r="AY20" s="227">
        <f>$F20*(VLOOKUP(AY$4, Rates_previous!$G$6:$Q$29, 10, FALSE)+VLOOKUP(AY$4, Rates_previous!$G$6:$Q$29, 11, FALSE))</f>
        <v>9747.5122958078173</v>
      </c>
      <c r="AZ20" s="227">
        <f>$F20*(VLOOKUP(AZ$4, Rates_previous!$G$6:$Q$29, 10, FALSE)+VLOOKUP(AZ$4, Rates_previous!$G$6:$Q$29, 11, FALSE))</f>
        <v>7991.0693464130673</v>
      </c>
      <c r="BA20" s="227">
        <f>$F20*(VLOOKUP(BA$4, Rates_previous!$G$6:$Q$29, 10, FALSE)+VLOOKUP(BA$4, Rates_previous!$G$6:$Q$29, 11, FALSE))</f>
        <v>9461.1358435764014</v>
      </c>
      <c r="BB20" s="227">
        <f>$F20*(VLOOKUP(BB$4, Rates_previous!$G$6:$Q$29, 10, FALSE)+VLOOKUP(BB$4, Rates_previous!$G$6:$Q$29, 11, FALSE))</f>
        <v>9093.5277518461826</v>
      </c>
      <c r="BC20" s="227">
        <f>$F20*(VLOOKUP(BC$4, Rates_previous!$G$6:$Q$29, 10, FALSE)+VLOOKUP(BC$4, Rates_previous!$G$6:$Q$29, 11, FALSE))</f>
        <v>13344.108492825962</v>
      </c>
      <c r="BD20" s="227">
        <f>$F20*(VLOOKUP(BD$4, Rates_previous!$G$6:$Q$29, 10, FALSE)+VLOOKUP(BD$4, Rates_previous!$G$6:$Q$29, 11, FALSE))</f>
        <v>10528.148911753113</v>
      </c>
      <c r="BE20" s="227">
        <f>$F20*(VLOOKUP(BE$4, Rates_previous!$G$6:$Q$29, 10, FALSE)+VLOOKUP(BE$4, Rates_previous!$G$6:$Q$29, 11, FALSE))</f>
        <v>9244.5984302807865</v>
      </c>
      <c r="BF20" s="227">
        <f>$F20*(VLOOKUP(BF$4, Rates_previous!$G$6:$Q$29, 10, FALSE)+VLOOKUP(BF$4, Rates_previous!$G$6:$Q$29, 11, FALSE))</f>
        <v>10238.762801666991</v>
      </c>
      <c r="BG20" s="227">
        <f>$F20*(VLOOKUP(BG$4, Rates_previous!$G$6:$Q$29, 10, FALSE)+VLOOKUP(BG$4, Rates_previous!$G$6:$Q$29, 11, FALSE))</f>
        <v>9275.9119282325646</v>
      </c>
      <c r="BH20" s="229">
        <f>IF($D20=0,IF(C20=0, MAX(BK20 - (VLOOKUP($A20,TOCA_previous!$A$2:$AI$137,MATCH("RHWM 2018",TOCA_previous!$A$2:$AI$2,0),FALSE)*$F$2*TOCA_previous!C17),0),0), 0)</f>
        <v>0</v>
      </c>
      <c r="BI20" s="266">
        <f>VLOOKUP($A20,REP_previous!$A$1:$D$135,MATCH("FY "&amp;$F$1&amp; " Total Refund",REP_previous!$A$1:$D$1,0),0)</f>
        <v>184426.84071116755</v>
      </c>
      <c r="BJ20" s="241">
        <f>MIN(VLOOKUP($A20,TOCA_previous!$A$2:$AI$137,MATCH("TRL - NLSL - Existing Resource "&amp;$F$1,TOCA_previous!$A$2:$AI$2,0),FALSE)*$F$2,(VLOOKUP($A20,TOCA_previous!$A$2:$AI$137,MATCH("RHWM 2018",TOCA_previous!$A$2:$AI$2,0),FALSE)*$F$2))</f>
        <v>121220.87999999999</v>
      </c>
      <c r="BK20" s="229">
        <f>SUM(L20:AI20)+(F20*RT1SC!$C$3*$F$2)</f>
        <v>120202.50922289601</v>
      </c>
      <c r="BL20" s="241">
        <f>VLOOKUP($A20,TOCA_previous!$A$2:$AI$137,MATCH("Above RHWM Not Served with LS "&amp;$F$1,TOCA_previous!$A$2:$AI$2,0),FALSE)*$F$2</f>
        <v>52.56</v>
      </c>
      <c r="BM20" s="151">
        <f t="shared" si="5"/>
        <v>-1018.3707771039772</v>
      </c>
      <c r="BN20" s="242">
        <f>(VLOOKUP($A20,TOCA_previous!$A$2:$AI$137,MATCH("RHWM 2018",TOCA_previous!$A$2:$AI$2,0),FALSE)*$F$2) - $BJ20</f>
        <v>0</v>
      </c>
      <c r="BO20" s="151">
        <f t="shared" si="6"/>
        <v>0</v>
      </c>
      <c r="BP20" s="243">
        <f t="shared" si="7"/>
        <v>965.81077710397722</v>
      </c>
      <c r="BQ20" s="237">
        <f t="shared" si="8"/>
        <v>0</v>
      </c>
      <c r="BR20" s="242">
        <f t="shared" si="9"/>
        <v>965.81077710397722</v>
      </c>
      <c r="BS20" s="151">
        <f>VLOOKUP($A20,TOCA_current!$A$2:$AI$137,MATCH(BS$4,TOCA_current!$A$2:$AI$2,0),FALSE)</f>
        <v>1.9792E-3</v>
      </c>
      <c r="BT20" s="151">
        <f>VLOOKUP($A20,TOCA_current!$A$2:$AI$137,MATCH(BT$4,TOCA_current!$A$2:$AI$2,0),FALSE)</f>
        <v>1.9792E-3</v>
      </c>
      <c r="BU20" s="236">
        <f t="shared" si="10"/>
        <v>0</v>
      </c>
      <c r="BV20" s="151">
        <f>VLOOKUP($A20,TOCA_current!A16:BG151,MATCH(BV$4,TOCA_current!$A$2:$BG$2,0),FALSE)</f>
        <v>0</v>
      </c>
      <c r="BW20" s="151">
        <f t="shared" si="11"/>
        <v>0</v>
      </c>
      <c r="BX20" s="151">
        <f t="shared" si="12"/>
        <v>0</v>
      </c>
      <c r="BY20" s="226">
        <f>VLOOKUP($A20,IRD!$A$4:$G$139, 7, FALSE)</f>
        <v>0</v>
      </c>
      <c r="BZ20" s="227">
        <f t="array" ref="BZ20">IF($BU20=0, INDEX(LS_current!$D$4:$AY$138, MATCH('Staging Table'!$A20, LS_current!$B$4:$B$138, 0), MATCH(BZ$4&amp;BZ$5, LS_current!$D$2:$AY$2&amp;LS_current!$D$3:$AY$3, 0)),SUM(VLOOKUP($A20, LS_current!$B$4:$AY$138, LS_current!D$148, FALSE), VLOOKUP($A20, LS_current!$B$4:$AY$138,LS_current!D$148, FALSE))/2)</f>
        <v>-317</v>
      </c>
      <c r="CA20" s="227">
        <f t="array" ref="CA20">IF($BU20=0, INDEX(LS_current!$D$4:$AY$138, MATCH('Staging Table'!$A20, LS_current!$B$4:$B$138, 0), MATCH(CA$4&amp;CA$5, LS_current!$D$2:$AY$2&amp;LS_current!$D$3:$AY$3, 0)),SUM(VLOOKUP($A20, LS_current!$B$4:$AY$138, LS_current!E$148, FALSE), VLOOKUP($A20, LS_current!$B$4:$AY$138,LS_current!E$148, FALSE))/2)</f>
        <v>-79</v>
      </c>
      <c r="CB20" s="227">
        <f t="array" ref="CB20">IF($BU20=0, INDEX(LS_current!$D$4:$AY$138, MATCH('Staging Table'!$A20, LS_current!$B$4:$B$138, 0), MATCH(CB$4&amp;CB$5, LS_current!$D$2:$AY$2&amp;LS_current!$D$3:$AY$3, 0)),SUM(VLOOKUP($A20, LS_current!$B$4:$AY$138, LS_current!F$148, FALSE), VLOOKUP($A20, LS_current!$B$4:$AY$138,LS_current!F$148, FALSE))/2)</f>
        <v>-1117</v>
      </c>
      <c r="CC20" s="227">
        <f t="array" ref="CC20">IF($BU20=0, INDEX(LS_current!$D$4:$AY$138, MATCH('Staging Table'!$A20, LS_current!$B$4:$B$138, 0), MATCH(CC$4&amp;CC$5, LS_current!$D$2:$AY$2&amp;LS_current!$D$3:$AY$3, 0)),SUM(VLOOKUP($A20, LS_current!$B$4:$AY$138, LS_current!G$148, FALSE), VLOOKUP($A20, LS_current!$B$4:$AY$138,LS_current!G$148, FALSE))/2)</f>
        <v>-345</v>
      </c>
      <c r="CD20" s="227">
        <f t="array" ref="CD20">IF($BU20=0, INDEX(LS_current!$D$4:$AY$138, MATCH('Staging Table'!$A20, LS_current!$B$4:$B$138, 0), MATCH(CD$4&amp;CD$5, LS_current!$D$2:$AY$2&amp;LS_current!$D$3:$AY$3, 0)),SUM(VLOOKUP($A20, LS_current!$B$4:$AY$138, LS_current!H$148, FALSE), VLOOKUP($A20, LS_current!$B$4:$AY$138,LS_current!H$148, FALSE))/2)</f>
        <v>175</v>
      </c>
      <c r="CE20" s="227">
        <f t="array" ref="CE20">IF($BU20=0, INDEX(LS_current!$D$4:$AY$138, MATCH('Staging Table'!$A20, LS_current!$B$4:$B$138, 0), MATCH(CE$4&amp;CE$5, LS_current!$D$2:$AY$2&amp;LS_current!$D$3:$AY$3, 0)),SUM(VLOOKUP($A20, LS_current!$B$4:$AY$138, LS_current!I$148, FALSE), VLOOKUP($A20, LS_current!$B$4:$AY$138,LS_current!I$148, FALSE))/2)</f>
        <v>849</v>
      </c>
      <c r="CF20" s="227">
        <f t="array" ref="CF20">IF($BU20=0, INDEX(LS_current!$D$4:$AY$138, MATCH('Staging Table'!$A20, LS_current!$B$4:$B$138, 0), MATCH(CF$4&amp;CF$5, LS_current!$D$2:$AY$2&amp;LS_current!$D$3:$AY$3, 0)),SUM(VLOOKUP($A20, LS_current!$B$4:$AY$138, LS_current!J$148, FALSE), VLOOKUP($A20, LS_current!$B$4:$AY$138,LS_current!J$148, FALSE))/2)</f>
        <v>1670</v>
      </c>
      <c r="CG20" s="227">
        <f t="array" ref="CG20">IF($BU20=0, INDEX(LS_current!$D$4:$AY$138, MATCH('Staging Table'!$A20, LS_current!$B$4:$B$138, 0), MATCH(CG$4&amp;CG$5, LS_current!$D$2:$AY$2&amp;LS_current!$D$3:$AY$3, 0)),SUM(VLOOKUP($A20, LS_current!$B$4:$AY$138, LS_current!K$148, FALSE), VLOOKUP($A20, LS_current!$B$4:$AY$138,LS_current!K$148, FALSE))/2)</f>
        <v>1481</v>
      </c>
      <c r="CH20" s="227">
        <f t="array" ref="CH20">IF($BU20=0, INDEX(LS_current!$D$4:$AY$138, MATCH('Staging Table'!$A20, LS_current!$B$4:$B$138, 0), MATCH(CH$4&amp;CH$5, LS_current!$D$2:$AY$2&amp;LS_current!$D$3:$AY$3, 0)),SUM(VLOOKUP($A20, LS_current!$B$4:$AY$138, LS_current!L$148, FALSE), VLOOKUP($A20, LS_current!$B$4:$AY$138,LS_current!L$148, FALSE))/2)</f>
        <v>1388</v>
      </c>
      <c r="CI20" s="227">
        <f t="array" ref="CI20">IF($BU20=0, INDEX(LS_current!$D$4:$AY$138, MATCH('Staging Table'!$A20, LS_current!$B$4:$B$138, 0), MATCH(CI$4&amp;CI$5, LS_current!$D$2:$AY$2&amp;LS_current!$D$3:$AY$3, 0)),SUM(VLOOKUP($A20, LS_current!$B$4:$AY$138, LS_current!M$148, FALSE), VLOOKUP($A20, LS_current!$B$4:$AY$138,LS_current!M$148, FALSE))/2)</f>
        <v>981</v>
      </c>
      <c r="CJ20" s="227">
        <f t="array" ref="CJ20">IF($BU20=0, INDEX(LS_current!$D$4:$AY$138, MATCH('Staging Table'!$A20, LS_current!$B$4:$B$138, 0), MATCH(CJ$4&amp;CJ$5, LS_current!$D$2:$AY$2&amp;LS_current!$D$3:$AY$3, 0)),SUM(VLOOKUP($A20, LS_current!$B$4:$AY$138, LS_current!N$148, FALSE), VLOOKUP($A20, LS_current!$B$4:$AY$138,LS_current!N$148, FALSE))/2)</f>
        <v>-65</v>
      </c>
      <c r="CK20" s="227">
        <f t="array" ref="CK20">IF($BU20=0, INDEX(LS_current!$D$4:$AY$138, MATCH('Staging Table'!$A20, LS_current!$B$4:$B$138, 0), MATCH(CK$4&amp;CK$5, LS_current!$D$2:$AY$2&amp;LS_current!$D$3:$AY$3, 0)),SUM(VLOOKUP($A20, LS_current!$B$4:$AY$138, LS_current!O$148, FALSE), VLOOKUP($A20, LS_current!$B$4:$AY$138,LS_current!O$148, FALSE))/2)</f>
        <v>375</v>
      </c>
      <c r="CL20" s="227">
        <f t="array" ref="CL20">IF($BU20=0, INDEX(LS_current!$D$4:$AY$138, MATCH('Staging Table'!$A20, LS_current!$B$4:$B$138, 0), MATCH(CL$4&amp;CL$5, LS_current!$D$2:$AY$2&amp;LS_current!$D$3:$AY$3, 0)),SUM(VLOOKUP($A20, LS_current!$B$4:$AY$138, LS_current!P$148, FALSE), VLOOKUP($A20, LS_current!$B$4:$AY$138,LS_current!P$148, FALSE))/2)</f>
        <v>734</v>
      </c>
      <c r="CM20" s="227">
        <f t="array" ref="CM20">IF($BU20=0, INDEX(LS_current!$D$4:$AY$138, MATCH('Staging Table'!$A20, LS_current!$B$4:$B$138, 0), MATCH(CM$4&amp;CM$5, LS_current!$D$2:$AY$2&amp;LS_current!$D$3:$AY$3, 0)),SUM(VLOOKUP($A20, LS_current!$B$4:$AY$138, LS_current!Q$148, FALSE), VLOOKUP($A20, LS_current!$B$4:$AY$138,LS_current!Q$148, FALSE))/2)</f>
        <v>330</v>
      </c>
      <c r="CN20" s="227">
        <f t="array" ref="CN20">IF($BU20=0, INDEX(LS_current!$D$4:$AY$138, MATCH('Staging Table'!$A20, LS_current!$B$4:$B$138, 0), MATCH(CN$4&amp;CN$5, LS_current!$D$2:$AY$2&amp;LS_current!$D$3:$AY$3, 0)),SUM(VLOOKUP($A20, LS_current!$B$4:$AY$138, LS_current!R$148, FALSE), VLOOKUP($A20, LS_current!$B$4:$AY$138,LS_current!R$148, FALSE))/2)</f>
        <v>-1600</v>
      </c>
      <c r="CO20" s="227">
        <f t="array" ref="CO20">IF($BU20=0, INDEX(LS_current!$D$4:$AY$138, MATCH('Staging Table'!$A20, LS_current!$B$4:$B$138, 0), MATCH(CO$4&amp;CO$5, LS_current!$D$2:$AY$2&amp;LS_current!$D$3:$AY$3, 0)),SUM(VLOOKUP($A20, LS_current!$B$4:$AY$138, LS_current!S$148, FALSE), VLOOKUP($A20, LS_current!$B$4:$AY$138,LS_current!S$148, FALSE))/2)</f>
        <v>-299</v>
      </c>
      <c r="CP20" s="227">
        <f t="array" ref="CP20">IF($BU20=0, INDEX(LS_current!$D$4:$AY$138, MATCH('Staging Table'!$A20, LS_current!$B$4:$B$138, 0), MATCH(CP$4&amp;CP$5, LS_current!$D$2:$AY$2&amp;LS_current!$D$3:$AY$3, 0)),SUM(VLOOKUP($A20, LS_current!$B$4:$AY$138, LS_current!T$148, FALSE), VLOOKUP($A20, LS_current!$B$4:$AY$138,LS_current!T$148, FALSE))/2)</f>
        <v>-3100</v>
      </c>
      <c r="CQ20" s="227">
        <f t="array" ref="CQ20">IF($BU20=0, INDEX(LS_current!$D$4:$AY$138, MATCH('Staging Table'!$A20, LS_current!$B$4:$B$138, 0), MATCH(CQ$4&amp;CQ$5, LS_current!$D$2:$AY$2&amp;LS_current!$D$3:$AY$3, 0)),SUM(VLOOKUP($A20, LS_current!$B$4:$AY$138, LS_current!U$148, FALSE), VLOOKUP($A20, LS_current!$B$4:$AY$138,LS_current!U$148, FALSE))/2)</f>
        <v>-1735</v>
      </c>
      <c r="CR20" s="227">
        <f t="array" ref="CR20">IF($BU20=0, INDEX(LS_current!$D$4:$AY$138, MATCH('Staging Table'!$A20, LS_current!$B$4:$B$138, 0), MATCH(CR$4&amp;CR$5, LS_current!$D$2:$AY$2&amp;LS_current!$D$3:$AY$3, 0)),SUM(VLOOKUP($A20, LS_current!$B$4:$AY$138, LS_current!V$148, FALSE), VLOOKUP($A20, LS_current!$B$4:$AY$138,LS_current!V$148, FALSE))/2)</f>
        <v>-638</v>
      </c>
      <c r="CS20" s="227">
        <f t="array" ref="CS20">IF($BU20=0, INDEX(LS_current!$D$4:$AY$138, MATCH('Staging Table'!$A20, LS_current!$B$4:$B$138, 0), MATCH(CS$4&amp;CS$5, LS_current!$D$2:$AY$2&amp;LS_current!$D$3:$AY$3, 0)),SUM(VLOOKUP($A20, LS_current!$B$4:$AY$138, LS_current!W$148, FALSE), VLOOKUP($A20, LS_current!$B$4:$AY$138,LS_current!W$148, FALSE))/2)</f>
        <v>435</v>
      </c>
      <c r="CT20" s="227">
        <f t="array" ref="CT20">IF($BU20=0, INDEX(LS_current!$D$4:$AY$138, MATCH('Staging Table'!$A20, LS_current!$B$4:$B$138, 0), MATCH(CT$4&amp;CT$5, LS_current!$D$2:$AY$2&amp;LS_current!$D$3:$AY$3, 0)),SUM(VLOOKUP($A20, LS_current!$B$4:$AY$138, LS_current!X$148, FALSE), VLOOKUP($A20, LS_current!$B$4:$AY$138,LS_current!X$148, FALSE))/2)</f>
        <v>-657</v>
      </c>
      <c r="CU20" s="227">
        <f t="array" ref="CU20">IF($BU20=0, INDEX(LS_current!$D$4:$AY$138, MATCH('Staging Table'!$A20, LS_current!$B$4:$B$138, 0), MATCH(CU$4&amp;CU$5, LS_current!$D$2:$AY$2&amp;LS_current!$D$3:$AY$3, 0)),SUM(VLOOKUP($A20, LS_current!$B$4:$AY$138, LS_current!Y$148, FALSE), VLOOKUP($A20, LS_current!$B$4:$AY$138,LS_current!Y$148, FALSE))/2)</f>
        <v>366</v>
      </c>
      <c r="CV20" s="227">
        <f t="array" ref="CV20">IF($BU20=0, INDEX(LS_current!$D$4:$AY$138, MATCH('Staging Table'!$A20, LS_current!$B$4:$B$138, 0), MATCH(CV$4&amp;CV$5, LS_current!$D$2:$AY$2&amp;LS_current!$D$3:$AY$3, 0)),SUM(VLOOKUP($A20, LS_current!$B$4:$AY$138, LS_current!Z$148, FALSE), VLOOKUP($A20, LS_current!$B$4:$AY$138,LS_current!Z$148, FALSE))/2)</f>
        <v>-517</v>
      </c>
      <c r="CW20" s="227">
        <f t="array" ref="CW20">IF($BU20=0, INDEX(LS_current!$D$4:$AY$138, MATCH('Staging Table'!$A20, LS_current!$B$4:$B$138, 0), MATCH(CW$4&amp;CW$5, LS_current!$D$2:$AY$2&amp;LS_current!$D$3:$AY$3, 0)),SUM(VLOOKUP($A20, LS_current!$B$4:$AY$138, LS_current!AA$148, FALSE), VLOOKUP($A20, LS_current!$B$4:$AY$138,LS_current!AA$148, FALSE))/2)</f>
        <v>-184</v>
      </c>
      <c r="CX20" s="229">
        <f t="array" ref="CX20">INDEX(Demand_current!$D$4:$AY$138, MATCH($A20, Demand_current!$B$4:$B$138, 0), MATCH(CX$4&amp;CX$5,Demand_current!$D$2:$AY$2&amp;Demand_current!$D$3:$AY$3, 0))/1000</f>
        <v>2.0070000000000001</v>
      </c>
      <c r="CY20" s="229">
        <f t="array" ref="CY20">INDEX(Demand_current!$D$4:$AY$138, MATCH($A20, Demand_current!$B$4:$B$138, 0), MATCH(CY$4&amp;CY$5,Demand_current!$D$2:$AY$2&amp;Demand_current!$D$3:$AY$3, 0))/1000</f>
        <v>0.93200000000000005</v>
      </c>
      <c r="CZ20" s="229">
        <f t="array" ref="CZ20">INDEX(Demand_current!$D$4:$AY$138, MATCH($A20, Demand_current!$B$4:$B$138, 0), MATCH(CZ$4&amp;CZ$5,Demand_current!$D$2:$AY$2&amp;Demand_current!$D$3:$AY$3, 0))/1000</f>
        <v>1.8220000000000001</v>
      </c>
      <c r="DA20" s="229">
        <f t="array" ref="DA20">INDEX(Demand_current!$D$4:$AY$138, MATCH($A20, Demand_current!$B$4:$B$138, 0), MATCH(DA$4&amp;DA$5,Demand_current!$D$2:$AY$2&amp;Demand_current!$D$3:$AY$3, 0))/1000</f>
        <v>2.2759999999999998</v>
      </c>
      <c r="DB20" s="229">
        <f t="array" ref="DB20">INDEX(Demand_current!$D$4:$AY$138, MATCH($A20, Demand_current!$B$4:$B$138, 0), MATCH(DB$4&amp;DB$5,Demand_current!$D$2:$AY$2&amp;Demand_current!$D$3:$AY$3, 0))/1000</f>
        <v>0.747</v>
      </c>
      <c r="DC20" s="229">
        <f t="array" ref="DC20">INDEX(Demand_current!$D$4:$AY$138, MATCH($A20, Demand_current!$B$4:$B$138, 0), MATCH(DC$4&amp;DC$5,Demand_current!$D$2:$AY$2&amp;Demand_current!$D$3:$AY$3, 0))/1000</f>
        <v>2.67</v>
      </c>
      <c r="DD20" s="229">
        <f t="array" ref="DD20">INDEX(Demand_current!$D$4:$AY$138, MATCH($A20, Demand_current!$B$4:$B$138, 0), MATCH(DD$4&amp;DD$5,Demand_current!$D$2:$AY$2&amp;Demand_current!$D$3:$AY$3, 0))/1000</f>
        <v>1.2969999999999999</v>
      </c>
      <c r="DE20" s="229">
        <f t="array" ref="DE20">INDEX(Demand_current!$D$4:$AY$138, MATCH($A20, Demand_current!$B$4:$B$138, 0), MATCH(DE$4&amp;DE$5,Demand_current!$D$2:$AY$2&amp;Demand_current!$D$3:$AY$3, 0))/1000</f>
        <v>1.4059999999999999</v>
      </c>
      <c r="DF20" s="229">
        <f t="array" ref="DF20">INDEX(Demand_current!$D$4:$AY$138, MATCH($A20, Demand_current!$B$4:$B$138, 0), MATCH(DF$4&amp;DF$5,Demand_current!$D$2:$AY$2&amp;Demand_current!$D$3:$AY$3, 0))/1000</f>
        <v>2.464</v>
      </c>
      <c r="DG20" s="229">
        <f t="array" ref="DG20">INDEX(Demand_current!$D$4:$AY$138, MATCH($A20, Demand_current!$B$4:$B$138, 0), MATCH(DG$4&amp;DG$5,Demand_current!$D$2:$AY$2&amp;Demand_current!$D$3:$AY$3, 0))/1000</f>
        <v>2.6949999999999998</v>
      </c>
      <c r="DH20" s="229">
        <f t="array" ref="DH20">INDEX(Demand_current!$D$4:$AY$138, MATCH($A20, Demand_current!$B$4:$B$138, 0), MATCH(DH$4&amp;DH$5,Demand_current!$D$2:$AY$2&amp;Demand_current!$D$3:$AY$3, 0))/1000</f>
        <v>2.198</v>
      </c>
      <c r="DI20" s="229">
        <f t="array" ref="DI20">INDEX(Demand_current!$D$4:$AY$138, MATCH($A20, Demand_current!$B$4:$B$138, 0), MATCH(DI$4&amp;DI$5,Demand_current!$D$2:$AY$2&amp;Demand_current!$D$3:$AY$3, 0))/1000</f>
        <v>2.3479999999999999</v>
      </c>
      <c r="DJ20" s="227">
        <f>$BT20*(VLOOKUP(DJ$4, Rates_current!$G$6:$Q$29, 10, FALSE)+VLOOKUP(DJ$4, Rates_current!$G$6:$Q$29, 11, FALSE))</f>
        <v>9138.5941943231992</v>
      </c>
      <c r="DK20" s="227">
        <f>$BT20*(VLOOKUP(DK$4, Rates_current!$G$6:$Q$29, 10, FALSE)+VLOOKUP(DK$4, Rates_current!$G$6:$Q$29, 11, FALSE))</f>
        <v>11608.8654666288</v>
      </c>
      <c r="DL20" s="227">
        <f>$BT20*(VLOOKUP(DL$4, Rates_current!$G$6:$Q$29, 10, FALSE)+VLOOKUP(DL$4, Rates_current!$G$6:$Q$29, 11, FALSE))</f>
        <v>11468.672707923201</v>
      </c>
      <c r="DM20" s="227">
        <f>$BT20*(VLOOKUP(DM$4, Rates_current!$G$6:$Q$29, 10, FALSE)+VLOOKUP(DM$4, Rates_current!$G$6:$Q$29, 11, FALSE))</f>
        <v>9559.8372263232013</v>
      </c>
      <c r="DN20" s="227">
        <f>$BT20*(VLOOKUP(DN$4, Rates_current!$G$6:$Q$29, 10, FALSE)+VLOOKUP(DN$4, Rates_current!$G$6:$Q$29, 11, FALSE))</f>
        <v>8660.2207705599994</v>
      </c>
      <c r="DO20" s="227">
        <f>$BT20*(VLOOKUP(DO$4, Rates_current!$G$6:$Q$29, 10, FALSE)+VLOOKUP(DO$4, Rates_current!$G$6:$Q$29, 11, FALSE))</f>
        <v>9632.9166945103989</v>
      </c>
      <c r="DP20" s="227">
        <f>$BT20*(VLOOKUP(DP$4, Rates_current!$G$6:$Q$29, 10, FALSE)+VLOOKUP(DP$4, Rates_current!$G$6:$Q$29, 11, FALSE))</f>
        <v>7843.1311676159994</v>
      </c>
      <c r="DQ20" s="227">
        <f>$BT20*(VLOOKUP(DQ$4, Rates_current!$G$6:$Q$29, 10, FALSE)+VLOOKUP(DQ$4, Rates_current!$G$6:$Q$29, 11, FALSE))</f>
        <v>10577.6319199232</v>
      </c>
      <c r="DR20" s="227">
        <f>$BT20*(VLOOKUP(DR$4, Rates_current!$G$6:$Q$29, 10, FALSE)+VLOOKUP(DR$4, Rates_current!$G$6:$Q$29, 11, FALSE))</f>
        <v>13496.338930016002</v>
      </c>
      <c r="DS20" s="227">
        <f>$BT20*(VLOOKUP(DS$4, Rates_current!$G$6:$Q$29, 10, FALSE)+VLOOKUP(DS$4, Rates_current!$G$6:$Q$29, 11, FALSE))</f>
        <v>10581.557663123202</v>
      </c>
      <c r="DT20" s="227">
        <f>$BT20*(VLOOKUP(DT$4, Rates_current!$G$6:$Q$29, 10, FALSE)+VLOOKUP(DT$4, Rates_current!$G$6:$Q$29, 11, FALSE))</f>
        <v>10304.330129523201</v>
      </c>
      <c r="DU20" s="227">
        <f>$BT20*(VLOOKUP(DU$4, Rates_current!$G$6:$Q$29, 10, FALSE)+VLOOKUP(DU$4, Rates_current!$G$6:$Q$29, 11, FALSE))</f>
        <v>9251.0964428160005</v>
      </c>
      <c r="DV20" s="229">
        <f>IF(D20=0,IF(C20=0,MAX(0,DY20 - (VLOOKUP($A20,TOCA_current!$A$2:$AI$137,MATCH("RHWM 2020",TOCA_current!$A$2:$AI$2,0),FALSE)*$BT$2)), 0),0)</f>
        <v>0</v>
      </c>
      <c r="DW20" s="266">
        <f>VLOOKUP($A20,REP_current!$A$1:$D$135,MATCH("FY "&amp;$BT$1&amp; " Total Refund",REP_current!$A$1:$D$1,0),0)</f>
        <v>0</v>
      </c>
      <c r="DX20" s="295">
        <f>MIN(VLOOKUP($A20,TOCA_current!$A$2:$AI$137,MATCH("TRL - NLSL - Existing Resource "&amp;$BT$1,TOCA_current!$A$2:$AI$2,0),FALSE)*$BT$2, VLOOKUP($A20,TOCA_current!$A$2:$AI$137,MATCH("RHWM 2020",TOCA_current!$A$2:$AI$2,0),FALSE)*$BT$2)</f>
        <v>122123.952</v>
      </c>
      <c r="DY20" s="240">
        <f>SUM(BZ20:CW20)+(BT20*RT1SC!$C$4*$BT$2)</f>
        <v>120254.1978971136</v>
      </c>
      <c r="DZ20" s="271">
        <f>VLOOKUP($A20,TOCA_current!$A$2:$AI$137,MATCH("Above RHWM Not Served with LS "&amp;$BT$1,TOCA_current!$A$2:$AI$2,0),FALSE)*$BT$2</f>
        <v>0</v>
      </c>
      <c r="EA20" s="244">
        <f t="shared" si="13"/>
        <v>-1869.7541028864071</v>
      </c>
      <c r="EB20" s="295">
        <f>(VLOOKUP($A20,TOCA_current!$A$2:$AI$137,MATCH("RHWM 2020",TOCA_current!$A$2:$AI$2,0),FALSE)*$BT$2) - $DX20</f>
        <v>764.20799999999872</v>
      </c>
      <c r="EC20" s="240">
        <f t="shared" si="14"/>
        <v>0</v>
      </c>
      <c r="ED20" s="240">
        <f t="shared" si="15"/>
        <v>1869.7541028864071</v>
      </c>
      <c r="EE20" s="240">
        <f t="shared" si="16"/>
        <v>0</v>
      </c>
      <c r="EF20" s="240">
        <f t="shared" si="17"/>
        <v>1869.7541028864071</v>
      </c>
    </row>
    <row r="21" spans="1:136">
      <c r="A21" s="166">
        <v>10065</v>
      </c>
      <c r="B21" s="167" t="s">
        <v>22</v>
      </c>
      <c r="C21" s="240">
        <v>0</v>
      </c>
      <c r="D21" s="240">
        <v>0</v>
      </c>
      <c r="E21" s="150">
        <f>VLOOKUP($A21,TOCA_previous!$A$2:$AI$137,MATCH(E$4,TOCA_previous!$A$2:$AI$2,0),FALSE)</f>
        <v>3.368E-4</v>
      </c>
      <c r="F21" s="151">
        <f>VLOOKUP($A21,TOCA_previous!$A$2:$AI$137,MATCH(F$4,TOCA_previous!$A$2:$AI$2,0),FALSE)</f>
        <v>3.368E-4</v>
      </c>
      <c r="G21" s="151">
        <f t="shared" si="2"/>
        <v>0</v>
      </c>
      <c r="H21" s="151">
        <f>VLOOKUP($A21,TOCA_previous!$A$2:$AI$137,MATCH(H$4,TOCA_previous!$A$2:$AI$2,0),FALSE)</f>
        <v>6.0525900000000001E-2</v>
      </c>
      <c r="I21" s="151">
        <f t="shared" si="3"/>
        <v>0</v>
      </c>
      <c r="J21" s="151">
        <f t="shared" si="4"/>
        <v>0</v>
      </c>
      <c r="K21" s="226">
        <f>VLOOKUP(A21, IRD!$A$5:$C$139, 3, FALSE)</f>
        <v>0</v>
      </c>
      <c r="L21" s="227">
        <f t="array" ref="L21">IF($G21=0, INDEX(LS_previous!$D$4:$AY$138, MATCH('Staging Table'!$A21, LS_previous!$B$4:$B$138, 0), MATCH(L$4&amp;L$5, LS_previous!$D$2:$AY$2&amp;LS_previous!$D$3:$AY$3, 0)),SUM(VLOOKUP($A21, LS_previous!$B$4:$AY$138, LS_previous!D$149, FALSE), VLOOKUP('Staging Table'!$A21, LS_previous!$B$4:$AY$138,LS_previous!AB$149, FALSE))/2)</f>
        <v>196</v>
      </c>
      <c r="M21" s="227">
        <f t="array" ref="M21">IF($G21=0, INDEX(LS_previous!$D$4:$AY$138, MATCH('Staging Table'!$A21, LS_previous!$B$4:$B$138, 0), MATCH(M$4&amp;M$5, LS_previous!$D$2:$AY$2&amp;LS_previous!$D$3:$AY$3, 0)),SUM(VLOOKUP($A21, LS_previous!$B$4:$AY$138, LS_previous!E$149, FALSE), VLOOKUP('Staging Table'!$A21, LS_previous!$B$4:$AY$138,LS_previous!AC$149, FALSE))/2)</f>
        <v>178</v>
      </c>
      <c r="N21" s="227">
        <f t="array" ref="N21">IF($G21=0, INDEX(LS_previous!$D$4:$AY$138, MATCH('Staging Table'!$A21, LS_previous!$B$4:$B$138, 0), MATCH(N$4&amp;N$5, LS_previous!$D$2:$AY$2&amp;LS_previous!$D$3:$AY$3, 0)),SUM(VLOOKUP($A21, LS_previous!$B$4:$AY$138, LS_previous!F$149, FALSE), VLOOKUP('Staging Table'!$A21, LS_previous!$B$4:$AY$138,LS_previous!AD$149, FALSE))/2)</f>
        <v>169</v>
      </c>
      <c r="O21" s="227">
        <f t="array" ref="O21">IF($G21=0, INDEX(LS_previous!$D$4:$AY$138, MATCH('Staging Table'!$A21, LS_previous!$B$4:$B$138, 0), MATCH(O$4&amp;O$5, LS_previous!$D$2:$AY$2&amp;LS_previous!$D$3:$AY$3, 0)),SUM(VLOOKUP($A21, LS_previous!$B$4:$AY$138, LS_previous!G$149, FALSE), VLOOKUP('Staging Table'!$A21, LS_previous!$B$4:$AY$138,LS_previous!AE$149, FALSE))/2)</f>
        <v>229</v>
      </c>
      <c r="P21" s="227">
        <f t="array" ref="P21">IF($G21=0, INDEX(LS_previous!$D$4:$AY$138, MATCH('Staging Table'!$A21, LS_previous!$B$4:$B$138, 0), MATCH(P$4&amp;P$5, LS_previous!$D$2:$AY$2&amp;LS_previous!$D$3:$AY$3, 0)),SUM(VLOOKUP($A21, LS_previous!$B$4:$AY$138, LS_previous!H$149, FALSE), VLOOKUP('Staging Table'!$A21, LS_previous!$B$4:$AY$138,LS_previous!AF$149, FALSE))/2)</f>
        <v>536</v>
      </c>
      <c r="Q21" s="227">
        <f t="array" ref="Q21">IF($G21=0, INDEX(LS_previous!$D$4:$AY$138, MATCH('Staging Table'!$A21, LS_previous!$B$4:$B$138, 0), MATCH(Q$4&amp;Q$5, LS_previous!$D$2:$AY$2&amp;LS_previous!$D$3:$AY$3, 0)),SUM(VLOOKUP($A21, LS_previous!$B$4:$AY$138, LS_previous!I$149, FALSE), VLOOKUP('Staging Table'!$A21, LS_previous!$B$4:$AY$138,LS_previous!AG$149, FALSE))/2)</f>
        <v>521</v>
      </c>
      <c r="R21" s="227">
        <f t="array" ref="R21">IF($G21=0, INDEX(LS_previous!$D$4:$AY$138, MATCH('Staging Table'!$A21, LS_previous!$B$4:$B$138, 0), MATCH(R$4&amp;R$5, LS_previous!$D$2:$AY$2&amp;LS_previous!$D$3:$AY$3, 0)),SUM(VLOOKUP($A21, LS_previous!$B$4:$AY$138, LS_previous!J$149, FALSE), VLOOKUP('Staging Table'!$A21, LS_previous!$B$4:$AY$138,LS_previous!AH$149, FALSE))/2)</f>
        <v>659</v>
      </c>
      <c r="S21" s="227">
        <f t="array" ref="S21">IF($G21=0, INDEX(LS_previous!$D$4:$AY$138, MATCH('Staging Table'!$A21, LS_previous!$B$4:$B$138, 0), MATCH(S$4&amp;S$5, LS_previous!$D$2:$AY$2&amp;LS_previous!$D$3:$AY$3, 0)),SUM(VLOOKUP($A21, LS_previous!$B$4:$AY$138, LS_previous!K$149, FALSE), VLOOKUP('Staging Table'!$A21, LS_previous!$B$4:$AY$138,LS_previous!AI$149, FALSE))/2)</f>
        <v>527</v>
      </c>
      <c r="T21" s="227">
        <f t="array" ref="T21">IF($G21=0, INDEX(LS_previous!$D$4:$AY$138, MATCH('Staging Table'!$A21, LS_previous!$B$4:$B$138, 0), MATCH(T$4&amp;T$5, LS_previous!$D$2:$AY$2&amp;LS_previous!$D$3:$AY$3, 0)),SUM(VLOOKUP($A21, LS_previous!$B$4:$AY$138, LS_previous!L$149, FALSE), VLOOKUP('Staging Table'!$A21, LS_previous!$B$4:$AY$138,LS_previous!AJ$149, FALSE))/2)</f>
        <v>706</v>
      </c>
      <c r="U21" s="227">
        <f t="array" ref="U21">IF($G21=0, INDEX(LS_previous!$D$4:$AY$138, MATCH('Staging Table'!$A21, LS_previous!$B$4:$B$138, 0), MATCH(U$4&amp;U$5, LS_previous!$D$2:$AY$2&amp;LS_previous!$D$3:$AY$3, 0)),SUM(VLOOKUP($A21, LS_previous!$B$4:$AY$138, LS_previous!M$149, FALSE), VLOOKUP('Staging Table'!$A21, LS_previous!$B$4:$AY$138,LS_previous!AK$149, FALSE))/2)</f>
        <v>499</v>
      </c>
      <c r="V21" s="227">
        <f t="array" ref="V21">IF($G21=0, INDEX(LS_previous!$D$4:$AY$138, MATCH('Staging Table'!$A21, LS_previous!$B$4:$B$138, 0), MATCH(V$4&amp;V$5, LS_previous!$D$2:$AY$2&amp;LS_previous!$D$3:$AY$3, 0)),SUM(VLOOKUP($A21, LS_previous!$B$4:$AY$138, LS_previous!N$149, FALSE), VLOOKUP('Staging Table'!$A21, LS_previous!$B$4:$AY$138,LS_previous!AL$149, FALSE))/2)</f>
        <v>381</v>
      </c>
      <c r="W21" s="227">
        <f t="array" ref="W21">IF($G21=0, INDEX(LS_previous!$D$4:$AY$138, MATCH('Staging Table'!$A21, LS_previous!$B$4:$B$138, 0), MATCH(W$4&amp;W$5, LS_previous!$D$2:$AY$2&amp;LS_previous!$D$3:$AY$3, 0)),SUM(VLOOKUP($A21, LS_previous!$B$4:$AY$138, LS_previous!O$149, FALSE), VLOOKUP('Staging Table'!$A21, LS_previous!$B$4:$AY$138,LS_previous!AM$149, FALSE))/2)</f>
        <v>360</v>
      </c>
      <c r="X21" s="227">
        <f t="array" ref="X21">IF($G21=0, INDEX(LS_previous!$D$4:$AY$138, MATCH('Staging Table'!$A21, LS_previous!$B$4:$B$138, 0), MATCH(X$4&amp;X$5, LS_previous!$D$2:$AY$2&amp;LS_previous!$D$3:$AY$3, 0)),SUM(VLOOKUP($A21, LS_previous!$B$4:$AY$138, LS_previous!P$149, FALSE), VLOOKUP('Staging Table'!$A21, LS_previous!$B$4:$AY$138,LS_previous!AN$149, FALSE))/2)</f>
        <v>344</v>
      </c>
      <c r="Y21" s="227">
        <f t="array" ref="Y21">IF($G21=0, INDEX(LS_previous!$D$4:$AY$138, MATCH('Staging Table'!$A21, LS_previous!$B$4:$B$138, 0), MATCH(Y$4&amp;Y$5, LS_previous!$D$2:$AY$2&amp;LS_previous!$D$3:$AY$3, 0)),SUM(VLOOKUP($A21, LS_previous!$B$4:$AY$138, LS_previous!Q$149, FALSE), VLOOKUP('Staging Table'!$A21, LS_previous!$B$4:$AY$138,LS_previous!AO$149, FALSE))/2)</f>
        <v>294</v>
      </c>
      <c r="Z21" s="227">
        <f t="array" ref="Z21">IF($G21=0, INDEX(LS_previous!$D$4:$AY$138, MATCH('Staging Table'!$A21, LS_previous!$B$4:$B$138, 0), MATCH(Z$4&amp;Z$5, LS_previous!$D$2:$AY$2&amp;LS_previous!$D$3:$AY$3, 0)),SUM(VLOOKUP($A21, LS_previous!$B$4:$AY$138, LS_previous!R$149, FALSE), VLOOKUP('Staging Table'!$A21, LS_previous!$B$4:$AY$138,LS_previous!AP$149, FALSE))/2)</f>
        <v>-280</v>
      </c>
      <c r="AA21" s="227">
        <f t="array" ref="AA21">IF($G21=0, INDEX(LS_previous!$D$4:$AY$138, MATCH('Staging Table'!$A21, LS_previous!$B$4:$B$138, 0), MATCH(AA$4&amp;AA$5, LS_previous!$D$2:$AY$2&amp;LS_previous!$D$3:$AY$3, 0)),SUM(VLOOKUP($A21, LS_previous!$B$4:$AY$138, LS_previous!S$149, FALSE), VLOOKUP('Staging Table'!$A21, LS_previous!$B$4:$AY$138,LS_previous!AQ$149, FALSE))/2)</f>
        <v>11</v>
      </c>
      <c r="AB21" s="227">
        <f t="array" ref="AB21">IF($G21=0, INDEX(LS_previous!$D$4:$AY$138, MATCH('Staging Table'!$A21, LS_previous!$B$4:$B$138, 0), MATCH(AB$4&amp;AB$5, LS_previous!$D$2:$AY$2&amp;LS_previous!$D$3:$AY$3, 0)),SUM(VLOOKUP($A21, LS_previous!$B$4:$AY$138, LS_previous!T$149, FALSE), VLOOKUP('Staging Table'!$A21, LS_previous!$B$4:$AY$138,LS_previous!AR$149, FALSE))/2)</f>
        <v>32</v>
      </c>
      <c r="AC21" s="227">
        <f t="array" ref="AC21">IF($G21=0, INDEX(LS_previous!$D$4:$AY$138, MATCH('Staging Table'!$A21, LS_previous!$B$4:$B$138, 0), MATCH(AC$4&amp;AC$5, LS_previous!$D$2:$AY$2&amp;LS_previous!$D$3:$AY$3, 0)),SUM(VLOOKUP($A21, LS_previous!$B$4:$AY$138, LS_previous!U$149, FALSE), VLOOKUP('Staging Table'!$A21, LS_previous!$B$4:$AY$138,LS_previous!AS$149, FALSE))/2)</f>
        <v>125</v>
      </c>
      <c r="AD21" s="227">
        <f t="array" ref="AD21">IF($G21=0, INDEX(LS_previous!$D$4:$AY$138, MATCH('Staging Table'!$A21, LS_previous!$B$4:$B$138, 0), MATCH(AD$4&amp;AD$5, LS_previous!$D$2:$AY$2&amp;LS_previous!$D$3:$AY$3, 0)),SUM(VLOOKUP($A21, LS_previous!$B$4:$AY$138, LS_previous!V$149, FALSE), VLOOKUP('Staging Table'!$A21, LS_previous!$B$4:$AY$138,LS_previous!AT$149, FALSE))/2)</f>
        <v>221</v>
      </c>
      <c r="AE21" s="227">
        <f t="array" ref="AE21">IF($G21=0, INDEX(LS_previous!$D$4:$AY$138, MATCH('Staging Table'!$A21, LS_previous!$B$4:$B$138, 0), MATCH(AE$4&amp;AE$5, LS_previous!$D$2:$AY$2&amp;LS_previous!$D$3:$AY$3, 0)),SUM(VLOOKUP($A21, LS_previous!$B$4:$AY$138, LS_previous!W$149, FALSE), VLOOKUP('Staging Table'!$A21, LS_previous!$B$4:$AY$138,LS_previous!AU$149, FALSE))/2)</f>
        <v>256</v>
      </c>
      <c r="AF21" s="227">
        <f t="array" ref="AF21">IF($G21=0, INDEX(LS_previous!$D$4:$AY$138, MATCH('Staging Table'!$A21, LS_previous!$B$4:$B$138, 0), MATCH(AF$4&amp;AF$5, LS_previous!$D$2:$AY$2&amp;LS_previous!$D$3:$AY$3, 0)),SUM(VLOOKUP($A21, LS_previous!$B$4:$AY$138, LS_previous!X$149, FALSE), VLOOKUP('Staging Table'!$A21, LS_previous!$B$4:$AY$138,LS_previous!AV$149, FALSE))/2)</f>
        <v>98</v>
      </c>
      <c r="AG21" s="227">
        <f t="array" ref="AG21">IF($G21=0, INDEX(LS_previous!$D$4:$AY$138, MATCH('Staging Table'!$A21, LS_previous!$B$4:$B$138, 0), MATCH(AG$4&amp;AG$5, LS_previous!$D$2:$AY$2&amp;LS_previous!$D$3:$AY$3, 0)),SUM(VLOOKUP($A21, LS_previous!$B$4:$AY$138, LS_previous!Y$149, FALSE), VLOOKUP('Staging Table'!$A21, LS_previous!$B$4:$AY$138,LS_previous!AW$149, FALSE))/2)</f>
        <v>227</v>
      </c>
      <c r="AH21" s="227">
        <f t="array" ref="AH21">IF($G21=0, INDEX(LS_previous!$D$4:$AY$138, MATCH('Staging Table'!$A21, LS_previous!$B$4:$B$138, 0), MATCH(AH$4&amp;AH$5, LS_previous!$D$2:$AY$2&amp;LS_previous!$D$3:$AY$3, 0)),SUM(VLOOKUP($A21, LS_previous!$B$4:$AY$138, LS_previous!Z$149, FALSE), VLOOKUP('Staging Table'!$A21, LS_previous!$B$4:$AY$138,LS_previous!AX$149, FALSE))/2)</f>
        <v>166</v>
      </c>
      <c r="AI21" s="227">
        <f t="array" ref="AI21">IF($G21=0, INDEX(LS_previous!$D$4:$AY$138, MATCH('Staging Table'!$A21, LS_previous!$B$4:$B$138, 0), MATCH(AI$4&amp;AI$5, LS_previous!$D$2:$AY$2&amp;LS_previous!$D$3:$AY$3, 0)),SUM(VLOOKUP($A21, LS_previous!$B$4:$AY$138, LS_previous!AA$149, FALSE), VLOOKUP('Staging Table'!$A21, LS_previous!$B$4:$AY$138,LS_previous!AY$149, FALSE))/2)</f>
        <v>196</v>
      </c>
      <c r="AJ21" s="424">
        <f t="array" ref="AJ21">INDEX(Demand_previous!$D$4:$AY$138, MATCH('Staging Table'!$A21, Demand_previous!$B$4:$B$138, 0), MATCH(AJ$4&amp;AJ$5,Demand_previous!$D$2:$AY$2&amp;Demand_previous!$D$3:$AY$3, 0))/1000</f>
        <v>0.21</v>
      </c>
      <c r="AK21" s="424">
        <f t="array" ref="AK21">INDEX(Demand_previous!$D$4:$AY$138, MATCH('Staging Table'!$A21, Demand_previous!$B$4:$B$138, 0), MATCH(AK$4&amp;AK$5,Demand_previous!$D$2:$AY$2&amp;Demand_previous!$D$3:$AY$3, 0))/1000</f>
        <v>0.80500000000000005</v>
      </c>
      <c r="AL21" s="424">
        <f t="array" ref="AL21">INDEX(Demand_previous!$D$4:$AY$138, MATCH('Staging Table'!$A21, Demand_previous!$B$4:$B$138, 0), MATCH(AL$4&amp;AL$5,Demand_previous!$D$2:$AY$2&amp;Demand_previous!$D$3:$AY$3, 0))/1000</f>
        <v>0.92300000000000004</v>
      </c>
      <c r="AM21" s="424">
        <f t="array" ref="AM21">INDEX(Demand_previous!$D$4:$AY$138, MATCH('Staging Table'!$A21, Demand_previous!$B$4:$B$138, 0), MATCH(AM$4&amp;AM$5,Demand_previous!$D$2:$AY$2&amp;Demand_previous!$D$3:$AY$3, 0))/1000</f>
        <v>0.63700000000000001</v>
      </c>
      <c r="AN21" s="424">
        <f t="array" ref="AN21">INDEX(Demand_previous!$D$4:$AY$138, MATCH('Staging Table'!$A21, Demand_previous!$B$4:$B$138, 0), MATCH(AN$4&amp;AN$5,Demand_previous!$D$2:$AY$2&amp;Demand_previous!$D$3:$AY$3, 0))/1000</f>
        <v>0.33500000000000002</v>
      </c>
      <c r="AO21" s="424">
        <f t="array" ref="AO21">INDEX(Demand_previous!$D$4:$AY$138, MATCH('Staging Table'!$A21, Demand_previous!$B$4:$B$138, 0), MATCH(AO$4&amp;AO$5,Demand_previous!$D$2:$AY$2&amp;Demand_previous!$D$3:$AY$3, 0))/1000</f>
        <v>0.64700000000000002</v>
      </c>
      <c r="AP21" s="424">
        <f t="array" ref="AP21">INDEX(Demand_previous!$D$4:$AY$138, MATCH('Staging Table'!$A21, Demand_previous!$B$4:$B$138, 0), MATCH(AP$4&amp;AP$5,Demand_previous!$D$2:$AY$2&amp;Demand_previous!$D$3:$AY$3, 0))/1000</f>
        <v>0.29699999999999999</v>
      </c>
      <c r="AQ21" s="424">
        <f t="array" ref="AQ21">INDEX(Demand_previous!$D$4:$AY$138, MATCH('Staging Table'!$A21, Demand_previous!$B$4:$B$138, 0), MATCH(AQ$4&amp;AQ$5,Demand_previous!$D$2:$AY$2&amp;Demand_previous!$D$3:$AY$3, 0))/1000</f>
        <v>0.40899999999999997</v>
      </c>
      <c r="AR21" s="424">
        <f t="array" ref="AR21">INDEX(Demand_previous!$D$4:$AY$138, MATCH('Staging Table'!$A21, Demand_previous!$B$4:$B$138, 0), MATCH(AR$4&amp;AR$5,Demand_previous!$D$2:$AY$2&amp;Demand_previous!$D$3:$AY$3, 0))/1000</f>
        <v>0.35199999999999998</v>
      </c>
      <c r="AS21" s="424">
        <f t="array" ref="AS21">INDEX(Demand_previous!$D$4:$AY$138, MATCH('Staging Table'!$A21, Demand_previous!$B$4:$B$138, 0), MATCH(AS$4&amp;AS$5,Demand_previous!$D$2:$AY$2&amp;Demand_previous!$D$3:$AY$3, 0))/1000</f>
        <v>0.17399999999999999</v>
      </c>
      <c r="AT21" s="424">
        <f t="array" ref="AT21">INDEX(Demand_previous!$D$4:$AY$138, MATCH('Staging Table'!$A21, Demand_previous!$B$4:$B$138, 0), MATCH(AT$4&amp;AT$5,Demand_previous!$D$2:$AY$2&amp;Demand_previous!$D$3:$AY$3, 0))/1000</f>
        <v>0.74099999999999999</v>
      </c>
      <c r="AU21" s="424">
        <f t="array" ref="AU21">INDEX(Demand_previous!$D$4:$AY$138, MATCH('Staging Table'!$A21, Demand_previous!$B$4:$B$138, 0), MATCH(AU$4&amp;AU$5,Demand_previous!$D$2:$AY$2&amp;Demand_previous!$D$3:$AY$3, 0))/1000</f>
        <v>0.161</v>
      </c>
      <c r="AV21" s="227">
        <f>$F21*(VLOOKUP(AV$4, Rates_previous!$G$6:$Q$29, 10, FALSE)+VLOOKUP(AV$4, Rates_previous!$G$6:$Q$29, 11, FALSE))</f>
        <v>1579.2005583727835</v>
      </c>
      <c r="AW21" s="227">
        <f>$F21*(VLOOKUP(AW$4, Rates_previous!$G$6:$Q$29, 10, FALSE)+VLOOKUP(AW$4, Rates_previous!$G$6:$Q$29, 11, FALSE))</f>
        <v>1951.7718645455257</v>
      </c>
      <c r="AX21" s="227">
        <f>$F21*(VLOOKUP(AX$4, Rates_previous!$G$6:$Q$29, 10, FALSE)+VLOOKUP(AX$4, Rates_previous!$G$6:$Q$29, 11, FALSE))</f>
        <v>1928.3334188842418</v>
      </c>
      <c r="AY21" s="227">
        <f>$F21*(VLOOKUP(AY$4, Rates_previous!$G$6:$Q$29, 10, FALSE)+VLOOKUP(AY$4, Rates_previous!$G$6:$Q$29, 11, FALSE))</f>
        <v>1647.5771059058879</v>
      </c>
      <c r="AZ21" s="227">
        <f>$F21*(VLOOKUP(AZ$4, Rates_previous!$G$6:$Q$29, 10, FALSE)+VLOOKUP(AZ$4, Rates_previous!$G$6:$Q$29, 11, FALSE))</f>
        <v>1350.6936444203156</v>
      </c>
      <c r="BA21" s="227">
        <f>$F21*(VLOOKUP(BA$4, Rates_previous!$G$6:$Q$29, 10, FALSE)+VLOOKUP(BA$4, Rates_previous!$G$6:$Q$29, 11, FALSE))</f>
        <v>1599.172213247281</v>
      </c>
      <c r="BB21" s="227">
        <f>$F21*(VLOOKUP(BB$4, Rates_previous!$G$6:$Q$29, 10, FALSE)+VLOOKUP(BB$4, Rates_previous!$G$6:$Q$29, 11, FALSE))</f>
        <v>1537.0371107205631</v>
      </c>
      <c r="BC21" s="227">
        <f>$F21*(VLOOKUP(BC$4, Rates_previous!$G$6:$Q$29, 10, FALSE)+VLOOKUP(BC$4, Rates_previous!$G$6:$Q$29, 11, FALSE))</f>
        <v>2255.4931950134419</v>
      </c>
      <c r="BD21" s="227">
        <f>$F21*(VLOOKUP(BD$4, Rates_previous!$G$6:$Q$29, 10, FALSE)+VLOOKUP(BD$4, Rates_previous!$G$6:$Q$29, 11, FALSE))</f>
        <v>1779.5245174538031</v>
      </c>
      <c r="BE21" s="227">
        <f>$F21*(VLOOKUP(BE$4, Rates_previous!$G$6:$Q$29, 10, FALSE)+VLOOKUP(BE$4, Rates_previous!$G$6:$Q$29, 11, FALSE))</f>
        <v>1562.5718916584206</v>
      </c>
      <c r="BF21" s="227">
        <f>$F21*(VLOOKUP(BF$4, Rates_previous!$G$6:$Q$29, 10, FALSE)+VLOOKUP(BF$4, Rates_previous!$G$6:$Q$29, 11, FALSE))</f>
        <v>1730.6109161906265</v>
      </c>
      <c r="BG21" s="227">
        <f>$F21*(VLOOKUP(BG$4, Rates_previous!$G$6:$Q$29, 10, FALSE)+VLOOKUP(BG$4, Rates_previous!$G$6:$Q$29, 11, FALSE))</f>
        <v>1567.8646679859114</v>
      </c>
      <c r="BH21" s="229">
        <f>IF($D21=0,IF(C21=0, MAX(BK21 - (VLOOKUP($A21,TOCA_previous!$A$2:$AI$137,MATCH("RHWM 2018",TOCA_previous!$A$2:$AI$2,0),FALSE)*$F$2*TOCA_previous!C18),0),0), 0)</f>
        <v>6651.2114033279977</v>
      </c>
      <c r="BI21" s="266">
        <f>VLOOKUP($A21,REP_previous!$A$1:$D$135,MATCH("FY "&amp;$F$1&amp; " Total Refund",REP_previous!$A$1:$D$1,0),0)</f>
        <v>31272.967452342367</v>
      </c>
      <c r="BJ21" s="241">
        <f>MIN(VLOOKUP($A21,TOCA_previous!$A$2:$AI$137,MATCH("TRL - NLSL - Existing Resource "&amp;$F$1,TOCA_previous!$A$2:$AI$2,0),FALSE)*$F$2,(VLOOKUP($A21,TOCA_previous!$A$2:$AI$137,MATCH("RHWM 2018",TOCA_previous!$A$2:$AI$2,0),FALSE)*$F$2))</f>
        <v>20489.64</v>
      </c>
      <c r="BK21" s="229">
        <f>SUM(L21:AI21)+(F21*RT1SC!$C$3*$F$2)</f>
        <v>27140.851403327997</v>
      </c>
      <c r="BL21" s="241">
        <f>VLOOKUP($A21,TOCA_previous!$A$2:$AI$137,MATCH("Above RHWM Not Served with LS "&amp;$F$1,TOCA_previous!$A$2:$AI$2,0),FALSE)*$F$2</f>
        <v>0</v>
      </c>
      <c r="BM21" s="151">
        <f t="shared" si="5"/>
        <v>6651.2114033279977</v>
      </c>
      <c r="BN21" s="242">
        <f>(VLOOKUP($A21,TOCA_previous!$A$2:$AI$137,MATCH("RHWM 2018",TOCA_previous!$A$2:$AI$2,0),FALSE)*$F$2) - $BJ21</f>
        <v>0</v>
      </c>
      <c r="BO21" s="151">
        <f t="shared" si="6"/>
        <v>0</v>
      </c>
      <c r="BP21" s="243">
        <f t="shared" si="7"/>
        <v>0</v>
      </c>
      <c r="BQ21" s="237">
        <f t="shared" si="8"/>
        <v>0</v>
      </c>
      <c r="BR21" s="242">
        <f t="shared" si="9"/>
        <v>0</v>
      </c>
      <c r="BS21" s="151">
        <f>VLOOKUP($A21,TOCA_current!$A$2:$AI$137,MATCH(BS$4,TOCA_current!$A$2:$AI$2,0),FALSE)</f>
        <v>3.367E-4</v>
      </c>
      <c r="BT21" s="151">
        <f>VLOOKUP($A21,TOCA_current!$A$2:$AI$137,MATCH(BT$4,TOCA_current!$A$2:$AI$2,0),FALSE)</f>
        <v>3.367E-4</v>
      </c>
      <c r="BU21" s="236">
        <f t="shared" si="10"/>
        <v>0</v>
      </c>
      <c r="BV21" s="151">
        <f>VLOOKUP($A21,TOCA_current!A17:BG152,MATCH(BV$4,TOCA_current!$A$2:$BG$2,0),FALSE)</f>
        <v>5.7348799999999998E-2</v>
      </c>
      <c r="BW21" s="151">
        <f t="shared" si="11"/>
        <v>0</v>
      </c>
      <c r="BX21" s="151">
        <f t="shared" si="12"/>
        <v>0</v>
      </c>
      <c r="BY21" s="226">
        <f>VLOOKUP($A21,IRD!$A$4:$G$139, 7, FALSE)</f>
        <v>0</v>
      </c>
      <c r="BZ21" s="227">
        <f t="array" ref="BZ21">IF($BU21=0, INDEX(LS_current!$D$4:$AY$138, MATCH('Staging Table'!$A21, LS_current!$B$4:$B$138, 0), MATCH(BZ$4&amp;BZ$5, LS_current!$D$2:$AY$2&amp;LS_current!$D$3:$AY$3, 0)),SUM(VLOOKUP($A21, LS_current!$B$4:$AY$138, LS_current!D$148, FALSE), VLOOKUP($A21, LS_current!$B$4:$AY$138,LS_current!D$148, FALSE))/2)</f>
        <v>210</v>
      </c>
      <c r="CA21" s="227">
        <f t="array" ref="CA21">IF($BU21=0, INDEX(LS_current!$D$4:$AY$138, MATCH('Staging Table'!$A21, LS_current!$B$4:$B$138, 0), MATCH(CA$4&amp;CA$5, LS_current!$D$2:$AY$2&amp;LS_current!$D$3:$AY$3, 0)),SUM(VLOOKUP($A21, LS_current!$B$4:$AY$138, LS_current!E$148, FALSE), VLOOKUP($A21, LS_current!$B$4:$AY$138,LS_current!E$148, FALSE))/2)</f>
        <v>188</v>
      </c>
      <c r="CB21" s="227">
        <f t="array" ref="CB21">IF($BU21=0, INDEX(LS_current!$D$4:$AY$138, MATCH('Staging Table'!$A21, LS_current!$B$4:$B$138, 0), MATCH(CB$4&amp;CB$5, LS_current!$D$2:$AY$2&amp;LS_current!$D$3:$AY$3, 0)),SUM(VLOOKUP($A21, LS_current!$B$4:$AY$138, LS_current!F$148, FALSE), VLOOKUP($A21, LS_current!$B$4:$AY$138,LS_current!F$148, FALSE))/2)</f>
        <v>161</v>
      </c>
      <c r="CC21" s="227">
        <f t="array" ref="CC21">IF($BU21=0, INDEX(LS_current!$D$4:$AY$138, MATCH('Staging Table'!$A21, LS_current!$B$4:$B$138, 0), MATCH(CC$4&amp;CC$5, LS_current!$D$2:$AY$2&amp;LS_current!$D$3:$AY$3, 0)),SUM(VLOOKUP($A21, LS_current!$B$4:$AY$138, LS_current!G$148, FALSE), VLOOKUP($A21, LS_current!$B$4:$AY$138,LS_current!G$148, FALSE))/2)</f>
        <v>214</v>
      </c>
      <c r="CD21" s="227">
        <f t="array" ref="CD21">IF($BU21=0, INDEX(LS_current!$D$4:$AY$138, MATCH('Staging Table'!$A21, LS_current!$B$4:$B$138, 0), MATCH(CD$4&amp;CD$5, LS_current!$D$2:$AY$2&amp;LS_current!$D$3:$AY$3, 0)),SUM(VLOOKUP($A21, LS_current!$B$4:$AY$138, LS_current!H$148, FALSE), VLOOKUP($A21, LS_current!$B$4:$AY$138,LS_current!H$148, FALSE))/2)</f>
        <v>525</v>
      </c>
      <c r="CE21" s="227">
        <f t="array" ref="CE21">IF($BU21=0, INDEX(LS_current!$D$4:$AY$138, MATCH('Staging Table'!$A21, LS_current!$B$4:$B$138, 0), MATCH(CE$4&amp;CE$5, LS_current!$D$2:$AY$2&amp;LS_current!$D$3:$AY$3, 0)),SUM(VLOOKUP($A21, LS_current!$B$4:$AY$138, LS_current!I$148, FALSE), VLOOKUP($A21, LS_current!$B$4:$AY$138,LS_current!I$148, FALSE))/2)</f>
        <v>508</v>
      </c>
      <c r="CF21" s="227">
        <f t="array" ref="CF21">IF($BU21=0, INDEX(LS_current!$D$4:$AY$138, MATCH('Staging Table'!$A21, LS_current!$B$4:$B$138, 0), MATCH(CF$4&amp;CF$5, LS_current!$D$2:$AY$2&amp;LS_current!$D$3:$AY$3, 0)),SUM(VLOOKUP($A21, LS_current!$B$4:$AY$138, LS_current!J$148, FALSE), VLOOKUP($A21, LS_current!$B$4:$AY$138,LS_current!J$148, FALSE))/2)</f>
        <v>655</v>
      </c>
      <c r="CG21" s="227">
        <f t="array" ref="CG21">IF($BU21=0, INDEX(LS_current!$D$4:$AY$138, MATCH('Staging Table'!$A21, LS_current!$B$4:$B$138, 0), MATCH(CG$4&amp;CG$5, LS_current!$D$2:$AY$2&amp;LS_current!$D$3:$AY$3, 0)),SUM(VLOOKUP($A21, LS_current!$B$4:$AY$138, LS_current!K$148, FALSE), VLOOKUP($A21, LS_current!$B$4:$AY$138,LS_current!K$148, FALSE))/2)</f>
        <v>552</v>
      </c>
      <c r="CH21" s="227">
        <f t="array" ref="CH21">IF($BU21=0, INDEX(LS_current!$D$4:$AY$138, MATCH('Staging Table'!$A21, LS_current!$B$4:$B$138, 0), MATCH(CH$4&amp;CH$5, LS_current!$D$2:$AY$2&amp;LS_current!$D$3:$AY$3, 0)),SUM(VLOOKUP($A21, LS_current!$B$4:$AY$138, LS_current!L$148, FALSE), VLOOKUP($A21, LS_current!$B$4:$AY$138,LS_current!L$148, FALSE))/2)</f>
        <v>630</v>
      </c>
      <c r="CI21" s="227">
        <f t="array" ref="CI21">IF($BU21=0, INDEX(LS_current!$D$4:$AY$138, MATCH('Staging Table'!$A21, LS_current!$B$4:$B$138, 0), MATCH(CI$4&amp;CI$5, LS_current!$D$2:$AY$2&amp;LS_current!$D$3:$AY$3, 0)),SUM(VLOOKUP($A21, LS_current!$B$4:$AY$138, LS_current!M$148, FALSE), VLOOKUP($A21, LS_current!$B$4:$AY$138,LS_current!M$148, FALSE))/2)</f>
        <v>453</v>
      </c>
      <c r="CJ21" s="227">
        <f t="array" ref="CJ21">IF($BU21=0, INDEX(LS_current!$D$4:$AY$138, MATCH('Staging Table'!$A21, LS_current!$B$4:$B$138, 0), MATCH(CJ$4&amp;CJ$5, LS_current!$D$2:$AY$2&amp;LS_current!$D$3:$AY$3, 0)),SUM(VLOOKUP($A21, LS_current!$B$4:$AY$138, LS_current!N$148, FALSE), VLOOKUP($A21, LS_current!$B$4:$AY$138,LS_current!N$148, FALSE))/2)</f>
        <v>350</v>
      </c>
      <c r="CK21" s="227">
        <f t="array" ref="CK21">IF($BU21=0, INDEX(LS_current!$D$4:$AY$138, MATCH('Staging Table'!$A21, LS_current!$B$4:$B$138, 0), MATCH(CK$4&amp;CK$5, LS_current!$D$2:$AY$2&amp;LS_current!$D$3:$AY$3, 0)),SUM(VLOOKUP($A21, LS_current!$B$4:$AY$138, LS_current!O$148, FALSE), VLOOKUP($A21, LS_current!$B$4:$AY$138,LS_current!O$148, FALSE))/2)</f>
        <v>351</v>
      </c>
      <c r="CL21" s="227">
        <f t="array" ref="CL21">IF($BU21=0, INDEX(LS_current!$D$4:$AY$138, MATCH('Staging Table'!$A21, LS_current!$B$4:$B$138, 0), MATCH(CL$4&amp;CL$5, LS_current!$D$2:$AY$2&amp;LS_current!$D$3:$AY$3, 0)),SUM(VLOOKUP($A21, LS_current!$B$4:$AY$138, LS_current!P$148, FALSE), VLOOKUP($A21, LS_current!$B$4:$AY$138,LS_current!P$148, FALSE))/2)</f>
        <v>493</v>
      </c>
      <c r="CM21" s="227">
        <f t="array" ref="CM21">IF($BU21=0, INDEX(LS_current!$D$4:$AY$138, MATCH('Staging Table'!$A21, LS_current!$B$4:$B$138, 0), MATCH(CM$4&amp;CM$5, LS_current!$D$2:$AY$2&amp;LS_current!$D$3:$AY$3, 0)),SUM(VLOOKUP($A21, LS_current!$B$4:$AY$138, LS_current!Q$148, FALSE), VLOOKUP($A21, LS_current!$B$4:$AY$138,LS_current!Q$148, FALSE))/2)</f>
        <v>348</v>
      </c>
      <c r="CN21" s="227">
        <f t="array" ref="CN21">IF($BU21=0, INDEX(LS_current!$D$4:$AY$138, MATCH('Staging Table'!$A21, LS_current!$B$4:$B$138, 0), MATCH(CN$4&amp;CN$5, LS_current!$D$2:$AY$2&amp;LS_current!$D$3:$AY$3, 0)),SUM(VLOOKUP($A21, LS_current!$B$4:$AY$138, LS_current!R$148, FALSE), VLOOKUP($A21, LS_current!$B$4:$AY$138,LS_current!R$148, FALSE))/2)</f>
        <v>-10</v>
      </c>
      <c r="CO21" s="227">
        <f t="array" ref="CO21">IF($BU21=0, INDEX(LS_current!$D$4:$AY$138, MATCH('Staging Table'!$A21, LS_current!$B$4:$B$138, 0), MATCH(CO$4&amp;CO$5, LS_current!$D$2:$AY$2&amp;LS_current!$D$3:$AY$3, 0)),SUM(VLOOKUP($A21, LS_current!$B$4:$AY$138, LS_current!S$148, FALSE), VLOOKUP($A21, LS_current!$B$4:$AY$138,LS_current!S$148, FALSE))/2)</f>
        <v>197</v>
      </c>
      <c r="CP21" s="227">
        <f t="array" ref="CP21">IF($BU21=0, INDEX(LS_current!$D$4:$AY$138, MATCH('Staging Table'!$A21, LS_current!$B$4:$B$138, 0), MATCH(CP$4&amp;CP$5, LS_current!$D$2:$AY$2&amp;LS_current!$D$3:$AY$3, 0)),SUM(VLOOKUP($A21, LS_current!$B$4:$AY$138, LS_current!T$148, FALSE), VLOOKUP($A21, LS_current!$B$4:$AY$138,LS_current!T$148, FALSE))/2)</f>
        <v>-294</v>
      </c>
      <c r="CQ21" s="227">
        <f t="array" ref="CQ21">IF($BU21=0, INDEX(LS_current!$D$4:$AY$138, MATCH('Staging Table'!$A21, LS_current!$B$4:$B$138, 0), MATCH(CQ$4&amp;CQ$5, LS_current!$D$2:$AY$2&amp;LS_current!$D$3:$AY$3, 0)),SUM(VLOOKUP($A21, LS_current!$B$4:$AY$138, LS_current!U$148, FALSE), VLOOKUP($A21, LS_current!$B$4:$AY$138,LS_current!U$148, FALSE))/2)</f>
        <v>-66</v>
      </c>
      <c r="CR21" s="227">
        <f t="array" ref="CR21">IF($BU21=0, INDEX(LS_current!$D$4:$AY$138, MATCH('Staging Table'!$A21, LS_current!$B$4:$B$138, 0), MATCH(CR$4&amp;CR$5, LS_current!$D$2:$AY$2&amp;LS_current!$D$3:$AY$3, 0)),SUM(VLOOKUP($A21, LS_current!$B$4:$AY$138, LS_current!V$148, FALSE), VLOOKUP($A21, LS_current!$B$4:$AY$138,LS_current!V$148, FALSE))/2)</f>
        <v>3</v>
      </c>
      <c r="CS21" s="227">
        <f t="array" ref="CS21">IF($BU21=0, INDEX(LS_current!$D$4:$AY$138, MATCH('Staging Table'!$A21, LS_current!$B$4:$B$138, 0), MATCH(CS$4&amp;CS$5, LS_current!$D$2:$AY$2&amp;LS_current!$D$3:$AY$3, 0)),SUM(VLOOKUP($A21, LS_current!$B$4:$AY$138, LS_current!W$148, FALSE), VLOOKUP($A21, LS_current!$B$4:$AY$138,LS_current!W$148, FALSE))/2)</f>
        <v>236</v>
      </c>
      <c r="CT21" s="227">
        <f t="array" ref="CT21">IF($BU21=0, INDEX(LS_current!$D$4:$AY$138, MATCH('Staging Table'!$A21, LS_current!$B$4:$B$138, 0), MATCH(CT$4&amp;CT$5, LS_current!$D$2:$AY$2&amp;LS_current!$D$3:$AY$3, 0)),SUM(VLOOKUP($A21, LS_current!$B$4:$AY$138, LS_current!X$148, FALSE), VLOOKUP($A21, LS_current!$B$4:$AY$138,LS_current!X$148, FALSE))/2)</f>
        <v>54</v>
      </c>
      <c r="CU21" s="227">
        <f t="array" ref="CU21">IF($BU21=0, INDEX(LS_current!$D$4:$AY$138, MATCH('Staging Table'!$A21, LS_current!$B$4:$B$138, 0), MATCH(CU$4&amp;CU$5, LS_current!$D$2:$AY$2&amp;LS_current!$D$3:$AY$3, 0)),SUM(VLOOKUP($A21, LS_current!$B$4:$AY$138, LS_current!Y$148, FALSE), VLOOKUP($A21, LS_current!$B$4:$AY$138,LS_current!Y$148, FALSE))/2)</f>
        <v>248</v>
      </c>
      <c r="CV21" s="227">
        <f t="array" ref="CV21">IF($BU21=0, INDEX(LS_current!$D$4:$AY$138, MATCH('Staging Table'!$A21, LS_current!$B$4:$B$138, 0), MATCH(CV$4&amp;CV$5, LS_current!$D$2:$AY$2&amp;LS_current!$D$3:$AY$3, 0)),SUM(VLOOKUP($A21, LS_current!$B$4:$AY$138, LS_current!Z$148, FALSE), VLOOKUP($A21, LS_current!$B$4:$AY$138,LS_current!Z$148, FALSE))/2)</f>
        <v>160</v>
      </c>
      <c r="CW21" s="227">
        <f t="array" ref="CW21">IF($BU21=0, INDEX(LS_current!$D$4:$AY$138, MATCH('Staging Table'!$A21, LS_current!$B$4:$B$138, 0), MATCH(CW$4&amp;CW$5, LS_current!$D$2:$AY$2&amp;LS_current!$D$3:$AY$3, 0)),SUM(VLOOKUP($A21, LS_current!$B$4:$AY$138, LS_current!AA$148, FALSE), VLOOKUP($A21, LS_current!$B$4:$AY$138,LS_current!AA$148, FALSE))/2)</f>
        <v>196</v>
      </c>
      <c r="CX21" s="229">
        <f t="array" ref="CX21">INDEX(Demand_current!$D$4:$AY$138, MATCH($A21, Demand_current!$B$4:$B$138, 0), MATCH(CX$4&amp;CX$5,Demand_current!$D$2:$AY$2&amp;Demand_current!$D$3:$AY$3, 0))/1000</f>
        <v>0.31900000000000001</v>
      </c>
      <c r="CY21" s="229">
        <f t="array" ref="CY21">INDEX(Demand_current!$D$4:$AY$138, MATCH($A21, Demand_current!$B$4:$B$138, 0), MATCH(CY$4&amp;CY$5,Demand_current!$D$2:$AY$2&amp;Demand_current!$D$3:$AY$3, 0))/1000</f>
        <v>0.80500000000000005</v>
      </c>
      <c r="CZ21" s="229">
        <f t="array" ref="CZ21">INDEX(Demand_current!$D$4:$AY$138, MATCH($A21, Demand_current!$B$4:$B$138, 0), MATCH(CZ$4&amp;CZ$5,Demand_current!$D$2:$AY$2&amp;Demand_current!$D$3:$AY$3, 0))/1000</f>
        <v>0.92300000000000004</v>
      </c>
      <c r="DA21" s="229">
        <f t="array" ref="DA21">INDEX(Demand_current!$D$4:$AY$138, MATCH($A21, Demand_current!$B$4:$B$138, 0), MATCH(DA$4&amp;DA$5,Demand_current!$D$2:$AY$2&amp;Demand_current!$D$3:$AY$3, 0))/1000</f>
        <v>0.63700000000000001</v>
      </c>
      <c r="DB21" s="229">
        <f t="array" ref="DB21">INDEX(Demand_current!$D$4:$AY$138, MATCH($A21, Demand_current!$B$4:$B$138, 0), MATCH(DB$4&amp;DB$5,Demand_current!$D$2:$AY$2&amp;Demand_current!$D$3:$AY$3, 0))/1000</f>
        <v>0.497</v>
      </c>
      <c r="DC21" s="229">
        <f t="array" ref="DC21">INDEX(Demand_current!$D$4:$AY$138, MATCH($A21, Demand_current!$B$4:$B$138, 0), MATCH(DC$4&amp;DC$5,Demand_current!$D$2:$AY$2&amp;Demand_current!$D$3:$AY$3, 0))/1000</f>
        <v>0.52300000000000002</v>
      </c>
      <c r="DD21" s="229">
        <f t="array" ref="DD21">INDEX(Demand_current!$D$4:$AY$138, MATCH($A21, Demand_current!$B$4:$B$138, 0), MATCH(DD$4&amp;DD$5,Demand_current!$D$2:$AY$2&amp;Demand_current!$D$3:$AY$3, 0))/1000</f>
        <v>0.42499999999999999</v>
      </c>
      <c r="DE21" s="229">
        <f t="array" ref="DE21">INDEX(Demand_current!$D$4:$AY$138, MATCH($A21, Demand_current!$B$4:$B$138, 0), MATCH(DE$4&amp;DE$5,Demand_current!$D$2:$AY$2&amp;Demand_current!$D$3:$AY$3, 0))/1000</f>
        <v>0.29699999999999999</v>
      </c>
      <c r="DF21" s="229">
        <f t="array" ref="DF21">INDEX(Demand_current!$D$4:$AY$138, MATCH($A21, Demand_current!$B$4:$B$138, 0), MATCH(DF$4&amp;DF$5,Demand_current!$D$2:$AY$2&amp;Demand_current!$D$3:$AY$3, 0))/1000</f>
        <v>0.35199999999999998</v>
      </c>
      <c r="DG21" s="229">
        <f t="array" ref="DG21">INDEX(Demand_current!$D$4:$AY$138, MATCH($A21, Demand_current!$B$4:$B$138, 0), MATCH(DG$4&amp;DG$5,Demand_current!$D$2:$AY$2&amp;Demand_current!$D$3:$AY$3, 0))/1000</f>
        <v>0.29299999999999998</v>
      </c>
      <c r="DH21" s="229">
        <f t="array" ref="DH21">INDEX(Demand_current!$D$4:$AY$138, MATCH($A21, Demand_current!$B$4:$B$138, 0), MATCH(DH$4&amp;DH$5,Demand_current!$D$2:$AY$2&amp;Demand_current!$D$3:$AY$3, 0))/1000</f>
        <v>0.63</v>
      </c>
      <c r="DI21" s="229">
        <f t="array" ref="DI21">INDEX(Demand_current!$D$4:$AY$138, MATCH($A21, Demand_current!$B$4:$B$138, 0), MATCH(DI$4&amp;DI$5,Demand_current!$D$2:$AY$2&amp;Demand_current!$D$3:$AY$3, 0))/1000</f>
        <v>0.28299999999999997</v>
      </c>
      <c r="DJ21" s="227">
        <f>$BT21*(VLOOKUP(DJ$4, Rates_current!$G$6:$Q$29, 10, FALSE)+VLOOKUP(DJ$4, Rates_current!$G$6:$Q$29, 11, FALSE))</f>
        <v>1554.6506998931998</v>
      </c>
      <c r="DK21" s="227">
        <f>$BT21*(VLOOKUP(DK$4, Rates_current!$G$6:$Q$29, 10, FALSE)+VLOOKUP(DK$4, Rates_current!$G$6:$Q$29, 11, FALSE))</f>
        <v>1974.8913715712999</v>
      </c>
      <c r="DL21" s="227">
        <f>$BT21*(VLOOKUP(DL$4, Rates_current!$G$6:$Q$29, 10, FALSE)+VLOOKUP(DL$4, Rates_current!$G$6:$Q$29, 11, FALSE))</f>
        <v>1951.0418859932001</v>
      </c>
      <c r="DM21" s="227">
        <f>$BT21*(VLOOKUP(DM$4, Rates_current!$G$6:$Q$29, 10, FALSE)+VLOOKUP(DM$4, Rates_current!$G$6:$Q$29, 11, FALSE))</f>
        <v>1626.3122443932002</v>
      </c>
      <c r="DN21" s="227">
        <f>$BT21*(VLOOKUP(DN$4, Rates_current!$G$6:$Q$29, 10, FALSE)+VLOOKUP(DN$4, Rates_current!$G$6:$Q$29, 11, FALSE))</f>
        <v>1473.27017656</v>
      </c>
      <c r="DO21" s="227">
        <f>$BT21*(VLOOKUP(DO$4, Rates_current!$G$6:$Q$29, 10, FALSE)+VLOOKUP(DO$4, Rates_current!$G$6:$Q$29, 11, FALSE))</f>
        <v>1638.7444679879</v>
      </c>
      <c r="DP21" s="227">
        <f>$BT21*(VLOOKUP(DP$4, Rates_current!$G$6:$Q$29, 10, FALSE)+VLOOKUP(DP$4, Rates_current!$G$6:$Q$29, 11, FALSE))</f>
        <v>1334.2675142159999</v>
      </c>
      <c r="DQ21" s="227">
        <f>$BT21*(VLOOKUP(DQ$4, Rates_current!$G$6:$Q$29, 10, FALSE)+VLOOKUP(DQ$4, Rates_current!$G$6:$Q$29, 11, FALSE))</f>
        <v>1799.4587042432001</v>
      </c>
      <c r="DR21" s="227">
        <f>$BT21*(VLOOKUP(DR$4, Rates_current!$G$6:$Q$29, 10, FALSE)+VLOOKUP(DR$4, Rates_current!$G$6:$Q$29, 11, FALSE))</f>
        <v>2295.986922866</v>
      </c>
      <c r="DS21" s="227">
        <f>$BT21*(VLOOKUP(DS$4, Rates_current!$G$6:$Q$29, 10, FALSE)+VLOOKUP(DS$4, Rates_current!$G$6:$Q$29, 11, FALSE))</f>
        <v>1800.1265486932002</v>
      </c>
      <c r="DT21" s="227">
        <f>$BT21*(VLOOKUP(DT$4, Rates_current!$G$6:$Q$29, 10, FALSE)+VLOOKUP(DT$4, Rates_current!$G$6:$Q$29, 11, FALSE))</f>
        <v>1752.9648113432002</v>
      </c>
      <c r="DU21" s="227">
        <f>$BT21*(VLOOKUP(DU$4, Rates_current!$G$6:$Q$29, 10, FALSE)+VLOOKUP(DU$4, Rates_current!$G$6:$Q$29, 11, FALSE))</f>
        <v>1573.7894969160002</v>
      </c>
      <c r="DV21" s="229">
        <f>IF(D21=0,IF(C21=0,MAX(0,DY21 - (VLOOKUP($A21,TOCA_current!$A$2:$AI$137,MATCH("RHWM 2020",TOCA_current!$A$2:$AI$2,0),FALSE)*$BT$2)), 0),0)</f>
        <v>6363.3456244735971</v>
      </c>
      <c r="DW21" s="266">
        <f>VLOOKUP($A21,REP_current!$A$1:$D$135,MATCH("FY "&amp;$BT$1&amp; " Total Refund",REP_current!$A$1:$D$1,0),0)</f>
        <v>0</v>
      </c>
      <c r="DX21" s="295">
        <f>MIN(VLOOKUP($A21,TOCA_current!$A$2:$AI$137,MATCH("TRL - NLSL - Existing Resource "&amp;$BT$1,TOCA_current!$A$2:$AI$2,0),FALSE)*$BT$2, VLOOKUP($A21,TOCA_current!$A$2:$AI$137,MATCH("RHWM 2020",TOCA_current!$A$2:$AI$2,0),FALSE)*$BT$2)</f>
        <v>20774.160000000003</v>
      </c>
      <c r="DY21" s="240">
        <f>SUM(BZ21:CW21)+(BT21*RT1SC!$C$4*$BT$2)</f>
        <v>27137.505624473601</v>
      </c>
      <c r="DZ21" s="271">
        <f>VLOOKUP($A21,TOCA_current!$A$2:$AI$137,MATCH("Above RHWM Not Served with LS "&amp;$BT$1,TOCA_current!$A$2:$AI$2,0),FALSE)*$BT$2</f>
        <v>0</v>
      </c>
      <c r="EA21" s="244">
        <f t="shared" si="13"/>
        <v>6363.3456244735971</v>
      </c>
      <c r="EB21" s="295">
        <f>(VLOOKUP($A21,TOCA_current!$A$2:$AI$137,MATCH("RHWM 2020",TOCA_current!$A$2:$AI$2,0),FALSE)*$BT$2) - $DX21</f>
        <v>0</v>
      </c>
      <c r="EC21" s="240">
        <f t="shared" si="14"/>
        <v>0</v>
      </c>
      <c r="ED21" s="240">
        <f t="shared" si="15"/>
        <v>0</v>
      </c>
      <c r="EE21" s="240">
        <f t="shared" si="16"/>
        <v>0</v>
      </c>
      <c r="EF21" s="240">
        <f t="shared" si="17"/>
        <v>0</v>
      </c>
    </row>
    <row r="22" spans="1:136">
      <c r="A22" s="166">
        <v>10066</v>
      </c>
      <c r="B22" s="167" t="s">
        <v>23</v>
      </c>
      <c r="C22" s="240">
        <v>0</v>
      </c>
      <c r="D22" s="240">
        <v>0</v>
      </c>
      <c r="E22" s="150">
        <f>VLOOKUP($A22,TOCA_previous!$A$2:$AI$137,MATCH(E$4,TOCA_previous!$A$2:$AI$2,0),FALSE)</f>
        <v>3.4529000000000001E-3</v>
      </c>
      <c r="F22" s="151">
        <f>VLOOKUP($A22,TOCA_previous!$A$2:$AI$137,MATCH(F$4,TOCA_previous!$A$2:$AI$2,0),FALSE)</f>
        <v>3.4529000000000001E-3</v>
      </c>
      <c r="G22" s="151">
        <f t="shared" si="2"/>
        <v>0</v>
      </c>
      <c r="H22" s="151">
        <f>VLOOKUP($A22,TOCA_previous!$A$2:$AI$137,MATCH(H$4,TOCA_previous!$A$2:$AI$2,0),FALSE)</f>
        <v>0</v>
      </c>
      <c r="I22" s="151">
        <f t="shared" si="3"/>
        <v>0</v>
      </c>
      <c r="J22" s="151">
        <f t="shared" si="4"/>
        <v>0</v>
      </c>
      <c r="K22" s="226">
        <f>VLOOKUP(A22, IRD!$A$5:$C$139, 3, FALSE)</f>
        <v>0</v>
      </c>
      <c r="L22" s="227">
        <f t="array" ref="L22">IF($G22=0, INDEX(LS_previous!$D$4:$AY$138, MATCH('Staging Table'!$A22, LS_previous!$B$4:$B$138, 0), MATCH(L$4&amp;L$5, LS_previous!$D$2:$AY$2&amp;LS_previous!$D$3:$AY$3, 0)),SUM(VLOOKUP($A22, LS_previous!$B$4:$AY$138, LS_previous!D$149, FALSE), VLOOKUP('Staging Table'!$A22, LS_previous!$B$4:$AY$138,LS_previous!AB$149, FALSE))/2)</f>
        <v>-24</v>
      </c>
      <c r="M22" s="227">
        <f t="array" ref="M22">IF($G22=0, INDEX(LS_previous!$D$4:$AY$138, MATCH('Staging Table'!$A22, LS_previous!$B$4:$B$138, 0), MATCH(M$4&amp;M$5, LS_previous!$D$2:$AY$2&amp;LS_previous!$D$3:$AY$3, 0)),SUM(VLOOKUP($A22, LS_previous!$B$4:$AY$138, LS_previous!E$149, FALSE), VLOOKUP('Staging Table'!$A22, LS_previous!$B$4:$AY$138,LS_previous!AC$149, FALSE))/2)</f>
        <v>-883</v>
      </c>
      <c r="N22" s="227">
        <f t="array" ref="N22">IF($G22=0, INDEX(LS_previous!$D$4:$AY$138, MATCH('Staging Table'!$A22, LS_previous!$B$4:$B$138, 0), MATCH(N$4&amp;N$5, LS_previous!$D$2:$AY$2&amp;LS_previous!$D$3:$AY$3, 0)),SUM(VLOOKUP($A22, LS_previous!$B$4:$AY$138, LS_previous!F$149, FALSE), VLOOKUP('Staging Table'!$A22, LS_previous!$B$4:$AY$138,LS_previous!AD$149, FALSE))/2)</f>
        <v>1247</v>
      </c>
      <c r="O22" s="227">
        <f t="array" ref="O22">IF($G22=0, INDEX(LS_previous!$D$4:$AY$138, MATCH('Staging Table'!$A22, LS_previous!$B$4:$B$138, 0), MATCH(O$4&amp;O$5, LS_previous!$D$2:$AY$2&amp;LS_previous!$D$3:$AY$3, 0)),SUM(VLOOKUP($A22, LS_previous!$B$4:$AY$138, LS_previous!G$149, FALSE), VLOOKUP('Staging Table'!$A22, LS_previous!$B$4:$AY$138,LS_previous!AE$149, FALSE))/2)</f>
        <v>755</v>
      </c>
      <c r="P22" s="227">
        <f t="array" ref="P22">IF($G22=0, INDEX(LS_previous!$D$4:$AY$138, MATCH('Staging Table'!$A22, LS_previous!$B$4:$B$138, 0), MATCH(P$4&amp;P$5, LS_previous!$D$2:$AY$2&amp;LS_previous!$D$3:$AY$3, 0)),SUM(VLOOKUP($A22, LS_previous!$B$4:$AY$138, LS_previous!H$149, FALSE), VLOOKUP('Staging Table'!$A22, LS_previous!$B$4:$AY$138,LS_previous!AF$149, FALSE))/2)</f>
        <v>4144</v>
      </c>
      <c r="Q22" s="227">
        <f t="array" ref="Q22">IF($G22=0, INDEX(LS_previous!$D$4:$AY$138, MATCH('Staging Table'!$A22, LS_previous!$B$4:$B$138, 0), MATCH(Q$4&amp;Q$5, LS_previous!$D$2:$AY$2&amp;LS_previous!$D$3:$AY$3, 0)),SUM(VLOOKUP($A22, LS_previous!$B$4:$AY$138, LS_previous!I$149, FALSE), VLOOKUP('Staging Table'!$A22, LS_previous!$B$4:$AY$138,LS_previous!AG$149, FALSE))/2)</f>
        <v>3403</v>
      </c>
      <c r="R22" s="227">
        <f t="array" ref="R22">IF($G22=0, INDEX(LS_previous!$D$4:$AY$138, MATCH('Staging Table'!$A22, LS_previous!$B$4:$B$138, 0), MATCH(R$4&amp;R$5, LS_previous!$D$2:$AY$2&amp;LS_previous!$D$3:$AY$3, 0)),SUM(VLOOKUP($A22, LS_previous!$B$4:$AY$138, LS_previous!J$149, FALSE), VLOOKUP('Staging Table'!$A22, LS_previous!$B$4:$AY$138,LS_previous!AH$149, FALSE))/2)</f>
        <v>6596</v>
      </c>
      <c r="S22" s="227">
        <f t="array" ref="S22">IF($G22=0, INDEX(LS_previous!$D$4:$AY$138, MATCH('Staging Table'!$A22, LS_previous!$B$4:$B$138, 0), MATCH(S$4&amp;S$5, LS_previous!$D$2:$AY$2&amp;LS_previous!$D$3:$AY$3, 0)),SUM(VLOOKUP($A22, LS_previous!$B$4:$AY$138, LS_previous!K$149, FALSE), VLOOKUP('Staging Table'!$A22, LS_previous!$B$4:$AY$138,LS_previous!AI$149, FALSE))/2)</f>
        <v>3848</v>
      </c>
      <c r="T22" s="227">
        <f t="array" ref="T22">IF($G22=0, INDEX(LS_previous!$D$4:$AY$138, MATCH('Staging Table'!$A22, LS_previous!$B$4:$B$138, 0), MATCH(T$4&amp;T$5, LS_previous!$D$2:$AY$2&amp;LS_previous!$D$3:$AY$3, 0)),SUM(VLOOKUP($A22, LS_previous!$B$4:$AY$138, LS_previous!L$149, FALSE), VLOOKUP('Staging Table'!$A22, LS_previous!$B$4:$AY$138,LS_previous!AJ$149, FALSE))/2)</f>
        <v>7177</v>
      </c>
      <c r="U22" s="227">
        <f t="array" ref="U22">IF($G22=0, INDEX(LS_previous!$D$4:$AY$138, MATCH('Staging Table'!$A22, LS_previous!$B$4:$B$138, 0), MATCH(U$4&amp;U$5, LS_previous!$D$2:$AY$2&amp;LS_previous!$D$3:$AY$3, 0)),SUM(VLOOKUP($A22, LS_previous!$B$4:$AY$138, LS_previous!M$149, FALSE), VLOOKUP('Staging Table'!$A22, LS_previous!$B$4:$AY$138,LS_previous!AK$149, FALSE))/2)</f>
        <v>4011</v>
      </c>
      <c r="V22" s="227">
        <f t="array" ref="V22">IF($G22=0, INDEX(LS_previous!$D$4:$AY$138, MATCH('Staging Table'!$A22, LS_previous!$B$4:$B$138, 0), MATCH(V$4&amp;V$5, LS_previous!$D$2:$AY$2&amp;LS_previous!$D$3:$AY$3, 0)),SUM(VLOOKUP($A22, LS_previous!$B$4:$AY$138, LS_previous!N$149, FALSE), VLOOKUP('Staging Table'!$A22, LS_previous!$B$4:$AY$138,LS_previous!AL$149, FALSE))/2)</f>
        <v>3745</v>
      </c>
      <c r="W22" s="227">
        <f t="array" ref="W22">IF($G22=0, INDEX(LS_previous!$D$4:$AY$138, MATCH('Staging Table'!$A22, LS_previous!$B$4:$B$138, 0), MATCH(W$4&amp;W$5, LS_previous!$D$2:$AY$2&amp;LS_previous!$D$3:$AY$3, 0)),SUM(VLOOKUP($A22, LS_previous!$B$4:$AY$138, LS_previous!O$149, FALSE), VLOOKUP('Staging Table'!$A22, LS_previous!$B$4:$AY$138,LS_previous!AM$149, FALSE))/2)</f>
        <v>2223</v>
      </c>
      <c r="X22" s="227">
        <f t="array" ref="X22">IF($G22=0, INDEX(LS_previous!$D$4:$AY$138, MATCH('Staging Table'!$A22, LS_previous!$B$4:$B$138, 0), MATCH(X$4&amp;X$5, LS_previous!$D$2:$AY$2&amp;LS_previous!$D$3:$AY$3, 0)),SUM(VLOOKUP($A22, LS_previous!$B$4:$AY$138, LS_previous!P$149, FALSE), VLOOKUP('Staging Table'!$A22, LS_previous!$B$4:$AY$138,LS_previous!AN$149, FALSE))/2)</f>
        <v>1948</v>
      </c>
      <c r="Y22" s="227">
        <f t="array" ref="Y22">IF($G22=0, INDEX(LS_previous!$D$4:$AY$138, MATCH('Staging Table'!$A22, LS_previous!$B$4:$B$138, 0), MATCH(Y$4&amp;Y$5, LS_previous!$D$2:$AY$2&amp;LS_previous!$D$3:$AY$3, 0)),SUM(VLOOKUP($A22, LS_previous!$B$4:$AY$138, LS_previous!Q$149, FALSE), VLOOKUP('Staging Table'!$A22, LS_previous!$B$4:$AY$138,LS_previous!AO$149, FALSE))/2)</f>
        <v>696</v>
      </c>
      <c r="Z22" s="227">
        <f t="array" ref="Z22">IF($G22=0, INDEX(LS_previous!$D$4:$AY$138, MATCH('Staging Table'!$A22, LS_previous!$B$4:$B$138, 0), MATCH(Z$4&amp;Z$5, LS_previous!$D$2:$AY$2&amp;LS_previous!$D$3:$AY$3, 0)),SUM(VLOOKUP($A22, LS_previous!$B$4:$AY$138, LS_previous!R$149, FALSE), VLOOKUP('Staging Table'!$A22, LS_previous!$B$4:$AY$138,LS_previous!AP$149, FALSE))/2)</f>
        <v>-4125</v>
      </c>
      <c r="AA22" s="227">
        <f t="array" ref="AA22">IF($G22=0, INDEX(LS_previous!$D$4:$AY$138, MATCH('Staging Table'!$A22, LS_previous!$B$4:$B$138, 0), MATCH(AA$4&amp;AA$5, LS_previous!$D$2:$AY$2&amp;LS_previous!$D$3:$AY$3, 0)),SUM(VLOOKUP($A22, LS_previous!$B$4:$AY$138, LS_previous!S$149, FALSE), VLOOKUP('Staging Table'!$A22, LS_previous!$B$4:$AY$138,LS_previous!AQ$149, FALSE))/2)</f>
        <v>-2455</v>
      </c>
      <c r="AB22" s="227">
        <f t="array" ref="AB22">IF($G22=0, INDEX(LS_previous!$D$4:$AY$138, MATCH('Staging Table'!$A22, LS_previous!$B$4:$B$138, 0), MATCH(AB$4&amp;AB$5, LS_previous!$D$2:$AY$2&amp;LS_previous!$D$3:$AY$3, 0)),SUM(VLOOKUP($A22, LS_previous!$B$4:$AY$138, LS_previous!T$149, FALSE), VLOOKUP('Staging Table'!$A22, LS_previous!$B$4:$AY$138,LS_previous!AR$149, FALSE))/2)</f>
        <v>-1659</v>
      </c>
      <c r="AC22" s="227">
        <f t="array" ref="AC22">IF($G22=0, INDEX(LS_previous!$D$4:$AY$138, MATCH('Staging Table'!$A22, LS_previous!$B$4:$B$138, 0), MATCH(AC$4&amp;AC$5, LS_previous!$D$2:$AY$2&amp;LS_previous!$D$3:$AY$3, 0)),SUM(VLOOKUP($A22, LS_previous!$B$4:$AY$138, LS_previous!U$149, FALSE), VLOOKUP('Staging Table'!$A22, LS_previous!$B$4:$AY$138,LS_previous!AS$149, FALSE))/2)</f>
        <v>-1528</v>
      </c>
      <c r="AD22" s="227">
        <f t="array" ref="AD22">IF($G22=0, INDEX(LS_previous!$D$4:$AY$138, MATCH('Staging Table'!$A22, LS_previous!$B$4:$B$138, 0), MATCH(AD$4&amp;AD$5, LS_previous!$D$2:$AY$2&amp;LS_previous!$D$3:$AY$3, 0)),SUM(VLOOKUP($A22, LS_previous!$B$4:$AY$138, LS_previous!V$149, FALSE), VLOOKUP('Staging Table'!$A22, LS_previous!$B$4:$AY$138,LS_previous!AT$149, FALSE))/2)</f>
        <v>-743</v>
      </c>
      <c r="AE22" s="227">
        <f t="array" ref="AE22">IF($G22=0, INDEX(LS_previous!$D$4:$AY$138, MATCH('Staging Table'!$A22, LS_previous!$B$4:$B$138, 0), MATCH(AE$4&amp;AE$5, LS_previous!$D$2:$AY$2&amp;LS_previous!$D$3:$AY$3, 0)),SUM(VLOOKUP($A22, LS_previous!$B$4:$AY$138, LS_previous!W$149, FALSE), VLOOKUP('Staging Table'!$A22, LS_previous!$B$4:$AY$138,LS_previous!AU$149, FALSE))/2)</f>
        <v>-723</v>
      </c>
      <c r="AF22" s="227">
        <f t="array" ref="AF22">IF($G22=0, INDEX(LS_previous!$D$4:$AY$138, MATCH('Staging Table'!$A22, LS_previous!$B$4:$B$138, 0), MATCH(AF$4&amp;AF$5, LS_previous!$D$2:$AY$2&amp;LS_previous!$D$3:$AY$3, 0)),SUM(VLOOKUP($A22, LS_previous!$B$4:$AY$138, LS_previous!X$149, FALSE), VLOOKUP('Staging Table'!$A22, LS_previous!$B$4:$AY$138,LS_previous!AV$149, FALSE))/2)</f>
        <v>-2238</v>
      </c>
      <c r="AG22" s="227">
        <f t="array" ref="AG22">IF($G22=0, INDEX(LS_previous!$D$4:$AY$138, MATCH('Staging Table'!$A22, LS_previous!$B$4:$B$138, 0), MATCH(AG$4&amp;AG$5, LS_previous!$D$2:$AY$2&amp;LS_previous!$D$3:$AY$3, 0)),SUM(VLOOKUP($A22, LS_previous!$B$4:$AY$138, LS_previous!Y$149, FALSE), VLOOKUP('Staging Table'!$A22, LS_previous!$B$4:$AY$138,LS_previous!AW$149, FALSE))/2)</f>
        <v>-1399</v>
      </c>
      <c r="AH22" s="227">
        <f t="array" ref="AH22">IF($G22=0, INDEX(LS_previous!$D$4:$AY$138, MATCH('Staging Table'!$A22, LS_previous!$B$4:$B$138, 0), MATCH(AH$4&amp;AH$5, LS_previous!$D$2:$AY$2&amp;LS_previous!$D$3:$AY$3, 0)),SUM(VLOOKUP($A22, LS_previous!$B$4:$AY$138, LS_previous!Z$149, FALSE), VLOOKUP('Staging Table'!$A22, LS_previous!$B$4:$AY$138,LS_previous!AX$149, FALSE))/2)</f>
        <v>-433</v>
      </c>
      <c r="AI22" s="227">
        <f t="array" ref="AI22">IF($G22=0, INDEX(LS_previous!$D$4:$AY$138, MATCH('Staging Table'!$A22, LS_previous!$B$4:$B$138, 0), MATCH(AI$4&amp;AI$5, LS_previous!$D$2:$AY$2&amp;LS_previous!$D$3:$AY$3, 0)),SUM(VLOOKUP($A22, LS_previous!$B$4:$AY$138, LS_previous!AA$149, FALSE), VLOOKUP('Staging Table'!$A22, LS_previous!$B$4:$AY$138,LS_previous!AY$149, FALSE))/2)</f>
        <v>-830</v>
      </c>
      <c r="AJ22" s="424">
        <f t="array" ref="AJ22">INDEX(Demand_previous!$D$4:$AY$138, MATCH('Staging Table'!$A22, Demand_previous!$B$4:$B$138, 0), MATCH(AJ$4&amp;AJ$5,Demand_previous!$D$2:$AY$2&amp;Demand_previous!$D$3:$AY$3, 0))/1000</f>
        <v>0</v>
      </c>
      <c r="AK22" s="424">
        <f t="array" ref="AK22">INDEX(Demand_previous!$D$4:$AY$138, MATCH('Staging Table'!$A22, Demand_previous!$B$4:$B$138, 0), MATCH(AK$4&amp;AK$5,Demand_previous!$D$2:$AY$2&amp;Demand_previous!$D$3:$AY$3, 0))/1000</f>
        <v>6.734</v>
      </c>
      <c r="AL22" s="424">
        <f t="array" ref="AL22">INDEX(Demand_previous!$D$4:$AY$138, MATCH('Staging Table'!$A22, Demand_previous!$B$4:$B$138, 0), MATCH(AL$4&amp;AL$5,Demand_previous!$D$2:$AY$2&amp;Demand_previous!$D$3:$AY$3, 0))/1000</f>
        <v>12.387</v>
      </c>
      <c r="AM22" s="424">
        <f t="array" ref="AM22">INDEX(Demand_previous!$D$4:$AY$138, MATCH('Staging Table'!$A22, Demand_previous!$B$4:$B$138, 0), MATCH(AM$4&amp;AM$5,Demand_previous!$D$2:$AY$2&amp;Demand_previous!$D$3:$AY$3, 0))/1000</f>
        <v>7.7789999999999999</v>
      </c>
      <c r="AN22" s="424">
        <f t="array" ref="AN22">INDEX(Demand_previous!$D$4:$AY$138, MATCH('Staging Table'!$A22, Demand_previous!$B$4:$B$138, 0), MATCH(AN$4&amp;AN$5,Demand_previous!$D$2:$AY$2&amp;Demand_previous!$D$3:$AY$3, 0))/1000</f>
        <v>4.343</v>
      </c>
      <c r="AO22" s="424">
        <f t="array" ref="AO22">INDEX(Demand_previous!$D$4:$AY$138, MATCH('Staging Table'!$A22, Demand_previous!$B$4:$B$138, 0), MATCH(AO$4&amp;AO$5,Demand_previous!$D$2:$AY$2&amp;Demand_previous!$D$3:$AY$3, 0))/1000</f>
        <v>8.3049999999999997</v>
      </c>
      <c r="AP22" s="424">
        <f t="array" ref="AP22">INDEX(Demand_previous!$D$4:$AY$138, MATCH('Staging Table'!$A22, Demand_previous!$B$4:$B$138, 0), MATCH(AP$4&amp;AP$5,Demand_previous!$D$2:$AY$2&amp;Demand_previous!$D$3:$AY$3, 0))/1000</f>
        <v>2.4550000000000001</v>
      </c>
      <c r="AQ22" s="424">
        <f t="array" ref="AQ22">INDEX(Demand_previous!$D$4:$AY$138, MATCH('Staging Table'!$A22, Demand_previous!$B$4:$B$138, 0), MATCH(AQ$4&amp;AQ$5,Demand_previous!$D$2:$AY$2&amp;Demand_previous!$D$3:$AY$3, 0))/1000</f>
        <v>3.6579999999999999</v>
      </c>
      <c r="AR22" s="424">
        <f t="array" ref="AR22">INDEX(Demand_previous!$D$4:$AY$138, MATCH('Staging Table'!$A22, Demand_previous!$B$4:$B$138, 0), MATCH(AR$4&amp;AR$5,Demand_previous!$D$2:$AY$2&amp;Demand_previous!$D$3:$AY$3, 0))/1000</f>
        <v>3.34</v>
      </c>
      <c r="AS22" s="424">
        <f t="array" ref="AS22">INDEX(Demand_previous!$D$4:$AY$138, MATCH('Staging Table'!$A22, Demand_previous!$B$4:$B$138, 0), MATCH(AS$4&amp;AS$5,Demand_previous!$D$2:$AY$2&amp;Demand_previous!$D$3:$AY$3, 0))/1000</f>
        <v>0.96299999999999997</v>
      </c>
      <c r="AT22" s="424">
        <f t="array" ref="AT22">INDEX(Demand_previous!$D$4:$AY$138, MATCH('Staging Table'!$A22, Demand_previous!$B$4:$B$138, 0), MATCH(AT$4&amp;AT$5,Demand_previous!$D$2:$AY$2&amp;Demand_previous!$D$3:$AY$3, 0))/1000</f>
        <v>6.6050000000000004</v>
      </c>
      <c r="AU22" s="424">
        <f t="array" ref="AU22">INDEX(Demand_previous!$D$4:$AY$138, MATCH('Staging Table'!$A22, Demand_previous!$B$4:$B$138, 0), MATCH(AU$4&amp;AU$5,Demand_previous!$D$2:$AY$2&amp;Demand_previous!$D$3:$AY$3, 0))/1000</f>
        <v>0</v>
      </c>
      <c r="AV22" s="227">
        <f>$F22*(VLOOKUP(AV$4, Rates_previous!$G$6:$Q$29, 10, FALSE)+VLOOKUP(AV$4, Rates_previous!$G$6:$Q$29, 11, FALSE))</f>
        <v>16190.087909754704</v>
      </c>
      <c r="AW22" s="227">
        <f>$F22*(VLOOKUP(AW$4, Rates_previous!$G$6:$Q$29, 10, FALSE)+VLOOKUP(AW$4, Rates_previous!$G$6:$Q$29, 11, FALSE))</f>
        <v>20009.718144564267</v>
      </c>
      <c r="AX22" s="227">
        <f>$F22*(VLOOKUP(AX$4, Rates_previous!$G$6:$Q$29, 10, FALSE)+VLOOKUP(AX$4, Rates_previous!$G$6:$Q$29, 11, FALSE))</f>
        <v>19769.425362426955</v>
      </c>
      <c r="AY22" s="227">
        <f>$F22*(VLOOKUP(AY$4, Rates_previous!$G$6:$Q$29, 10, FALSE)+VLOOKUP(AY$4, Rates_previous!$G$6:$Q$29, 11, FALSE))</f>
        <v>16891.089634745964</v>
      </c>
      <c r="AZ22" s="227">
        <f>$F22*(VLOOKUP(AZ$4, Rates_previous!$G$6:$Q$29, 10, FALSE)+VLOOKUP(AZ$4, Rates_previous!$G$6:$Q$29, 11, FALSE))</f>
        <v>13847.417116445689</v>
      </c>
      <c r="BA22" s="227">
        <f>$F22*(VLOOKUP(BA$4, Rates_previous!$G$6:$Q$29, 10, FALSE)+VLOOKUP(BA$4, Rates_previous!$G$6:$Q$29, 11, FALSE))</f>
        <v>16394.838881002186</v>
      </c>
      <c r="BB22" s="227">
        <f>$F22*(VLOOKUP(BB$4, Rates_previous!$G$6:$Q$29, 10, FALSE)+VLOOKUP(BB$4, Rates_previous!$G$6:$Q$29, 11, FALSE))</f>
        <v>15757.824939450809</v>
      </c>
      <c r="BC22" s="227">
        <f>$F22*(VLOOKUP(BC$4, Rates_previous!$G$6:$Q$29, 10, FALSE)+VLOOKUP(BC$4, Rates_previous!$G$6:$Q$29, 11, FALSE))</f>
        <v>23123.493031656511</v>
      </c>
      <c r="BD22" s="227">
        <f>$F22*(VLOOKUP(BD$4, Rates_previous!$G$6:$Q$29, 10, FALSE)+VLOOKUP(BD$4, Rates_previous!$G$6:$Q$29, 11, FALSE))</f>
        <v>18243.824840606405</v>
      </c>
      <c r="BE22" s="227">
        <f>$F22*(VLOOKUP(BE$4, Rates_previous!$G$6:$Q$29, 10, FALSE)+VLOOKUP(BE$4, Rates_previous!$G$6:$Q$29, 11, FALSE))</f>
        <v>16019.609515164373</v>
      </c>
      <c r="BF22" s="227">
        <f>$F22*(VLOOKUP(BF$4, Rates_previous!$G$6:$Q$29, 10, FALSE)+VLOOKUP(BF$4, Rates_previous!$G$6:$Q$29, 11, FALSE))</f>
        <v>17742.358766373556</v>
      </c>
      <c r="BG22" s="227">
        <f>$F22*(VLOOKUP(BG$4, Rates_previous!$G$6:$Q$29, 10, FALSE)+VLOOKUP(BG$4, Rates_previous!$G$6:$Q$29, 11, FALSE))</f>
        <v>16073.871472947012</v>
      </c>
      <c r="BH22" s="229">
        <f>IF($D22=0,IF(C22=0, MAX(BK22 - (VLOOKUP($A22,TOCA_previous!$A$2:$AI$137,MATCH("RHWM 2018",TOCA_previous!$A$2:$AI$2,0),FALSE)*$F$2*TOCA_previous!C19),0),0), 0)</f>
        <v>22751.762679783977</v>
      </c>
      <c r="BI22" s="266">
        <f>VLOOKUP($A22,REP_previous!$A$1:$D$135,MATCH("FY "&amp;$F$1&amp; " Total Refund",REP_previous!$A$1:$D$1,0),0)</f>
        <v>301197.82043856161</v>
      </c>
      <c r="BJ22" s="241">
        <f>MIN(VLOOKUP($A22,TOCA_previous!$A$2:$AI$137,MATCH("TRL - NLSL - Existing Resource "&amp;$F$1,TOCA_previous!$A$2:$AI$2,0),FALSE)*$F$2,(VLOOKUP($A22,TOCA_previous!$A$2:$AI$137,MATCH("RHWM 2018",TOCA_previous!$A$2:$AI$2,0),FALSE)*$F$2))</f>
        <v>210064.80000000002</v>
      </c>
      <c r="BK22" s="229">
        <f>SUM(L22:AI22)+(F22*RT1SC!$C$3*$F$2)</f>
        <v>232816.56267978399</v>
      </c>
      <c r="BL22" s="241">
        <f>VLOOKUP($A22,TOCA_previous!$A$2:$AI$137,MATCH("Above RHWM Not Served with LS "&amp;$F$1,TOCA_previous!$A$2:$AI$2,0),FALSE)*$F$2</f>
        <v>12614.4</v>
      </c>
      <c r="BM22" s="151">
        <f t="shared" si="5"/>
        <v>22751.762679783977</v>
      </c>
      <c r="BN22" s="242">
        <f>(VLOOKUP($A22,TOCA_previous!$A$2:$AI$137,MATCH("RHWM 2018",TOCA_previous!$A$2:$AI$2,0),FALSE)*$F$2) - $BJ22</f>
        <v>0</v>
      </c>
      <c r="BO22" s="151">
        <f t="shared" si="6"/>
        <v>0</v>
      </c>
      <c r="BP22" s="243">
        <f t="shared" si="7"/>
        <v>0</v>
      </c>
      <c r="BQ22" s="237">
        <f t="shared" si="8"/>
        <v>0</v>
      </c>
      <c r="BR22" s="242">
        <f t="shared" si="9"/>
        <v>0</v>
      </c>
      <c r="BS22" s="151">
        <f>VLOOKUP($A22,TOCA_current!$A$2:$AI$137,MATCH(BS$4,TOCA_current!$A$2:$AI$2,0),FALSE)</f>
        <v>3.4510999999999999E-3</v>
      </c>
      <c r="BT22" s="151">
        <f>VLOOKUP($A22,TOCA_current!$A$2:$AI$137,MATCH(BT$4,TOCA_current!$A$2:$AI$2,0),FALSE)</f>
        <v>3.4510999999999999E-3</v>
      </c>
      <c r="BU22" s="236">
        <f t="shared" si="10"/>
        <v>0</v>
      </c>
      <c r="BV22" s="151">
        <f>VLOOKUP($A22,TOCA_current!A18:BG153,MATCH(BV$4,TOCA_current!$A$2:$BG$2,0),FALSE)</f>
        <v>0</v>
      </c>
      <c r="BW22" s="151">
        <f t="shared" si="11"/>
        <v>0</v>
      </c>
      <c r="BX22" s="151">
        <f t="shared" si="12"/>
        <v>0</v>
      </c>
      <c r="BY22" s="226">
        <f>VLOOKUP($A22,IRD!$A$4:$G$139, 7, FALSE)</f>
        <v>0</v>
      </c>
      <c r="BZ22" s="227">
        <f t="array" ref="BZ22">IF($BU22=0, INDEX(LS_current!$D$4:$AY$138, MATCH('Staging Table'!$A22, LS_current!$B$4:$B$138, 0), MATCH(BZ$4&amp;BZ$5, LS_current!$D$2:$AY$2&amp;LS_current!$D$3:$AY$3, 0)),SUM(VLOOKUP($A22, LS_current!$B$4:$AY$138, LS_current!D$148, FALSE), VLOOKUP($A22, LS_current!$B$4:$AY$138,LS_current!D$148, FALSE))/2)</f>
        <v>-1317</v>
      </c>
      <c r="CA22" s="227">
        <f t="array" ref="CA22">IF($BU22=0, INDEX(LS_current!$D$4:$AY$138, MATCH('Staging Table'!$A22, LS_current!$B$4:$B$138, 0), MATCH(CA$4&amp;CA$5, LS_current!$D$2:$AY$2&amp;LS_current!$D$3:$AY$3, 0)),SUM(VLOOKUP($A22, LS_current!$B$4:$AY$138, LS_current!E$148, FALSE), VLOOKUP($A22, LS_current!$B$4:$AY$138,LS_current!E$148, FALSE))/2)</f>
        <v>-1772</v>
      </c>
      <c r="CB22" s="227">
        <f t="array" ref="CB22">IF($BU22=0, INDEX(LS_current!$D$4:$AY$138, MATCH('Staging Table'!$A22, LS_current!$B$4:$B$138, 0), MATCH(CB$4&amp;CB$5, LS_current!$D$2:$AY$2&amp;LS_current!$D$3:$AY$3, 0)),SUM(VLOOKUP($A22, LS_current!$B$4:$AY$138, LS_current!F$148, FALSE), VLOOKUP($A22, LS_current!$B$4:$AY$138,LS_current!F$148, FALSE))/2)</f>
        <v>-146</v>
      </c>
      <c r="CC22" s="227">
        <f t="array" ref="CC22">IF($BU22=0, INDEX(LS_current!$D$4:$AY$138, MATCH('Staging Table'!$A22, LS_current!$B$4:$B$138, 0), MATCH(CC$4&amp;CC$5, LS_current!$D$2:$AY$2&amp;LS_current!$D$3:$AY$3, 0)),SUM(VLOOKUP($A22, LS_current!$B$4:$AY$138, LS_current!G$148, FALSE), VLOOKUP($A22, LS_current!$B$4:$AY$138,LS_current!G$148, FALSE))/2)</f>
        <v>-446</v>
      </c>
      <c r="CD22" s="227">
        <f t="array" ref="CD22">IF($BU22=0, INDEX(LS_current!$D$4:$AY$138, MATCH('Staging Table'!$A22, LS_current!$B$4:$B$138, 0), MATCH(CD$4&amp;CD$5, LS_current!$D$2:$AY$2&amp;LS_current!$D$3:$AY$3, 0)),SUM(VLOOKUP($A22, LS_current!$B$4:$AY$138, LS_current!H$148, FALSE), VLOOKUP($A22, LS_current!$B$4:$AY$138,LS_current!H$148, FALSE))/2)</f>
        <v>2730</v>
      </c>
      <c r="CE22" s="227">
        <f t="array" ref="CE22">IF($BU22=0, INDEX(LS_current!$D$4:$AY$138, MATCH('Staging Table'!$A22, LS_current!$B$4:$B$138, 0), MATCH(CE$4&amp;CE$5, LS_current!$D$2:$AY$2&amp;LS_current!$D$3:$AY$3, 0)),SUM(VLOOKUP($A22, LS_current!$B$4:$AY$138, LS_current!I$148, FALSE), VLOOKUP($A22, LS_current!$B$4:$AY$138,LS_current!I$148, FALSE))/2)</f>
        <v>2152</v>
      </c>
      <c r="CF22" s="227">
        <f t="array" ref="CF22">IF($BU22=0, INDEX(LS_current!$D$4:$AY$138, MATCH('Staging Table'!$A22, LS_current!$B$4:$B$138, 0), MATCH(CF$4&amp;CF$5, LS_current!$D$2:$AY$2&amp;LS_current!$D$3:$AY$3, 0)),SUM(VLOOKUP($A22, LS_current!$B$4:$AY$138, LS_current!J$148, FALSE), VLOOKUP($A22, LS_current!$B$4:$AY$138,LS_current!J$148, FALSE))/2)</f>
        <v>5193</v>
      </c>
      <c r="CG22" s="227">
        <f t="array" ref="CG22">IF($BU22=0, INDEX(LS_current!$D$4:$AY$138, MATCH('Staging Table'!$A22, LS_current!$B$4:$B$138, 0), MATCH(CG$4&amp;CG$5, LS_current!$D$2:$AY$2&amp;LS_current!$D$3:$AY$3, 0)),SUM(VLOOKUP($A22, LS_current!$B$4:$AY$138, LS_current!K$148, FALSE), VLOOKUP($A22, LS_current!$B$4:$AY$138,LS_current!K$148, FALSE))/2)</f>
        <v>3036</v>
      </c>
      <c r="CH22" s="227">
        <f t="array" ref="CH22">IF($BU22=0, INDEX(LS_current!$D$4:$AY$138, MATCH('Staging Table'!$A22, LS_current!$B$4:$B$138, 0), MATCH(CH$4&amp;CH$5, LS_current!$D$2:$AY$2&amp;LS_current!$D$3:$AY$3, 0)),SUM(VLOOKUP($A22, LS_current!$B$4:$AY$138, LS_current!L$148, FALSE), VLOOKUP($A22, LS_current!$B$4:$AY$138,LS_current!L$148, FALSE))/2)</f>
        <v>5064</v>
      </c>
      <c r="CI22" s="227">
        <f t="array" ref="CI22">IF($BU22=0, INDEX(LS_current!$D$4:$AY$138, MATCH('Staging Table'!$A22, LS_current!$B$4:$B$138, 0), MATCH(CI$4&amp;CI$5, LS_current!$D$2:$AY$2&amp;LS_current!$D$3:$AY$3, 0)),SUM(VLOOKUP($A22, LS_current!$B$4:$AY$138, LS_current!M$148, FALSE), VLOOKUP($A22, LS_current!$B$4:$AY$138,LS_current!M$148, FALSE))/2)</f>
        <v>2556</v>
      </c>
      <c r="CJ22" s="227">
        <f t="array" ref="CJ22">IF($BU22=0, INDEX(LS_current!$D$4:$AY$138, MATCH('Staging Table'!$A22, LS_current!$B$4:$B$138, 0), MATCH(CJ$4&amp;CJ$5, LS_current!$D$2:$AY$2&amp;LS_current!$D$3:$AY$3, 0)),SUM(VLOOKUP($A22, LS_current!$B$4:$AY$138, LS_current!N$148, FALSE), VLOOKUP($A22, LS_current!$B$4:$AY$138,LS_current!N$148, FALSE))/2)</f>
        <v>2093</v>
      </c>
      <c r="CK22" s="227">
        <f t="array" ref="CK22">IF($BU22=0, INDEX(LS_current!$D$4:$AY$138, MATCH('Staging Table'!$A22, LS_current!$B$4:$B$138, 0), MATCH(CK$4&amp;CK$5, LS_current!$D$2:$AY$2&amp;LS_current!$D$3:$AY$3, 0)),SUM(VLOOKUP($A22, LS_current!$B$4:$AY$138, LS_current!O$148, FALSE), VLOOKUP($A22, LS_current!$B$4:$AY$138,LS_current!O$148, FALSE))/2)</f>
        <v>1040</v>
      </c>
      <c r="CL22" s="227">
        <f t="array" ref="CL22">IF($BU22=0, INDEX(LS_current!$D$4:$AY$138, MATCH('Staging Table'!$A22, LS_current!$B$4:$B$138, 0), MATCH(CL$4&amp;CL$5, LS_current!$D$2:$AY$2&amp;LS_current!$D$3:$AY$3, 0)),SUM(VLOOKUP($A22, LS_current!$B$4:$AY$138, LS_current!P$148, FALSE), VLOOKUP($A22, LS_current!$B$4:$AY$138,LS_current!P$148, FALSE))/2)</f>
        <v>2091</v>
      </c>
      <c r="CM22" s="227">
        <f t="array" ref="CM22">IF($BU22=0, INDEX(LS_current!$D$4:$AY$138, MATCH('Staging Table'!$A22, LS_current!$B$4:$B$138, 0), MATCH(CM$4&amp;CM$5, LS_current!$D$2:$AY$2&amp;LS_current!$D$3:$AY$3, 0)),SUM(VLOOKUP($A22, LS_current!$B$4:$AY$138, LS_current!Q$148, FALSE), VLOOKUP($A22, LS_current!$B$4:$AY$138,LS_current!Q$148, FALSE))/2)</f>
        <v>277</v>
      </c>
      <c r="CN22" s="227">
        <f t="array" ref="CN22">IF($BU22=0, INDEX(LS_current!$D$4:$AY$138, MATCH('Staging Table'!$A22, LS_current!$B$4:$B$138, 0), MATCH(CN$4&amp;CN$5, LS_current!$D$2:$AY$2&amp;LS_current!$D$3:$AY$3, 0)),SUM(VLOOKUP($A22, LS_current!$B$4:$AY$138, LS_current!R$148, FALSE), VLOOKUP($A22, LS_current!$B$4:$AY$138,LS_current!R$148, FALSE))/2)</f>
        <v>-2643</v>
      </c>
      <c r="CO22" s="227">
        <f t="array" ref="CO22">IF($BU22=0, INDEX(LS_current!$D$4:$AY$138, MATCH('Staging Table'!$A22, LS_current!$B$4:$B$138, 0), MATCH(CO$4&amp;CO$5, LS_current!$D$2:$AY$2&amp;LS_current!$D$3:$AY$3, 0)),SUM(VLOOKUP($A22, LS_current!$B$4:$AY$138, LS_current!S$148, FALSE), VLOOKUP($A22, LS_current!$B$4:$AY$138,LS_current!S$148, FALSE))/2)</f>
        <v>-1694</v>
      </c>
      <c r="CP22" s="227">
        <f t="array" ref="CP22">IF($BU22=0, INDEX(LS_current!$D$4:$AY$138, MATCH('Staging Table'!$A22, LS_current!$B$4:$B$138, 0), MATCH(CP$4&amp;CP$5, LS_current!$D$2:$AY$2&amp;LS_current!$D$3:$AY$3, 0)),SUM(VLOOKUP($A22, LS_current!$B$4:$AY$138, LS_current!T$148, FALSE), VLOOKUP($A22, LS_current!$B$4:$AY$138,LS_current!T$148, FALSE))/2)</f>
        <v>-6360</v>
      </c>
      <c r="CQ22" s="227">
        <f t="array" ref="CQ22">IF($BU22=0, INDEX(LS_current!$D$4:$AY$138, MATCH('Staging Table'!$A22, LS_current!$B$4:$B$138, 0), MATCH(CQ$4&amp;CQ$5, LS_current!$D$2:$AY$2&amp;LS_current!$D$3:$AY$3, 0)),SUM(VLOOKUP($A22, LS_current!$B$4:$AY$138, LS_current!U$148, FALSE), VLOOKUP($A22, LS_current!$B$4:$AY$138,LS_current!U$148, FALSE))/2)</f>
        <v>-4475</v>
      </c>
      <c r="CR22" s="227">
        <f t="array" ref="CR22">IF($BU22=0, INDEX(LS_current!$D$4:$AY$138, MATCH('Staging Table'!$A22, LS_current!$B$4:$B$138, 0), MATCH(CR$4&amp;CR$5, LS_current!$D$2:$AY$2&amp;LS_current!$D$3:$AY$3, 0)),SUM(VLOOKUP($A22, LS_current!$B$4:$AY$138, LS_current!V$148, FALSE), VLOOKUP($A22, LS_current!$B$4:$AY$138,LS_current!V$148, FALSE))/2)</f>
        <v>-4356</v>
      </c>
      <c r="CS22" s="227">
        <f t="array" ref="CS22">IF($BU22=0, INDEX(LS_current!$D$4:$AY$138, MATCH('Staging Table'!$A22, LS_current!$B$4:$B$138, 0), MATCH(CS$4&amp;CS$5, LS_current!$D$2:$AY$2&amp;LS_current!$D$3:$AY$3, 0)),SUM(VLOOKUP($A22, LS_current!$B$4:$AY$138, LS_current!W$148, FALSE), VLOOKUP($A22, LS_current!$B$4:$AY$138,LS_current!W$148, FALSE))/2)</f>
        <v>-1977</v>
      </c>
      <c r="CT22" s="227">
        <f t="array" ref="CT22">IF($BU22=0, INDEX(LS_current!$D$4:$AY$138, MATCH('Staging Table'!$A22, LS_current!$B$4:$B$138, 0), MATCH(CT$4&amp;CT$5, LS_current!$D$2:$AY$2&amp;LS_current!$D$3:$AY$3, 0)),SUM(VLOOKUP($A22, LS_current!$B$4:$AY$138, LS_current!X$148, FALSE), VLOOKUP($A22, LS_current!$B$4:$AY$138,LS_current!X$148, FALSE))/2)</f>
        <v>-4020</v>
      </c>
      <c r="CU22" s="227">
        <f t="array" ref="CU22">IF($BU22=0, INDEX(LS_current!$D$4:$AY$138, MATCH('Staging Table'!$A22, LS_current!$B$4:$B$138, 0), MATCH(CU$4&amp;CU$5, LS_current!$D$2:$AY$2&amp;LS_current!$D$3:$AY$3, 0)),SUM(VLOOKUP($A22, LS_current!$B$4:$AY$138, LS_current!Y$148, FALSE), VLOOKUP($A22, LS_current!$B$4:$AY$138,LS_current!Y$148, FALSE))/2)</f>
        <v>-2279</v>
      </c>
      <c r="CV22" s="227">
        <f t="array" ref="CV22">IF($BU22=0, INDEX(LS_current!$D$4:$AY$138, MATCH('Staging Table'!$A22, LS_current!$B$4:$B$138, 0), MATCH(CV$4&amp;CV$5, LS_current!$D$2:$AY$2&amp;LS_current!$D$3:$AY$3, 0)),SUM(VLOOKUP($A22, LS_current!$B$4:$AY$138, LS_current!Z$148, FALSE), VLOOKUP($A22, LS_current!$B$4:$AY$138,LS_current!Z$148, FALSE))/2)</f>
        <v>-1821</v>
      </c>
      <c r="CW22" s="227">
        <f t="array" ref="CW22">IF($BU22=0, INDEX(LS_current!$D$4:$AY$138, MATCH('Staging Table'!$A22, LS_current!$B$4:$B$138, 0), MATCH(CW$4&amp;CW$5, LS_current!$D$2:$AY$2&amp;LS_current!$D$3:$AY$3, 0)),SUM(VLOOKUP($A22, LS_current!$B$4:$AY$138, LS_current!AA$148, FALSE), VLOOKUP($A22, LS_current!$B$4:$AY$138,LS_current!AA$148, FALSE))/2)</f>
        <v>-1857</v>
      </c>
      <c r="CX22" s="229">
        <f t="array" ref="CX22">INDEX(Demand_current!$D$4:$AY$138, MATCH($A22, Demand_current!$B$4:$B$138, 0), MATCH(CX$4&amp;CX$5,Demand_current!$D$2:$AY$2&amp;Demand_current!$D$3:$AY$3, 0))/1000</f>
        <v>0.68899999999999995</v>
      </c>
      <c r="CY22" s="229">
        <f t="array" ref="CY22">INDEX(Demand_current!$D$4:$AY$138, MATCH($A22, Demand_current!$B$4:$B$138, 0), MATCH(CY$4&amp;CY$5,Demand_current!$D$2:$AY$2&amp;Demand_current!$D$3:$AY$3, 0))/1000</f>
        <v>6.734</v>
      </c>
      <c r="CZ22" s="229">
        <f t="array" ref="CZ22">INDEX(Demand_current!$D$4:$AY$138, MATCH($A22, Demand_current!$B$4:$B$138, 0), MATCH(CZ$4&amp;CZ$5,Demand_current!$D$2:$AY$2&amp;Demand_current!$D$3:$AY$3, 0))/1000</f>
        <v>12.387</v>
      </c>
      <c r="DA22" s="229">
        <f t="array" ref="DA22">INDEX(Demand_current!$D$4:$AY$138, MATCH($A22, Demand_current!$B$4:$B$138, 0), MATCH(DA$4&amp;DA$5,Demand_current!$D$2:$AY$2&amp;Demand_current!$D$3:$AY$3, 0))/1000</f>
        <v>7.7789999999999999</v>
      </c>
      <c r="DB22" s="229">
        <f t="array" ref="DB22">INDEX(Demand_current!$D$4:$AY$138, MATCH($A22, Demand_current!$B$4:$B$138, 0), MATCH(DB$4&amp;DB$5,Demand_current!$D$2:$AY$2&amp;Demand_current!$D$3:$AY$3, 0))/1000</f>
        <v>6.2789999999999999</v>
      </c>
      <c r="DC22" s="229">
        <f t="array" ref="DC22">INDEX(Demand_current!$D$4:$AY$138, MATCH($A22, Demand_current!$B$4:$B$138, 0), MATCH(DC$4&amp;DC$5,Demand_current!$D$2:$AY$2&amp;Demand_current!$D$3:$AY$3, 0))/1000</f>
        <v>6.7949999999999999</v>
      </c>
      <c r="DD22" s="229">
        <f t="array" ref="DD22">INDEX(Demand_current!$D$4:$AY$138, MATCH($A22, Demand_current!$B$4:$B$138, 0), MATCH(DD$4&amp;DD$5,Demand_current!$D$2:$AY$2&amp;Demand_current!$D$3:$AY$3, 0))/1000</f>
        <v>3.9750000000000001</v>
      </c>
      <c r="DE22" s="229">
        <f t="array" ref="DE22">INDEX(Demand_current!$D$4:$AY$138, MATCH($A22, Demand_current!$B$4:$B$138, 0), MATCH(DE$4&amp;DE$5,Demand_current!$D$2:$AY$2&amp;Demand_current!$D$3:$AY$3, 0))/1000</f>
        <v>2.3420000000000001</v>
      </c>
      <c r="DF22" s="229">
        <f t="array" ref="DF22">INDEX(Demand_current!$D$4:$AY$138, MATCH($A22, Demand_current!$B$4:$B$138, 0), MATCH(DF$4&amp;DF$5,Demand_current!$D$2:$AY$2&amp;Demand_current!$D$3:$AY$3, 0))/1000</f>
        <v>3.34</v>
      </c>
      <c r="DG22" s="229">
        <f t="array" ref="DG22">INDEX(Demand_current!$D$4:$AY$138, MATCH($A22, Demand_current!$B$4:$B$138, 0), MATCH(DG$4&amp;DG$5,Demand_current!$D$2:$AY$2&amp;Demand_current!$D$3:$AY$3, 0))/1000</f>
        <v>2.2709999999999999</v>
      </c>
      <c r="DH22" s="229">
        <f t="array" ref="DH22">INDEX(Demand_current!$D$4:$AY$138, MATCH($A22, Demand_current!$B$4:$B$138, 0), MATCH(DH$4&amp;DH$5,Demand_current!$D$2:$AY$2&amp;Demand_current!$D$3:$AY$3, 0))/1000</f>
        <v>5.3449999999999998</v>
      </c>
      <c r="DI22" s="229">
        <f t="array" ref="DI22">INDEX(Demand_current!$D$4:$AY$138, MATCH($A22, Demand_current!$B$4:$B$138, 0), MATCH(DI$4&amp;DI$5,Demand_current!$D$2:$AY$2&amp;Demand_current!$D$3:$AY$3, 0))/1000</f>
        <v>1.27</v>
      </c>
      <c r="DJ22" s="227">
        <f>$BT22*(VLOOKUP(DJ$4, Rates_current!$G$6:$Q$29, 10, FALSE)+VLOOKUP(DJ$4, Rates_current!$G$6:$Q$29, 11, FALSE))</f>
        <v>15934.823375115599</v>
      </c>
      <c r="DK22" s="227">
        <f>$BT22*(VLOOKUP(DK$4, Rates_current!$G$6:$Q$29, 10, FALSE)+VLOOKUP(DK$4, Rates_current!$G$6:$Q$29, 11, FALSE))</f>
        <v>20242.196651112899</v>
      </c>
      <c r="DL22" s="227">
        <f>$BT22*(VLOOKUP(DL$4, Rates_current!$G$6:$Q$29, 10, FALSE)+VLOOKUP(DL$4, Rates_current!$G$6:$Q$29, 11, FALSE))</f>
        <v>19997.7447364156</v>
      </c>
      <c r="DM22" s="227">
        <f>$BT22*(VLOOKUP(DM$4, Rates_current!$G$6:$Q$29, 10, FALSE)+VLOOKUP(DM$4, Rates_current!$G$6:$Q$29, 11, FALSE))</f>
        <v>16669.338243615603</v>
      </c>
      <c r="DN22" s="227">
        <f>$BT22*(VLOOKUP(DN$4, Rates_current!$G$6:$Q$29, 10, FALSE)+VLOOKUP(DN$4, Rates_current!$G$6:$Q$29, 11, FALSE))</f>
        <v>15100.691138479999</v>
      </c>
      <c r="DO22" s="227">
        <f>$BT22*(VLOOKUP(DO$4, Rates_current!$G$6:$Q$29, 10, FALSE)+VLOOKUP(DO$4, Rates_current!$G$6:$Q$29, 11, FALSE))</f>
        <v>16796.765766180699</v>
      </c>
      <c r="DP22" s="227">
        <f>$BT22*(VLOOKUP(DP$4, Rates_current!$G$6:$Q$29, 10, FALSE)+VLOOKUP(DP$4, Rates_current!$G$6:$Q$29, 11, FALSE))</f>
        <v>13675.944812328</v>
      </c>
      <c r="DQ22" s="227">
        <f>$BT22*(VLOOKUP(DQ$4, Rates_current!$G$6:$Q$29, 10, FALSE)+VLOOKUP(DQ$4, Rates_current!$G$6:$Q$29, 11, FALSE))</f>
        <v>18444.050888665603</v>
      </c>
      <c r="DR22" s="227">
        <f>$BT22*(VLOOKUP(DR$4, Rates_current!$G$6:$Q$29, 10, FALSE)+VLOOKUP(DR$4, Rates_current!$G$6:$Q$29, 11, FALSE))</f>
        <v>23533.354527777999</v>
      </c>
      <c r="DS22" s="227">
        <f>$BT22*(VLOOKUP(DS$4, Rates_current!$G$6:$Q$29, 10, FALSE)+VLOOKUP(DS$4, Rates_current!$G$6:$Q$29, 11, FALSE))</f>
        <v>18450.896145515602</v>
      </c>
      <c r="DT22" s="227">
        <f>$BT22*(VLOOKUP(DT$4, Rates_current!$G$6:$Q$29, 10, FALSE)+VLOOKUP(DT$4, Rates_current!$G$6:$Q$29, 11, FALSE))</f>
        <v>17967.4988429656</v>
      </c>
      <c r="DU22" s="227">
        <f>$BT22*(VLOOKUP(DU$4, Rates_current!$G$6:$Q$29, 10, FALSE)+VLOOKUP(DU$4, Rates_current!$G$6:$Q$29, 11, FALSE))</f>
        <v>16130.991781428002</v>
      </c>
      <c r="DV22" s="229">
        <f>IF(D22=0,IF(C22=0,MAX(0,DY22 - (VLOOKUP($A22,TOCA_current!$A$2:$AI$137,MATCH("RHWM 2020",TOCA_current!$A$2:$AI$2,0),FALSE)*$BT$2)), 0),0)</f>
        <v>0</v>
      </c>
      <c r="DW22" s="266">
        <f>VLOOKUP($A22,REP_current!$A$1:$D$135,MATCH("FY "&amp;$BT$1&amp; " Total Refund",REP_current!$A$1:$D$1,0),0)</f>
        <v>0</v>
      </c>
      <c r="DX22" s="295">
        <f>MIN(VLOOKUP($A22,TOCA_current!$A$2:$AI$137,MATCH("TRL - NLSL - Existing Resource "&amp;$BT$1,TOCA_current!$A$2:$AI$2,0),FALSE)*$BT$2, VLOOKUP($A22,TOCA_current!$A$2:$AI$137,MATCH("RHWM 2020",TOCA_current!$A$2:$AI$2,0),FALSE)*$BT$2)</f>
        <v>212941.728</v>
      </c>
      <c r="DY22" s="240">
        <f>SUM(BZ22:CW22)+(BT22*RT1SC!$C$4*$BT$2)</f>
        <v>204013.30490234878</v>
      </c>
      <c r="DZ22" s="271">
        <f>VLOOKUP($A22,TOCA_current!$A$2:$AI$137,MATCH("Above RHWM Not Served with LS "&amp;$BT$1,TOCA_current!$A$2:$AI$2,0),FALSE)*$BT$2</f>
        <v>41416.559999999998</v>
      </c>
      <c r="EA22" s="244">
        <f t="shared" si="13"/>
        <v>-8928.423097651219</v>
      </c>
      <c r="EB22" s="295">
        <f>(VLOOKUP($A22,TOCA_current!$A$2:$AI$137,MATCH("RHWM 2020",TOCA_current!$A$2:$AI$2,0),FALSE)*$BT$2) - $DX22</f>
        <v>0</v>
      </c>
      <c r="EC22" s="240">
        <f t="shared" si="14"/>
        <v>0</v>
      </c>
      <c r="ED22" s="240">
        <f t="shared" si="15"/>
        <v>0</v>
      </c>
      <c r="EE22" s="240">
        <f t="shared" si="16"/>
        <v>0</v>
      </c>
      <c r="EF22" s="240">
        <f t="shared" si="17"/>
        <v>0</v>
      </c>
    </row>
    <row r="23" spans="1:136">
      <c r="A23" s="166">
        <v>10067</v>
      </c>
      <c r="B23" s="167" t="s">
        <v>24</v>
      </c>
      <c r="C23" s="240">
        <v>0</v>
      </c>
      <c r="D23" s="240">
        <v>0</v>
      </c>
      <c r="E23" s="150">
        <f>VLOOKUP($A23,TOCA_previous!$A$2:$AI$137,MATCH(E$4,TOCA_previous!$A$2:$AI$2,0),FALSE)</f>
        <v>2.2409000000000001E-3</v>
      </c>
      <c r="F23" s="151">
        <f>VLOOKUP($A23,TOCA_previous!$A$2:$AI$137,MATCH(F$4,TOCA_previous!$A$2:$AI$2,0),FALSE)</f>
        <v>2.2409000000000001E-3</v>
      </c>
      <c r="G23" s="151">
        <f t="shared" si="2"/>
        <v>0</v>
      </c>
      <c r="H23" s="151">
        <f>VLOOKUP($A23,TOCA_previous!$A$2:$AI$137,MATCH(H$4,TOCA_previous!$A$2:$AI$2,0),FALSE)</f>
        <v>0</v>
      </c>
      <c r="I23" s="151">
        <f t="shared" si="3"/>
        <v>0</v>
      </c>
      <c r="J23" s="151">
        <f t="shared" si="4"/>
        <v>0</v>
      </c>
      <c r="K23" s="226">
        <f>VLOOKUP(A23, IRD!$A$5:$C$139, 3, FALSE)</f>
        <v>0</v>
      </c>
      <c r="L23" s="227">
        <f t="array" ref="L23">IF($G23=0, INDEX(LS_previous!$D$4:$AY$138, MATCH('Staging Table'!$A23, LS_previous!$B$4:$B$138, 0), MATCH(L$4&amp;L$5, LS_previous!$D$2:$AY$2&amp;LS_previous!$D$3:$AY$3, 0)),SUM(VLOOKUP($A23, LS_previous!$B$4:$AY$138, LS_previous!D$149, FALSE), VLOOKUP('Staging Table'!$A23, LS_previous!$B$4:$AY$138,LS_previous!AB$149, FALSE))/2)</f>
        <v>-572</v>
      </c>
      <c r="M23" s="227">
        <f t="array" ref="M23">IF($G23=0, INDEX(LS_previous!$D$4:$AY$138, MATCH('Staging Table'!$A23, LS_previous!$B$4:$B$138, 0), MATCH(M$4&amp;M$5, LS_previous!$D$2:$AY$2&amp;LS_previous!$D$3:$AY$3, 0)),SUM(VLOOKUP($A23, LS_previous!$B$4:$AY$138, LS_previous!E$149, FALSE), VLOOKUP('Staging Table'!$A23, LS_previous!$B$4:$AY$138,LS_previous!AC$149, FALSE))/2)</f>
        <v>-345</v>
      </c>
      <c r="N23" s="227">
        <f t="array" ref="N23">IF($G23=0, INDEX(LS_previous!$D$4:$AY$138, MATCH('Staging Table'!$A23, LS_previous!$B$4:$B$138, 0), MATCH(N$4&amp;N$5, LS_previous!$D$2:$AY$2&amp;LS_previous!$D$3:$AY$3, 0)),SUM(VLOOKUP($A23, LS_previous!$B$4:$AY$138, LS_previous!F$149, FALSE), VLOOKUP('Staging Table'!$A23, LS_previous!$B$4:$AY$138,LS_previous!AD$149, FALSE))/2)</f>
        <v>-1518</v>
      </c>
      <c r="O23" s="227">
        <f t="array" ref="O23">IF($G23=0, INDEX(LS_previous!$D$4:$AY$138, MATCH('Staging Table'!$A23, LS_previous!$B$4:$B$138, 0), MATCH(O$4&amp;O$5, LS_previous!$D$2:$AY$2&amp;LS_previous!$D$3:$AY$3, 0)),SUM(VLOOKUP($A23, LS_previous!$B$4:$AY$138, LS_previous!G$149, FALSE), VLOOKUP('Staging Table'!$A23, LS_previous!$B$4:$AY$138,LS_previous!AE$149, FALSE))/2)</f>
        <v>-239</v>
      </c>
      <c r="P23" s="227">
        <f t="array" ref="P23">IF($G23=0, INDEX(LS_previous!$D$4:$AY$138, MATCH('Staging Table'!$A23, LS_previous!$B$4:$B$138, 0), MATCH(P$4&amp;P$5, LS_previous!$D$2:$AY$2&amp;LS_previous!$D$3:$AY$3, 0)),SUM(VLOOKUP($A23, LS_previous!$B$4:$AY$138, LS_previous!H$149, FALSE), VLOOKUP('Staging Table'!$A23, LS_previous!$B$4:$AY$138,LS_previous!AF$149, FALSE))/2)</f>
        <v>-125</v>
      </c>
      <c r="Q23" s="227">
        <f t="array" ref="Q23">IF($G23=0, INDEX(LS_previous!$D$4:$AY$138, MATCH('Staging Table'!$A23, LS_previous!$B$4:$B$138, 0), MATCH(Q$4&amp;Q$5, LS_previous!$D$2:$AY$2&amp;LS_previous!$D$3:$AY$3, 0)),SUM(VLOOKUP($A23, LS_previous!$B$4:$AY$138, LS_previous!I$149, FALSE), VLOOKUP('Staging Table'!$A23, LS_previous!$B$4:$AY$138,LS_previous!AG$149, FALSE))/2)</f>
        <v>562</v>
      </c>
      <c r="R23" s="227">
        <f t="array" ref="R23">IF($G23=0, INDEX(LS_previous!$D$4:$AY$138, MATCH('Staging Table'!$A23, LS_previous!$B$4:$B$138, 0), MATCH(R$4&amp;R$5, LS_previous!$D$2:$AY$2&amp;LS_previous!$D$3:$AY$3, 0)),SUM(VLOOKUP($A23, LS_previous!$B$4:$AY$138, LS_previous!J$149, FALSE), VLOOKUP('Staging Table'!$A23, LS_previous!$B$4:$AY$138,LS_previous!AH$149, FALSE))/2)</f>
        <v>1759</v>
      </c>
      <c r="S23" s="227">
        <f t="array" ref="S23">IF($G23=0, INDEX(LS_previous!$D$4:$AY$138, MATCH('Staging Table'!$A23, LS_previous!$B$4:$B$138, 0), MATCH(S$4&amp;S$5, LS_previous!$D$2:$AY$2&amp;LS_previous!$D$3:$AY$3, 0)),SUM(VLOOKUP($A23, LS_previous!$B$4:$AY$138, LS_previous!K$149, FALSE), VLOOKUP('Staging Table'!$A23, LS_previous!$B$4:$AY$138,LS_previous!AI$149, FALSE))/2)</f>
        <v>1481</v>
      </c>
      <c r="T23" s="227">
        <f t="array" ref="T23">IF($G23=0, INDEX(LS_previous!$D$4:$AY$138, MATCH('Staging Table'!$A23, LS_previous!$B$4:$B$138, 0), MATCH(T$4&amp;T$5, LS_previous!$D$2:$AY$2&amp;LS_previous!$D$3:$AY$3, 0)),SUM(VLOOKUP($A23, LS_previous!$B$4:$AY$138, LS_previous!L$149, FALSE), VLOOKUP('Staging Table'!$A23, LS_previous!$B$4:$AY$138,LS_previous!AJ$149, FALSE))/2)</f>
        <v>1708</v>
      </c>
      <c r="U23" s="227">
        <f t="array" ref="U23">IF($G23=0, INDEX(LS_previous!$D$4:$AY$138, MATCH('Staging Table'!$A23, LS_previous!$B$4:$B$138, 0), MATCH(U$4&amp;U$5, LS_previous!$D$2:$AY$2&amp;LS_previous!$D$3:$AY$3, 0)),SUM(VLOOKUP($A23, LS_previous!$B$4:$AY$138, LS_previous!M$149, FALSE), VLOOKUP('Staging Table'!$A23, LS_previous!$B$4:$AY$138,LS_previous!AK$149, FALSE))/2)</f>
        <v>1326</v>
      </c>
      <c r="V23" s="227">
        <f t="array" ref="V23">IF($G23=0, INDEX(LS_previous!$D$4:$AY$138, MATCH('Staging Table'!$A23, LS_previous!$B$4:$B$138, 0), MATCH(V$4&amp;V$5, LS_previous!$D$2:$AY$2&amp;LS_previous!$D$3:$AY$3, 0)),SUM(VLOOKUP($A23, LS_previous!$B$4:$AY$138, LS_previous!N$149, FALSE), VLOOKUP('Staging Table'!$A23, LS_previous!$B$4:$AY$138,LS_previous!AL$149, FALSE))/2)</f>
        <v>87</v>
      </c>
      <c r="W23" s="227">
        <f t="array" ref="W23">IF($G23=0, INDEX(LS_previous!$D$4:$AY$138, MATCH('Staging Table'!$A23, LS_previous!$B$4:$B$138, 0), MATCH(W$4&amp;W$5, LS_previous!$D$2:$AY$2&amp;LS_previous!$D$3:$AY$3, 0)),SUM(VLOOKUP($A23, LS_previous!$B$4:$AY$138, LS_previous!O$149, FALSE), VLOOKUP('Staging Table'!$A23, LS_previous!$B$4:$AY$138,LS_previous!AM$149, FALSE))/2)</f>
        <v>400</v>
      </c>
      <c r="X23" s="227">
        <f t="array" ref="X23">IF($G23=0, INDEX(LS_previous!$D$4:$AY$138, MATCH('Staging Table'!$A23, LS_previous!$B$4:$B$138, 0), MATCH(X$4&amp;X$5, LS_previous!$D$2:$AY$2&amp;LS_previous!$D$3:$AY$3, 0)),SUM(VLOOKUP($A23, LS_previous!$B$4:$AY$138, LS_previous!P$149, FALSE), VLOOKUP('Staging Table'!$A23, LS_previous!$B$4:$AY$138,LS_previous!AN$149, FALSE))/2)</f>
        <v>-494</v>
      </c>
      <c r="Y23" s="227">
        <f t="array" ref="Y23">IF($G23=0, INDEX(LS_previous!$D$4:$AY$138, MATCH('Staging Table'!$A23, LS_previous!$B$4:$B$138, 0), MATCH(Y$4&amp;Y$5, LS_previous!$D$2:$AY$2&amp;LS_previous!$D$3:$AY$3, 0)),SUM(VLOOKUP($A23, LS_previous!$B$4:$AY$138, LS_previous!Q$149, FALSE), VLOOKUP('Staging Table'!$A23, LS_previous!$B$4:$AY$138,LS_previous!AO$149, FALSE))/2)</f>
        <v>-140</v>
      </c>
      <c r="Z23" s="227">
        <f t="array" ref="Z23">IF($G23=0, INDEX(LS_previous!$D$4:$AY$138, MATCH('Staging Table'!$A23, LS_previous!$B$4:$B$138, 0), MATCH(Z$4&amp;Z$5, LS_previous!$D$2:$AY$2&amp;LS_previous!$D$3:$AY$3, 0)),SUM(VLOOKUP($A23, LS_previous!$B$4:$AY$138, LS_previous!R$149, FALSE), VLOOKUP('Staging Table'!$A23, LS_previous!$B$4:$AY$138,LS_previous!AP$149, FALSE))/2)</f>
        <v>-3686</v>
      </c>
      <c r="AA23" s="227">
        <f t="array" ref="AA23">IF($G23=0, INDEX(LS_previous!$D$4:$AY$138, MATCH('Staging Table'!$A23, LS_previous!$B$4:$B$138, 0), MATCH(AA$4&amp;AA$5, LS_previous!$D$2:$AY$2&amp;LS_previous!$D$3:$AY$3, 0)),SUM(VLOOKUP($A23, LS_previous!$B$4:$AY$138, LS_previous!S$149, FALSE), VLOOKUP('Staging Table'!$A23, LS_previous!$B$4:$AY$138,LS_previous!AQ$149, FALSE))/2)</f>
        <v>-1979</v>
      </c>
      <c r="AB23" s="227">
        <f t="array" ref="AB23">IF($G23=0, INDEX(LS_previous!$D$4:$AY$138, MATCH('Staging Table'!$A23, LS_previous!$B$4:$B$138, 0), MATCH(AB$4&amp;AB$5, LS_previous!$D$2:$AY$2&amp;LS_previous!$D$3:$AY$3, 0)),SUM(VLOOKUP($A23, LS_previous!$B$4:$AY$138, LS_previous!T$149, FALSE), VLOOKUP('Staging Table'!$A23, LS_previous!$B$4:$AY$138,LS_previous!AR$149, FALSE))/2)</f>
        <v>-1907</v>
      </c>
      <c r="AC23" s="227">
        <f t="array" ref="AC23">IF($G23=0, INDEX(LS_previous!$D$4:$AY$138, MATCH('Staging Table'!$A23, LS_previous!$B$4:$B$138, 0), MATCH(AC$4&amp;AC$5, LS_previous!$D$2:$AY$2&amp;LS_previous!$D$3:$AY$3, 0)),SUM(VLOOKUP($A23, LS_previous!$B$4:$AY$138, LS_previous!U$149, FALSE), VLOOKUP('Staging Table'!$A23, LS_previous!$B$4:$AY$138,LS_previous!AS$149, FALSE))/2)</f>
        <v>-783</v>
      </c>
      <c r="AD23" s="227">
        <f t="array" ref="AD23">IF($G23=0, INDEX(LS_previous!$D$4:$AY$138, MATCH('Staging Table'!$A23, LS_previous!$B$4:$B$138, 0), MATCH(AD$4&amp;AD$5, LS_previous!$D$2:$AY$2&amp;LS_previous!$D$3:$AY$3, 0)),SUM(VLOOKUP($A23, LS_previous!$B$4:$AY$138, LS_previous!V$149, FALSE), VLOOKUP('Staging Table'!$A23, LS_previous!$B$4:$AY$138,LS_previous!AT$149, FALSE))/2)</f>
        <v>-615</v>
      </c>
      <c r="AE23" s="227">
        <f t="array" ref="AE23">IF($G23=0, INDEX(LS_previous!$D$4:$AY$138, MATCH('Staging Table'!$A23, LS_previous!$B$4:$B$138, 0), MATCH(AE$4&amp;AE$5, LS_previous!$D$2:$AY$2&amp;LS_previous!$D$3:$AY$3, 0)),SUM(VLOOKUP($A23, LS_previous!$B$4:$AY$138, LS_previous!W$149, FALSE), VLOOKUP('Staging Table'!$A23, LS_previous!$B$4:$AY$138,LS_previous!AU$149, FALSE))/2)</f>
        <v>1</v>
      </c>
      <c r="AF23" s="227">
        <f t="array" ref="AF23">IF($G23=0, INDEX(LS_previous!$D$4:$AY$138, MATCH('Staging Table'!$A23, LS_previous!$B$4:$B$138, 0), MATCH(AF$4&amp;AF$5, LS_previous!$D$2:$AY$2&amp;LS_previous!$D$3:$AY$3, 0)),SUM(VLOOKUP($A23, LS_previous!$B$4:$AY$138, LS_previous!X$149, FALSE), VLOOKUP('Staging Table'!$A23, LS_previous!$B$4:$AY$138,LS_previous!AV$149, FALSE))/2)</f>
        <v>-1491</v>
      </c>
      <c r="AG23" s="227">
        <f t="array" ref="AG23">IF($G23=0, INDEX(LS_previous!$D$4:$AY$138, MATCH('Staging Table'!$A23, LS_previous!$B$4:$B$138, 0), MATCH(AG$4&amp;AG$5, LS_previous!$D$2:$AY$2&amp;LS_previous!$D$3:$AY$3, 0)),SUM(VLOOKUP($A23, LS_previous!$B$4:$AY$138, LS_previous!Y$149, FALSE), VLOOKUP('Staging Table'!$A23, LS_previous!$B$4:$AY$138,LS_previous!AW$149, FALSE))/2)</f>
        <v>-346</v>
      </c>
      <c r="AH23" s="227">
        <f t="array" ref="AH23">IF($G23=0, INDEX(LS_previous!$D$4:$AY$138, MATCH('Staging Table'!$A23, LS_previous!$B$4:$B$138, 0), MATCH(AH$4&amp;AH$5, LS_previous!$D$2:$AY$2&amp;LS_previous!$D$3:$AY$3, 0)),SUM(VLOOKUP($A23, LS_previous!$B$4:$AY$138, LS_previous!Z$149, FALSE), VLOOKUP('Staging Table'!$A23, LS_previous!$B$4:$AY$138,LS_previous!AX$149, FALSE))/2)</f>
        <v>-1284</v>
      </c>
      <c r="AI23" s="227">
        <f t="array" ref="AI23">IF($G23=0, INDEX(LS_previous!$D$4:$AY$138, MATCH('Staging Table'!$A23, LS_previous!$B$4:$B$138, 0), MATCH(AI$4&amp;AI$5, LS_previous!$D$2:$AY$2&amp;LS_previous!$D$3:$AY$3, 0)),SUM(VLOOKUP($A23, LS_previous!$B$4:$AY$138, LS_previous!AA$149, FALSE), VLOOKUP('Staging Table'!$A23, LS_previous!$B$4:$AY$138,LS_previous!AY$149, FALSE))/2)</f>
        <v>-510</v>
      </c>
      <c r="AJ23" s="424">
        <f t="array" ref="AJ23">INDEX(Demand_previous!$D$4:$AY$138, MATCH('Staging Table'!$A23, Demand_previous!$B$4:$B$138, 0), MATCH(AJ$4&amp;AJ$5,Demand_previous!$D$2:$AY$2&amp;Demand_previous!$D$3:$AY$3, 0))/1000</f>
        <v>3.2290000000000001</v>
      </c>
      <c r="AK23" s="424">
        <f t="array" ref="AK23">INDEX(Demand_previous!$D$4:$AY$138, MATCH('Staging Table'!$A23, Demand_previous!$B$4:$B$138, 0), MATCH(AK$4&amp;AK$5,Demand_previous!$D$2:$AY$2&amp;Demand_previous!$D$3:$AY$3, 0))/1000</f>
        <v>4.5979999999999999</v>
      </c>
      <c r="AL23" s="424">
        <f t="array" ref="AL23">INDEX(Demand_previous!$D$4:$AY$138, MATCH('Staging Table'!$A23, Demand_previous!$B$4:$B$138, 0), MATCH(AL$4&amp;AL$5,Demand_previous!$D$2:$AY$2&amp;Demand_previous!$D$3:$AY$3, 0))/1000</f>
        <v>3.3759999999999999</v>
      </c>
      <c r="AM23" s="424">
        <f t="array" ref="AM23">INDEX(Demand_previous!$D$4:$AY$138, MATCH('Staging Table'!$A23, Demand_previous!$B$4:$B$138, 0), MATCH(AM$4&amp;AM$5,Demand_previous!$D$2:$AY$2&amp;Demand_previous!$D$3:$AY$3, 0))/1000</f>
        <v>5.4580000000000002</v>
      </c>
      <c r="AN23" s="424">
        <f t="array" ref="AN23">INDEX(Demand_previous!$D$4:$AY$138, MATCH('Staging Table'!$A23, Demand_previous!$B$4:$B$138, 0), MATCH(AN$4&amp;AN$5,Demand_previous!$D$2:$AY$2&amp;Demand_previous!$D$3:$AY$3, 0))/1000</f>
        <v>3.032</v>
      </c>
      <c r="AO23" s="424">
        <f t="array" ref="AO23">INDEX(Demand_previous!$D$4:$AY$138, MATCH('Staging Table'!$A23, Demand_previous!$B$4:$B$138, 0), MATCH(AO$4&amp;AO$5,Demand_previous!$D$2:$AY$2&amp;Demand_previous!$D$3:$AY$3, 0))/1000</f>
        <v>5.1230000000000002</v>
      </c>
      <c r="AP23" s="424">
        <f t="array" ref="AP23">INDEX(Demand_previous!$D$4:$AY$138, MATCH('Staging Table'!$A23, Demand_previous!$B$4:$B$138, 0), MATCH(AP$4&amp;AP$5,Demand_previous!$D$2:$AY$2&amp;Demand_previous!$D$3:$AY$3, 0))/1000</f>
        <v>5.0529999999999999</v>
      </c>
      <c r="AQ23" s="424">
        <f t="array" ref="AQ23">INDEX(Demand_previous!$D$4:$AY$138, MATCH('Staging Table'!$A23, Demand_previous!$B$4:$B$138, 0), MATCH(AQ$4&amp;AQ$5,Demand_previous!$D$2:$AY$2&amp;Demand_previous!$D$3:$AY$3, 0))/1000</f>
        <v>4.0960000000000001</v>
      </c>
      <c r="AR23" s="424">
        <f t="array" ref="AR23">INDEX(Demand_previous!$D$4:$AY$138, MATCH('Staging Table'!$A23, Demand_previous!$B$4:$B$138, 0), MATCH(AR$4&amp;AR$5,Demand_previous!$D$2:$AY$2&amp;Demand_previous!$D$3:$AY$3, 0))/1000</f>
        <v>3.4169999999999998</v>
      </c>
      <c r="AS23" s="424">
        <f t="array" ref="AS23">INDEX(Demand_previous!$D$4:$AY$138, MATCH('Staging Table'!$A23, Demand_previous!$B$4:$B$138, 0), MATCH(AS$4&amp;AS$5,Demand_previous!$D$2:$AY$2&amp;Demand_previous!$D$3:$AY$3, 0))/1000</f>
        <v>4.3360000000000003</v>
      </c>
      <c r="AT23" s="424">
        <f t="array" ref="AT23">INDEX(Demand_previous!$D$4:$AY$138, MATCH('Staging Table'!$A23, Demand_previous!$B$4:$B$138, 0), MATCH(AT$4&amp;AT$5,Demand_previous!$D$2:$AY$2&amp;Demand_previous!$D$3:$AY$3, 0))/1000</f>
        <v>4.5460000000000003</v>
      </c>
      <c r="AU23" s="424">
        <f t="array" ref="AU23">INDEX(Demand_previous!$D$4:$AY$138, MATCH('Staging Table'!$A23, Demand_previous!$B$4:$B$138, 0), MATCH(AU$4&amp;AU$5,Demand_previous!$D$2:$AY$2&amp;Demand_previous!$D$3:$AY$3, 0))/1000</f>
        <v>4.7880000000000003</v>
      </c>
      <c r="AV23" s="227">
        <f>$F23*(VLOOKUP(AV$4, Rates_previous!$G$6:$Q$29, 10, FALSE)+VLOOKUP(AV$4, Rates_previous!$G$6:$Q$29, 11, FALSE))</f>
        <v>10507.21654173863</v>
      </c>
      <c r="AW23" s="227">
        <f>$F23*(VLOOKUP(AW$4, Rates_previous!$G$6:$Q$29, 10, FALSE)+VLOOKUP(AW$4, Rates_previous!$G$6:$Q$29, 11, FALSE))</f>
        <v>12986.121054810179</v>
      </c>
      <c r="AX23" s="227">
        <f>$F23*(VLOOKUP(AX$4, Rates_previous!$G$6:$Q$29, 10, FALSE)+VLOOKUP(AX$4, Rates_previous!$G$6:$Q$29, 11, FALSE))</f>
        <v>12830.173273092927</v>
      </c>
      <c r="AY23" s="227">
        <f>$F23*(VLOOKUP(AY$4, Rates_previous!$G$6:$Q$29, 10, FALSE)+VLOOKUP(AY$4, Rates_previous!$G$6:$Q$29, 11, FALSE))</f>
        <v>10962.160144372045</v>
      </c>
      <c r="AZ23" s="227">
        <f>$F23*(VLOOKUP(AZ$4, Rates_previous!$G$6:$Q$29, 10, FALSE)+VLOOKUP(AZ$4, Rates_previous!$G$6:$Q$29, 11, FALSE))</f>
        <v>8986.8449755982347</v>
      </c>
      <c r="BA23" s="227">
        <f>$F23*(VLOOKUP(BA$4, Rates_previous!$G$6:$Q$29, 10, FALSE)+VLOOKUP(BA$4, Rates_previous!$G$6:$Q$29, 11, FALSE))</f>
        <v>10640.098018604014</v>
      </c>
      <c r="BB23" s="227">
        <f>$F23*(VLOOKUP(BB$4, Rates_previous!$G$6:$Q$29, 10, FALSE)+VLOOKUP(BB$4, Rates_previous!$G$6:$Q$29, 11, FALSE))</f>
        <v>10226.681892558521</v>
      </c>
      <c r="BC23" s="227">
        <f>$F23*(VLOOKUP(BC$4, Rates_previous!$G$6:$Q$29, 10, FALSE)+VLOOKUP(BC$4, Rates_previous!$G$6:$Q$29, 11, FALSE))</f>
        <v>15006.932009220967</v>
      </c>
      <c r="BD23" s="227">
        <f>$F23*(VLOOKUP(BD$4, Rates_previous!$G$6:$Q$29, 10, FALSE)+VLOOKUP(BD$4, Rates_previous!$G$6:$Q$29, 11, FALSE))</f>
        <v>11840.072717227516</v>
      </c>
      <c r="BE23" s="227">
        <f>$F23*(VLOOKUP(BE$4, Rates_previous!$G$6:$Q$29, 10, FALSE)+VLOOKUP(BE$4, Rates_previous!$G$6:$Q$29, 11, FALSE))</f>
        <v>10396.577648507586</v>
      </c>
      <c r="BF23" s="227">
        <f>$F23*(VLOOKUP(BF$4, Rates_previous!$G$6:$Q$29, 10, FALSE)+VLOOKUP(BF$4, Rates_previous!$G$6:$Q$29, 11, FALSE))</f>
        <v>11514.625896946482</v>
      </c>
      <c r="BG23" s="227">
        <f>$F23*(VLOOKUP(BG$4, Rates_previous!$G$6:$Q$29, 10, FALSE)+VLOOKUP(BG$4, Rates_previous!$G$6:$Q$29, 11, FALSE))</f>
        <v>10431.79315466042</v>
      </c>
      <c r="BH23" s="229">
        <f>IF($D23=0,IF(C23=0, MAX(BK23 - (VLOOKUP($A23,TOCA_previous!$A$2:$AI$137,MATCH("RHWM 2018",TOCA_previous!$A$2:$AI$2,0),FALSE)*$F$2*TOCA_previous!C20),0),0), 0)</f>
        <v>0</v>
      </c>
      <c r="BI23" s="266">
        <f>VLOOKUP($A23,REP_previous!$A$1:$D$135,MATCH("FY "&amp;$F$1&amp; " Total Refund",REP_previous!$A$1:$D$1,0),0)</f>
        <v>197496.66232530522</v>
      </c>
      <c r="BJ23" s="241">
        <f>MIN(VLOOKUP($A23,TOCA_previous!$A$2:$AI$137,MATCH("TRL - NLSL - Existing Resource "&amp;$F$1,TOCA_previous!$A$2:$AI$2,0),FALSE)*$F$2,(VLOOKUP($A23,TOCA_previous!$A$2:$AI$137,MATCH("RHWM 2018",TOCA_previous!$A$2:$AI$2,0),FALSE)*$F$2))</f>
        <v>136331.88</v>
      </c>
      <c r="BK23" s="229">
        <f>SUM(L23:AI23)+(F23*RT1SC!$C$3*$F$2)</f>
        <v>127619.29931626399</v>
      </c>
      <c r="BL23" s="241">
        <f>VLOOKUP($A23,TOCA_previous!$A$2:$AI$137,MATCH("Above RHWM Not Served with LS "&amp;$F$1,TOCA_previous!$A$2:$AI$2,0),FALSE)*$F$2</f>
        <v>16827.96</v>
      </c>
      <c r="BM23" s="151">
        <f t="shared" si="5"/>
        <v>-8712.5806837360142</v>
      </c>
      <c r="BN23" s="242">
        <f>(VLOOKUP($A23,TOCA_previous!$A$2:$AI$137,MATCH("RHWM 2018",TOCA_previous!$A$2:$AI$2,0),FALSE)*$F$2) - $BJ23</f>
        <v>0</v>
      </c>
      <c r="BO23" s="151">
        <f t="shared" si="6"/>
        <v>0</v>
      </c>
      <c r="BP23" s="243">
        <f t="shared" si="7"/>
        <v>0</v>
      </c>
      <c r="BQ23" s="237">
        <f t="shared" si="8"/>
        <v>0</v>
      </c>
      <c r="BR23" s="242">
        <f t="shared" si="9"/>
        <v>0</v>
      </c>
      <c r="BS23" s="151">
        <f>VLOOKUP($A23,TOCA_current!$A$2:$AI$137,MATCH(BS$4,TOCA_current!$A$2:$AI$2,0),FALSE)</f>
        <v>2.2396999999999999E-3</v>
      </c>
      <c r="BT23" s="151">
        <f>VLOOKUP($A23,TOCA_current!$A$2:$AI$137,MATCH(BT$4,TOCA_current!$A$2:$AI$2,0),FALSE)</f>
        <v>2.2396999999999999E-3</v>
      </c>
      <c r="BU23" s="236">
        <f t="shared" si="10"/>
        <v>0</v>
      </c>
      <c r="BV23" s="151">
        <f>VLOOKUP($A23,TOCA_current!A19:BG154,MATCH(BV$4,TOCA_current!$A$2:$BG$2,0),FALSE)</f>
        <v>0</v>
      </c>
      <c r="BW23" s="151">
        <f t="shared" si="11"/>
        <v>0</v>
      </c>
      <c r="BX23" s="151">
        <f t="shared" si="12"/>
        <v>0</v>
      </c>
      <c r="BY23" s="226">
        <f>VLOOKUP($A23,IRD!$A$4:$G$139, 7, FALSE)</f>
        <v>0</v>
      </c>
      <c r="BZ23" s="227">
        <f t="array" ref="BZ23">IF($BU23=0, INDEX(LS_current!$D$4:$AY$138, MATCH('Staging Table'!$A23, LS_current!$B$4:$B$138, 0), MATCH(BZ$4&amp;BZ$5, LS_current!$D$2:$AY$2&amp;LS_current!$D$3:$AY$3, 0)),SUM(VLOOKUP($A23, LS_current!$B$4:$AY$138, LS_current!D$148, FALSE), VLOOKUP($A23, LS_current!$B$4:$AY$138,LS_current!D$148, FALSE))/2)</f>
        <v>-261</v>
      </c>
      <c r="CA23" s="227">
        <f t="array" ref="CA23">IF($BU23=0, INDEX(LS_current!$D$4:$AY$138, MATCH('Staging Table'!$A23, LS_current!$B$4:$B$138, 0), MATCH(CA$4&amp;CA$5, LS_current!$D$2:$AY$2&amp;LS_current!$D$3:$AY$3, 0)),SUM(VLOOKUP($A23, LS_current!$B$4:$AY$138, LS_current!E$148, FALSE), VLOOKUP($A23, LS_current!$B$4:$AY$138,LS_current!E$148, FALSE))/2)</f>
        <v>-65</v>
      </c>
      <c r="CB23" s="227">
        <f t="array" ref="CB23">IF($BU23=0, INDEX(LS_current!$D$4:$AY$138, MATCH('Staging Table'!$A23, LS_current!$B$4:$B$138, 0), MATCH(CB$4&amp;CB$5, LS_current!$D$2:$AY$2&amp;LS_current!$D$3:$AY$3, 0)),SUM(VLOOKUP($A23, LS_current!$B$4:$AY$138, LS_current!F$148, FALSE), VLOOKUP($A23, LS_current!$B$4:$AY$138,LS_current!F$148, FALSE))/2)</f>
        <v>-1343</v>
      </c>
      <c r="CC23" s="227">
        <f t="array" ref="CC23">IF($BU23=0, INDEX(LS_current!$D$4:$AY$138, MATCH('Staging Table'!$A23, LS_current!$B$4:$B$138, 0), MATCH(CC$4&amp;CC$5, LS_current!$D$2:$AY$2&amp;LS_current!$D$3:$AY$3, 0)),SUM(VLOOKUP($A23, LS_current!$B$4:$AY$138, LS_current!G$148, FALSE), VLOOKUP($A23, LS_current!$B$4:$AY$138,LS_current!G$148, FALSE))/2)</f>
        <v>-152</v>
      </c>
      <c r="CD23" s="227">
        <f t="array" ref="CD23">IF($BU23=0, INDEX(LS_current!$D$4:$AY$138, MATCH('Staging Table'!$A23, LS_current!$B$4:$B$138, 0), MATCH(CD$4&amp;CD$5, LS_current!$D$2:$AY$2&amp;LS_current!$D$3:$AY$3, 0)),SUM(VLOOKUP($A23, LS_current!$B$4:$AY$138, LS_current!H$148, FALSE), VLOOKUP($A23, LS_current!$B$4:$AY$138,LS_current!H$148, FALSE))/2)</f>
        <v>37</v>
      </c>
      <c r="CE23" s="227">
        <f t="array" ref="CE23">IF($BU23=0, INDEX(LS_current!$D$4:$AY$138, MATCH('Staging Table'!$A23, LS_current!$B$4:$B$138, 0), MATCH(CE$4&amp;CE$5, LS_current!$D$2:$AY$2&amp;LS_current!$D$3:$AY$3, 0)),SUM(VLOOKUP($A23, LS_current!$B$4:$AY$138, LS_current!I$148, FALSE), VLOOKUP($A23, LS_current!$B$4:$AY$138,LS_current!I$148, FALSE))/2)</f>
        <v>678</v>
      </c>
      <c r="CF23" s="227">
        <f t="array" ref="CF23">IF($BU23=0, INDEX(LS_current!$D$4:$AY$138, MATCH('Staging Table'!$A23, LS_current!$B$4:$B$138, 0), MATCH(CF$4&amp;CF$5, LS_current!$D$2:$AY$2&amp;LS_current!$D$3:$AY$3, 0)),SUM(VLOOKUP($A23, LS_current!$B$4:$AY$138, LS_current!J$148, FALSE), VLOOKUP($A23, LS_current!$B$4:$AY$138,LS_current!J$148, FALSE))/2)</f>
        <v>1971</v>
      </c>
      <c r="CG23" s="227">
        <f t="array" ref="CG23">IF($BU23=0, INDEX(LS_current!$D$4:$AY$138, MATCH('Staging Table'!$A23, LS_current!$B$4:$B$138, 0), MATCH(CG$4&amp;CG$5, LS_current!$D$2:$AY$2&amp;LS_current!$D$3:$AY$3, 0)),SUM(VLOOKUP($A23, LS_current!$B$4:$AY$138, LS_current!K$148, FALSE), VLOOKUP($A23, LS_current!$B$4:$AY$138,LS_current!K$148, FALSE))/2)</f>
        <v>1839</v>
      </c>
      <c r="CH23" s="227">
        <f t="array" ref="CH23">IF($BU23=0, INDEX(LS_current!$D$4:$AY$138, MATCH('Staging Table'!$A23, LS_current!$B$4:$B$138, 0), MATCH(CH$4&amp;CH$5, LS_current!$D$2:$AY$2&amp;LS_current!$D$3:$AY$3, 0)),SUM(VLOOKUP($A23, LS_current!$B$4:$AY$138, LS_current!L$148, FALSE), VLOOKUP($A23, LS_current!$B$4:$AY$138,LS_current!L$148, FALSE))/2)</f>
        <v>1400</v>
      </c>
      <c r="CI23" s="227">
        <f t="array" ref="CI23">IF($BU23=0, INDEX(LS_current!$D$4:$AY$138, MATCH('Staging Table'!$A23, LS_current!$B$4:$B$138, 0), MATCH(CI$4&amp;CI$5, LS_current!$D$2:$AY$2&amp;LS_current!$D$3:$AY$3, 0)),SUM(VLOOKUP($A23, LS_current!$B$4:$AY$138, LS_current!M$148, FALSE), VLOOKUP($A23, LS_current!$B$4:$AY$138,LS_current!M$148, FALSE))/2)</f>
        <v>1173</v>
      </c>
      <c r="CJ23" s="227">
        <f t="array" ref="CJ23">IF($BU23=0, INDEX(LS_current!$D$4:$AY$138, MATCH('Staging Table'!$A23, LS_current!$B$4:$B$138, 0), MATCH(CJ$4&amp;CJ$5, LS_current!$D$2:$AY$2&amp;LS_current!$D$3:$AY$3, 0)),SUM(VLOOKUP($A23, LS_current!$B$4:$AY$138, LS_current!N$148, FALSE), VLOOKUP($A23, LS_current!$B$4:$AY$138,LS_current!N$148, FALSE))/2)</f>
        <v>154</v>
      </c>
      <c r="CK23" s="227">
        <f t="array" ref="CK23">IF($BU23=0, INDEX(LS_current!$D$4:$AY$138, MATCH('Staging Table'!$A23, LS_current!$B$4:$B$138, 0), MATCH(CK$4&amp;CK$5, LS_current!$D$2:$AY$2&amp;LS_current!$D$3:$AY$3, 0)),SUM(VLOOKUP($A23, LS_current!$B$4:$AY$138, LS_current!O$148, FALSE), VLOOKUP($A23, LS_current!$B$4:$AY$138,LS_current!O$148, FALSE))/2)</f>
        <v>499</v>
      </c>
      <c r="CL23" s="227">
        <f t="array" ref="CL23">IF($BU23=0, INDEX(LS_current!$D$4:$AY$138, MATCH('Staging Table'!$A23, LS_current!$B$4:$B$138, 0), MATCH(CL$4&amp;CL$5, LS_current!$D$2:$AY$2&amp;LS_current!$D$3:$AY$3, 0)),SUM(VLOOKUP($A23, LS_current!$B$4:$AY$138, LS_current!P$148, FALSE), VLOOKUP($A23, LS_current!$B$4:$AY$138,LS_current!P$148, FALSE))/2)</f>
        <v>705</v>
      </c>
      <c r="CM23" s="227">
        <f t="array" ref="CM23">IF($BU23=0, INDEX(LS_current!$D$4:$AY$138, MATCH('Staging Table'!$A23, LS_current!$B$4:$B$138, 0), MATCH(CM$4&amp;CM$5, LS_current!$D$2:$AY$2&amp;LS_current!$D$3:$AY$3, 0)),SUM(VLOOKUP($A23, LS_current!$B$4:$AY$138, LS_current!Q$148, FALSE), VLOOKUP($A23, LS_current!$B$4:$AY$138,LS_current!Q$148, FALSE))/2)</f>
        <v>424</v>
      </c>
      <c r="CN23" s="227">
        <f t="array" ref="CN23">IF($BU23=0, INDEX(LS_current!$D$4:$AY$138, MATCH('Staging Table'!$A23, LS_current!$B$4:$B$138, 0), MATCH(CN$4&amp;CN$5, LS_current!$D$2:$AY$2&amp;LS_current!$D$3:$AY$3, 0)),SUM(VLOOKUP($A23, LS_current!$B$4:$AY$138, LS_current!R$148, FALSE), VLOOKUP($A23, LS_current!$B$4:$AY$138,LS_current!R$148, FALSE))/2)</f>
        <v>-1629</v>
      </c>
      <c r="CO23" s="227">
        <f t="array" ref="CO23">IF($BU23=0, INDEX(LS_current!$D$4:$AY$138, MATCH('Staging Table'!$A23, LS_current!$B$4:$B$138, 0), MATCH(CO$4&amp;CO$5, LS_current!$D$2:$AY$2&amp;LS_current!$D$3:$AY$3, 0)),SUM(VLOOKUP($A23, LS_current!$B$4:$AY$138, LS_current!S$148, FALSE), VLOOKUP($A23, LS_current!$B$4:$AY$138,LS_current!S$148, FALSE))/2)</f>
        <v>-573</v>
      </c>
      <c r="CP23" s="227">
        <f t="array" ref="CP23">IF($BU23=0, INDEX(LS_current!$D$4:$AY$138, MATCH('Staging Table'!$A23, LS_current!$B$4:$B$138, 0), MATCH(CP$4&amp;CP$5, LS_current!$D$2:$AY$2&amp;LS_current!$D$3:$AY$3, 0)),SUM(VLOOKUP($A23, LS_current!$B$4:$AY$138, LS_current!T$148, FALSE), VLOOKUP($A23, LS_current!$B$4:$AY$138,LS_current!T$148, FALSE))/2)</f>
        <v>-3835</v>
      </c>
      <c r="CQ23" s="227">
        <f t="array" ref="CQ23">IF($BU23=0, INDEX(LS_current!$D$4:$AY$138, MATCH('Staging Table'!$A23, LS_current!$B$4:$B$138, 0), MATCH(CQ$4&amp;CQ$5, LS_current!$D$2:$AY$2&amp;LS_current!$D$3:$AY$3, 0)),SUM(VLOOKUP($A23, LS_current!$B$4:$AY$138, LS_current!U$148, FALSE), VLOOKUP($A23, LS_current!$B$4:$AY$138,LS_current!U$148, FALSE))/2)</f>
        <v>-1876</v>
      </c>
      <c r="CR23" s="227">
        <f t="array" ref="CR23">IF($BU23=0, INDEX(LS_current!$D$4:$AY$138, MATCH('Staging Table'!$A23, LS_current!$B$4:$B$138, 0), MATCH(CR$4&amp;CR$5, LS_current!$D$2:$AY$2&amp;LS_current!$D$3:$AY$3, 0)),SUM(VLOOKUP($A23, LS_current!$B$4:$AY$138, LS_current!V$148, FALSE), VLOOKUP($A23, LS_current!$B$4:$AY$138,LS_current!V$148, FALSE))/2)</f>
        <v>-1854</v>
      </c>
      <c r="CS23" s="227">
        <f t="array" ref="CS23">IF($BU23=0, INDEX(LS_current!$D$4:$AY$138, MATCH('Staging Table'!$A23, LS_current!$B$4:$B$138, 0), MATCH(CS$4&amp;CS$5, LS_current!$D$2:$AY$2&amp;LS_current!$D$3:$AY$3, 0)),SUM(VLOOKUP($A23, LS_current!$B$4:$AY$138, LS_current!W$148, FALSE), VLOOKUP($A23, LS_current!$B$4:$AY$138,LS_current!W$148, FALSE))/2)</f>
        <v>87</v>
      </c>
      <c r="CT23" s="227">
        <f t="array" ref="CT23">IF($BU23=0, INDEX(LS_current!$D$4:$AY$138, MATCH('Staging Table'!$A23, LS_current!$B$4:$B$138, 0), MATCH(CT$4&amp;CT$5, LS_current!$D$2:$AY$2&amp;LS_current!$D$3:$AY$3, 0)),SUM(VLOOKUP($A23, LS_current!$B$4:$AY$138, LS_current!X$148, FALSE), VLOOKUP($A23, LS_current!$B$4:$AY$138,LS_current!X$148, FALSE))/2)</f>
        <v>-1510</v>
      </c>
      <c r="CU23" s="227">
        <f t="array" ref="CU23">IF($BU23=0, INDEX(LS_current!$D$4:$AY$138, MATCH('Staging Table'!$A23, LS_current!$B$4:$B$138, 0), MATCH(CU$4&amp;CU$5, LS_current!$D$2:$AY$2&amp;LS_current!$D$3:$AY$3, 0)),SUM(VLOOKUP($A23, LS_current!$B$4:$AY$138, LS_current!Y$148, FALSE), VLOOKUP($A23, LS_current!$B$4:$AY$138,LS_current!Y$148, FALSE))/2)</f>
        <v>-48</v>
      </c>
      <c r="CV23" s="227">
        <f t="array" ref="CV23">IF($BU23=0, INDEX(LS_current!$D$4:$AY$138, MATCH('Staging Table'!$A23, LS_current!$B$4:$B$138, 0), MATCH(CV$4&amp;CV$5, LS_current!$D$2:$AY$2&amp;LS_current!$D$3:$AY$3, 0)),SUM(VLOOKUP($A23, LS_current!$B$4:$AY$138, LS_current!Z$148, FALSE), VLOOKUP($A23, LS_current!$B$4:$AY$138,LS_current!Z$148, FALSE))/2)</f>
        <v>-1121</v>
      </c>
      <c r="CW23" s="227">
        <f t="array" ref="CW23">IF($BU23=0, INDEX(LS_current!$D$4:$AY$138, MATCH('Staging Table'!$A23, LS_current!$B$4:$B$138, 0), MATCH(CW$4&amp;CW$5, LS_current!$D$2:$AY$2&amp;LS_current!$D$3:$AY$3, 0)),SUM(VLOOKUP($A23, LS_current!$B$4:$AY$138, LS_current!AA$148, FALSE), VLOOKUP($A23, LS_current!$B$4:$AY$138,LS_current!AA$148, FALSE))/2)</f>
        <v>-297</v>
      </c>
      <c r="CX23" s="229">
        <f t="array" ref="CX23">INDEX(Demand_current!$D$4:$AY$138, MATCH($A23, Demand_current!$B$4:$B$138, 0), MATCH(CX$4&amp;CX$5,Demand_current!$D$2:$AY$2&amp;Demand_current!$D$3:$AY$3, 0))/1000</f>
        <v>3.8580000000000001</v>
      </c>
      <c r="CY23" s="229">
        <f t="array" ref="CY23">INDEX(Demand_current!$D$4:$AY$138, MATCH($A23, Demand_current!$B$4:$B$138, 0), MATCH(CY$4&amp;CY$5,Demand_current!$D$2:$AY$2&amp;Demand_current!$D$3:$AY$3, 0))/1000</f>
        <v>4.5979999999999999</v>
      </c>
      <c r="CZ23" s="229">
        <f t="array" ref="CZ23">INDEX(Demand_current!$D$4:$AY$138, MATCH($A23, Demand_current!$B$4:$B$138, 0), MATCH(CZ$4&amp;CZ$5,Demand_current!$D$2:$AY$2&amp;Demand_current!$D$3:$AY$3, 0))/1000</f>
        <v>3.3759999999999999</v>
      </c>
      <c r="DA23" s="229">
        <f t="array" ref="DA23">INDEX(Demand_current!$D$4:$AY$138, MATCH($A23, Demand_current!$B$4:$B$138, 0), MATCH(DA$4&amp;DA$5,Demand_current!$D$2:$AY$2&amp;Demand_current!$D$3:$AY$3, 0))/1000</f>
        <v>5.4580000000000002</v>
      </c>
      <c r="DB23" s="229">
        <f t="array" ref="DB23">INDEX(Demand_current!$D$4:$AY$138, MATCH($A23, Demand_current!$B$4:$B$138, 0), MATCH(DB$4&amp;DB$5,Demand_current!$D$2:$AY$2&amp;Demand_current!$D$3:$AY$3, 0))/1000</f>
        <v>3.8780000000000001</v>
      </c>
      <c r="DC23" s="229">
        <f t="array" ref="DC23">INDEX(Demand_current!$D$4:$AY$138, MATCH($A23, Demand_current!$B$4:$B$138, 0), MATCH(DC$4&amp;DC$5,Demand_current!$D$2:$AY$2&amp;Demand_current!$D$3:$AY$3, 0))/1000</f>
        <v>4.4420000000000002</v>
      </c>
      <c r="DD23" s="229">
        <f t="array" ref="DD23">INDEX(Demand_current!$D$4:$AY$138, MATCH($A23, Demand_current!$B$4:$B$138, 0), MATCH(DD$4&amp;DD$5,Demand_current!$D$2:$AY$2&amp;Demand_current!$D$3:$AY$3, 0))/1000</f>
        <v>5.7110000000000003</v>
      </c>
      <c r="DE23" s="229">
        <f t="array" ref="DE23">INDEX(Demand_current!$D$4:$AY$138, MATCH($A23, Demand_current!$B$4:$B$138, 0), MATCH(DE$4&amp;DE$5,Demand_current!$D$2:$AY$2&amp;Demand_current!$D$3:$AY$3, 0))/1000</f>
        <v>3.4540000000000002</v>
      </c>
      <c r="DF23" s="229">
        <f t="array" ref="DF23">INDEX(Demand_current!$D$4:$AY$138, MATCH($A23, Demand_current!$B$4:$B$138, 0), MATCH(DF$4&amp;DF$5,Demand_current!$D$2:$AY$2&amp;Demand_current!$D$3:$AY$3, 0))/1000</f>
        <v>3.4169999999999998</v>
      </c>
      <c r="DG23" s="229">
        <f t="array" ref="DG23">INDEX(Demand_current!$D$4:$AY$138, MATCH($A23, Demand_current!$B$4:$B$138, 0), MATCH(DG$4&amp;DG$5,Demand_current!$D$2:$AY$2&amp;Demand_current!$D$3:$AY$3, 0))/1000</f>
        <v>5.0049999999999999</v>
      </c>
      <c r="DH23" s="229">
        <f t="array" ref="DH23">INDEX(Demand_current!$D$4:$AY$138, MATCH($A23, Demand_current!$B$4:$B$138, 0), MATCH(DH$4&amp;DH$5,Demand_current!$D$2:$AY$2&amp;Demand_current!$D$3:$AY$3, 0))/1000</f>
        <v>3.919</v>
      </c>
      <c r="DI23" s="229">
        <f t="array" ref="DI23">INDEX(Demand_current!$D$4:$AY$138, MATCH($A23, Demand_current!$B$4:$B$138, 0), MATCH(DI$4&amp;DI$5,Demand_current!$D$2:$AY$2&amp;Demand_current!$D$3:$AY$3, 0))/1000</f>
        <v>5.4260000000000002</v>
      </c>
      <c r="DJ23" s="227">
        <f>$BT23*(VLOOKUP(DJ$4, Rates_current!$G$6:$Q$29, 10, FALSE)+VLOOKUP(DJ$4, Rates_current!$G$6:$Q$29, 11, FALSE))</f>
        <v>10341.405323881198</v>
      </c>
      <c r="DK23" s="227">
        <f>$BT23*(VLOOKUP(DK$4, Rates_current!$G$6:$Q$29, 10, FALSE)+VLOOKUP(DK$4, Rates_current!$G$6:$Q$29, 11, FALSE))</f>
        <v>13136.8108253883</v>
      </c>
      <c r="DL23" s="227">
        <f>$BT23*(VLOOKUP(DL$4, Rates_current!$G$6:$Q$29, 10, FALSE)+VLOOKUP(DL$4, Rates_current!$G$6:$Q$29, 11, FALSE))</f>
        <v>12978.1660589812</v>
      </c>
      <c r="DM23" s="227">
        <f>$BT23*(VLOOKUP(DM$4, Rates_current!$G$6:$Q$29, 10, FALSE)+VLOOKUP(DM$4, Rates_current!$G$6:$Q$29, 11, FALSE))</f>
        <v>10818.0918733812</v>
      </c>
      <c r="DN23" s="227">
        <f>$BT23*(VLOOKUP(DN$4, Rates_current!$G$6:$Q$29, 10, FALSE)+VLOOKUP(DN$4, Rates_current!$G$6:$Q$29, 11, FALSE))</f>
        <v>9800.0689469599984</v>
      </c>
      <c r="DO23" s="227">
        <f>$BT23*(VLOOKUP(DO$4, Rates_current!$G$6:$Q$29, 10, FALSE)+VLOOKUP(DO$4, Rates_current!$G$6:$Q$29, 11, FALSE))</f>
        <v>10900.789976098898</v>
      </c>
      <c r="DP23" s="227">
        <f>$BT23*(VLOOKUP(DP$4, Rates_current!$G$6:$Q$29, 10, FALSE)+VLOOKUP(DP$4, Rates_current!$G$6:$Q$29, 11, FALSE))</f>
        <v>8875.4349616559994</v>
      </c>
      <c r="DQ23" s="227">
        <f>$BT23*(VLOOKUP(DQ$4, Rates_current!$G$6:$Q$29, 10, FALSE)+VLOOKUP(DQ$4, Rates_current!$G$6:$Q$29, 11, FALSE))</f>
        <v>11969.8475197312</v>
      </c>
      <c r="DR23" s="227">
        <f>$BT23*(VLOOKUP(DR$4, Rates_current!$G$6:$Q$29, 10, FALSE)+VLOOKUP(DR$4, Rates_current!$G$6:$Q$29, 11, FALSE))</f>
        <v>15272.711348806</v>
      </c>
      <c r="DS23" s="227">
        <f>$BT23*(VLOOKUP(DS$4, Rates_current!$G$6:$Q$29, 10, FALSE)+VLOOKUP(DS$4, Rates_current!$G$6:$Q$29, 11, FALSE))</f>
        <v>11974.2899646812</v>
      </c>
      <c r="DT23" s="227">
        <f>$BT23*(VLOOKUP(DT$4, Rates_current!$G$6:$Q$29, 10, FALSE)+VLOOKUP(DT$4, Rates_current!$G$6:$Q$29, 11, FALSE))</f>
        <v>11660.574065831201</v>
      </c>
      <c r="DU23" s="227">
        <f>$BT23*(VLOOKUP(DU$4, Rates_current!$G$6:$Q$29, 10, FALSE)+VLOOKUP(DU$4, Rates_current!$G$6:$Q$29, 11, FALSE))</f>
        <v>10468.714987356001</v>
      </c>
      <c r="DV23" s="229">
        <f>IF(D23=0,IF(C23=0,MAX(0,DY23 - (VLOOKUP($A23,TOCA_current!$A$2:$AI$137,MATCH("RHWM 2020",TOCA_current!$A$2:$AI$2,0),FALSE)*$BT$2)), 0),0)</f>
        <v>0</v>
      </c>
      <c r="DW23" s="266">
        <f>VLOOKUP($A23,REP_current!$A$1:$D$135,MATCH("FY "&amp;$BT$1&amp; " Total Refund",REP_current!$A$1:$D$1,0),0)</f>
        <v>0</v>
      </c>
      <c r="DX23" s="295">
        <f>MIN(VLOOKUP($A23,TOCA_current!$A$2:$AI$137,MATCH("TRL - NLSL - Existing Resource "&amp;$BT$1,TOCA_current!$A$2:$AI$2,0),FALSE)*$BT$2, VLOOKUP($A23,TOCA_current!$A$2:$AI$137,MATCH("RHWM 2020",TOCA_current!$A$2:$AI$2,0),FALSE)*$BT$2)</f>
        <v>138198.67199999999</v>
      </c>
      <c r="DY23" s="240">
        <f>SUM(BZ23:CW23)+(BT23*RT1SC!$C$4*$BT$2)</f>
        <v>132599.91103989759</v>
      </c>
      <c r="DZ23" s="271">
        <f>VLOOKUP($A23,TOCA_current!$A$2:$AI$137,MATCH("Above RHWM Not Served with LS "&amp;$BT$1,TOCA_current!$A$2:$AI$2,0),FALSE)*$BT$2</f>
        <v>11849.616</v>
      </c>
      <c r="EA23" s="244">
        <f t="shared" si="13"/>
        <v>-5598.7609601024014</v>
      </c>
      <c r="EB23" s="295">
        <f>(VLOOKUP($A23,TOCA_current!$A$2:$AI$137,MATCH("RHWM 2020",TOCA_current!$A$2:$AI$2,0),FALSE)*$BT$2) - $DX23</f>
        <v>0</v>
      </c>
      <c r="EC23" s="240">
        <f t="shared" si="14"/>
        <v>0</v>
      </c>
      <c r="ED23" s="240">
        <f t="shared" si="15"/>
        <v>0</v>
      </c>
      <c r="EE23" s="240">
        <f t="shared" si="16"/>
        <v>0</v>
      </c>
      <c r="EF23" s="240">
        <f t="shared" si="17"/>
        <v>0</v>
      </c>
    </row>
    <row r="24" spans="1:136">
      <c r="A24" s="166">
        <v>10068</v>
      </c>
      <c r="B24" s="167" t="s">
        <v>25</v>
      </c>
      <c r="C24" s="240">
        <v>0</v>
      </c>
      <c r="D24" s="240">
        <v>0</v>
      </c>
      <c r="E24" s="150">
        <f>VLOOKUP($A24,TOCA_previous!$A$2:$AI$137,MATCH(E$4,TOCA_previous!$A$2:$AI$2,0),FALSE)</f>
        <v>3.7940000000000001E-4</v>
      </c>
      <c r="F24" s="151">
        <f>VLOOKUP($A24,TOCA_previous!$A$2:$AI$137,MATCH(F$4,TOCA_previous!$A$2:$AI$2,0),FALSE)</f>
        <v>3.7940000000000001E-4</v>
      </c>
      <c r="G24" s="151">
        <f t="shared" si="2"/>
        <v>0</v>
      </c>
      <c r="H24" s="151">
        <f>VLOOKUP($A24,TOCA_previous!$A$2:$AI$137,MATCH(H$4,TOCA_previous!$A$2:$AI$2,0),FALSE)</f>
        <v>0</v>
      </c>
      <c r="I24" s="151">
        <f t="shared" si="3"/>
        <v>0</v>
      </c>
      <c r="J24" s="151">
        <f t="shared" si="4"/>
        <v>0</v>
      </c>
      <c r="K24" s="226">
        <f>VLOOKUP(A24, IRD!$A$5:$C$139, 3, FALSE)</f>
        <v>0</v>
      </c>
      <c r="L24" s="227">
        <f t="array" ref="L24">IF($G24=0, INDEX(LS_previous!$D$4:$AY$138, MATCH('Staging Table'!$A24, LS_previous!$B$4:$B$138, 0), MATCH(L$4&amp;L$5, LS_previous!$D$2:$AY$2&amp;LS_previous!$D$3:$AY$3, 0)),SUM(VLOOKUP($A24, LS_previous!$B$4:$AY$138, LS_previous!D$149, FALSE), VLOOKUP('Staging Table'!$A24, LS_previous!$B$4:$AY$138,LS_previous!AB$149, FALSE))/2)</f>
        <v>-85</v>
      </c>
      <c r="M24" s="227">
        <f t="array" ref="M24">IF($G24=0, INDEX(LS_previous!$D$4:$AY$138, MATCH('Staging Table'!$A24, LS_previous!$B$4:$B$138, 0), MATCH(M$4&amp;M$5, LS_previous!$D$2:$AY$2&amp;LS_previous!$D$3:$AY$3, 0)),SUM(VLOOKUP($A24, LS_previous!$B$4:$AY$138, LS_previous!E$149, FALSE), VLOOKUP('Staging Table'!$A24, LS_previous!$B$4:$AY$138,LS_previous!AC$149, FALSE))/2)</f>
        <v>11</v>
      </c>
      <c r="N24" s="227">
        <f t="array" ref="N24">IF($G24=0, INDEX(LS_previous!$D$4:$AY$138, MATCH('Staging Table'!$A24, LS_previous!$B$4:$B$138, 0), MATCH(N$4&amp;N$5, LS_previous!$D$2:$AY$2&amp;LS_previous!$D$3:$AY$3, 0)),SUM(VLOOKUP($A24, LS_previous!$B$4:$AY$138, LS_previous!F$149, FALSE), VLOOKUP('Staging Table'!$A24, LS_previous!$B$4:$AY$138,LS_previous!AD$149, FALSE))/2)</f>
        <v>-92</v>
      </c>
      <c r="O24" s="227">
        <f t="array" ref="O24">IF($G24=0, INDEX(LS_previous!$D$4:$AY$138, MATCH('Staging Table'!$A24, LS_previous!$B$4:$B$138, 0), MATCH(O$4&amp;O$5, LS_previous!$D$2:$AY$2&amp;LS_previous!$D$3:$AY$3, 0)),SUM(VLOOKUP($A24, LS_previous!$B$4:$AY$138, LS_previous!G$149, FALSE), VLOOKUP('Staging Table'!$A24, LS_previous!$B$4:$AY$138,LS_previous!AE$149, FALSE))/2)</f>
        <v>59</v>
      </c>
      <c r="P24" s="227">
        <f t="array" ref="P24">IF($G24=0, INDEX(LS_previous!$D$4:$AY$138, MATCH('Staging Table'!$A24, LS_previous!$B$4:$B$138, 0), MATCH(P$4&amp;P$5, LS_previous!$D$2:$AY$2&amp;LS_previous!$D$3:$AY$3, 0)),SUM(VLOOKUP($A24, LS_previous!$B$4:$AY$138, LS_previous!H$149, FALSE), VLOOKUP('Staging Table'!$A24, LS_previous!$B$4:$AY$138,LS_previous!AF$149, FALSE))/2)</f>
        <v>192</v>
      </c>
      <c r="Q24" s="227">
        <f t="array" ref="Q24">IF($G24=0, INDEX(LS_previous!$D$4:$AY$138, MATCH('Staging Table'!$A24, LS_previous!$B$4:$B$138, 0), MATCH(Q$4&amp;Q$5, LS_previous!$D$2:$AY$2&amp;LS_previous!$D$3:$AY$3, 0)),SUM(VLOOKUP($A24, LS_previous!$B$4:$AY$138, LS_previous!I$149, FALSE), VLOOKUP('Staging Table'!$A24, LS_previous!$B$4:$AY$138,LS_previous!AG$149, FALSE))/2)</f>
        <v>233</v>
      </c>
      <c r="R24" s="227">
        <f t="array" ref="R24">IF($G24=0, INDEX(LS_previous!$D$4:$AY$138, MATCH('Staging Table'!$A24, LS_previous!$B$4:$B$138, 0), MATCH(R$4&amp;R$5, LS_previous!$D$2:$AY$2&amp;LS_previous!$D$3:$AY$3, 0)),SUM(VLOOKUP($A24, LS_previous!$B$4:$AY$138, LS_previous!J$149, FALSE), VLOOKUP('Staging Table'!$A24, LS_previous!$B$4:$AY$138,LS_previous!AH$149, FALSE))/2)</f>
        <v>326</v>
      </c>
      <c r="S24" s="227">
        <f t="array" ref="S24">IF($G24=0, INDEX(LS_previous!$D$4:$AY$138, MATCH('Staging Table'!$A24, LS_previous!$B$4:$B$138, 0), MATCH(S$4&amp;S$5, LS_previous!$D$2:$AY$2&amp;LS_previous!$D$3:$AY$3, 0)),SUM(VLOOKUP($A24, LS_previous!$B$4:$AY$138, LS_previous!K$149, FALSE), VLOOKUP('Staging Table'!$A24, LS_previous!$B$4:$AY$138,LS_previous!AI$149, FALSE))/2)</f>
        <v>302</v>
      </c>
      <c r="T24" s="227">
        <f t="array" ref="T24">IF($G24=0, INDEX(LS_previous!$D$4:$AY$138, MATCH('Staging Table'!$A24, LS_previous!$B$4:$B$138, 0), MATCH(T$4&amp;T$5, LS_previous!$D$2:$AY$2&amp;LS_previous!$D$3:$AY$3, 0)),SUM(VLOOKUP($A24, LS_previous!$B$4:$AY$138, LS_previous!L$149, FALSE), VLOOKUP('Staging Table'!$A24, LS_previous!$B$4:$AY$138,LS_previous!AJ$149, FALSE))/2)</f>
        <v>351</v>
      </c>
      <c r="U24" s="227">
        <f t="array" ref="U24">IF($G24=0, INDEX(LS_previous!$D$4:$AY$138, MATCH('Staging Table'!$A24, LS_previous!$B$4:$B$138, 0), MATCH(U$4&amp;U$5, LS_previous!$D$2:$AY$2&amp;LS_previous!$D$3:$AY$3, 0)),SUM(VLOOKUP($A24, LS_previous!$B$4:$AY$138, LS_previous!M$149, FALSE), VLOOKUP('Staging Table'!$A24, LS_previous!$B$4:$AY$138,LS_previous!AK$149, FALSE))/2)</f>
        <v>255</v>
      </c>
      <c r="V24" s="227">
        <f t="array" ref="V24">IF($G24=0, INDEX(LS_previous!$D$4:$AY$138, MATCH('Staging Table'!$A24, LS_previous!$B$4:$B$138, 0), MATCH(V$4&amp;V$5, LS_previous!$D$2:$AY$2&amp;LS_previous!$D$3:$AY$3, 0)),SUM(VLOOKUP($A24, LS_previous!$B$4:$AY$138, LS_previous!N$149, FALSE), VLOOKUP('Staging Table'!$A24, LS_previous!$B$4:$AY$138,LS_previous!AL$149, FALSE))/2)</f>
        <v>101</v>
      </c>
      <c r="W24" s="227">
        <f t="array" ref="W24">IF($G24=0, INDEX(LS_previous!$D$4:$AY$138, MATCH('Staging Table'!$A24, LS_previous!$B$4:$B$138, 0), MATCH(W$4&amp;W$5, LS_previous!$D$2:$AY$2&amp;LS_previous!$D$3:$AY$3, 0)),SUM(VLOOKUP($A24, LS_previous!$B$4:$AY$138, LS_previous!O$149, FALSE), VLOOKUP('Staging Table'!$A24, LS_previous!$B$4:$AY$138,LS_previous!AM$149, FALSE))/2)</f>
        <v>98</v>
      </c>
      <c r="X24" s="227">
        <f t="array" ref="X24">IF($G24=0, INDEX(LS_previous!$D$4:$AY$138, MATCH('Staging Table'!$A24, LS_previous!$B$4:$B$138, 0), MATCH(X$4&amp;X$5, LS_previous!$D$2:$AY$2&amp;LS_previous!$D$3:$AY$3, 0)),SUM(VLOOKUP($A24, LS_previous!$B$4:$AY$138, LS_previous!P$149, FALSE), VLOOKUP('Staging Table'!$A24, LS_previous!$B$4:$AY$138,LS_previous!AN$149, FALSE))/2)</f>
        <v>-68</v>
      </c>
      <c r="Y24" s="227">
        <f t="array" ref="Y24">IF($G24=0, INDEX(LS_previous!$D$4:$AY$138, MATCH('Staging Table'!$A24, LS_previous!$B$4:$B$138, 0), MATCH(Y$4&amp;Y$5, LS_previous!$D$2:$AY$2&amp;LS_previous!$D$3:$AY$3, 0)),SUM(VLOOKUP($A24, LS_previous!$B$4:$AY$138, LS_previous!Q$149, FALSE), VLOOKUP('Staging Table'!$A24, LS_previous!$B$4:$AY$138,LS_previous!AO$149, FALSE))/2)</f>
        <v>23</v>
      </c>
      <c r="Z24" s="227">
        <f t="array" ref="Z24">IF($G24=0, INDEX(LS_previous!$D$4:$AY$138, MATCH('Staging Table'!$A24, LS_previous!$B$4:$B$138, 0), MATCH(Z$4&amp;Z$5, LS_previous!$D$2:$AY$2&amp;LS_previous!$D$3:$AY$3, 0)),SUM(VLOOKUP($A24, LS_previous!$B$4:$AY$138, LS_previous!R$149, FALSE), VLOOKUP('Staging Table'!$A24, LS_previous!$B$4:$AY$138,LS_previous!AP$149, FALSE))/2)</f>
        <v>-668</v>
      </c>
      <c r="AA24" s="227">
        <f t="array" ref="AA24">IF($G24=0, INDEX(LS_previous!$D$4:$AY$138, MATCH('Staging Table'!$A24, LS_previous!$B$4:$B$138, 0), MATCH(AA$4&amp;AA$5, LS_previous!$D$2:$AY$2&amp;LS_previous!$D$3:$AY$3, 0)),SUM(VLOOKUP($A24, LS_previous!$B$4:$AY$138, LS_previous!S$149, FALSE), VLOOKUP('Staging Table'!$A24, LS_previous!$B$4:$AY$138,LS_previous!AQ$149, FALSE))/2)</f>
        <v>-320</v>
      </c>
      <c r="AB24" s="227">
        <f t="array" ref="AB24">IF($G24=0, INDEX(LS_previous!$D$4:$AY$138, MATCH('Staging Table'!$A24, LS_previous!$B$4:$B$138, 0), MATCH(AB$4&amp;AB$5, LS_previous!$D$2:$AY$2&amp;LS_previous!$D$3:$AY$3, 0)),SUM(VLOOKUP($A24, LS_previous!$B$4:$AY$138, LS_previous!T$149, FALSE), VLOOKUP('Staging Table'!$A24, LS_previous!$B$4:$AY$138,LS_previous!AR$149, FALSE))/2)</f>
        <v>-350</v>
      </c>
      <c r="AC24" s="227">
        <f t="array" ref="AC24">IF($G24=0, INDEX(LS_previous!$D$4:$AY$138, MATCH('Staging Table'!$A24, LS_previous!$B$4:$B$138, 0), MATCH(AC$4&amp;AC$5, LS_previous!$D$2:$AY$2&amp;LS_previous!$D$3:$AY$3, 0)),SUM(VLOOKUP($A24, LS_previous!$B$4:$AY$138, LS_previous!U$149, FALSE), VLOOKUP('Staging Table'!$A24, LS_previous!$B$4:$AY$138,LS_previous!AS$149, FALSE))/2)</f>
        <v>-145</v>
      </c>
      <c r="AD24" s="227">
        <f t="array" ref="AD24">IF($G24=0, INDEX(LS_previous!$D$4:$AY$138, MATCH('Staging Table'!$A24, LS_previous!$B$4:$B$138, 0), MATCH(AD$4&amp;AD$5, LS_previous!$D$2:$AY$2&amp;LS_previous!$D$3:$AY$3, 0)),SUM(VLOOKUP($A24, LS_previous!$B$4:$AY$138, LS_previous!V$149, FALSE), VLOOKUP('Staging Table'!$A24, LS_previous!$B$4:$AY$138,LS_previous!AT$149, FALSE))/2)</f>
        <v>-95</v>
      </c>
      <c r="AE24" s="227">
        <f t="array" ref="AE24">IF($G24=0, INDEX(LS_previous!$D$4:$AY$138, MATCH('Staging Table'!$A24, LS_previous!$B$4:$B$138, 0), MATCH(AE$4&amp;AE$5, LS_previous!$D$2:$AY$2&amp;LS_previous!$D$3:$AY$3, 0)),SUM(VLOOKUP($A24, LS_previous!$B$4:$AY$138, LS_previous!W$149, FALSE), VLOOKUP('Staging Table'!$A24, LS_previous!$B$4:$AY$138,LS_previous!AU$149, FALSE))/2)</f>
        <v>51</v>
      </c>
      <c r="AF24" s="227">
        <f t="array" ref="AF24">IF($G24=0, INDEX(LS_previous!$D$4:$AY$138, MATCH('Staging Table'!$A24, LS_previous!$B$4:$B$138, 0), MATCH(AF$4&amp;AF$5, LS_previous!$D$2:$AY$2&amp;LS_previous!$D$3:$AY$3, 0)),SUM(VLOOKUP($A24, LS_previous!$B$4:$AY$138, LS_previous!X$149, FALSE), VLOOKUP('Staging Table'!$A24, LS_previous!$B$4:$AY$138,LS_previous!AV$149, FALSE))/2)</f>
        <v>-248</v>
      </c>
      <c r="AG24" s="227">
        <f t="array" ref="AG24">IF($G24=0, INDEX(LS_previous!$D$4:$AY$138, MATCH('Staging Table'!$A24, LS_previous!$B$4:$B$138, 0), MATCH(AG$4&amp;AG$5, LS_previous!$D$2:$AY$2&amp;LS_previous!$D$3:$AY$3, 0)),SUM(VLOOKUP($A24, LS_previous!$B$4:$AY$138, LS_previous!Y$149, FALSE), VLOOKUP('Staging Table'!$A24, LS_previous!$B$4:$AY$138,LS_previous!AW$149, FALSE))/2)</f>
        <v>-54</v>
      </c>
      <c r="AH24" s="227">
        <f t="array" ref="AH24">IF($G24=0, INDEX(LS_previous!$D$4:$AY$138, MATCH('Staging Table'!$A24, LS_previous!$B$4:$B$138, 0), MATCH(AH$4&amp;AH$5, LS_previous!$D$2:$AY$2&amp;LS_previous!$D$3:$AY$3, 0)),SUM(VLOOKUP($A24, LS_previous!$B$4:$AY$138, LS_previous!Z$149, FALSE), VLOOKUP('Staging Table'!$A24, LS_previous!$B$4:$AY$138,LS_previous!AX$149, FALSE))/2)</f>
        <v>-220</v>
      </c>
      <c r="AI24" s="227">
        <f t="array" ref="AI24">IF($G24=0, INDEX(LS_previous!$D$4:$AY$138, MATCH('Staging Table'!$A24, LS_previous!$B$4:$B$138, 0), MATCH(AI$4&amp;AI$5, LS_previous!$D$2:$AY$2&amp;LS_previous!$D$3:$AY$3, 0)),SUM(VLOOKUP($A24, LS_previous!$B$4:$AY$138, LS_previous!AA$149, FALSE), VLOOKUP('Staging Table'!$A24, LS_previous!$B$4:$AY$138,LS_previous!AY$149, FALSE))/2)</f>
        <v>-70</v>
      </c>
      <c r="AJ24" s="424">
        <f t="array" ref="AJ24">INDEX(Demand_previous!$D$4:$AY$138, MATCH('Staging Table'!$A24, Demand_previous!$B$4:$B$138, 0), MATCH(AJ$4&amp;AJ$5,Demand_previous!$D$2:$AY$2&amp;Demand_previous!$D$3:$AY$3, 0))/1000</f>
        <v>0</v>
      </c>
      <c r="AK24" s="424">
        <f t="array" ref="AK24">INDEX(Demand_previous!$D$4:$AY$138, MATCH('Staging Table'!$A24, Demand_previous!$B$4:$B$138, 0), MATCH(AK$4&amp;AK$5,Demand_previous!$D$2:$AY$2&amp;Demand_previous!$D$3:$AY$3, 0))/1000</f>
        <v>0.187</v>
      </c>
      <c r="AL24" s="424">
        <f t="array" ref="AL24">INDEX(Demand_previous!$D$4:$AY$138, MATCH('Staging Table'!$A24, Demand_previous!$B$4:$B$138, 0), MATCH(AL$4&amp;AL$5,Demand_previous!$D$2:$AY$2&amp;Demand_previous!$D$3:$AY$3, 0))/1000</f>
        <v>0.24</v>
      </c>
      <c r="AM24" s="424">
        <f t="array" ref="AM24">INDEX(Demand_previous!$D$4:$AY$138, MATCH('Staging Table'!$A24, Demand_previous!$B$4:$B$138, 0), MATCH(AM$4&amp;AM$5,Demand_previous!$D$2:$AY$2&amp;Demand_previous!$D$3:$AY$3, 0))/1000</f>
        <v>0.53200000000000003</v>
      </c>
      <c r="AN24" s="424">
        <f t="array" ref="AN24">INDEX(Demand_previous!$D$4:$AY$138, MATCH('Staging Table'!$A24, Demand_previous!$B$4:$B$138, 0), MATCH(AN$4&amp;AN$5,Demand_previous!$D$2:$AY$2&amp;Demand_previous!$D$3:$AY$3, 0))/1000</f>
        <v>0.43</v>
      </c>
      <c r="AO24" s="424">
        <f t="array" ref="AO24">INDEX(Demand_previous!$D$4:$AY$138, MATCH('Staging Table'!$A24, Demand_previous!$B$4:$B$138, 0), MATCH(AO$4&amp;AO$5,Demand_previous!$D$2:$AY$2&amp;Demand_previous!$D$3:$AY$3, 0))/1000</f>
        <v>0.46800000000000003</v>
      </c>
      <c r="AP24" s="424">
        <f t="array" ref="AP24">INDEX(Demand_previous!$D$4:$AY$138, MATCH('Staging Table'!$A24, Demand_previous!$B$4:$B$138, 0), MATCH(AP$4&amp;AP$5,Demand_previous!$D$2:$AY$2&amp;Demand_previous!$D$3:$AY$3, 0))/1000</f>
        <v>0.29599999999999999</v>
      </c>
      <c r="AQ24" s="424">
        <f t="array" ref="AQ24">INDEX(Demand_previous!$D$4:$AY$138, MATCH('Staging Table'!$A24, Demand_previous!$B$4:$B$138, 0), MATCH(AQ$4&amp;AQ$5,Demand_previous!$D$2:$AY$2&amp;Demand_previous!$D$3:$AY$3, 0))/1000</f>
        <v>0.188</v>
      </c>
      <c r="AR24" s="424">
        <f t="array" ref="AR24">INDEX(Demand_previous!$D$4:$AY$138, MATCH('Staging Table'!$A24, Demand_previous!$B$4:$B$138, 0), MATCH(AR$4&amp;AR$5,Demand_previous!$D$2:$AY$2&amp;Demand_previous!$D$3:$AY$3, 0))/1000</f>
        <v>1.7999999999999999E-2</v>
      </c>
      <c r="AS24" s="424">
        <f t="array" ref="AS24">INDEX(Demand_previous!$D$4:$AY$138, MATCH('Staging Table'!$A24, Demand_previous!$B$4:$B$138, 0), MATCH(AS$4&amp;AS$5,Demand_previous!$D$2:$AY$2&amp;Demand_previous!$D$3:$AY$3, 0))/1000</f>
        <v>0.54400000000000004</v>
      </c>
      <c r="AT24" s="424">
        <f t="array" ref="AT24">INDEX(Demand_previous!$D$4:$AY$138, MATCH('Staging Table'!$A24, Demand_previous!$B$4:$B$138, 0), MATCH(AT$4&amp;AT$5,Demand_previous!$D$2:$AY$2&amp;Demand_previous!$D$3:$AY$3, 0))/1000</f>
        <v>0.45700000000000002</v>
      </c>
      <c r="AU24" s="424">
        <f t="array" ref="AU24">INDEX(Demand_previous!$D$4:$AY$138, MATCH('Staging Table'!$A24, Demand_previous!$B$4:$B$138, 0), MATCH(AU$4&amp;AU$5,Demand_previous!$D$2:$AY$2&amp;Demand_previous!$D$3:$AY$3, 0))/1000</f>
        <v>0</v>
      </c>
      <c r="AV24" s="227">
        <f>$F24*(VLOOKUP(AV$4, Rates_previous!$G$6:$Q$29, 10, FALSE)+VLOOKUP(AV$4, Rates_previous!$G$6:$Q$29, 11, FALSE))</f>
        <v>1778.9450470505762</v>
      </c>
      <c r="AW24" s="227">
        <f>$F24*(VLOOKUP(AW$4, Rates_previous!$G$6:$Q$29, 10, FALSE)+VLOOKUP(AW$4, Rates_previous!$G$6:$Q$29, 11, FALSE))</f>
        <v>2198.6408711655949</v>
      </c>
      <c r="AX24" s="227">
        <f>$F24*(VLOOKUP(AX$4, Rates_previous!$G$6:$Q$29, 10, FALSE)+VLOOKUP(AX$4, Rates_previous!$G$6:$Q$29, 11, FALSE))</f>
        <v>2172.2378240043986</v>
      </c>
      <c r="AY24" s="227">
        <f>$F24*(VLOOKUP(AY$4, Rates_previous!$G$6:$Q$29, 10, FALSE)+VLOOKUP(AY$4, Rates_previous!$G$6:$Q$29, 11, FALSE))</f>
        <v>1855.970172151704</v>
      </c>
      <c r="AZ24" s="227">
        <f>$F24*(VLOOKUP(AZ$4, Rates_previous!$G$6:$Q$29, 10, FALSE)+VLOOKUP(AZ$4, Rates_previous!$G$6:$Q$29, 11, FALSE))</f>
        <v>1521.5355364996074</v>
      </c>
      <c r="BA24" s="227">
        <f>$F24*(VLOOKUP(BA$4, Rates_previous!$G$6:$Q$29, 10, FALSE)+VLOOKUP(BA$4, Rates_previous!$G$6:$Q$29, 11, FALSE))</f>
        <v>1801.4428079157315</v>
      </c>
      <c r="BB24" s="227">
        <f>$F24*(VLOOKUP(BB$4, Rates_previous!$G$6:$Q$29, 10, FALSE)+VLOOKUP(BB$4, Rates_previous!$G$6:$Q$29, 11, FALSE))</f>
        <v>1731.4485742499455</v>
      </c>
      <c r="BC24" s="227">
        <f>$F24*(VLOOKUP(BC$4, Rates_previous!$G$6:$Q$29, 10, FALSE)+VLOOKUP(BC$4, Rates_previous!$G$6:$Q$29, 11, FALSE))</f>
        <v>2540.7782606535029</v>
      </c>
      <c r="BD24" s="227">
        <f>$F24*(VLOOKUP(BD$4, Rates_previous!$G$6:$Q$29, 10, FALSE)+VLOOKUP(BD$4, Rates_previous!$G$6:$Q$29, 11, FALSE))</f>
        <v>2004.6068940676157</v>
      </c>
      <c r="BE24" s="227">
        <f>$F24*(VLOOKUP(BE$4, Rates_previous!$G$6:$Q$29, 10, FALSE)+VLOOKUP(BE$4, Rates_previous!$G$6:$Q$29, 11, FALSE))</f>
        <v>1760.213110733981</v>
      </c>
      <c r="BF24" s="227">
        <f>$F24*(VLOOKUP(BF$4, Rates_previous!$G$6:$Q$29, 10, FALSE)+VLOOKUP(BF$4, Rates_previous!$G$6:$Q$29, 11, FALSE))</f>
        <v>1949.5064774427663</v>
      </c>
      <c r="BG24" s="227">
        <f>$F24*(VLOOKUP(BG$4, Rates_previous!$G$6:$Q$29, 10, FALSE)+VLOOKUP(BG$4, Rates_previous!$G$6:$Q$29, 11, FALSE))</f>
        <v>1766.1753415494502</v>
      </c>
      <c r="BH24" s="229">
        <f>IF($D24=0,IF(C24=0, MAX(BK24 - (VLOOKUP($A24,TOCA_previous!$A$2:$AI$137,MATCH("RHWM 2018",TOCA_previous!$A$2:$AI$2,0),FALSE)*$F$2*TOCA_previous!C21),0),0), 0)</f>
        <v>0</v>
      </c>
      <c r="BI24" s="266">
        <f>VLOOKUP($A24,REP_previous!$A$1:$D$135,MATCH("FY "&amp;$F$1&amp; " Total Refund",REP_previous!$A$1:$D$1,0),0)</f>
        <v>15049.786833285856</v>
      </c>
      <c r="BJ24" s="241">
        <f>MIN(VLOOKUP($A24,TOCA_previous!$A$2:$AI$137,MATCH("TRL - NLSL - Existing Resource "&amp;$F$1,TOCA_previous!$A$2:$AI$2,0),FALSE)*$F$2,(VLOOKUP($A24,TOCA_previous!$A$2:$AI$137,MATCH("RHWM 2018",TOCA_previous!$A$2:$AI$2,0),FALSE)*$F$2))</f>
        <v>23082.6</v>
      </c>
      <c r="BK24" s="229">
        <f>SUM(L24:AI24)+(F24*RT1SC!$C$3*$F$2)</f>
        <v>22668.501254223997</v>
      </c>
      <c r="BL24" s="241">
        <f>VLOOKUP($A24,TOCA_previous!$A$2:$AI$137,MATCH("Above RHWM Not Served with LS "&amp;$F$1,TOCA_previous!$A$2:$AI$2,0),FALSE)*$F$2</f>
        <v>0</v>
      </c>
      <c r="BM24" s="151">
        <f t="shared" si="5"/>
        <v>-414.09874577600203</v>
      </c>
      <c r="BN24" s="242">
        <f>(VLOOKUP($A24,TOCA_previous!$A$2:$AI$137,MATCH("RHWM 2018",TOCA_previous!$A$2:$AI$2,0),FALSE)*$F$2) - $BJ24</f>
        <v>788.40000000000146</v>
      </c>
      <c r="BO24" s="151">
        <f t="shared" si="6"/>
        <v>0</v>
      </c>
      <c r="BP24" s="243">
        <f t="shared" si="7"/>
        <v>414.09874577600203</v>
      </c>
      <c r="BQ24" s="237">
        <f t="shared" si="8"/>
        <v>0</v>
      </c>
      <c r="BR24" s="242">
        <f t="shared" si="9"/>
        <v>414.09874577600203</v>
      </c>
      <c r="BS24" s="151">
        <f>VLOOKUP($A24,TOCA_current!$A$2:$AI$137,MATCH(BS$4,TOCA_current!$A$2:$AI$2,0),FALSE)</f>
        <v>3.637E-4</v>
      </c>
      <c r="BT24" s="151">
        <f>VLOOKUP($A24,TOCA_current!$A$2:$AI$137,MATCH(BT$4,TOCA_current!$A$2:$AI$2,0),FALSE)</f>
        <v>3.637E-4</v>
      </c>
      <c r="BU24" s="236">
        <f t="shared" si="10"/>
        <v>0</v>
      </c>
      <c r="BV24" s="151">
        <f>VLOOKUP($A24,TOCA_current!A20:BG155,MATCH(BV$4,TOCA_current!$A$2:$BG$2,0),FALSE)</f>
        <v>0</v>
      </c>
      <c r="BW24" s="151">
        <f t="shared" si="11"/>
        <v>0</v>
      </c>
      <c r="BX24" s="151">
        <f t="shared" si="12"/>
        <v>0</v>
      </c>
      <c r="BY24" s="226">
        <f>VLOOKUP($A24,IRD!$A$4:$G$139, 7, FALSE)</f>
        <v>0</v>
      </c>
      <c r="BZ24" s="227">
        <f t="array" ref="BZ24">IF($BU24=0, INDEX(LS_current!$D$4:$AY$138, MATCH('Staging Table'!$A24, LS_current!$B$4:$B$138, 0), MATCH(BZ$4&amp;BZ$5, LS_current!$D$2:$AY$2&amp;LS_current!$D$3:$AY$3, 0)),SUM(VLOOKUP($A24, LS_current!$B$4:$AY$138, LS_current!D$148, FALSE), VLOOKUP($A24, LS_current!$B$4:$AY$138,LS_current!D$148, FALSE))/2)</f>
        <v>-22</v>
      </c>
      <c r="CA24" s="227">
        <f t="array" ref="CA24">IF($BU24=0, INDEX(LS_current!$D$4:$AY$138, MATCH('Staging Table'!$A24, LS_current!$B$4:$B$138, 0), MATCH(CA$4&amp;CA$5, LS_current!$D$2:$AY$2&amp;LS_current!$D$3:$AY$3, 0)),SUM(VLOOKUP($A24, LS_current!$B$4:$AY$138, LS_current!E$148, FALSE), VLOOKUP($A24, LS_current!$B$4:$AY$138,LS_current!E$148, FALSE))/2)</f>
        <v>48</v>
      </c>
      <c r="CB24" s="227">
        <f t="array" ref="CB24">IF($BU24=0, INDEX(LS_current!$D$4:$AY$138, MATCH('Staging Table'!$A24, LS_current!$B$4:$B$138, 0), MATCH(CB$4&amp;CB$5, LS_current!$D$2:$AY$2&amp;LS_current!$D$3:$AY$3, 0)),SUM(VLOOKUP($A24, LS_current!$B$4:$AY$138, LS_current!F$148, FALSE), VLOOKUP($A24, LS_current!$B$4:$AY$138,LS_current!F$148, FALSE))/2)</f>
        <v>-44</v>
      </c>
      <c r="CC24" s="227">
        <f t="array" ref="CC24">IF($BU24=0, INDEX(LS_current!$D$4:$AY$138, MATCH('Staging Table'!$A24, LS_current!$B$4:$B$138, 0), MATCH(CC$4&amp;CC$5, LS_current!$D$2:$AY$2&amp;LS_current!$D$3:$AY$3, 0)),SUM(VLOOKUP($A24, LS_current!$B$4:$AY$138, LS_current!G$148, FALSE), VLOOKUP($A24, LS_current!$B$4:$AY$138,LS_current!G$148, FALSE))/2)</f>
        <v>76</v>
      </c>
      <c r="CD24" s="227">
        <f t="array" ref="CD24">IF($BU24=0, INDEX(LS_current!$D$4:$AY$138, MATCH('Staging Table'!$A24, LS_current!$B$4:$B$138, 0), MATCH(CD$4&amp;CD$5, LS_current!$D$2:$AY$2&amp;LS_current!$D$3:$AY$3, 0)),SUM(VLOOKUP($A24, LS_current!$B$4:$AY$138, LS_current!H$148, FALSE), VLOOKUP($A24, LS_current!$B$4:$AY$138,LS_current!H$148, FALSE))/2)</f>
        <v>237</v>
      </c>
      <c r="CE24" s="227">
        <f t="array" ref="CE24">IF($BU24=0, INDEX(LS_current!$D$4:$AY$138, MATCH('Staging Table'!$A24, LS_current!$B$4:$B$138, 0), MATCH(CE$4&amp;CE$5, LS_current!$D$2:$AY$2&amp;LS_current!$D$3:$AY$3, 0)),SUM(VLOOKUP($A24, LS_current!$B$4:$AY$138, LS_current!I$148, FALSE), VLOOKUP($A24, LS_current!$B$4:$AY$138,LS_current!I$148, FALSE))/2)</f>
        <v>254</v>
      </c>
      <c r="CF24" s="227">
        <f t="array" ref="CF24">IF($BU24=0, INDEX(LS_current!$D$4:$AY$138, MATCH('Staging Table'!$A24, LS_current!$B$4:$B$138, 0), MATCH(CF$4&amp;CF$5, LS_current!$D$2:$AY$2&amp;LS_current!$D$3:$AY$3, 0)),SUM(VLOOKUP($A24, LS_current!$B$4:$AY$138, LS_current!J$148, FALSE), VLOOKUP($A24, LS_current!$B$4:$AY$138,LS_current!J$148, FALSE))/2)</f>
        <v>369</v>
      </c>
      <c r="CG24" s="227">
        <f t="array" ref="CG24">IF($BU24=0, INDEX(LS_current!$D$4:$AY$138, MATCH('Staging Table'!$A24, LS_current!$B$4:$B$138, 0), MATCH(CG$4&amp;CG$5, LS_current!$D$2:$AY$2&amp;LS_current!$D$3:$AY$3, 0)),SUM(VLOOKUP($A24, LS_current!$B$4:$AY$138, LS_current!K$148, FALSE), VLOOKUP($A24, LS_current!$B$4:$AY$138,LS_current!K$148, FALSE))/2)</f>
        <v>359</v>
      </c>
      <c r="CH24" s="227">
        <f t="array" ref="CH24">IF($BU24=0, INDEX(LS_current!$D$4:$AY$138, MATCH('Staging Table'!$A24, LS_current!$B$4:$B$138, 0), MATCH(CH$4&amp;CH$5, LS_current!$D$2:$AY$2&amp;LS_current!$D$3:$AY$3, 0)),SUM(VLOOKUP($A24, LS_current!$B$4:$AY$138, LS_current!L$148, FALSE), VLOOKUP($A24, LS_current!$B$4:$AY$138,LS_current!L$148, FALSE))/2)</f>
        <v>308</v>
      </c>
      <c r="CI24" s="227">
        <f t="array" ref="CI24">IF($BU24=0, INDEX(LS_current!$D$4:$AY$138, MATCH('Staging Table'!$A24, LS_current!$B$4:$B$138, 0), MATCH(CI$4&amp;CI$5, LS_current!$D$2:$AY$2&amp;LS_current!$D$3:$AY$3, 0)),SUM(VLOOKUP($A24, LS_current!$B$4:$AY$138, LS_current!M$148, FALSE), VLOOKUP($A24, LS_current!$B$4:$AY$138,LS_current!M$148, FALSE))/2)</f>
        <v>229</v>
      </c>
      <c r="CJ24" s="227">
        <f t="array" ref="CJ24">IF($BU24=0, INDEX(LS_current!$D$4:$AY$138, MATCH('Staging Table'!$A24, LS_current!$B$4:$B$138, 0), MATCH(CJ$4&amp;CJ$5, LS_current!$D$2:$AY$2&amp;LS_current!$D$3:$AY$3, 0)),SUM(VLOOKUP($A24, LS_current!$B$4:$AY$138, LS_current!N$148, FALSE), VLOOKUP($A24, LS_current!$B$4:$AY$138,LS_current!N$148, FALSE))/2)</f>
        <v>114</v>
      </c>
      <c r="CK24" s="227">
        <f t="array" ref="CK24">IF($BU24=0, INDEX(LS_current!$D$4:$AY$138, MATCH('Staging Table'!$A24, LS_current!$B$4:$B$138, 0), MATCH(CK$4&amp;CK$5, LS_current!$D$2:$AY$2&amp;LS_current!$D$3:$AY$3, 0)),SUM(VLOOKUP($A24, LS_current!$B$4:$AY$138, LS_current!O$148, FALSE), VLOOKUP($A24, LS_current!$B$4:$AY$138,LS_current!O$148, FALSE))/2)</f>
        <v>116</v>
      </c>
      <c r="CL24" s="227">
        <f t="array" ref="CL24">IF($BU24=0, INDEX(LS_current!$D$4:$AY$138, MATCH('Staging Table'!$A24, LS_current!$B$4:$B$138, 0), MATCH(CL$4&amp;CL$5, LS_current!$D$2:$AY$2&amp;LS_current!$D$3:$AY$3, 0)),SUM(VLOOKUP($A24, LS_current!$B$4:$AY$138, LS_current!P$148, FALSE), VLOOKUP($A24, LS_current!$B$4:$AY$138,LS_current!P$148, FALSE))/2)</f>
        <v>138</v>
      </c>
      <c r="CM24" s="227">
        <f t="array" ref="CM24">IF($BU24=0, INDEX(LS_current!$D$4:$AY$138, MATCH('Staging Table'!$A24, LS_current!$B$4:$B$138, 0), MATCH(CM$4&amp;CM$5, LS_current!$D$2:$AY$2&amp;LS_current!$D$3:$AY$3, 0)),SUM(VLOOKUP($A24, LS_current!$B$4:$AY$138, LS_current!Q$148, FALSE), VLOOKUP($A24, LS_current!$B$4:$AY$138,LS_current!Q$148, FALSE))/2)</f>
        <v>107</v>
      </c>
      <c r="CN24" s="227">
        <f t="array" ref="CN24">IF($BU24=0, INDEX(LS_current!$D$4:$AY$138, MATCH('Staging Table'!$A24, LS_current!$B$4:$B$138, 0), MATCH(CN$4&amp;CN$5, LS_current!$D$2:$AY$2&amp;LS_current!$D$3:$AY$3, 0)),SUM(VLOOKUP($A24, LS_current!$B$4:$AY$138, LS_current!R$148, FALSE), VLOOKUP($A24, LS_current!$B$4:$AY$138,LS_current!R$148, FALSE))/2)</f>
        <v>-310</v>
      </c>
      <c r="CO24" s="227">
        <f t="array" ref="CO24">IF($BU24=0, INDEX(LS_current!$D$4:$AY$138, MATCH('Staging Table'!$A24, LS_current!$B$4:$B$138, 0), MATCH(CO$4&amp;CO$5, LS_current!$D$2:$AY$2&amp;LS_current!$D$3:$AY$3, 0)),SUM(VLOOKUP($A24, LS_current!$B$4:$AY$138, LS_current!S$148, FALSE), VLOOKUP($A24, LS_current!$B$4:$AY$138,LS_current!S$148, FALSE))/2)</f>
        <v>-81</v>
      </c>
      <c r="CP24" s="227">
        <f t="array" ref="CP24">IF($BU24=0, INDEX(LS_current!$D$4:$AY$138, MATCH('Staging Table'!$A24, LS_current!$B$4:$B$138, 0), MATCH(CP$4&amp;CP$5, LS_current!$D$2:$AY$2&amp;LS_current!$D$3:$AY$3, 0)),SUM(VLOOKUP($A24, LS_current!$B$4:$AY$138, LS_current!T$148, FALSE), VLOOKUP($A24, LS_current!$B$4:$AY$138,LS_current!T$148, FALSE))/2)</f>
        <v>-648</v>
      </c>
      <c r="CQ24" s="227">
        <f t="array" ref="CQ24">IF($BU24=0, INDEX(LS_current!$D$4:$AY$138, MATCH('Staging Table'!$A24, LS_current!$B$4:$B$138, 0), MATCH(CQ$4&amp;CQ$5, LS_current!$D$2:$AY$2&amp;LS_current!$D$3:$AY$3, 0)),SUM(VLOOKUP($A24, LS_current!$B$4:$AY$138, LS_current!U$148, FALSE), VLOOKUP($A24, LS_current!$B$4:$AY$138,LS_current!U$148, FALSE))/2)</f>
        <v>-322</v>
      </c>
      <c r="CR24" s="227">
        <f t="array" ref="CR24">IF($BU24=0, INDEX(LS_current!$D$4:$AY$138, MATCH('Staging Table'!$A24, LS_current!$B$4:$B$138, 0), MATCH(CR$4&amp;CR$5, LS_current!$D$2:$AY$2&amp;LS_current!$D$3:$AY$3, 0)),SUM(VLOOKUP($A24, LS_current!$B$4:$AY$138, LS_current!V$148, FALSE), VLOOKUP($A24, LS_current!$B$4:$AY$138,LS_current!V$148, FALSE))/2)</f>
        <v>-283</v>
      </c>
      <c r="CS24" s="227">
        <f t="array" ref="CS24">IF($BU24=0, INDEX(LS_current!$D$4:$AY$138, MATCH('Staging Table'!$A24, LS_current!$B$4:$B$138, 0), MATCH(CS$4&amp;CS$5, LS_current!$D$2:$AY$2&amp;LS_current!$D$3:$AY$3, 0)),SUM(VLOOKUP($A24, LS_current!$B$4:$AY$138, LS_current!W$148, FALSE), VLOOKUP($A24, LS_current!$B$4:$AY$138,LS_current!W$148, FALSE))/2)</f>
        <v>55</v>
      </c>
      <c r="CT24" s="227">
        <f t="array" ref="CT24">IF($BU24=0, INDEX(LS_current!$D$4:$AY$138, MATCH('Staging Table'!$A24, LS_current!$B$4:$B$138, 0), MATCH(CT$4&amp;CT$5, LS_current!$D$2:$AY$2&amp;LS_current!$D$3:$AY$3, 0)),SUM(VLOOKUP($A24, LS_current!$B$4:$AY$138, LS_current!X$148, FALSE), VLOOKUP($A24, LS_current!$B$4:$AY$138,LS_current!X$148, FALSE))/2)</f>
        <v>-242</v>
      </c>
      <c r="CU24" s="227">
        <f t="array" ref="CU24">IF($BU24=0, INDEX(LS_current!$D$4:$AY$138, MATCH('Staging Table'!$A24, LS_current!$B$4:$B$138, 0), MATCH(CU$4&amp;CU$5, LS_current!$D$2:$AY$2&amp;LS_current!$D$3:$AY$3, 0)),SUM(VLOOKUP($A24, LS_current!$B$4:$AY$138, LS_current!Y$148, FALSE), VLOOKUP($A24, LS_current!$B$4:$AY$138,LS_current!Y$148, FALSE))/2)</f>
        <v>-4</v>
      </c>
      <c r="CV24" s="227">
        <f t="array" ref="CV24">IF($BU24=0, INDEX(LS_current!$D$4:$AY$138, MATCH('Staging Table'!$A24, LS_current!$B$4:$B$138, 0), MATCH(CV$4&amp;CV$5, LS_current!$D$2:$AY$2&amp;LS_current!$D$3:$AY$3, 0)),SUM(VLOOKUP($A24, LS_current!$B$4:$AY$138, LS_current!Z$148, FALSE), VLOOKUP($A24, LS_current!$B$4:$AY$138,LS_current!Z$148, FALSE))/2)</f>
        <v>-180</v>
      </c>
      <c r="CW24" s="227">
        <f t="array" ref="CW24">IF($BU24=0, INDEX(LS_current!$D$4:$AY$138, MATCH('Staging Table'!$A24, LS_current!$B$4:$B$138, 0), MATCH(CW$4&amp;CW$5, LS_current!$D$2:$AY$2&amp;LS_current!$D$3:$AY$3, 0)),SUM(VLOOKUP($A24, LS_current!$B$4:$AY$138, LS_current!AA$148, FALSE), VLOOKUP($A24, LS_current!$B$4:$AY$138,LS_current!AA$148, FALSE))/2)</f>
        <v>-44</v>
      </c>
      <c r="CX24" s="229">
        <f t="array" ref="CX24">INDEX(Demand_current!$D$4:$AY$138, MATCH($A24, Demand_current!$B$4:$B$138, 0), MATCH(CX$4&amp;CX$5,Demand_current!$D$2:$AY$2&amp;Demand_current!$D$3:$AY$3, 0))/1000</f>
        <v>0</v>
      </c>
      <c r="CY24" s="229">
        <f t="array" ref="CY24">INDEX(Demand_current!$D$4:$AY$138, MATCH($A24, Demand_current!$B$4:$B$138, 0), MATCH(CY$4&amp;CY$5,Demand_current!$D$2:$AY$2&amp;Demand_current!$D$3:$AY$3, 0))/1000</f>
        <v>0.187</v>
      </c>
      <c r="CZ24" s="229">
        <f t="array" ref="CZ24">INDEX(Demand_current!$D$4:$AY$138, MATCH($A24, Demand_current!$B$4:$B$138, 0), MATCH(CZ$4&amp;CZ$5,Demand_current!$D$2:$AY$2&amp;Demand_current!$D$3:$AY$3, 0))/1000</f>
        <v>0.24</v>
      </c>
      <c r="DA24" s="229">
        <f t="array" ref="DA24">INDEX(Demand_current!$D$4:$AY$138, MATCH($A24, Demand_current!$B$4:$B$138, 0), MATCH(DA$4&amp;DA$5,Demand_current!$D$2:$AY$2&amp;Demand_current!$D$3:$AY$3, 0))/1000</f>
        <v>0.53200000000000003</v>
      </c>
      <c r="DB24" s="229">
        <f t="array" ref="DB24">INDEX(Demand_current!$D$4:$AY$138, MATCH($A24, Demand_current!$B$4:$B$138, 0), MATCH(DB$4&amp;DB$5,Demand_current!$D$2:$AY$2&amp;Demand_current!$D$3:$AY$3, 0))/1000</f>
        <v>0.56699999999999995</v>
      </c>
      <c r="DC24" s="229">
        <f t="array" ref="DC24">INDEX(Demand_current!$D$4:$AY$138, MATCH($A24, Demand_current!$B$4:$B$138, 0), MATCH(DC$4&amp;DC$5,Demand_current!$D$2:$AY$2&amp;Demand_current!$D$3:$AY$3, 0))/1000</f>
        <v>0.35799999999999998</v>
      </c>
      <c r="DD24" s="229">
        <f t="array" ref="DD24">INDEX(Demand_current!$D$4:$AY$138, MATCH($A24, Demand_current!$B$4:$B$138, 0), MATCH(DD$4&amp;DD$5,Demand_current!$D$2:$AY$2&amp;Demand_current!$D$3:$AY$3, 0))/1000</f>
        <v>0.39700000000000002</v>
      </c>
      <c r="DE24" s="229">
        <f t="array" ref="DE24">INDEX(Demand_current!$D$4:$AY$138, MATCH($A24, Demand_current!$B$4:$B$138, 0), MATCH(DE$4&amp;DE$5,Demand_current!$D$2:$AY$2&amp;Demand_current!$D$3:$AY$3, 0))/1000</f>
        <v>9.7000000000000003E-2</v>
      </c>
      <c r="DF24" s="229">
        <f t="array" ref="DF24">INDEX(Demand_current!$D$4:$AY$138, MATCH($A24, Demand_current!$B$4:$B$138, 0), MATCH(DF$4&amp;DF$5,Demand_current!$D$2:$AY$2&amp;Demand_current!$D$3:$AY$3, 0))/1000</f>
        <v>1.7999999999999999E-2</v>
      </c>
      <c r="DG24" s="229">
        <f t="array" ref="DG24">INDEX(Demand_current!$D$4:$AY$138, MATCH($A24, Demand_current!$B$4:$B$138, 0), MATCH(DG$4&amp;DG$5,Demand_current!$D$2:$AY$2&amp;Demand_current!$D$3:$AY$3, 0))/1000</f>
        <v>0.64500000000000002</v>
      </c>
      <c r="DH24" s="229">
        <f t="array" ref="DH24">INDEX(Demand_current!$D$4:$AY$138, MATCH($A24, Demand_current!$B$4:$B$138, 0), MATCH(DH$4&amp;DH$5,Demand_current!$D$2:$AY$2&amp;Demand_current!$D$3:$AY$3, 0))/1000</f>
        <v>0.36299999999999999</v>
      </c>
      <c r="DI24" s="229">
        <f t="array" ref="DI24">INDEX(Demand_current!$D$4:$AY$138, MATCH($A24, Demand_current!$B$4:$B$138, 0), MATCH(DI$4&amp;DI$5,Demand_current!$D$2:$AY$2&amp;Demand_current!$D$3:$AY$3, 0))/1000</f>
        <v>3.9E-2</v>
      </c>
      <c r="DJ24" s="227">
        <f>$BT24*(VLOOKUP(DJ$4, Rates_current!$G$6:$Q$29, 10, FALSE)+VLOOKUP(DJ$4, Rates_current!$G$6:$Q$29, 11, FALSE))</f>
        <v>1679.3182641852</v>
      </c>
      <c r="DK24" s="227">
        <f>$BT24*(VLOOKUP(DK$4, Rates_current!$G$6:$Q$29, 10, FALSE)+VLOOKUP(DK$4, Rates_current!$G$6:$Q$29, 11, FALSE))</f>
        <v>2133.2580690242999</v>
      </c>
      <c r="DL24" s="227">
        <f>$BT24*(VLOOKUP(DL$4, Rates_current!$G$6:$Q$29, 10, FALSE)+VLOOKUP(DL$4, Rates_current!$G$6:$Q$29, 11, FALSE))</f>
        <v>2107.4960912852002</v>
      </c>
      <c r="DM24" s="227">
        <f>$BT24*(VLOOKUP(DM$4, Rates_current!$G$6:$Q$29, 10, FALSE)+VLOOKUP(DM$4, Rates_current!$G$6:$Q$29, 11, FALSE))</f>
        <v>1756.7263536852001</v>
      </c>
      <c r="DN24" s="227">
        <f>$BT24*(VLOOKUP(DN$4, Rates_current!$G$6:$Q$29, 10, FALSE)+VLOOKUP(DN$4, Rates_current!$G$6:$Q$29, 11, FALSE))</f>
        <v>1591.4118301599999</v>
      </c>
      <c r="DO24" s="227">
        <f>$BT24*(VLOOKUP(DO$4, Rates_current!$G$6:$Q$29, 10, FALSE)+VLOOKUP(DO$4, Rates_current!$G$6:$Q$29, 11, FALSE))</f>
        <v>1770.1555182868999</v>
      </c>
      <c r="DP24" s="227">
        <f>$BT24*(VLOOKUP(DP$4, Rates_current!$G$6:$Q$29, 10, FALSE)+VLOOKUP(DP$4, Rates_current!$G$6:$Q$29, 11, FALSE))</f>
        <v>1441.262533176</v>
      </c>
      <c r="DQ24" s="227">
        <f>$BT24*(VLOOKUP(DQ$4, Rates_current!$G$6:$Q$29, 10, FALSE)+VLOOKUP(DQ$4, Rates_current!$G$6:$Q$29, 11, FALSE))</f>
        <v>1943.7574420352003</v>
      </c>
      <c r="DR24" s="227">
        <f>$BT24*(VLOOKUP(DR$4, Rates_current!$G$6:$Q$29, 10, FALSE)+VLOOKUP(DR$4, Rates_current!$G$6:$Q$29, 11, FALSE))</f>
        <v>2480.102298326</v>
      </c>
      <c r="DS24" s="227">
        <f>$BT24*(VLOOKUP(DS$4, Rates_current!$G$6:$Q$29, 10, FALSE)+VLOOKUP(DS$4, Rates_current!$G$6:$Q$29, 11, FALSE))</f>
        <v>1944.4788409852001</v>
      </c>
      <c r="DT24" s="227">
        <f>$BT24*(VLOOKUP(DT$4, Rates_current!$G$6:$Q$29, 10, FALSE)+VLOOKUP(DT$4, Rates_current!$G$6:$Q$29, 11, FALSE))</f>
        <v>1893.5352001352003</v>
      </c>
      <c r="DU24" s="227">
        <f>$BT24*(VLOOKUP(DU$4, Rates_current!$G$6:$Q$29, 10, FALSE)+VLOOKUP(DU$4, Rates_current!$G$6:$Q$29, 11, FALSE))</f>
        <v>1699.9918028760003</v>
      </c>
      <c r="DV24" s="229">
        <f>IF(D24=0,IF(C24=0,MAX(0,DY24 - (VLOOKUP($A24,TOCA_current!$A$2:$AI$137,MATCH("RHWM 2020",TOCA_current!$A$2:$AI$2,0),FALSE)*$BT$2)), 0),0)</f>
        <v>0</v>
      </c>
      <c r="DW24" s="266">
        <f>VLOOKUP($A24,REP_current!$A$1:$D$135,MATCH("FY "&amp;$BT$1&amp; " Total Refund",REP_current!$A$1:$D$1,0),0)</f>
        <v>0</v>
      </c>
      <c r="DX24" s="295">
        <f>MIN(VLOOKUP($A24,TOCA_current!$A$2:$AI$137,MATCH("TRL - NLSL - Existing Resource "&amp;$BT$1,TOCA_current!$A$2:$AI$2,0),FALSE)*$BT$2, VLOOKUP($A24,TOCA_current!$A$2:$AI$137,MATCH("RHWM 2020",TOCA_current!$A$2:$AI$2,0),FALSE)*$BT$2)</f>
        <v>22443.120000000003</v>
      </c>
      <c r="DY24" s="240">
        <f>SUM(BZ24:CW24)+(BT24*RT1SC!$C$4*$BT$2)</f>
        <v>22671.495086489598</v>
      </c>
      <c r="DZ24" s="271">
        <f>VLOOKUP($A24,TOCA_current!$A$2:$AI$137,MATCH("Above RHWM Not Served with LS "&amp;$BT$1,TOCA_current!$A$2:$AI$2,0),FALSE)*$BT$2</f>
        <v>0</v>
      </c>
      <c r="EA24" s="244">
        <f t="shared" si="13"/>
        <v>228.37508648959556</v>
      </c>
      <c r="EB24" s="295">
        <f>(VLOOKUP($A24,TOCA_current!$A$2:$AI$137,MATCH("RHWM 2020",TOCA_current!$A$2:$AI$2,0),FALSE)*$BT$2) - $DX24</f>
        <v>1756.7999999999956</v>
      </c>
      <c r="EC24" s="240">
        <f t="shared" si="14"/>
        <v>-228.37508648959556</v>
      </c>
      <c r="ED24" s="240">
        <f t="shared" si="15"/>
        <v>0</v>
      </c>
      <c r="EE24" s="240">
        <f t="shared" si="16"/>
        <v>0</v>
      </c>
      <c r="EF24" s="240">
        <f t="shared" si="17"/>
        <v>-228.37508648959556</v>
      </c>
    </row>
    <row r="25" spans="1:136">
      <c r="A25" s="166">
        <v>10070</v>
      </c>
      <c r="B25" s="167" t="s">
        <v>26</v>
      </c>
      <c r="C25" s="240">
        <v>0</v>
      </c>
      <c r="D25" s="240">
        <v>0</v>
      </c>
      <c r="E25" s="150">
        <f>VLOOKUP($A25,TOCA_previous!$A$2:$AI$137,MATCH(E$4,TOCA_previous!$A$2:$AI$2,0),FALSE)</f>
        <v>5.0800000000000002E-5</v>
      </c>
      <c r="F25" s="151">
        <f>VLOOKUP($A25,TOCA_previous!$A$2:$AI$137,MATCH(F$4,TOCA_previous!$A$2:$AI$2,0),FALSE)</f>
        <v>5.0800000000000002E-5</v>
      </c>
      <c r="G25" s="151">
        <f t="shared" si="2"/>
        <v>0</v>
      </c>
      <c r="H25" s="151">
        <f>VLOOKUP($A25,TOCA_previous!$A$2:$AI$137,MATCH(H$4,TOCA_previous!$A$2:$AI$2,0),FALSE)</f>
        <v>0</v>
      </c>
      <c r="I25" s="151">
        <f t="shared" si="3"/>
        <v>0</v>
      </c>
      <c r="J25" s="151">
        <f t="shared" si="4"/>
        <v>0</v>
      </c>
      <c r="K25" s="226">
        <f>VLOOKUP(A25, IRD!$A$5:$C$139, 3, FALSE)</f>
        <v>0</v>
      </c>
      <c r="L25" s="227">
        <f t="array" ref="L25">IF($G25=0, INDEX(LS_previous!$D$4:$AY$138, MATCH('Staging Table'!$A25, LS_previous!$B$4:$B$138, 0), MATCH(L$4&amp;L$5, LS_previous!$D$2:$AY$2&amp;LS_previous!$D$3:$AY$3, 0)),SUM(VLOOKUP($A25, LS_previous!$B$4:$AY$138, LS_previous!D$149, FALSE), VLOOKUP('Staging Table'!$A25, LS_previous!$B$4:$AY$138,LS_previous!AB$149, FALSE))/2)</f>
        <v>-2</v>
      </c>
      <c r="M25" s="227">
        <f t="array" ref="M25">IF($G25=0, INDEX(LS_previous!$D$4:$AY$138, MATCH('Staging Table'!$A25, LS_previous!$B$4:$B$138, 0), MATCH(M$4&amp;M$5, LS_previous!$D$2:$AY$2&amp;LS_previous!$D$3:$AY$3, 0)),SUM(VLOOKUP($A25, LS_previous!$B$4:$AY$138, LS_previous!E$149, FALSE), VLOOKUP('Staging Table'!$A25, LS_previous!$B$4:$AY$138,LS_previous!AC$149, FALSE))/2)</f>
        <v>3</v>
      </c>
      <c r="N25" s="227">
        <f t="array" ref="N25">IF($G25=0, INDEX(LS_previous!$D$4:$AY$138, MATCH('Staging Table'!$A25, LS_previous!$B$4:$B$138, 0), MATCH(N$4&amp;N$5, LS_previous!$D$2:$AY$2&amp;LS_previous!$D$3:$AY$3, 0)),SUM(VLOOKUP($A25, LS_previous!$B$4:$AY$138, LS_previous!F$149, FALSE), VLOOKUP('Staging Table'!$A25, LS_previous!$B$4:$AY$138,LS_previous!AD$149, FALSE))/2)</f>
        <v>-11</v>
      </c>
      <c r="O25" s="227">
        <f t="array" ref="O25">IF($G25=0, INDEX(LS_previous!$D$4:$AY$138, MATCH('Staging Table'!$A25, LS_previous!$B$4:$B$138, 0), MATCH(O$4&amp;O$5, LS_previous!$D$2:$AY$2&amp;LS_previous!$D$3:$AY$3, 0)),SUM(VLOOKUP($A25, LS_previous!$B$4:$AY$138, LS_previous!G$149, FALSE), VLOOKUP('Staging Table'!$A25, LS_previous!$B$4:$AY$138,LS_previous!AE$149, FALSE))/2)</f>
        <v>10</v>
      </c>
      <c r="P25" s="227">
        <f t="array" ref="P25">IF($G25=0, INDEX(LS_previous!$D$4:$AY$138, MATCH('Staging Table'!$A25, LS_previous!$B$4:$B$138, 0), MATCH(P$4&amp;P$5, LS_previous!$D$2:$AY$2&amp;LS_previous!$D$3:$AY$3, 0)),SUM(VLOOKUP($A25, LS_previous!$B$4:$AY$138, LS_previous!H$149, FALSE), VLOOKUP('Staging Table'!$A25, LS_previous!$B$4:$AY$138,LS_previous!AF$149, FALSE))/2)</f>
        <v>26</v>
      </c>
      <c r="Q25" s="227">
        <f t="array" ref="Q25">IF($G25=0, INDEX(LS_previous!$D$4:$AY$138, MATCH('Staging Table'!$A25, LS_previous!$B$4:$B$138, 0), MATCH(Q$4&amp;Q$5, LS_previous!$D$2:$AY$2&amp;LS_previous!$D$3:$AY$3, 0)),SUM(VLOOKUP($A25, LS_previous!$B$4:$AY$138, LS_previous!I$149, FALSE), VLOOKUP('Staging Table'!$A25, LS_previous!$B$4:$AY$138,LS_previous!AG$149, FALSE))/2)</f>
        <v>49</v>
      </c>
      <c r="R25" s="227">
        <f t="array" ref="R25">IF($G25=0, INDEX(LS_previous!$D$4:$AY$138, MATCH('Staging Table'!$A25, LS_previous!$B$4:$B$138, 0), MATCH(R$4&amp;R$5, LS_previous!$D$2:$AY$2&amp;LS_previous!$D$3:$AY$3, 0)),SUM(VLOOKUP($A25, LS_previous!$B$4:$AY$138, LS_previous!J$149, FALSE), VLOOKUP('Staging Table'!$A25, LS_previous!$B$4:$AY$138,LS_previous!AH$149, FALSE))/2)</f>
        <v>69</v>
      </c>
      <c r="S25" s="227">
        <f t="array" ref="S25">IF($G25=0, INDEX(LS_previous!$D$4:$AY$138, MATCH('Staging Table'!$A25, LS_previous!$B$4:$B$138, 0), MATCH(S$4&amp;S$5, LS_previous!$D$2:$AY$2&amp;LS_previous!$D$3:$AY$3, 0)),SUM(VLOOKUP($A25, LS_previous!$B$4:$AY$138, LS_previous!K$149, FALSE), VLOOKUP('Staging Table'!$A25, LS_previous!$B$4:$AY$138,LS_previous!AI$149, FALSE))/2)</f>
        <v>58</v>
      </c>
      <c r="T25" s="227">
        <f t="array" ref="T25">IF($G25=0, INDEX(LS_previous!$D$4:$AY$138, MATCH('Staging Table'!$A25, LS_previous!$B$4:$B$138, 0), MATCH(T$4&amp;T$5, LS_previous!$D$2:$AY$2&amp;LS_previous!$D$3:$AY$3, 0)),SUM(VLOOKUP($A25, LS_previous!$B$4:$AY$138, LS_previous!L$149, FALSE), VLOOKUP('Staging Table'!$A25, LS_previous!$B$4:$AY$138,LS_previous!AJ$149, FALSE))/2)</f>
        <v>64</v>
      </c>
      <c r="U25" s="227">
        <f t="array" ref="U25">IF($G25=0, INDEX(LS_previous!$D$4:$AY$138, MATCH('Staging Table'!$A25, LS_previous!$B$4:$B$138, 0), MATCH(U$4&amp;U$5, LS_previous!$D$2:$AY$2&amp;LS_previous!$D$3:$AY$3, 0)),SUM(VLOOKUP($A25, LS_previous!$B$4:$AY$138, LS_previous!M$149, FALSE), VLOOKUP('Staging Table'!$A25, LS_previous!$B$4:$AY$138,LS_previous!AK$149, FALSE))/2)</f>
        <v>50</v>
      </c>
      <c r="V25" s="227">
        <f t="array" ref="V25">IF($G25=0, INDEX(LS_previous!$D$4:$AY$138, MATCH('Staging Table'!$A25, LS_previous!$B$4:$B$138, 0), MATCH(V$4&amp;V$5, LS_previous!$D$2:$AY$2&amp;LS_previous!$D$3:$AY$3, 0)),SUM(VLOOKUP($A25, LS_previous!$B$4:$AY$138, LS_previous!N$149, FALSE), VLOOKUP('Staging Table'!$A25, LS_previous!$B$4:$AY$138,LS_previous!AL$149, FALSE))/2)</f>
        <v>13</v>
      </c>
      <c r="W25" s="227">
        <f t="array" ref="W25">IF($G25=0, INDEX(LS_previous!$D$4:$AY$138, MATCH('Staging Table'!$A25, LS_previous!$B$4:$B$138, 0), MATCH(W$4&amp;W$5, LS_previous!$D$2:$AY$2&amp;LS_previous!$D$3:$AY$3, 0)),SUM(VLOOKUP($A25, LS_previous!$B$4:$AY$138, LS_previous!O$149, FALSE), VLOOKUP('Staging Table'!$A25, LS_previous!$B$4:$AY$138,LS_previous!AM$149, FALSE))/2)</f>
        <v>26</v>
      </c>
      <c r="X25" s="227">
        <f t="array" ref="X25">IF($G25=0, INDEX(LS_previous!$D$4:$AY$138, MATCH('Staging Table'!$A25, LS_previous!$B$4:$B$138, 0), MATCH(X$4&amp;X$5, LS_previous!$D$2:$AY$2&amp;LS_previous!$D$3:$AY$3, 0)),SUM(VLOOKUP($A25, LS_previous!$B$4:$AY$138, LS_previous!P$149, FALSE), VLOOKUP('Staging Table'!$A25, LS_previous!$B$4:$AY$138,LS_previous!AN$149, FALSE))/2)</f>
        <v>8</v>
      </c>
      <c r="Y25" s="227">
        <f t="array" ref="Y25">IF($G25=0, INDEX(LS_previous!$D$4:$AY$138, MATCH('Staging Table'!$A25, LS_previous!$B$4:$B$138, 0), MATCH(Y$4&amp;Y$5, LS_previous!$D$2:$AY$2&amp;LS_previous!$D$3:$AY$3, 0)),SUM(VLOOKUP($A25, LS_previous!$B$4:$AY$138, LS_previous!Q$149, FALSE), VLOOKUP('Staging Table'!$A25, LS_previous!$B$4:$AY$138,LS_previous!AO$149, FALSE))/2)</f>
        <v>12</v>
      </c>
      <c r="Z25" s="227">
        <f t="array" ref="Z25">IF($G25=0, INDEX(LS_previous!$D$4:$AY$138, MATCH('Staging Table'!$A25, LS_previous!$B$4:$B$138, 0), MATCH(Z$4&amp;Z$5, LS_previous!$D$2:$AY$2&amp;LS_previous!$D$3:$AY$3, 0)),SUM(VLOOKUP($A25, LS_previous!$B$4:$AY$138, LS_previous!R$149, FALSE), VLOOKUP('Staging Table'!$A25, LS_previous!$B$4:$AY$138,LS_previous!AP$149, FALSE))/2)</f>
        <v>-76</v>
      </c>
      <c r="AA25" s="227">
        <f t="array" ref="AA25">IF($G25=0, INDEX(LS_previous!$D$4:$AY$138, MATCH('Staging Table'!$A25, LS_previous!$B$4:$B$138, 0), MATCH(AA$4&amp;AA$5, LS_previous!$D$2:$AY$2&amp;LS_previous!$D$3:$AY$3, 0)),SUM(VLOOKUP($A25, LS_previous!$B$4:$AY$138, LS_previous!S$149, FALSE), VLOOKUP('Staging Table'!$A25, LS_previous!$B$4:$AY$138,LS_previous!AQ$149, FALSE))/2)</f>
        <v>-25</v>
      </c>
      <c r="AB25" s="227">
        <f t="array" ref="AB25">IF($G25=0, INDEX(LS_previous!$D$4:$AY$138, MATCH('Staging Table'!$A25, LS_previous!$B$4:$B$138, 0), MATCH(AB$4&amp;AB$5, LS_previous!$D$2:$AY$2&amp;LS_previous!$D$3:$AY$3, 0)),SUM(VLOOKUP($A25, LS_previous!$B$4:$AY$138, LS_previous!T$149, FALSE), VLOOKUP('Staging Table'!$A25, LS_previous!$B$4:$AY$138,LS_previous!AR$149, FALSE))/2)</f>
        <v>-36</v>
      </c>
      <c r="AC25" s="227">
        <f t="array" ref="AC25">IF($G25=0, INDEX(LS_previous!$D$4:$AY$138, MATCH('Staging Table'!$A25, LS_previous!$B$4:$B$138, 0), MATCH(AC$4&amp;AC$5, LS_previous!$D$2:$AY$2&amp;LS_previous!$D$3:$AY$3, 0)),SUM(VLOOKUP($A25, LS_previous!$B$4:$AY$138, LS_previous!U$149, FALSE), VLOOKUP('Staging Table'!$A25, LS_previous!$B$4:$AY$138,LS_previous!AS$149, FALSE))/2)</f>
        <v>-8</v>
      </c>
      <c r="AD25" s="227">
        <f t="array" ref="AD25">IF($G25=0, INDEX(LS_previous!$D$4:$AY$138, MATCH('Staging Table'!$A25, LS_previous!$B$4:$B$138, 0), MATCH(AD$4&amp;AD$5, LS_previous!$D$2:$AY$2&amp;LS_previous!$D$3:$AY$3, 0)),SUM(VLOOKUP($A25, LS_previous!$B$4:$AY$138, LS_previous!V$149, FALSE), VLOOKUP('Staging Table'!$A25, LS_previous!$B$4:$AY$138,LS_previous!AT$149, FALSE))/2)</f>
        <v>-1</v>
      </c>
      <c r="AE25" s="227">
        <f t="array" ref="AE25">IF($G25=0, INDEX(LS_previous!$D$4:$AY$138, MATCH('Staging Table'!$A25, LS_previous!$B$4:$B$138, 0), MATCH(AE$4&amp;AE$5, LS_previous!$D$2:$AY$2&amp;LS_previous!$D$3:$AY$3, 0)),SUM(VLOOKUP($A25, LS_previous!$B$4:$AY$138, LS_previous!W$149, FALSE), VLOOKUP('Staging Table'!$A25, LS_previous!$B$4:$AY$138,LS_previous!AU$149, FALSE))/2)</f>
        <v>13</v>
      </c>
      <c r="AF25" s="227">
        <f t="array" ref="AF25">IF($G25=0, INDEX(LS_previous!$D$4:$AY$138, MATCH('Staging Table'!$A25, LS_previous!$B$4:$B$138, 0), MATCH(AF$4&amp;AF$5, LS_previous!$D$2:$AY$2&amp;LS_previous!$D$3:$AY$3, 0)),SUM(VLOOKUP($A25, LS_previous!$B$4:$AY$138, LS_previous!X$149, FALSE), VLOOKUP('Staging Table'!$A25, LS_previous!$B$4:$AY$138,LS_previous!AV$149, FALSE))/2)</f>
        <v>-23</v>
      </c>
      <c r="AG25" s="227">
        <f t="array" ref="AG25">IF($G25=0, INDEX(LS_previous!$D$4:$AY$138, MATCH('Staging Table'!$A25, LS_previous!$B$4:$B$138, 0), MATCH(AG$4&amp;AG$5, LS_previous!$D$2:$AY$2&amp;LS_previous!$D$3:$AY$3, 0)),SUM(VLOOKUP($A25, LS_previous!$B$4:$AY$138, LS_previous!Y$149, FALSE), VLOOKUP('Staging Table'!$A25, LS_previous!$B$4:$AY$138,LS_previous!AW$149, FALSE))/2)</f>
        <v>6</v>
      </c>
      <c r="AH25" s="227">
        <f t="array" ref="AH25">IF($G25=0, INDEX(LS_previous!$D$4:$AY$138, MATCH('Staging Table'!$A25, LS_previous!$B$4:$B$138, 0), MATCH(AH$4&amp;AH$5, LS_previous!$D$2:$AY$2&amp;LS_previous!$D$3:$AY$3, 0)),SUM(VLOOKUP($A25, LS_previous!$B$4:$AY$138, LS_previous!Z$149, FALSE), VLOOKUP('Staging Table'!$A25, LS_previous!$B$4:$AY$138,LS_previous!AX$149, FALSE))/2)</f>
        <v>-10</v>
      </c>
      <c r="AI25" s="227">
        <f t="array" ref="AI25">IF($G25=0, INDEX(LS_previous!$D$4:$AY$138, MATCH('Staging Table'!$A25, LS_previous!$B$4:$B$138, 0), MATCH(AI$4&amp;AI$5, LS_previous!$D$2:$AY$2&amp;LS_previous!$D$3:$AY$3, 0)),SUM(VLOOKUP($A25, LS_previous!$B$4:$AY$138, LS_previous!AA$149, FALSE), VLOOKUP('Staging Table'!$A25, LS_previous!$B$4:$AY$138,LS_previous!AY$149, FALSE))/2)</f>
        <v>0</v>
      </c>
      <c r="AJ25" s="424">
        <f t="array" ref="AJ25">INDEX(Demand_previous!$D$4:$AY$138, MATCH('Staging Table'!$A25, Demand_previous!$B$4:$B$138, 0), MATCH(AJ$4&amp;AJ$5,Demand_previous!$D$2:$AY$2&amp;Demand_previous!$D$3:$AY$3, 0))/1000</f>
        <v>4.8000000000000001E-2</v>
      </c>
      <c r="AK25" s="424">
        <f t="array" ref="AK25">INDEX(Demand_previous!$D$4:$AY$138, MATCH('Staging Table'!$A25, Demand_previous!$B$4:$B$138, 0), MATCH(AK$4&amp;AK$5,Demand_previous!$D$2:$AY$2&amp;Demand_previous!$D$3:$AY$3, 0))/1000</f>
        <v>3.5999999999999997E-2</v>
      </c>
      <c r="AL25" s="424">
        <f t="array" ref="AL25">INDEX(Demand_previous!$D$4:$AY$138, MATCH('Staging Table'!$A25, Demand_previous!$B$4:$B$138, 0), MATCH(AL$4&amp;AL$5,Demand_previous!$D$2:$AY$2&amp;Demand_previous!$D$3:$AY$3, 0))/1000</f>
        <v>0.106</v>
      </c>
      <c r="AM25" s="424">
        <f t="array" ref="AM25">INDEX(Demand_previous!$D$4:$AY$138, MATCH('Staging Table'!$A25, Demand_previous!$B$4:$B$138, 0), MATCH(AM$4&amp;AM$5,Demand_previous!$D$2:$AY$2&amp;Demand_previous!$D$3:$AY$3, 0))/1000</f>
        <v>7.8E-2</v>
      </c>
      <c r="AN25" s="424">
        <f t="array" ref="AN25">INDEX(Demand_previous!$D$4:$AY$138, MATCH('Staging Table'!$A25, Demand_previous!$B$4:$B$138, 0), MATCH(AN$4&amp;AN$5,Demand_previous!$D$2:$AY$2&amp;Demand_previous!$D$3:$AY$3, 0))/1000</f>
        <v>3.7999999999999999E-2</v>
      </c>
      <c r="AO25" s="424">
        <f t="array" ref="AO25">INDEX(Demand_previous!$D$4:$AY$138, MATCH('Staging Table'!$A25, Demand_previous!$B$4:$B$138, 0), MATCH(AO$4&amp;AO$5,Demand_previous!$D$2:$AY$2&amp;Demand_previous!$D$3:$AY$3, 0))/1000</f>
        <v>8.5999999999999993E-2</v>
      </c>
      <c r="AP25" s="424">
        <f t="array" ref="AP25">INDEX(Demand_previous!$D$4:$AY$138, MATCH('Staging Table'!$A25, Demand_previous!$B$4:$B$138, 0), MATCH(AP$4&amp;AP$5,Demand_previous!$D$2:$AY$2&amp;Demand_previous!$D$3:$AY$3, 0))/1000</f>
        <v>2.1999999999999999E-2</v>
      </c>
      <c r="AQ25" s="424">
        <f t="array" ref="AQ25">INDEX(Demand_previous!$D$4:$AY$138, MATCH('Staging Table'!$A25, Demand_previous!$B$4:$B$138, 0), MATCH(AQ$4&amp;AQ$5,Demand_previous!$D$2:$AY$2&amp;Demand_previous!$D$3:$AY$3, 0))/1000</f>
        <v>4.7E-2</v>
      </c>
      <c r="AR25" s="424">
        <f t="array" ref="AR25">INDEX(Demand_previous!$D$4:$AY$138, MATCH('Staging Table'!$A25, Demand_previous!$B$4:$B$138, 0), MATCH(AR$4&amp;AR$5,Demand_previous!$D$2:$AY$2&amp;Demand_previous!$D$3:$AY$3, 0))/1000</f>
        <v>5.5E-2</v>
      </c>
      <c r="AS25" s="424">
        <f t="array" ref="AS25">INDEX(Demand_previous!$D$4:$AY$138, MATCH('Staging Table'!$A25, Demand_previous!$B$4:$B$138, 0), MATCH(AS$4&amp;AS$5,Demand_previous!$D$2:$AY$2&amp;Demand_previous!$D$3:$AY$3, 0))/1000</f>
        <v>0.04</v>
      </c>
      <c r="AT25" s="424">
        <f t="array" ref="AT25">INDEX(Demand_previous!$D$4:$AY$138, MATCH('Staging Table'!$A25, Demand_previous!$B$4:$B$138, 0), MATCH(AT$4&amp;AT$5,Demand_previous!$D$2:$AY$2&amp;Demand_previous!$D$3:$AY$3, 0))/1000</f>
        <v>8.5000000000000006E-2</v>
      </c>
      <c r="AU25" s="424">
        <f t="array" ref="AU25">INDEX(Demand_previous!$D$4:$AY$138, MATCH('Staging Table'!$A25, Demand_previous!$B$4:$B$138, 0), MATCH(AU$4&amp;AU$5,Demand_previous!$D$2:$AY$2&amp;Demand_previous!$D$3:$AY$3, 0))/1000</f>
        <v>4.2000000000000003E-2</v>
      </c>
      <c r="AV25" s="227">
        <f>$F25*(VLOOKUP(AV$4, Rates_previous!$G$6:$Q$29, 10, FALSE)+VLOOKUP(AV$4, Rates_previous!$G$6:$Q$29, 11, FALSE))</f>
        <v>238.19295832938658</v>
      </c>
      <c r="AW25" s="227">
        <f>$F25*(VLOOKUP(AW$4, Rates_previous!$G$6:$Q$29, 10, FALSE)+VLOOKUP(AW$4, Rates_previous!$G$6:$Q$29, 11, FALSE))</f>
        <v>294.38839287088092</v>
      </c>
      <c r="AX25" s="227">
        <f>$F25*(VLOOKUP(AX$4, Rates_previous!$G$6:$Q$29, 10, FALSE)+VLOOKUP(AX$4, Rates_previous!$G$6:$Q$29, 11, FALSE))</f>
        <v>290.85314037802698</v>
      </c>
      <c r="AY25" s="227">
        <f>$F25*(VLOOKUP(AY$4, Rates_previous!$G$6:$Q$29, 10, FALSE)+VLOOKUP(AY$4, Rates_previous!$G$6:$Q$29, 11, FALSE))</f>
        <v>248.506285570128</v>
      </c>
      <c r="AZ25" s="227">
        <f>$F25*(VLOOKUP(AZ$4, Rates_previous!$G$6:$Q$29, 10, FALSE)+VLOOKUP(AZ$4, Rates_previous!$G$6:$Q$29, 11, FALSE))</f>
        <v>203.72695111802861</v>
      </c>
      <c r="BA25" s="227">
        <f>$F25*(VLOOKUP(BA$4, Rates_previous!$G$6:$Q$29, 10, FALSE)+VLOOKUP(BA$4, Rates_previous!$G$6:$Q$29, 11, FALSE))</f>
        <v>241.20531007411483</v>
      </c>
      <c r="BB25" s="227">
        <f>$F25*(VLOOKUP(BB$4, Rates_previous!$G$6:$Q$29, 10, FALSE)+VLOOKUP(BB$4, Rates_previous!$G$6:$Q$29, 11, FALSE))</f>
        <v>231.83338843409919</v>
      </c>
      <c r="BC25" s="227">
        <f>$F25*(VLOOKUP(BC$4, Rates_previous!$G$6:$Q$29, 10, FALSE)+VLOOKUP(BC$4, Rates_previous!$G$6:$Q$29, 11, FALSE))</f>
        <v>340.19909235950962</v>
      </c>
      <c r="BD25" s="227">
        <f>$F25*(VLOOKUP(BD$4, Rates_previous!$G$6:$Q$29, 10, FALSE)+VLOOKUP(BD$4, Rates_previous!$G$6:$Q$29, 11, FALSE))</f>
        <v>268.40809230003919</v>
      </c>
      <c r="BE25" s="227">
        <f>$F25*(VLOOKUP(BE$4, Rates_previous!$G$6:$Q$29, 10, FALSE)+VLOOKUP(BE$4, Rates_previous!$G$6:$Q$29, 11, FALSE))</f>
        <v>235.68483401498744</v>
      </c>
      <c r="BF25" s="227">
        <f>$F25*(VLOOKUP(BF$4, Rates_previous!$G$6:$Q$29, 10, FALSE)+VLOOKUP(BF$4, Rates_previous!$G$6:$Q$29, 11, FALSE))</f>
        <v>261.03038759644841</v>
      </c>
      <c r="BG25" s="227">
        <f>$F25*(VLOOKUP(BG$4, Rates_previous!$G$6:$Q$29, 10, FALSE)+VLOOKUP(BG$4, Rates_previous!$G$6:$Q$29, 11, FALSE))</f>
        <v>236.4831506344546</v>
      </c>
      <c r="BH25" s="229">
        <f>IF($D25=0,IF(C25=0, MAX(BK25 - (VLOOKUP($A25,TOCA_previous!$A$2:$AI$137,MATCH("RHWM 2018",TOCA_previous!$A$2:$AI$2,0),FALSE)*$F$2*TOCA_previous!C22),0),0), 0)</f>
        <v>213.23202876799996</v>
      </c>
      <c r="BI25" s="266">
        <f>VLOOKUP($A25,REP_previous!$A$1:$D$135,MATCH("FY "&amp;$F$1&amp; " Total Refund",REP_previous!$A$1:$D$1,0),0)</f>
        <v>2015.1006092011639</v>
      </c>
      <c r="BJ25" s="241">
        <f>MIN(VLOOKUP($A25,TOCA_previous!$A$2:$AI$137,MATCH("TRL - NLSL - Existing Resource "&amp;$F$1,TOCA_previous!$A$2:$AI$2,0),FALSE)*$F$2,(VLOOKUP($A25,TOCA_previous!$A$2:$AI$137,MATCH("RHWM 2018",TOCA_previous!$A$2:$AI$2,0),FALSE)*$F$2))</f>
        <v>3092.2799999999997</v>
      </c>
      <c r="BK25" s="229">
        <f>SUM(L25:AI25)+(F25*RT1SC!$C$3*$F$2)</f>
        <v>3305.5120287679997</v>
      </c>
      <c r="BL25" s="241">
        <f>VLOOKUP($A25,TOCA_previous!$A$2:$AI$137,MATCH("Above RHWM Not Served with LS "&amp;$F$1,TOCA_previous!$A$2:$AI$2,0),FALSE)*$F$2</f>
        <v>0</v>
      </c>
      <c r="BM25" s="151">
        <f t="shared" si="5"/>
        <v>213.23202876799996</v>
      </c>
      <c r="BN25" s="242">
        <f>(VLOOKUP($A25,TOCA_previous!$A$2:$AI$137,MATCH("RHWM 2018",TOCA_previous!$A$2:$AI$2,0),FALSE)*$F$2) - $BJ25</f>
        <v>0</v>
      </c>
      <c r="BO25" s="151">
        <f t="shared" si="6"/>
        <v>0</v>
      </c>
      <c r="BP25" s="243">
        <f t="shared" si="7"/>
        <v>0</v>
      </c>
      <c r="BQ25" s="237">
        <f t="shared" si="8"/>
        <v>0</v>
      </c>
      <c r="BR25" s="242">
        <f t="shared" si="9"/>
        <v>0</v>
      </c>
      <c r="BS25" s="151">
        <f>VLOOKUP($A25,TOCA_current!$A$2:$AI$137,MATCH(BS$4,TOCA_current!$A$2:$AI$2,0),FALSE)</f>
        <v>5.0800000000000002E-5</v>
      </c>
      <c r="BT25" s="151">
        <f>VLOOKUP($A25,TOCA_current!$A$2:$AI$137,MATCH(BT$4,TOCA_current!$A$2:$AI$2,0),FALSE)</f>
        <v>5.0800000000000002E-5</v>
      </c>
      <c r="BU25" s="236">
        <f t="shared" si="10"/>
        <v>0</v>
      </c>
      <c r="BV25" s="151">
        <f>VLOOKUP($A25,TOCA_current!A21:BG156,MATCH(BV$4,TOCA_current!$A$2:$BG$2,0),FALSE)</f>
        <v>0</v>
      </c>
      <c r="BW25" s="151">
        <f t="shared" si="11"/>
        <v>0</v>
      </c>
      <c r="BX25" s="151">
        <f t="shared" si="12"/>
        <v>0</v>
      </c>
      <c r="BY25" s="226">
        <f>VLOOKUP($A25,IRD!$A$4:$G$139, 7, FALSE)</f>
        <v>0</v>
      </c>
      <c r="BZ25" s="227">
        <f t="array" ref="BZ25">IF($BU25=0, INDEX(LS_current!$D$4:$AY$138, MATCH('Staging Table'!$A25, LS_current!$B$4:$B$138, 0), MATCH(BZ$4&amp;BZ$5, LS_current!$D$2:$AY$2&amp;LS_current!$D$3:$AY$3, 0)),SUM(VLOOKUP($A25, LS_current!$B$4:$AY$138, LS_current!D$148, FALSE), VLOOKUP($A25, LS_current!$B$4:$AY$138,LS_current!D$148, FALSE))/2)</f>
        <v>1</v>
      </c>
      <c r="CA25" s="227">
        <f t="array" ref="CA25">IF($BU25=0, INDEX(LS_current!$D$4:$AY$138, MATCH('Staging Table'!$A25, LS_current!$B$4:$B$138, 0), MATCH(CA$4&amp;CA$5, LS_current!$D$2:$AY$2&amp;LS_current!$D$3:$AY$3, 0)),SUM(VLOOKUP($A25, LS_current!$B$4:$AY$138, LS_current!E$148, FALSE), VLOOKUP($A25, LS_current!$B$4:$AY$138,LS_current!E$148, FALSE))/2)</f>
        <v>4</v>
      </c>
      <c r="CB25" s="227">
        <f t="array" ref="CB25">IF($BU25=0, INDEX(LS_current!$D$4:$AY$138, MATCH('Staging Table'!$A25, LS_current!$B$4:$B$138, 0), MATCH(CB$4&amp;CB$5, LS_current!$D$2:$AY$2&amp;LS_current!$D$3:$AY$3, 0)),SUM(VLOOKUP($A25, LS_current!$B$4:$AY$138, LS_current!F$148, FALSE), VLOOKUP($A25, LS_current!$B$4:$AY$138,LS_current!F$148, FALSE))/2)</f>
        <v>-12</v>
      </c>
      <c r="CC25" s="227">
        <f t="array" ref="CC25">IF($BU25=0, INDEX(LS_current!$D$4:$AY$138, MATCH('Staging Table'!$A25, LS_current!$B$4:$B$138, 0), MATCH(CC$4&amp;CC$5, LS_current!$D$2:$AY$2&amp;LS_current!$D$3:$AY$3, 0)),SUM(VLOOKUP($A25, LS_current!$B$4:$AY$138, LS_current!G$148, FALSE), VLOOKUP($A25, LS_current!$B$4:$AY$138,LS_current!G$148, FALSE))/2)</f>
        <v>7</v>
      </c>
      <c r="CD25" s="227">
        <f t="array" ref="CD25">IF($BU25=0, INDEX(LS_current!$D$4:$AY$138, MATCH('Staging Table'!$A25, LS_current!$B$4:$B$138, 0), MATCH(CD$4&amp;CD$5, LS_current!$D$2:$AY$2&amp;LS_current!$D$3:$AY$3, 0)),SUM(VLOOKUP($A25, LS_current!$B$4:$AY$138, LS_current!H$148, FALSE), VLOOKUP($A25, LS_current!$B$4:$AY$138,LS_current!H$148, FALSE))/2)</f>
        <v>25</v>
      </c>
      <c r="CE25" s="227">
        <f t="array" ref="CE25">IF($BU25=0, INDEX(LS_current!$D$4:$AY$138, MATCH('Staging Table'!$A25, LS_current!$B$4:$B$138, 0), MATCH(CE$4&amp;CE$5, LS_current!$D$2:$AY$2&amp;LS_current!$D$3:$AY$3, 0)),SUM(VLOOKUP($A25, LS_current!$B$4:$AY$138, LS_current!I$148, FALSE), VLOOKUP($A25, LS_current!$B$4:$AY$138,LS_current!I$148, FALSE))/2)</f>
        <v>47</v>
      </c>
      <c r="CF25" s="227">
        <f t="array" ref="CF25">IF($BU25=0, INDEX(LS_current!$D$4:$AY$138, MATCH('Staging Table'!$A25, LS_current!$B$4:$B$138, 0), MATCH(CF$4&amp;CF$5, LS_current!$D$2:$AY$2&amp;LS_current!$D$3:$AY$3, 0)),SUM(VLOOKUP($A25, LS_current!$B$4:$AY$138, LS_current!J$148, FALSE), VLOOKUP($A25, LS_current!$B$4:$AY$138,LS_current!J$148, FALSE))/2)</f>
        <v>69</v>
      </c>
      <c r="CG25" s="227">
        <f t="array" ref="CG25">IF($BU25=0, INDEX(LS_current!$D$4:$AY$138, MATCH('Staging Table'!$A25, LS_current!$B$4:$B$138, 0), MATCH(CG$4&amp;CG$5, LS_current!$D$2:$AY$2&amp;LS_current!$D$3:$AY$3, 0)),SUM(VLOOKUP($A25, LS_current!$B$4:$AY$138, LS_current!K$148, FALSE), VLOOKUP($A25, LS_current!$B$4:$AY$138,LS_current!K$148, FALSE))/2)</f>
        <v>62</v>
      </c>
      <c r="CH25" s="227">
        <f t="array" ref="CH25">IF($BU25=0, INDEX(LS_current!$D$4:$AY$138, MATCH('Staging Table'!$A25, LS_current!$B$4:$B$138, 0), MATCH(CH$4&amp;CH$5, LS_current!$D$2:$AY$2&amp;LS_current!$D$3:$AY$3, 0)),SUM(VLOOKUP($A25, LS_current!$B$4:$AY$138, LS_current!L$148, FALSE), VLOOKUP($A25, LS_current!$B$4:$AY$138,LS_current!L$148, FALSE))/2)</f>
        <v>53</v>
      </c>
      <c r="CI25" s="227">
        <f t="array" ref="CI25">IF($BU25=0, INDEX(LS_current!$D$4:$AY$138, MATCH('Staging Table'!$A25, LS_current!$B$4:$B$138, 0), MATCH(CI$4&amp;CI$5, LS_current!$D$2:$AY$2&amp;LS_current!$D$3:$AY$3, 0)),SUM(VLOOKUP($A25, LS_current!$B$4:$AY$138, LS_current!M$148, FALSE), VLOOKUP($A25, LS_current!$B$4:$AY$138,LS_current!M$148, FALSE))/2)</f>
        <v>43</v>
      </c>
      <c r="CJ25" s="227">
        <f t="array" ref="CJ25">IF($BU25=0, INDEX(LS_current!$D$4:$AY$138, MATCH('Staging Table'!$A25, LS_current!$B$4:$B$138, 0), MATCH(CJ$4&amp;CJ$5, LS_current!$D$2:$AY$2&amp;LS_current!$D$3:$AY$3, 0)),SUM(VLOOKUP($A25, LS_current!$B$4:$AY$138, LS_current!N$148, FALSE), VLOOKUP($A25, LS_current!$B$4:$AY$138,LS_current!N$148, FALSE))/2)</f>
        <v>8</v>
      </c>
      <c r="CK25" s="227">
        <f t="array" ref="CK25">IF($BU25=0, INDEX(LS_current!$D$4:$AY$138, MATCH('Staging Table'!$A25, LS_current!$B$4:$B$138, 0), MATCH(CK$4&amp;CK$5, LS_current!$D$2:$AY$2&amp;LS_current!$D$3:$AY$3, 0)),SUM(VLOOKUP($A25, LS_current!$B$4:$AY$138, LS_current!O$148, FALSE), VLOOKUP($A25, LS_current!$B$4:$AY$138,LS_current!O$148, FALSE))/2)</f>
        <v>24</v>
      </c>
      <c r="CL25" s="227">
        <f t="array" ref="CL25">IF($BU25=0, INDEX(LS_current!$D$4:$AY$138, MATCH('Staging Table'!$A25, LS_current!$B$4:$B$138, 0), MATCH(CL$4&amp;CL$5, LS_current!$D$2:$AY$2&amp;LS_current!$D$3:$AY$3, 0)),SUM(VLOOKUP($A25, LS_current!$B$4:$AY$138, LS_current!P$148, FALSE), VLOOKUP($A25, LS_current!$B$4:$AY$138,LS_current!P$148, FALSE))/2)</f>
        <v>30</v>
      </c>
      <c r="CM25" s="227">
        <f t="array" ref="CM25">IF($BU25=0, INDEX(LS_current!$D$4:$AY$138, MATCH('Staging Table'!$A25, LS_current!$B$4:$B$138, 0), MATCH(CM$4&amp;CM$5, LS_current!$D$2:$AY$2&amp;LS_current!$D$3:$AY$3, 0)),SUM(VLOOKUP($A25, LS_current!$B$4:$AY$138, LS_current!Q$148, FALSE), VLOOKUP($A25, LS_current!$B$4:$AY$138,LS_current!Q$148, FALSE))/2)</f>
        <v>20</v>
      </c>
      <c r="CN25" s="227">
        <f t="array" ref="CN25">IF($BU25=0, INDEX(LS_current!$D$4:$AY$138, MATCH('Staging Table'!$A25, LS_current!$B$4:$B$138, 0), MATCH(CN$4&amp;CN$5, LS_current!$D$2:$AY$2&amp;LS_current!$D$3:$AY$3, 0)),SUM(VLOOKUP($A25, LS_current!$B$4:$AY$138, LS_current!R$148, FALSE), VLOOKUP($A25, LS_current!$B$4:$AY$138,LS_current!R$148, FALSE))/2)</f>
        <v>-36</v>
      </c>
      <c r="CO25" s="227">
        <f t="array" ref="CO25">IF($BU25=0, INDEX(LS_current!$D$4:$AY$138, MATCH('Staging Table'!$A25, LS_current!$B$4:$B$138, 0), MATCH(CO$4&amp;CO$5, LS_current!$D$2:$AY$2&amp;LS_current!$D$3:$AY$3, 0)),SUM(VLOOKUP($A25, LS_current!$B$4:$AY$138, LS_current!S$148, FALSE), VLOOKUP($A25, LS_current!$B$4:$AY$138,LS_current!S$148, FALSE))/2)</f>
        <v>3</v>
      </c>
      <c r="CP25" s="227">
        <f t="array" ref="CP25">IF($BU25=0, INDEX(LS_current!$D$4:$AY$138, MATCH('Staging Table'!$A25, LS_current!$B$4:$B$138, 0), MATCH(CP$4&amp;CP$5, LS_current!$D$2:$AY$2&amp;LS_current!$D$3:$AY$3, 0)),SUM(VLOOKUP($A25, LS_current!$B$4:$AY$138, LS_current!T$148, FALSE), VLOOKUP($A25, LS_current!$B$4:$AY$138,LS_current!T$148, FALSE))/2)</f>
        <v>-85</v>
      </c>
      <c r="CQ25" s="227">
        <f t="array" ref="CQ25">IF($BU25=0, INDEX(LS_current!$D$4:$AY$138, MATCH('Staging Table'!$A25, LS_current!$B$4:$B$138, 0), MATCH(CQ$4&amp;CQ$5, LS_current!$D$2:$AY$2&amp;LS_current!$D$3:$AY$3, 0)),SUM(VLOOKUP($A25, LS_current!$B$4:$AY$138, LS_current!U$148, FALSE), VLOOKUP($A25, LS_current!$B$4:$AY$138,LS_current!U$148, FALSE))/2)</f>
        <v>-36</v>
      </c>
      <c r="CR25" s="227">
        <f t="array" ref="CR25">IF($BU25=0, INDEX(LS_current!$D$4:$AY$138, MATCH('Staging Table'!$A25, LS_current!$B$4:$B$138, 0), MATCH(CR$4&amp;CR$5, LS_current!$D$2:$AY$2&amp;LS_current!$D$3:$AY$3, 0)),SUM(VLOOKUP($A25, LS_current!$B$4:$AY$138, LS_current!V$148, FALSE), VLOOKUP($A25, LS_current!$B$4:$AY$138,LS_current!V$148, FALSE))/2)</f>
        <v>-34</v>
      </c>
      <c r="CS25" s="227">
        <f t="array" ref="CS25">IF($BU25=0, INDEX(LS_current!$D$4:$AY$138, MATCH('Staging Table'!$A25, LS_current!$B$4:$B$138, 0), MATCH(CS$4&amp;CS$5, LS_current!$D$2:$AY$2&amp;LS_current!$D$3:$AY$3, 0)),SUM(VLOOKUP($A25, LS_current!$B$4:$AY$138, LS_current!W$148, FALSE), VLOOKUP($A25, LS_current!$B$4:$AY$138,LS_current!W$148, FALSE))/2)</f>
        <v>10</v>
      </c>
      <c r="CT25" s="227">
        <f t="array" ref="CT25">IF($BU25=0, INDEX(LS_current!$D$4:$AY$138, MATCH('Staging Table'!$A25, LS_current!$B$4:$B$138, 0), MATCH(CT$4&amp;CT$5, LS_current!$D$2:$AY$2&amp;LS_current!$D$3:$AY$3, 0)),SUM(VLOOKUP($A25, LS_current!$B$4:$AY$138, LS_current!X$148, FALSE), VLOOKUP($A25, LS_current!$B$4:$AY$138,LS_current!X$148, FALSE))/2)</f>
        <v>-29</v>
      </c>
      <c r="CU25" s="227">
        <f t="array" ref="CU25">IF($BU25=0, INDEX(LS_current!$D$4:$AY$138, MATCH('Staging Table'!$A25, LS_current!$B$4:$B$138, 0), MATCH(CU$4&amp;CU$5, LS_current!$D$2:$AY$2&amp;LS_current!$D$3:$AY$3, 0)),SUM(VLOOKUP($A25, LS_current!$B$4:$AY$138, LS_current!Y$148, FALSE), VLOOKUP($A25, LS_current!$B$4:$AY$138,LS_current!Y$148, FALSE))/2)</f>
        <v>9</v>
      </c>
      <c r="CV25" s="227">
        <f t="array" ref="CV25">IF($BU25=0, INDEX(LS_current!$D$4:$AY$138, MATCH('Staging Table'!$A25, LS_current!$B$4:$B$138, 0), MATCH(CV$4&amp;CV$5, LS_current!$D$2:$AY$2&amp;LS_current!$D$3:$AY$3, 0)),SUM(VLOOKUP($A25, LS_current!$B$4:$AY$138, LS_current!Z$148, FALSE), VLOOKUP($A25, LS_current!$B$4:$AY$138,LS_current!Z$148, FALSE))/2)</f>
        <v>-11</v>
      </c>
      <c r="CW25" s="227">
        <f t="array" ref="CW25">IF($BU25=0, INDEX(LS_current!$D$4:$AY$138, MATCH('Staging Table'!$A25, LS_current!$B$4:$B$138, 0), MATCH(CW$4&amp;CW$5, LS_current!$D$2:$AY$2&amp;LS_current!$D$3:$AY$3, 0)),SUM(VLOOKUP($A25, LS_current!$B$4:$AY$138, LS_current!AA$148, FALSE), VLOOKUP($A25, LS_current!$B$4:$AY$138,LS_current!AA$148, FALSE))/2)</f>
        <v>0</v>
      </c>
      <c r="CX25" s="229">
        <f t="array" ref="CX25">INDEX(Demand_current!$D$4:$AY$138, MATCH($A25, Demand_current!$B$4:$B$138, 0), MATCH(CX$4&amp;CX$5,Demand_current!$D$2:$AY$2&amp;Demand_current!$D$3:$AY$3, 0))/1000</f>
        <v>6.2E-2</v>
      </c>
      <c r="CY25" s="229">
        <f t="array" ref="CY25">INDEX(Demand_current!$D$4:$AY$138, MATCH($A25, Demand_current!$B$4:$B$138, 0), MATCH(CY$4&amp;CY$5,Demand_current!$D$2:$AY$2&amp;Demand_current!$D$3:$AY$3, 0))/1000</f>
        <v>3.5999999999999997E-2</v>
      </c>
      <c r="CZ25" s="229">
        <f t="array" ref="CZ25">INDEX(Demand_current!$D$4:$AY$138, MATCH($A25, Demand_current!$B$4:$B$138, 0), MATCH(CZ$4&amp;CZ$5,Demand_current!$D$2:$AY$2&amp;Demand_current!$D$3:$AY$3, 0))/1000</f>
        <v>0.106</v>
      </c>
      <c r="DA25" s="229">
        <f t="array" ref="DA25">INDEX(Demand_current!$D$4:$AY$138, MATCH($A25, Demand_current!$B$4:$B$138, 0), MATCH(DA$4&amp;DA$5,Demand_current!$D$2:$AY$2&amp;Demand_current!$D$3:$AY$3, 0))/1000</f>
        <v>7.8E-2</v>
      </c>
      <c r="DB25" s="229">
        <f t="array" ref="DB25">INDEX(Demand_current!$D$4:$AY$138, MATCH($A25, Demand_current!$B$4:$B$138, 0), MATCH(DB$4&amp;DB$5,Demand_current!$D$2:$AY$2&amp;Demand_current!$D$3:$AY$3, 0))/1000</f>
        <v>5.8000000000000003E-2</v>
      </c>
      <c r="DC25" s="229">
        <f t="array" ref="DC25">INDEX(Demand_current!$D$4:$AY$138, MATCH($A25, Demand_current!$B$4:$B$138, 0), MATCH(DC$4&amp;DC$5,Demand_current!$D$2:$AY$2&amp;Demand_current!$D$3:$AY$3, 0))/1000</f>
        <v>7.0999999999999994E-2</v>
      </c>
      <c r="DD25" s="229">
        <f t="array" ref="DD25">INDEX(Demand_current!$D$4:$AY$138, MATCH($A25, Demand_current!$B$4:$B$138, 0), MATCH(DD$4&amp;DD$5,Demand_current!$D$2:$AY$2&amp;Demand_current!$D$3:$AY$3, 0))/1000</f>
        <v>3.6999999999999998E-2</v>
      </c>
      <c r="DE25" s="229">
        <f t="array" ref="DE25">INDEX(Demand_current!$D$4:$AY$138, MATCH($A25, Demand_current!$B$4:$B$138, 0), MATCH(DE$4&amp;DE$5,Demand_current!$D$2:$AY$2&amp;Demand_current!$D$3:$AY$3, 0))/1000</f>
        <v>3.4000000000000002E-2</v>
      </c>
      <c r="DF25" s="229">
        <f t="array" ref="DF25">INDEX(Demand_current!$D$4:$AY$138, MATCH($A25, Demand_current!$B$4:$B$138, 0), MATCH(DF$4&amp;DF$5,Demand_current!$D$2:$AY$2&amp;Demand_current!$D$3:$AY$3, 0))/1000</f>
        <v>5.5E-2</v>
      </c>
      <c r="DG25" s="229">
        <f t="array" ref="DG25">INDEX(Demand_current!$D$4:$AY$138, MATCH($A25, Demand_current!$B$4:$B$138, 0), MATCH(DG$4&amp;DG$5,Demand_current!$D$2:$AY$2&amp;Demand_current!$D$3:$AY$3, 0))/1000</f>
        <v>5.5E-2</v>
      </c>
      <c r="DH25" s="229">
        <f t="array" ref="DH25">INDEX(Demand_current!$D$4:$AY$138, MATCH($A25, Demand_current!$B$4:$B$138, 0), MATCH(DH$4&amp;DH$5,Demand_current!$D$2:$AY$2&amp;Demand_current!$D$3:$AY$3, 0))/1000</f>
        <v>7.1999999999999995E-2</v>
      </c>
      <c r="DI25" s="229">
        <f t="array" ref="DI25">INDEX(Demand_current!$D$4:$AY$138, MATCH($A25, Demand_current!$B$4:$B$138, 0), MATCH(DI$4&amp;DI$5,Demand_current!$D$2:$AY$2&amp;Demand_current!$D$3:$AY$3, 0))/1000</f>
        <v>5.6000000000000001E-2</v>
      </c>
      <c r="DJ25" s="227">
        <f>$BT25*(VLOOKUP(DJ$4, Rates_current!$G$6:$Q$29, 10, FALSE)+VLOOKUP(DJ$4, Rates_current!$G$6:$Q$29, 11, FALSE))</f>
        <v>234.55971355679998</v>
      </c>
      <c r="DK25" s="227">
        <f>$BT25*(VLOOKUP(DK$4, Rates_current!$G$6:$Q$29, 10, FALSE)+VLOOKUP(DK$4, Rates_current!$G$6:$Q$29, 11, FALSE))</f>
        <v>297.96400854120003</v>
      </c>
      <c r="DL25" s="227">
        <f>$BT25*(VLOOKUP(DL$4, Rates_current!$G$6:$Q$29, 10, FALSE)+VLOOKUP(DL$4, Rates_current!$G$6:$Q$29, 11, FALSE))</f>
        <v>294.36568995680005</v>
      </c>
      <c r="DM25" s="227">
        <f>$BT25*(VLOOKUP(DM$4, Rates_current!$G$6:$Q$29, 10, FALSE)+VLOOKUP(DM$4, Rates_current!$G$6:$Q$29, 11, FALSE))</f>
        <v>245.37173155680003</v>
      </c>
      <c r="DN25" s="227">
        <f>$BT25*(VLOOKUP(DN$4, Rates_current!$G$6:$Q$29, 10, FALSE)+VLOOKUP(DN$4, Rates_current!$G$6:$Q$29, 11, FALSE))</f>
        <v>222.28133344</v>
      </c>
      <c r="DO25" s="227">
        <f>$BT25*(VLOOKUP(DO$4, Rates_current!$G$6:$Q$29, 10, FALSE)+VLOOKUP(DO$4, Rates_current!$G$6:$Q$29, 11, FALSE))</f>
        <v>247.24745759960001</v>
      </c>
      <c r="DP25" s="227">
        <f>$BT25*(VLOOKUP(DP$4, Rates_current!$G$6:$Q$29, 10, FALSE)+VLOOKUP(DP$4, Rates_current!$G$6:$Q$29, 11, FALSE))</f>
        <v>201.30914678400001</v>
      </c>
      <c r="DQ25" s="227">
        <f>$BT25*(VLOOKUP(DQ$4, Rates_current!$G$6:$Q$29, 10, FALSE)+VLOOKUP(DQ$4, Rates_current!$G$6:$Q$29, 11, FALSE))</f>
        <v>271.49540295680004</v>
      </c>
      <c r="DR25" s="227">
        <f>$BT25*(VLOOKUP(DR$4, Rates_current!$G$6:$Q$29, 10, FALSE)+VLOOKUP(DR$4, Rates_current!$G$6:$Q$29, 11, FALSE))</f>
        <v>346.40966938400004</v>
      </c>
      <c r="DS25" s="227">
        <f>$BT25*(VLOOKUP(DS$4, Rates_current!$G$6:$Q$29, 10, FALSE)+VLOOKUP(DS$4, Rates_current!$G$6:$Q$29, 11, FALSE))</f>
        <v>271.59616475680002</v>
      </c>
      <c r="DT25" s="227">
        <f>$BT25*(VLOOKUP(DT$4, Rates_current!$G$6:$Q$29, 10, FALSE)+VLOOKUP(DT$4, Rates_current!$G$6:$Q$29, 11, FALSE))</f>
        <v>264.48058335680003</v>
      </c>
      <c r="DU25" s="227">
        <f>$BT25*(VLOOKUP(DU$4, Rates_current!$G$6:$Q$29, 10, FALSE)+VLOOKUP(DU$4, Rates_current!$G$6:$Q$29, 11, FALSE))</f>
        <v>237.44730158400003</v>
      </c>
      <c r="DV25" s="229">
        <f>IF(D25=0,IF(C25=0,MAX(0,DY25 - (VLOOKUP($A25,TOCA_current!$A$2:$AI$137,MATCH("RHWM 2020",TOCA_current!$A$2:$AI$2,0),FALSE)*$BT$2)), 0),0)</f>
        <v>170.64032112640007</v>
      </c>
      <c r="DW25" s="266">
        <f>VLOOKUP($A25,REP_current!$A$1:$D$135,MATCH("FY "&amp;$BT$1&amp; " Total Refund",REP_current!$A$1:$D$1,0),0)</f>
        <v>0</v>
      </c>
      <c r="DX25" s="295">
        <f>MIN(VLOOKUP($A25,TOCA_current!$A$2:$AI$137,MATCH("TRL - NLSL - Existing Resource "&amp;$BT$1,TOCA_current!$A$2:$AI$2,0),FALSE)*$BT$2, VLOOKUP($A25,TOCA_current!$A$2:$AI$137,MATCH("RHWM 2020",TOCA_current!$A$2:$AI$2,0),FALSE)*$BT$2)</f>
        <v>3135.8879999999999</v>
      </c>
      <c r="DY25" s="240">
        <f>SUM(BZ25:CW25)+(BT25*RT1SC!$C$4*$BT$2)</f>
        <v>3306.5283211264</v>
      </c>
      <c r="DZ25" s="271">
        <f>VLOOKUP($A25,TOCA_current!$A$2:$AI$137,MATCH("Above RHWM Not Served with LS "&amp;$BT$1,TOCA_current!$A$2:$AI$2,0),FALSE)*$BT$2</f>
        <v>0</v>
      </c>
      <c r="EA25" s="244">
        <f t="shared" si="13"/>
        <v>170.64032112640007</v>
      </c>
      <c r="EB25" s="295">
        <f>(VLOOKUP($A25,TOCA_current!$A$2:$AI$137,MATCH("RHWM 2020",TOCA_current!$A$2:$AI$2,0),FALSE)*$BT$2) - $DX25</f>
        <v>0</v>
      </c>
      <c r="EC25" s="240">
        <f t="shared" si="14"/>
        <v>0</v>
      </c>
      <c r="ED25" s="240">
        <f t="shared" si="15"/>
        <v>0</v>
      </c>
      <c r="EE25" s="240">
        <f t="shared" si="16"/>
        <v>0</v>
      </c>
      <c r="EF25" s="240">
        <f t="shared" si="17"/>
        <v>0</v>
      </c>
    </row>
    <row r="26" spans="1:136">
      <c r="A26" s="166">
        <v>10071</v>
      </c>
      <c r="B26" s="167" t="s">
        <v>27</v>
      </c>
      <c r="C26" s="240">
        <v>0</v>
      </c>
      <c r="D26" s="240">
        <v>0</v>
      </c>
      <c r="E26" s="150">
        <f>VLOOKUP($A26,TOCA_previous!$A$2:$AI$137,MATCH(E$4,TOCA_previous!$A$2:$AI$2,0),FALSE)</f>
        <v>2.6879999999999997E-4</v>
      </c>
      <c r="F26" s="151">
        <f>VLOOKUP($A26,TOCA_previous!$A$2:$AI$137,MATCH(F$4,TOCA_previous!$A$2:$AI$2,0),FALSE)</f>
        <v>2.6879999999999997E-4</v>
      </c>
      <c r="G26" s="151">
        <f t="shared" si="2"/>
        <v>0</v>
      </c>
      <c r="H26" s="151">
        <f>VLOOKUP($A26,TOCA_previous!$A$2:$AI$137,MATCH(H$4,TOCA_previous!$A$2:$AI$2,0),FALSE)</f>
        <v>0</v>
      </c>
      <c r="I26" s="151">
        <f t="shared" si="3"/>
        <v>0</v>
      </c>
      <c r="J26" s="151">
        <f t="shared" si="4"/>
        <v>0</v>
      </c>
      <c r="K26" s="226">
        <f>VLOOKUP(A26, IRD!$A$5:$C$139, 3, FALSE)</f>
        <v>0</v>
      </c>
      <c r="L26" s="227">
        <f t="array" ref="L26">IF($G26=0, INDEX(LS_previous!$D$4:$AY$138, MATCH('Staging Table'!$A26, LS_previous!$B$4:$B$138, 0), MATCH(L$4&amp;L$5, LS_previous!$D$2:$AY$2&amp;LS_previous!$D$3:$AY$3, 0)),SUM(VLOOKUP($A26, LS_previous!$B$4:$AY$138, LS_previous!D$149, FALSE), VLOOKUP('Staging Table'!$A26, LS_previous!$B$4:$AY$138,LS_previous!AB$149, FALSE))/2)</f>
        <v>-15</v>
      </c>
      <c r="M26" s="227">
        <f t="array" ref="M26">IF($G26=0, INDEX(LS_previous!$D$4:$AY$138, MATCH('Staging Table'!$A26, LS_previous!$B$4:$B$138, 0), MATCH(M$4&amp;M$5, LS_previous!$D$2:$AY$2&amp;LS_previous!$D$3:$AY$3, 0)),SUM(VLOOKUP($A26, LS_previous!$B$4:$AY$138, LS_previous!E$149, FALSE), VLOOKUP('Staging Table'!$A26, LS_previous!$B$4:$AY$138,LS_previous!AC$149, FALSE))/2)</f>
        <v>1</v>
      </c>
      <c r="N26" s="227">
        <f t="array" ref="N26">IF($G26=0, INDEX(LS_previous!$D$4:$AY$138, MATCH('Staging Table'!$A26, LS_previous!$B$4:$B$138, 0), MATCH(N$4&amp;N$5, LS_previous!$D$2:$AY$2&amp;LS_previous!$D$3:$AY$3, 0)),SUM(VLOOKUP($A26, LS_previous!$B$4:$AY$138, LS_previous!F$149, FALSE), VLOOKUP('Staging Table'!$A26, LS_previous!$B$4:$AY$138,LS_previous!AD$149, FALSE))/2)</f>
        <v>-21</v>
      </c>
      <c r="O26" s="227">
        <f t="array" ref="O26">IF($G26=0, INDEX(LS_previous!$D$4:$AY$138, MATCH('Staging Table'!$A26, LS_previous!$B$4:$B$138, 0), MATCH(O$4&amp;O$5, LS_previous!$D$2:$AY$2&amp;LS_previous!$D$3:$AY$3, 0)),SUM(VLOOKUP($A26, LS_previous!$B$4:$AY$138, LS_previous!G$149, FALSE), VLOOKUP('Staging Table'!$A26, LS_previous!$B$4:$AY$138,LS_previous!AE$149, FALSE))/2)</f>
        <v>35</v>
      </c>
      <c r="P26" s="227">
        <f t="array" ref="P26">IF($G26=0, INDEX(LS_previous!$D$4:$AY$138, MATCH('Staging Table'!$A26, LS_previous!$B$4:$B$138, 0), MATCH(P$4&amp;P$5, LS_previous!$D$2:$AY$2&amp;LS_previous!$D$3:$AY$3, 0)),SUM(VLOOKUP($A26, LS_previous!$B$4:$AY$138, LS_previous!H$149, FALSE), VLOOKUP('Staging Table'!$A26, LS_previous!$B$4:$AY$138,LS_previous!AF$149, FALSE))/2)</f>
        <v>125</v>
      </c>
      <c r="Q26" s="227">
        <f t="array" ref="Q26">IF($G26=0, INDEX(LS_previous!$D$4:$AY$138, MATCH('Staging Table'!$A26, LS_previous!$B$4:$B$138, 0), MATCH(Q$4&amp;Q$5, LS_previous!$D$2:$AY$2&amp;LS_previous!$D$3:$AY$3, 0)),SUM(VLOOKUP($A26, LS_previous!$B$4:$AY$138, LS_previous!I$149, FALSE), VLOOKUP('Staging Table'!$A26, LS_previous!$B$4:$AY$138,LS_previous!AG$149, FALSE))/2)</f>
        <v>173</v>
      </c>
      <c r="R26" s="227">
        <f t="array" ref="R26">IF($G26=0, INDEX(LS_previous!$D$4:$AY$138, MATCH('Staging Table'!$A26, LS_previous!$B$4:$B$138, 0), MATCH(R$4&amp;R$5, LS_previous!$D$2:$AY$2&amp;LS_previous!$D$3:$AY$3, 0)),SUM(VLOOKUP($A26, LS_previous!$B$4:$AY$138, LS_previous!J$149, FALSE), VLOOKUP('Staging Table'!$A26, LS_previous!$B$4:$AY$138,LS_previous!AH$149, FALSE))/2)</f>
        <v>274</v>
      </c>
      <c r="S26" s="227">
        <f t="array" ref="S26">IF($G26=0, INDEX(LS_previous!$D$4:$AY$138, MATCH('Staging Table'!$A26, LS_previous!$B$4:$B$138, 0), MATCH(S$4&amp;S$5, LS_previous!$D$2:$AY$2&amp;LS_previous!$D$3:$AY$3, 0)),SUM(VLOOKUP($A26, LS_previous!$B$4:$AY$138, LS_previous!K$149, FALSE), VLOOKUP('Staging Table'!$A26, LS_previous!$B$4:$AY$138,LS_previous!AI$149, FALSE))/2)</f>
        <v>196</v>
      </c>
      <c r="T26" s="227">
        <f t="array" ref="T26">IF($G26=0, INDEX(LS_previous!$D$4:$AY$138, MATCH('Staging Table'!$A26, LS_previous!$B$4:$B$138, 0), MATCH(T$4&amp;T$5, LS_previous!$D$2:$AY$2&amp;LS_previous!$D$3:$AY$3, 0)),SUM(VLOOKUP($A26, LS_previous!$B$4:$AY$138, LS_previous!L$149, FALSE), VLOOKUP('Staging Table'!$A26, LS_previous!$B$4:$AY$138,LS_previous!AJ$149, FALSE))/2)</f>
        <v>346</v>
      </c>
      <c r="U26" s="227">
        <f t="array" ref="U26">IF($G26=0, INDEX(LS_previous!$D$4:$AY$138, MATCH('Staging Table'!$A26, LS_previous!$B$4:$B$138, 0), MATCH(U$4&amp;U$5, LS_previous!$D$2:$AY$2&amp;LS_previous!$D$3:$AY$3, 0)),SUM(VLOOKUP($A26, LS_previous!$B$4:$AY$138, LS_previous!M$149, FALSE), VLOOKUP('Staging Table'!$A26, LS_previous!$B$4:$AY$138,LS_previous!AK$149, FALSE))/2)</f>
        <v>214</v>
      </c>
      <c r="V26" s="227">
        <f t="array" ref="V26">IF($G26=0, INDEX(LS_previous!$D$4:$AY$138, MATCH('Staging Table'!$A26, LS_previous!$B$4:$B$138, 0), MATCH(V$4&amp;V$5, LS_previous!$D$2:$AY$2&amp;LS_previous!$D$3:$AY$3, 0)),SUM(VLOOKUP($A26, LS_previous!$B$4:$AY$138, LS_previous!N$149, FALSE), VLOOKUP('Staging Table'!$A26, LS_previous!$B$4:$AY$138,LS_previous!AL$149, FALSE))/2)</f>
        <v>103</v>
      </c>
      <c r="W26" s="227">
        <f t="array" ref="W26">IF($G26=0, INDEX(LS_previous!$D$4:$AY$138, MATCH('Staging Table'!$A26, LS_previous!$B$4:$B$138, 0), MATCH(W$4&amp;W$5, LS_previous!$D$2:$AY$2&amp;LS_previous!$D$3:$AY$3, 0)),SUM(VLOOKUP($A26, LS_previous!$B$4:$AY$138, LS_previous!O$149, FALSE), VLOOKUP('Staging Table'!$A26, LS_previous!$B$4:$AY$138,LS_previous!AM$149, FALSE))/2)</f>
        <v>109</v>
      </c>
      <c r="X26" s="227">
        <f t="array" ref="X26">IF($G26=0, INDEX(LS_previous!$D$4:$AY$138, MATCH('Staging Table'!$A26, LS_previous!$B$4:$B$138, 0), MATCH(X$4&amp;X$5, LS_previous!$D$2:$AY$2&amp;LS_previous!$D$3:$AY$3, 0)),SUM(VLOOKUP($A26, LS_previous!$B$4:$AY$138, LS_previous!P$149, FALSE), VLOOKUP('Staging Table'!$A26, LS_previous!$B$4:$AY$138,LS_previous!AN$149, FALSE))/2)</f>
        <v>67</v>
      </c>
      <c r="Y26" s="227">
        <f t="array" ref="Y26">IF($G26=0, INDEX(LS_previous!$D$4:$AY$138, MATCH('Staging Table'!$A26, LS_previous!$B$4:$B$138, 0), MATCH(Y$4&amp;Y$5, LS_previous!$D$2:$AY$2&amp;LS_previous!$D$3:$AY$3, 0)),SUM(VLOOKUP($A26, LS_previous!$B$4:$AY$138, LS_previous!Q$149, FALSE), VLOOKUP('Staging Table'!$A26, LS_previous!$B$4:$AY$138,LS_previous!AO$149, FALSE))/2)</f>
        <v>60</v>
      </c>
      <c r="Z26" s="227">
        <f t="array" ref="Z26">IF($G26=0, INDEX(LS_previous!$D$4:$AY$138, MATCH('Staging Table'!$A26, LS_previous!$B$4:$B$138, 0), MATCH(Z$4&amp;Z$5, LS_previous!$D$2:$AY$2&amp;LS_previous!$D$3:$AY$3, 0)),SUM(VLOOKUP($A26, LS_previous!$B$4:$AY$138, LS_previous!R$149, FALSE), VLOOKUP('Staging Table'!$A26, LS_previous!$B$4:$AY$138,LS_previous!AP$149, FALSE))/2)</f>
        <v>-430</v>
      </c>
      <c r="AA26" s="227">
        <f t="array" ref="AA26">IF($G26=0, INDEX(LS_previous!$D$4:$AY$138, MATCH('Staging Table'!$A26, LS_previous!$B$4:$B$138, 0), MATCH(AA$4&amp;AA$5, LS_previous!$D$2:$AY$2&amp;LS_previous!$D$3:$AY$3, 0)),SUM(VLOOKUP($A26, LS_previous!$B$4:$AY$138, LS_previous!S$149, FALSE), VLOOKUP('Staging Table'!$A26, LS_previous!$B$4:$AY$138,LS_previous!AQ$149, FALSE))/2)</f>
        <v>-183</v>
      </c>
      <c r="AB26" s="227">
        <f t="array" ref="AB26">IF($G26=0, INDEX(LS_previous!$D$4:$AY$138, MATCH('Staging Table'!$A26, LS_previous!$B$4:$B$138, 0), MATCH(AB$4&amp;AB$5, LS_previous!$D$2:$AY$2&amp;LS_previous!$D$3:$AY$3, 0)),SUM(VLOOKUP($A26, LS_previous!$B$4:$AY$138, LS_previous!T$149, FALSE), VLOOKUP('Staging Table'!$A26, LS_previous!$B$4:$AY$138,LS_previous!AR$149, FALSE))/2)</f>
        <v>-228</v>
      </c>
      <c r="AC26" s="227">
        <f t="array" ref="AC26">IF($G26=0, INDEX(LS_previous!$D$4:$AY$138, MATCH('Staging Table'!$A26, LS_previous!$B$4:$B$138, 0), MATCH(AC$4&amp;AC$5, LS_previous!$D$2:$AY$2&amp;LS_previous!$D$3:$AY$3, 0)),SUM(VLOOKUP($A26, LS_previous!$B$4:$AY$138, LS_previous!U$149, FALSE), VLOOKUP('Staging Table'!$A26, LS_previous!$B$4:$AY$138,LS_previous!AS$149, FALSE))/2)</f>
        <v>-106</v>
      </c>
      <c r="AD26" s="227">
        <f t="array" ref="AD26">IF($G26=0, INDEX(LS_previous!$D$4:$AY$138, MATCH('Staging Table'!$A26, LS_previous!$B$4:$B$138, 0), MATCH(AD$4&amp;AD$5, LS_previous!$D$2:$AY$2&amp;LS_previous!$D$3:$AY$3, 0)),SUM(VLOOKUP($A26, LS_previous!$B$4:$AY$138, LS_previous!V$149, FALSE), VLOOKUP('Staging Table'!$A26, LS_previous!$B$4:$AY$138,LS_previous!AT$149, FALSE))/2)</f>
        <v>-109</v>
      </c>
      <c r="AE26" s="227">
        <f t="array" ref="AE26">IF($G26=0, INDEX(LS_previous!$D$4:$AY$138, MATCH('Staging Table'!$A26, LS_previous!$B$4:$B$138, 0), MATCH(AE$4&amp;AE$5, LS_previous!$D$2:$AY$2&amp;LS_previous!$D$3:$AY$3, 0)),SUM(VLOOKUP($A26, LS_previous!$B$4:$AY$138, LS_previous!W$149, FALSE), VLOOKUP('Staging Table'!$A26, LS_previous!$B$4:$AY$138,LS_previous!AU$149, FALSE))/2)</f>
        <v>-30</v>
      </c>
      <c r="AF26" s="227">
        <f t="array" ref="AF26">IF($G26=0, INDEX(LS_previous!$D$4:$AY$138, MATCH('Staging Table'!$A26, LS_previous!$B$4:$B$138, 0), MATCH(AF$4&amp;AF$5, LS_previous!$D$2:$AY$2&amp;LS_previous!$D$3:$AY$3, 0)),SUM(VLOOKUP($A26, LS_previous!$B$4:$AY$138, LS_previous!X$149, FALSE), VLOOKUP('Staging Table'!$A26, LS_previous!$B$4:$AY$138,LS_previous!AV$149, FALSE))/2)</f>
        <v>-203</v>
      </c>
      <c r="AG26" s="227">
        <f t="array" ref="AG26">IF($G26=0, INDEX(LS_previous!$D$4:$AY$138, MATCH('Staging Table'!$A26, LS_previous!$B$4:$B$138, 0), MATCH(AG$4&amp;AG$5, LS_previous!$D$2:$AY$2&amp;LS_previous!$D$3:$AY$3, 0)),SUM(VLOOKUP($A26, LS_previous!$B$4:$AY$138, LS_previous!Y$149, FALSE), VLOOKUP('Staging Table'!$A26, LS_previous!$B$4:$AY$138,LS_previous!AW$149, FALSE))/2)</f>
        <v>-45</v>
      </c>
      <c r="AH26" s="227">
        <f t="array" ref="AH26">IF($G26=0, INDEX(LS_previous!$D$4:$AY$138, MATCH('Staging Table'!$A26, LS_previous!$B$4:$B$138, 0), MATCH(AH$4&amp;AH$5, LS_previous!$D$2:$AY$2&amp;LS_previous!$D$3:$AY$3, 0)),SUM(VLOOKUP($A26, LS_previous!$B$4:$AY$138, LS_previous!Z$149, FALSE), VLOOKUP('Staging Table'!$A26, LS_previous!$B$4:$AY$138,LS_previous!AX$149, FALSE))/2)</f>
        <v>-120</v>
      </c>
      <c r="AI26" s="227">
        <f t="array" ref="AI26">IF($G26=0, INDEX(LS_previous!$D$4:$AY$138, MATCH('Staging Table'!$A26, LS_previous!$B$4:$B$138, 0), MATCH(AI$4&amp;AI$5, LS_previous!$D$2:$AY$2&amp;LS_previous!$D$3:$AY$3, 0)),SUM(VLOOKUP($A26, LS_previous!$B$4:$AY$138, LS_previous!AA$149, FALSE), VLOOKUP('Staging Table'!$A26, LS_previous!$B$4:$AY$138,LS_previous!AY$149, FALSE))/2)</f>
        <v>-56</v>
      </c>
      <c r="AJ26" s="424">
        <f t="array" ref="AJ26">INDEX(Demand_previous!$D$4:$AY$138, MATCH('Staging Table'!$A26, Demand_previous!$B$4:$B$138, 0), MATCH(AJ$4&amp;AJ$5,Demand_previous!$D$2:$AY$2&amp;Demand_previous!$D$3:$AY$3, 0))/1000</f>
        <v>0.112</v>
      </c>
      <c r="AK26" s="424">
        <f t="array" ref="AK26">INDEX(Demand_previous!$D$4:$AY$138, MATCH('Staging Table'!$A26, Demand_previous!$B$4:$B$138, 0), MATCH(AK$4&amp;AK$5,Demand_previous!$D$2:$AY$2&amp;Demand_previous!$D$3:$AY$3, 0))/1000</f>
        <v>0</v>
      </c>
      <c r="AL26" s="424">
        <f t="array" ref="AL26">INDEX(Demand_previous!$D$4:$AY$138, MATCH('Staging Table'!$A26, Demand_previous!$B$4:$B$138, 0), MATCH(AL$4&amp;AL$5,Demand_previous!$D$2:$AY$2&amp;Demand_previous!$D$3:$AY$3, 0))/1000</f>
        <v>0.40400000000000003</v>
      </c>
      <c r="AM26" s="424">
        <f t="array" ref="AM26">INDEX(Demand_previous!$D$4:$AY$138, MATCH('Staging Table'!$A26, Demand_previous!$B$4:$B$138, 0), MATCH(AM$4&amp;AM$5,Demand_previous!$D$2:$AY$2&amp;Demand_previous!$D$3:$AY$3, 0))/1000</f>
        <v>0.38700000000000001</v>
      </c>
      <c r="AN26" s="424">
        <f t="array" ref="AN26">INDEX(Demand_previous!$D$4:$AY$138, MATCH('Staging Table'!$A26, Demand_previous!$B$4:$B$138, 0), MATCH(AN$4&amp;AN$5,Demand_previous!$D$2:$AY$2&amp;Demand_previous!$D$3:$AY$3, 0))/1000</f>
        <v>1.0999999999999999E-2</v>
      </c>
      <c r="AO26" s="424">
        <f t="array" ref="AO26">INDEX(Demand_previous!$D$4:$AY$138, MATCH('Staging Table'!$A26, Demand_previous!$B$4:$B$138, 0), MATCH(AO$4&amp;AO$5,Demand_previous!$D$2:$AY$2&amp;Demand_previous!$D$3:$AY$3, 0))/1000</f>
        <v>0.54800000000000004</v>
      </c>
      <c r="AP26" s="424">
        <f t="array" ref="AP26">INDEX(Demand_previous!$D$4:$AY$138, MATCH('Staging Table'!$A26, Demand_previous!$B$4:$B$138, 0), MATCH(AP$4&amp;AP$5,Demand_previous!$D$2:$AY$2&amp;Demand_previous!$D$3:$AY$3, 0))/1000</f>
        <v>0.249</v>
      </c>
      <c r="AQ26" s="424">
        <f t="array" ref="AQ26">INDEX(Demand_previous!$D$4:$AY$138, MATCH('Staging Table'!$A26, Demand_previous!$B$4:$B$138, 0), MATCH(AQ$4&amp;AQ$5,Demand_previous!$D$2:$AY$2&amp;Demand_previous!$D$3:$AY$3, 0))/1000</f>
        <v>0</v>
      </c>
      <c r="AR26" s="424">
        <f t="array" ref="AR26">INDEX(Demand_previous!$D$4:$AY$138, MATCH('Staging Table'!$A26, Demand_previous!$B$4:$B$138, 0), MATCH(AR$4&amp;AR$5,Demand_previous!$D$2:$AY$2&amp;Demand_previous!$D$3:$AY$3, 0))/1000</f>
        <v>5.2999999999999999E-2</v>
      </c>
      <c r="AS26" s="424">
        <f t="array" ref="AS26">INDEX(Demand_previous!$D$4:$AY$138, MATCH('Staging Table'!$A26, Demand_previous!$B$4:$B$138, 0), MATCH(AS$4&amp;AS$5,Demand_previous!$D$2:$AY$2&amp;Demand_previous!$D$3:$AY$3, 0))/1000</f>
        <v>9.2999999999999999E-2</v>
      </c>
      <c r="AT26" s="424">
        <f t="array" ref="AT26">INDEX(Demand_previous!$D$4:$AY$138, MATCH('Staging Table'!$A26, Demand_previous!$B$4:$B$138, 0), MATCH(AT$4&amp;AT$5,Demand_previous!$D$2:$AY$2&amp;Demand_previous!$D$3:$AY$3, 0))/1000</f>
        <v>0.29399999999999998</v>
      </c>
      <c r="AU26" s="424">
        <f t="array" ref="AU26">INDEX(Demand_previous!$D$4:$AY$138, MATCH('Staging Table'!$A26, Demand_previous!$B$4:$B$138, 0), MATCH(AU$4&amp;AU$5,Demand_previous!$D$2:$AY$2&amp;Demand_previous!$D$3:$AY$3, 0))/1000</f>
        <v>0</v>
      </c>
      <c r="AV26" s="227">
        <f>$F26*(VLOOKUP(AV$4, Rates_previous!$G$6:$Q$29, 10, FALSE)+VLOOKUP(AV$4, Rates_previous!$G$6:$Q$29, 11, FALSE))</f>
        <v>1260.3595905302975</v>
      </c>
      <c r="AW26" s="227">
        <f>$F26*(VLOOKUP(AW$4, Rates_previous!$G$6:$Q$29, 10, FALSE)+VLOOKUP(AW$4, Rates_previous!$G$6:$Q$29, 11, FALSE))</f>
        <v>1557.7086614900156</v>
      </c>
      <c r="AX26" s="227">
        <f>$F26*(VLOOKUP(AX$4, Rates_previous!$G$6:$Q$29, 10, FALSE)+VLOOKUP(AX$4, Rates_previous!$G$6:$Q$29, 11, FALSE))</f>
        <v>1539.0024435750718</v>
      </c>
      <c r="AY26" s="227">
        <f>$F26*(VLOOKUP(AY$4, Rates_previous!$G$6:$Q$29, 10, FALSE)+VLOOKUP(AY$4, Rates_previous!$G$6:$Q$29, 11, FALSE))</f>
        <v>1314.9308968750079</v>
      </c>
      <c r="AZ26" s="227">
        <f>$F26*(VLOOKUP(AZ$4, Rates_previous!$G$6:$Q$29, 10, FALSE)+VLOOKUP(AZ$4, Rates_previous!$G$6:$Q$29, 11, FALSE))</f>
        <v>1077.9882767820095</v>
      </c>
      <c r="BA26" s="227">
        <f>$F26*(VLOOKUP(BA$4, Rates_previous!$G$6:$Q$29, 10, FALSE)+VLOOKUP(BA$4, Rates_previous!$G$6:$Q$29, 11, FALSE))</f>
        <v>1276.2989635417728</v>
      </c>
      <c r="BB26" s="227">
        <f>$F26*(VLOOKUP(BB$4, Rates_previous!$G$6:$Q$29, 10, FALSE)+VLOOKUP(BB$4, Rates_previous!$G$6:$Q$29, 11, FALSE))</f>
        <v>1226.7089529741311</v>
      </c>
      <c r="BC26" s="227">
        <f>$F26*(VLOOKUP(BC$4, Rates_previous!$G$6:$Q$29, 10, FALSE)+VLOOKUP(BC$4, Rates_previous!$G$6:$Q$29, 11, FALSE))</f>
        <v>1800.1085831936255</v>
      </c>
      <c r="BD26" s="227">
        <f>$F26*(VLOOKUP(BD$4, Rates_previous!$G$6:$Q$29, 10, FALSE)+VLOOKUP(BD$4, Rates_previous!$G$6:$Q$29, 11, FALSE))</f>
        <v>1420.2380946899711</v>
      </c>
      <c r="BE26" s="227">
        <f>$F26*(VLOOKUP(BE$4, Rates_previous!$G$6:$Q$29, 10, FALSE)+VLOOKUP(BE$4, Rates_previous!$G$6:$Q$29, 11, FALSE))</f>
        <v>1247.0882555753665</v>
      </c>
      <c r="BF26" s="227">
        <f>$F26*(VLOOKUP(BF$4, Rates_previous!$G$6:$Q$29, 10, FALSE)+VLOOKUP(BF$4, Rates_previous!$G$6:$Q$29, 11, FALSE))</f>
        <v>1381.2001611402623</v>
      </c>
      <c r="BG26" s="227">
        <f>$F26*(VLOOKUP(BG$4, Rates_previous!$G$6:$Q$29, 10, FALSE)+VLOOKUP(BG$4, Rates_previous!$G$6:$Q$29, 11, FALSE))</f>
        <v>1251.3124191051454</v>
      </c>
      <c r="BH26" s="229">
        <f>IF($D26=0,IF(C26=0, MAX(BK26 - (VLOOKUP($A26,TOCA_previous!$A$2:$AI$137,MATCH("RHWM 2018",TOCA_previous!$A$2:$AI$2,0),FALSE)*$F$2*TOCA_previous!C23),0),0), 0)</f>
        <v>6.1055380479992891</v>
      </c>
      <c r="BI26" s="266">
        <f>VLOOKUP($A26,REP_previous!$A$1:$D$135,MATCH("FY "&amp;$F$1&amp; " Total Refund",REP_previous!$A$1:$D$1,0),0)</f>
        <v>29750.927364200797</v>
      </c>
      <c r="BJ26" s="241">
        <f>MIN(VLOOKUP($A26,TOCA_previous!$A$2:$AI$137,MATCH("TRL - NLSL - Existing Resource "&amp;$F$1,TOCA_previous!$A$2:$AI$2,0),FALSE)*$F$2,(VLOOKUP($A26,TOCA_previous!$A$2:$AI$137,MATCH("RHWM 2018",TOCA_previous!$A$2:$AI$2,0),FALSE)*$F$2))</f>
        <v>16354.92</v>
      </c>
      <c r="BK26" s="229">
        <f>SUM(L26:AI26)+(F26*RT1SC!$C$3*$F$2)</f>
        <v>16509.945538047999</v>
      </c>
      <c r="BL26" s="241">
        <f>VLOOKUP($A26,TOCA_previous!$A$2:$AI$137,MATCH("Above RHWM Not Served with LS "&amp;$F$1,TOCA_previous!$A$2:$AI$2,0),FALSE)*$F$2</f>
        <v>0</v>
      </c>
      <c r="BM26" s="151">
        <f t="shared" si="5"/>
        <v>155.02553804799936</v>
      </c>
      <c r="BN26" s="242">
        <f>(VLOOKUP($A26,TOCA_previous!$A$2:$AI$137,MATCH("RHWM 2018",TOCA_previous!$A$2:$AI$2,0),FALSE)*$F$2) - $BJ26</f>
        <v>148.92000000000007</v>
      </c>
      <c r="BO26" s="151">
        <f t="shared" si="6"/>
        <v>-148.92000000000007</v>
      </c>
      <c r="BP26" s="243">
        <f t="shared" si="7"/>
        <v>0</v>
      </c>
      <c r="BQ26" s="237">
        <f t="shared" si="8"/>
        <v>0</v>
      </c>
      <c r="BR26" s="242">
        <f t="shared" si="9"/>
        <v>-148.92000000000007</v>
      </c>
      <c r="BS26" s="151">
        <f>VLOOKUP($A26,TOCA_current!$A$2:$AI$137,MATCH(BS$4,TOCA_current!$A$2:$AI$2,0),FALSE)</f>
        <v>2.6509999999999999E-4</v>
      </c>
      <c r="BT26" s="151">
        <f>VLOOKUP($A26,TOCA_current!$A$2:$AI$137,MATCH(BT$4,TOCA_current!$A$2:$AI$2,0),FALSE)</f>
        <v>2.6509999999999999E-4</v>
      </c>
      <c r="BU26" s="236">
        <f t="shared" si="10"/>
        <v>0</v>
      </c>
      <c r="BV26" s="151">
        <f>VLOOKUP($A26,TOCA_current!A22:BG157,MATCH(BV$4,TOCA_current!$A$2:$BG$2,0),FALSE)</f>
        <v>0</v>
      </c>
      <c r="BW26" s="151">
        <f t="shared" si="11"/>
        <v>0</v>
      </c>
      <c r="BX26" s="151">
        <f t="shared" si="12"/>
        <v>0</v>
      </c>
      <c r="BY26" s="226">
        <f>VLOOKUP($A26,IRD!$A$4:$G$139, 7, FALSE)</f>
        <v>0</v>
      </c>
      <c r="BZ26" s="227">
        <f t="array" ref="BZ26">IF($BU26=0, INDEX(LS_current!$D$4:$AY$138, MATCH('Staging Table'!$A26, LS_current!$B$4:$B$138, 0), MATCH(BZ$4&amp;BZ$5, LS_current!$D$2:$AY$2&amp;LS_current!$D$3:$AY$3, 0)),SUM(VLOOKUP($A26, LS_current!$B$4:$AY$138, LS_current!D$148, FALSE), VLOOKUP($A26, LS_current!$B$4:$AY$138,LS_current!D$148, FALSE))/2)</f>
        <v>7</v>
      </c>
      <c r="CA26" s="227">
        <f t="array" ref="CA26">IF($BU26=0, INDEX(LS_current!$D$4:$AY$138, MATCH('Staging Table'!$A26, LS_current!$B$4:$B$138, 0), MATCH(CA$4&amp;CA$5, LS_current!$D$2:$AY$2&amp;LS_current!$D$3:$AY$3, 0)),SUM(VLOOKUP($A26, LS_current!$B$4:$AY$138, LS_current!E$148, FALSE), VLOOKUP($A26, LS_current!$B$4:$AY$138,LS_current!E$148, FALSE))/2)</f>
        <v>15</v>
      </c>
      <c r="CB26" s="227">
        <f t="array" ref="CB26">IF($BU26=0, INDEX(LS_current!$D$4:$AY$138, MATCH('Staging Table'!$A26, LS_current!$B$4:$B$138, 0), MATCH(CB$4&amp;CB$5, LS_current!$D$2:$AY$2&amp;LS_current!$D$3:$AY$3, 0)),SUM(VLOOKUP($A26, LS_current!$B$4:$AY$138, LS_current!F$148, FALSE), VLOOKUP($A26, LS_current!$B$4:$AY$138,LS_current!F$148, FALSE))/2)</f>
        <v>-14</v>
      </c>
      <c r="CC26" s="227">
        <f t="array" ref="CC26">IF($BU26=0, INDEX(LS_current!$D$4:$AY$138, MATCH('Staging Table'!$A26, LS_current!$B$4:$B$138, 0), MATCH(CC$4&amp;CC$5, LS_current!$D$2:$AY$2&amp;LS_current!$D$3:$AY$3, 0)),SUM(VLOOKUP($A26, LS_current!$B$4:$AY$138, LS_current!G$148, FALSE), VLOOKUP($A26, LS_current!$B$4:$AY$138,LS_current!G$148, FALSE))/2)</f>
        <v>32</v>
      </c>
      <c r="CD26" s="227">
        <f t="array" ref="CD26">IF($BU26=0, INDEX(LS_current!$D$4:$AY$138, MATCH('Staging Table'!$A26, LS_current!$B$4:$B$138, 0), MATCH(CD$4&amp;CD$5, LS_current!$D$2:$AY$2&amp;LS_current!$D$3:$AY$3, 0)),SUM(VLOOKUP($A26, LS_current!$B$4:$AY$138, LS_current!H$148, FALSE), VLOOKUP($A26, LS_current!$B$4:$AY$138,LS_current!H$148, FALSE))/2)</f>
        <v>129</v>
      </c>
      <c r="CE26" s="227">
        <f t="array" ref="CE26">IF($BU26=0, INDEX(LS_current!$D$4:$AY$138, MATCH('Staging Table'!$A26, LS_current!$B$4:$B$138, 0), MATCH(CE$4&amp;CE$5, LS_current!$D$2:$AY$2&amp;LS_current!$D$3:$AY$3, 0)),SUM(VLOOKUP($A26, LS_current!$B$4:$AY$138, LS_current!I$148, FALSE), VLOOKUP($A26, LS_current!$B$4:$AY$138,LS_current!I$148, FALSE))/2)</f>
        <v>171</v>
      </c>
      <c r="CF26" s="227">
        <f t="array" ref="CF26">IF($BU26=0, INDEX(LS_current!$D$4:$AY$138, MATCH('Staging Table'!$A26, LS_current!$B$4:$B$138, 0), MATCH(CF$4&amp;CF$5, LS_current!$D$2:$AY$2&amp;LS_current!$D$3:$AY$3, 0)),SUM(VLOOKUP($A26, LS_current!$B$4:$AY$138, LS_current!J$148, FALSE), VLOOKUP($A26, LS_current!$B$4:$AY$138,LS_current!J$148, FALSE))/2)</f>
        <v>282</v>
      </c>
      <c r="CG26" s="227">
        <f t="array" ref="CG26">IF($BU26=0, INDEX(LS_current!$D$4:$AY$138, MATCH('Staging Table'!$A26, LS_current!$B$4:$B$138, 0), MATCH(CG$4&amp;CG$5, LS_current!$D$2:$AY$2&amp;LS_current!$D$3:$AY$3, 0)),SUM(VLOOKUP($A26, LS_current!$B$4:$AY$138, LS_current!K$148, FALSE), VLOOKUP($A26, LS_current!$B$4:$AY$138,LS_current!K$148, FALSE))/2)</f>
        <v>222</v>
      </c>
      <c r="CH26" s="227">
        <f t="array" ref="CH26">IF($BU26=0, INDEX(LS_current!$D$4:$AY$138, MATCH('Staging Table'!$A26, LS_current!$B$4:$B$138, 0), MATCH(CH$4&amp;CH$5, LS_current!$D$2:$AY$2&amp;LS_current!$D$3:$AY$3, 0)),SUM(VLOOKUP($A26, LS_current!$B$4:$AY$138, LS_current!L$148, FALSE), VLOOKUP($A26, LS_current!$B$4:$AY$138,LS_current!L$148, FALSE))/2)</f>
        <v>295</v>
      </c>
      <c r="CI26" s="227">
        <f t="array" ref="CI26">IF($BU26=0, INDEX(LS_current!$D$4:$AY$138, MATCH('Staging Table'!$A26, LS_current!$B$4:$B$138, 0), MATCH(CI$4&amp;CI$5, LS_current!$D$2:$AY$2&amp;LS_current!$D$3:$AY$3, 0)),SUM(VLOOKUP($A26, LS_current!$B$4:$AY$138, LS_current!M$148, FALSE), VLOOKUP($A26, LS_current!$B$4:$AY$138,LS_current!M$148, FALSE))/2)</f>
        <v>183</v>
      </c>
      <c r="CJ26" s="227">
        <f t="array" ref="CJ26">IF($BU26=0, INDEX(LS_current!$D$4:$AY$138, MATCH('Staging Table'!$A26, LS_current!$B$4:$B$138, 0), MATCH(CJ$4&amp;CJ$5, LS_current!$D$2:$AY$2&amp;LS_current!$D$3:$AY$3, 0)),SUM(VLOOKUP($A26, LS_current!$B$4:$AY$138, LS_current!N$148, FALSE), VLOOKUP($A26, LS_current!$B$4:$AY$138,LS_current!N$148, FALSE))/2)</f>
        <v>90</v>
      </c>
      <c r="CK26" s="227">
        <f t="array" ref="CK26">IF($BU26=0, INDEX(LS_current!$D$4:$AY$138, MATCH('Staging Table'!$A26, LS_current!$B$4:$B$138, 0), MATCH(CK$4&amp;CK$5, LS_current!$D$2:$AY$2&amp;LS_current!$D$3:$AY$3, 0)),SUM(VLOOKUP($A26, LS_current!$B$4:$AY$138, LS_current!O$148, FALSE), VLOOKUP($A26, LS_current!$B$4:$AY$138,LS_current!O$148, FALSE))/2)</f>
        <v>108</v>
      </c>
      <c r="CL26" s="227">
        <f t="array" ref="CL26">IF($BU26=0, INDEX(LS_current!$D$4:$AY$138, MATCH('Staging Table'!$A26, LS_current!$B$4:$B$138, 0), MATCH(CL$4&amp;CL$5, LS_current!$D$2:$AY$2&amp;LS_current!$D$3:$AY$3, 0)),SUM(VLOOKUP($A26, LS_current!$B$4:$AY$138, LS_current!P$148, FALSE), VLOOKUP($A26, LS_current!$B$4:$AY$138,LS_current!P$148, FALSE))/2)</f>
        <v>195</v>
      </c>
      <c r="CM26" s="227">
        <f t="array" ref="CM26">IF($BU26=0, INDEX(LS_current!$D$4:$AY$138, MATCH('Staging Table'!$A26, LS_current!$B$4:$B$138, 0), MATCH(CM$4&amp;CM$5, LS_current!$D$2:$AY$2&amp;LS_current!$D$3:$AY$3, 0)),SUM(VLOOKUP($A26, LS_current!$B$4:$AY$138, LS_current!Q$148, FALSE), VLOOKUP($A26, LS_current!$B$4:$AY$138,LS_current!Q$148, FALSE))/2)</f>
        <v>108</v>
      </c>
      <c r="CN26" s="227">
        <f t="array" ref="CN26">IF($BU26=0, INDEX(LS_current!$D$4:$AY$138, MATCH('Staging Table'!$A26, LS_current!$B$4:$B$138, 0), MATCH(CN$4&amp;CN$5, LS_current!$D$2:$AY$2&amp;LS_current!$D$3:$AY$3, 0)),SUM(VLOOKUP($A26, LS_current!$B$4:$AY$138, LS_current!R$148, FALSE), VLOOKUP($A26, LS_current!$B$4:$AY$138,LS_current!R$148, FALSE))/2)</f>
        <v>-202</v>
      </c>
      <c r="CO26" s="227">
        <f t="array" ref="CO26">IF($BU26=0, INDEX(LS_current!$D$4:$AY$138, MATCH('Staging Table'!$A26, LS_current!$B$4:$B$138, 0), MATCH(CO$4&amp;CO$5, LS_current!$D$2:$AY$2&amp;LS_current!$D$3:$AY$3, 0)),SUM(VLOOKUP($A26, LS_current!$B$4:$AY$138, LS_current!S$148, FALSE), VLOOKUP($A26, LS_current!$B$4:$AY$138,LS_current!S$148, FALSE))/2)</f>
        <v>-27</v>
      </c>
      <c r="CP26" s="227">
        <f t="array" ref="CP26">IF($BU26=0, INDEX(LS_current!$D$4:$AY$138, MATCH('Staging Table'!$A26, LS_current!$B$4:$B$138, 0), MATCH(CP$4&amp;CP$5, LS_current!$D$2:$AY$2&amp;LS_current!$D$3:$AY$3, 0)),SUM(VLOOKUP($A26, LS_current!$B$4:$AY$138, LS_current!T$148, FALSE), VLOOKUP($A26, LS_current!$B$4:$AY$138,LS_current!T$148, FALSE))/2)</f>
        <v>-472</v>
      </c>
      <c r="CQ26" s="227">
        <f t="array" ref="CQ26">IF($BU26=0, INDEX(LS_current!$D$4:$AY$138, MATCH('Staging Table'!$A26, LS_current!$B$4:$B$138, 0), MATCH(CQ$4&amp;CQ$5, LS_current!$D$2:$AY$2&amp;LS_current!$D$3:$AY$3, 0)),SUM(VLOOKUP($A26, LS_current!$B$4:$AY$138, LS_current!U$148, FALSE), VLOOKUP($A26, LS_current!$B$4:$AY$138,LS_current!U$148, FALSE))/2)</f>
        <v>-249</v>
      </c>
      <c r="CR26" s="227">
        <f t="array" ref="CR26">IF($BU26=0, INDEX(LS_current!$D$4:$AY$138, MATCH('Staging Table'!$A26, LS_current!$B$4:$B$138, 0), MATCH(CR$4&amp;CR$5, LS_current!$D$2:$AY$2&amp;LS_current!$D$3:$AY$3, 0)),SUM(VLOOKUP($A26, LS_current!$B$4:$AY$138, LS_current!V$148, FALSE), VLOOKUP($A26, LS_current!$B$4:$AY$138,LS_current!V$148, FALSE))/2)</f>
        <v>-269</v>
      </c>
      <c r="CS26" s="227">
        <f t="array" ref="CS26">IF($BU26=0, INDEX(LS_current!$D$4:$AY$138, MATCH('Staging Table'!$A26, LS_current!$B$4:$B$138, 0), MATCH(CS$4&amp;CS$5, LS_current!$D$2:$AY$2&amp;LS_current!$D$3:$AY$3, 0)),SUM(VLOOKUP($A26, LS_current!$B$4:$AY$138, LS_current!W$148, FALSE), VLOOKUP($A26, LS_current!$B$4:$AY$138,LS_current!W$148, FALSE))/2)</f>
        <v>-39</v>
      </c>
      <c r="CT26" s="227">
        <f t="array" ref="CT26">IF($BU26=0, INDEX(LS_current!$D$4:$AY$138, MATCH('Staging Table'!$A26, LS_current!$B$4:$B$138, 0), MATCH(CT$4&amp;CT$5, LS_current!$D$2:$AY$2&amp;LS_current!$D$3:$AY$3, 0)),SUM(VLOOKUP($A26, LS_current!$B$4:$AY$138, LS_current!X$148, FALSE), VLOOKUP($A26, LS_current!$B$4:$AY$138,LS_current!X$148, FALSE))/2)</f>
        <v>-225</v>
      </c>
      <c r="CU26" s="227">
        <f t="array" ref="CU26">IF($BU26=0, INDEX(LS_current!$D$4:$AY$138, MATCH('Staging Table'!$A26, LS_current!$B$4:$B$138, 0), MATCH(CU$4&amp;CU$5, LS_current!$D$2:$AY$2&amp;LS_current!$D$3:$AY$3, 0)),SUM(VLOOKUP($A26, LS_current!$B$4:$AY$138, LS_current!Y$148, FALSE), VLOOKUP($A26, LS_current!$B$4:$AY$138,LS_current!Y$148, FALSE))/2)</f>
        <v>-22</v>
      </c>
      <c r="CV26" s="227">
        <f t="array" ref="CV26">IF($BU26=0, INDEX(LS_current!$D$4:$AY$138, MATCH('Staging Table'!$A26, LS_current!$B$4:$B$138, 0), MATCH(CV$4&amp;CV$5, LS_current!$D$2:$AY$2&amp;LS_current!$D$3:$AY$3, 0)),SUM(VLOOKUP($A26, LS_current!$B$4:$AY$138, LS_current!Z$148, FALSE), VLOOKUP($A26, LS_current!$B$4:$AY$138,LS_current!Z$148, FALSE))/2)</f>
        <v>-114</v>
      </c>
      <c r="CW26" s="227">
        <f t="array" ref="CW26">IF($BU26=0, INDEX(LS_current!$D$4:$AY$138, MATCH('Staging Table'!$A26, LS_current!$B$4:$B$138, 0), MATCH(CW$4&amp;CW$5, LS_current!$D$2:$AY$2&amp;LS_current!$D$3:$AY$3, 0)),SUM(VLOOKUP($A26, LS_current!$B$4:$AY$138, LS_current!AA$148, FALSE), VLOOKUP($A26, LS_current!$B$4:$AY$138,LS_current!AA$148, FALSE))/2)</f>
        <v>-50</v>
      </c>
      <c r="CX26" s="229">
        <f t="array" ref="CX26">INDEX(Demand_current!$D$4:$AY$138, MATCH($A26, Demand_current!$B$4:$B$138, 0), MATCH(CX$4&amp;CX$5,Demand_current!$D$2:$AY$2&amp;Demand_current!$D$3:$AY$3, 0))/1000</f>
        <v>0.183</v>
      </c>
      <c r="CY26" s="229">
        <f t="array" ref="CY26">INDEX(Demand_current!$D$4:$AY$138, MATCH($A26, Demand_current!$B$4:$B$138, 0), MATCH(CY$4&amp;CY$5,Demand_current!$D$2:$AY$2&amp;Demand_current!$D$3:$AY$3, 0))/1000</f>
        <v>0</v>
      </c>
      <c r="CZ26" s="229">
        <f t="array" ref="CZ26">INDEX(Demand_current!$D$4:$AY$138, MATCH($A26, Demand_current!$B$4:$B$138, 0), MATCH(CZ$4&amp;CZ$5,Demand_current!$D$2:$AY$2&amp;Demand_current!$D$3:$AY$3, 0))/1000</f>
        <v>0.40400000000000003</v>
      </c>
      <c r="DA26" s="229">
        <f t="array" ref="DA26">INDEX(Demand_current!$D$4:$AY$138, MATCH($A26, Demand_current!$B$4:$B$138, 0), MATCH(DA$4&amp;DA$5,Demand_current!$D$2:$AY$2&amp;Demand_current!$D$3:$AY$3, 0))/1000</f>
        <v>0.38700000000000001</v>
      </c>
      <c r="DB26" s="229">
        <f t="array" ref="DB26">INDEX(Demand_current!$D$4:$AY$138, MATCH($A26, Demand_current!$B$4:$B$138, 0), MATCH(DB$4&amp;DB$5,Demand_current!$D$2:$AY$2&amp;Demand_current!$D$3:$AY$3, 0))/1000</f>
        <v>0.11799999999999999</v>
      </c>
      <c r="DC26" s="229">
        <f t="array" ref="DC26">INDEX(Demand_current!$D$4:$AY$138, MATCH($A26, Demand_current!$B$4:$B$138, 0), MATCH(DC$4&amp;DC$5,Demand_current!$D$2:$AY$2&amp;Demand_current!$D$3:$AY$3, 0))/1000</f>
        <v>0.46700000000000003</v>
      </c>
      <c r="DD26" s="229">
        <f t="array" ref="DD26">INDEX(Demand_current!$D$4:$AY$138, MATCH($A26, Demand_current!$B$4:$B$138, 0), MATCH(DD$4&amp;DD$5,Demand_current!$D$2:$AY$2&amp;Demand_current!$D$3:$AY$3, 0))/1000</f>
        <v>0.33200000000000002</v>
      </c>
      <c r="DE26" s="229">
        <f t="array" ref="DE26">INDEX(Demand_current!$D$4:$AY$138, MATCH($A26, Demand_current!$B$4:$B$138, 0), MATCH(DE$4&amp;DE$5,Demand_current!$D$2:$AY$2&amp;Demand_current!$D$3:$AY$3, 0))/1000</f>
        <v>0</v>
      </c>
      <c r="DF26" s="229">
        <f t="array" ref="DF26">INDEX(Demand_current!$D$4:$AY$138, MATCH($A26, Demand_current!$B$4:$B$138, 0), MATCH(DF$4&amp;DF$5,Demand_current!$D$2:$AY$2&amp;Demand_current!$D$3:$AY$3, 0))/1000</f>
        <v>5.2999999999999999E-2</v>
      </c>
      <c r="DG26" s="229">
        <f t="array" ref="DG26">INDEX(Demand_current!$D$4:$AY$138, MATCH($A26, Demand_current!$B$4:$B$138, 0), MATCH(DG$4&amp;DG$5,Demand_current!$D$2:$AY$2&amp;Demand_current!$D$3:$AY$3, 0))/1000</f>
        <v>0.161</v>
      </c>
      <c r="DH26" s="229">
        <f t="array" ref="DH26">INDEX(Demand_current!$D$4:$AY$138, MATCH($A26, Demand_current!$B$4:$B$138, 0), MATCH(DH$4&amp;DH$5,Demand_current!$D$2:$AY$2&amp;Demand_current!$D$3:$AY$3, 0))/1000</f>
        <v>0.23</v>
      </c>
      <c r="DI26" s="229">
        <f t="array" ref="DI26">INDEX(Demand_current!$D$4:$AY$138, MATCH($A26, Demand_current!$B$4:$B$138, 0), MATCH(DI$4&amp;DI$5,Demand_current!$D$2:$AY$2&amp;Demand_current!$D$3:$AY$3, 0))/1000</f>
        <v>0</v>
      </c>
      <c r="DJ26" s="227">
        <f>$BT26*(VLOOKUP(DJ$4, Rates_current!$G$6:$Q$29, 10, FALSE)+VLOOKUP(DJ$4, Rates_current!$G$6:$Q$29, 11, FALSE))</f>
        <v>1224.0507886595999</v>
      </c>
      <c r="DK26" s="227">
        <f>$BT26*(VLOOKUP(DK$4, Rates_current!$G$6:$Q$29, 10, FALSE)+VLOOKUP(DK$4, Rates_current!$G$6:$Q$29, 11, FALSE))</f>
        <v>1554.9263516588999</v>
      </c>
      <c r="DL26" s="227">
        <f>$BT26*(VLOOKUP(DL$4, Rates_current!$G$6:$Q$29, 10, FALSE)+VLOOKUP(DL$4, Rates_current!$G$6:$Q$29, 11, FALSE))</f>
        <v>1536.1485119596</v>
      </c>
      <c r="DM26" s="227">
        <f>$BT26*(VLOOKUP(DM$4, Rates_current!$G$6:$Q$29, 10, FALSE)+VLOOKUP(DM$4, Rates_current!$G$6:$Q$29, 11, FALSE))</f>
        <v>1280.4733471596001</v>
      </c>
      <c r="DN26" s="227">
        <f>$BT26*(VLOOKUP(DN$4, Rates_current!$G$6:$Q$29, 10, FALSE)+VLOOKUP(DN$4, Rates_current!$G$6:$Q$29, 11, FALSE))</f>
        <v>1159.9760136799998</v>
      </c>
      <c r="DO26" s="227">
        <f>$BT26*(VLOOKUP(DO$4, Rates_current!$G$6:$Q$29, 10, FALSE)+VLOOKUP(DO$4, Rates_current!$G$6:$Q$29, 11, FALSE))</f>
        <v>1290.2618308987001</v>
      </c>
      <c r="DP26" s="227">
        <f>$BT26*(VLOOKUP(DP$4, Rates_current!$G$6:$Q$29, 10, FALSE)+VLOOKUP(DP$4, Rates_current!$G$6:$Q$29, 11, FALSE))</f>
        <v>1050.5325750479999</v>
      </c>
      <c r="DQ26" s="227">
        <f>$BT26*(VLOOKUP(DQ$4, Rates_current!$G$6:$Q$29, 10, FALSE)+VLOOKUP(DQ$4, Rates_current!$G$6:$Q$29, 11, FALSE))</f>
        <v>1416.7998292096001</v>
      </c>
      <c r="DR26" s="227">
        <f>$BT26*(VLOOKUP(DR$4, Rates_current!$G$6:$Q$29, 10, FALSE)+VLOOKUP(DR$4, Rates_current!$G$6:$Q$29, 11, FALSE))</f>
        <v>1807.740223498</v>
      </c>
      <c r="DS26" s="227">
        <f>$BT26*(VLOOKUP(DS$4, Rates_current!$G$6:$Q$29, 10, FALSE)+VLOOKUP(DS$4, Rates_current!$G$6:$Q$29, 11, FALSE))</f>
        <v>1417.3256550596002</v>
      </c>
      <c r="DT26" s="227">
        <f>$BT26*(VLOOKUP(DT$4, Rates_current!$G$6:$Q$29, 10, FALSE)+VLOOKUP(DT$4, Rates_current!$G$6:$Q$29, 11, FALSE))</f>
        <v>1380.1929655096001</v>
      </c>
      <c r="DU26" s="227">
        <f>$BT26*(VLOOKUP(DU$4, Rates_current!$G$6:$Q$29, 10, FALSE)+VLOOKUP(DU$4, Rates_current!$G$6:$Q$29, 11, FALSE))</f>
        <v>1239.119678148</v>
      </c>
      <c r="DV26" s="229">
        <f>IF(D26=0,IF(C26=0,MAX(0,DY26 - (VLOOKUP($A26,TOCA_current!$A$2:$AI$137,MATCH("RHWM 2020",TOCA_current!$A$2:$AI$2,0),FALSE)*$BT$2)), 0),0)</f>
        <v>0</v>
      </c>
      <c r="DW26" s="266">
        <f>VLOOKUP($A26,REP_current!$A$1:$D$135,MATCH("FY "&amp;$BT$1&amp; " Total Refund",REP_current!$A$1:$D$1,0),0)</f>
        <v>0</v>
      </c>
      <c r="DX26" s="295">
        <f>MIN(VLOOKUP($A26,TOCA_current!$A$2:$AI$137,MATCH("TRL - NLSL - Existing Resource "&amp;$BT$1,TOCA_current!$A$2:$AI$2,0),FALSE)*$BT$2, VLOOKUP($A26,TOCA_current!$A$2:$AI$137,MATCH("RHWM 2020",TOCA_current!$A$2:$AI$2,0),FALSE)*$BT$2)</f>
        <v>16355.808000000001</v>
      </c>
      <c r="DY26" s="240">
        <f>SUM(BZ26:CW26)+(BT26*RT1SC!$C$4*$BT$2)</f>
        <v>16511.548384460799</v>
      </c>
      <c r="DZ26" s="271">
        <f>VLOOKUP($A26,TOCA_current!$A$2:$AI$137,MATCH("Above RHWM Not Served with LS "&amp;$BT$1,TOCA_current!$A$2:$AI$2,0),FALSE)*$BT$2</f>
        <v>0</v>
      </c>
      <c r="EA26" s="244">
        <f t="shared" si="13"/>
        <v>155.74038446079794</v>
      </c>
      <c r="EB26" s="295">
        <f>(VLOOKUP($A26,TOCA_current!$A$2:$AI$137,MATCH("RHWM 2020",TOCA_current!$A$2:$AI$2,0),FALSE)*$BT$2) - $DX26</f>
        <v>368.92799999999988</v>
      </c>
      <c r="EC26" s="240">
        <f t="shared" si="14"/>
        <v>-155.74038446079794</v>
      </c>
      <c r="ED26" s="240">
        <f t="shared" si="15"/>
        <v>0</v>
      </c>
      <c r="EE26" s="240">
        <f t="shared" si="16"/>
        <v>0</v>
      </c>
      <c r="EF26" s="240">
        <f t="shared" si="17"/>
        <v>-155.74038446079794</v>
      </c>
    </row>
    <row r="27" spans="1:136">
      <c r="A27" s="166">
        <v>10072</v>
      </c>
      <c r="B27" s="167" t="s">
        <v>28</v>
      </c>
      <c r="C27" s="240">
        <v>0</v>
      </c>
      <c r="D27" s="240">
        <v>0</v>
      </c>
      <c r="E27" s="150">
        <f>VLOOKUP($A27,TOCA_previous!$A$2:$AI$137,MATCH(E$4,TOCA_previous!$A$2:$AI$2,0),FALSE)</f>
        <v>3.3977999999999999E-3</v>
      </c>
      <c r="F27" s="151">
        <f>VLOOKUP($A27,TOCA_previous!$A$2:$AI$137,MATCH(F$4,TOCA_previous!$A$2:$AI$2,0),FALSE)</f>
        <v>3.3977999999999999E-3</v>
      </c>
      <c r="G27" s="151">
        <f t="shared" si="2"/>
        <v>0</v>
      </c>
      <c r="H27" s="151">
        <f>VLOOKUP($A27,TOCA_previous!$A$2:$AI$137,MATCH(H$4,TOCA_previous!$A$2:$AI$2,0),FALSE)</f>
        <v>0</v>
      </c>
      <c r="I27" s="151">
        <f t="shared" si="3"/>
        <v>0</v>
      </c>
      <c r="J27" s="151">
        <f t="shared" si="4"/>
        <v>0</v>
      </c>
      <c r="K27" s="226">
        <f>VLOOKUP(A27, IRD!$A$5:$C$139, 3, FALSE)</f>
        <v>0</v>
      </c>
      <c r="L27" s="227">
        <f t="array" ref="L27">IF($G27=0, INDEX(LS_previous!$D$4:$AY$138, MATCH('Staging Table'!$A27, LS_previous!$B$4:$B$138, 0), MATCH(L$4&amp;L$5, LS_previous!$D$2:$AY$2&amp;LS_previous!$D$3:$AY$3, 0)),SUM(VLOOKUP($A27, LS_previous!$B$4:$AY$138, LS_previous!D$149, FALSE), VLOOKUP('Staging Table'!$A27, LS_previous!$B$4:$AY$138,LS_previous!AB$149, FALSE))/2)</f>
        <v>853</v>
      </c>
      <c r="M27" s="227">
        <f t="array" ref="M27">IF($G27=0, INDEX(LS_previous!$D$4:$AY$138, MATCH('Staging Table'!$A27, LS_previous!$B$4:$B$138, 0), MATCH(M$4&amp;M$5, LS_previous!$D$2:$AY$2&amp;LS_previous!$D$3:$AY$3, 0)),SUM(VLOOKUP($A27, LS_previous!$B$4:$AY$138, LS_previous!E$149, FALSE), VLOOKUP('Staging Table'!$A27, LS_previous!$B$4:$AY$138,LS_previous!AC$149, FALSE))/2)</f>
        <v>948</v>
      </c>
      <c r="N27" s="227">
        <f t="array" ref="N27">IF($G27=0, INDEX(LS_previous!$D$4:$AY$138, MATCH('Staging Table'!$A27, LS_previous!$B$4:$B$138, 0), MATCH(N$4&amp;N$5, LS_previous!$D$2:$AY$2&amp;LS_previous!$D$3:$AY$3, 0)),SUM(VLOOKUP($A27, LS_previous!$B$4:$AY$138, LS_previous!F$149, FALSE), VLOOKUP('Staging Table'!$A27, LS_previous!$B$4:$AY$138,LS_previous!AD$149, FALSE))/2)</f>
        <v>-946</v>
      </c>
      <c r="O27" s="227">
        <f t="array" ref="O27">IF($G27=0, INDEX(LS_previous!$D$4:$AY$138, MATCH('Staging Table'!$A27, LS_previous!$B$4:$B$138, 0), MATCH(O$4&amp;O$5, LS_previous!$D$2:$AY$2&amp;LS_previous!$D$3:$AY$3, 0)),SUM(VLOOKUP($A27, LS_previous!$B$4:$AY$138, LS_previous!G$149, FALSE), VLOOKUP('Staging Table'!$A27, LS_previous!$B$4:$AY$138,LS_previous!AE$149, FALSE))/2)</f>
        <v>443</v>
      </c>
      <c r="P27" s="227">
        <f t="array" ref="P27">IF($G27=0, INDEX(LS_previous!$D$4:$AY$138, MATCH('Staging Table'!$A27, LS_previous!$B$4:$B$138, 0), MATCH(P$4&amp;P$5, LS_previous!$D$2:$AY$2&amp;LS_previous!$D$3:$AY$3, 0)),SUM(VLOOKUP($A27, LS_previous!$B$4:$AY$138, LS_previous!H$149, FALSE), VLOOKUP('Staging Table'!$A27, LS_previous!$B$4:$AY$138,LS_previous!AF$149, FALSE))/2)</f>
        <v>1157</v>
      </c>
      <c r="Q27" s="227">
        <f t="array" ref="Q27">IF($G27=0, INDEX(LS_previous!$D$4:$AY$138, MATCH('Staging Table'!$A27, LS_previous!$B$4:$B$138, 0), MATCH(Q$4&amp;Q$5, LS_previous!$D$2:$AY$2&amp;LS_previous!$D$3:$AY$3, 0)),SUM(VLOOKUP($A27, LS_previous!$B$4:$AY$138, LS_previous!I$149, FALSE), VLOOKUP('Staging Table'!$A27, LS_previous!$B$4:$AY$138,LS_previous!AG$149, FALSE))/2)</f>
        <v>1704</v>
      </c>
      <c r="R27" s="227">
        <f t="array" ref="R27">IF($G27=0, INDEX(LS_previous!$D$4:$AY$138, MATCH('Staging Table'!$A27, LS_previous!$B$4:$B$138, 0), MATCH(R$4&amp;R$5, LS_previous!$D$2:$AY$2&amp;LS_previous!$D$3:$AY$3, 0)),SUM(VLOOKUP($A27, LS_previous!$B$4:$AY$138, LS_previous!J$149, FALSE), VLOOKUP('Staging Table'!$A27, LS_previous!$B$4:$AY$138,LS_previous!AH$149, FALSE))/2)</f>
        <v>3344</v>
      </c>
      <c r="S27" s="227">
        <f t="array" ref="S27">IF($G27=0, INDEX(LS_previous!$D$4:$AY$138, MATCH('Staging Table'!$A27, LS_previous!$B$4:$B$138, 0), MATCH(S$4&amp;S$5, LS_previous!$D$2:$AY$2&amp;LS_previous!$D$3:$AY$3, 0)),SUM(VLOOKUP($A27, LS_previous!$B$4:$AY$138, LS_previous!K$149, FALSE), VLOOKUP('Staging Table'!$A27, LS_previous!$B$4:$AY$138,LS_previous!AI$149, FALSE))/2)</f>
        <v>2851</v>
      </c>
      <c r="T27" s="227">
        <f t="array" ref="T27">IF($G27=0, INDEX(LS_previous!$D$4:$AY$138, MATCH('Staging Table'!$A27, LS_previous!$B$4:$B$138, 0), MATCH(T$4&amp;T$5, LS_previous!$D$2:$AY$2&amp;LS_previous!$D$3:$AY$3, 0)),SUM(VLOOKUP($A27, LS_previous!$B$4:$AY$138, LS_previous!L$149, FALSE), VLOOKUP('Staging Table'!$A27, LS_previous!$B$4:$AY$138,LS_previous!AJ$149, FALSE))/2)</f>
        <v>3483</v>
      </c>
      <c r="U27" s="227">
        <f t="array" ref="U27">IF($G27=0, INDEX(LS_previous!$D$4:$AY$138, MATCH('Staging Table'!$A27, LS_previous!$B$4:$B$138, 0), MATCH(U$4&amp;U$5, LS_previous!$D$2:$AY$2&amp;LS_previous!$D$3:$AY$3, 0)),SUM(VLOOKUP($A27, LS_previous!$B$4:$AY$138, LS_previous!M$149, FALSE), VLOOKUP('Staging Table'!$A27, LS_previous!$B$4:$AY$138,LS_previous!AK$149, FALSE))/2)</f>
        <v>2374</v>
      </c>
      <c r="V27" s="227">
        <f t="array" ref="V27">IF($G27=0, INDEX(LS_previous!$D$4:$AY$138, MATCH('Staging Table'!$A27, LS_previous!$B$4:$B$138, 0), MATCH(V$4&amp;V$5, LS_previous!$D$2:$AY$2&amp;LS_previous!$D$3:$AY$3, 0)),SUM(VLOOKUP($A27, LS_previous!$B$4:$AY$138, LS_previous!N$149, FALSE), VLOOKUP('Staging Table'!$A27, LS_previous!$B$4:$AY$138,LS_previous!AL$149, FALSE))/2)</f>
        <v>715</v>
      </c>
      <c r="W27" s="227">
        <f t="array" ref="W27">IF($G27=0, INDEX(LS_previous!$D$4:$AY$138, MATCH('Staging Table'!$A27, LS_previous!$B$4:$B$138, 0), MATCH(W$4&amp;W$5, LS_previous!$D$2:$AY$2&amp;LS_previous!$D$3:$AY$3, 0)),SUM(VLOOKUP($A27, LS_previous!$B$4:$AY$138, LS_previous!O$149, FALSE), VLOOKUP('Staging Table'!$A27, LS_previous!$B$4:$AY$138,LS_previous!AM$149, FALSE))/2)</f>
        <v>723</v>
      </c>
      <c r="X27" s="227">
        <f t="array" ref="X27">IF($G27=0, INDEX(LS_previous!$D$4:$AY$138, MATCH('Staging Table'!$A27, LS_previous!$B$4:$B$138, 0), MATCH(X$4&amp;X$5, LS_previous!$D$2:$AY$2&amp;LS_previous!$D$3:$AY$3, 0)),SUM(VLOOKUP($A27, LS_previous!$B$4:$AY$138, LS_previous!P$149, FALSE), VLOOKUP('Staging Table'!$A27, LS_previous!$B$4:$AY$138,LS_previous!AN$149, FALSE))/2)</f>
        <v>47</v>
      </c>
      <c r="Y27" s="227">
        <f t="array" ref="Y27">IF($G27=0, INDEX(LS_previous!$D$4:$AY$138, MATCH('Staging Table'!$A27, LS_previous!$B$4:$B$138, 0), MATCH(Y$4&amp;Y$5, LS_previous!$D$2:$AY$2&amp;LS_previous!$D$3:$AY$3, 0)),SUM(VLOOKUP($A27, LS_previous!$B$4:$AY$138, LS_previous!Q$149, FALSE), VLOOKUP('Staging Table'!$A27, LS_previous!$B$4:$AY$138,LS_previous!AO$149, FALSE))/2)</f>
        <v>394</v>
      </c>
      <c r="Z27" s="227">
        <f t="array" ref="Z27">IF($G27=0, INDEX(LS_previous!$D$4:$AY$138, MATCH('Staging Table'!$A27, LS_previous!$B$4:$B$138, 0), MATCH(Z$4&amp;Z$5, LS_previous!$D$2:$AY$2&amp;LS_previous!$D$3:$AY$3, 0)),SUM(VLOOKUP($A27, LS_previous!$B$4:$AY$138, LS_previous!R$149, FALSE), VLOOKUP('Staging Table'!$A27, LS_previous!$B$4:$AY$138,LS_previous!AP$149, FALSE))/2)</f>
        <v>-5155</v>
      </c>
      <c r="AA27" s="227">
        <f t="array" ref="AA27">IF($G27=0, INDEX(LS_previous!$D$4:$AY$138, MATCH('Staging Table'!$A27, LS_previous!$B$4:$B$138, 0), MATCH(AA$4&amp;AA$5, LS_previous!$D$2:$AY$2&amp;LS_previous!$D$3:$AY$3, 0)),SUM(VLOOKUP($A27, LS_previous!$B$4:$AY$138, LS_previous!S$149, FALSE), VLOOKUP('Staging Table'!$A27, LS_previous!$B$4:$AY$138,LS_previous!AQ$149, FALSE))/2)</f>
        <v>-2388</v>
      </c>
      <c r="AB27" s="227">
        <f t="array" ref="AB27">IF($G27=0, INDEX(LS_previous!$D$4:$AY$138, MATCH('Staging Table'!$A27, LS_previous!$B$4:$B$138, 0), MATCH(AB$4&amp;AB$5, LS_previous!$D$2:$AY$2&amp;LS_previous!$D$3:$AY$3, 0)),SUM(VLOOKUP($A27, LS_previous!$B$4:$AY$138, LS_previous!T$149, FALSE), VLOOKUP('Staging Table'!$A27, LS_previous!$B$4:$AY$138,LS_previous!AR$149, FALSE))/2)</f>
        <v>-2010</v>
      </c>
      <c r="AC27" s="227">
        <f t="array" ref="AC27">IF($G27=0, INDEX(LS_previous!$D$4:$AY$138, MATCH('Staging Table'!$A27, LS_previous!$B$4:$B$138, 0), MATCH(AC$4&amp;AC$5, LS_previous!$D$2:$AY$2&amp;LS_previous!$D$3:$AY$3, 0)),SUM(VLOOKUP($A27, LS_previous!$B$4:$AY$138, LS_previous!U$149, FALSE), VLOOKUP('Staging Table'!$A27, LS_previous!$B$4:$AY$138,LS_previous!AS$149, FALSE))/2)</f>
        <v>-618</v>
      </c>
      <c r="AD27" s="227">
        <f t="array" ref="AD27">IF($G27=0, INDEX(LS_previous!$D$4:$AY$138, MATCH('Staging Table'!$A27, LS_previous!$B$4:$B$138, 0), MATCH(AD$4&amp;AD$5, LS_previous!$D$2:$AY$2&amp;LS_previous!$D$3:$AY$3, 0)),SUM(VLOOKUP($A27, LS_previous!$B$4:$AY$138, LS_previous!V$149, FALSE), VLOOKUP('Staging Table'!$A27, LS_previous!$B$4:$AY$138,LS_previous!AT$149, FALSE))/2)</f>
        <v>-9</v>
      </c>
      <c r="AE27" s="227">
        <f t="array" ref="AE27">IF($G27=0, INDEX(LS_previous!$D$4:$AY$138, MATCH('Staging Table'!$A27, LS_previous!$B$4:$B$138, 0), MATCH(AE$4&amp;AE$5, LS_previous!$D$2:$AY$2&amp;LS_previous!$D$3:$AY$3, 0)),SUM(VLOOKUP($A27, LS_previous!$B$4:$AY$138, LS_previous!W$149, FALSE), VLOOKUP('Staging Table'!$A27, LS_previous!$B$4:$AY$138,LS_previous!AU$149, FALSE))/2)</f>
        <v>972</v>
      </c>
      <c r="AF27" s="227">
        <f t="array" ref="AF27">IF($G27=0, INDEX(LS_previous!$D$4:$AY$138, MATCH('Staging Table'!$A27, LS_previous!$B$4:$B$138, 0), MATCH(AF$4&amp;AF$5, LS_previous!$D$2:$AY$2&amp;LS_previous!$D$3:$AY$3, 0)),SUM(VLOOKUP($A27, LS_previous!$B$4:$AY$138, LS_previous!X$149, FALSE), VLOOKUP('Staging Table'!$A27, LS_previous!$B$4:$AY$138,LS_previous!AV$149, FALSE))/2)</f>
        <v>-985</v>
      </c>
      <c r="AG27" s="227">
        <f t="array" ref="AG27">IF($G27=0, INDEX(LS_previous!$D$4:$AY$138, MATCH('Staging Table'!$A27, LS_previous!$B$4:$B$138, 0), MATCH(AG$4&amp;AG$5, LS_previous!$D$2:$AY$2&amp;LS_previous!$D$3:$AY$3, 0)),SUM(VLOOKUP($A27, LS_previous!$B$4:$AY$138, LS_previous!Y$149, FALSE), VLOOKUP('Staging Table'!$A27, LS_previous!$B$4:$AY$138,LS_previous!AW$149, FALSE))/2)</f>
        <v>265</v>
      </c>
      <c r="AH27" s="227">
        <f t="array" ref="AH27">IF($G27=0, INDEX(LS_previous!$D$4:$AY$138, MATCH('Staging Table'!$A27, LS_previous!$B$4:$B$138, 0), MATCH(AH$4&amp;AH$5, LS_previous!$D$2:$AY$2&amp;LS_previous!$D$3:$AY$3, 0)),SUM(VLOOKUP($A27, LS_previous!$B$4:$AY$138, LS_previous!Z$149, FALSE), VLOOKUP('Staging Table'!$A27, LS_previous!$B$4:$AY$138,LS_previous!AX$149, FALSE))/2)</f>
        <v>-1348</v>
      </c>
      <c r="AI27" s="227">
        <f t="array" ref="AI27">IF($G27=0, INDEX(LS_previous!$D$4:$AY$138, MATCH('Staging Table'!$A27, LS_previous!$B$4:$B$138, 0), MATCH(AI$4&amp;AI$5, LS_previous!$D$2:$AY$2&amp;LS_previous!$D$3:$AY$3, 0)),SUM(VLOOKUP($A27, LS_previous!$B$4:$AY$138, LS_previous!AA$149, FALSE), VLOOKUP('Staging Table'!$A27, LS_previous!$B$4:$AY$138,LS_previous!AY$149, FALSE))/2)</f>
        <v>-86</v>
      </c>
      <c r="AJ27" s="424">
        <f t="array" ref="AJ27">INDEX(Demand_previous!$D$4:$AY$138, MATCH('Staging Table'!$A27, Demand_previous!$B$4:$B$138, 0), MATCH(AJ$4&amp;AJ$5,Demand_previous!$D$2:$AY$2&amp;Demand_previous!$D$3:$AY$3, 0))/1000</f>
        <v>3.8279999999999998</v>
      </c>
      <c r="AK27" s="424">
        <f t="array" ref="AK27">INDEX(Demand_previous!$D$4:$AY$138, MATCH('Staging Table'!$A27, Demand_previous!$B$4:$B$138, 0), MATCH(AK$4&amp;AK$5,Demand_previous!$D$2:$AY$2&amp;Demand_previous!$D$3:$AY$3, 0))/1000</f>
        <v>2.056</v>
      </c>
      <c r="AL27" s="424">
        <f t="array" ref="AL27">INDEX(Demand_previous!$D$4:$AY$138, MATCH('Staging Table'!$A27, Demand_previous!$B$4:$B$138, 0), MATCH(AL$4&amp;AL$5,Demand_previous!$D$2:$AY$2&amp;Demand_previous!$D$3:$AY$3, 0))/1000</f>
        <v>2.8479999999999999</v>
      </c>
      <c r="AM27" s="424">
        <f t="array" ref="AM27">INDEX(Demand_previous!$D$4:$AY$138, MATCH('Staging Table'!$A27, Demand_previous!$B$4:$B$138, 0), MATCH(AM$4&amp;AM$5,Demand_previous!$D$2:$AY$2&amp;Demand_previous!$D$3:$AY$3, 0))/1000</f>
        <v>5.7519999999999998</v>
      </c>
      <c r="AN27" s="424">
        <f t="array" ref="AN27">INDEX(Demand_previous!$D$4:$AY$138, MATCH('Staging Table'!$A27, Demand_previous!$B$4:$B$138, 0), MATCH(AN$4&amp;AN$5,Demand_previous!$D$2:$AY$2&amp;Demand_previous!$D$3:$AY$3, 0))/1000</f>
        <v>4.4050000000000002</v>
      </c>
      <c r="AO27" s="424">
        <f t="array" ref="AO27">INDEX(Demand_previous!$D$4:$AY$138, MATCH('Staging Table'!$A27, Demand_previous!$B$4:$B$138, 0), MATCH(AO$4&amp;AO$5,Demand_previous!$D$2:$AY$2&amp;Demand_previous!$D$3:$AY$3, 0))/1000</f>
        <v>5.17</v>
      </c>
      <c r="AP27" s="424">
        <f t="array" ref="AP27">INDEX(Demand_previous!$D$4:$AY$138, MATCH('Staging Table'!$A27, Demand_previous!$B$4:$B$138, 0), MATCH(AP$4&amp;AP$5,Demand_previous!$D$2:$AY$2&amp;Demand_previous!$D$3:$AY$3, 0))/1000</f>
        <v>3.3650000000000002</v>
      </c>
      <c r="AQ27" s="424">
        <f t="array" ref="AQ27">INDEX(Demand_previous!$D$4:$AY$138, MATCH('Staging Table'!$A27, Demand_previous!$B$4:$B$138, 0), MATCH(AQ$4&amp;AQ$5,Demand_previous!$D$2:$AY$2&amp;Demand_previous!$D$3:$AY$3, 0))/1000</f>
        <v>2.6339999999999999</v>
      </c>
      <c r="AR27" s="424">
        <f t="array" ref="AR27">INDEX(Demand_previous!$D$4:$AY$138, MATCH('Staging Table'!$A27, Demand_previous!$B$4:$B$138, 0), MATCH(AR$4&amp;AR$5,Demand_previous!$D$2:$AY$2&amp;Demand_previous!$D$3:$AY$3, 0))/1000</f>
        <v>3.0939999999999999</v>
      </c>
      <c r="AS27" s="424">
        <f t="array" ref="AS27">INDEX(Demand_previous!$D$4:$AY$138, MATCH('Staging Table'!$A27, Demand_previous!$B$4:$B$138, 0), MATCH(AS$4&amp;AS$5,Demand_previous!$D$2:$AY$2&amp;Demand_previous!$D$3:$AY$3, 0))/1000</f>
        <v>2.419</v>
      </c>
      <c r="AT27" s="424">
        <f t="array" ref="AT27">INDEX(Demand_previous!$D$4:$AY$138, MATCH('Staging Table'!$A27, Demand_previous!$B$4:$B$138, 0), MATCH(AT$4&amp;AT$5,Demand_previous!$D$2:$AY$2&amp;Demand_previous!$D$3:$AY$3, 0))/1000</f>
        <v>4.617</v>
      </c>
      <c r="AU27" s="424">
        <f t="array" ref="AU27">INDEX(Demand_previous!$D$4:$AY$138, MATCH('Staging Table'!$A27, Demand_previous!$B$4:$B$138, 0), MATCH(AU$4&amp;AU$5,Demand_previous!$D$2:$AY$2&amp;Demand_previous!$D$3:$AY$3, 0))/1000</f>
        <v>3.7240000000000002</v>
      </c>
      <c r="AV27" s="227">
        <f>$F27*(VLOOKUP(AV$4, Rates_previous!$G$6:$Q$29, 10, FALSE)+VLOOKUP(AV$4, Rates_previous!$G$6:$Q$29, 11, FALSE))</f>
        <v>15931.732949047042</v>
      </c>
      <c r="AW27" s="227">
        <f>$F27*(VLOOKUP(AW$4, Rates_previous!$G$6:$Q$29, 10, FALSE)+VLOOKUP(AW$4, Rates_previous!$G$6:$Q$29, 11, FALSE))</f>
        <v>19690.411049147227</v>
      </c>
      <c r="AX27" s="227">
        <f>$F27*(VLOOKUP(AX$4, Rates_previous!$G$6:$Q$29, 10, FALSE)+VLOOKUP(AX$4, Rates_previous!$G$6:$Q$29, 11, FALSE))</f>
        <v>19453.952763316141</v>
      </c>
      <c r="AY27" s="227">
        <f>$F27*(VLOOKUP(AY$4, Rates_previous!$G$6:$Q$29, 10, FALSE)+VLOOKUP(AY$4, Rates_previous!$G$6:$Q$29, 11, FALSE))</f>
        <v>16621.548368310647</v>
      </c>
      <c r="AZ27" s="227">
        <f>$F27*(VLOOKUP(AZ$4, Rates_previous!$G$6:$Q$29, 10, FALSE)+VLOOKUP(AZ$4, Rates_previous!$G$6:$Q$29, 11, FALSE))</f>
        <v>13626.44556119759</v>
      </c>
      <c r="BA27" s="227">
        <f>$F27*(VLOOKUP(BA$4, Rates_previous!$G$6:$Q$29, 10, FALSE)+VLOOKUP(BA$4, Rates_previous!$G$6:$Q$29, 11, FALSE))</f>
        <v>16133.216586020222</v>
      </c>
      <c r="BB27" s="227">
        <f>$F27*(VLOOKUP(BB$4, Rates_previous!$G$6:$Q$29, 10, FALSE)+VLOOKUP(BB$4, Rates_previous!$G$6:$Q$29, 11, FALSE))</f>
        <v>15506.367858688625</v>
      </c>
      <c r="BC27" s="227">
        <f>$F27*(VLOOKUP(BC$4, Rates_previous!$G$6:$Q$29, 10, FALSE)+VLOOKUP(BC$4, Rates_previous!$G$6:$Q$29, 11, FALSE))</f>
        <v>22754.497559431922</v>
      </c>
      <c r="BD27" s="227">
        <f>$F27*(VLOOKUP(BD$4, Rates_previous!$G$6:$Q$29, 10, FALSE)+VLOOKUP(BD$4, Rates_previous!$G$6:$Q$29, 11, FALSE))</f>
        <v>17952.697165690417</v>
      </c>
      <c r="BE27" s="227">
        <f>$F27*(VLOOKUP(BE$4, Rates_previous!$G$6:$Q$29, 10, FALSE)+VLOOKUP(BE$4, Rates_previous!$G$6:$Q$29, 11, FALSE))</f>
        <v>15763.974980632367</v>
      </c>
      <c r="BF27" s="227">
        <f>$F27*(VLOOKUP(BF$4, Rates_previous!$G$6:$Q$29, 10, FALSE)+VLOOKUP(BF$4, Rates_previous!$G$6:$Q$29, 11, FALSE))</f>
        <v>17459.23328691363</v>
      </c>
      <c r="BG27" s="227">
        <f>$F27*(VLOOKUP(BG$4, Rates_previous!$G$6:$Q$29, 10, FALSE)+VLOOKUP(BG$4, Rates_previous!$G$6:$Q$29, 11, FALSE))</f>
        <v>15817.371047750979</v>
      </c>
      <c r="BH27" s="229">
        <f>IF($D27=0,IF(C27=0, MAX(BK27 - (VLOOKUP($A27,TOCA_previous!$A$2:$AI$137,MATCH("RHWM 2018",TOCA_previous!$A$2:$AI$2,0),FALSE)*$F$2*TOCA_previous!C24),0),0), 0)</f>
        <v>6729.7321918879752</v>
      </c>
      <c r="BI27" s="266">
        <f>VLOOKUP($A27,REP_previous!$A$1:$D$135,MATCH("FY "&amp;$F$1&amp; " Total Refund",REP_previous!$A$1:$D$1,0),0)</f>
        <v>309960.83067431522</v>
      </c>
      <c r="BJ27" s="241">
        <f>MIN(VLOOKUP($A27,TOCA_previous!$A$2:$AI$137,MATCH("TRL - NLSL - Existing Resource "&amp;$F$1,TOCA_previous!$A$2:$AI$2,0),FALSE)*$F$2,(VLOOKUP($A27,TOCA_previous!$A$2:$AI$137,MATCH("RHWM 2018",TOCA_previous!$A$2:$AI$2,0),FALSE)*$F$2))</f>
        <v>206709.72</v>
      </c>
      <c r="BK27" s="229">
        <f>SUM(L27:AI27)+(F27*RT1SC!$C$3*$F$2)</f>
        <v>213439.45219188798</v>
      </c>
      <c r="BL27" s="241">
        <f>VLOOKUP($A27,TOCA_previous!$A$2:$AI$137,MATCH("Above RHWM Not Served with LS "&amp;$F$1,TOCA_previous!$A$2:$AI$2,0),FALSE)*$F$2</f>
        <v>3661.68</v>
      </c>
      <c r="BM27" s="151">
        <f t="shared" si="5"/>
        <v>6729.7321918879752</v>
      </c>
      <c r="BN27" s="242">
        <f>(VLOOKUP($A27,TOCA_previous!$A$2:$AI$137,MATCH("RHWM 2018",TOCA_previous!$A$2:$AI$2,0),FALSE)*$F$2) - $BJ27</f>
        <v>0</v>
      </c>
      <c r="BO27" s="151">
        <f t="shared" si="6"/>
        <v>0</v>
      </c>
      <c r="BP27" s="243">
        <f t="shared" si="7"/>
        <v>0</v>
      </c>
      <c r="BQ27" s="237">
        <f t="shared" si="8"/>
        <v>0</v>
      </c>
      <c r="BR27" s="242">
        <f t="shared" si="9"/>
        <v>0</v>
      </c>
      <c r="BS27" s="151">
        <f>VLOOKUP($A27,TOCA_current!$A$2:$AI$137,MATCH(BS$4,TOCA_current!$A$2:$AI$2,0),FALSE)</f>
        <v>3.3960000000000001E-3</v>
      </c>
      <c r="BT27" s="151">
        <f>VLOOKUP($A27,TOCA_current!$A$2:$AI$137,MATCH(BT$4,TOCA_current!$A$2:$AI$2,0),FALSE)</f>
        <v>3.3960000000000001E-3</v>
      </c>
      <c r="BU27" s="236">
        <f t="shared" si="10"/>
        <v>0</v>
      </c>
      <c r="BV27" s="151">
        <f>VLOOKUP($A27,TOCA_current!A23:BG158,MATCH(BV$4,TOCA_current!$A$2:$BG$2,0),FALSE)</f>
        <v>0</v>
      </c>
      <c r="BW27" s="151">
        <f t="shared" si="11"/>
        <v>0</v>
      </c>
      <c r="BX27" s="151">
        <f t="shared" si="12"/>
        <v>0</v>
      </c>
      <c r="BY27" s="226">
        <f>VLOOKUP($A27,IRD!$A$4:$G$139, 7, FALSE)</f>
        <v>0</v>
      </c>
      <c r="BZ27" s="227">
        <f t="array" ref="BZ27">IF($BU27=0, INDEX(LS_current!$D$4:$AY$138, MATCH('Staging Table'!$A27, LS_current!$B$4:$B$138, 0), MATCH(BZ$4&amp;BZ$5, LS_current!$D$2:$AY$2&amp;LS_current!$D$3:$AY$3, 0)),SUM(VLOOKUP($A27, LS_current!$B$4:$AY$138, LS_current!D$148, FALSE), VLOOKUP($A27, LS_current!$B$4:$AY$138,LS_current!D$148, FALSE))/2)</f>
        <v>1170</v>
      </c>
      <c r="CA27" s="227">
        <f t="array" ref="CA27">IF($BU27=0, INDEX(LS_current!$D$4:$AY$138, MATCH('Staging Table'!$A27, LS_current!$B$4:$B$138, 0), MATCH(CA$4&amp;CA$5, LS_current!$D$2:$AY$2&amp;LS_current!$D$3:$AY$3, 0)),SUM(VLOOKUP($A27, LS_current!$B$4:$AY$138, LS_current!E$148, FALSE), VLOOKUP($A27, LS_current!$B$4:$AY$138,LS_current!E$148, FALSE))/2)</f>
        <v>1193</v>
      </c>
      <c r="CB27" s="227">
        <f t="array" ref="CB27">IF($BU27=0, INDEX(LS_current!$D$4:$AY$138, MATCH('Staging Table'!$A27, LS_current!$B$4:$B$138, 0), MATCH(CB$4&amp;CB$5, LS_current!$D$2:$AY$2&amp;LS_current!$D$3:$AY$3, 0)),SUM(VLOOKUP($A27, LS_current!$B$4:$AY$138, LS_current!F$148, FALSE), VLOOKUP($A27, LS_current!$B$4:$AY$138,LS_current!F$148, FALSE))/2)</f>
        <v>-860</v>
      </c>
      <c r="CC27" s="227">
        <f t="array" ref="CC27">IF($BU27=0, INDEX(LS_current!$D$4:$AY$138, MATCH('Staging Table'!$A27, LS_current!$B$4:$B$138, 0), MATCH(CC$4&amp;CC$5, LS_current!$D$2:$AY$2&amp;LS_current!$D$3:$AY$3, 0)),SUM(VLOOKUP($A27, LS_current!$B$4:$AY$138, LS_current!G$148, FALSE), VLOOKUP($A27, LS_current!$B$4:$AY$138,LS_current!G$148, FALSE))/2)</f>
        <v>430</v>
      </c>
      <c r="CD27" s="227">
        <f t="array" ref="CD27">IF($BU27=0, INDEX(LS_current!$D$4:$AY$138, MATCH('Staging Table'!$A27, LS_current!$B$4:$B$138, 0), MATCH(CD$4&amp;CD$5, LS_current!$D$2:$AY$2&amp;LS_current!$D$3:$AY$3, 0)),SUM(VLOOKUP($A27, LS_current!$B$4:$AY$138, LS_current!H$148, FALSE), VLOOKUP($A27, LS_current!$B$4:$AY$138,LS_current!H$148, FALSE))/2)</f>
        <v>1223</v>
      </c>
      <c r="CE27" s="227">
        <f t="array" ref="CE27">IF($BU27=0, INDEX(LS_current!$D$4:$AY$138, MATCH('Staging Table'!$A27, LS_current!$B$4:$B$138, 0), MATCH(CE$4&amp;CE$5, LS_current!$D$2:$AY$2&amp;LS_current!$D$3:$AY$3, 0)),SUM(VLOOKUP($A27, LS_current!$B$4:$AY$138, LS_current!I$148, FALSE), VLOOKUP($A27, LS_current!$B$4:$AY$138,LS_current!I$148, FALSE))/2)</f>
        <v>1725</v>
      </c>
      <c r="CF27" s="227">
        <f t="array" ref="CF27">IF($BU27=0, INDEX(LS_current!$D$4:$AY$138, MATCH('Staging Table'!$A27, LS_current!$B$4:$B$138, 0), MATCH(CF$4&amp;CF$5, LS_current!$D$2:$AY$2&amp;LS_current!$D$3:$AY$3, 0)),SUM(VLOOKUP($A27, LS_current!$B$4:$AY$138, LS_current!J$148, FALSE), VLOOKUP($A27, LS_current!$B$4:$AY$138,LS_current!J$148, FALSE))/2)</f>
        <v>3478</v>
      </c>
      <c r="CG27" s="227">
        <f t="array" ref="CG27">IF($BU27=0, INDEX(LS_current!$D$4:$AY$138, MATCH('Staging Table'!$A27, LS_current!$B$4:$B$138, 0), MATCH(CG$4&amp;CG$5, LS_current!$D$2:$AY$2&amp;LS_current!$D$3:$AY$3, 0)),SUM(VLOOKUP($A27, LS_current!$B$4:$AY$138, LS_current!K$148, FALSE), VLOOKUP($A27, LS_current!$B$4:$AY$138,LS_current!K$148, FALSE))/2)</f>
        <v>3246</v>
      </c>
      <c r="CH27" s="227">
        <f t="array" ref="CH27">IF($BU27=0, INDEX(LS_current!$D$4:$AY$138, MATCH('Staging Table'!$A27, LS_current!$B$4:$B$138, 0), MATCH(CH$4&amp;CH$5, LS_current!$D$2:$AY$2&amp;LS_current!$D$3:$AY$3, 0)),SUM(VLOOKUP($A27, LS_current!$B$4:$AY$138, LS_current!L$148, FALSE), VLOOKUP($A27, LS_current!$B$4:$AY$138,LS_current!L$148, FALSE))/2)</f>
        <v>2876</v>
      </c>
      <c r="CI27" s="227">
        <f t="array" ref="CI27">IF($BU27=0, INDEX(LS_current!$D$4:$AY$138, MATCH('Staging Table'!$A27, LS_current!$B$4:$B$138, 0), MATCH(CI$4&amp;CI$5, LS_current!$D$2:$AY$2&amp;LS_current!$D$3:$AY$3, 0)),SUM(VLOOKUP($A27, LS_current!$B$4:$AY$138, LS_current!M$148, FALSE), VLOOKUP($A27, LS_current!$B$4:$AY$138,LS_current!M$148, FALSE))/2)</f>
        <v>2029</v>
      </c>
      <c r="CJ27" s="227">
        <f t="array" ref="CJ27">IF($BU27=0, INDEX(LS_current!$D$4:$AY$138, MATCH('Staging Table'!$A27, LS_current!$B$4:$B$138, 0), MATCH(CJ$4&amp;CJ$5, LS_current!$D$2:$AY$2&amp;LS_current!$D$3:$AY$3, 0)),SUM(VLOOKUP($A27, LS_current!$B$4:$AY$138, LS_current!N$148, FALSE), VLOOKUP($A27, LS_current!$B$4:$AY$138,LS_current!N$148, FALSE))/2)</f>
        <v>589</v>
      </c>
      <c r="CK27" s="227">
        <f t="array" ref="CK27">IF($BU27=0, INDEX(LS_current!$D$4:$AY$138, MATCH('Staging Table'!$A27, LS_current!$B$4:$B$138, 0), MATCH(CK$4&amp;CK$5, LS_current!$D$2:$AY$2&amp;LS_current!$D$3:$AY$3, 0)),SUM(VLOOKUP($A27, LS_current!$B$4:$AY$138, LS_current!O$148, FALSE), VLOOKUP($A27, LS_current!$B$4:$AY$138,LS_current!O$148, FALSE))/2)</f>
        <v>765</v>
      </c>
      <c r="CL27" s="227">
        <f t="array" ref="CL27">IF($BU27=0, INDEX(LS_current!$D$4:$AY$138, MATCH('Staging Table'!$A27, LS_current!$B$4:$B$138, 0), MATCH(CL$4&amp;CL$5, LS_current!$D$2:$AY$2&amp;LS_current!$D$3:$AY$3, 0)),SUM(VLOOKUP($A27, LS_current!$B$4:$AY$138, LS_current!P$148, FALSE), VLOOKUP($A27, LS_current!$B$4:$AY$138,LS_current!P$148, FALSE))/2)</f>
        <v>1718</v>
      </c>
      <c r="CM27" s="227">
        <f t="array" ref="CM27">IF($BU27=0, INDEX(LS_current!$D$4:$AY$138, MATCH('Staging Table'!$A27, LS_current!$B$4:$B$138, 0), MATCH(CM$4&amp;CM$5, LS_current!$D$2:$AY$2&amp;LS_current!$D$3:$AY$3, 0)),SUM(VLOOKUP($A27, LS_current!$B$4:$AY$138, LS_current!Q$148, FALSE), VLOOKUP($A27, LS_current!$B$4:$AY$138,LS_current!Q$148, FALSE))/2)</f>
        <v>1072</v>
      </c>
      <c r="CN27" s="227">
        <f t="array" ref="CN27">IF($BU27=0, INDEX(LS_current!$D$4:$AY$138, MATCH('Staging Table'!$A27, LS_current!$B$4:$B$138, 0), MATCH(CN$4&amp;CN$5, LS_current!$D$2:$AY$2&amp;LS_current!$D$3:$AY$3, 0)),SUM(VLOOKUP($A27, LS_current!$B$4:$AY$138, LS_current!R$148, FALSE), VLOOKUP($A27, LS_current!$B$4:$AY$138,LS_current!R$148, FALSE))/2)</f>
        <v>-2256</v>
      </c>
      <c r="CO27" s="227">
        <f t="array" ref="CO27">IF($BU27=0, INDEX(LS_current!$D$4:$AY$138, MATCH('Staging Table'!$A27, LS_current!$B$4:$B$138, 0), MATCH(CO$4&amp;CO$5, LS_current!$D$2:$AY$2&amp;LS_current!$D$3:$AY$3, 0)),SUM(VLOOKUP($A27, LS_current!$B$4:$AY$138, LS_current!S$148, FALSE), VLOOKUP($A27, LS_current!$B$4:$AY$138,LS_current!S$148, FALSE))/2)</f>
        <v>-371</v>
      </c>
      <c r="CP27" s="227">
        <f t="array" ref="CP27">IF($BU27=0, INDEX(LS_current!$D$4:$AY$138, MATCH('Staging Table'!$A27, LS_current!$B$4:$B$138, 0), MATCH(CP$4&amp;CP$5, LS_current!$D$2:$AY$2&amp;LS_current!$D$3:$AY$3, 0)),SUM(VLOOKUP($A27, LS_current!$B$4:$AY$138, LS_current!T$148, FALSE), VLOOKUP($A27, LS_current!$B$4:$AY$138,LS_current!T$148, FALSE))/2)</f>
        <v>-5120</v>
      </c>
      <c r="CQ27" s="227">
        <f t="array" ref="CQ27">IF($BU27=0, INDEX(LS_current!$D$4:$AY$138, MATCH('Staging Table'!$A27, LS_current!$B$4:$B$138, 0), MATCH(CQ$4&amp;CQ$5, LS_current!$D$2:$AY$2&amp;LS_current!$D$3:$AY$3, 0)),SUM(VLOOKUP($A27, LS_current!$B$4:$AY$138, LS_current!U$148, FALSE), VLOOKUP($A27, LS_current!$B$4:$AY$138,LS_current!U$148, FALSE))/2)</f>
        <v>-2411</v>
      </c>
      <c r="CR27" s="227">
        <f t="array" ref="CR27">IF($BU27=0, INDEX(LS_current!$D$4:$AY$138, MATCH('Staging Table'!$A27, LS_current!$B$4:$B$138, 0), MATCH(CR$4&amp;CR$5, LS_current!$D$2:$AY$2&amp;LS_current!$D$3:$AY$3, 0)),SUM(VLOOKUP($A27, LS_current!$B$4:$AY$138, LS_current!V$148, FALSE), VLOOKUP($A27, LS_current!$B$4:$AY$138,LS_current!V$148, FALSE))/2)</f>
        <v>-2034</v>
      </c>
      <c r="CS27" s="227">
        <f t="array" ref="CS27">IF($BU27=0, INDEX(LS_current!$D$4:$AY$138, MATCH('Staging Table'!$A27, LS_current!$B$4:$B$138, 0), MATCH(CS$4&amp;CS$5, LS_current!$D$2:$AY$2&amp;LS_current!$D$3:$AY$3, 0)),SUM(VLOOKUP($A27, LS_current!$B$4:$AY$138, LS_current!W$148, FALSE), VLOOKUP($A27, LS_current!$B$4:$AY$138,LS_current!W$148, FALSE))/2)</f>
        <v>916</v>
      </c>
      <c r="CT27" s="227">
        <f t="array" ref="CT27">IF($BU27=0, INDEX(LS_current!$D$4:$AY$138, MATCH('Staging Table'!$A27, LS_current!$B$4:$B$138, 0), MATCH(CT$4&amp;CT$5, LS_current!$D$2:$AY$2&amp;LS_current!$D$3:$AY$3, 0)),SUM(VLOOKUP($A27, LS_current!$B$4:$AY$138, LS_current!X$148, FALSE), VLOOKUP($A27, LS_current!$B$4:$AY$138,LS_current!X$148, FALSE))/2)</f>
        <v>-1240</v>
      </c>
      <c r="CU27" s="227">
        <f t="array" ref="CU27">IF($BU27=0, INDEX(LS_current!$D$4:$AY$138, MATCH('Staging Table'!$A27, LS_current!$B$4:$B$138, 0), MATCH(CU$4&amp;CU$5, LS_current!$D$2:$AY$2&amp;LS_current!$D$3:$AY$3, 0)),SUM(VLOOKUP($A27, LS_current!$B$4:$AY$138, LS_current!Y$148, FALSE), VLOOKUP($A27, LS_current!$B$4:$AY$138,LS_current!Y$148, FALSE))/2)</f>
        <v>610</v>
      </c>
      <c r="CV27" s="227">
        <f t="array" ref="CV27">IF($BU27=0, INDEX(LS_current!$D$4:$AY$138, MATCH('Staging Table'!$A27, LS_current!$B$4:$B$138, 0), MATCH(CV$4&amp;CV$5, LS_current!$D$2:$AY$2&amp;LS_current!$D$3:$AY$3, 0)),SUM(VLOOKUP($A27, LS_current!$B$4:$AY$138, LS_current!Z$148, FALSE), VLOOKUP($A27, LS_current!$B$4:$AY$138,LS_current!Z$148, FALSE))/2)</f>
        <v>-1242</v>
      </c>
      <c r="CW27" s="227">
        <f t="array" ref="CW27">IF($BU27=0, INDEX(LS_current!$D$4:$AY$138, MATCH('Staging Table'!$A27, LS_current!$B$4:$B$138, 0), MATCH(CW$4&amp;CW$5, LS_current!$D$2:$AY$2&amp;LS_current!$D$3:$AY$3, 0)),SUM(VLOOKUP($A27, LS_current!$B$4:$AY$138, LS_current!AA$148, FALSE), VLOOKUP($A27, LS_current!$B$4:$AY$138,LS_current!AA$148, FALSE))/2)</f>
        <v>53</v>
      </c>
      <c r="CX27" s="229">
        <f t="array" ref="CX27">INDEX(Demand_current!$D$4:$AY$138, MATCH($A27, Demand_current!$B$4:$B$138, 0), MATCH(CX$4&amp;CX$5,Demand_current!$D$2:$AY$2&amp;Demand_current!$D$3:$AY$3, 0))/1000</f>
        <v>4.8410000000000002</v>
      </c>
      <c r="CY27" s="229">
        <f t="array" ref="CY27">INDEX(Demand_current!$D$4:$AY$138, MATCH($A27, Demand_current!$B$4:$B$138, 0), MATCH(CY$4&amp;CY$5,Demand_current!$D$2:$AY$2&amp;Demand_current!$D$3:$AY$3, 0))/1000</f>
        <v>2.056</v>
      </c>
      <c r="CZ27" s="229">
        <f t="array" ref="CZ27">INDEX(Demand_current!$D$4:$AY$138, MATCH($A27, Demand_current!$B$4:$B$138, 0), MATCH(CZ$4&amp;CZ$5,Demand_current!$D$2:$AY$2&amp;Demand_current!$D$3:$AY$3, 0))/1000</f>
        <v>2.8479999999999999</v>
      </c>
      <c r="DA27" s="229">
        <f t="array" ref="DA27">INDEX(Demand_current!$D$4:$AY$138, MATCH($A27, Demand_current!$B$4:$B$138, 0), MATCH(DA$4&amp;DA$5,Demand_current!$D$2:$AY$2&amp;Demand_current!$D$3:$AY$3, 0))/1000</f>
        <v>5.7519999999999998</v>
      </c>
      <c r="DB27" s="229">
        <f t="array" ref="DB27">INDEX(Demand_current!$D$4:$AY$138, MATCH($A27, Demand_current!$B$4:$B$138, 0), MATCH(DB$4&amp;DB$5,Demand_current!$D$2:$AY$2&amp;Demand_current!$D$3:$AY$3, 0))/1000</f>
        <v>5.6820000000000004</v>
      </c>
      <c r="DC27" s="229">
        <f t="array" ref="DC27">INDEX(Demand_current!$D$4:$AY$138, MATCH($A27, Demand_current!$B$4:$B$138, 0), MATCH(DC$4&amp;DC$5,Demand_current!$D$2:$AY$2&amp;Demand_current!$D$3:$AY$3, 0))/1000</f>
        <v>4.1820000000000004</v>
      </c>
      <c r="DD27" s="229">
        <f t="array" ref="DD27">INDEX(Demand_current!$D$4:$AY$138, MATCH($A27, Demand_current!$B$4:$B$138, 0), MATCH(DD$4&amp;DD$5,Demand_current!$D$2:$AY$2&amp;Demand_current!$D$3:$AY$3, 0))/1000</f>
        <v>4.3449999999999998</v>
      </c>
      <c r="DE27" s="229">
        <f t="array" ref="DE27">INDEX(Demand_current!$D$4:$AY$138, MATCH($A27, Demand_current!$B$4:$B$138, 0), MATCH(DE$4&amp;DE$5,Demand_current!$D$2:$AY$2&amp;Demand_current!$D$3:$AY$3, 0))/1000</f>
        <v>1.7190000000000001</v>
      </c>
      <c r="DF27" s="229">
        <f t="array" ref="DF27">INDEX(Demand_current!$D$4:$AY$138, MATCH($A27, Demand_current!$B$4:$B$138, 0), MATCH(DF$4&amp;DF$5,Demand_current!$D$2:$AY$2&amp;Demand_current!$D$3:$AY$3, 0))/1000</f>
        <v>3.0939999999999999</v>
      </c>
      <c r="DG27" s="229">
        <f t="array" ref="DG27">INDEX(Demand_current!$D$4:$AY$138, MATCH($A27, Demand_current!$B$4:$B$138, 0), MATCH(DG$4&amp;DG$5,Demand_current!$D$2:$AY$2&amp;Demand_current!$D$3:$AY$3, 0))/1000</f>
        <v>3.4249999999999998</v>
      </c>
      <c r="DH27" s="229">
        <f t="array" ref="DH27">INDEX(Demand_current!$D$4:$AY$138, MATCH($A27, Demand_current!$B$4:$B$138, 0), MATCH(DH$4&amp;DH$5,Demand_current!$D$2:$AY$2&amp;Demand_current!$D$3:$AY$3, 0))/1000</f>
        <v>3.649</v>
      </c>
      <c r="DI27" s="229">
        <f t="array" ref="DI27">INDEX(Demand_current!$D$4:$AY$138, MATCH($A27, Demand_current!$B$4:$B$138, 0), MATCH(DI$4&amp;DI$5,Demand_current!$D$2:$AY$2&amp;Demand_current!$D$3:$AY$3, 0))/1000</f>
        <v>4.6539999999999999</v>
      </c>
      <c r="DJ27" s="227">
        <f>$BT27*(VLOOKUP(DJ$4, Rates_current!$G$6:$Q$29, 10, FALSE)+VLOOKUP(DJ$4, Rates_current!$G$6:$Q$29, 11, FALSE))</f>
        <v>15680.409197616</v>
      </c>
      <c r="DK27" s="227">
        <f>$BT27*(VLOOKUP(DK$4, Rates_current!$G$6:$Q$29, 10, FALSE)+VLOOKUP(DK$4, Rates_current!$G$6:$Q$29, 11, FALSE))</f>
        <v>19919.011279644001</v>
      </c>
      <c r="DL27" s="227">
        <f>$BT27*(VLOOKUP(DL$4, Rates_current!$G$6:$Q$29, 10, FALSE)+VLOOKUP(DL$4, Rates_current!$G$6:$Q$29, 11, FALSE))</f>
        <v>19678.462265616003</v>
      </c>
      <c r="DM27" s="227">
        <f>$BT27*(VLOOKUP(DM$4, Rates_current!$G$6:$Q$29, 10, FALSE)+VLOOKUP(DM$4, Rates_current!$G$6:$Q$29, 11, FALSE))</f>
        <v>16403.196857616003</v>
      </c>
      <c r="DN27" s="227">
        <f>$BT27*(VLOOKUP(DN$4, Rates_current!$G$6:$Q$29, 10, FALSE)+VLOOKUP(DN$4, Rates_current!$G$6:$Q$29, 11, FALSE))</f>
        <v>14859.5946528</v>
      </c>
      <c r="DO27" s="227">
        <f>$BT27*(VLOOKUP(DO$4, Rates_current!$G$6:$Q$29, 10, FALSE)+VLOOKUP(DO$4, Rates_current!$G$6:$Q$29, 11, FALSE))</f>
        <v>16528.589882052001</v>
      </c>
      <c r="DP27" s="227">
        <f>$BT27*(VLOOKUP(DP$4, Rates_current!$G$6:$Q$29, 10, FALSE)+VLOOKUP(DP$4, Rates_current!$G$6:$Q$29, 11, FALSE))</f>
        <v>13457.59571808</v>
      </c>
      <c r="DQ27" s="227">
        <f>$BT27*(VLOOKUP(DQ$4, Rates_current!$G$6:$Q$29, 10, FALSE)+VLOOKUP(DQ$4, Rates_current!$G$6:$Q$29, 11, FALSE))</f>
        <v>18149.574575616003</v>
      </c>
      <c r="DR27" s="227">
        <f>$BT27*(VLOOKUP(DR$4, Rates_current!$G$6:$Q$29, 10, FALSE)+VLOOKUP(DR$4, Rates_current!$G$6:$Q$29, 11, FALSE))</f>
        <v>23157.622780080004</v>
      </c>
      <c r="DS27" s="227">
        <f>$BT27*(VLOOKUP(DS$4, Rates_current!$G$6:$Q$29, 10, FALSE)+VLOOKUP(DS$4, Rates_current!$G$6:$Q$29, 11, FALSE))</f>
        <v>18156.310541616003</v>
      </c>
      <c r="DT27" s="227">
        <f>$BT27*(VLOOKUP(DT$4, Rates_current!$G$6:$Q$29, 10, FALSE)+VLOOKUP(DT$4, Rates_current!$G$6:$Q$29, 11, FALSE))</f>
        <v>17680.631123616004</v>
      </c>
      <c r="DU27" s="227">
        <f>$BT27*(VLOOKUP(DU$4, Rates_current!$G$6:$Q$29, 10, FALSE)+VLOOKUP(DU$4, Rates_current!$G$6:$Q$29, 11, FALSE))</f>
        <v>15873.445594080002</v>
      </c>
      <c r="DV27" s="229">
        <f>IF(D27=0,IF(C27=0,MAX(0,DY27 - (VLOOKUP($A27,TOCA_current!$A$2:$AI$137,MATCH("RHWM 2020",TOCA_current!$A$2:$AI$2,0),FALSE)*$BT$2)), 0),0)</f>
        <v>7561.1323335679772</v>
      </c>
      <c r="DW27" s="266">
        <f>VLOOKUP($A27,REP_current!$A$1:$D$135,MATCH("FY "&amp;$BT$1&amp; " Total Refund",REP_current!$A$1:$D$1,0),0)</f>
        <v>0</v>
      </c>
      <c r="DX27" s="295">
        <f>MIN(VLOOKUP($A27,TOCA_current!$A$2:$AI$137,MATCH("TRL - NLSL - Existing Resource "&amp;$BT$1,TOCA_current!$A$2:$AI$2,0),FALSE)*$BT$2, VLOOKUP($A27,TOCA_current!$A$2:$AI$137,MATCH("RHWM 2020",TOCA_current!$A$2:$AI$2,0),FALSE)*$BT$2)</f>
        <v>209542.32</v>
      </c>
      <c r="DY27" s="240">
        <f>SUM(BZ27:CW27)+(BT27*RT1SC!$C$4*$BT$2)</f>
        <v>217103.45233356798</v>
      </c>
      <c r="DZ27" s="271">
        <f>VLOOKUP($A27,TOCA_current!$A$2:$AI$137,MATCH("Above RHWM Not Served with LS "&amp;$BT$1,TOCA_current!$A$2:$AI$2,0),FALSE)*$BT$2</f>
        <v>0</v>
      </c>
      <c r="EA27" s="244">
        <f t="shared" si="13"/>
        <v>7561.1323335679772</v>
      </c>
      <c r="EB27" s="295">
        <f>(VLOOKUP($A27,TOCA_current!$A$2:$AI$137,MATCH("RHWM 2020",TOCA_current!$A$2:$AI$2,0),FALSE)*$BT$2) - $DX27</f>
        <v>0</v>
      </c>
      <c r="EC27" s="240">
        <f t="shared" si="14"/>
        <v>0</v>
      </c>
      <c r="ED27" s="240">
        <f t="shared" si="15"/>
        <v>0</v>
      </c>
      <c r="EE27" s="240">
        <f t="shared" si="16"/>
        <v>0</v>
      </c>
      <c r="EF27" s="240">
        <f t="shared" si="17"/>
        <v>0</v>
      </c>
    </row>
    <row r="28" spans="1:136">
      <c r="A28" s="166">
        <v>10074</v>
      </c>
      <c r="B28" s="167" t="s">
        <v>29</v>
      </c>
      <c r="C28" s="240">
        <v>0</v>
      </c>
      <c r="D28" s="240">
        <v>0</v>
      </c>
      <c r="E28" s="150">
        <f>VLOOKUP($A28,TOCA_previous!$A$2:$AI$137,MATCH(E$4,TOCA_previous!$A$2:$AI$2,0),FALSE)</f>
        <v>3.7804000000000002E-3</v>
      </c>
      <c r="F28" s="151">
        <f>VLOOKUP($A28,TOCA_previous!$A$2:$AI$137,MATCH(F$4,TOCA_previous!$A$2:$AI$2,0),FALSE)</f>
        <v>3.7804000000000002E-3</v>
      </c>
      <c r="G28" s="151">
        <f t="shared" si="2"/>
        <v>0</v>
      </c>
      <c r="H28" s="151">
        <f>VLOOKUP($A28,TOCA_previous!$A$2:$AI$137,MATCH(H$4,TOCA_previous!$A$2:$AI$2,0),FALSE)</f>
        <v>0</v>
      </c>
      <c r="I28" s="151">
        <f t="shared" si="3"/>
        <v>0</v>
      </c>
      <c r="J28" s="151">
        <f t="shared" si="4"/>
        <v>0</v>
      </c>
      <c r="K28" s="226">
        <f>VLOOKUP(A28, IRD!$A$5:$C$139, 3, FALSE)</f>
        <v>0</v>
      </c>
      <c r="L28" s="227">
        <f t="array" ref="L28">IF($G28=0, INDEX(LS_previous!$D$4:$AY$138, MATCH('Staging Table'!$A28, LS_previous!$B$4:$B$138, 0), MATCH(L$4&amp;L$5, LS_previous!$D$2:$AY$2&amp;LS_previous!$D$3:$AY$3, 0)),SUM(VLOOKUP($A28, LS_previous!$B$4:$AY$138, LS_previous!D$149, FALSE), VLOOKUP('Staging Table'!$A28, LS_previous!$B$4:$AY$138,LS_previous!AB$149, FALSE))/2)</f>
        <v>743</v>
      </c>
      <c r="M28" s="227">
        <f t="array" ref="M28">IF($G28=0, INDEX(LS_previous!$D$4:$AY$138, MATCH('Staging Table'!$A28, LS_previous!$B$4:$B$138, 0), MATCH(M$4&amp;M$5, LS_previous!$D$2:$AY$2&amp;LS_previous!$D$3:$AY$3, 0)),SUM(VLOOKUP($A28, LS_previous!$B$4:$AY$138, LS_previous!E$149, FALSE), VLOOKUP('Staging Table'!$A28, LS_previous!$B$4:$AY$138,LS_previous!AC$149, FALSE))/2)</f>
        <v>222</v>
      </c>
      <c r="N28" s="227">
        <f t="array" ref="N28">IF($G28=0, INDEX(LS_previous!$D$4:$AY$138, MATCH('Staging Table'!$A28, LS_previous!$B$4:$B$138, 0), MATCH(N$4&amp;N$5, LS_previous!$D$2:$AY$2&amp;LS_previous!$D$3:$AY$3, 0)),SUM(VLOOKUP($A28, LS_previous!$B$4:$AY$138, LS_previous!F$149, FALSE), VLOOKUP('Staging Table'!$A28, LS_previous!$B$4:$AY$138,LS_previous!AD$149, FALSE))/2)</f>
        <v>221</v>
      </c>
      <c r="O28" s="227">
        <f t="array" ref="O28">IF($G28=0, INDEX(LS_previous!$D$4:$AY$138, MATCH('Staging Table'!$A28, LS_previous!$B$4:$B$138, 0), MATCH(O$4&amp;O$5, LS_previous!$D$2:$AY$2&amp;LS_previous!$D$3:$AY$3, 0)),SUM(VLOOKUP($A28, LS_previous!$B$4:$AY$138, LS_previous!G$149, FALSE), VLOOKUP('Staging Table'!$A28, LS_previous!$B$4:$AY$138,LS_previous!AE$149, FALSE))/2)</f>
        <v>667</v>
      </c>
      <c r="P28" s="227">
        <f t="array" ref="P28">IF($G28=0, INDEX(LS_previous!$D$4:$AY$138, MATCH('Staging Table'!$A28, LS_previous!$B$4:$B$138, 0), MATCH(P$4&amp;P$5, LS_previous!$D$2:$AY$2&amp;LS_previous!$D$3:$AY$3, 0)),SUM(VLOOKUP($A28, LS_previous!$B$4:$AY$138, LS_previous!H$149, FALSE), VLOOKUP('Staging Table'!$A28, LS_previous!$B$4:$AY$138,LS_previous!AF$149, FALSE))/2)</f>
        <v>1335</v>
      </c>
      <c r="Q28" s="227">
        <f t="array" ref="Q28">IF($G28=0, INDEX(LS_previous!$D$4:$AY$138, MATCH('Staging Table'!$A28, LS_previous!$B$4:$B$138, 0), MATCH(Q$4&amp;Q$5, LS_previous!$D$2:$AY$2&amp;LS_previous!$D$3:$AY$3, 0)),SUM(VLOOKUP($A28, LS_previous!$B$4:$AY$138, LS_previous!I$149, FALSE), VLOOKUP('Staging Table'!$A28, LS_previous!$B$4:$AY$138,LS_previous!AG$149, FALSE))/2)</f>
        <v>1712</v>
      </c>
      <c r="R28" s="227">
        <f t="array" ref="R28">IF($G28=0, INDEX(LS_previous!$D$4:$AY$138, MATCH('Staging Table'!$A28, LS_previous!$B$4:$B$138, 0), MATCH(R$4&amp;R$5, LS_previous!$D$2:$AY$2&amp;LS_previous!$D$3:$AY$3, 0)),SUM(VLOOKUP($A28, LS_previous!$B$4:$AY$138, LS_previous!J$149, FALSE), VLOOKUP('Staging Table'!$A28, LS_previous!$B$4:$AY$138,LS_previous!AH$149, FALSE))/2)</f>
        <v>3648</v>
      </c>
      <c r="S28" s="227">
        <f t="array" ref="S28">IF($G28=0, INDEX(LS_previous!$D$4:$AY$138, MATCH('Staging Table'!$A28, LS_previous!$B$4:$B$138, 0), MATCH(S$4&amp;S$5, LS_previous!$D$2:$AY$2&amp;LS_previous!$D$3:$AY$3, 0)),SUM(VLOOKUP($A28, LS_previous!$B$4:$AY$138, LS_previous!K$149, FALSE), VLOOKUP('Staging Table'!$A28, LS_previous!$B$4:$AY$138,LS_previous!AI$149, FALSE))/2)</f>
        <v>2186</v>
      </c>
      <c r="T28" s="227">
        <f t="array" ref="T28">IF($G28=0, INDEX(LS_previous!$D$4:$AY$138, MATCH('Staging Table'!$A28, LS_previous!$B$4:$B$138, 0), MATCH(T$4&amp;T$5, LS_previous!$D$2:$AY$2&amp;LS_previous!$D$3:$AY$3, 0)),SUM(VLOOKUP($A28, LS_previous!$B$4:$AY$138, LS_previous!L$149, FALSE), VLOOKUP('Staging Table'!$A28, LS_previous!$B$4:$AY$138,LS_previous!AJ$149, FALSE))/2)</f>
        <v>4814</v>
      </c>
      <c r="U28" s="227">
        <f t="array" ref="U28">IF($G28=0, INDEX(LS_previous!$D$4:$AY$138, MATCH('Staging Table'!$A28, LS_previous!$B$4:$B$138, 0), MATCH(U$4&amp;U$5, LS_previous!$D$2:$AY$2&amp;LS_previous!$D$3:$AY$3, 0)),SUM(VLOOKUP($A28, LS_previous!$B$4:$AY$138, LS_previous!M$149, FALSE), VLOOKUP('Staging Table'!$A28, LS_previous!$B$4:$AY$138,LS_previous!AK$149, FALSE))/2)</f>
        <v>2747</v>
      </c>
      <c r="V28" s="227">
        <f t="array" ref="V28">IF($G28=0, INDEX(LS_previous!$D$4:$AY$138, MATCH('Staging Table'!$A28, LS_previous!$B$4:$B$138, 0), MATCH(V$4&amp;V$5, LS_previous!$D$2:$AY$2&amp;LS_previous!$D$3:$AY$3, 0)),SUM(VLOOKUP($A28, LS_previous!$B$4:$AY$138, LS_previous!N$149, FALSE), VLOOKUP('Staging Table'!$A28, LS_previous!$B$4:$AY$138,LS_previous!AL$149, FALSE))/2)</f>
        <v>2011</v>
      </c>
      <c r="W28" s="227">
        <f t="array" ref="W28">IF($G28=0, INDEX(LS_previous!$D$4:$AY$138, MATCH('Staging Table'!$A28, LS_previous!$B$4:$B$138, 0), MATCH(W$4&amp;W$5, LS_previous!$D$2:$AY$2&amp;LS_previous!$D$3:$AY$3, 0)),SUM(VLOOKUP($A28, LS_previous!$B$4:$AY$138, LS_previous!O$149, FALSE), VLOOKUP('Staging Table'!$A28, LS_previous!$B$4:$AY$138,LS_previous!AM$149, FALSE))/2)</f>
        <v>1544</v>
      </c>
      <c r="X28" s="227">
        <f t="array" ref="X28">IF($G28=0, INDEX(LS_previous!$D$4:$AY$138, MATCH('Staging Table'!$A28, LS_previous!$B$4:$B$138, 0), MATCH(X$4&amp;X$5, LS_previous!$D$2:$AY$2&amp;LS_previous!$D$3:$AY$3, 0)),SUM(VLOOKUP($A28, LS_previous!$B$4:$AY$138, LS_previous!P$149, FALSE), VLOOKUP('Staging Table'!$A28, LS_previous!$B$4:$AY$138,LS_previous!AN$149, FALSE))/2)</f>
        <v>1800</v>
      </c>
      <c r="Y28" s="227">
        <f t="array" ref="Y28">IF($G28=0, INDEX(LS_previous!$D$4:$AY$138, MATCH('Staging Table'!$A28, LS_previous!$B$4:$B$138, 0), MATCH(Y$4&amp;Y$5, LS_previous!$D$2:$AY$2&amp;LS_previous!$D$3:$AY$3, 0)),SUM(VLOOKUP($A28, LS_previous!$B$4:$AY$138, LS_previous!Q$149, FALSE), VLOOKUP('Staging Table'!$A28, LS_previous!$B$4:$AY$138,LS_previous!AO$149, FALSE))/2)</f>
        <v>1054</v>
      </c>
      <c r="Z28" s="227">
        <f t="array" ref="Z28">IF($G28=0, INDEX(LS_previous!$D$4:$AY$138, MATCH('Staging Table'!$A28, LS_previous!$B$4:$B$138, 0), MATCH(Z$4&amp;Z$5, LS_previous!$D$2:$AY$2&amp;LS_previous!$D$3:$AY$3, 0)),SUM(VLOOKUP($A28, LS_previous!$B$4:$AY$138, LS_previous!R$149, FALSE), VLOOKUP('Staging Table'!$A28, LS_previous!$B$4:$AY$138,LS_previous!AP$149, FALSE))/2)</f>
        <v>-5281</v>
      </c>
      <c r="AA28" s="227">
        <f t="array" ref="AA28">IF($G28=0, INDEX(LS_previous!$D$4:$AY$138, MATCH('Staging Table'!$A28, LS_previous!$B$4:$B$138, 0), MATCH(AA$4&amp;AA$5, LS_previous!$D$2:$AY$2&amp;LS_previous!$D$3:$AY$3, 0)),SUM(VLOOKUP($A28, LS_previous!$B$4:$AY$138, LS_previous!S$149, FALSE), VLOOKUP('Staging Table'!$A28, LS_previous!$B$4:$AY$138,LS_previous!AQ$149, FALSE))/2)</f>
        <v>-2465</v>
      </c>
      <c r="AB28" s="227">
        <f t="array" ref="AB28">IF($G28=0, INDEX(LS_previous!$D$4:$AY$138, MATCH('Staging Table'!$A28, LS_previous!$B$4:$B$138, 0), MATCH(AB$4&amp;AB$5, LS_previous!$D$2:$AY$2&amp;LS_previous!$D$3:$AY$3, 0)),SUM(VLOOKUP($A28, LS_previous!$B$4:$AY$138, LS_previous!T$149, FALSE), VLOOKUP('Staging Table'!$A28, LS_previous!$B$4:$AY$138,LS_previous!AR$149, FALSE))/2)</f>
        <v>-2780</v>
      </c>
      <c r="AC28" s="227">
        <f t="array" ref="AC28">IF($G28=0, INDEX(LS_previous!$D$4:$AY$138, MATCH('Staging Table'!$A28, LS_previous!$B$4:$B$138, 0), MATCH(AC$4&amp;AC$5, LS_previous!$D$2:$AY$2&amp;LS_previous!$D$3:$AY$3, 0)),SUM(VLOOKUP($A28, LS_previous!$B$4:$AY$138, LS_previous!U$149, FALSE), VLOOKUP('Staging Table'!$A28, LS_previous!$B$4:$AY$138,LS_previous!AS$149, FALSE))/2)</f>
        <v>-1518</v>
      </c>
      <c r="AD28" s="227">
        <f t="array" ref="AD28">IF($G28=0, INDEX(LS_previous!$D$4:$AY$138, MATCH('Staging Table'!$A28, LS_previous!$B$4:$B$138, 0), MATCH(AD$4&amp;AD$5, LS_previous!$D$2:$AY$2&amp;LS_previous!$D$3:$AY$3, 0)),SUM(VLOOKUP($A28, LS_previous!$B$4:$AY$138, LS_previous!V$149, FALSE), VLOOKUP('Staging Table'!$A28, LS_previous!$B$4:$AY$138,LS_previous!AT$149, FALSE))/2)</f>
        <v>296</v>
      </c>
      <c r="AE28" s="227">
        <f t="array" ref="AE28">IF($G28=0, INDEX(LS_previous!$D$4:$AY$138, MATCH('Staging Table'!$A28, LS_previous!$B$4:$B$138, 0), MATCH(AE$4&amp;AE$5, LS_previous!$D$2:$AY$2&amp;LS_previous!$D$3:$AY$3, 0)),SUM(VLOOKUP($A28, LS_previous!$B$4:$AY$138, LS_previous!W$149, FALSE), VLOOKUP('Staging Table'!$A28, LS_previous!$B$4:$AY$138,LS_previous!AU$149, FALSE))/2)</f>
        <v>435</v>
      </c>
      <c r="AF28" s="227">
        <f t="array" ref="AF28">IF($G28=0, INDEX(LS_previous!$D$4:$AY$138, MATCH('Staging Table'!$A28, LS_previous!$B$4:$B$138, 0), MATCH(AF$4&amp;AF$5, LS_previous!$D$2:$AY$2&amp;LS_previous!$D$3:$AY$3, 0)),SUM(VLOOKUP($A28, LS_previous!$B$4:$AY$138, LS_previous!X$149, FALSE), VLOOKUP('Staging Table'!$A28, LS_previous!$B$4:$AY$138,LS_previous!AV$149, FALSE))/2)</f>
        <v>-1045</v>
      </c>
      <c r="AG28" s="227">
        <f t="array" ref="AG28">IF($G28=0, INDEX(LS_previous!$D$4:$AY$138, MATCH('Staging Table'!$A28, LS_previous!$B$4:$B$138, 0), MATCH(AG$4&amp;AG$5, LS_previous!$D$2:$AY$2&amp;LS_previous!$D$3:$AY$3, 0)),SUM(VLOOKUP($A28, LS_previous!$B$4:$AY$138, LS_previous!Y$149, FALSE), VLOOKUP('Staging Table'!$A28, LS_previous!$B$4:$AY$138,LS_previous!AW$149, FALSE))/2)</f>
        <v>157</v>
      </c>
      <c r="AH28" s="227">
        <f t="array" ref="AH28">IF($G28=0, INDEX(LS_previous!$D$4:$AY$138, MATCH('Staging Table'!$A28, LS_previous!$B$4:$B$138, 0), MATCH(AH$4&amp;AH$5, LS_previous!$D$2:$AY$2&amp;LS_previous!$D$3:$AY$3, 0)),SUM(VLOOKUP($A28, LS_previous!$B$4:$AY$138, LS_previous!Z$149, FALSE), VLOOKUP('Staging Table'!$A28, LS_previous!$B$4:$AY$138,LS_previous!AX$149, FALSE))/2)</f>
        <v>-420</v>
      </c>
      <c r="AI28" s="227">
        <f t="array" ref="AI28">IF($G28=0, INDEX(LS_previous!$D$4:$AY$138, MATCH('Staging Table'!$A28, LS_previous!$B$4:$B$138, 0), MATCH(AI$4&amp;AI$5, LS_previous!$D$2:$AY$2&amp;LS_previous!$D$3:$AY$3, 0)),SUM(VLOOKUP($A28, LS_previous!$B$4:$AY$138, LS_previous!AA$149, FALSE), VLOOKUP('Staging Table'!$A28, LS_previous!$B$4:$AY$138,LS_previous!AY$149, FALSE))/2)</f>
        <v>-155</v>
      </c>
      <c r="AJ28" s="424">
        <f t="array" ref="AJ28">INDEX(Demand_previous!$D$4:$AY$138, MATCH('Staging Table'!$A28, Demand_previous!$B$4:$B$138, 0), MATCH(AJ$4&amp;AJ$5,Demand_previous!$D$2:$AY$2&amp;Demand_previous!$D$3:$AY$3, 0))/1000</f>
        <v>3.198</v>
      </c>
      <c r="AK28" s="424">
        <f t="array" ref="AK28">INDEX(Demand_previous!$D$4:$AY$138, MATCH('Staging Table'!$A28, Demand_previous!$B$4:$B$138, 0), MATCH(AK$4&amp;AK$5,Demand_previous!$D$2:$AY$2&amp;Demand_previous!$D$3:$AY$3, 0))/1000</f>
        <v>3.2250000000000001</v>
      </c>
      <c r="AL28" s="424">
        <f t="array" ref="AL28">INDEX(Demand_previous!$D$4:$AY$138, MATCH('Staging Table'!$A28, Demand_previous!$B$4:$B$138, 0), MATCH(AL$4&amp;AL$5,Demand_previous!$D$2:$AY$2&amp;Demand_previous!$D$3:$AY$3, 0))/1000</f>
        <v>5.7370000000000001</v>
      </c>
      <c r="AM28" s="424">
        <f t="array" ref="AM28">INDEX(Demand_previous!$D$4:$AY$138, MATCH('Staging Table'!$A28, Demand_previous!$B$4:$B$138, 0), MATCH(AM$4&amp;AM$5,Demand_previous!$D$2:$AY$2&amp;Demand_previous!$D$3:$AY$3, 0))/1000</f>
        <v>5.5330000000000004</v>
      </c>
      <c r="AN28" s="424">
        <f t="array" ref="AN28">INDEX(Demand_previous!$D$4:$AY$138, MATCH('Staging Table'!$A28, Demand_previous!$B$4:$B$138, 0), MATCH(AN$4&amp;AN$5,Demand_previous!$D$2:$AY$2&amp;Demand_previous!$D$3:$AY$3, 0))/1000</f>
        <v>1.8260000000000001</v>
      </c>
      <c r="AO28" s="424">
        <f t="array" ref="AO28">INDEX(Demand_previous!$D$4:$AY$138, MATCH('Staging Table'!$A28, Demand_previous!$B$4:$B$138, 0), MATCH(AO$4&amp;AO$5,Demand_previous!$D$2:$AY$2&amp;Demand_previous!$D$3:$AY$3, 0))/1000</f>
        <v>5.9119999999999999</v>
      </c>
      <c r="AP28" s="424">
        <f t="array" ref="AP28">INDEX(Demand_previous!$D$4:$AY$138, MATCH('Staging Table'!$A28, Demand_previous!$B$4:$B$138, 0), MATCH(AP$4&amp;AP$5,Demand_previous!$D$2:$AY$2&amp;Demand_previous!$D$3:$AY$3, 0))/1000</f>
        <v>1.591</v>
      </c>
      <c r="AQ28" s="424">
        <f t="array" ref="AQ28">INDEX(Demand_previous!$D$4:$AY$138, MATCH('Staging Table'!$A28, Demand_previous!$B$4:$B$138, 0), MATCH(AQ$4&amp;AQ$5,Demand_previous!$D$2:$AY$2&amp;Demand_previous!$D$3:$AY$3, 0))/1000</f>
        <v>2.4830000000000001</v>
      </c>
      <c r="AR28" s="424">
        <f t="array" ref="AR28">INDEX(Demand_previous!$D$4:$AY$138, MATCH('Staging Table'!$A28, Demand_previous!$B$4:$B$138, 0), MATCH(AR$4&amp;AR$5,Demand_previous!$D$2:$AY$2&amp;Demand_previous!$D$3:$AY$3, 0))/1000</f>
        <v>5.3029999999999999</v>
      </c>
      <c r="AS28" s="424">
        <f t="array" ref="AS28">INDEX(Demand_previous!$D$4:$AY$138, MATCH('Staging Table'!$A28, Demand_previous!$B$4:$B$138, 0), MATCH(AS$4&amp;AS$5,Demand_previous!$D$2:$AY$2&amp;Demand_previous!$D$3:$AY$3, 0))/1000</f>
        <v>4.2300000000000004</v>
      </c>
      <c r="AT28" s="424">
        <f t="array" ref="AT28">INDEX(Demand_previous!$D$4:$AY$138, MATCH('Staging Table'!$A28, Demand_previous!$B$4:$B$138, 0), MATCH(AT$4&amp;AT$5,Demand_previous!$D$2:$AY$2&amp;Demand_previous!$D$3:$AY$3, 0))/1000</f>
        <v>6.3710000000000004</v>
      </c>
      <c r="AU28" s="424">
        <f t="array" ref="AU28">INDEX(Demand_previous!$D$4:$AY$138, MATCH('Staging Table'!$A28, Demand_previous!$B$4:$B$138, 0), MATCH(AU$4&amp;AU$5,Demand_previous!$D$2:$AY$2&amp;Demand_previous!$D$3:$AY$3, 0))/1000</f>
        <v>5.5730000000000004</v>
      </c>
      <c r="AV28" s="227">
        <f>$F28*(VLOOKUP(AV$4, Rates_previous!$G$6:$Q$29, 10, FALSE)+VLOOKUP(AV$4, Rates_previous!$G$6:$Q$29, 11, FALSE))</f>
        <v>17725.682276937267</v>
      </c>
      <c r="AW28" s="227">
        <f>$F28*(VLOOKUP(AW$4, Rates_previous!$G$6:$Q$29, 10, FALSE)+VLOOKUP(AW$4, Rates_previous!$G$6:$Q$29, 11, FALSE))</f>
        <v>21907.596071044849</v>
      </c>
      <c r="AX28" s="227">
        <f>$F28*(VLOOKUP(AX$4, Rates_previous!$G$6:$Q$29, 10, FALSE)+VLOOKUP(AX$4, Rates_previous!$G$6:$Q$29, 11, FALSE))</f>
        <v>21644.512044982152</v>
      </c>
      <c r="AY28" s="227">
        <f>$F28*(VLOOKUP(AY$4, Rates_previous!$G$6:$Q$29, 10, FALSE)+VLOOKUP(AY$4, Rates_previous!$G$6:$Q$29, 11, FALSE))</f>
        <v>18493.172479710865</v>
      </c>
      <c r="AZ28" s="227">
        <f>$F28*(VLOOKUP(AZ$4, Rates_previous!$G$6:$Q$29, 10, FALSE)+VLOOKUP(AZ$4, Rates_previous!$G$6:$Q$29, 11, FALSE))</f>
        <v>15160.814291468412</v>
      </c>
      <c r="BA28" s="227">
        <f>$F28*(VLOOKUP(BA$4, Rates_previous!$G$6:$Q$29, 10, FALSE)+VLOOKUP(BA$4, Rates_previous!$G$6:$Q$29, 11, FALSE))</f>
        <v>17949.853429216215</v>
      </c>
      <c r="BB28" s="227">
        <f>$F28*(VLOOKUP(BB$4, Rates_previous!$G$6:$Q$29, 10, FALSE)+VLOOKUP(BB$4, Rates_previous!$G$6:$Q$29, 11, FALSE))</f>
        <v>17252.42011095017</v>
      </c>
      <c r="BC28" s="227">
        <f>$F28*(VLOOKUP(BC$4, Rates_previous!$G$6:$Q$29, 10, FALSE)+VLOOKUP(BC$4, Rates_previous!$G$6:$Q$29, 11, FALSE))</f>
        <v>25316.705684171066</v>
      </c>
      <c r="BD28" s="227">
        <f>$F28*(VLOOKUP(BD$4, Rates_previous!$G$6:$Q$29, 10, FALSE)+VLOOKUP(BD$4, Rates_previous!$G$6:$Q$29, 11, FALSE))</f>
        <v>19974.211656123389</v>
      </c>
      <c r="BE28" s="227">
        <f>$F28*(VLOOKUP(BE$4, Rates_previous!$G$6:$Q$29, 10, FALSE)+VLOOKUP(BE$4, Rates_previous!$G$6:$Q$29, 11, FALSE))</f>
        <v>17539.034380123197</v>
      </c>
      <c r="BF28" s="227">
        <f>$F28*(VLOOKUP(BF$4, Rates_previous!$G$6:$Q$29, 10, FALSE)+VLOOKUP(BF$4, Rates_previous!$G$6:$Q$29, 11, FALSE))</f>
        <v>19425.18262341759</v>
      </c>
      <c r="BG28" s="227">
        <f>$F28*(VLOOKUP(BG$4, Rates_previous!$G$6:$Q$29, 10, FALSE)+VLOOKUP(BG$4, Rates_previous!$G$6:$Q$29, 11, FALSE))</f>
        <v>17598.44296571835</v>
      </c>
      <c r="BH28" s="229">
        <f>IF($D28=0,IF(C28=0, MAX(BK28 - (VLOOKUP($A28,TOCA_previous!$A$2:$AI$137,MATCH("RHWM 2018",TOCA_previous!$A$2:$AI$2,0),FALSE)*$F$2*TOCA_previous!C25),0),0), 0)</f>
        <v>11930.591369183996</v>
      </c>
      <c r="BI28" s="266">
        <f>VLOOKUP($A28,REP_previous!$A$1:$D$135,MATCH("FY "&amp;$F$1&amp; " Total Refund",REP_previous!$A$1:$D$1,0),0)</f>
        <v>319099.34177259984</v>
      </c>
      <c r="BJ28" s="241">
        <f>MIN(VLOOKUP($A28,TOCA_previous!$A$2:$AI$137,MATCH("TRL - NLSL - Existing Resource "&amp;$F$1,TOCA_previous!$A$2:$AI$2,0),FALSE)*$F$2,(VLOOKUP($A28,TOCA_previous!$A$2:$AI$137,MATCH("RHWM 2018",TOCA_previous!$A$2:$AI$2,0),FALSE)*$F$2))</f>
        <v>229985.04</v>
      </c>
      <c r="BK28" s="229">
        <f>SUM(L28:AI28)+(F28*RT1SC!$C$3*$F$2)</f>
        <v>241915.631369184</v>
      </c>
      <c r="BL28" s="241">
        <f>VLOOKUP($A28,TOCA_previous!$A$2:$AI$137,MATCH("Above RHWM Not Served with LS "&amp;$F$1,TOCA_previous!$A$2:$AI$2,0),FALSE)*$F$2</f>
        <v>0</v>
      </c>
      <c r="BM28" s="151">
        <f t="shared" si="5"/>
        <v>11930.591369183996</v>
      </c>
      <c r="BN28" s="242">
        <f>(VLOOKUP($A28,TOCA_previous!$A$2:$AI$137,MATCH("RHWM 2018",TOCA_previous!$A$2:$AI$2,0),FALSE)*$F$2) - $BJ28</f>
        <v>0</v>
      </c>
      <c r="BO28" s="151">
        <f t="shared" si="6"/>
        <v>0</v>
      </c>
      <c r="BP28" s="243">
        <f t="shared" si="7"/>
        <v>0</v>
      </c>
      <c r="BQ28" s="237">
        <f t="shared" si="8"/>
        <v>0</v>
      </c>
      <c r="BR28" s="242">
        <f t="shared" si="9"/>
        <v>0</v>
      </c>
      <c r="BS28" s="151">
        <f>VLOOKUP($A28,TOCA_current!$A$2:$AI$137,MATCH(BS$4,TOCA_current!$A$2:$AI$2,0),FALSE)</f>
        <v>3.7783000000000001E-3</v>
      </c>
      <c r="BT28" s="151">
        <f>VLOOKUP($A28,TOCA_current!$A$2:$AI$137,MATCH(BT$4,TOCA_current!$A$2:$AI$2,0),FALSE)</f>
        <v>3.7783000000000001E-3</v>
      </c>
      <c r="BU28" s="236">
        <f t="shared" si="10"/>
        <v>0</v>
      </c>
      <c r="BV28" s="151">
        <f>VLOOKUP($A28,TOCA_current!A24:BG159,MATCH(BV$4,TOCA_current!$A$2:$BG$2,0),FALSE)</f>
        <v>0</v>
      </c>
      <c r="BW28" s="151">
        <f t="shared" si="11"/>
        <v>0</v>
      </c>
      <c r="BX28" s="151">
        <f t="shared" si="12"/>
        <v>0</v>
      </c>
      <c r="BY28" s="226">
        <f>VLOOKUP($A28,IRD!$A$4:$G$139, 7, FALSE)</f>
        <v>0</v>
      </c>
      <c r="BZ28" s="227">
        <f t="array" ref="BZ28">IF($BU28=0, INDEX(LS_current!$D$4:$AY$138, MATCH('Staging Table'!$A28, LS_current!$B$4:$B$138, 0), MATCH(BZ$4&amp;BZ$5, LS_current!$D$2:$AY$2&amp;LS_current!$D$3:$AY$3, 0)),SUM(VLOOKUP($A28, LS_current!$B$4:$AY$138, LS_current!D$148, FALSE), VLOOKUP($A28, LS_current!$B$4:$AY$138,LS_current!D$148, FALSE))/2)</f>
        <v>70</v>
      </c>
      <c r="CA28" s="227">
        <f t="array" ref="CA28">IF($BU28=0, INDEX(LS_current!$D$4:$AY$138, MATCH('Staging Table'!$A28, LS_current!$B$4:$B$138, 0), MATCH(CA$4&amp;CA$5, LS_current!$D$2:$AY$2&amp;LS_current!$D$3:$AY$3, 0)),SUM(VLOOKUP($A28, LS_current!$B$4:$AY$138, LS_current!E$148, FALSE), VLOOKUP($A28, LS_current!$B$4:$AY$138,LS_current!E$148, FALSE))/2)</f>
        <v>-259</v>
      </c>
      <c r="CB28" s="227">
        <f t="array" ref="CB28">IF($BU28=0, INDEX(LS_current!$D$4:$AY$138, MATCH('Staging Table'!$A28, LS_current!$B$4:$B$138, 0), MATCH(CB$4&amp;CB$5, LS_current!$D$2:$AY$2&amp;LS_current!$D$3:$AY$3, 0)),SUM(VLOOKUP($A28, LS_current!$B$4:$AY$138, LS_current!F$148, FALSE), VLOOKUP($A28, LS_current!$B$4:$AY$138,LS_current!F$148, FALSE))/2)</f>
        <v>-639</v>
      </c>
      <c r="CC28" s="227">
        <f t="array" ref="CC28">IF($BU28=0, INDEX(LS_current!$D$4:$AY$138, MATCH('Staging Table'!$A28, LS_current!$B$4:$B$138, 0), MATCH(CC$4&amp;CC$5, LS_current!$D$2:$AY$2&amp;LS_current!$D$3:$AY$3, 0)),SUM(VLOOKUP($A28, LS_current!$B$4:$AY$138, LS_current!G$148, FALSE), VLOOKUP($A28, LS_current!$B$4:$AY$138,LS_current!G$148, FALSE))/2)</f>
        <v>-115</v>
      </c>
      <c r="CD28" s="227">
        <f t="array" ref="CD28">IF($BU28=0, INDEX(LS_current!$D$4:$AY$138, MATCH('Staging Table'!$A28, LS_current!$B$4:$B$138, 0), MATCH(CD$4&amp;CD$5, LS_current!$D$2:$AY$2&amp;LS_current!$D$3:$AY$3, 0)),SUM(VLOOKUP($A28, LS_current!$B$4:$AY$138, LS_current!H$148, FALSE), VLOOKUP($A28, LS_current!$B$4:$AY$138,LS_current!H$148, FALSE))/2)</f>
        <v>452</v>
      </c>
      <c r="CE28" s="227">
        <f t="array" ref="CE28">IF($BU28=0, INDEX(LS_current!$D$4:$AY$138, MATCH('Staging Table'!$A28, LS_current!$B$4:$B$138, 0), MATCH(CE$4&amp;CE$5, LS_current!$D$2:$AY$2&amp;LS_current!$D$3:$AY$3, 0)),SUM(VLOOKUP($A28, LS_current!$B$4:$AY$138, LS_current!I$148, FALSE), VLOOKUP($A28, LS_current!$B$4:$AY$138,LS_current!I$148, FALSE))/2)</f>
        <v>913</v>
      </c>
      <c r="CF28" s="227">
        <f t="array" ref="CF28">IF($BU28=0, INDEX(LS_current!$D$4:$AY$138, MATCH('Staging Table'!$A28, LS_current!$B$4:$B$138, 0), MATCH(CF$4&amp;CF$5, LS_current!$D$2:$AY$2&amp;LS_current!$D$3:$AY$3, 0)),SUM(VLOOKUP($A28, LS_current!$B$4:$AY$138, LS_current!J$148, FALSE), VLOOKUP($A28, LS_current!$B$4:$AY$138,LS_current!J$148, FALSE))/2)</f>
        <v>2802</v>
      </c>
      <c r="CG28" s="227">
        <f t="array" ref="CG28">IF($BU28=0, INDEX(LS_current!$D$4:$AY$138, MATCH('Staging Table'!$A28, LS_current!$B$4:$B$138, 0), MATCH(CG$4&amp;CG$5, LS_current!$D$2:$AY$2&amp;LS_current!$D$3:$AY$3, 0)),SUM(VLOOKUP($A28, LS_current!$B$4:$AY$138, LS_current!K$148, FALSE), VLOOKUP($A28, LS_current!$B$4:$AY$138,LS_current!K$148, FALSE))/2)</f>
        <v>1841</v>
      </c>
      <c r="CH28" s="227">
        <f t="array" ref="CH28">IF($BU28=0, INDEX(LS_current!$D$4:$AY$138, MATCH('Staging Table'!$A28, LS_current!$B$4:$B$138, 0), MATCH(CH$4&amp;CH$5, LS_current!$D$2:$AY$2&amp;LS_current!$D$3:$AY$3, 0)),SUM(VLOOKUP($A28, LS_current!$B$4:$AY$138, LS_current!L$148, FALSE), VLOOKUP($A28, LS_current!$B$4:$AY$138,LS_current!L$148, FALSE))/2)</f>
        <v>3189</v>
      </c>
      <c r="CI28" s="227">
        <f t="array" ref="CI28">IF($BU28=0, INDEX(LS_current!$D$4:$AY$138, MATCH('Staging Table'!$A28, LS_current!$B$4:$B$138, 0), MATCH(CI$4&amp;CI$5, LS_current!$D$2:$AY$2&amp;LS_current!$D$3:$AY$3, 0)),SUM(VLOOKUP($A28, LS_current!$B$4:$AY$138, LS_current!M$148, FALSE), VLOOKUP($A28, LS_current!$B$4:$AY$138,LS_current!M$148, FALSE))/2)</f>
        <v>1659</v>
      </c>
      <c r="CJ28" s="227">
        <f t="array" ref="CJ28">IF($BU28=0, INDEX(LS_current!$D$4:$AY$138, MATCH('Staging Table'!$A28, LS_current!$B$4:$B$138, 0), MATCH(CJ$4&amp;CJ$5, LS_current!$D$2:$AY$2&amp;LS_current!$D$3:$AY$3, 0)),SUM(VLOOKUP($A28, LS_current!$B$4:$AY$138, LS_current!N$148, FALSE), VLOOKUP($A28, LS_current!$B$4:$AY$138,LS_current!N$148, FALSE))/2)</f>
        <v>868</v>
      </c>
      <c r="CK28" s="227">
        <f t="array" ref="CK28">IF($BU28=0, INDEX(LS_current!$D$4:$AY$138, MATCH('Staging Table'!$A28, LS_current!$B$4:$B$138, 0), MATCH(CK$4&amp;CK$5, LS_current!$D$2:$AY$2&amp;LS_current!$D$3:$AY$3, 0)),SUM(VLOOKUP($A28, LS_current!$B$4:$AY$138, LS_current!O$148, FALSE), VLOOKUP($A28, LS_current!$B$4:$AY$138,LS_current!O$148, FALSE))/2)</f>
        <v>815</v>
      </c>
      <c r="CL28" s="227">
        <f t="array" ref="CL28">IF($BU28=0, INDEX(LS_current!$D$4:$AY$138, MATCH('Staging Table'!$A28, LS_current!$B$4:$B$138, 0), MATCH(CL$4&amp;CL$5, LS_current!$D$2:$AY$2&amp;LS_current!$D$3:$AY$3, 0)),SUM(VLOOKUP($A28, LS_current!$B$4:$AY$138, LS_current!P$148, FALSE), VLOOKUP($A28, LS_current!$B$4:$AY$138,LS_current!P$148, FALSE))/2)</f>
        <v>2672</v>
      </c>
      <c r="CM28" s="227">
        <f t="array" ref="CM28">IF($BU28=0, INDEX(LS_current!$D$4:$AY$138, MATCH('Staging Table'!$A28, LS_current!$B$4:$B$138, 0), MATCH(CM$4&amp;CM$5, LS_current!$D$2:$AY$2&amp;LS_current!$D$3:$AY$3, 0)),SUM(VLOOKUP($A28, LS_current!$B$4:$AY$138, LS_current!Q$148, FALSE), VLOOKUP($A28, LS_current!$B$4:$AY$138,LS_current!Q$148, FALSE))/2)</f>
        <v>1074</v>
      </c>
      <c r="CN28" s="227">
        <f t="array" ref="CN28">IF($BU28=0, INDEX(LS_current!$D$4:$AY$138, MATCH('Staging Table'!$A28, LS_current!$B$4:$B$138, 0), MATCH(CN$4&amp;CN$5, LS_current!$D$2:$AY$2&amp;LS_current!$D$3:$AY$3, 0)),SUM(VLOOKUP($A28, LS_current!$B$4:$AY$138, LS_current!R$148, FALSE), VLOOKUP($A28, LS_current!$B$4:$AY$138,LS_current!R$148, FALSE))/2)</f>
        <v>-3020</v>
      </c>
      <c r="CO28" s="227">
        <f t="array" ref="CO28">IF($BU28=0, INDEX(LS_current!$D$4:$AY$138, MATCH('Staging Table'!$A28, LS_current!$B$4:$B$138, 0), MATCH(CO$4&amp;CO$5, LS_current!$D$2:$AY$2&amp;LS_current!$D$3:$AY$3, 0)),SUM(VLOOKUP($A28, LS_current!$B$4:$AY$138, LS_current!S$148, FALSE), VLOOKUP($A28, LS_current!$B$4:$AY$138,LS_current!S$148, FALSE))/2)</f>
        <v>-1036</v>
      </c>
      <c r="CP28" s="227">
        <f t="array" ref="CP28">IF($BU28=0, INDEX(LS_current!$D$4:$AY$138, MATCH('Staging Table'!$A28, LS_current!$B$4:$B$138, 0), MATCH(CP$4&amp;CP$5, LS_current!$D$2:$AY$2&amp;LS_current!$D$3:$AY$3, 0)),SUM(VLOOKUP($A28, LS_current!$B$4:$AY$138, LS_current!T$148, FALSE), VLOOKUP($A28, LS_current!$B$4:$AY$138,LS_current!T$148, FALSE))/2)</f>
        <v>-7236</v>
      </c>
      <c r="CQ28" s="227">
        <f t="array" ref="CQ28">IF($BU28=0, INDEX(LS_current!$D$4:$AY$138, MATCH('Staging Table'!$A28, LS_current!$B$4:$B$138, 0), MATCH(CQ$4&amp;CQ$5, LS_current!$D$2:$AY$2&amp;LS_current!$D$3:$AY$3, 0)),SUM(VLOOKUP($A28, LS_current!$B$4:$AY$138, LS_current!U$148, FALSE), VLOOKUP($A28, LS_current!$B$4:$AY$138,LS_current!U$148, FALSE))/2)</f>
        <v>-4240</v>
      </c>
      <c r="CR28" s="227">
        <f t="array" ref="CR28">IF($BU28=0, INDEX(LS_current!$D$4:$AY$138, MATCH('Staging Table'!$A28, LS_current!$B$4:$B$138, 0), MATCH(CR$4&amp;CR$5, LS_current!$D$2:$AY$2&amp;LS_current!$D$3:$AY$3, 0)),SUM(VLOOKUP($A28, LS_current!$B$4:$AY$138, LS_current!V$148, FALSE), VLOOKUP($A28, LS_current!$B$4:$AY$138,LS_current!V$148, FALSE))/2)</f>
        <v>-2944</v>
      </c>
      <c r="CS28" s="227">
        <f t="array" ref="CS28">IF($BU28=0, INDEX(LS_current!$D$4:$AY$138, MATCH('Staging Table'!$A28, LS_current!$B$4:$B$138, 0), MATCH(CS$4&amp;CS$5, LS_current!$D$2:$AY$2&amp;LS_current!$D$3:$AY$3, 0)),SUM(VLOOKUP($A28, LS_current!$B$4:$AY$138, LS_current!W$148, FALSE), VLOOKUP($A28, LS_current!$B$4:$AY$138,LS_current!W$148, FALSE))/2)</f>
        <v>-420</v>
      </c>
      <c r="CT28" s="227">
        <f t="array" ref="CT28">IF($BU28=0, INDEX(LS_current!$D$4:$AY$138, MATCH('Staging Table'!$A28, LS_current!$B$4:$B$138, 0), MATCH(CT$4&amp;CT$5, LS_current!$D$2:$AY$2&amp;LS_current!$D$3:$AY$3, 0)),SUM(VLOOKUP($A28, LS_current!$B$4:$AY$138, LS_current!X$148, FALSE), VLOOKUP($A28, LS_current!$B$4:$AY$138,LS_current!X$148, FALSE))/2)</f>
        <v>-2331</v>
      </c>
      <c r="CU28" s="227">
        <f t="array" ref="CU28">IF($BU28=0, INDEX(LS_current!$D$4:$AY$138, MATCH('Staging Table'!$A28, LS_current!$B$4:$B$138, 0), MATCH(CU$4&amp;CU$5, LS_current!$D$2:$AY$2&amp;LS_current!$D$3:$AY$3, 0)),SUM(VLOOKUP($A28, LS_current!$B$4:$AY$138, LS_current!Y$148, FALSE), VLOOKUP($A28, LS_current!$B$4:$AY$138,LS_current!Y$148, FALSE))/2)</f>
        <v>-236</v>
      </c>
      <c r="CV28" s="227">
        <f t="array" ref="CV28">IF($BU28=0, INDEX(LS_current!$D$4:$AY$138, MATCH('Staging Table'!$A28, LS_current!$B$4:$B$138, 0), MATCH(CV$4&amp;CV$5, LS_current!$D$2:$AY$2&amp;LS_current!$D$3:$AY$3, 0)),SUM(VLOOKUP($A28, LS_current!$B$4:$AY$138, LS_current!Z$148, FALSE), VLOOKUP($A28, LS_current!$B$4:$AY$138,LS_current!Z$148, FALSE))/2)</f>
        <v>-1251</v>
      </c>
      <c r="CW28" s="227">
        <f t="array" ref="CW28">IF($BU28=0, INDEX(LS_current!$D$4:$AY$138, MATCH('Staging Table'!$A28, LS_current!$B$4:$B$138, 0), MATCH(CW$4&amp;CW$5, LS_current!$D$2:$AY$2&amp;LS_current!$D$3:$AY$3, 0)),SUM(VLOOKUP($A28, LS_current!$B$4:$AY$138, LS_current!AA$148, FALSE), VLOOKUP($A28, LS_current!$B$4:$AY$138,LS_current!AA$148, FALSE))/2)</f>
        <v>-774</v>
      </c>
      <c r="CX28" s="229">
        <f t="array" ref="CX28">INDEX(Demand_current!$D$4:$AY$138, MATCH($A28, Demand_current!$B$4:$B$138, 0), MATCH(CX$4&amp;CX$5,Demand_current!$D$2:$AY$2&amp;Demand_current!$D$3:$AY$3, 0))/1000</f>
        <v>4.391</v>
      </c>
      <c r="CY28" s="229">
        <f t="array" ref="CY28">INDEX(Demand_current!$D$4:$AY$138, MATCH($A28, Demand_current!$B$4:$B$138, 0), MATCH(CY$4&amp;CY$5,Demand_current!$D$2:$AY$2&amp;Demand_current!$D$3:$AY$3, 0))/1000</f>
        <v>3.2250000000000001</v>
      </c>
      <c r="CZ28" s="229">
        <f t="array" ref="CZ28">INDEX(Demand_current!$D$4:$AY$138, MATCH($A28, Demand_current!$B$4:$B$138, 0), MATCH(CZ$4&amp;CZ$5,Demand_current!$D$2:$AY$2&amp;Demand_current!$D$3:$AY$3, 0))/1000</f>
        <v>5.7370000000000001</v>
      </c>
      <c r="DA28" s="229">
        <f t="array" ref="DA28">INDEX(Demand_current!$D$4:$AY$138, MATCH($A28, Demand_current!$B$4:$B$138, 0), MATCH(DA$4&amp;DA$5,Demand_current!$D$2:$AY$2&amp;Demand_current!$D$3:$AY$3, 0))/1000</f>
        <v>5.5330000000000004</v>
      </c>
      <c r="DB28" s="229">
        <f t="array" ref="DB28">INDEX(Demand_current!$D$4:$AY$138, MATCH($A28, Demand_current!$B$4:$B$138, 0), MATCH(DB$4&amp;DB$5,Demand_current!$D$2:$AY$2&amp;Demand_current!$D$3:$AY$3, 0))/1000</f>
        <v>3.4289999999999998</v>
      </c>
      <c r="DC28" s="229">
        <f t="array" ref="DC28">INDEX(Demand_current!$D$4:$AY$138, MATCH($A28, Demand_current!$B$4:$B$138, 0), MATCH(DC$4&amp;DC$5,Demand_current!$D$2:$AY$2&amp;Demand_current!$D$3:$AY$3, 0))/1000</f>
        <v>4.6520000000000001</v>
      </c>
      <c r="DD28" s="229">
        <f t="array" ref="DD28">INDEX(Demand_current!$D$4:$AY$138, MATCH($A28, Demand_current!$B$4:$B$138, 0), MATCH(DD$4&amp;DD$5,Demand_current!$D$2:$AY$2&amp;Demand_current!$D$3:$AY$3, 0))/1000</f>
        <v>2.88</v>
      </c>
      <c r="DE28" s="229">
        <f t="array" ref="DE28">INDEX(Demand_current!$D$4:$AY$138, MATCH($A28, Demand_current!$B$4:$B$138, 0), MATCH(DE$4&amp;DE$5,Demand_current!$D$2:$AY$2&amp;Demand_current!$D$3:$AY$3, 0))/1000</f>
        <v>1.339</v>
      </c>
      <c r="DF28" s="229">
        <f t="array" ref="DF28">INDEX(Demand_current!$D$4:$AY$138, MATCH($A28, Demand_current!$B$4:$B$138, 0), MATCH(DF$4&amp;DF$5,Demand_current!$D$2:$AY$2&amp;Demand_current!$D$3:$AY$3, 0))/1000</f>
        <v>5.3029999999999999</v>
      </c>
      <c r="DG28" s="229">
        <f t="array" ref="DG28">INDEX(Demand_current!$D$4:$AY$138, MATCH($A28, Demand_current!$B$4:$B$138, 0), MATCH(DG$4&amp;DG$5,Demand_current!$D$2:$AY$2&amp;Demand_current!$D$3:$AY$3, 0))/1000</f>
        <v>5.4809999999999999</v>
      </c>
      <c r="DH28" s="229">
        <f t="array" ref="DH28">INDEX(Demand_current!$D$4:$AY$138, MATCH($A28, Demand_current!$B$4:$B$138, 0), MATCH(DH$4&amp;DH$5,Demand_current!$D$2:$AY$2&amp;Demand_current!$D$3:$AY$3, 0))/1000</f>
        <v>5.1859999999999999</v>
      </c>
      <c r="DI28" s="229">
        <f t="array" ref="DI28">INDEX(Demand_current!$D$4:$AY$138, MATCH($A28, Demand_current!$B$4:$B$138, 0), MATCH(DI$4&amp;DI$5,Demand_current!$D$2:$AY$2&amp;Demand_current!$D$3:$AY$3, 0))/1000</f>
        <v>6.798</v>
      </c>
      <c r="DJ28" s="227">
        <f>$BT28*(VLOOKUP(DJ$4, Rates_current!$G$6:$Q$29, 10, FALSE)+VLOOKUP(DJ$4, Rates_current!$G$6:$Q$29, 11, FALSE))</f>
        <v>17445.609561646797</v>
      </c>
      <c r="DK28" s="227">
        <f>$BT28*(VLOOKUP(DK$4, Rates_current!$G$6:$Q$29, 10, FALSE)+VLOOKUP(DK$4, Rates_current!$G$6:$Q$29, 11, FALSE))</f>
        <v>22161.366406913701</v>
      </c>
      <c r="DL28" s="227">
        <f>$BT28*(VLOOKUP(DL$4, Rates_current!$G$6:$Q$29, 10, FALSE)+VLOOKUP(DL$4, Rates_current!$G$6:$Q$29, 11, FALSE))</f>
        <v>21893.737920546802</v>
      </c>
      <c r="DM28" s="227">
        <f>$BT28*(VLOOKUP(DM$4, Rates_current!$G$6:$Q$29, 10, FALSE)+VLOOKUP(DM$4, Rates_current!$G$6:$Q$29, 11, FALSE))</f>
        <v>18249.764042146802</v>
      </c>
      <c r="DN28" s="227">
        <f>$BT28*(VLOOKUP(DN$4, Rates_current!$G$6:$Q$29, 10, FALSE)+VLOOKUP(DN$4, Rates_current!$G$6:$Q$29, 11, FALSE))</f>
        <v>16532.392955439998</v>
      </c>
      <c r="DO28" s="227">
        <f>$BT28*(VLOOKUP(DO$4, Rates_current!$G$6:$Q$29, 10, FALSE)+VLOOKUP(DO$4, Rates_current!$G$6:$Q$29, 11, FALSE))</f>
        <v>18389.273012767098</v>
      </c>
      <c r="DP28" s="227">
        <f>$BT28*(VLOOKUP(DP$4, Rates_current!$G$6:$Q$29, 10, FALSE)+VLOOKUP(DP$4, Rates_current!$G$6:$Q$29, 11, FALSE))</f>
        <v>14972.565930983999</v>
      </c>
      <c r="DQ28" s="227">
        <f>$BT28*(VLOOKUP(DQ$4, Rates_current!$G$6:$Q$29, 10, FALSE)+VLOOKUP(DQ$4, Rates_current!$G$6:$Q$29, 11, FALSE))</f>
        <v>20192.737814796801</v>
      </c>
      <c r="DR28" s="227">
        <f>$BT28*(VLOOKUP(DR$4, Rates_current!$G$6:$Q$29, 10, FALSE)+VLOOKUP(DR$4, Rates_current!$G$6:$Q$29, 11, FALSE))</f>
        <v>25764.560114834003</v>
      </c>
      <c r="DS28" s="227">
        <f>$BT28*(VLOOKUP(DS$4, Rates_current!$G$6:$Q$29, 10, FALSE)+VLOOKUP(DS$4, Rates_current!$G$6:$Q$29, 11, FALSE))</f>
        <v>20200.2320728468</v>
      </c>
      <c r="DT28" s="227">
        <f>$BT28*(VLOOKUP(DT$4, Rates_current!$G$6:$Q$29, 10, FALSE)+VLOOKUP(DT$4, Rates_current!$G$6:$Q$29, 11, FALSE))</f>
        <v>19671.003702696802</v>
      </c>
      <c r="DU28" s="227">
        <f>$BT28*(VLOOKUP(DU$4, Rates_current!$G$6:$Q$29, 10, FALSE)+VLOOKUP(DU$4, Rates_current!$G$6:$Q$29, 11, FALSE))</f>
        <v>17660.376763284003</v>
      </c>
      <c r="DV28" s="229">
        <f>IF(D28=0,IF(C28=0,MAX(0,DY28 - (VLOOKUP($A28,TOCA_current!$A$2:$AI$137,MATCH("RHWM 2020",TOCA_current!$A$2:$AI$2,0),FALSE)*$BT$2)), 0),0)</f>
        <v>0</v>
      </c>
      <c r="DW28" s="266">
        <f>VLOOKUP($A28,REP_current!$A$1:$D$135,MATCH("FY "&amp;$BT$1&amp; " Total Refund",REP_current!$A$1:$D$1,0),0)</f>
        <v>0</v>
      </c>
      <c r="DX28" s="295">
        <f>MIN(VLOOKUP($A28,TOCA_current!$A$2:$AI$137,MATCH("TRL - NLSL - Existing Resource "&amp;$BT$1,TOCA_current!$A$2:$AI$2,0),FALSE)*$BT$2, VLOOKUP($A28,TOCA_current!$A$2:$AI$137,MATCH("RHWM 2020",TOCA_current!$A$2:$AI$2,0),FALSE)*$BT$2)</f>
        <v>233136.144</v>
      </c>
      <c r="DY28" s="240">
        <f>SUM(BZ28:CW28)+(BT28*RT1SC!$C$4*$BT$2)</f>
        <v>224987.6290494464</v>
      </c>
      <c r="DZ28" s="271">
        <f>VLOOKUP($A28,TOCA_current!$A$2:$AI$137,MATCH("Above RHWM Not Served with LS "&amp;$BT$1,TOCA_current!$A$2:$AI$2,0),FALSE)*$BT$2</f>
        <v>16926.768</v>
      </c>
      <c r="EA28" s="244">
        <f t="shared" si="13"/>
        <v>-8148.5149505535956</v>
      </c>
      <c r="EB28" s="295">
        <f>(VLOOKUP($A28,TOCA_current!$A$2:$AI$137,MATCH("RHWM 2020",TOCA_current!$A$2:$AI$2,0),FALSE)*$BT$2) - $DX28</f>
        <v>0</v>
      </c>
      <c r="EC28" s="240">
        <f t="shared" si="14"/>
        <v>0</v>
      </c>
      <c r="ED28" s="240">
        <f t="shared" si="15"/>
        <v>0</v>
      </c>
      <c r="EE28" s="240">
        <f t="shared" si="16"/>
        <v>0</v>
      </c>
      <c r="EF28" s="240">
        <f t="shared" si="17"/>
        <v>0</v>
      </c>
    </row>
    <row r="29" spans="1:136">
      <c r="A29" s="166">
        <v>10076</v>
      </c>
      <c r="B29" s="167" t="s">
        <v>30</v>
      </c>
      <c r="C29" s="240">
        <v>0</v>
      </c>
      <c r="D29" s="240">
        <v>0</v>
      </c>
      <c r="E29" s="150">
        <f>VLOOKUP($A29,TOCA_previous!$A$2:$AI$137,MATCH(E$4,TOCA_previous!$A$2:$AI$2,0),FALSE)</f>
        <v>6.8249999999999995E-4</v>
      </c>
      <c r="F29" s="151">
        <f>VLOOKUP($A29,TOCA_previous!$A$2:$AI$137,MATCH(F$4,TOCA_previous!$A$2:$AI$2,0),FALSE)</f>
        <v>6.8249999999999995E-4</v>
      </c>
      <c r="G29" s="151">
        <f t="shared" si="2"/>
        <v>0</v>
      </c>
      <c r="H29" s="151">
        <f>VLOOKUP($A29,TOCA_previous!$A$2:$AI$137,MATCH(H$4,TOCA_previous!$A$2:$AI$2,0),FALSE)</f>
        <v>0</v>
      </c>
      <c r="I29" s="151">
        <f t="shared" si="3"/>
        <v>0</v>
      </c>
      <c r="J29" s="151">
        <f t="shared" si="4"/>
        <v>0</v>
      </c>
      <c r="K29" s="226">
        <f>VLOOKUP(A29, IRD!$A$5:$C$139, 3, FALSE)</f>
        <v>0</v>
      </c>
      <c r="L29" s="227">
        <f t="array" ref="L29">IF($G29=0, INDEX(LS_previous!$D$4:$AY$138, MATCH('Staging Table'!$A29, LS_previous!$B$4:$B$138, 0), MATCH(L$4&amp;L$5, LS_previous!$D$2:$AY$2&amp;LS_previous!$D$3:$AY$3, 0)),SUM(VLOOKUP($A29, LS_previous!$B$4:$AY$138, LS_previous!D$149, FALSE), VLOOKUP('Staging Table'!$A29, LS_previous!$B$4:$AY$138,LS_previous!AB$149, FALSE))/2)</f>
        <v>429</v>
      </c>
      <c r="M29" s="227">
        <f t="array" ref="M29">IF($G29=0, INDEX(LS_previous!$D$4:$AY$138, MATCH('Staging Table'!$A29, LS_previous!$B$4:$B$138, 0), MATCH(M$4&amp;M$5, LS_previous!$D$2:$AY$2&amp;LS_previous!$D$3:$AY$3, 0)),SUM(VLOOKUP($A29, LS_previous!$B$4:$AY$138, LS_previous!E$149, FALSE), VLOOKUP('Staging Table'!$A29, LS_previous!$B$4:$AY$138,LS_previous!AC$149, FALSE))/2)</f>
        <v>364</v>
      </c>
      <c r="N29" s="227">
        <f t="array" ref="N29">IF($G29=0, INDEX(LS_previous!$D$4:$AY$138, MATCH('Staging Table'!$A29, LS_previous!$B$4:$B$138, 0), MATCH(N$4&amp;N$5, LS_previous!$D$2:$AY$2&amp;LS_previous!$D$3:$AY$3, 0)),SUM(VLOOKUP($A29, LS_previous!$B$4:$AY$138, LS_previous!F$149, FALSE), VLOOKUP('Staging Table'!$A29, LS_previous!$B$4:$AY$138,LS_previous!AD$149, FALSE))/2)</f>
        <v>142</v>
      </c>
      <c r="O29" s="227">
        <f t="array" ref="O29">IF($G29=0, INDEX(LS_previous!$D$4:$AY$138, MATCH('Staging Table'!$A29, LS_previous!$B$4:$B$138, 0), MATCH(O$4&amp;O$5, LS_previous!$D$2:$AY$2&amp;LS_previous!$D$3:$AY$3, 0)),SUM(VLOOKUP($A29, LS_previous!$B$4:$AY$138, LS_previous!G$149, FALSE), VLOOKUP('Staging Table'!$A29, LS_previous!$B$4:$AY$138,LS_previous!AE$149, FALSE))/2)</f>
        <v>417</v>
      </c>
      <c r="P29" s="227">
        <f t="array" ref="P29">IF($G29=0, INDEX(LS_previous!$D$4:$AY$138, MATCH('Staging Table'!$A29, LS_previous!$B$4:$B$138, 0), MATCH(P$4&amp;P$5, LS_previous!$D$2:$AY$2&amp;LS_previous!$D$3:$AY$3, 0)),SUM(VLOOKUP($A29, LS_previous!$B$4:$AY$138, LS_previous!H$149, FALSE), VLOOKUP('Staging Table'!$A29, LS_previous!$B$4:$AY$138,LS_previous!AF$149, FALSE))/2)</f>
        <v>637</v>
      </c>
      <c r="Q29" s="227">
        <f t="array" ref="Q29">IF($G29=0, INDEX(LS_previous!$D$4:$AY$138, MATCH('Staging Table'!$A29, LS_previous!$B$4:$B$138, 0), MATCH(Q$4&amp;Q$5, LS_previous!$D$2:$AY$2&amp;LS_previous!$D$3:$AY$3, 0)),SUM(VLOOKUP($A29, LS_previous!$B$4:$AY$138, LS_previous!I$149, FALSE), VLOOKUP('Staging Table'!$A29, LS_previous!$B$4:$AY$138,LS_previous!AG$149, FALSE))/2)</f>
        <v>881</v>
      </c>
      <c r="R29" s="227">
        <f t="array" ref="R29">IF($G29=0, INDEX(LS_previous!$D$4:$AY$138, MATCH('Staging Table'!$A29, LS_previous!$B$4:$B$138, 0), MATCH(R$4&amp;R$5, LS_previous!$D$2:$AY$2&amp;LS_previous!$D$3:$AY$3, 0)),SUM(VLOOKUP($A29, LS_previous!$B$4:$AY$138, LS_previous!J$149, FALSE), VLOOKUP('Staging Table'!$A29, LS_previous!$B$4:$AY$138,LS_previous!AH$149, FALSE))/2)</f>
        <v>1150</v>
      </c>
      <c r="S29" s="227">
        <f t="array" ref="S29">IF($G29=0, INDEX(LS_previous!$D$4:$AY$138, MATCH('Staging Table'!$A29, LS_previous!$B$4:$B$138, 0), MATCH(S$4&amp;S$5, LS_previous!$D$2:$AY$2&amp;LS_previous!$D$3:$AY$3, 0)),SUM(VLOOKUP($A29, LS_previous!$B$4:$AY$138, LS_previous!K$149, FALSE), VLOOKUP('Staging Table'!$A29, LS_previous!$B$4:$AY$138,LS_previous!AI$149, FALSE))/2)</f>
        <v>1018</v>
      </c>
      <c r="T29" s="227">
        <f t="array" ref="T29">IF($G29=0, INDEX(LS_previous!$D$4:$AY$138, MATCH('Staging Table'!$A29, LS_previous!$B$4:$B$138, 0), MATCH(T$4&amp;T$5, LS_previous!$D$2:$AY$2&amp;LS_previous!$D$3:$AY$3, 0)),SUM(VLOOKUP($A29, LS_previous!$B$4:$AY$138, LS_previous!L$149, FALSE), VLOOKUP('Staging Table'!$A29, LS_previous!$B$4:$AY$138,LS_previous!AJ$149, FALSE))/2)</f>
        <v>1187</v>
      </c>
      <c r="U29" s="227">
        <f t="array" ref="U29">IF($G29=0, INDEX(LS_previous!$D$4:$AY$138, MATCH('Staging Table'!$A29, LS_previous!$B$4:$B$138, 0), MATCH(U$4&amp;U$5, LS_previous!$D$2:$AY$2&amp;LS_previous!$D$3:$AY$3, 0)),SUM(VLOOKUP($A29, LS_previous!$B$4:$AY$138, LS_previous!M$149, FALSE), VLOOKUP('Staging Table'!$A29, LS_previous!$B$4:$AY$138,LS_previous!AK$149, FALSE))/2)</f>
        <v>947</v>
      </c>
      <c r="V29" s="227">
        <f t="array" ref="V29">IF($G29=0, INDEX(LS_previous!$D$4:$AY$138, MATCH('Staging Table'!$A29, LS_previous!$B$4:$B$138, 0), MATCH(V$4&amp;V$5, LS_previous!$D$2:$AY$2&amp;LS_previous!$D$3:$AY$3, 0)),SUM(VLOOKUP($A29, LS_previous!$B$4:$AY$138, LS_previous!N$149, FALSE), VLOOKUP('Staging Table'!$A29, LS_previous!$B$4:$AY$138,LS_previous!AL$149, FALSE))/2)</f>
        <v>536</v>
      </c>
      <c r="W29" s="227">
        <f t="array" ref="W29">IF($G29=0, INDEX(LS_previous!$D$4:$AY$138, MATCH('Staging Table'!$A29, LS_previous!$B$4:$B$138, 0), MATCH(W$4&amp;W$5, LS_previous!$D$2:$AY$2&amp;LS_previous!$D$3:$AY$3, 0)),SUM(VLOOKUP($A29, LS_previous!$B$4:$AY$138, LS_previous!O$149, FALSE), VLOOKUP('Staging Table'!$A29, LS_previous!$B$4:$AY$138,LS_previous!AM$149, FALSE))/2)</f>
        <v>698</v>
      </c>
      <c r="X29" s="227">
        <f t="array" ref="X29">IF($G29=0, INDEX(LS_previous!$D$4:$AY$138, MATCH('Staging Table'!$A29, LS_previous!$B$4:$B$138, 0), MATCH(X$4&amp;X$5, LS_previous!$D$2:$AY$2&amp;LS_previous!$D$3:$AY$3, 0)),SUM(VLOOKUP($A29, LS_previous!$B$4:$AY$138, LS_previous!P$149, FALSE), VLOOKUP('Staging Table'!$A29, LS_previous!$B$4:$AY$138,LS_previous!AN$149, FALSE))/2)</f>
        <v>471</v>
      </c>
      <c r="Y29" s="227">
        <f t="array" ref="Y29">IF($G29=0, INDEX(LS_previous!$D$4:$AY$138, MATCH('Staging Table'!$A29, LS_previous!$B$4:$B$138, 0), MATCH(Y$4&amp;Y$5, LS_previous!$D$2:$AY$2&amp;LS_previous!$D$3:$AY$3, 0)),SUM(VLOOKUP($A29, LS_previous!$B$4:$AY$138, LS_previous!Q$149, FALSE), VLOOKUP('Staging Table'!$A29, LS_previous!$B$4:$AY$138,LS_previous!AO$149, FALSE))/2)</f>
        <v>407</v>
      </c>
      <c r="Z29" s="227">
        <f t="array" ref="Z29">IF($G29=0, INDEX(LS_previous!$D$4:$AY$138, MATCH('Staging Table'!$A29, LS_previous!$B$4:$B$138, 0), MATCH(Z$4&amp;Z$5, LS_previous!$D$2:$AY$2&amp;LS_previous!$D$3:$AY$3, 0)),SUM(VLOOKUP($A29, LS_previous!$B$4:$AY$138, LS_previous!R$149, FALSE), VLOOKUP('Staging Table'!$A29, LS_previous!$B$4:$AY$138,LS_previous!AP$149, FALSE))/2)</f>
        <v>-626</v>
      </c>
      <c r="AA29" s="227">
        <f t="array" ref="AA29">IF($G29=0, INDEX(LS_previous!$D$4:$AY$138, MATCH('Staging Table'!$A29, LS_previous!$B$4:$B$138, 0), MATCH(AA$4&amp;AA$5, LS_previous!$D$2:$AY$2&amp;LS_previous!$D$3:$AY$3, 0)),SUM(VLOOKUP($A29, LS_previous!$B$4:$AY$138, LS_previous!S$149, FALSE), VLOOKUP('Staging Table'!$A29, LS_previous!$B$4:$AY$138,LS_previous!AQ$149, FALSE))/2)</f>
        <v>33</v>
      </c>
      <c r="AB29" s="227">
        <f t="array" ref="AB29">IF($G29=0, INDEX(LS_previous!$D$4:$AY$138, MATCH('Staging Table'!$A29, LS_previous!$B$4:$B$138, 0), MATCH(AB$4&amp;AB$5, LS_previous!$D$2:$AY$2&amp;LS_previous!$D$3:$AY$3, 0)),SUM(VLOOKUP($A29, LS_previous!$B$4:$AY$138, LS_previous!T$149, FALSE), VLOOKUP('Staging Table'!$A29, LS_previous!$B$4:$AY$138,LS_previous!AR$149, FALSE))/2)</f>
        <v>219</v>
      </c>
      <c r="AC29" s="227">
        <f t="array" ref="AC29">IF($G29=0, INDEX(LS_previous!$D$4:$AY$138, MATCH('Staging Table'!$A29, LS_previous!$B$4:$B$138, 0), MATCH(AC$4&amp;AC$5, LS_previous!$D$2:$AY$2&amp;LS_previous!$D$3:$AY$3, 0)),SUM(VLOOKUP($A29, LS_previous!$B$4:$AY$138, LS_previous!U$149, FALSE), VLOOKUP('Staging Table'!$A29, LS_previous!$B$4:$AY$138,LS_previous!AS$149, FALSE))/2)</f>
        <v>265</v>
      </c>
      <c r="AD29" s="227">
        <f t="array" ref="AD29">IF($G29=0, INDEX(LS_previous!$D$4:$AY$138, MATCH('Staging Table'!$A29, LS_previous!$B$4:$B$138, 0), MATCH(AD$4&amp;AD$5, LS_previous!$D$2:$AY$2&amp;LS_previous!$D$3:$AY$3, 0)),SUM(VLOOKUP($A29, LS_previous!$B$4:$AY$138, LS_previous!V$149, FALSE), VLOOKUP('Staging Table'!$A29, LS_previous!$B$4:$AY$138,LS_previous!AT$149, FALSE))/2)</f>
        <v>687</v>
      </c>
      <c r="AE29" s="227">
        <f t="array" ref="AE29">IF($G29=0, INDEX(LS_previous!$D$4:$AY$138, MATCH('Staging Table'!$A29, LS_previous!$B$4:$B$138, 0), MATCH(AE$4&amp;AE$5, LS_previous!$D$2:$AY$2&amp;LS_previous!$D$3:$AY$3, 0)),SUM(VLOOKUP($A29, LS_previous!$B$4:$AY$138, LS_previous!W$149, FALSE), VLOOKUP('Staging Table'!$A29, LS_previous!$B$4:$AY$138,LS_previous!AU$149, FALSE))/2)</f>
        <v>571</v>
      </c>
      <c r="AF29" s="227">
        <f t="array" ref="AF29">IF($G29=0, INDEX(LS_previous!$D$4:$AY$138, MATCH('Staging Table'!$A29, LS_previous!$B$4:$B$138, 0), MATCH(AF$4&amp;AF$5, LS_previous!$D$2:$AY$2&amp;LS_previous!$D$3:$AY$3, 0)),SUM(VLOOKUP($A29, LS_previous!$B$4:$AY$138, LS_previous!X$149, FALSE), VLOOKUP('Staging Table'!$A29, LS_previous!$B$4:$AY$138,LS_previous!AV$149, FALSE))/2)</f>
        <v>157</v>
      </c>
      <c r="AG29" s="227">
        <f t="array" ref="AG29">IF($G29=0, INDEX(LS_previous!$D$4:$AY$138, MATCH('Staging Table'!$A29, LS_previous!$B$4:$B$138, 0), MATCH(AG$4&amp;AG$5, LS_previous!$D$2:$AY$2&amp;LS_previous!$D$3:$AY$3, 0)),SUM(VLOOKUP($A29, LS_previous!$B$4:$AY$138, LS_previous!Y$149, FALSE), VLOOKUP('Staging Table'!$A29, LS_previous!$B$4:$AY$138,LS_previous!AW$149, FALSE))/2)</f>
        <v>419</v>
      </c>
      <c r="AH29" s="227">
        <f t="array" ref="AH29">IF($G29=0, INDEX(LS_previous!$D$4:$AY$138, MATCH('Staging Table'!$A29, LS_previous!$B$4:$B$138, 0), MATCH(AH$4&amp;AH$5, LS_previous!$D$2:$AY$2&amp;LS_previous!$D$3:$AY$3, 0)),SUM(VLOOKUP($A29, LS_previous!$B$4:$AY$138, LS_previous!Z$149, FALSE), VLOOKUP('Staging Table'!$A29, LS_previous!$B$4:$AY$138,LS_previous!AX$149, FALSE))/2)</f>
        <v>253</v>
      </c>
      <c r="AI29" s="227">
        <f t="array" ref="AI29">IF($G29=0, INDEX(LS_previous!$D$4:$AY$138, MATCH('Staging Table'!$A29, LS_previous!$B$4:$B$138, 0), MATCH(AI$4&amp;AI$5, LS_previous!$D$2:$AY$2&amp;LS_previous!$D$3:$AY$3, 0)),SUM(VLOOKUP($A29, LS_previous!$B$4:$AY$138, LS_previous!AA$149, FALSE), VLOOKUP('Staging Table'!$A29, LS_previous!$B$4:$AY$138,LS_previous!AY$149, FALSE))/2)</f>
        <v>269</v>
      </c>
      <c r="AJ29" s="424">
        <f t="array" ref="AJ29">INDEX(Demand_previous!$D$4:$AY$138, MATCH('Staging Table'!$A29, Demand_previous!$B$4:$B$138, 0), MATCH(AJ$4&amp;AJ$5,Demand_previous!$D$2:$AY$2&amp;Demand_previous!$D$3:$AY$3, 0))/1000</f>
        <v>0.27800000000000002</v>
      </c>
      <c r="AK29" s="424">
        <f t="array" ref="AK29">INDEX(Demand_previous!$D$4:$AY$138, MATCH('Staging Table'!$A29, Demand_previous!$B$4:$B$138, 0), MATCH(AK$4&amp;AK$5,Demand_previous!$D$2:$AY$2&amp;Demand_previous!$D$3:$AY$3, 0))/1000</f>
        <v>0.23599999999999999</v>
      </c>
      <c r="AL29" s="424">
        <f t="array" ref="AL29">INDEX(Demand_previous!$D$4:$AY$138, MATCH('Staging Table'!$A29, Demand_previous!$B$4:$B$138, 0), MATCH(AL$4&amp;AL$5,Demand_previous!$D$2:$AY$2&amp;Demand_previous!$D$3:$AY$3, 0))/1000</f>
        <v>0.433</v>
      </c>
      <c r="AM29" s="424">
        <f t="array" ref="AM29">INDEX(Demand_previous!$D$4:$AY$138, MATCH('Staging Table'!$A29, Demand_previous!$B$4:$B$138, 0), MATCH(AM$4&amp;AM$5,Demand_previous!$D$2:$AY$2&amp;Demand_previous!$D$3:$AY$3, 0))/1000</f>
        <v>0.53400000000000003</v>
      </c>
      <c r="AN29" s="424">
        <f t="array" ref="AN29">INDEX(Demand_previous!$D$4:$AY$138, MATCH('Staging Table'!$A29, Demand_previous!$B$4:$B$138, 0), MATCH(AN$4&amp;AN$5,Demand_previous!$D$2:$AY$2&amp;Demand_previous!$D$3:$AY$3, 0))/1000</f>
        <v>0</v>
      </c>
      <c r="AO29" s="424">
        <f t="array" ref="AO29">INDEX(Demand_previous!$D$4:$AY$138, MATCH('Staging Table'!$A29, Demand_previous!$B$4:$B$138, 0), MATCH(AO$4&amp;AO$5,Demand_previous!$D$2:$AY$2&amp;Demand_previous!$D$3:$AY$3, 0))/1000</f>
        <v>0.84299999999999997</v>
      </c>
      <c r="AP29" s="424">
        <f t="array" ref="AP29">INDEX(Demand_previous!$D$4:$AY$138, MATCH('Staging Table'!$A29, Demand_previous!$B$4:$B$138, 0), MATCH(AP$4&amp;AP$5,Demand_previous!$D$2:$AY$2&amp;Demand_previous!$D$3:$AY$3, 0))/1000</f>
        <v>0</v>
      </c>
      <c r="AQ29" s="424">
        <f t="array" ref="AQ29">INDEX(Demand_previous!$D$4:$AY$138, MATCH('Staging Table'!$A29, Demand_previous!$B$4:$B$138, 0), MATCH(AQ$4&amp;AQ$5,Demand_previous!$D$2:$AY$2&amp;Demand_previous!$D$3:$AY$3, 0))/1000</f>
        <v>0.39800000000000002</v>
      </c>
      <c r="AR29" s="424">
        <f t="array" ref="AR29">INDEX(Demand_previous!$D$4:$AY$138, MATCH('Staging Table'!$A29, Demand_previous!$B$4:$B$138, 0), MATCH(AR$4&amp;AR$5,Demand_previous!$D$2:$AY$2&amp;Demand_previous!$D$3:$AY$3, 0))/1000</f>
        <v>0.83199999999999996</v>
      </c>
      <c r="AS29" s="424">
        <f t="array" ref="AS29">INDEX(Demand_previous!$D$4:$AY$138, MATCH('Staging Table'!$A29, Demand_previous!$B$4:$B$138, 0), MATCH(AS$4&amp;AS$5,Demand_previous!$D$2:$AY$2&amp;Demand_previous!$D$3:$AY$3, 0))/1000</f>
        <v>0.41199999999999998</v>
      </c>
      <c r="AT29" s="424">
        <f t="array" ref="AT29">INDEX(Demand_previous!$D$4:$AY$138, MATCH('Staging Table'!$A29, Demand_previous!$B$4:$B$138, 0), MATCH(AT$4&amp;AT$5,Demand_previous!$D$2:$AY$2&amp;Demand_previous!$D$3:$AY$3, 0))/1000</f>
        <v>0.86199999999999999</v>
      </c>
      <c r="AU29" s="424">
        <f t="array" ref="AU29">INDEX(Demand_previous!$D$4:$AY$138, MATCH('Staging Table'!$A29, Demand_previous!$B$4:$B$138, 0), MATCH(AU$4&amp;AU$5,Demand_previous!$D$2:$AY$2&amp;Demand_previous!$D$3:$AY$3, 0))/1000</f>
        <v>0.185</v>
      </c>
      <c r="AV29" s="227">
        <f>$F29*(VLOOKUP(AV$4, Rates_previous!$G$6:$Q$29, 10, FALSE)+VLOOKUP(AV$4, Rates_previous!$G$6:$Q$29, 11, FALSE))</f>
        <v>3200.1317728308331</v>
      </c>
      <c r="AW29" s="227">
        <f>$F29*(VLOOKUP(AW$4, Rates_previous!$G$6:$Q$29, 10, FALSE)+VLOOKUP(AW$4, Rates_previous!$G$6:$Q$29, 11, FALSE))</f>
        <v>3955.1196483144927</v>
      </c>
      <c r="AX29" s="227">
        <f>$F29*(VLOOKUP(AX$4, Rates_previous!$G$6:$Q$29, 10, FALSE)+VLOOKUP(AX$4, Rates_previous!$G$6:$Q$29, 11, FALSE))</f>
        <v>3907.6233918898306</v>
      </c>
      <c r="AY29" s="227">
        <f>$F29*(VLOOKUP(AY$4, Rates_previous!$G$6:$Q$29, 10, FALSE)+VLOOKUP(AY$4, Rates_previous!$G$6:$Q$29, 11, FALSE))</f>
        <v>3338.6917303466998</v>
      </c>
      <c r="AZ29" s="227">
        <f>$F29*(VLOOKUP(AZ$4, Rates_previous!$G$6:$Q$29, 10, FALSE)+VLOOKUP(AZ$4, Rates_previous!$G$6:$Q$29, 11, FALSE))</f>
        <v>2737.079609016821</v>
      </c>
      <c r="BA29" s="227">
        <f>$F29*(VLOOKUP(BA$4, Rates_previous!$G$6:$Q$29, 10, FALSE)+VLOOKUP(BA$4, Rates_previous!$G$6:$Q$29, 11, FALSE))</f>
        <v>3240.6028371177827</v>
      </c>
      <c r="BB29" s="227">
        <f>$F29*(VLOOKUP(BB$4, Rates_previous!$G$6:$Q$29, 10, FALSE)+VLOOKUP(BB$4, Rates_previous!$G$6:$Q$29, 11, FALSE))</f>
        <v>3114.6907009108795</v>
      </c>
      <c r="BC29" s="227">
        <f>$F29*(VLOOKUP(BC$4, Rates_previous!$G$6:$Q$29, 10, FALSE)+VLOOKUP(BC$4, Rates_previous!$G$6:$Q$29, 11, FALSE))</f>
        <v>4570.5881995150648</v>
      </c>
      <c r="BD29" s="227">
        <f>$F29*(VLOOKUP(BD$4, Rates_previous!$G$6:$Q$29, 10, FALSE)+VLOOKUP(BD$4, Rates_previous!$G$6:$Q$29, 11, FALSE))</f>
        <v>3606.0732872987546</v>
      </c>
      <c r="BE29" s="227">
        <f>$F29*(VLOOKUP(BE$4, Rates_previous!$G$6:$Q$29, 10, FALSE)+VLOOKUP(BE$4, Rates_previous!$G$6:$Q$29, 11, FALSE))</f>
        <v>3166.4350239218288</v>
      </c>
      <c r="BF29" s="227">
        <f>$F29*(VLOOKUP(BF$4, Rates_previous!$G$6:$Q$29, 10, FALSE)+VLOOKUP(BF$4, Rates_previous!$G$6:$Q$29, 11, FALSE))</f>
        <v>3506.9535341451974</v>
      </c>
      <c r="BG29" s="227">
        <f>$F29*(VLOOKUP(BG$4, Rates_previous!$G$6:$Q$29, 10, FALSE)+VLOOKUP(BG$4, Rates_previous!$G$6:$Q$29, 11, FALSE))</f>
        <v>3177.1604391341584</v>
      </c>
      <c r="BH29" s="229">
        <f>IF($D29=0,IF(C29=0, MAX(BK29 - (VLOOKUP($A29,TOCA_previous!$A$2:$AI$137,MATCH("RHWM 2018",TOCA_previous!$A$2:$AI$2,0),FALSE)*$F$2*TOCA_previous!C26),0),0), 0)</f>
        <v>11529.750780199996</v>
      </c>
      <c r="BI29" s="266">
        <f>VLOOKUP($A29,REP_previous!$A$1:$D$135,MATCH("FY "&amp;$F$1&amp; " Total Refund",REP_previous!$A$1:$D$1,0),0)</f>
        <v>77630.668152548416</v>
      </c>
      <c r="BJ29" s="241">
        <f>MIN(VLOOKUP($A29,TOCA_previous!$A$2:$AI$137,MATCH("TRL - NLSL - Existing Resource "&amp;$F$1,TOCA_previous!$A$2:$AI$2,0),FALSE)*$F$2,(VLOOKUP($A29,TOCA_previous!$A$2:$AI$137,MATCH("RHWM 2018",TOCA_previous!$A$2:$AI$2,0),FALSE)*$F$2))</f>
        <v>41522.400000000001</v>
      </c>
      <c r="BK29" s="229">
        <f>SUM(L29:AI29)+(F29*RT1SC!$C$3*$F$2)</f>
        <v>53052.150780199998</v>
      </c>
      <c r="BL29" s="241">
        <f>VLOOKUP($A29,TOCA_previous!$A$2:$AI$137,MATCH("Above RHWM Not Served with LS "&amp;$F$1,TOCA_previous!$A$2:$AI$2,0),FALSE)*$F$2</f>
        <v>14953.320000000002</v>
      </c>
      <c r="BM29" s="151">
        <f t="shared" si="5"/>
        <v>11529.750780199996</v>
      </c>
      <c r="BN29" s="242">
        <f>(VLOOKUP($A29,TOCA_previous!$A$2:$AI$137,MATCH("RHWM 2018",TOCA_previous!$A$2:$AI$2,0),FALSE)*$F$2) - $BJ29</f>
        <v>0</v>
      </c>
      <c r="BO29" s="151">
        <f t="shared" si="6"/>
        <v>0</v>
      </c>
      <c r="BP29" s="243">
        <f t="shared" si="7"/>
        <v>0</v>
      </c>
      <c r="BQ29" s="237">
        <f t="shared" si="8"/>
        <v>0</v>
      </c>
      <c r="BR29" s="242">
        <f t="shared" si="9"/>
        <v>0</v>
      </c>
      <c r="BS29" s="151">
        <f>VLOOKUP($A29,TOCA_current!$A$2:$AI$137,MATCH(BS$4,TOCA_current!$A$2:$AI$2,0),FALSE)</f>
        <v>6.8219999999999999E-4</v>
      </c>
      <c r="BT29" s="151">
        <f>VLOOKUP($A29,TOCA_current!$A$2:$AI$137,MATCH(BT$4,TOCA_current!$A$2:$AI$2,0),FALSE)</f>
        <v>6.8219999999999999E-4</v>
      </c>
      <c r="BU29" s="236">
        <f t="shared" si="10"/>
        <v>0</v>
      </c>
      <c r="BV29" s="151">
        <f>VLOOKUP($A29,TOCA_current!A25:BG160,MATCH(BV$4,TOCA_current!$A$2:$BG$2,0),FALSE)</f>
        <v>0</v>
      </c>
      <c r="BW29" s="151">
        <f t="shared" si="11"/>
        <v>0</v>
      </c>
      <c r="BX29" s="151">
        <f t="shared" si="12"/>
        <v>0</v>
      </c>
      <c r="BY29" s="226">
        <f>VLOOKUP($A29,IRD!$A$4:$G$139, 7, FALSE)</f>
        <v>0</v>
      </c>
      <c r="BZ29" s="227">
        <f t="array" ref="BZ29">IF($BU29=0, INDEX(LS_current!$D$4:$AY$138, MATCH('Staging Table'!$A29, LS_current!$B$4:$B$138, 0), MATCH(BZ$4&amp;BZ$5, LS_current!$D$2:$AY$2&amp;LS_current!$D$3:$AY$3, 0)),SUM(VLOOKUP($A29, LS_current!$B$4:$AY$138, LS_current!D$148, FALSE), VLOOKUP($A29, LS_current!$B$4:$AY$138,LS_current!D$148, FALSE))/2)</f>
        <v>-87</v>
      </c>
      <c r="CA29" s="227">
        <f t="array" ref="CA29">IF($BU29=0, INDEX(LS_current!$D$4:$AY$138, MATCH('Staging Table'!$A29, LS_current!$B$4:$B$138, 0), MATCH(CA$4&amp;CA$5, LS_current!$D$2:$AY$2&amp;LS_current!$D$3:$AY$3, 0)),SUM(VLOOKUP($A29, LS_current!$B$4:$AY$138, LS_current!E$148, FALSE), VLOOKUP($A29, LS_current!$B$4:$AY$138,LS_current!E$148, FALSE))/2)</f>
        <v>40</v>
      </c>
      <c r="CB29" s="227">
        <f t="array" ref="CB29">IF($BU29=0, INDEX(LS_current!$D$4:$AY$138, MATCH('Staging Table'!$A29, LS_current!$B$4:$B$138, 0), MATCH(CB$4&amp;CB$5, LS_current!$D$2:$AY$2&amp;LS_current!$D$3:$AY$3, 0)),SUM(VLOOKUP($A29, LS_current!$B$4:$AY$138, LS_current!F$148, FALSE), VLOOKUP($A29, LS_current!$B$4:$AY$138,LS_current!F$148, FALSE))/2)</f>
        <v>-353</v>
      </c>
      <c r="CC29" s="227">
        <f t="array" ref="CC29">IF($BU29=0, INDEX(LS_current!$D$4:$AY$138, MATCH('Staging Table'!$A29, LS_current!$B$4:$B$138, 0), MATCH(CC$4&amp;CC$5, LS_current!$D$2:$AY$2&amp;LS_current!$D$3:$AY$3, 0)),SUM(VLOOKUP($A29, LS_current!$B$4:$AY$138, LS_current!G$148, FALSE), VLOOKUP($A29, LS_current!$B$4:$AY$138,LS_current!G$148, FALSE))/2)</f>
        <v>3</v>
      </c>
      <c r="CD29" s="227">
        <f t="array" ref="CD29">IF($BU29=0, INDEX(LS_current!$D$4:$AY$138, MATCH('Staging Table'!$A29, LS_current!$B$4:$B$138, 0), MATCH(CD$4&amp;CD$5, LS_current!$D$2:$AY$2&amp;LS_current!$D$3:$AY$3, 0)),SUM(VLOOKUP($A29, LS_current!$B$4:$AY$138, LS_current!H$148, FALSE), VLOOKUP($A29, LS_current!$B$4:$AY$138,LS_current!H$148, FALSE))/2)</f>
        <v>138</v>
      </c>
      <c r="CE29" s="227">
        <f t="array" ref="CE29">IF($BU29=0, INDEX(LS_current!$D$4:$AY$138, MATCH('Staging Table'!$A29, LS_current!$B$4:$B$138, 0), MATCH(CE$4&amp;CE$5, LS_current!$D$2:$AY$2&amp;LS_current!$D$3:$AY$3, 0)),SUM(VLOOKUP($A29, LS_current!$B$4:$AY$138, LS_current!I$148, FALSE), VLOOKUP($A29, LS_current!$B$4:$AY$138,LS_current!I$148, FALSE))/2)</f>
        <v>445</v>
      </c>
      <c r="CF29" s="227">
        <f t="array" ref="CF29">IF($BU29=0, INDEX(LS_current!$D$4:$AY$138, MATCH('Staging Table'!$A29, LS_current!$B$4:$B$138, 0), MATCH(CF$4&amp;CF$5, LS_current!$D$2:$AY$2&amp;LS_current!$D$3:$AY$3, 0)),SUM(VLOOKUP($A29, LS_current!$B$4:$AY$138, LS_current!J$148, FALSE), VLOOKUP($A29, LS_current!$B$4:$AY$138,LS_current!J$148, FALSE))/2)</f>
        <v>643</v>
      </c>
      <c r="CG29" s="227">
        <f t="array" ref="CG29">IF($BU29=0, INDEX(LS_current!$D$4:$AY$138, MATCH('Staging Table'!$A29, LS_current!$B$4:$B$138, 0), MATCH(CG$4&amp;CG$5, LS_current!$D$2:$AY$2&amp;LS_current!$D$3:$AY$3, 0)),SUM(VLOOKUP($A29, LS_current!$B$4:$AY$138, LS_current!K$148, FALSE), VLOOKUP($A29, LS_current!$B$4:$AY$138,LS_current!K$148, FALSE))/2)</f>
        <v>677</v>
      </c>
      <c r="CH29" s="227">
        <f t="array" ref="CH29">IF($BU29=0, INDEX(LS_current!$D$4:$AY$138, MATCH('Staging Table'!$A29, LS_current!$B$4:$B$138, 0), MATCH(CH$4&amp;CH$5, LS_current!$D$2:$AY$2&amp;LS_current!$D$3:$AY$3, 0)),SUM(VLOOKUP($A29, LS_current!$B$4:$AY$138, LS_current!L$148, FALSE), VLOOKUP($A29, LS_current!$B$4:$AY$138,LS_current!L$148, FALSE))/2)</f>
        <v>526</v>
      </c>
      <c r="CI29" s="227">
        <f t="array" ref="CI29">IF($BU29=0, INDEX(LS_current!$D$4:$AY$138, MATCH('Staging Table'!$A29, LS_current!$B$4:$B$138, 0), MATCH(CI$4&amp;CI$5, LS_current!$D$2:$AY$2&amp;LS_current!$D$3:$AY$3, 0)),SUM(VLOOKUP($A29, LS_current!$B$4:$AY$138, LS_current!M$148, FALSE), VLOOKUP($A29, LS_current!$B$4:$AY$138,LS_current!M$148, FALSE))/2)</f>
        <v>486</v>
      </c>
      <c r="CJ29" s="227">
        <f t="array" ref="CJ29">IF($BU29=0, INDEX(LS_current!$D$4:$AY$138, MATCH('Staging Table'!$A29, LS_current!$B$4:$B$138, 0), MATCH(CJ$4&amp;CJ$5, LS_current!$D$2:$AY$2&amp;LS_current!$D$3:$AY$3, 0)),SUM(VLOOKUP($A29, LS_current!$B$4:$AY$138, LS_current!N$148, FALSE), VLOOKUP($A29, LS_current!$B$4:$AY$138,LS_current!N$148, FALSE))/2)</f>
        <v>4</v>
      </c>
      <c r="CK29" s="227">
        <f t="array" ref="CK29">IF($BU29=0, INDEX(LS_current!$D$4:$AY$138, MATCH('Staging Table'!$A29, LS_current!$B$4:$B$138, 0), MATCH(CK$4&amp;CK$5, LS_current!$D$2:$AY$2&amp;LS_current!$D$3:$AY$3, 0)),SUM(VLOOKUP($A29, LS_current!$B$4:$AY$138, LS_current!O$148, FALSE), VLOOKUP($A29, LS_current!$B$4:$AY$138,LS_current!O$148, FALSE))/2)</f>
        <v>262</v>
      </c>
      <c r="CL29" s="227">
        <f t="array" ref="CL29">IF($BU29=0, INDEX(LS_current!$D$4:$AY$138, MATCH('Staging Table'!$A29, LS_current!$B$4:$B$138, 0), MATCH(CL$4&amp;CL$5, LS_current!$D$2:$AY$2&amp;LS_current!$D$3:$AY$3, 0)),SUM(VLOOKUP($A29, LS_current!$B$4:$AY$138, LS_current!P$148, FALSE), VLOOKUP($A29, LS_current!$B$4:$AY$138,LS_current!P$148, FALSE))/2)</f>
        <v>248</v>
      </c>
      <c r="CM29" s="227">
        <f t="array" ref="CM29">IF($BU29=0, INDEX(LS_current!$D$4:$AY$138, MATCH('Staging Table'!$A29, LS_current!$B$4:$B$138, 0), MATCH(CM$4&amp;CM$5, LS_current!$D$2:$AY$2&amp;LS_current!$D$3:$AY$3, 0)),SUM(VLOOKUP($A29, LS_current!$B$4:$AY$138, LS_current!Q$148, FALSE), VLOOKUP($A29, LS_current!$B$4:$AY$138,LS_current!Q$148, FALSE))/2)</f>
        <v>179</v>
      </c>
      <c r="CN29" s="227">
        <f t="array" ref="CN29">IF($BU29=0, INDEX(LS_current!$D$4:$AY$138, MATCH('Staging Table'!$A29, LS_current!$B$4:$B$138, 0), MATCH(CN$4&amp;CN$5, LS_current!$D$2:$AY$2&amp;LS_current!$D$3:$AY$3, 0)),SUM(VLOOKUP($A29, LS_current!$B$4:$AY$138, LS_current!R$148, FALSE), VLOOKUP($A29, LS_current!$B$4:$AY$138,LS_current!R$148, FALSE))/2)</f>
        <v>-530</v>
      </c>
      <c r="CO29" s="227">
        <f t="array" ref="CO29">IF($BU29=0, INDEX(LS_current!$D$4:$AY$138, MATCH('Staging Table'!$A29, LS_current!$B$4:$B$138, 0), MATCH(CO$4&amp;CO$5, LS_current!$D$2:$AY$2&amp;LS_current!$D$3:$AY$3, 0)),SUM(VLOOKUP($A29, LS_current!$B$4:$AY$138, LS_current!S$148, FALSE), VLOOKUP($A29, LS_current!$B$4:$AY$138,LS_current!S$148, FALSE))/2)</f>
        <v>-28</v>
      </c>
      <c r="CP29" s="227">
        <f t="array" ref="CP29">IF($BU29=0, INDEX(LS_current!$D$4:$AY$138, MATCH('Staging Table'!$A29, LS_current!$B$4:$B$138, 0), MATCH(CP$4&amp;CP$5, LS_current!$D$2:$AY$2&amp;LS_current!$D$3:$AY$3, 0)),SUM(VLOOKUP($A29, LS_current!$B$4:$AY$138, LS_current!T$148, FALSE), VLOOKUP($A29, LS_current!$B$4:$AY$138,LS_current!T$148, FALSE))/2)</f>
        <v>-939</v>
      </c>
      <c r="CQ29" s="227">
        <f t="array" ref="CQ29">IF($BU29=0, INDEX(LS_current!$D$4:$AY$138, MATCH('Staging Table'!$A29, LS_current!$B$4:$B$138, 0), MATCH(CQ$4&amp;CQ$5, LS_current!$D$2:$AY$2&amp;LS_current!$D$3:$AY$3, 0)),SUM(VLOOKUP($A29, LS_current!$B$4:$AY$138, LS_current!U$148, FALSE), VLOOKUP($A29, LS_current!$B$4:$AY$138,LS_current!U$148, FALSE))/2)</f>
        <v>-485</v>
      </c>
      <c r="CR29" s="227">
        <f t="array" ref="CR29">IF($BU29=0, INDEX(LS_current!$D$4:$AY$138, MATCH('Staging Table'!$A29, LS_current!$B$4:$B$138, 0), MATCH(CR$4&amp;CR$5, LS_current!$D$2:$AY$2&amp;LS_current!$D$3:$AY$3, 0)),SUM(VLOOKUP($A29, LS_current!$B$4:$AY$138, LS_current!V$148, FALSE), VLOOKUP($A29, LS_current!$B$4:$AY$138,LS_current!V$148, FALSE))/2)</f>
        <v>-279</v>
      </c>
      <c r="CS29" s="227">
        <f t="array" ref="CS29">IF($BU29=0, INDEX(LS_current!$D$4:$AY$138, MATCH('Staging Table'!$A29, LS_current!$B$4:$B$138, 0), MATCH(CS$4&amp;CS$5, LS_current!$D$2:$AY$2&amp;LS_current!$D$3:$AY$3, 0)),SUM(VLOOKUP($A29, LS_current!$B$4:$AY$138, LS_current!W$148, FALSE), VLOOKUP($A29, LS_current!$B$4:$AY$138,LS_current!W$148, FALSE))/2)</f>
        <v>165</v>
      </c>
      <c r="CT29" s="227">
        <f t="array" ref="CT29">IF($BU29=0, INDEX(LS_current!$D$4:$AY$138, MATCH('Staging Table'!$A29, LS_current!$B$4:$B$138, 0), MATCH(CT$4&amp;CT$5, LS_current!$D$2:$AY$2&amp;LS_current!$D$3:$AY$3, 0)),SUM(VLOOKUP($A29, LS_current!$B$4:$AY$138, LS_current!X$148, FALSE), VLOOKUP($A29, LS_current!$B$4:$AY$138,LS_current!X$148, FALSE))/2)</f>
        <v>-402</v>
      </c>
      <c r="CU29" s="227">
        <f t="array" ref="CU29">IF($BU29=0, INDEX(LS_current!$D$4:$AY$138, MATCH('Staging Table'!$A29, LS_current!$B$4:$B$138, 0), MATCH(CU$4&amp;CU$5, LS_current!$D$2:$AY$2&amp;LS_current!$D$3:$AY$3, 0)),SUM(VLOOKUP($A29, LS_current!$B$4:$AY$138, LS_current!Y$148, FALSE), VLOOKUP($A29, LS_current!$B$4:$AY$138,LS_current!Y$148, FALSE))/2)</f>
        <v>42</v>
      </c>
      <c r="CV29" s="227">
        <f t="array" ref="CV29">IF($BU29=0, INDEX(LS_current!$D$4:$AY$138, MATCH('Staging Table'!$A29, LS_current!$B$4:$B$138, 0), MATCH(CV$4&amp;CV$5, LS_current!$D$2:$AY$2&amp;LS_current!$D$3:$AY$3, 0)),SUM(VLOOKUP($A29, LS_current!$B$4:$AY$138, LS_current!Z$148, FALSE), VLOOKUP($A29, LS_current!$B$4:$AY$138,LS_current!Z$148, FALSE))/2)</f>
        <v>-264</v>
      </c>
      <c r="CW29" s="227">
        <f t="array" ref="CW29">IF($BU29=0, INDEX(LS_current!$D$4:$AY$138, MATCH('Staging Table'!$A29, LS_current!$B$4:$B$138, 0), MATCH(CW$4&amp;CW$5, LS_current!$D$2:$AY$2&amp;LS_current!$D$3:$AY$3, 0)),SUM(VLOOKUP($A29, LS_current!$B$4:$AY$138, LS_current!AA$148, FALSE), VLOOKUP($A29, LS_current!$B$4:$AY$138,LS_current!AA$148, FALSE))/2)</f>
        <v>-87</v>
      </c>
      <c r="CX29" s="229">
        <f t="array" ref="CX29">INDEX(Demand_current!$D$4:$AY$138, MATCH($A29, Demand_current!$B$4:$B$138, 0), MATCH(CX$4&amp;CX$5,Demand_current!$D$2:$AY$2&amp;Demand_current!$D$3:$AY$3, 0))/1000</f>
        <v>0.56499999999999995</v>
      </c>
      <c r="CY29" s="229">
        <f t="array" ref="CY29">INDEX(Demand_current!$D$4:$AY$138, MATCH($A29, Demand_current!$B$4:$B$138, 0), MATCH(CY$4&amp;CY$5,Demand_current!$D$2:$AY$2&amp;Demand_current!$D$3:$AY$3, 0))/1000</f>
        <v>0.23599999999999999</v>
      </c>
      <c r="CZ29" s="229">
        <f t="array" ref="CZ29">INDEX(Demand_current!$D$4:$AY$138, MATCH($A29, Demand_current!$B$4:$B$138, 0), MATCH(CZ$4&amp;CZ$5,Demand_current!$D$2:$AY$2&amp;Demand_current!$D$3:$AY$3, 0))/1000</f>
        <v>0.433</v>
      </c>
      <c r="DA29" s="229">
        <f t="array" ref="DA29">INDEX(Demand_current!$D$4:$AY$138, MATCH($A29, Demand_current!$B$4:$B$138, 0), MATCH(DA$4&amp;DA$5,Demand_current!$D$2:$AY$2&amp;Demand_current!$D$3:$AY$3, 0))/1000</f>
        <v>0.53400000000000003</v>
      </c>
      <c r="DB29" s="229">
        <f t="array" ref="DB29">INDEX(Demand_current!$D$4:$AY$138, MATCH($A29, Demand_current!$B$4:$B$138, 0), MATCH(DB$4&amp;DB$5,Demand_current!$D$2:$AY$2&amp;Demand_current!$D$3:$AY$3, 0))/1000</f>
        <v>0</v>
      </c>
      <c r="DC29" s="229">
        <f t="array" ref="DC29">INDEX(Demand_current!$D$4:$AY$138, MATCH($A29, Demand_current!$B$4:$B$138, 0), MATCH(DC$4&amp;DC$5,Demand_current!$D$2:$AY$2&amp;Demand_current!$D$3:$AY$3, 0))/1000</f>
        <v>0.54700000000000004</v>
      </c>
      <c r="DD29" s="229">
        <f t="array" ref="DD29">INDEX(Demand_current!$D$4:$AY$138, MATCH($A29, Demand_current!$B$4:$B$138, 0), MATCH(DD$4&amp;DD$5,Demand_current!$D$2:$AY$2&amp;Demand_current!$D$3:$AY$3, 0))/1000</f>
        <v>0.29699999999999999</v>
      </c>
      <c r="DE29" s="229">
        <f t="array" ref="DE29">INDEX(Demand_current!$D$4:$AY$138, MATCH($A29, Demand_current!$B$4:$B$138, 0), MATCH(DE$4&amp;DE$5,Demand_current!$D$2:$AY$2&amp;Demand_current!$D$3:$AY$3, 0))/1000</f>
        <v>0.11</v>
      </c>
      <c r="DF29" s="229">
        <f t="array" ref="DF29">INDEX(Demand_current!$D$4:$AY$138, MATCH($A29, Demand_current!$B$4:$B$138, 0), MATCH(DF$4&amp;DF$5,Demand_current!$D$2:$AY$2&amp;Demand_current!$D$3:$AY$3, 0))/1000</f>
        <v>0.83199999999999996</v>
      </c>
      <c r="DG29" s="229">
        <f t="array" ref="DG29">INDEX(Demand_current!$D$4:$AY$138, MATCH($A29, Demand_current!$B$4:$B$138, 0), MATCH(DG$4&amp;DG$5,Demand_current!$D$2:$AY$2&amp;Demand_current!$D$3:$AY$3, 0))/1000</f>
        <v>0.74299999999999999</v>
      </c>
      <c r="DH29" s="229">
        <f t="array" ref="DH29">INDEX(Demand_current!$D$4:$AY$138, MATCH($A29, Demand_current!$B$4:$B$138, 0), MATCH(DH$4&amp;DH$5,Demand_current!$D$2:$AY$2&amp;Demand_current!$D$3:$AY$3, 0))/1000</f>
        <v>0.57299999999999995</v>
      </c>
      <c r="DI29" s="229">
        <f t="array" ref="DI29">INDEX(Demand_current!$D$4:$AY$138, MATCH($A29, Demand_current!$B$4:$B$138, 0), MATCH(DI$4&amp;DI$5,Demand_current!$D$2:$AY$2&amp;Demand_current!$D$3:$AY$3, 0))/1000</f>
        <v>0.49099999999999999</v>
      </c>
      <c r="DJ29" s="227">
        <f>$BT29*(VLOOKUP(DJ$4, Rates_current!$G$6:$Q$29, 10, FALSE)+VLOOKUP(DJ$4, Rates_current!$G$6:$Q$29, 11, FALSE))</f>
        <v>3149.9337911111998</v>
      </c>
      <c r="DK29" s="227">
        <f>$BT29*(VLOOKUP(DK$4, Rates_current!$G$6:$Q$29, 10, FALSE)+VLOOKUP(DK$4, Rates_current!$G$6:$Q$29, 11, FALSE))</f>
        <v>4001.3985556458001</v>
      </c>
      <c r="DL29" s="227">
        <f>$BT29*(VLOOKUP(DL$4, Rates_current!$G$6:$Q$29, 10, FALSE)+VLOOKUP(DL$4, Rates_current!$G$6:$Q$29, 11, FALSE))</f>
        <v>3953.0762537112005</v>
      </c>
      <c r="DM29" s="227">
        <f>$BT29*(VLOOKUP(DM$4, Rates_current!$G$6:$Q$29, 10, FALSE)+VLOOKUP(DM$4, Rates_current!$G$6:$Q$29, 11, FALSE))</f>
        <v>3295.1298281112004</v>
      </c>
      <c r="DN29" s="227">
        <f>$BT29*(VLOOKUP(DN$4, Rates_current!$G$6:$Q$29, 10, FALSE)+VLOOKUP(DN$4, Rates_current!$G$6:$Q$29, 11, FALSE))</f>
        <v>2985.0457809599998</v>
      </c>
      <c r="DO29" s="227">
        <f>$BT29*(VLOOKUP(DO$4, Rates_current!$G$6:$Q$29, 10, FALSE)+VLOOKUP(DO$4, Rates_current!$G$6:$Q$29, 11, FALSE))</f>
        <v>3320.3192042214</v>
      </c>
      <c r="DP29" s="227">
        <f>$BT29*(VLOOKUP(DP$4, Rates_current!$G$6:$Q$29, 10, FALSE)+VLOOKUP(DP$4, Rates_current!$G$6:$Q$29, 11, FALSE))</f>
        <v>2703.4074790559998</v>
      </c>
      <c r="DQ29" s="227">
        <f>$BT29*(VLOOKUP(DQ$4, Rates_current!$G$6:$Q$29, 10, FALSE)+VLOOKUP(DQ$4, Rates_current!$G$6:$Q$29, 11, FALSE))</f>
        <v>3645.9481082112002</v>
      </c>
      <c r="DR29" s="227">
        <f>$BT29*(VLOOKUP(DR$4, Rates_current!$G$6:$Q$29, 10, FALSE)+VLOOKUP(DR$4, Rates_current!$G$6:$Q$29, 11, FALSE))</f>
        <v>4651.9818199560004</v>
      </c>
      <c r="DS29" s="227">
        <f>$BT29*(VLOOKUP(DS$4, Rates_current!$G$6:$Q$29, 10, FALSE)+VLOOKUP(DS$4, Rates_current!$G$6:$Q$29, 11, FALSE))</f>
        <v>3647.3012519112003</v>
      </c>
      <c r="DT29" s="227">
        <f>$BT29*(VLOOKUP(DT$4, Rates_current!$G$6:$Q$29, 10, FALSE)+VLOOKUP(DT$4, Rates_current!$G$6:$Q$29, 11, FALSE))</f>
        <v>3551.7451568112001</v>
      </c>
      <c r="DU29" s="227">
        <f>$BT29*(VLOOKUP(DU$4, Rates_current!$G$6:$Q$29, 10, FALSE)+VLOOKUP(DU$4, Rates_current!$G$6:$Q$29, 11, FALSE))</f>
        <v>3188.7115972560005</v>
      </c>
      <c r="DV29" s="229">
        <f>IF(D29=0,IF(C29=0,MAX(0,DY29 - (VLOOKUP($A29,TOCA_current!$A$2:$AI$137,MATCH("RHWM 2020",TOCA_current!$A$2:$AI$2,0),FALSE)*$BT$2)), 0),0)</f>
        <v>405.07240693760104</v>
      </c>
      <c r="DW29" s="266">
        <f>VLOOKUP($A29,REP_current!$A$1:$D$135,MATCH("FY "&amp;$BT$1&amp; " Total Refund",REP_current!$A$1:$D$1,0),0)</f>
        <v>0</v>
      </c>
      <c r="DX29" s="295">
        <f>MIN(VLOOKUP($A29,TOCA_current!$A$2:$AI$137,MATCH("TRL - NLSL - Existing Resource "&amp;$BT$1,TOCA_current!$A$2:$AI$2,0),FALSE)*$BT$2, VLOOKUP($A29,TOCA_current!$A$2:$AI$137,MATCH("RHWM 2020",TOCA_current!$A$2:$AI$2,0),FALSE)*$BT$2)</f>
        <v>42092.928</v>
      </c>
      <c r="DY29" s="240">
        <f>SUM(BZ29:CW29)+(BT29*RT1SC!$C$4*$BT$2)</f>
        <v>42498.000406937601</v>
      </c>
      <c r="DZ29" s="271">
        <f>VLOOKUP($A29,TOCA_current!$A$2:$AI$137,MATCH("Above RHWM Not Served with LS "&amp;$BT$1,TOCA_current!$A$2:$AI$2,0),FALSE)*$BT$2</f>
        <v>25508.736000000001</v>
      </c>
      <c r="EA29" s="244">
        <f t="shared" si="13"/>
        <v>405.07240693760104</v>
      </c>
      <c r="EB29" s="295">
        <f>(VLOOKUP($A29,TOCA_current!$A$2:$AI$137,MATCH("RHWM 2020",TOCA_current!$A$2:$AI$2,0),FALSE)*$BT$2) - $DX29</f>
        <v>0</v>
      </c>
      <c r="EC29" s="240">
        <f t="shared" si="14"/>
        <v>0</v>
      </c>
      <c r="ED29" s="240">
        <f t="shared" si="15"/>
        <v>0</v>
      </c>
      <c r="EE29" s="240">
        <f t="shared" si="16"/>
        <v>0</v>
      </c>
      <c r="EF29" s="240">
        <f t="shared" si="17"/>
        <v>0</v>
      </c>
    </row>
    <row r="30" spans="1:136">
      <c r="A30" s="166">
        <v>10078</v>
      </c>
      <c r="B30" s="167" t="s">
        <v>31</v>
      </c>
      <c r="C30" s="240">
        <v>0</v>
      </c>
      <c r="D30" s="240">
        <v>0</v>
      </c>
      <c r="E30" s="150">
        <f>VLOOKUP($A30,TOCA_previous!$A$2:$AI$137,MATCH(E$4,TOCA_previous!$A$2:$AI$2,0),FALSE)</f>
        <v>5.2669999999999995E-4</v>
      </c>
      <c r="F30" s="151">
        <f>VLOOKUP($A30,TOCA_previous!$A$2:$AI$137,MATCH(F$4,TOCA_previous!$A$2:$AI$2,0),FALSE)</f>
        <v>5.2669999999999995E-4</v>
      </c>
      <c r="G30" s="151">
        <f t="shared" si="2"/>
        <v>0</v>
      </c>
      <c r="H30" s="151">
        <f>VLOOKUP($A30,TOCA_previous!$A$2:$AI$137,MATCH(H$4,TOCA_previous!$A$2:$AI$2,0),FALSE)</f>
        <v>0</v>
      </c>
      <c r="I30" s="151">
        <f t="shared" si="3"/>
        <v>0</v>
      </c>
      <c r="J30" s="151">
        <f t="shared" si="4"/>
        <v>0</v>
      </c>
      <c r="K30" s="226">
        <f>VLOOKUP(A30, IRD!$A$5:$C$139, 3, FALSE)</f>
        <v>0</v>
      </c>
      <c r="L30" s="227">
        <f t="array" ref="L30">IF($G30=0, INDEX(LS_previous!$D$4:$AY$138, MATCH('Staging Table'!$A30, LS_previous!$B$4:$B$138, 0), MATCH(L$4&amp;L$5, LS_previous!$D$2:$AY$2&amp;LS_previous!$D$3:$AY$3, 0)),SUM(VLOOKUP($A30, LS_previous!$B$4:$AY$138, LS_previous!D$149, FALSE), VLOOKUP('Staging Table'!$A30, LS_previous!$B$4:$AY$138,LS_previous!AB$149, FALSE))/2)</f>
        <v>220</v>
      </c>
      <c r="M30" s="227">
        <f t="array" ref="M30">IF($G30=0, INDEX(LS_previous!$D$4:$AY$138, MATCH('Staging Table'!$A30, LS_previous!$B$4:$B$138, 0), MATCH(M$4&amp;M$5, LS_previous!$D$2:$AY$2&amp;LS_previous!$D$3:$AY$3, 0)),SUM(VLOOKUP($A30, LS_previous!$B$4:$AY$138, LS_previous!E$149, FALSE), VLOOKUP('Staging Table'!$A30, LS_previous!$B$4:$AY$138,LS_previous!AC$149, FALSE))/2)</f>
        <v>-47</v>
      </c>
      <c r="N30" s="227">
        <f t="array" ref="N30">IF($G30=0, INDEX(LS_previous!$D$4:$AY$138, MATCH('Staging Table'!$A30, LS_previous!$B$4:$B$138, 0), MATCH(N$4&amp;N$5, LS_previous!$D$2:$AY$2&amp;LS_previous!$D$3:$AY$3, 0)),SUM(VLOOKUP($A30, LS_previous!$B$4:$AY$138, LS_previous!F$149, FALSE), VLOOKUP('Staging Table'!$A30, LS_previous!$B$4:$AY$138,LS_previous!AD$149, FALSE))/2)</f>
        <v>159</v>
      </c>
      <c r="O30" s="227">
        <f t="array" ref="O30">IF($G30=0, INDEX(LS_previous!$D$4:$AY$138, MATCH('Staging Table'!$A30, LS_previous!$B$4:$B$138, 0), MATCH(O$4&amp;O$5, LS_previous!$D$2:$AY$2&amp;LS_previous!$D$3:$AY$3, 0)),SUM(VLOOKUP($A30, LS_previous!$B$4:$AY$138, LS_previous!G$149, FALSE), VLOOKUP('Staging Table'!$A30, LS_previous!$B$4:$AY$138,LS_previous!AE$149, FALSE))/2)</f>
        <v>30</v>
      </c>
      <c r="P30" s="227">
        <f t="array" ref="P30">IF($G30=0, INDEX(LS_previous!$D$4:$AY$138, MATCH('Staging Table'!$A30, LS_previous!$B$4:$B$138, 0), MATCH(P$4&amp;P$5, LS_previous!$D$2:$AY$2&amp;LS_previous!$D$3:$AY$3, 0)),SUM(VLOOKUP($A30, LS_previous!$B$4:$AY$138, LS_previous!H$149, FALSE), VLOOKUP('Staging Table'!$A30, LS_previous!$B$4:$AY$138,LS_previous!AF$149, FALSE))/2)</f>
        <v>297</v>
      </c>
      <c r="Q30" s="227">
        <f t="array" ref="Q30">IF($G30=0, INDEX(LS_previous!$D$4:$AY$138, MATCH('Staging Table'!$A30, LS_previous!$B$4:$B$138, 0), MATCH(Q$4&amp;Q$5, LS_previous!$D$2:$AY$2&amp;LS_previous!$D$3:$AY$3, 0)),SUM(VLOOKUP($A30, LS_previous!$B$4:$AY$138, LS_previous!I$149, FALSE), VLOOKUP('Staging Table'!$A30, LS_previous!$B$4:$AY$138,LS_previous!AG$149, FALSE))/2)</f>
        <v>250</v>
      </c>
      <c r="R30" s="227">
        <f t="array" ref="R30">IF($G30=0, INDEX(LS_previous!$D$4:$AY$138, MATCH('Staging Table'!$A30, LS_previous!$B$4:$B$138, 0), MATCH(R$4&amp;R$5, LS_previous!$D$2:$AY$2&amp;LS_previous!$D$3:$AY$3, 0)),SUM(VLOOKUP($A30, LS_previous!$B$4:$AY$138, LS_previous!J$149, FALSE), VLOOKUP('Staging Table'!$A30, LS_previous!$B$4:$AY$138,LS_previous!AH$149, FALSE))/2)</f>
        <v>743</v>
      </c>
      <c r="S30" s="227">
        <f t="array" ref="S30">IF($G30=0, INDEX(LS_previous!$D$4:$AY$138, MATCH('Staging Table'!$A30, LS_previous!$B$4:$B$138, 0), MATCH(S$4&amp;S$5, LS_previous!$D$2:$AY$2&amp;LS_previous!$D$3:$AY$3, 0)),SUM(VLOOKUP($A30, LS_previous!$B$4:$AY$138, LS_previous!K$149, FALSE), VLOOKUP('Staging Table'!$A30, LS_previous!$B$4:$AY$138,LS_previous!AI$149, FALSE))/2)</f>
        <v>330</v>
      </c>
      <c r="T30" s="227">
        <f t="array" ref="T30">IF($G30=0, INDEX(LS_previous!$D$4:$AY$138, MATCH('Staging Table'!$A30, LS_previous!$B$4:$B$138, 0), MATCH(T$4&amp;T$5, LS_previous!$D$2:$AY$2&amp;LS_previous!$D$3:$AY$3, 0)),SUM(VLOOKUP($A30, LS_previous!$B$4:$AY$138, LS_previous!L$149, FALSE), VLOOKUP('Staging Table'!$A30, LS_previous!$B$4:$AY$138,LS_previous!AJ$149, FALSE))/2)</f>
        <v>862</v>
      </c>
      <c r="U30" s="227">
        <f t="array" ref="U30">IF($G30=0, INDEX(LS_previous!$D$4:$AY$138, MATCH('Staging Table'!$A30, LS_previous!$B$4:$B$138, 0), MATCH(U$4&amp;U$5, LS_previous!$D$2:$AY$2&amp;LS_previous!$D$3:$AY$3, 0)),SUM(VLOOKUP($A30, LS_previous!$B$4:$AY$138, LS_previous!M$149, FALSE), VLOOKUP('Staging Table'!$A30, LS_previous!$B$4:$AY$138,LS_previous!AK$149, FALSE))/2)</f>
        <v>399</v>
      </c>
      <c r="V30" s="227">
        <f t="array" ref="V30">IF($G30=0, INDEX(LS_previous!$D$4:$AY$138, MATCH('Staging Table'!$A30, LS_previous!$B$4:$B$138, 0), MATCH(V$4&amp;V$5, LS_previous!$D$2:$AY$2&amp;LS_previous!$D$3:$AY$3, 0)),SUM(VLOOKUP($A30, LS_previous!$B$4:$AY$138, LS_previous!N$149, FALSE), VLOOKUP('Staging Table'!$A30, LS_previous!$B$4:$AY$138,LS_previous!AL$149, FALSE))/2)</f>
        <v>428</v>
      </c>
      <c r="W30" s="227">
        <f t="array" ref="W30">IF($G30=0, INDEX(LS_previous!$D$4:$AY$138, MATCH('Staging Table'!$A30, LS_previous!$B$4:$B$138, 0), MATCH(W$4&amp;W$5, LS_previous!$D$2:$AY$2&amp;LS_previous!$D$3:$AY$3, 0)),SUM(VLOOKUP($A30, LS_previous!$B$4:$AY$138, LS_previous!O$149, FALSE), VLOOKUP('Staging Table'!$A30, LS_previous!$B$4:$AY$138,LS_previous!AM$149, FALSE))/2)</f>
        <v>201</v>
      </c>
      <c r="X30" s="227">
        <f t="array" ref="X30">IF($G30=0, INDEX(LS_previous!$D$4:$AY$138, MATCH('Staging Table'!$A30, LS_previous!$B$4:$B$138, 0), MATCH(X$4&amp;X$5, LS_previous!$D$2:$AY$2&amp;LS_previous!$D$3:$AY$3, 0)),SUM(VLOOKUP($A30, LS_previous!$B$4:$AY$138, LS_previous!P$149, FALSE), VLOOKUP('Staging Table'!$A30, LS_previous!$B$4:$AY$138,LS_previous!AN$149, FALSE))/2)</f>
        <v>321</v>
      </c>
      <c r="Y30" s="227">
        <f t="array" ref="Y30">IF($G30=0, INDEX(LS_previous!$D$4:$AY$138, MATCH('Staging Table'!$A30, LS_previous!$B$4:$B$138, 0), MATCH(Y$4&amp;Y$5, LS_previous!$D$2:$AY$2&amp;LS_previous!$D$3:$AY$3, 0)),SUM(VLOOKUP($A30, LS_previous!$B$4:$AY$138, LS_previous!Q$149, FALSE), VLOOKUP('Staging Table'!$A30, LS_previous!$B$4:$AY$138,LS_previous!AO$149, FALSE))/2)</f>
        <v>62</v>
      </c>
      <c r="Z30" s="227">
        <f t="array" ref="Z30">IF($G30=0, INDEX(LS_previous!$D$4:$AY$138, MATCH('Staging Table'!$A30, LS_previous!$B$4:$B$138, 0), MATCH(Z$4&amp;Z$5, LS_previous!$D$2:$AY$2&amp;LS_previous!$D$3:$AY$3, 0)),SUM(VLOOKUP($A30, LS_previous!$B$4:$AY$138, LS_previous!R$149, FALSE), VLOOKUP('Staging Table'!$A30, LS_previous!$B$4:$AY$138,LS_previous!AP$149, FALSE))/2)</f>
        <v>-719</v>
      </c>
      <c r="AA30" s="227">
        <f t="array" ref="AA30">IF($G30=0, INDEX(LS_previous!$D$4:$AY$138, MATCH('Staging Table'!$A30, LS_previous!$B$4:$B$138, 0), MATCH(AA$4&amp;AA$5, LS_previous!$D$2:$AY$2&amp;LS_previous!$D$3:$AY$3, 0)),SUM(VLOOKUP($A30, LS_previous!$B$4:$AY$138, LS_previous!S$149, FALSE), VLOOKUP('Staging Table'!$A30, LS_previous!$B$4:$AY$138,LS_previous!AQ$149, FALSE))/2)</f>
        <v>-464</v>
      </c>
      <c r="AB30" s="227">
        <f t="array" ref="AB30">IF($G30=0, INDEX(LS_previous!$D$4:$AY$138, MATCH('Staging Table'!$A30, LS_previous!$B$4:$B$138, 0), MATCH(AB$4&amp;AB$5, LS_previous!$D$2:$AY$2&amp;LS_previous!$D$3:$AY$3, 0)),SUM(VLOOKUP($A30, LS_previous!$B$4:$AY$138, LS_previous!T$149, FALSE), VLOOKUP('Staging Table'!$A30, LS_previous!$B$4:$AY$138,LS_previous!AR$149, FALSE))/2)</f>
        <v>-288</v>
      </c>
      <c r="AC30" s="227">
        <f t="array" ref="AC30">IF($G30=0, INDEX(LS_previous!$D$4:$AY$138, MATCH('Staging Table'!$A30, LS_previous!$B$4:$B$138, 0), MATCH(AC$4&amp;AC$5, LS_previous!$D$2:$AY$2&amp;LS_previous!$D$3:$AY$3, 0)),SUM(VLOOKUP($A30, LS_previous!$B$4:$AY$138, LS_previous!U$149, FALSE), VLOOKUP('Staging Table'!$A30, LS_previous!$B$4:$AY$138,LS_previous!AS$149, FALSE))/2)</f>
        <v>-297</v>
      </c>
      <c r="AD30" s="227">
        <f t="array" ref="AD30">IF($G30=0, INDEX(LS_previous!$D$4:$AY$138, MATCH('Staging Table'!$A30, LS_previous!$B$4:$B$138, 0), MATCH(AD$4&amp;AD$5, LS_previous!$D$2:$AY$2&amp;LS_previous!$D$3:$AY$3, 0)),SUM(VLOOKUP($A30, LS_previous!$B$4:$AY$138, LS_previous!V$149, FALSE), VLOOKUP('Staging Table'!$A30, LS_previous!$B$4:$AY$138,LS_previous!AT$149, FALSE))/2)</f>
        <v>-140</v>
      </c>
      <c r="AE30" s="227">
        <f t="array" ref="AE30">IF($G30=0, INDEX(LS_previous!$D$4:$AY$138, MATCH('Staging Table'!$A30, LS_previous!$B$4:$B$138, 0), MATCH(AE$4&amp;AE$5, LS_previous!$D$2:$AY$2&amp;LS_previous!$D$3:$AY$3, 0)),SUM(VLOOKUP($A30, LS_previous!$B$4:$AY$138, LS_previous!W$149, FALSE), VLOOKUP('Staging Table'!$A30, LS_previous!$B$4:$AY$138,LS_previous!AU$149, FALSE))/2)</f>
        <v>-175</v>
      </c>
      <c r="AF30" s="227">
        <f t="array" ref="AF30">IF($G30=0, INDEX(LS_previous!$D$4:$AY$138, MATCH('Staging Table'!$A30, LS_previous!$B$4:$B$138, 0), MATCH(AF$4&amp;AF$5, LS_previous!$D$2:$AY$2&amp;LS_previous!$D$3:$AY$3, 0)),SUM(VLOOKUP($A30, LS_previous!$B$4:$AY$138, LS_previous!X$149, FALSE), VLOOKUP('Staging Table'!$A30, LS_previous!$B$4:$AY$138,LS_previous!AV$149, FALSE))/2)</f>
        <v>-307</v>
      </c>
      <c r="AG30" s="227">
        <f t="array" ref="AG30">IF($G30=0, INDEX(LS_previous!$D$4:$AY$138, MATCH('Staging Table'!$A30, LS_previous!$B$4:$B$138, 0), MATCH(AG$4&amp;AG$5, LS_previous!$D$2:$AY$2&amp;LS_previous!$D$3:$AY$3, 0)),SUM(VLOOKUP($A30, LS_previous!$B$4:$AY$138, LS_previous!Y$149, FALSE), VLOOKUP('Staging Table'!$A30, LS_previous!$B$4:$AY$138,LS_previous!AW$149, FALSE))/2)</f>
        <v>-205</v>
      </c>
      <c r="AH30" s="227">
        <f t="array" ref="AH30">IF($G30=0, INDEX(LS_previous!$D$4:$AY$138, MATCH('Staging Table'!$A30, LS_previous!$B$4:$B$138, 0), MATCH(AH$4&amp;AH$5, LS_previous!$D$2:$AY$2&amp;LS_previous!$D$3:$AY$3, 0)),SUM(VLOOKUP($A30, LS_previous!$B$4:$AY$138, LS_previous!Z$149, FALSE), VLOOKUP('Staging Table'!$A30, LS_previous!$B$4:$AY$138,LS_previous!AX$149, FALSE))/2)</f>
        <v>-41</v>
      </c>
      <c r="AI30" s="227">
        <f t="array" ref="AI30">IF($G30=0, INDEX(LS_previous!$D$4:$AY$138, MATCH('Staging Table'!$A30, LS_previous!$B$4:$B$138, 0), MATCH(AI$4&amp;AI$5, LS_previous!$D$2:$AY$2&amp;LS_previous!$D$3:$AY$3, 0)),SUM(VLOOKUP($A30, LS_previous!$B$4:$AY$138, LS_previous!AA$149, FALSE), VLOOKUP('Staging Table'!$A30, LS_previous!$B$4:$AY$138,LS_previous!AY$149, FALSE))/2)</f>
        <v>-179</v>
      </c>
      <c r="AJ30" s="424">
        <f t="array" ref="AJ30">INDEX(Demand_previous!$D$4:$AY$138, MATCH('Staging Table'!$A30, Demand_previous!$B$4:$B$138, 0), MATCH(AJ$4&amp;AJ$5,Demand_previous!$D$2:$AY$2&amp;Demand_previous!$D$3:$AY$3, 0))/1000</f>
        <v>0.82799999999999996</v>
      </c>
      <c r="AK30" s="424">
        <f t="array" ref="AK30">INDEX(Demand_previous!$D$4:$AY$138, MATCH('Staging Table'!$A30, Demand_previous!$B$4:$B$138, 0), MATCH(AK$4&amp;AK$5,Demand_previous!$D$2:$AY$2&amp;Demand_previous!$D$3:$AY$3, 0))/1000</f>
        <v>1.335</v>
      </c>
      <c r="AL30" s="424">
        <f t="array" ref="AL30">INDEX(Demand_previous!$D$4:$AY$138, MATCH('Staging Table'!$A30, Demand_previous!$B$4:$B$138, 0), MATCH(AL$4&amp;AL$5,Demand_previous!$D$2:$AY$2&amp;Demand_previous!$D$3:$AY$3, 0))/1000</f>
        <v>1.411</v>
      </c>
      <c r="AM30" s="424">
        <f t="array" ref="AM30">INDEX(Demand_previous!$D$4:$AY$138, MATCH('Staging Table'!$A30, Demand_previous!$B$4:$B$138, 0), MATCH(AM$4&amp;AM$5,Demand_previous!$D$2:$AY$2&amp;Demand_previous!$D$3:$AY$3, 0))/1000</f>
        <v>1.7549999999999999</v>
      </c>
      <c r="AN30" s="424">
        <f t="array" ref="AN30">INDEX(Demand_previous!$D$4:$AY$138, MATCH('Staging Table'!$A30, Demand_previous!$B$4:$B$138, 0), MATCH(AN$4&amp;AN$5,Demand_previous!$D$2:$AY$2&amp;Demand_previous!$D$3:$AY$3, 0))/1000</f>
        <v>0.78700000000000003</v>
      </c>
      <c r="AO30" s="424">
        <f t="array" ref="AO30">INDEX(Demand_previous!$D$4:$AY$138, MATCH('Staging Table'!$A30, Demand_previous!$B$4:$B$138, 0), MATCH(AO$4&amp;AO$5,Demand_previous!$D$2:$AY$2&amp;Demand_previous!$D$3:$AY$3, 0))/1000</f>
        <v>1.2749999999999999</v>
      </c>
      <c r="AP30" s="424">
        <f t="array" ref="AP30">INDEX(Demand_previous!$D$4:$AY$138, MATCH('Staging Table'!$A30, Demand_previous!$B$4:$B$138, 0), MATCH(AP$4&amp;AP$5,Demand_previous!$D$2:$AY$2&amp;Demand_previous!$D$3:$AY$3, 0))/1000</f>
        <v>1.1779999999999999</v>
      </c>
      <c r="AQ30" s="424">
        <f t="array" ref="AQ30">INDEX(Demand_previous!$D$4:$AY$138, MATCH('Staging Table'!$A30, Demand_previous!$B$4:$B$138, 0), MATCH(AQ$4&amp;AQ$5,Demand_previous!$D$2:$AY$2&amp;Demand_previous!$D$3:$AY$3, 0))/1000</f>
        <v>0.52500000000000002</v>
      </c>
      <c r="AR30" s="424">
        <f t="array" ref="AR30">INDEX(Demand_previous!$D$4:$AY$138, MATCH('Staging Table'!$A30, Demand_previous!$B$4:$B$138, 0), MATCH(AR$4&amp;AR$5,Demand_previous!$D$2:$AY$2&amp;Demand_previous!$D$3:$AY$3, 0))/1000</f>
        <v>0</v>
      </c>
      <c r="AS30" s="424">
        <f t="array" ref="AS30">INDEX(Demand_previous!$D$4:$AY$138, MATCH('Staging Table'!$A30, Demand_previous!$B$4:$B$138, 0), MATCH(AS$4&amp;AS$5,Demand_previous!$D$2:$AY$2&amp;Demand_previous!$D$3:$AY$3, 0))/1000</f>
        <v>0</v>
      </c>
      <c r="AT30" s="424">
        <f t="array" ref="AT30">INDEX(Demand_previous!$D$4:$AY$138, MATCH('Staging Table'!$A30, Demand_previous!$B$4:$B$138, 0), MATCH(AT$4&amp;AT$5,Demand_previous!$D$2:$AY$2&amp;Demand_previous!$D$3:$AY$3, 0))/1000</f>
        <v>0.65200000000000002</v>
      </c>
      <c r="AU30" s="424">
        <f t="array" ref="AU30">INDEX(Demand_previous!$D$4:$AY$138, MATCH('Staging Table'!$A30, Demand_previous!$B$4:$B$138, 0), MATCH(AU$4&amp;AU$5,Demand_previous!$D$2:$AY$2&amp;Demand_previous!$D$3:$AY$3, 0))/1000</f>
        <v>0</v>
      </c>
      <c r="AV30" s="227">
        <f>$F30*(VLOOKUP(AV$4, Rates_previous!$G$6:$Q$29, 10, FALSE)+VLOOKUP(AV$4, Rates_previous!$G$6:$Q$29, 11, FALSE))</f>
        <v>2469.6108494505493</v>
      </c>
      <c r="AW30" s="227">
        <f>$F30*(VLOOKUP(AW$4, Rates_previous!$G$6:$Q$29, 10, FALSE)+VLOOKUP(AW$4, Rates_previous!$G$6:$Q$29, 11, FALSE))</f>
        <v>3052.2513095490744</v>
      </c>
      <c r="AX30" s="227">
        <f>$F30*(VLOOKUP(AX$4, Rates_previous!$G$6:$Q$29, 10, FALSE)+VLOOKUP(AX$4, Rates_previous!$G$6:$Q$29, 11, FALSE))</f>
        <v>3015.5974219902914</v>
      </c>
      <c r="AY30" s="227">
        <f>$F30*(VLOOKUP(AY$4, Rates_previous!$G$6:$Q$29, 10, FALSE)+VLOOKUP(AY$4, Rates_previous!$G$6:$Q$29, 11, FALSE))</f>
        <v>2576.5405631847716</v>
      </c>
      <c r="AZ30" s="227">
        <f>$F30*(VLOOKUP(AZ$4, Rates_previous!$G$6:$Q$29, 10, FALSE)+VLOOKUP(AZ$4, Rates_previous!$G$6:$Q$29, 11, FALSE))</f>
        <v>2112.2634872808198</v>
      </c>
      <c r="BA30" s="227">
        <f>$F30*(VLOOKUP(BA$4, Rates_previous!$G$6:$Q$29, 10, FALSE)+VLOOKUP(BA$4, Rates_previous!$G$6:$Q$29, 11, FALSE))</f>
        <v>2500.8432444101627</v>
      </c>
      <c r="BB30" s="227">
        <f>$F30*(VLOOKUP(BB$4, Rates_previous!$G$6:$Q$29, 10, FALSE)+VLOOKUP(BB$4, Rates_previous!$G$6:$Q$29, 11, FALSE))</f>
        <v>2403.6741277212604</v>
      </c>
      <c r="BC30" s="227">
        <f>$F30*(VLOOKUP(BC$4, Rates_previous!$G$6:$Q$29, 10, FALSE)+VLOOKUP(BC$4, Rates_previous!$G$6:$Q$29, 11, FALSE))</f>
        <v>3527.2216918455451</v>
      </c>
      <c r="BD30" s="227">
        <f>$F30*(VLOOKUP(BD$4, Rates_previous!$G$6:$Q$29, 10, FALSE)+VLOOKUP(BD$4, Rates_previous!$G$6:$Q$29, 11, FALSE))</f>
        <v>2782.8846892604456</v>
      </c>
      <c r="BE30" s="227">
        <f>$F30*(VLOOKUP(BE$4, Rates_previous!$G$6:$Q$29, 10, FALSE)+VLOOKUP(BE$4, Rates_previous!$G$6:$Q$29, 11, FALSE))</f>
        <v>2443.6063400727139</v>
      </c>
      <c r="BF30" s="227">
        <f>$F30*(VLOOKUP(BF$4, Rates_previous!$G$6:$Q$29, 10, FALSE)+VLOOKUP(BF$4, Rates_previous!$G$6:$Q$29, 11, FALSE))</f>
        <v>2706.3918336033339</v>
      </c>
      <c r="BG30" s="227">
        <f>$F30*(VLOOKUP(BG$4, Rates_previous!$G$6:$Q$29, 10, FALSE)+VLOOKUP(BG$4, Rates_previous!$G$6:$Q$29, 11, FALSE))</f>
        <v>2451.8833747867561</v>
      </c>
      <c r="BH30" s="229">
        <f>IF($D30=0,IF(C30=0, MAX(BK30 - (VLOOKUP($A30,TOCA_previous!$A$2:$AI$137,MATCH("RHWM 2018",TOCA_previous!$A$2:$AI$2,0),FALSE)*$F$2*TOCA_previous!C27),0),0), 0)</f>
        <v>1438.6894006319963</v>
      </c>
      <c r="BI30" s="266">
        <f>VLOOKUP($A30,REP_previous!$A$1:$D$135,MATCH("FY "&amp;$F$1&amp; " Total Refund",REP_previous!$A$1:$D$1,0),0)</f>
        <v>56468.631515895497</v>
      </c>
      <c r="BJ30" s="241">
        <f>MIN(VLOOKUP($A30,TOCA_previous!$A$2:$AI$137,MATCH("TRL - NLSL - Existing Resource "&amp;$F$1,TOCA_previous!$A$2:$AI$2,0),FALSE)*$F$2,(VLOOKUP($A30,TOCA_previous!$A$2:$AI$137,MATCH("RHWM 2018",TOCA_previous!$A$2:$AI$2,0),FALSE)*$F$2))</f>
        <v>32044.079999999998</v>
      </c>
      <c r="BK30" s="229">
        <f>SUM(L30:AI30)+(F30*RT1SC!$C$3*$F$2)</f>
        <v>33482.769400631994</v>
      </c>
      <c r="BL30" s="241">
        <f>VLOOKUP($A30,TOCA_previous!$A$2:$AI$137,MATCH("Above RHWM Not Served with LS "&amp;$F$1,TOCA_previous!$A$2:$AI$2,0),FALSE)*$F$2</f>
        <v>0</v>
      </c>
      <c r="BM30" s="151">
        <f t="shared" si="5"/>
        <v>1438.6894006319963</v>
      </c>
      <c r="BN30" s="242">
        <f>(VLOOKUP($A30,TOCA_previous!$A$2:$AI$137,MATCH("RHWM 2018",TOCA_previous!$A$2:$AI$2,0),FALSE)*$F$2) - $BJ30</f>
        <v>0</v>
      </c>
      <c r="BO30" s="151">
        <f t="shared" si="6"/>
        <v>0</v>
      </c>
      <c r="BP30" s="243">
        <f t="shared" si="7"/>
        <v>0</v>
      </c>
      <c r="BQ30" s="237">
        <f t="shared" si="8"/>
        <v>0</v>
      </c>
      <c r="BR30" s="242">
        <f t="shared" si="9"/>
        <v>0</v>
      </c>
      <c r="BS30" s="151">
        <f>VLOOKUP($A30,TOCA_current!$A$2:$AI$137,MATCH(BS$4,TOCA_current!$A$2:$AI$2,0),FALSE)</f>
        <v>5.264E-4</v>
      </c>
      <c r="BT30" s="151">
        <f>VLOOKUP($A30,TOCA_current!$A$2:$AI$137,MATCH(BT$4,TOCA_current!$A$2:$AI$2,0),FALSE)</f>
        <v>5.264E-4</v>
      </c>
      <c r="BU30" s="236">
        <f t="shared" si="10"/>
        <v>0</v>
      </c>
      <c r="BV30" s="151">
        <f>VLOOKUP($A30,TOCA_current!A26:BG161,MATCH(BV$4,TOCA_current!$A$2:$BG$2,0),FALSE)</f>
        <v>0</v>
      </c>
      <c r="BW30" s="151">
        <f t="shared" si="11"/>
        <v>0</v>
      </c>
      <c r="BX30" s="151">
        <f t="shared" si="12"/>
        <v>0</v>
      </c>
      <c r="BY30" s="226">
        <f>VLOOKUP($A30,IRD!$A$4:$G$139, 7, FALSE)</f>
        <v>0</v>
      </c>
      <c r="BZ30" s="227">
        <f t="array" ref="BZ30">IF($BU30=0, INDEX(LS_current!$D$4:$AY$138, MATCH('Staging Table'!$A30, LS_current!$B$4:$B$138, 0), MATCH(BZ$4&amp;BZ$5, LS_current!$D$2:$AY$2&amp;LS_current!$D$3:$AY$3, 0)),SUM(VLOOKUP($A30, LS_current!$B$4:$AY$138, LS_current!D$148, FALSE), VLOOKUP($A30, LS_current!$B$4:$AY$138,LS_current!D$148, FALSE))/2)</f>
        <v>242</v>
      </c>
      <c r="CA30" s="227">
        <f t="array" ref="CA30">IF($BU30=0, INDEX(LS_current!$D$4:$AY$138, MATCH('Staging Table'!$A30, LS_current!$B$4:$B$138, 0), MATCH(CA$4&amp;CA$5, LS_current!$D$2:$AY$2&amp;LS_current!$D$3:$AY$3, 0)),SUM(VLOOKUP($A30, LS_current!$B$4:$AY$138, LS_current!E$148, FALSE), VLOOKUP($A30, LS_current!$B$4:$AY$138,LS_current!E$148, FALSE))/2)</f>
        <v>-31</v>
      </c>
      <c r="CB30" s="227">
        <f t="array" ref="CB30">IF($BU30=0, INDEX(LS_current!$D$4:$AY$138, MATCH('Staging Table'!$A30, LS_current!$B$4:$B$138, 0), MATCH(CB$4&amp;CB$5, LS_current!$D$2:$AY$2&amp;LS_current!$D$3:$AY$3, 0)),SUM(VLOOKUP($A30, LS_current!$B$4:$AY$138, LS_current!F$148, FALSE), VLOOKUP($A30, LS_current!$B$4:$AY$138,LS_current!F$148, FALSE))/2)</f>
        <v>147</v>
      </c>
      <c r="CC30" s="227">
        <f t="array" ref="CC30">IF($BU30=0, INDEX(LS_current!$D$4:$AY$138, MATCH('Staging Table'!$A30, LS_current!$B$4:$B$138, 0), MATCH(CC$4&amp;CC$5, LS_current!$D$2:$AY$2&amp;LS_current!$D$3:$AY$3, 0)),SUM(VLOOKUP($A30, LS_current!$B$4:$AY$138, LS_current!G$148, FALSE), VLOOKUP($A30, LS_current!$B$4:$AY$138,LS_current!G$148, FALSE))/2)</f>
        <v>7</v>
      </c>
      <c r="CD30" s="227">
        <f t="array" ref="CD30">IF($BU30=0, INDEX(LS_current!$D$4:$AY$138, MATCH('Staging Table'!$A30, LS_current!$B$4:$B$138, 0), MATCH(CD$4&amp;CD$5, LS_current!$D$2:$AY$2&amp;LS_current!$D$3:$AY$3, 0)),SUM(VLOOKUP($A30, LS_current!$B$4:$AY$138, LS_current!H$148, FALSE), VLOOKUP($A30, LS_current!$B$4:$AY$138,LS_current!H$148, FALSE))/2)</f>
        <v>281</v>
      </c>
      <c r="CE30" s="227">
        <f t="array" ref="CE30">IF($BU30=0, INDEX(LS_current!$D$4:$AY$138, MATCH('Staging Table'!$A30, LS_current!$B$4:$B$138, 0), MATCH(CE$4&amp;CE$5, LS_current!$D$2:$AY$2&amp;LS_current!$D$3:$AY$3, 0)),SUM(VLOOKUP($A30, LS_current!$B$4:$AY$138, LS_current!I$148, FALSE), VLOOKUP($A30, LS_current!$B$4:$AY$138,LS_current!I$148, FALSE))/2)</f>
        <v>231</v>
      </c>
      <c r="CF30" s="227">
        <f t="array" ref="CF30">IF($BU30=0, INDEX(LS_current!$D$4:$AY$138, MATCH('Staging Table'!$A30, LS_current!$B$4:$B$138, 0), MATCH(CF$4&amp;CF$5, LS_current!$D$2:$AY$2&amp;LS_current!$D$3:$AY$3, 0)),SUM(VLOOKUP($A30, LS_current!$B$4:$AY$138, LS_current!J$148, FALSE), VLOOKUP($A30, LS_current!$B$4:$AY$138,LS_current!J$148, FALSE))/2)</f>
        <v>736</v>
      </c>
      <c r="CG30" s="227">
        <f t="array" ref="CG30">IF($BU30=0, INDEX(LS_current!$D$4:$AY$138, MATCH('Staging Table'!$A30, LS_current!$B$4:$B$138, 0), MATCH(CG$4&amp;CG$5, LS_current!$D$2:$AY$2&amp;LS_current!$D$3:$AY$3, 0)),SUM(VLOOKUP($A30, LS_current!$B$4:$AY$138, LS_current!K$148, FALSE), VLOOKUP($A30, LS_current!$B$4:$AY$138,LS_current!K$148, FALSE))/2)</f>
        <v>370</v>
      </c>
      <c r="CH30" s="227">
        <f t="array" ref="CH30">IF($BU30=0, INDEX(LS_current!$D$4:$AY$138, MATCH('Staging Table'!$A30, LS_current!$B$4:$B$138, 0), MATCH(CH$4&amp;CH$5, LS_current!$D$2:$AY$2&amp;LS_current!$D$3:$AY$3, 0)),SUM(VLOOKUP($A30, LS_current!$B$4:$AY$138, LS_current!L$148, FALSE), VLOOKUP($A30, LS_current!$B$4:$AY$138,LS_current!L$148, FALSE))/2)</f>
        <v>743</v>
      </c>
      <c r="CI30" s="227">
        <f t="array" ref="CI30">IF($BU30=0, INDEX(LS_current!$D$4:$AY$138, MATCH('Staging Table'!$A30, LS_current!$B$4:$B$138, 0), MATCH(CI$4&amp;CI$5, LS_current!$D$2:$AY$2&amp;LS_current!$D$3:$AY$3, 0)),SUM(VLOOKUP($A30, LS_current!$B$4:$AY$138, LS_current!M$148, FALSE), VLOOKUP($A30, LS_current!$B$4:$AY$138,LS_current!M$148, FALSE))/2)</f>
        <v>326</v>
      </c>
      <c r="CJ30" s="227">
        <f t="array" ref="CJ30">IF($BU30=0, INDEX(LS_current!$D$4:$AY$138, MATCH('Staging Table'!$A30, LS_current!$B$4:$B$138, 0), MATCH(CJ$4&amp;CJ$5, LS_current!$D$2:$AY$2&amp;LS_current!$D$3:$AY$3, 0)),SUM(VLOOKUP($A30, LS_current!$B$4:$AY$138, LS_current!N$148, FALSE), VLOOKUP($A30, LS_current!$B$4:$AY$138,LS_current!N$148, FALSE))/2)</f>
        <v>380</v>
      </c>
      <c r="CK30" s="227">
        <f t="array" ref="CK30">IF($BU30=0, INDEX(LS_current!$D$4:$AY$138, MATCH('Staging Table'!$A30, LS_current!$B$4:$B$138, 0), MATCH(CK$4&amp;CK$5, LS_current!$D$2:$AY$2&amp;LS_current!$D$3:$AY$3, 0)),SUM(VLOOKUP($A30, LS_current!$B$4:$AY$138, LS_current!O$148, FALSE), VLOOKUP($A30, LS_current!$B$4:$AY$138,LS_current!O$148, FALSE))/2)</f>
        <v>187</v>
      </c>
      <c r="CL30" s="227">
        <f t="array" ref="CL30">IF($BU30=0, INDEX(LS_current!$D$4:$AY$138, MATCH('Staging Table'!$A30, LS_current!$B$4:$B$138, 0), MATCH(CL$4&amp;CL$5, LS_current!$D$2:$AY$2&amp;LS_current!$D$3:$AY$3, 0)),SUM(VLOOKUP($A30, LS_current!$B$4:$AY$138, LS_current!P$148, FALSE), VLOOKUP($A30, LS_current!$B$4:$AY$138,LS_current!P$148, FALSE))/2)</f>
        <v>555</v>
      </c>
      <c r="CM30" s="227">
        <f t="array" ref="CM30">IF($BU30=0, INDEX(LS_current!$D$4:$AY$138, MATCH('Staging Table'!$A30, LS_current!$B$4:$B$138, 0), MATCH(CM$4&amp;CM$5, LS_current!$D$2:$AY$2&amp;LS_current!$D$3:$AY$3, 0)),SUM(VLOOKUP($A30, LS_current!$B$4:$AY$138, LS_current!Q$148, FALSE), VLOOKUP($A30, LS_current!$B$4:$AY$138,LS_current!Q$148, FALSE))/2)</f>
        <v>147</v>
      </c>
      <c r="CN30" s="227">
        <f t="array" ref="CN30">IF($BU30=0, INDEX(LS_current!$D$4:$AY$138, MATCH('Staging Table'!$A30, LS_current!$B$4:$B$138, 0), MATCH(CN$4&amp;CN$5, LS_current!$D$2:$AY$2&amp;LS_current!$D$3:$AY$3, 0)),SUM(VLOOKUP($A30, LS_current!$B$4:$AY$138, LS_current!R$148, FALSE), VLOOKUP($A30, LS_current!$B$4:$AY$138,LS_current!R$148, FALSE))/2)</f>
        <v>-297</v>
      </c>
      <c r="CO30" s="227">
        <f t="array" ref="CO30">IF($BU30=0, INDEX(LS_current!$D$4:$AY$138, MATCH('Staging Table'!$A30, LS_current!$B$4:$B$138, 0), MATCH(CO$4&amp;CO$5, LS_current!$D$2:$AY$2&amp;LS_current!$D$3:$AY$3, 0)),SUM(VLOOKUP($A30, LS_current!$B$4:$AY$138, LS_current!S$148, FALSE), VLOOKUP($A30, LS_current!$B$4:$AY$138,LS_current!S$148, FALSE))/2)</f>
        <v>-173</v>
      </c>
      <c r="CP30" s="227">
        <f t="array" ref="CP30">IF($BU30=0, INDEX(LS_current!$D$4:$AY$138, MATCH('Staging Table'!$A30, LS_current!$B$4:$B$138, 0), MATCH(CP$4&amp;CP$5, LS_current!$D$2:$AY$2&amp;LS_current!$D$3:$AY$3, 0)),SUM(VLOOKUP($A30, LS_current!$B$4:$AY$138, LS_current!T$148, FALSE), VLOOKUP($A30, LS_current!$B$4:$AY$138,LS_current!T$148, FALSE))/2)</f>
        <v>-797</v>
      </c>
      <c r="CQ30" s="227">
        <f t="array" ref="CQ30">IF($BU30=0, INDEX(LS_current!$D$4:$AY$138, MATCH('Staging Table'!$A30, LS_current!$B$4:$B$138, 0), MATCH(CQ$4&amp;CQ$5, LS_current!$D$2:$AY$2&amp;LS_current!$D$3:$AY$3, 0)),SUM(VLOOKUP($A30, LS_current!$B$4:$AY$138, LS_current!U$148, FALSE), VLOOKUP($A30, LS_current!$B$4:$AY$138,LS_current!U$148, FALSE))/2)</f>
        <v>-595</v>
      </c>
      <c r="CR30" s="227">
        <f t="array" ref="CR30">IF($BU30=0, INDEX(LS_current!$D$4:$AY$138, MATCH('Staging Table'!$A30, LS_current!$B$4:$B$138, 0), MATCH(CR$4&amp;CR$5, LS_current!$D$2:$AY$2&amp;LS_current!$D$3:$AY$3, 0)),SUM(VLOOKUP($A30, LS_current!$B$4:$AY$138, LS_current!V$148, FALSE), VLOOKUP($A30, LS_current!$B$4:$AY$138,LS_current!V$148, FALSE))/2)</f>
        <v>-480</v>
      </c>
      <c r="CS30" s="227">
        <f t="array" ref="CS30">IF($BU30=0, INDEX(LS_current!$D$4:$AY$138, MATCH('Staging Table'!$A30, LS_current!$B$4:$B$138, 0), MATCH(CS$4&amp;CS$5, LS_current!$D$2:$AY$2&amp;LS_current!$D$3:$AY$3, 0)),SUM(VLOOKUP($A30, LS_current!$B$4:$AY$138, LS_current!W$148, FALSE), VLOOKUP($A30, LS_current!$B$4:$AY$138,LS_current!W$148, FALSE))/2)</f>
        <v>-206</v>
      </c>
      <c r="CT30" s="227">
        <f t="array" ref="CT30">IF($BU30=0, INDEX(LS_current!$D$4:$AY$138, MATCH('Staging Table'!$A30, LS_current!$B$4:$B$138, 0), MATCH(CT$4&amp;CT$5, LS_current!$D$2:$AY$2&amp;LS_current!$D$3:$AY$3, 0)),SUM(VLOOKUP($A30, LS_current!$B$4:$AY$138, LS_current!X$148, FALSE), VLOOKUP($A30, LS_current!$B$4:$AY$138,LS_current!X$148, FALSE))/2)</f>
        <v>-374</v>
      </c>
      <c r="CU30" s="227">
        <f t="array" ref="CU30">IF($BU30=0, INDEX(LS_current!$D$4:$AY$138, MATCH('Staging Table'!$A30, LS_current!$B$4:$B$138, 0), MATCH(CU$4&amp;CU$5, LS_current!$D$2:$AY$2&amp;LS_current!$D$3:$AY$3, 0)),SUM(VLOOKUP($A30, LS_current!$B$4:$AY$138, LS_current!Y$148, FALSE), VLOOKUP($A30, LS_current!$B$4:$AY$138,LS_current!Y$148, FALSE))/2)</f>
        <v>-172</v>
      </c>
      <c r="CV30" s="227">
        <f t="array" ref="CV30">IF($BU30=0, INDEX(LS_current!$D$4:$AY$138, MATCH('Staging Table'!$A30, LS_current!$B$4:$B$138, 0), MATCH(CV$4&amp;CV$5, LS_current!$D$2:$AY$2&amp;LS_current!$D$3:$AY$3, 0)),SUM(VLOOKUP($A30, LS_current!$B$4:$AY$138, LS_current!Z$148, FALSE), VLOOKUP($A30, LS_current!$B$4:$AY$138,LS_current!Z$148, FALSE))/2)</f>
        <v>-49</v>
      </c>
      <c r="CW30" s="227">
        <f t="array" ref="CW30">IF($BU30=0, INDEX(LS_current!$D$4:$AY$138, MATCH('Staging Table'!$A30, LS_current!$B$4:$B$138, 0), MATCH(CW$4&amp;CW$5, LS_current!$D$2:$AY$2&amp;LS_current!$D$3:$AY$3, 0)),SUM(VLOOKUP($A30, LS_current!$B$4:$AY$138, LS_current!AA$148, FALSE), VLOOKUP($A30, LS_current!$B$4:$AY$138,LS_current!AA$148, FALSE))/2)</f>
        <v>-180</v>
      </c>
      <c r="CX30" s="229">
        <f t="array" ref="CX30">INDEX(Demand_current!$D$4:$AY$138, MATCH($A30, Demand_current!$B$4:$B$138, 0), MATCH(CX$4&amp;CX$5,Demand_current!$D$2:$AY$2&amp;Demand_current!$D$3:$AY$3, 0))/1000</f>
        <v>0.99099999999999999</v>
      </c>
      <c r="CY30" s="229">
        <f t="array" ref="CY30">INDEX(Demand_current!$D$4:$AY$138, MATCH($A30, Demand_current!$B$4:$B$138, 0), MATCH(CY$4&amp;CY$5,Demand_current!$D$2:$AY$2&amp;Demand_current!$D$3:$AY$3, 0))/1000</f>
        <v>1.335</v>
      </c>
      <c r="CZ30" s="229">
        <f t="array" ref="CZ30">INDEX(Demand_current!$D$4:$AY$138, MATCH($A30, Demand_current!$B$4:$B$138, 0), MATCH(CZ$4&amp;CZ$5,Demand_current!$D$2:$AY$2&amp;Demand_current!$D$3:$AY$3, 0))/1000</f>
        <v>1.411</v>
      </c>
      <c r="DA30" s="229">
        <f t="array" ref="DA30">INDEX(Demand_current!$D$4:$AY$138, MATCH($A30, Demand_current!$B$4:$B$138, 0), MATCH(DA$4&amp;DA$5,Demand_current!$D$2:$AY$2&amp;Demand_current!$D$3:$AY$3, 0))/1000</f>
        <v>1.7549999999999999</v>
      </c>
      <c r="DB30" s="229">
        <f t="array" ref="DB30">INDEX(Demand_current!$D$4:$AY$138, MATCH($A30, Demand_current!$B$4:$B$138, 0), MATCH(DB$4&amp;DB$5,Demand_current!$D$2:$AY$2&amp;Demand_current!$D$3:$AY$3, 0))/1000</f>
        <v>1.016</v>
      </c>
      <c r="DC30" s="229">
        <f t="array" ref="DC30">INDEX(Demand_current!$D$4:$AY$138, MATCH($A30, Demand_current!$B$4:$B$138, 0), MATCH(DC$4&amp;DC$5,Demand_current!$D$2:$AY$2&amp;Demand_current!$D$3:$AY$3, 0))/1000</f>
        <v>1.097</v>
      </c>
      <c r="DD30" s="229">
        <f t="array" ref="DD30">INDEX(Demand_current!$D$4:$AY$138, MATCH($A30, Demand_current!$B$4:$B$138, 0), MATCH(DD$4&amp;DD$5,Demand_current!$D$2:$AY$2&amp;Demand_current!$D$3:$AY$3, 0))/1000</f>
        <v>1.357</v>
      </c>
      <c r="DE30" s="229">
        <f t="array" ref="DE30">INDEX(Demand_current!$D$4:$AY$138, MATCH($A30, Demand_current!$B$4:$B$138, 0), MATCH(DE$4&amp;DE$5,Demand_current!$D$2:$AY$2&amp;Demand_current!$D$3:$AY$3, 0))/1000</f>
        <v>0.378</v>
      </c>
      <c r="DF30" s="229">
        <f t="array" ref="DF30">INDEX(Demand_current!$D$4:$AY$138, MATCH($A30, Demand_current!$B$4:$B$138, 0), MATCH(DF$4&amp;DF$5,Demand_current!$D$2:$AY$2&amp;Demand_current!$D$3:$AY$3, 0))/1000</f>
        <v>0</v>
      </c>
      <c r="DG30" s="229">
        <f t="array" ref="DG30">INDEX(Demand_current!$D$4:$AY$138, MATCH($A30, Demand_current!$B$4:$B$138, 0), MATCH(DG$4&amp;DG$5,Demand_current!$D$2:$AY$2&amp;Demand_current!$D$3:$AY$3, 0))/1000</f>
        <v>0</v>
      </c>
      <c r="DH30" s="229">
        <f t="array" ref="DH30">INDEX(Demand_current!$D$4:$AY$138, MATCH($A30, Demand_current!$B$4:$B$138, 0), MATCH(DH$4&amp;DH$5,Demand_current!$D$2:$AY$2&amp;Demand_current!$D$3:$AY$3, 0))/1000</f>
        <v>0.51800000000000002</v>
      </c>
      <c r="DI30" s="229">
        <f t="array" ref="DI30">INDEX(Demand_current!$D$4:$AY$138, MATCH($A30, Demand_current!$B$4:$B$138, 0), MATCH(DI$4&amp;DI$5,Demand_current!$D$2:$AY$2&amp;Demand_current!$D$3:$AY$3, 0))/1000</f>
        <v>0</v>
      </c>
      <c r="DJ30" s="227">
        <f>$BT30*(VLOOKUP(DJ$4, Rates_current!$G$6:$Q$29, 10, FALSE)+VLOOKUP(DJ$4, Rates_current!$G$6:$Q$29, 11, FALSE))</f>
        <v>2430.5557719743997</v>
      </c>
      <c r="DK30" s="227">
        <f>$BT30*(VLOOKUP(DK$4, Rates_current!$G$6:$Q$29, 10, FALSE)+VLOOKUP(DK$4, Rates_current!$G$6:$Q$29, 11, FALSE))</f>
        <v>3087.5640570096002</v>
      </c>
      <c r="DL30" s="227">
        <f>$BT30*(VLOOKUP(DL$4, Rates_current!$G$6:$Q$29, 10, FALSE)+VLOOKUP(DL$4, Rates_current!$G$6:$Q$29, 11, FALSE))</f>
        <v>3050.2775431744003</v>
      </c>
      <c r="DM30" s="227">
        <f>$BT30*(VLOOKUP(DM$4, Rates_current!$G$6:$Q$29, 10, FALSE)+VLOOKUP(DM$4, Rates_current!$G$6:$Q$29, 11, FALSE))</f>
        <v>2542.5921159744003</v>
      </c>
      <c r="DN30" s="227">
        <f>$BT30*(VLOOKUP(DN$4, Rates_current!$G$6:$Q$29, 10, FALSE)+VLOOKUP(DN$4, Rates_current!$G$6:$Q$29, 11, FALSE))</f>
        <v>2303.3246835199998</v>
      </c>
      <c r="DO30" s="227">
        <f>$BT30*(VLOOKUP(DO$4, Rates_current!$G$6:$Q$29, 10, FALSE)+VLOOKUP(DO$4, Rates_current!$G$6:$Q$29, 11, FALSE))</f>
        <v>2562.0287732368001</v>
      </c>
      <c r="DP30" s="227">
        <f>$BT30*(VLOOKUP(DP$4, Rates_current!$G$6:$Q$29, 10, FALSE)+VLOOKUP(DP$4, Rates_current!$G$6:$Q$29, 11, FALSE))</f>
        <v>2086.0065918720002</v>
      </c>
      <c r="DQ30" s="227">
        <f>$BT30*(VLOOKUP(DQ$4, Rates_current!$G$6:$Q$29, 10, FALSE)+VLOOKUP(DQ$4, Rates_current!$G$6:$Q$29, 11, FALSE))</f>
        <v>2813.2909471744001</v>
      </c>
      <c r="DR30" s="227">
        <f>$BT30*(VLOOKUP(DR$4, Rates_current!$G$6:$Q$29, 10, FALSE)+VLOOKUP(DR$4, Rates_current!$G$6:$Q$29, 11, FALSE))</f>
        <v>3589.5679126720001</v>
      </c>
      <c r="DS30" s="227">
        <f>$BT30*(VLOOKUP(DS$4, Rates_current!$G$6:$Q$29, 10, FALSE)+VLOOKUP(DS$4, Rates_current!$G$6:$Q$29, 11, FALSE))</f>
        <v>2814.3350615744002</v>
      </c>
      <c r="DT30" s="227">
        <f>$BT30*(VLOOKUP(DT$4, Rates_current!$G$6:$Q$29, 10, FALSE)+VLOOKUP(DT$4, Rates_current!$G$6:$Q$29, 11, FALSE))</f>
        <v>2740.6019503744001</v>
      </c>
      <c r="DU30" s="227">
        <f>$BT30*(VLOOKUP(DU$4, Rates_current!$G$6:$Q$29, 10, FALSE)+VLOOKUP(DU$4, Rates_current!$G$6:$Q$29, 11, FALSE))</f>
        <v>2460.4775502720004</v>
      </c>
      <c r="DV30" s="229">
        <f>IF(D30=0,IF(C30=0,MAX(0,DY30 - (VLOOKUP($A30,TOCA_current!$A$2:$AI$137,MATCH("RHWM 2020",TOCA_current!$A$2:$AI$2,0),FALSE)*$BT$2)), 0),0)</f>
        <v>995.3921779712</v>
      </c>
      <c r="DW30" s="266">
        <f>VLOOKUP($A30,REP_current!$A$1:$D$135,MATCH("FY "&amp;$BT$1&amp; " Total Refund",REP_current!$A$1:$D$1,0),0)</f>
        <v>0</v>
      </c>
      <c r="DX30" s="295">
        <f>MIN(VLOOKUP($A30,TOCA_current!$A$2:$AI$137,MATCH("TRL - NLSL - Existing Resource "&amp;$BT$1,TOCA_current!$A$2:$AI$2,0),FALSE)*$BT$2, VLOOKUP($A30,TOCA_current!$A$2:$AI$137,MATCH("RHWM 2020",TOCA_current!$A$2:$AI$2,0),FALSE)*$BT$2)</f>
        <v>32483.232</v>
      </c>
      <c r="DY30" s="240">
        <f>SUM(BZ30:CW30)+(BT30*RT1SC!$C$4*$BT$2)</f>
        <v>33478.6241779712</v>
      </c>
      <c r="DZ30" s="271">
        <f>VLOOKUP($A30,TOCA_current!$A$2:$AI$137,MATCH("Above RHWM Not Served with LS "&amp;$BT$1,TOCA_current!$A$2:$AI$2,0),FALSE)*$BT$2</f>
        <v>0</v>
      </c>
      <c r="EA30" s="244">
        <f t="shared" si="13"/>
        <v>995.3921779712</v>
      </c>
      <c r="EB30" s="295">
        <f>(VLOOKUP($A30,TOCA_current!$A$2:$AI$137,MATCH("RHWM 2020",TOCA_current!$A$2:$AI$2,0),FALSE)*$BT$2) - $DX30</f>
        <v>0</v>
      </c>
      <c r="EC30" s="240">
        <f t="shared" si="14"/>
        <v>0</v>
      </c>
      <c r="ED30" s="240">
        <f t="shared" si="15"/>
        <v>0</v>
      </c>
      <c r="EE30" s="240">
        <f t="shared" si="16"/>
        <v>0</v>
      </c>
      <c r="EF30" s="240">
        <f t="shared" si="17"/>
        <v>0</v>
      </c>
    </row>
    <row r="31" spans="1:136">
      <c r="A31" s="166">
        <v>10079</v>
      </c>
      <c r="B31" s="167" t="s">
        <v>32</v>
      </c>
      <c r="C31" s="240">
        <v>0</v>
      </c>
      <c r="D31" s="240">
        <v>0</v>
      </c>
      <c r="E31" s="150">
        <f>VLOOKUP($A31,TOCA_previous!$A$2:$AI$137,MATCH(E$4,TOCA_previous!$A$2:$AI$2,0),FALSE)</f>
        <v>1.2493199999999999E-2</v>
      </c>
      <c r="F31" s="151">
        <f>VLOOKUP($A31,TOCA_previous!$A$2:$AI$137,MATCH(F$4,TOCA_previous!$A$2:$AI$2,0),FALSE)</f>
        <v>1.2493199999999999E-2</v>
      </c>
      <c r="G31" s="151">
        <f t="shared" si="2"/>
        <v>0</v>
      </c>
      <c r="H31" s="151">
        <f>VLOOKUP($A31,TOCA_previous!$A$2:$AI$137,MATCH(H$4,TOCA_previous!$A$2:$AI$2,0),FALSE)</f>
        <v>0</v>
      </c>
      <c r="I31" s="151">
        <f t="shared" si="3"/>
        <v>0</v>
      </c>
      <c r="J31" s="151">
        <f t="shared" si="4"/>
        <v>0</v>
      </c>
      <c r="K31" s="226">
        <f>VLOOKUP(A31, IRD!$A$5:$C$139, 3, FALSE)</f>
        <v>0</v>
      </c>
      <c r="L31" s="227">
        <f t="array" ref="L31">IF($G31=0, INDEX(LS_previous!$D$4:$AY$138, MATCH('Staging Table'!$A31, LS_previous!$B$4:$B$138, 0), MATCH(L$4&amp;L$5, LS_previous!$D$2:$AY$2&amp;LS_previous!$D$3:$AY$3, 0)),SUM(VLOOKUP($A31, LS_previous!$B$4:$AY$138, LS_previous!D$149, FALSE), VLOOKUP('Staging Table'!$A31, LS_previous!$B$4:$AY$138,LS_previous!AB$149, FALSE))/2)</f>
        <v>-478</v>
      </c>
      <c r="M31" s="227">
        <f t="array" ref="M31">IF($G31=0, INDEX(LS_previous!$D$4:$AY$138, MATCH('Staging Table'!$A31, LS_previous!$B$4:$B$138, 0), MATCH(M$4&amp;M$5, LS_previous!$D$2:$AY$2&amp;LS_previous!$D$3:$AY$3, 0)),SUM(VLOOKUP($A31, LS_previous!$B$4:$AY$138, LS_previous!E$149, FALSE), VLOOKUP('Staging Table'!$A31, LS_previous!$B$4:$AY$138,LS_previous!AC$149, FALSE))/2)</f>
        <v>-147</v>
      </c>
      <c r="N31" s="227">
        <f t="array" ref="N31">IF($G31=0, INDEX(LS_previous!$D$4:$AY$138, MATCH('Staging Table'!$A31, LS_previous!$B$4:$B$138, 0), MATCH(N$4&amp;N$5, LS_previous!$D$2:$AY$2&amp;LS_previous!$D$3:$AY$3, 0)),SUM(VLOOKUP($A31, LS_previous!$B$4:$AY$138, LS_previous!F$149, FALSE), VLOOKUP('Staging Table'!$A31, LS_previous!$B$4:$AY$138,LS_previous!AD$149, FALSE))/2)</f>
        <v>-7082</v>
      </c>
      <c r="O31" s="227">
        <f t="array" ref="O31">IF($G31=0, INDEX(LS_previous!$D$4:$AY$138, MATCH('Staging Table'!$A31, LS_previous!$B$4:$B$138, 0), MATCH(O$4&amp;O$5, LS_previous!$D$2:$AY$2&amp;LS_previous!$D$3:$AY$3, 0)),SUM(VLOOKUP($A31, LS_previous!$B$4:$AY$138, LS_previous!G$149, FALSE), VLOOKUP('Staging Table'!$A31, LS_previous!$B$4:$AY$138,LS_previous!AE$149, FALSE))/2)</f>
        <v>-3238</v>
      </c>
      <c r="P31" s="227">
        <f t="array" ref="P31">IF($G31=0, INDEX(LS_previous!$D$4:$AY$138, MATCH('Staging Table'!$A31, LS_previous!$B$4:$B$138, 0), MATCH(P$4&amp;P$5, LS_previous!$D$2:$AY$2&amp;LS_previous!$D$3:$AY$3, 0)),SUM(VLOOKUP($A31, LS_previous!$B$4:$AY$138, LS_previous!H$149, FALSE), VLOOKUP('Staging Table'!$A31, LS_previous!$B$4:$AY$138,LS_previous!AF$149, FALSE))/2)</f>
        <v>-1562</v>
      </c>
      <c r="Q31" s="227">
        <f t="array" ref="Q31">IF($G31=0, INDEX(LS_previous!$D$4:$AY$138, MATCH('Staging Table'!$A31, LS_previous!$B$4:$B$138, 0), MATCH(Q$4&amp;Q$5, LS_previous!$D$2:$AY$2&amp;LS_previous!$D$3:$AY$3, 0)),SUM(VLOOKUP($A31, LS_previous!$B$4:$AY$138, LS_previous!I$149, FALSE), VLOOKUP('Staging Table'!$A31, LS_previous!$B$4:$AY$138,LS_previous!AG$149, FALSE))/2)</f>
        <v>1028</v>
      </c>
      <c r="R31" s="227">
        <f t="array" ref="R31">IF($G31=0, INDEX(LS_previous!$D$4:$AY$138, MATCH('Staging Table'!$A31, LS_previous!$B$4:$B$138, 0), MATCH(R$4&amp;R$5, LS_previous!$D$2:$AY$2&amp;LS_previous!$D$3:$AY$3, 0)),SUM(VLOOKUP($A31, LS_previous!$B$4:$AY$138, LS_previous!J$149, FALSE), VLOOKUP('Staging Table'!$A31, LS_previous!$B$4:$AY$138,LS_previous!AH$149, FALSE))/2)</f>
        <v>6376</v>
      </c>
      <c r="S31" s="227">
        <f t="array" ref="S31">IF($G31=0, INDEX(LS_previous!$D$4:$AY$138, MATCH('Staging Table'!$A31, LS_previous!$B$4:$B$138, 0), MATCH(S$4&amp;S$5, LS_previous!$D$2:$AY$2&amp;LS_previous!$D$3:$AY$3, 0)),SUM(VLOOKUP($A31, LS_previous!$B$4:$AY$138, LS_previous!K$149, FALSE), VLOOKUP('Staging Table'!$A31, LS_previous!$B$4:$AY$138,LS_previous!AI$149, FALSE))/2)</f>
        <v>4089</v>
      </c>
      <c r="T31" s="227">
        <f t="array" ref="T31">IF($G31=0, INDEX(LS_previous!$D$4:$AY$138, MATCH('Staging Table'!$A31, LS_previous!$B$4:$B$138, 0), MATCH(T$4&amp;T$5, LS_previous!$D$2:$AY$2&amp;LS_previous!$D$3:$AY$3, 0)),SUM(VLOOKUP($A31, LS_previous!$B$4:$AY$138, LS_previous!L$149, FALSE), VLOOKUP('Staging Table'!$A31, LS_previous!$B$4:$AY$138,LS_previous!AJ$149, FALSE))/2)</f>
        <v>8633</v>
      </c>
      <c r="U31" s="227">
        <f t="array" ref="U31">IF($G31=0, INDEX(LS_previous!$D$4:$AY$138, MATCH('Staging Table'!$A31, LS_previous!$B$4:$B$138, 0), MATCH(U$4&amp;U$5, LS_previous!$D$2:$AY$2&amp;LS_previous!$D$3:$AY$3, 0)),SUM(VLOOKUP($A31, LS_previous!$B$4:$AY$138, LS_previous!M$149, FALSE), VLOOKUP('Staging Table'!$A31, LS_previous!$B$4:$AY$138,LS_previous!AK$149, FALSE))/2)</f>
        <v>4952</v>
      </c>
      <c r="V31" s="227">
        <f t="array" ref="V31">IF($G31=0, INDEX(LS_previous!$D$4:$AY$138, MATCH('Staging Table'!$A31, LS_previous!$B$4:$B$138, 0), MATCH(V$4&amp;V$5, LS_previous!$D$2:$AY$2&amp;LS_previous!$D$3:$AY$3, 0)),SUM(VLOOKUP($A31, LS_previous!$B$4:$AY$138, LS_previous!N$149, FALSE), VLOOKUP('Staging Table'!$A31, LS_previous!$B$4:$AY$138,LS_previous!AL$149, FALSE))/2)</f>
        <v>2383</v>
      </c>
      <c r="W31" s="227">
        <f t="array" ref="W31">IF($G31=0, INDEX(LS_previous!$D$4:$AY$138, MATCH('Staging Table'!$A31, LS_previous!$B$4:$B$138, 0), MATCH(W$4&amp;W$5, LS_previous!$D$2:$AY$2&amp;LS_previous!$D$3:$AY$3, 0)),SUM(VLOOKUP($A31, LS_previous!$B$4:$AY$138, LS_previous!O$149, FALSE), VLOOKUP('Staging Table'!$A31, LS_previous!$B$4:$AY$138,LS_previous!AM$149, FALSE))/2)</f>
        <v>2454</v>
      </c>
      <c r="X31" s="227">
        <f t="array" ref="X31">IF($G31=0, INDEX(LS_previous!$D$4:$AY$138, MATCH('Staging Table'!$A31, LS_previous!$B$4:$B$138, 0), MATCH(X$4&amp;X$5, LS_previous!$D$2:$AY$2&amp;LS_previous!$D$3:$AY$3, 0)),SUM(VLOOKUP($A31, LS_previous!$B$4:$AY$138, LS_previous!P$149, FALSE), VLOOKUP('Staging Table'!$A31, LS_previous!$B$4:$AY$138,LS_previous!AN$149, FALSE))/2)</f>
        <v>3121</v>
      </c>
      <c r="Y31" s="227">
        <f t="array" ref="Y31">IF($G31=0, INDEX(LS_previous!$D$4:$AY$138, MATCH('Staging Table'!$A31, LS_previous!$B$4:$B$138, 0), MATCH(Y$4&amp;Y$5, LS_previous!$D$2:$AY$2&amp;LS_previous!$D$3:$AY$3, 0)),SUM(VLOOKUP($A31, LS_previous!$B$4:$AY$138, LS_previous!Q$149, FALSE), VLOOKUP('Staging Table'!$A31, LS_previous!$B$4:$AY$138,LS_previous!AO$149, FALSE))/2)</f>
        <v>1948</v>
      </c>
      <c r="Z31" s="227">
        <f t="array" ref="Z31">IF($G31=0, INDEX(LS_previous!$D$4:$AY$138, MATCH('Staging Table'!$A31, LS_previous!$B$4:$B$138, 0), MATCH(Z$4&amp;Z$5, LS_previous!$D$2:$AY$2&amp;LS_previous!$D$3:$AY$3, 0)),SUM(VLOOKUP($A31, LS_previous!$B$4:$AY$138, LS_previous!R$149, FALSE), VLOOKUP('Staging Table'!$A31, LS_previous!$B$4:$AY$138,LS_previous!AP$149, FALSE))/2)</f>
        <v>-16861</v>
      </c>
      <c r="AA31" s="227">
        <f t="array" ref="AA31">IF($G31=0, INDEX(LS_previous!$D$4:$AY$138, MATCH('Staging Table'!$A31, LS_previous!$B$4:$B$138, 0), MATCH(AA$4&amp;AA$5, LS_previous!$D$2:$AY$2&amp;LS_previous!$D$3:$AY$3, 0)),SUM(VLOOKUP($A31, LS_previous!$B$4:$AY$138, LS_previous!S$149, FALSE), VLOOKUP('Staging Table'!$A31, LS_previous!$B$4:$AY$138,LS_previous!AQ$149, FALSE))/2)</f>
        <v>-7843</v>
      </c>
      <c r="AB31" s="227">
        <f t="array" ref="AB31">IF($G31=0, INDEX(LS_previous!$D$4:$AY$138, MATCH('Staging Table'!$A31, LS_previous!$B$4:$B$138, 0), MATCH(AB$4&amp;AB$5, LS_previous!$D$2:$AY$2&amp;LS_previous!$D$3:$AY$3, 0)),SUM(VLOOKUP($A31, LS_previous!$B$4:$AY$138, LS_previous!T$149, FALSE), VLOOKUP('Staging Table'!$A31, LS_previous!$B$4:$AY$138,LS_previous!AR$149, FALSE))/2)</f>
        <v>-6774</v>
      </c>
      <c r="AC31" s="227">
        <f t="array" ref="AC31">IF($G31=0, INDEX(LS_previous!$D$4:$AY$138, MATCH('Staging Table'!$A31, LS_previous!$B$4:$B$138, 0), MATCH(AC$4&amp;AC$5, LS_previous!$D$2:$AY$2&amp;LS_previous!$D$3:$AY$3, 0)),SUM(VLOOKUP($A31, LS_previous!$B$4:$AY$138, LS_previous!U$149, FALSE), VLOOKUP('Staging Table'!$A31, LS_previous!$B$4:$AY$138,LS_previous!AS$149, FALSE))/2)</f>
        <v>-3198</v>
      </c>
      <c r="AD31" s="227">
        <f t="array" ref="AD31">IF($G31=0, INDEX(LS_previous!$D$4:$AY$138, MATCH('Staging Table'!$A31, LS_previous!$B$4:$B$138, 0), MATCH(AD$4&amp;AD$5, LS_previous!$D$2:$AY$2&amp;LS_previous!$D$3:$AY$3, 0)),SUM(VLOOKUP($A31, LS_previous!$B$4:$AY$138, LS_previous!V$149, FALSE), VLOOKUP('Staging Table'!$A31, LS_previous!$B$4:$AY$138,LS_previous!AT$149, FALSE))/2)</f>
        <v>817</v>
      </c>
      <c r="AE31" s="227">
        <f t="array" ref="AE31">IF($G31=0, INDEX(LS_previous!$D$4:$AY$138, MATCH('Staging Table'!$A31, LS_previous!$B$4:$B$138, 0), MATCH(AE$4&amp;AE$5, LS_previous!$D$2:$AY$2&amp;LS_previous!$D$3:$AY$3, 0)),SUM(VLOOKUP($A31, LS_previous!$B$4:$AY$138, LS_previous!W$149, FALSE), VLOOKUP('Staging Table'!$A31, LS_previous!$B$4:$AY$138,LS_previous!AU$149, FALSE))/2)</f>
        <v>1933</v>
      </c>
      <c r="AF31" s="227">
        <f t="array" ref="AF31">IF($G31=0, INDEX(LS_previous!$D$4:$AY$138, MATCH('Staging Table'!$A31, LS_previous!$B$4:$B$138, 0), MATCH(AF$4&amp;AF$5, LS_previous!$D$2:$AY$2&amp;LS_previous!$D$3:$AY$3, 0)),SUM(VLOOKUP($A31, LS_previous!$B$4:$AY$138, LS_previous!X$149, FALSE), VLOOKUP('Staging Table'!$A31, LS_previous!$B$4:$AY$138,LS_previous!AV$149, FALSE))/2)</f>
        <v>-4127</v>
      </c>
      <c r="AG31" s="227">
        <f t="array" ref="AG31">IF($G31=0, INDEX(LS_previous!$D$4:$AY$138, MATCH('Staging Table'!$A31, LS_previous!$B$4:$B$138, 0), MATCH(AG$4&amp;AG$5, LS_previous!$D$2:$AY$2&amp;LS_previous!$D$3:$AY$3, 0)),SUM(VLOOKUP($A31, LS_previous!$B$4:$AY$138, LS_previous!Y$149, FALSE), VLOOKUP('Staging Table'!$A31, LS_previous!$B$4:$AY$138,LS_previous!AW$149, FALSE))/2)</f>
        <v>780</v>
      </c>
      <c r="AH31" s="227">
        <f t="array" ref="AH31">IF($G31=0, INDEX(LS_previous!$D$4:$AY$138, MATCH('Staging Table'!$A31, LS_previous!$B$4:$B$138, 0), MATCH(AH$4&amp;AH$5, LS_previous!$D$2:$AY$2&amp;LS_previous!$D$3:$AY$3, 0)),SUM(VLOOKUP($A31, LS_previous!$B$4:$AY$138, LS_previous!Z$149, FALSE), VLOOKUP('Staging Table'!$A31, LS_previous!$B$4:$AY$138,LS_previous!AX$149, FALSE))/2)</f>
        <v>1953</v>
      </c>
      <c r="AI31" s="227">
        <f t="array" ref="AI31">IF($G31=0, INDEX(LS_previous!$D$4:$AY$138, MATCH('Staging Table'!$A31, LS_previous!$B$4:$B$138, 0), MATCH(AI$4&amp;AI$5, LS_previous!$D$2:$AY$2&amp;LS_previous!$D$3:$AY$3, 0)),SUM(VLOOKUP($A31, LS_previous!$B$4:$AY$138, LS_previous!AA$149, FALSE), VLOOKUP('Staging Table'!$A31, LS_previous!$B$4:$AY$138,LS_previous!AY$149, FALSE))/2)</f>
        <v>2028</v>
      </c>
      <c r="AJ31" s="424">
        <f t="array" ref="AJ31">INDEX(Demand_previous!$D$4:$AY$138, MATCH('Staging Table'!$A31, Demand_previous!$B$4:$B$138, 0), MATCH(AJ$4&amp;AJ$5,Demand_previous!$D$2:$AY$2&amp;Demand_previous!$D$3:$AY$3, 0))/1000</f>
        <v>21.425000000000001</v>
      </c>
      <c r="AK31" s="424">
        <f t="array" ref="AK31">INDEX(Demand_previous!$D$4:$AY$138, MATCH('Staging Table'!$A31, Demand_previous!$B$4:$B$138, 0), MATCH(AK$4&amp;AK$5,Demand_previous!$D$2:$AY$2&amp;Demand_previous!$D$3:$AY$3, 0))/1000</f>
        <v>24.974</v>
      </c>
      <c r="AL31" s="424">
        <f t="array" ref="AL31">INDEX(Demand_previous!$D$4:$AY$138, MATCH('Staging Table'!$A31, Demand_previous!$B$4:$B$138, 0), MATCH(AL$4&amp;AL$5,Demand_previous!$D$2:$AY$2&amp;Demand_previous!$D$3:$AY$3, 0))/1000</f>
        <v>15.941000000000001</v>
      </c>
      <c r="AM31" s="424">
        <f t="array" ref="AM31">INDEX(Demand_previous!$D$4:$AY$138, MATCH('Staging Table'!$A31, Demand_previous!$B$4:$B$138, 0), MATCH(AM$4&amp;AM$5,Demand_previous!$D$2:$AY$2&amp;Demand_previous!$D$3:$AY$3, 0))/1000</f>
        <v>21.416</v>
      </c>
      <c r="AN31" s="424">
        <f t="array" ref="AN31">INDEX(Demand_previous!$D$4:$AY$138, MATCH('Staging Table'!$A31, Demand_previous!$B$4:$B$138, 0), MATCH(AN$4&amp;AN$5,Demand_previous!$D$2:$AY$2&amp;Demand_previous!$D$3:$AY$3, 0))/1000</f>
        <v>4.407</v>
      </c>
      <c r="AO31" s="424">
        <f t="array" ref="AO31">INDEX(Demand_previous!$D$4:$AY$138, MATCH('Staging Table'!$A31, Demand_previous!$B$4:$B$138, 0), MATCH(AO$4&amp;AO$5,Demand_previous!$D$2:$AY$2&amp;Demand_previous!$D$3:$AY$3, 0))/1000</f>
        <v>28.905999999999999</v>
      </c>
      <c r="AP31" s="424">
        <f t="array" ref="AP31">INDEX(Demand_previous!$D$4:$AY$138, MATCH('Staging Table'!$A31, Demand_previous!$B$4:$B$138, 0), MATCH(AP$4&amp;AP$5,Demand_previous!$D$2:$AY$2&amp;Demand_previous!$D$3:$AY$3, 0))/1000</f>
        <v>13.266</v>
      </c>
      <c r="AQ31" s="424">
        <f t="array" ref="AQ31">INDEX(Demand_previous!$D$4:$AY$138, MATCH('Staging Table'!$A31, Demand_previous!$B$4:$B$138, 0), MATCH(AQ$4&amp;AQ$5,Demand_previous!$D$2:$AY$2&amp;Demand_previous!$D$3:$AY$3, 0))/1000</f>
        <v>20.417000000000002</v>
      </c>
      <c r="AR31" s="424">
        <f t="array" ref="AR31">INDEX(Demand_previous!$D$4:$AY$138, MATCH('Staging Table'!$A31, Demand_previous!$B$4:$B$138, 0), MATCH(AR$4&amp;AR$5,Demand_previous!$D$2:$AY$2&amp;Demand_previous!$D$3:$AY$3, 0))/1000</f>
        <v>24.809000000000001</v>
      </c>
      <c r="AS31" s="424">
        <f t="array" ref="AS31">INDEX(Demand_previous!$D$4:$AY$138, MATCH('Staging Table'!$A31, Demand_previous!$B$4:$B$138, 0), MATCH(AS$4&amp;AS$5,Demand_previous!$D$2:$AY$2&amp;Demand_previous!$D$3:$AY$3, 0))/1000</f>
        <v>12.098000000000001</v>
      </c>
      <c r="AT31" s="424">
        <f t="array" ref="AT31">INDEX(Demand_previous!$D$4:$AY$138, MATCH('Staging Table'!$A31, Demand_previous!$B$4:$B$138, 0), MATCH(AT$4&amp;AT$5,Demand_previous!$D$2:$AY$2&amp;Demand_previous!$D$3:$AY$3, 0))/1000</f>
        <v>21.648</v>
      </c>
      <c r="AU31" s="424">
        <f t="array" ref="AU31">INDEX(Demand_previous!$D$4:$AY$138, MATCH('Staging Table'!$A31, Demand_previous!$B$4:$B$138, 0), MATCH(AU$4&amp;AU$5,Demand_previous!$D$2:$AY$2&amp;Demand_previous!$D$3:$AY$3, 0))/1000</f>
        <v>1.2170000000000001</v>
      </c>
      <c r="AV31" s="227">
        <f>$F31*(VLOOKUP(AV$4, Rates_previous!$G$6:$Q$29, 10, FALSE)+VLOOKUP(AV$4, Rates_previous!$G$6:$Q$29, 11, FALSE))</f>
        <v>58578.587933084498</v>
      </c>
      <c r="AW31" s="227">
        <f>$F31*(VLOOKUP(AW$4, Rates_previous!$G$6:$Q$29, 10, FALSE)+VLOOKUP(AW$4, Rates_previous!$G$6:$Q$29, 11, FALSE))</f>
        <v>72398.682476663176</v>
      </c>
      <c r="AX31" s="227">
        <f>$F31*(VLOOKUP(AX$4, Rates_previous!$G$6:$Q$29, 10, FALSE)+VLOOKUP(AX$4, Rates_previous!$G$6:$Q$29, 11, FALSE))</f>
        <v>71529.26089312532</v>
      </c>
      <c r="AY31" s="227">
        <f>$F31*(VLOOKUP(AY$4, Rates_previous!$G$6:$Q$29, 10, FALSE)+VLOOKUP(AY$4, Rates_previous!$G$6:$Q$29, 11, FALSE))</f>
        <v>61114.935568596906</v>
      </c>
      <c r="AZ31" s="227">
        <f>$F31*(VLOOKUP(AZ$4, Rates_previous!$G$6:$Q$29, 10, FALSE)+VLOOKUP(AZ$4, Rates_previous!$G$6:$Q$29, 11, FALSE))</f>
        <v>50102.392632042422</v>
      </c>
      <c r="BA31" s="227">
        <f>$F31*(VLOOKUP(BA$4, Rates_previous!$G$6:$Q$29, 10, FALSE)+VLOOKUP(BA$4, Rates_previous!$G$6:$Q$29, 11, FALSE))</f>
        <v>59319.412988541953</v>
      </c>
      <c r="BB31" s="227">
        <f>$F31*(VLOOKUP(BB$4, Rates_previous!$G$6:$Q$29, 10, FALSE)+VLOOKUP(BB$4, Rates_previous!$G$6:$Q$29, 11, FALSE))</f>
        <v>57014.584417025348</v>
      </c>
      <c r="BC31" s="227">
        <f>$F31*(VLOOKUP(BC$4, Rates_previous!$G$6:$Q$29, 10, FALSE)+VLOOKUP(BC$4, Rates_previous!$G$6:$Q$29, 11, FALSE))</f>
        <v>83664.868123343025</v>
      </c>
      <c r="BD31" s="227">
        <f>$F31*(VLOOKUP(BD$4, Rates_previous!$G$6:$Q$29, 10, FALSE)+VLOOKUP(BD$4, Rates_previous!$G$6:$Q$29, 11, FALSE))</f>
        <v>66009.369659898613</v>
      </c>
      <c r="BE31" s="227">
        <f>$F31*(VLOOKUP(BE$4, Rates_previous!$G$6:$Q$29, 10, FALSE)+VLOOKUP(BE$4, Rates_previous!$G$6:$Q$29, 11, FALSE))</f>
        <v>57961.767092835449</v>
      </c>
      <c r="BF31" s="227">
        <f>$F31*(VLOOKUP(BF$4, Rates_previous!$G$6:$Q$29, 10, FALSE)+VLOOKUP(BF$4, Rates_previous!$G$6:$Q$29, 11, FALSE))</f>
        <v>64194.97713228246</v>
      </c>
      <c r="BG31" s="227">
        <f>$F31*(VLOOKUP(BG$4, Rates_previous!$G$6:$Q$29, 10, FALSE)+VLOOKUP(BG$4, Rates_previous!$G$6:$Q$29, 11, FALSE))</f>
        <v>58158.09640760567</v>
      </c>
      <c r="BH31" s="229">
        <f>IF($D31=0,IF(C31=0, MAX(BK31 - (VLOOKUP($A31,TOCA_previous!$A$2:$AI$137,MATCH("RHWM 2018",TOCA_previous!$A$2:$AI$2,0),FALSE)*$F$2*TOCA_previous!C28),0),0), 0)</f>
        <v>0</v>
      </c>
      <c r="BI31" s="266">
        <f>VLOOKUP($A31,REP_previous!$A$1:$D$135,MATCH("FY "&amp;$F$1&amp; " Total Refund",REP_previous!$A$1:$D$1,0),0)</f>
        <v>1089139.938739561</v>
      </c>
      <c r="BJ31" s="241">
        <f>MIN(VLOOKUP($A31,TOCA_previous!$A$2:$AI$137,MATCH("TRL - NLSL - Existing Resource "&amp;$F$1,TOCA_previous!$A$2:$AI$2,0),FALSE)*$F$2,(VLOOKUP($A31,TOCA_previous!$A$2:$AI$137,MATCH("RHWM 2018",TOCA_previous!$A$2:$AI$2,0),FALSE)*$F$2))</f>
        <v>760043.88</v>
      </c>
      <c r="BK31" s="229">
        <f>SUM(L31:AI31)+(F31*RT1SC!$C$3*$F$2)</f>
        <v>751231.94641347195</v>
      </c>
      <c r="BL31" s="241">
        <f>VLOOKUP($A31,TOCA_previous!$A$2:$AI$137,MATCH("Above RHWM Not Served with LS "&amp;$F$1,TOCA_previous!$A$2:$AI$2,0),FALSE)*$F$2</f>
        <v>5501.28</v>
      </c>
      <c r="BM31" s="151">
        <f t="shared" si="5"/>
        <v>-8811.9335865280591</v>
      </c>
      <c r="BN31" s="242">
        <f>(VLOOKUP($A31,TOCA_previous!$A$2:$AI$137,MATCH("RHWM 2018",TOCA_previous!$A$2:$AI$2,0),FALSE)*$F$2) - $BJ31</f>
        <v>0</v>
      </c>
      <c r="BO31" s="151">
        <f t="shared" si="6"/>
        <v>0</v>
      </c>
      <c r="BP31" s="243">
        <f t="shared" si="7"/>
        <v>3310.6535865280593</v>
      </c>
      <c r="BQ31" s="237">
        <f t="shared" si="8"/>
        <v>0</v>
      </c>
      <c r="BR31" s="242">
        <f t="shared" si="9"/>
        <v>3310.6535865280593</v>
      </c>
      <c r="BS31" s="151">
        <f>VLOOKUP($A31,TOCA_current!$A$2:$AI$137,MATCH(BS$4,TOCA_current!$A$2:$AI$2,0),FALSE)</f>
        <v>1.2329700000000001E-2</v>
      </c>
      <c r="BT31" s="151">
        <f>VLOOKUP($A31,TOCA_current!$A$2:$AI$137,MATCH(BT$4,TOCA_current!$A$2:$AI$2,0),FALSE)</f>
        <v>1.2329700000000001E-2</v>
      </c>
      <c r="BU31" s="236">
        <f t="shared" si="10"/>
        <v>0</v>
      </c>
      <c r="BV31" s="151">
        <f>VLOOKUP($A31,TOCA_current!A27:BG162,MATCH(BV$4,TOCA_current!$A$2:$BG$2,0),FALSE)</f>
        <v>0</v>
      </c>
      <c r="BW31" s="151">
        <f t="shared" si="11"/>
        <v>0</v>
      </c>
      <c r="BX31" s="151">
        <f t="shared" si="12"/>
        <v>0</v>
      </c>
      <c r="BY31" s="226">
        <f>VLOOKUP($A31,IRD!$A$4:$G$139, 7, FALSE)</f>
        <v>0</v>
      </c>
      <c r="BZ31" s="227">
        <f t="array" ref="BZ31">IF($BU31=0, INDEX(LS_current!$D$4:$AY$138, MATCH('Staging Table'!$A31, LS_current!$B$4:$B$138, 0), MATCH(BZ$4&amp;BZ$5, LS_current!$D$2:$AY$2&amp;LS_current!$D$3:$AY$3, 0)),SUM(VLOOKUP($A31, LS_current!$B$4:$AY$138, LS_current!D$148, FALSE), VLOOKUP($A31, LS_current!$B$4:$AY$138,LS_current!D$148, FALSE))/2)</f>
        <v>783</v>
      </c>
      <c r="CA31" s="227">
        <f t="array" ref="CA31">IF($BU31=0, INDEX(LS_current!$D$4:$AY$138, MATCH('Staging Table'!$A31, LS_current!$B$4:$B$138, 0), MATCH(CA$4&amp;CA$5, LS_current!$D$2:$AY$2&amp;LS_current!$D$3:$AY$3, 0)),SUM(VLOOKUP($A31, LS_current!$B$4:$AY$138, LS_current!E$148, FALSE), VLOOKUP($A31, LS_current!$B$4:$AY$138,LS_current!E$148, FALSE))/2)</f>
        <v>708</v>
      </c>
      <c r="CB31" s="227">
        <f t="array" ref="CB31">IF($BU31=0, INDEX(LS_current!$D$4:$AY$138, MATCH('Staging Table'!$A31, LS_current!$B$4:$B$138, 0), MATCH(CB$4&amp;CB$5, LS_current!$D$2:$AY$2&amp;LS_current!$D$3:$AY$3, 0)),SUM(VLOOKUP($A31, LS_current!$B$4:$AY$138, LS_current!F$148, FALSE), VLOOKUP($A31, LS_current!$B$4:$AY$138,LS_current!F$148, FALSE))/2)</f>
        <v>-6553</v>
      </c>
      <c r="CC31" s="227">
        <f t="array" ref="CC31">IF($BU31=0, INDEX(LS_current!$D$4:$AY$138, MATCH('Staging Table'!$A31, LS_current!$B$4:$B$138, 0), MATCH(CC$4&amp;CC$5, LS_current!$D$2:$AY$2&amp;LS_current!$D$3:$AY$3, 0)),SUM(VLOOKUP($A31, LS_current!$B$4:$AY$138, LS_current!G$148, FALSE), VLOOKUP($A31, LS_current!$B$4:$AY$138,LS_current!G$148, FALSE))/2)</f>
        <v>-3236</v>
      </c>
      <c r="CD31" s="227">
        <f t="array" ref="CD31">IF($BU31=0, INDEX(LS_current!$D$4:$AY$138, MATCH('Staging Table'!$A31, LS_current!$B$4:$B$138, 0), MATCH(CD$4&amp;CD$5, LS_current!$D$2:$AY$2&amp;LS_current!$D$3:$AY$3, 0)),SUM(VLOOKUP($A31, LS_current!$B$4:$AY$138, LS_current!H$148, FALSE), VLOOKUP($A31, LS_current!$B$4:$AY$138,LS_current!H$148, FALSE))/2)</f>
        <v>-1119</v>
      </c>
      <c r="CE31" s="227">
        <f t="array" ref="CE31">IF($BU31=0, INDEX(LS_current!$D$4:$AY$138, MATCH('Staging Table'!$A31, LS_current!$B$4:$B$138, 0), MATCH(CE$4&amp;CE$5, LS_current!$D$2:$AY$2&amp;LS_current!$D$3:$AY$3, 0)),SUM(VLOOKUP($A31, LS_current!$B$4:$AY$138, LS_current!I$148, FALSE), VLOOKUP($A31, LS_current!$B$4:$AY$138,LS_current!I$148, FALSE))/2)</f>
        <v>1136</v>
      </c>
      <c r="CF31" s="227">
        <f t="array" ref="CF31">IF($BU31=0, INDEX(LS_current!$D$4:$AY$138, MATCH('Staging Table'!$A31, LS_current!$B$4:$B$138, 0), MATCH(CF$4&amp;CF$5, LS_current!$D$2:$AY$2&amp;LS_current!$D$3:$AY$3, 0)),SUM(VLOOKUP($A31, LS_current!$B$4:$AY$138, LS_current!J$148, FALSE), VLOOKUP($A31, LS_current!$B$4:$AY$138,LS_current!J$148, FALSE))/2)</f>
        <v>6968</v>
      </c>
      <c r="CG31" s="227">
        <f t="array" ref="CG31">IF($BU31=0, INDEX(LS_current!$D$4:$AY$138, MATCH('Staging Table'!$A31, LS_current!$B$4:$B$138, 0), MATCH(CG$4&amp;CG$5, LS_current!$D$2:$AY$2&amp;LS_current!$D$3:$AY$3, 0)),SUM(VLOOKUP($A31, LS_current!$B$4:$AY$138, LS_current!K$148, FALSE), VLOOKUP($A31, LS_current!$B$4:$AY$138,LS_current!K$148, FALSE))/2)</f>
        <v>5525</v>
      </c>
      <c r="CH31" s="227">
        <f t="array" ref="CH31">IF($BU31=0, INDEX(LS_current!$D$4:$AY$138, MATCH('Staging Table'!$A31, LS_current!$B$4:$B$138, 0), MATCH(CH$4&amp;CH$5, LS_current!$D$2:$AY$2&amp;LS_current!$D$3:$AY$3, 0)),SUM(VLOOKUP($A31, LS_current!$B$4:$AY$138, LS_current!L$148, FALSE), VLOOKUP($A31, LS_current!$B$4:$AY$138,LS_current!L$148, FALSE))/2)</f>
        <v>6486</v>
      </c>
      <c r="CI31" s="227">
        <f t="array" ref="CI31">IF($BU31=0, INDEX(LS_current!$D$4:$AY$138, MATCH('Staging Table'!$A31, LS_current!$B$4:$B$138, 0), MATCH(CI$4&amp;CI$5, LS_current!$D$2:$AY$2&amp;LS_current!$D$3:$AY$3, 0)),SUM(VLOOKUP($A31, LS_current!$B$4:$AY$138, LS_current!M$148, FALSE), VLOOKUP($A31, LS_current!$B$4:$AY$138,LS_current!M$148, FALSE))/2)</f>
        <v>3674</v>
      </c>
      <c r="CJ31" s="227">
        <f t="array" ref="CJ31">IF($BU31=0, INDEX(LS_current!$D$4:$AY$138, MATCH('Staging Table'!$A31, LS_current!$B$4:$B$138, 0), MATCH(CJ$4&amp;CJ$5, LS_current!$D$2:$AY$2&amp;LS_current!$D$3:$AY$3, 0)),SUM(VLOOKUP($A31, LS_current!$B$4:$AY$138, LS_current!N$148, FALSE), VLOOKUP($A31, LS_current!$B$4:$AY$138,LS_current!N$148, FALSE))/2)</f>
        <v>2011</v>
      </c>
      <c r="CK31" s="227">
        <f t="array" ref="CK31">IF($BU31=0, INDEX(LS_current!$D$4:$AY$138, MATCH('Staging Table'!$A31, LS_current!$B$4:$B$138, 0), MATCH(CK$4&amp;CK$5, LS_current!$D$2:$AY$2&amp;LS_current!$D$3:$AY$3, 0)),SUM(VLOOKUP($A31, LS_current!$B$4:$AY$138, LS_current!O$148, FALSE), VLOOKUP($A31, LS_current!$B$4:$AY$138,LS_current!O$148, FALSE))/2)</f>
        <v>2602</v>
      </c>
      <c r="CL31" s="227">
        <f t="array" ref="CL31">IF($BU31=0, INDEX(LS_current!$D$4:$AY$138, MATCH('Staging Table'!$A31, LS_current!$B$4:$B$138, 0), MATCH(CL$4&amp;CL$5, LS_current!$D$2:$AY$2&amp;LS_current!$D$3:$AY$3, 0)),SUM(VLOOKUP($A31, LS_current!$B$4:$AY$138, LS_current!P$148, FALSE), VLOOKUP($A31, LS_current!$B$4:$AY$138,LS_current!P$148, FALSE))/2)</f>
        <v>9294</v>
      </c>
      <c r="CM31" s="227">
        <f t="array" ref="CM31">IF($BU31=0, INDEX(LS_current!$D$4:$AY$138, MATCH('Staging Table'!$A31, LS_current!$B$4:$B$138, 0), MATCH(CM$4&amp;CM$5, LS_current!$D$2:$AY$2&amp;LS_current!$D$3:$AY$3, 0)),SUM(VLOOKUP($A31, LS_current!$B$4:$AY$138, LS_current!Q$148, FALSE), VLOOKUP($A31, LS_current!$B$4:$AY$138,LS_current!Q$148, FALSE))/2)</f>
        <v>4383</v>
      </c>
      <c r="CN31" s="227">
        <f t="array" ref="CN31">IF($BU31=0, INDEX(LS_current!$D$4:$AY$138, MATCH('Staging Table'!$A31, LS_current!$B$4:$B$138, 0), MATCH(CN$4&amp;CN$5, LS_current!$D$2:$AY$2&amp;LS_current!$D$3:$AY$3, 0)),SUM(VLOOKUP($A31, LS_current!$B$4:$AY$138, LS_current!R$148, FALSE), VLOOKUP($A31, LS_current!$B$4:$AY$138,LS_current!R$148, FALSE))/2)</f>
        <v>-6036</v>
      </c>
      <c r="CO31" s="227">
        <f t="array" ref="CO31">IF($BU31=0, INDEX(LS_current!$D$4:$AY$138, MATCH('Staging Table'!$A31, LS_current!$B$4:$B$138, 0), MATCH(CO$4&amp;CO$5, LS_current!$D$2:$AY$2&amp;LS_current!$D$3:$AY$3, 0)),SUM(VLOOKUP($A31, LS_current!$B$4:$AY$138, LS_current!S$148, FALSE), VLOOKUP($A31, LS_current!$B$4:$AY$138,LS_current!S$148, FALSE))/2)</f>
        <v>-430</v>
      </c>
      <c r="CP31" s="227">
        <f t="array" ref="CP31">IF($BU31=0, INDEX(LS_current!$D$4:$AY$138, MATCH('Staging Table'!$A31, LS_current!$B$4:$B$138, 0), MATCH(CP$4&amp;CP$5, LS_current!$D$2:$AY$2&amp;LS_current!$D$3:$AY$3, 0)),SUM(VLOOKUP($A31, LS_current!$B$4:$AY$138, LS_current!T$148, FALSE), VLOOKUP($A31, LS_current!$B$4:$AY$138,LS_current!T$148, FALSE))/2)</f>
        <v>-17896</v>
      </c>
      <c r="CQ31" s="227">
        <f t="array" ref="CQ31">IF($BU31=0, INDEX(LS_current!$D$4:$AY$138, MATCH('Staging Table'!$A31, LS_current!$B$4:$B$138, 0), MATCH(CQ$4&amp;CQ$5, LS_current!$D$2:$AY$2&amp;LS_current!$D$3:$AY$3, 0)),SUM(VLOOKUP($A31, LS_current!$B$4:$AY$138, LS_current!U$148, FALSE), VLOOKUP($A31, LS_current!$B$4:$AY$138,LS_current!U$148, FALSE))/2)</f>
        <v>-9692</v>
      </c>
      <c r="CR31" s="227">
        <f t="array" ref="CR31">IF($BU31=0, INDEX(LS_current!$D$4:$AY$138, MATCH('Staging Table'!$A31, LS_current!$B$4:$B$138, 0), MATCH(CR$4&amp;CR$5, LS_current!$D$2:$AY$2&amp;LS_current!$D$3:$AY$3, 0)),SUM(VLOOKUP($A31, LS_current!$B$4:$AY$138, LS_current!V$148, FALSE), VLOOKUP($A31, LS_current!$B$4:$AY$138,LS_current!V$148, FALSE))/2)</f>
        <v>-6415</v>
      </c>
      <c r="CS31" s="227">
        <f t="array" ref="CS31">IF($BU31=0, INDEX(LS_current!$D$4:$AY$138, MATCH('Staging Table'!$A31, LS_current!$B$4:$B$138, 0), MATCH(CS$4&amp;CS$5, LS_current!$D$2:$AY$2&amp;LS_current!$D$3:$AY$3, 0)),SUM(VLOOKUP($A31, LS_current!$B$4:$AY$138, LS_current!W$148, FALSE), VLOOKUP($A31, LS_current!$B$4:$AY$138,LS_current!W$148, FALSE))/2)</f>
        <v>1675</v>
      </c>
      <c r="CT31" s="227">
        <f t="array" ref="CT31">IF($BU31=0, INDEX(LS_current!$D$4:$AY$138, MATCH('Staging Table'!$A31, LS_current!$B$4:$B$138, 0), MATCH(CT$4&amp;CT$5, LS_current!$D$2:$AY$2&amp;LS_current!$D$3:$AY$3, 0)),SUM(VLOOKUP($A31, LS_current!$B$4:$AY$138, LS_current!X$148, FALSE), VLOOKUP($A31, LS_current!$B$4:$AY$138,LS_current!X$148, FALSE))/2)</f>
        <v>-4898</v>
      </c>
      <c r="CU31" s="227">
        <f t="array" ref="CU31">IF($BU31=0, INDEX(LS_current!$D$4:$AY$138, MATCH('Staging Table'!$A31, LS_current!$B$4:$B$138, 0), MATCH(CU$4&amp;CU$5, LS_current!$D$2:$AY$2&amp;LS_current!$D$3:$AY$3, 0)),SUM(VLOOKUP($A31, LS_current!$B$4:$AY$138, LS_current!Y$148, FALSE), VLOOKUP($A31, LS_current!$B$4:$AY$138,LS_current!Y$148, FALSE))/2)</f>
        <v>2021</v>
      </c>
      <c r="CV31" s="227">
        <f t="array" ref="CV31">IF($BU31=0, INDEX(LS_current!$D$4:$AY$138, MATCH('Staging Table'!$A31, LS_current!$B$4:$B$138, 0), MATCH(CV$4&amp;CV$5, LS_current!$D$2:$AY$2&amp;LS_current!$D$3:$AY$3, 0)),SUM(VLOOKUP($A31, LS_current!$B$4:$AY$138, LS_current!Z$148, FALSE), VLOOKUP($A31, LS_current!$B$4:$AY$138,LS_current!Z$148, FALSE))/2)</f>
        <v>2463</v>
      </c>
      <c r="CW31" s="227">
        <f t="array" ref="CW31">IF($BU31=0, INDEX(LS_current!$D$4:$AY$138, MATCH('Staging Table'!$A31, LS_current!$B$4:$B$138, 0), MATCH(CW$4&amp;CW$5, LS_current!$D$2:$AY$2&amp;LS_current!$D$3:$AY$3, 0)),SUM(VLOOKUP($A31, LS_current!$B$4:$AY$138, LS_current!AA$148, FALSE), VLOOKUP($A31, LS_current!$B$4:$AY$138,LS_current!AA$148, FALSE))/2)</f>
        <v>2497</v>
      </c>
      <c r="CX31" s="229">
        <f t="array" ref="CX31">INDEX(Demand_current!$D$4:$AY$138, MATCH($A31, Demand_current!$B$4:$B$138, 0), MATCH(CX$4&amp;CX$5,Demand_current!$D$2:$AY$2&amp;Demand_current!$D$3:$AY$3, 0))/1000</f>
        <v>24.896999999999998</v>
      </c>
      <c r="CY31" s="229">
        <f t="array" ref="CY31">INDEX(Demand_current!$D$4:$AY$138, MATCH($A31, Demand_current!$B$4:$B$138, 0), MATCH(CY$4&amp;CY$5,Demand_current!$D$2:$AY$2&amp;Demand_current!$D$3:$AY$3, 0))/1000</f>
        <v>24.974</v>
      </c>
      <c r="CZ31" s="229">
        <f t="array" ref="CZ31">INDEX(Demand_current!$D$4:$AY$138, MATCH($A31, Demand_current!$B$4:$B$138, 0), MATCH(CZ$4&amp;CZ$5,Demand_current!$D$2:$AY$2&amp;Demand_current!$D$3:$AY$3, 0))/1000</f>
        <v>15.941000000000001</v>
      </c>
      <c r="DA31" s="229">
        <f t="array" ref="DA31">INDEX(Demand_current!$D$4:$AY$138, MATCH($A31, Demand_current!$B$4:$B$138, 0), MATCH(DA$4&amp;DA$5,Demand_current!$D$2:$AY$2&amp;Demand_current!$D$3:$AY$3, 0))/1000</f>
        <v>21.416</v>
      </c>
      <c r="DB31" s="229">
        <f t="array" ref="DB31">INDEX(Demand_current!$D$4:$AY$138, MATCH($A31, Demand_current!$B$4:$B$138, 0), MATCH(DB$4&amp;DB$5,Demand_current!$D$2:$AY$2&amp;Demand_current!$D$3:$AY$3, 0))/1000</f>
        <v>8.7319999999999993</v>
      </c>
      <c r="DC31" s="229">
        <f t="array" ref="DC31">INDEX(Demand_current!$D$4:$AY$138, MATCH($A31, Demand_current!$B$4:$B$138, 0), MATCH(DC$4&amp;DC$5,Demand_current!$D$2:$AY$2&amp;Demand_current!$D$3:$AY$3, 0))/1000</f>
        <v>25.259</v>
      </c>
      <c r="DD31" s="229">
        <f t="array" ref="DD31">INDEX(Demand_current!$D$4:$AY$138, MATCH($A31, Demand_current!$B$4:$B$138, 0), MATCH(DD$4&amp;DD$5,Demand_current!$D$2:$AY$2&amp;Demand_current!$D$3:$AY$3, 0))/1000</f>
        <v>17.164999999999999</v>
      </c>
      <c r="DE31" s="229">
        <f t="array" ref="DE31">INDEX(Demand_current!$D$4:$AY$138, MATCH($A31, Demand_current!$B$4:$B$138, 0), MATCH(DE$4&amp;DE$5,Demand_current!$D$2:$AY$2&amp;Demand_current!$D$3:$AY$3, 0))/1000</f>
        <v>16.785</v>
      </c>
      <c r="DF31" s="229">
        <f t="array" ref="DF31">INDEX(Demand_current!$D$4:$AY$138, MATCH($A31, Demand_current!$B$4:$B$138, 0), MATCH(DF$4&amp;DF$5,Demand_current!$D$2:$AY$2&amp;Demand_current!$D$3:$AY$3, 0))/1000</f>
        <v>24.809000000000001</v>
      </c>
      <c r="DG31" s="229">
        <f t="array" ref="DG31">INDEX(Demand_current!$D$4:$AY$138, MATCH($A31, Demand_current!$B$4:$B$138, 0), MATCH(DG$4&amp;DG$5,Demand_current!$D$2:$AY$2&amp;Demand_current!$D$3:$AY$3, 0))/1000</f>
        <v>15.965</v>
      </c>
      <c r="DH31" s="229">
        <f t="array" ref="DH31">INDEX(Demand_current!$D$4:$AY$138, MATCH($A31, Demand_current!$B$4:$B$138, 0), MATCH(DH$4&amp;DH$5,Demand_current!$D$2:$AY$2&amp;Demand_current!$D$3:$AY$3, 0))/1000</f>
        <v>18.045999999999999</v>
      </c>
      <c r="DI31" s="229">
        <f t="array" ref="DI31">INDEX(Demand_current!$D$4:$AY$138, MATCH($A31, Demand_current!$B$4:$B$138, 0), MATCH(DI$4&amp;DI$5,Demand_current!$D$2:$AY$2&amp;Demand_current!$D$3:$AY$3, 0))/1000</f>
        <v>5.415</v>
      </c>
      <c r="DJ31" s="227">
        <f>$BT31*(VLOOKUP(DJ$4, Rates_current!$G$6:$Q$29, 10, FALSE)+VLOOKUP(DJ$4, Rates_current!$G$6:$Q$29, 11, FALSE))</f>
        <v>56930.135831521198</v>
      </c>
      <c r="DK31" s="227">
        <f>$BT31*(VLOOKUP(DK$4, Rates_current!$G$6:$Q$29, 10, FALSE)+VLOOKUP(DK$4, Rates_current!$G$6:$Q$29, 11, FALSE))</f>
        <v>72319.032206898308</v>
      </c>
      <c r="DL31" s="227">
        <f>$BT31*(VLOOKUP(DL$4, Rates_current!$G$6:$Q$29, 10, FALSE)+VLOOKUP(DL$4, Rates_current!$G$6:$Q$29, 11, FALSE))</f>
        <v>71445.682036621205</v>
      </c>
      <c r="DM31" s="227">
        <f>$BT31*(VLOOKUP(DM$4, Rates_current!$G$6:$Q$29, 10, FALSE)+VLOOKUP(DM$4, Rates_current!$G$6:$Q$29, 11, FALSE))</f>
        <v>59554.327531021212</v>
      </c>
      <c r="DN31" s="227">
        <f>$BT31*(VLOOKUP(DN$4, Rates_current!$G$6:$Q$29, 10, FALSE)+VLOOKUP(DN$4, Rates_current!$G$6:$Q$29, 11, FALSE))</f>
        <v>53950.042458960001</v>
      </c>
      <c r="DO31" s="227">
        <f>$BT31*(VLOOKUP(DO$4, Rates_current!$G$6:$Q$29, 10, FALSE)+VLOOKUP(DO$4, Rates_current!$G$6:$Q$29, 11, FALSE))</f>
        <v>60009.586180428902</v>
      </c>
      <c r="DP31" s="227">
        <f>$BT31*(VLOOKUP(DP$4, Rates_current!$G$6:$Q$29, 10, FALSE)+VLOOKUP(DP$4, Rates_current!$G$6:$Q$29, 11, FALSE))</f>
        <v>48859.869824856003</v>
      </c>
      <c r="DQ31" s="227">
        <f>$BT31*(VLOOKUP(DQ$4, Rates_current!$G$6:$Q$29, 10, FALSE)+VLOOKUP(DQ$4, Rates_current!$G$6:$Q$29, 11, FALSE))</f>
        <v>65894.820272371217</v>
      </c>
      <c r="DR31" s="227">
        <f>$BT31*(VLOOKUP(DR$4, Rates_current!$G$6:$Q$29, 10, FALSE)+VLOOKUP(DR$4, Rates_current!$G$6:$Q$29, 11, FALSE))</f>
        <v>84077.309067006005</v>
      </c>
      <c r="DS31" s="227">
        <f>$BT31*(VLOOKUP(DS$4, Rates_current!$G$6:$Q$29, 10, FALSE)+VLOOKUP(DS$4, Rates_current!$G$6:$Q$29, 11, FALSE))</f>
        <v>65919.276232321208</v>
      </c>
      <c r="DT31" s="227">
        <f>$BT31*(VLOOKUP(DT$4, Rates_current!$G$6:$Q$29, 10, FALSE)+VLOOKUP(DT$4, Rates_current!$G$6:$Q$29, 11, FALSE))</f>
        <v>64192.248988471212</v>
      </c>
      <c r="DU31" s="227">
        <f>$BT31*(VLOOKUP(DU$4, Rates_current!$G$6:$Q$29, 10, FALSE)+VLOOKUP(DU$4, Rates_current!$G$6:$Q$29, 11, FALSE))</f>
        <v>57630.984140556007</v>
      </c>
      <c r="DV31" s="229">
        <f>IF(D31=0,IF(C31=0,MAX(0,DY31 - (VLOOKUP($A31,TOCA_current!$A$2:$AI$137,MATCH("RHWM 2020",TOCA_current!$A$2:$AI$2,0),FALSE)*$BT$2)), 0),0)</f>
        <v>0</v>
      </c>
      <c r="DW31" s="266">
        <f>VLOOKUP($A31,REP_current!$A$1:$D$135,MATCH("FY "&amp;$BT$1&amp; " Total Refund",REP_current!$A$1:$D$1,0),0)</f>
        <v>0</v>
      </c>
      <c r="DX31" s="295">
        <f>MIN(VLOOKUP($A31,TOCA_current!$A$2:$AI$137,MATCH("TRL - NLSL - Existing Resource "&amp;$BT$1,TOCA_current!$A$2:$AI$2,0),FALSE)*$BT$2, VLOOKUP($A31,TOCA_current!$A$2:$AI$137,MATCH("RHWM 2020",TOCA_current!$A$2:$AI$2,0),FALSE)*$BT$2)</f>
        <v>760782.24</v>
      </c>
      <c r="DY31" s="240">
        <f>SUM(BZ31:CW31)+(BT31*RT1SC!$C$4*$BT$2)</f>
        <v>756734.34332661761</v>
      </c>
      <c r="DZ31" s="271">
        <f>VLOOKUP($A31,TOCA_current!$A$2:$AI$137,MATCH("Above RHWM Not Served with LS "&amp;$BT$1,TOCA_current!$A$2:$AI$2,0),FALSE)*$BT$2</f>
        <v>0</v>
      </c>
      <c r="EA31" s="244">
        <f t="shared" si="13"/>
        <v>-4047.8966733823763</v>
      </c>
      <c r="EB31" s="295">
        <f>(VLOOKUP($A31,TOCA_current!$A$2:$AI$137,MATCH("RHWM 2020",TOCA_current!$A$2:$AI$2,0),FALSE)*$BT$2) - $DX31</f>
        <v>9679.9679999999935</v>
      </c>
      <c r="EC31" s="240">
        <f t="shared" si="14"/>
        <v>0</v>
      </c>
      <c r="ED31" s="240">
        <f t="shared" si="15"/>
        <v>4047.8966733823763</v>
      </c>
      <c r="EE31" s="240">
        <f t="shared" si="16"/>
        <v>0</v>
      </c>
      <c r="EF31" s="240">
        <f t="shared" si="17"/>
        <v>4047.8966733823763</v>
      </c>
    </row>
    <row r="32" spans="1:136">
      <c r="A32" s="166">
        <v>10080</v>
      </c>
      <c r="B32" s="167" t="s">
        <v>33</v>
      </c>
      <c r="C32" s="240">
        <v>0</v>
      </c>
      <c r="D32" s="240">
        <v>0</v>
      </c>
      <c r="E32" s="150">
        <f>VLOOKUP($A32,TOCA_previous!$A$2:$AI$137,MATCH(E$4,TOCA_previous!$A$2:$AI$2,0),FALSE)</f>
        <v>1.0537000000000001E-3</v>
      </c>
      <c r="F32" s="151">
        <f>VLOOKUP($A32,TOCA_previous!$A$2:$AI$137,MATCH(F$4,TOCA_previous!$A$2:$AI$2,0),FALSE)</f>
        <v>1.0537000000000001E-3</v>
      </c>
      <c r="G32" s="151">
        <f t="shared" si="2"/>
        <v>0</v>
      </c>
      <c r="H32" s="151">
        <f>VLOOKUP($A32,TOCA_previous!$A$2:$AI$137,MATCH(H$4,TOCA_previous!$A$2:$AI$2,0),FALSE)</f>
        <v>0</v>
      </c>
      <c r="I32" s="151">
        <f t="shared" si="3"/>
        <v>0</v>
      </c>
      <c r="J32" s="151">
        <f t="shared" si="4"/>
        <v>0</v>
      </c>
      <c r="K32" s="226">
        <f>VLOOKUP(A32, IRD!$A$5:$C$139, 3, FALSE)</f>
        <v>0</v>
      </c>
      <c r="L32" s="227">
        <f t="array" ref="L32">IF($G32=0, INDEX(LS_previous!$D$4:$AY$138, MATCH('Staging Table'!$A32, LS_previous!$B$4:$B$138, 0), MATCH(L$4&amp;L$5, LS_previous!$D$2:$AY$2&amp;LS_previous!$D$3:$AY$3, 0)),SUM(VLOOKUP($A32, LS_previous!$B$4:$AY$138, LS_previous!D$149, FALSE), VLOOKUP('Staging Table'!$A32, LS_previous!$B$4:$AY$138,LS_previous!AB$149, FALSE))/2)</f>
        <v>-203</v>
      </c>
      <c r="M32" s="227">
        <f t="array" ref="M32">IF($G32=0, INDEX(LS_previous!$D$4:$AY$138, MATCH('Staging Table'!$A32, LS_previous!$B$4:$B$138, 0), MATCH(M$4&amp;M$5, LS_previous!$D$2:$AY$2&amp;LS_previous!$D$3:$AY$3, 0)),SUM(VLOOKUP($A32, LS_previous!$B$4:$AY$138, LS_previous!E$149, FALSE), VLOOKUP('Staging Table'!$A32, LS_previous!$B$4:$AY$138,LS_previous!AC$149, FALSE))/2)</f>
        <v>8</v>
      </c>
      <c r="N32" s="227">
        <f t="array" ref="N32">IF($G32=0, INDEX(LS_previous!$D$4:$AY$138, MATCH('Staging Table'!$A32, LS_previous!$B$4:$B$138, 0), MATCH(N$4&amp;N$5, LS_previous!$D$2:$AY$2&amp;LS_previous!$D$3:$AY$3, 0)),SUM(VLOOKUP($A32, LS_previous!$B$4:$AY$138, LS_previous!F$149, FALSE), VLOOKUP('Staging Table'!$A32, LS_previous!$B$4:$AY$138,LS_previous!AD$149, FALSE))/2)</f>
        <v>-234</v>
      </c>
      <c r="O32" s="227">
        <f t="array" ref="O32">IF($G32=0, INDEX(LS_previous!$D$4:$AY$138, MATCH('Staging Table'!$A32, LS_previous!$B$4:$B$138, 0), MATCH(O$4&amp;O$5, LS_previous!$D$2:$AY$2&amp;LS_previous!$D$3:$AY$3, 0)),SUM(VLOOKUP($A32, LS_previous!$B$4:$AY$138, LS_previous!G$149, FALSE), VLOOKUP('Staging Table'!$A32, LS_previous!$B$4:$AY$138,LS_previous!AE$149, FALSE))/2)</f>
        <v>128</v>
      </c>
      <c r="P32" s="227">
        <f t="array" ref="P32">IF($G32=0, INDEX(LS_previous!$D$4:$AY$138, MATCH('Staging Table'!$A32, LS_previous!$B$4:$B$138, 0), MATCH(P$4&amp;P$5, LS_previous!$D$2:$AY$2&amp;LS_previous!$D$3:$AY$3, 0)),SUM(VLOOKUP($A32, LS_previous!$B$4:$AY$138, LS_previous!H$149, FALSE), VLOOKUP('Staging Table'!$A32, LS_previous!$B$4:$AY$138,LS_previous!AF$149, FALSE))/2)</f>
        <v>21</v>
      </c>
      <c r="Q32" s="227">
        <f t="array" ref="Q32">IF($G32=0, INDEX(LS_previous!$D$4:$AY$138, MATCH('Staging Table'!$A32, LS_previous!$B$4:$B$138, 0), MATCH(Q$4&amp;Q$5, LS_previous!$D$2:$AY$2&amp;LS_previous!$D$3:$AY$3, 0)),SUM(VLOOKUP($A32, LS_previous!$B$4:$AY$138, LS_previous!I$149, FALSE), VLOOKUP('Staging Table'!$A32, LS_previous!$B$4:$AY$138,LS_previous!AG$149, FALSE))/2)</f>
        <v>415</v>
      </c>
      <c r="R32" s="227">
        <f t="array" ref="R32">IF($G32=0, INDEX(LS_previous!$D$4:$AY$138, MATCH('Staging Table'!$A32, LS_previous!$B$4:$B$138, 0), MATCH(R$4&amp;R$5, LS_previous!$D$2:$AY$2&amp;LS_previous!$D$3:$AY$3, 0)),SUM(VLOOKUP($A32, LS_previous!$B$4:$AY$138, LS_previous!J$149, FALSE), VLOOKUP('Staging Table'!$A32, LS_previous!$B$4:$AY$138,LS_previous!AH$149, FALSE))/2)</f>
        <v>849</v>
      </c>
      <c r="S32" s="227">
        <f t="array" ref="S32">IF($G32=0, INDEX(LS_previous!$D$4:$AY$138, MATCH('Staging Table'!$A32, LS_previous!$B$4:$B$138, 0), MATCH(S$4&amp;S$5, LS_previous!$D$2:$AY$2&amp;LS_previous!$D$3:$AY$3, 0)),SUM(VLOOKUP($A32, LS_previous!$B$4:$AY$138, LS_previous!K$149, FALSE), VLOOKUP('Staging Table'!$A32, LS_previous!$B$4:$AY$138,LS_previous!AI$149, FALSE))/2)</f>
        <v>682</v>
      </c>
      <c r="T32" s="227">
        <f t="array" ref="T32">IF($G32=0, INDEX(LS_previous!$D$4:$AY$138, MATCH('Staging Table'!$A32, LS_previous!$B$4:$B$138, 0), MATCH(T$4&amp;T$5, LS_previous!$D$2:$AY$2&amp;LS_previous!$D$3:$AY$3, 0)),SUM(VLOOKUP($A32, LS_previous!$B$4:$AY$138, LS_previous!L$149, FALSE), VLOOKUP('Staging Table'!$A32, LS_previous!$B$4:$AY$138,LS_previous!AJ$149, FALSE))/2)</f>
        <v>996</v>
      </c>
      <c r="U32" s="227">
        <f t="array" ref="U32">IF($G32=0, INDEX(LS_previous!$D$4:$AY$138, MATCH('Staging Table'!$A32, LS_previous!$B$4:$B$138, 0), MATCH(U$4&amp;U$5, LS_previous!$D$2:$AY$2&amp;LS_previous!$D$3:$AY$3, 0)),SUM(VLOOKUP($A32, LS_previous!$B$4:$AY$138, LS_previous!M$149, FALSE), VLOOKUP('Staging Table'!$A32, LS_previous!$B$4:$AY$138,LS_previous!AK$149, FALSE))/2)</f>
        <v>704</v>
      </c>
      <c r="V32" s="227">
        <f t="array" ref="V32">IF($G32=0, INDEX(LS_previous!$D$4:$AY$138, MATCH('Staging Table'!$A32, LS_previous!$B$4:$B$138, 0), MATCH(V$4&amp;V$5, LS_previous!$D$2:$AY$2&amp;LS_previous!$D$3:$AY$3, 0)),SUM(VLOOKUP($A32, LS_previous!$B$4:$AY$138, LS_previous!N$149, FALSE), VLOOKUP('Staging Table'!$A32, LS_previous!$B$4:$AY$138,LS_previous!AL$149, FALSE))/2)</f>
        <v>82</v>
      </c>
      <c r="W32" s="227">
        <f t="array" ref="W32">IF($G32=0, INDEX(LS_previous!$D$4:$AY$138, MATCH('Staging Table'!$A32, LS_previous!$B$4:$B$138, 0), MATCH(W$4&amp;W$5, LS_previous!$D$2:$AY$2&amp;LS_previous!$D$3:$AY$3, 0)),SUM(VLOOKUP($A32, LS_previous!$B$4:$AY$138, LS_previous!O$149, FALSE), VLOOKUP('Staging Table'!$A32, LS_previous!$B$4:$AY$138,LS_previous!AM$149, FALSE))/2)</f>
        <v>307</v>
      </c>
      <c r="X32" s="227">
        <f t="array" ref="X32">IF($G32=0, INDEX(LS_previous!$D$4:$AY$138, MATCH('Staging Table'!$A32, LS_previous!$B$4:$B$138, 0), MATCH(X$4&amp;X$5, LS_previous!$D$2:$AY$2&amp;LS_previous!$D$3:$AY$3, 0)),SUM(VLOOKUP($A32, LS_previous!$B$4:$AY$138, LS_previous!P$149, FALSE), VLOOKUP('Staging Table'!$A32, LS_previous!$B$4:$AY$138,LS_previous!AN$149, FALSE))/2)</f>
        <v>-84</v>
      </c>
      <c r="Y32" s="227">
        <f t="array" ref="Y32">IF($G32=0, INDEX(LS_previous!$D$4:$AY$138, MATCH('Staging Table'!$A32, LS_previous!$B$4:$B$138, 0), MATCH(Y$4&amp;Y$5, LS_previous!$D$2:$AY$2&amp;LS_previous!$D$3:$AY$3, 0)),SUM(VLOOKUP($A32, LS_previous!$B$4:$AY$138, LS_previous!Q$149, FALSE), VLOOKUP('Staging Table'!$A32, LS_previous!$B$4:$AY$138,LS_previous!AO$149, FALSE))/2)</f>
        <v>100</v>
      </c>
      <c r="Z32" s="227">
        <f t="array" ref="Z32">IF($G32=0, INDEX(LS_previous!$D$4:$AY$138, MATCH('Staging Table'!$A32, LS_previous!$B$4:$B$138, 0), MATCH(Z$4&amp;Z$5, LS_previous!$D$2:$AY$2&amp;LS_previous!$D$3:$AY$3, 0)),SUM(VLOOKUP($A32, LS_previous!$B$4:$AY$138, LS_previous!R$149, FALSE), VLOOKUP('Staging Table'!$A32, LS_previous!$B$4:$AY$138,LS_previous!AP$149, FALSE))/2)</f>
        <v>-2045</v>
      </c>
      <c r="AA32" s="227">
        <f t="array" ref="AA32">IF($G32=0, INDEX(LS_previous!$D$4:$AY$138, MATCH('Staging Table'!$A32, LS_previous!$B$4:$B$138, 0), MATCH(AA$4&amp;AA$5, LS_previous!$D$2:$AY$2&amp;LS_previous!$D$3:$AY$3, 0)),SUM(VLOOKUP($A32, LS_previous!$B$4:$AY$138, LS_previous!S$149, FALSE), VLOOKUP('Staging Table'!$A32, LS_previous!$B$4:$AY$138,LS_previous!AQ$149, FALSE))/2)</f>
        <v>-841</v>
      </c>
      <c r="AB32" s="227">
        <f t="array" ref="AB32">IF($G32=0, INDEX(LS_previous!$D$4:$AY$138, MATCH('Staging Table'!$A32, LS_previous!$B$4:$B$138, 0), MATCH(AB$4&amp;AB$5, LS_previous!$D$2:$AY$2&amp;LS_previous!$D$3:$AY$3, 0)),SUM(VLOOKUP($A32, LS_previous!$B$4:$AY$138, LS_previous!T$149, FALSE), VLOOKUP('Staging Table'!$A32, LS_previous!$B$4:$AY$138,LS_previous!AR$149, FALSE))/2)</f>
        <v>-1188</v>
      </c>
      <c r="AC32" s="227">
        <f t="array" ref="AC32">IF($G32=0, INDEX(LS_previous!$D$4:$AY$138, MATCH('Staging Table'!$A32, LS_previous!$B$4:$B$138, 0), MATCH(AC$4&amp;AC$5, LS_previous!$D$2:$AY$2&amp;LS_previous!$D$3:$AY$3, 0)),SUM(VLOOKUP($A32, LS_previous!$B$4:$AY$138, LS_previous!U$149, FALSE), VLOOKUP('Staging Table'!$A32, LS_previous!$B$4:$AY$138,LS_previous!AS$149, FALSE))/2)</f>
        <v>-482</v>
      </c>
      <c r="AD32" s="227">
        <f t="array" ref="AD32">IF($G32=0, INDEX(LS_previous!$D$4:$AY$138, MATCH('Staging Table'!$A32, LS_previous!$B$4:$B$138, 0), MATCH(AD$4&amp;AD$5, LS_previous!$D$2:$AY$2&amp;LS_previous!$D$3:$AY$3, 0)),SUM(VLOOKUP($A32, LS_previous!$B$4:$AY$138, LS_previous!V$149, FALSE), VLOOKUP('Staging Table'!$A32, LS_previous!$B$4:$AY$138,LS_previous!AT$149, FALSE))/2)</f>
        <v>-698</v>
      </c>
      <c r="AE32" s="227">
        <f t="array" ref="AE32">IF($G32=0, INDEX(LS_previous!$D$4:$AY$138, MATCH('Staging Table'!$A32, LS_previous!$B$4:$B$138, 0), MATCH(AE$4&amp;AE$5, LS_previous!$D$2:$AY$2&amp;LS_previous!$D$3:$AY$3, 0)),SUM(VLOOKUP($A32, LS_previous!$B$4:$AY$138, LS_previous!W$149, FALSE), VLOOKUP('Staging Table'!$A32, LS_previous!$B$4:$AY$138,LS_previous!AU$149, FALSE))/2)</f>
        <v>-102</v>
      </c>
      <c r="AF32" s="227">
        <f t="array" ref="AF32">IF($G32=0, INDEX(LS_previous!$D$4:$AY$138, MATCH('Staging Table'!$A32, LS_previous!$B$4:$B$138, 0), MATCH(AF$4&amp;AF$5, LS_previous!$D$2:$AY$2&amp;LS_previous!$D$3:$AY$3, 0)),SUM(VLOOKUP($A32, LS_previous!$B$4:$AY$138, LS_previous!X$149, FALSE), VLOOKUP('Staging Table'!$A32, LS_previous!$B$4:$AY$138,LS_previous!AV$149, FALSE))/2)</f>
        <v>-1114</v>
      </c>
      <c r="AG32" s="227">
        <f t="array" ref="AG32">IF($G32=0, INDEX(LS_previous!$D$4:$AY$138, MATCH('Staging Table'!$A32, LS_previous!$B$4:$B$138, 0), MATCH(AG$4&amp;AG$5, LS_previous!$D$2:$AY$2&amp;LS_previous!$D$3:$AY$3, 0)),SUM(VLOOKUP($A32, LS_previous!$B$4:$AY$138, LS_previous!Y$149, FALSE), VLOOKUP('Staging Table'!$A32, LS_previous!$B$4:$AY$138,LS_previous!AW$149, FALSE))/2)</f>
        <v>-201</v>
      </c>
      <c r="AH32" s="227">
        <f t="array" ref="AH32">IF($G32=0, INDEX(LS_previous!$D$4:$AY$138, MATCH('Staging Table'!$A32, LS_previous!$B$4:$B$138, 0), MATCH(AH$4&amp;AH$5, LS_previous!$D$2:$AY$2&amp;LS_previous!$D$3:$AY$3, 0)),SUM(VLOOKUP($A32, LS_previous!$B$4:$AY$138, LS_previous!Z$149, FALSE), VLOOKUP('Staging Table'!$A32, LS_previous!$B$4:$AY$138,LS_previous!AX$149, FALSE))/2)</f>
        <v>-736</v>
      </c>
      <c r="AI32" s="227">
        <f t="array" ref="AI32">IF($G32=0, INDEX(LS_previous!$D$4:$AY$138, MATCH('Staging Table'!$A32, LS_previous!$B$4:$B$138, 0), MATCH(AI$4&amp;AI$5, LS_previous!$D$2:$AY$2&amp;LS_previous!$D$3:$AY$3, 0)),SUM(VLOOKUP($A32, LS_previous!$B$4:$AY$138, LS_previous!AA$149, FALSE), VLOOKUP('Staging Table'!$A32, LS_previous!$B$4:$AY$138,LS_previous!AY$149, FALSE))/2)</f>
        <v>-251</v>
      </c>
      <c r="AJ32" s="424">
        <f t="array" ref="AJ32">INDEX(Demand_previous!$D$4:$AY$138, MATCH('Staging Table'!$A32, Demand_previous!$B$4:$B$138, 0), MATCH(AJ$4&amp;AJ$5,Demand_previous!$D$2:$AY$2&amp;Demand_previous!$D$3:$AY$3, 0))/1000</f>
        <v>0.14199999999999999</v>
      </c>
      <c r="AK32" s="424">
        <f t="array" ref="AK32">INDEX(Demand_previous!$D$4:$AY$138, MATCH('Staging Table'!$A32, Demand_previous!$B$4:$B$138, 0), MATCH(AK$4&amp;AK$5,Demand_previous!$D$2:$AY$2&amp;Demand_previous!$D$3:$AY$3, 0))/1000</f>
        <v>0</v>
      </c>
      <c r="AL32" s="424">
        <f t="array" ref="AL32">INDEX(Demand_previous!$D$4:$AY$138, MATCH('Staging Table'!$A32, Demand_previous!$B$4:$B$138, 0), MATCH(AL$4&amp;AL$5,Demand_previous!$D$2:$AY$2&amp;Demand_previous!$D$3:$AY$3, 0))/1000</f>
        <v>1.617</v>
      </c>
      <c r="AM32" s="424">
        <f t="array" ref="AM32">INDEX(Demand_previous!$D$4:$AY$138, MATCH('Staging Table'!$A32, Demand_previous!$B$4:$B$138, 0), MATCH(AM$4&amp;AM$5,Demand_previous!$D$2:$AY$2&amp;Demand_previous!$D$3:$AY$3, 0))/1000</f>
        <v>1.1950000000000001</v>
      </c>
      <c r="AN32" s="424">
        <f t="array" ref="AN32">INDEX(Demand_previous!$D$4:$AY$138, MATCH('Staging Table'!$A32, Demand_previous!$B$4:$B$138, 0), MATCH(AN$4&amp;AN$5,Demand_previous!$D$2:$AY$2&amp;Demand_previous!$D$3:$AY$3, 0))/1000</f>
        <v>7.4999999999999997E-2</v>
      </c>
      <c r="AO32" s="424">
        <f t="array" ref="AO32">INDEX(Demand_previous!$D$4:$AY$138, MATCH('Staging Table'!$A32, Demand_previous!$B$4:$B$138, 0), MATCH(AO$4&amp;AO$5,Demand_previous!$D$2:$AY$2&amp;Demand_previous!$D$3:$AY$3, 0))/1000</f>
        <v>1.208</v>
      </c>
      <c r="AP32" s="424">
        <f t="array" ref="AP32">INDEX(Demand_previous!$D$4:$AY$138, MATCH('Staging Table'!$A32, Demand_previous!$B$4:$B$138, 0), MATCH(AP$4&amp;AP$5,Demand_previous!$D$2:$AY$2&amp;Demand_previous!$D$3:$AY$3, 0))/1000</f>
        <v>0.29299999999999998</v>
      </c>
      <c r="AQ32" s="424">
        <f t="array" ref="AQ32">INDEX(Demand_previous!$D$4:$AY$138, MATCH('Staging Table'!$A32, Demand_previous!$B$4:$B$138, 0), MATCH(AQ$4&amp;AQ$5,Demand_previous!$D$2:$AY$2&amp;Demand_previous!$D$3:$AY$3, 0))/1000</f>
        <v>1.048</v>
      </c>
      <c r="AR32" s="424">
        <f t="array" ref="AR32">INDEX(Demand_previous!$D$4:$AY$138, MATCH('Staging Table'!$A32, Demand_previous!$B$4:$B$138, 0), MATCH(AR$4&amp;AR$5,Demand_previous!$D$2:$AY$2&amp;Demand_previous!$D$3:$AY$3, 0))/1000</f>
        <v>0.85099999999999998</v>
      </c>
      <c r="AS32" s="424">
        <f t="array" ref="AS32">INDEX(Demand_previous!$D$4:$AY$138, MATCH('Staging Table'!$A32, Demand_previous!$B$4:$B$138, 0), MATCH(AS$4&amp;AS$5,Demand_previous!$D$2:$AY$2&amp;Demand_previous!$D$3:$AY$3, 0))/1000</f>
        <v>0.77200000000000002</v>
      </c>
      <c r="AT32" s="424">
        <f t="array" ref="AT32">INDEX(Demand_previous!$D$4:$AY$138, MATCH('Staging Table'!$A32, Demand_previous!$B$4:$B$138, 0), MATCH(AT$4&amp;AT$5,Demand_previous!$D$2:$AY$2&amp;Demand_previous!$D$3:$AY$3, 0))/1000</f>
        <v>1.3979999999999999</v>
      </c>
      <c r="AU32" s="424">
        <f t="array" ref="AU32">INDEX(Demand_previous!$D$4:$AY$138, MATCH('Staging Table'!$A32, Demand_previous!$B$4:$B$138, 0), MATCH(AU$4&amp;AU$5,Demand_previous!$D$2:$AY$2&amp;Demand_previous!$D$3:$AY$3, 0))/1000</f>
        <v>0.60399999999999998</v>
      </c>
      <c r="AV32" s="227">
        <f>$F32*(VLOOKUP(AV$4, Rates_previous!$G$6:$Q$29, 10, FALSE)+VLOOKUP(AV$4, Rates_previous!$G$6:$Q$29, 11, FALSE))</f>
        <v>4940.6283502298165</v>
      </c>
      <c r="AW32" s="227">
        <f>$F32*(VLOOKUP(AW$4, Rates_previous!$G$6:$Q$29, 10, FALSE)+VLOOKUP(AW$4, Rates_previous!$G$6:$Q$29, 11, FALSE))</f>
        <v>6106.2411332292768</v>
      </c>
      <c r="AX32" s="227">
        <f>$F32*(VLOOKUP(AX$4, Rates_previous!$G$6:$Q$29, 10, FALSE)+VLOOKUP(AX$4, Rates_previous!$G$6:$Q$29, 11, FALSE))</f>
        <v>6032.9124806363589</v>
      </c>
      <c r="AY32" s="227">
        <f>$F32*(VLOOKUP(AY$4, Rates_previous!$G$6:$Q$29, 10, FALSE)+VLOOKUP(AY$4, Rates_previous!$G$6:$Q$29, 11, FALSE))</f>
        <v>5154.5486831740927</v>
      </c>
      <c r="AZ32" s="227">
        <f>$F32*(VLOOKUP(AZ$4, Rates_previous!$G$6:$Q$29, 10, FALSE)+VLOOKUP(AZ$4, Rates_previous!$G$6:$Q$29, 11, FALSE))</f>
        <v>4225.7300864776917</v>
      </c>
      <c r="BA32" s="227">
        <f>$F32*(VLOOKUP(BA$4, Rates_previous!$G$6:$Q$29, 10, FALSE)+VLOOKUP(BA$4, Rates_previous!$G$6:$Q$29, 11, FALSE))</f>
        <v>5003.1109296278501</v>
      </c>
      <c r="BB32" s="227">
        <f>$F32*(VLOOKUP(BB$4, Rates_previous!$G$6:$Q$29, 10, FALSE)+VLOOKUP(BB$4, Rates_previous!$G$6:$Q$29, 11, FALSE))</f>
        <v>4808.7173502561091</v>
      </c>
      <c r="BC32" s="227">
        <f>$F32*(VLOOKUP(BC$4, Rates_previous!$G$6:$Q$29, 10, FALSE)+VLOOKUP(BC$4, Rates_previous!$G$6:$Q$29, 11, FALSE))</f>
        <v>7056.4524334491198</v>
      </c>
      <c r="BD32" s="227">
        <f>$F32*(VLOOKUP(BD$4, Rates_previous!$G$6:$Q$29, 10, FALSE)+VLOOKUP(BD$4, Rates_previous!$G$6:$Q$29, 11, FALSE))</f>
        <v>5567.3544656801441</v>
      </c>
      <c r="BE32" s="227">
        <f>$F32*(VLOOKUP(BE$4, Rates_previous!$G$6:$Q$29, 10, FALSE)+VLOOKUP(BE$4, Rates_previous!$G$6:$Q$29, 11, FALSE))</f>
        <v>4888.604519716383</v>
      </c>
      <c r="BF32" s="227">
        <f>$F32*(VLOOKUP(BF$4, Rates_previous!$G$6:$Q$29, 10, FALSE)+VLOOKUP(BF$4, Rates_previous!$G$6:$Q$29, 11, FALSE))</f>
        <v>5414.3251852436561</v>
      </c>
      <c r="BG32" s="227">
        <f>$F32*(VLOOKUP(BG$4, Rates_previous!$G$6:$Q$29, 10, FALSE)+VLOOKUP(BG$4, Rates_previous!$G$6:$Q$29, 11, FALSE))</f>
        <v>4905.1633036126932</v>
      </c>
      <c r="BH32" s="229">
        <f>IF($D32=0,IF(C32=0, MAX(BK32 - (VLOOKUP($A32,TOCA_previous!$A$2:$AI$137,MATCH("RHWM 2018",TOCA_previous!$A$2:$AI$2,0),FALSE)*$F$2*TOCA_previous!C29),0),0), 0)</f>
        <v>0</v>
      </c>
      <c r="BI32" s="266">
        <f>VLOOKUP($A32,REP_previous!$A$1:$D$135,MATCH("FY "&amp;$F$1&amp; " Total Refund",REP_previous!$A$1:$D$1,0),0)</f>
        <v>95504.502766492631</v>
      </c>
      <c r="BJ32" s="241">
        <f>MIN(VLOOKUP($A32,TOCA_previous!$A$2:$AI$137,MATCH("TRL - NLSL - Existing Resource "&amp;$F$1,TOCA_previous!$A$2:$AI$2,0),FALSE)*$F$2,(VLOOKUP($A32,TOCA_previous!$A$2:$AI$137,MATCH("RHWM 2018",TOCA_previous!$A$2:$AI$2,0),FALSE)*$F$2))</f>
        <v>64105.679999999993</v>
      </c>
      <c r="BK32" s="229">
        <f>SUM(L32:AI32)+(F32*RT1SC!$C$3*$F$2)</f>
        <v>60216.789856552001</v>
      </c>
      <c r="BL32" s="241">
        <f>VLOOKUP($A32,TOCA_previous!$A$2:$AI$137,MATCH("Above RHWM Not Served with LS "&amp;$F$1,TOCA_previous!$A$2:$AI$2,0),FALSE)*$F$2</f>
        <v>0</v>
      </c>
      <c r="BM32" s="151">
        <f t="shared" si="5"/>
        <v>-3888.8901434479922</v>
      </c>
      <c r="BN32" s="242">
        <f>(VLOOKUP($A32,TOCA_previous!$A$2:$AI$137,MATCH("RHWM 2018",TOCA_previous!$A$2:$AI$2,0),FALSE)*$F$2) - $BJ32</f>
        <v>0</v>
      </c>
      <c r="BO32" s="151">
        <f t="shared" si="6"/>
        <v>0</v>
      </c>
      <c r="BP32" s="243">
        <f t="shared" si="7"/>
        <v>3888.8901434479922</v>
      </c>
      <c r="BQ32" s="237">
        <f t="shared" si="8"/>
        <v>0</v>
      </c>
      <c r="BR32" s="242">
        <f t="shared" si="9"/>
        <v>3888.8901434479922</v>
      </c>
      <c r="BS32" s="151">
        <f>VLOOKUP($A32,TOCA_current!$A$2:$AI$137,MATCH(BS$4,TOCA_current!$A$2:$AI$2,0),FALSE)</f>
        <v>9.8069999999999993E-4</v>
      </c>
      <c r="BT32" s="151">
        <f>VLOOKUP($A32,TOCA_current!$A$2:$AI$137,MATCH(BT$4,TOCA_current!$A$2:$AI$2,0),FALSE)</f>
        <v>9.8069999999999993E-4</v>
      </c>
      <c r="BU32" s="236">
        <f t="shared" si="10"/>
        <v>0</v>
      </c>
      <c r="BV32" s="151">
        <f>VLOOKUP($A32,TOCA_current!A28:BG163,MATCH(BV$4,TOCA_current!$A$2:$BG$2,0),FALSE)</f>
        <v>0</v>
      </c>
      <c r="BW32" s="151">
        <f t="shared" si="11"/>
        <v>0</v>
      </c>
      <c r="BX32" s="151">
        <f t="shared" si="12"/>
        <v>0</v>
      </c>
      <c r="BY32" s="226">
        <f>VLOOKUP($A32,IRD!$A$4:$G$139, 7, FALSE)</f>
        <v>0</v>
      </c>
      <c r="BZ32" s="227">
        <f t="array" ref="BZ32">IF($BU32=0, INDEX(LS_current!$D$4:$AY$138, MATCH('Staging Table'!$A32, LS_current!$B$4:$B$138, 0), MATCH(BZ$4&amp;BZ$5, LS_current!$D$2:$AY$2&amp;LS_current!$D$3:$AY$3, 0)),SUM(VLOOKUP($A32, LS_current!$B$4:$AY$138, LS_current!D$148, FALSE), VLOOKUP($A32, LS_current!$B$4:$AY$138,LS_current!D$148, FALSE))/2)</f>
        <v>59</v>
      </c>
      <c r="CA32" s="227">
        <f t="array" ref="CA32">IF($BU32=0, INDEX(LS_current!$D$4:$AY$138, MATCH('Staging Table'!$A32, LS_current!$B$4:$B$138, 0), MATCH(CA$4&amp;CA$5, LS_current!$D$2:$AY$2&amp;LS_current!$D$3:$AY$3, 0)),SUM(VLOOKUP($A32, LS_current!$B$4:$AY$138, LS_current!E$148, FALSE), VLOOKUP($A32, LS_current!$B$4:$AY$138,LS_current!E$148, FALSE))/2)</f>
        <v>158</v>
      </c>
      <c r="CB32" s="227">
        <f t="array" ref="CB32">IF($BU32=0, INDEX(LS_current!$D$4:$AY$138, MATCH('Staging Table'!$A32, LS_current!$B$4:$B$138, 0), MATCH(CB$4&amp;CB$5, LS_current!$D$2:$AY$2&amp;LS_current!$D$3:$AY$3, 0)),SUM(VLOOKUP($A32, LS_current!$B$4:$AY$138, LS_current!F$148, FALSE), VLOOKUP($A32, LS_current!$B$4:$AY$138,LS_current!F$148, FALSE))/2)</f>
        <v>7</v>
      </c>
      <c r="CC32" s="227">
        <f t="array" ref="CC32">IF($BU32=0, INDEX(LS_current!$D$4:$AY$138, MATCH('Staging Table'!$A32, LS_current!$B$4:$B$138, 0), MATCH(CC$4&amp;CC$5, LS_current!$D$2:$AY$2&amp;LS_current!$D$3:$AY$3, 0)),SUM(VLOOKUP($A32, LS_current!$B$4:$AY$138, LS_current!G$148, FALSE), VLOOKUP($A32, LS_current!$B$4:$AY$138,LS_current!G$148, FALSE))/2)</f>
        <v>241</v>
      </c>
      <c r="CD32" s="227">
        <f t="array" ref="CD32">IF($BU32=0, INDEX(LS_current!$D$4:$AY$138, MATCH('Staging Table'!$A32, LS_current!$B$4:$B$138, 0), MATCH(CD$4&amp;CD$5, LS_current!$D$2:$AY$2&amp;LS_current!$D$3:$AY$3, 0)),SUM(VLOOKUP($A32, LS_current!$B$4:$AY$138, LS_current!H$148, FALSE), VLOOKUP($A32, LS_current!$B$4:$AY$138,LS_current!H$148, FALSE))/2)</f>
        <v>250</v>
      </c>
      <c r="CE32" s="227">
        <f t="array" ref="CE32">IF($BU32=0, INDEX(LS_current!$D$4:$AY$138, MATCH('Staging Table'!$A32, LS_current!$B$4:$B$138, 0), MATCH(CE$4&amp;CE$5, LS_current!$D$2:$AY$2&amp;LS_current!$D$3:$AY$3, 0)),SUM(VLOOKUP($A32, LS_current!$B$4:$AY$138, LS_current!I$148, FALSE), VLOOKUP($A32, LS_current!$B$4:$AY$138,LS_current!I$148, FALSE))/2)</f>
        <v>536</v>
      </c>
      <c r="CF32" s="227">
        <f t="array" ref="CF32">IF($BU32=0, INDEX(LS_current!$D$4:$AY$138, MATCH('Staging Table'!$A32, LS_current!$B$4:$B$138, 0), MATCH(CF$4&amp;CF$5, LS_current!$D$2:$AY$2&amp;LS_current!$D$3:$AY$3, 0)),SUM(VLOOKUP($A32, LS_current!$B$4:$AY$138, LS_current!J$148, FALSE), VLOOKUP($A32, LS_current!$B$4:$AY$138,LS_current!J$148, FALSE))/2)</f>
        <v>1057</v>
      </c>
      <c r="CG32" s="227">
        <f t="array" ref="CG32">IF($BU32=0, INDEX(LS_current!$D$4:$AY$138, MATCH('Staging Table'!$A32, LS_current!$B$4:$B$138, 0), MATCH(CG$4&amp;CG$5, LS_current!$D$2:$AY$2&amp;LS_current!$D$3:$AY$3, 0)),SUM(VLOOKUP($A32, LS_current!$B$4:$AY$138, LS_current!K$148, FALSE), VLOOKUP($A32, LS_current!$B$4:$AY$138,LS_current!K$148, FALSE))/2)</f>
        <v>892</v>
      </c>
      <c r="CH32" s="227">
        <f t="array" ref="CH32">IF($BU32=0, INDEX(LS_current!$D$4:$AY$138, MATCH('Staging Table'!$A32, LS_current!$B$4:$B$138, 0), MATCH(CH$4&amp;CH$5, LS_current!$D$2:$AY$2&amp;LS_current!$D$3:$AY$3, 0)),SUM(VLOOKUP($A32, LS_current!$B$4:$AY$138, LS_current!L$148, FALSE), VLOOKUP($A32, LS_current!$B$4:$AY$138,LS_current!L$148, FALSE))/2)</f>
        <v>958</v>
      </c>
      <c r="CI32" s="227">
        <f t="array" ref="CI32">IF($BU32=0, INDEX(LS_current!$D$4:$AY$138, MATCH('Staging Table'!$A32, LS_current!$B$4:$B$138, 0), MATCH(CI$4&amp;CI$5, LS_current!$D$2:$AY$2&amp;LS_current!$D$3:$AY$3, 0)),SUM(VLOOKUP($A32, LS_current!$B$4:$AY$138, LS_current!M$148, FALSE), VLOOKUP($A32, LS_current!$B$4:$AY$138,LS_current!M$148, FALSE))/2)</f>
        <v>676</v>
      </c>
      <c r="CJ32" s="227">
        <f t="array" ref="CJ32">IF($BU32=0, INDEX(LS_current!$D$4:$AY$138, MATCH('Staging Table'!$A32, LS_current!$B$4:$B$138, 0), MATCH(CJ$4&amp;CJ$5, LS_current!$D$2:$AY$2&amp;LS_current!$D$3:$AY$3, 0)),SUM(VLOOKUP($A32, LS_current!$B$4:$AY$138, LS_current!N$148, FALSE), VLOOKUP($A32, LS_current!$B$4:$AY$138,LS_current!N$148, FALSE))/2)</f>
        <v>211</v>
      </c>
      <c r="CK32" s="227">
        <f t="array" ref="CK32">IF($BU32=0, INDEX(LS_current!$D$4:$AY$138, MATCH('Staging Table'!$A32, LS_current!$B$4:$B$138, 0), MATCH(CK$4&amp;CK$5, LS_current!$D$2:$AY$2&amp;LS_current!$D$3:$AY$3, 0)),SUM(VLOOKUP($A32, LS_current!$B$4:$AY$138, LS_current!O$148, FALSE), VLOOKUP($A32, LS_current!$B$4:$AY$138,LS_current!O$148, FALSE))/2)</f>
        <v>408</v>
      </c>
      <c r="CL32" s="227">
        <f t="array" ref="CL32">IF($BU32=0, INDEX(LS_current!$D$4:$AY$138, MATCH('Staging Table'!$A32, LS_current!$B$4:$B$138, 0), MATCH(CL$4&amp;CL$5, LS_current!$D$2:$AY$2&amp;LS_current!$D$3:$AY$3, 0)),SUM(VLOOKUP($A32, LS_current!$B$4:$AY$138, LS_current!P$148, FALSE), VLOOKUP($A32, LS_current!$B$4:$AY$138,LS_current!P$148, FALSE))/2)</f>
        <v>563</v>
      </c>
      <c r="CM32" s="227">
        <f t="array" ref="CM32">IF($BU32=0, INDEX(LS_current!$D$4:$AY$138, MATCH('Staging Table'!$A32, LS_current!$B$4:$B$138, 0), MATCH(CM$4&amp;CM$5, LS_current!$D$2:$AY$2&amp;LS_current!$D$3:$AY$3, 0)),SUM(VLOOKUP($A32, LS_current!$B$4:$AY$138, LS_current!Q$148, FALSE), VLOOKUP($A32, LS_current!$B$4:$AY$138,LS_current!Q$148, FALSE))/2)</f>
        <v>375</v>
      </c>
      <c r="CN32" s="227">
        <f t="array" ref="CN32">IF($BU32=0, INDEX(LS_current!$D$4:$AY$138, MATCH('Staging Table'!$A32, LS_current!$B$4:$B$138, 0), MATCH(CN$4&amp;CN$5, LS_current!$D$2:$AY$2&amp;LS_current!$D$3:$AY$3, 0)),SUM(VLOOKUP($A32, LS_current!$B$4:$AY$138, LS_current!R$148, FALSE), VLOOKUP($A32, LS_current!$B$4:$AY$138,LS_current!R$148, FALSE))/2)</f>
        <v>-949</v>
      </c>
      <c r="CO32" s="227">
        <f t="array" ref="CO32">IF($BU32=0, INDEX(LS_current!$D$4:$AY$138, MATCH('Staging Table'!$A32, LS_current!$B$4:$B$138, 0), MATCH(CO$4&amp;CO$5, LS_current!$D$2:$AY$2&amp;LS_current!$D$3:$AY$3, 0)),SUM(VLOOKUP($A32, LS_current!$B$4:$AY$138, LS_current!S$148, FALSE), VLOOKUP($A32, LS_current!$B$4:$AY$138,LS_current!S$148, FALSE))/2)</f>
        <v>-123</v>
      </c>
      <c r="CP32" s="227">
        <f t="array" ref="CP32">IF($BU32=0, INDEX(LS_current!$D$4:$AY$138, MATCH('Staging Table'!$A32, LS_current!$B$4:$B$138, 0), MATCH(CP$4&amp;CP$5, LS_current!$D$2:$AY$2&amp;LS_current!$D$3:$AY$3, 0)),SUM(VLOOKUP($A32, LS_current!$B$4:$AY$138, LS_current!T$148, FALSE), VLOOKUP($A32, LS_current!$B$4:$AY$138,LS_current!T$148, FALSE))/2)</f>
        <v>-1886</v>
      </c>
      <c r="CQ32" s="227">
        <f t="array" ref="CQ32">IF($BU32=0, INDEX(LS_current!$D$4:$AY$138, MATCH('Staging Table'!$A32, LS_current!$B$4:$B$138, 0), MATCH(CQ$4&amp;CQ$5, LS_current!$D$2:$AY$2&amp;LS_current!$D$3:$AY$3, 0)),SUM(VLOOKUP($A32, LS_current!$B$4:$AY$138, LS_current!U$148, FALSE), VLOOKUP($A32, LS_current!$B$4:$AY$138,LS_current!U$148, FALSE))/2)</f>
        <v>-904</v>
      </c>
      <c r="CR32" s="227">
        <f t="array" ref="CR32">IF($BU32=0, INDEX(LS_current!$D$4:$AY$138, MATCH('Staging Table'!$A32, LS_current!$B$4:$B$138, 0), MATCH(CR$4&amp;CR$5, LS_current!$D$2:$AY$2&amp;LS_current!$D$3:$AY$3, 0)),SUM(VLOOKUP($A32, LS_current!$B$4:$AY$138, LS_current!V$148, FALSE), VLOOKUP($A32, LS_current!$B$4:$AY$138,LS_current!V$148, FALSE))/2)</f>
        <v>-1111</v>
      </c>
      <c r="CS32" s="227">
        <f t="array" ref="CS32">IF($BU32=0, INDEX(LS_current!$D$4:$AY$138, MATCH('Staging Table'!$A32, LS_current!$B$4:$B$138, 0), MATCH(CS$4&amp;CS$5, LS_current!$D$2:$AY$2&amp;LS_current!$D$3:$AY$3, 0)),SUM(VLOOKUP($A32, LS_current!$B$4:$AY$138, LS_current!W$148, FALSE), VLOOKUP($A32, LS_current!$B$4:$AY$138,LS_current!W$148, FALSE))/2)</f>
        <v>-43</v>
      </c>
      <c r="CT32" s="227">
        <f t="array" ref="CT32">IF($BU32=0, INDEX(LS_current!$D$4:$AY$138, MATCH('Staging Table'!$A32, LS_current!$B$4:$B$138, 0), MATCH(CT$4&amp;CT$5, LS_current!$D$2:$AY$2&amp;LS_current!$D$3:$AY$3, 0)),SUM(VLOOKUP($A32, LS_current!$B$4:$AY$138, LS_current!X$148, FALSE), VLOOKUP($A32, LS_current!$B$4:$AY$138,LS_current!X$148, FALSE))/2)</f>
        <v>-990</v>
      </c>
      <c r="CU32" s="227">
        <f t="array" ref="CU32">IF($BU32=0, INDEX(LS_current!$D$4:$AY$138, MATCH('Staging Table'!$A32, LS_current!$B$4:$B$138, 0), MATCH(CU$4&amp;CU$5, LS_current!$D$2:$AY$2&amp;LS_current!$D$3:$AY$3, 0)),SUM(VLOOKUP($A32, LS_current!$B$4:$AY$138, LS_current!Y$148, FALSE), VLOOKUP($A32, LS_current!$B$4:$AY$138,LS_current!Y$148, FALSE))/2)</f>
        <v>-16</v>
      </c>
      <c r="CV32" s="227">
        <f t="array" ref="CV32">IF($BU32=0, INDEX(LS_current!$D$4:$AY$138, MATCH('Staging Table'!$A32, LS_current!$B$4:$B$138, 0), MATCH(CV$4&amp;CV$5, LS_current!$D$2:$AY$2&amp;LS_current!$D$3:$AY$3, 0)),SUM(VLOOKUP($A32, LS_current!$B$4:$AY$138, LS_current!Z$148, FALSE), VLOOKUP($A32, LS_current!$B$4:$AY$138,LS_current!Z$148, FALSE))/2)</f>
        <v>-536</v>
      </c>
      <c r="CW32" s="227">
        <f t="array" ref="CW32">IF($BU32=0, INDEX(LS_current!$D$4:$AY$138, MATCH('Staging Table'!$A32, LS_current!$B$4:$B$138, 0), MATCH(CW$4&amp;CW$5, LS_current!$D$2:$AY$2&amp;LS_current!$D$3:$AY$3, 0)),SUM(VLOOKUP($A32, LS_current!$B$4:$AY$138, LS_current!AA$148, FALSE), VLOOKUP($A32, LS_current!$B$4:$AY$138,LS_current!AA$148, FALSE))/2)</f>
        <v>-130</v>
      </c>
      <c r="CX32" s="229">
        <f t="array" ref="CX32">INDEX(Demand_current!$D$4:$AY$138, MATCH($A32, Demand_current!$B$4:$B$138, 0), MATCH(CX$4&amp;CX$5,Demand_current!$D$2:$AY$2&amp;Demand_current!$D$3:$AY$3, 0))/1000</f>
        <v>0.41</v>
      </c>
      <c r="CY32" s="229">
        <f t="array" ref="CY32">INDEX(Demand_current!$D$4:$AY$138, MATCH($A32, Demand_current!$B$4:$B$138, 0), MATCH(CY$4&amp;CY$5,Demand_current!$D$2:$AY$2&amp;Demand_current!$D$3:$AY$3, 0))/1000</f>
        <v>0</v>
      </c>
      <c r="CZ32" s="229">
        <f t="array" ref="CZ32">INDEX(Demand_current!$D$4:$AY$138, MATCH($A32, Demand_current!$B$4:$B$138, 0), MATCH(CZ$4&amp;CZ$5,Demand_current!$D$2:$AY$2&amp;Demand_current!$D$3:$AY$3, 0))/1000</f>
        <v>1.617</v>
      </c>
      <c r="DA32" s="229">
        <f t="array" ref="DA32">INDEX(Demand_current!$D$4:$AY$138, MATCH($A32, Demand_current!$B$4:$B$138, 0), MATCH(DA$4&amp;DA$5,Demand_current!$D$2:$AY$2&amp;Demand_current!$D$3:$AY$3, 0))/1000</f>
        <v>1.1950000000000001</v>
      </c>
      <c r="DB32" s="229">
        <f t="array" ref="DB32">INDEX(Demand_current!$D$4:$AY$138, MATCH($A32, Demand_current!$B$4:$B$138, 0), MATCH(DB$4&amp;DB$5,Demand_current!$D$2:$AY$2&amp;Demand_current!$D$3:$AY$3, 0))/1000</f>
        <v>0.45600000000000002</v>
      </c>
      <c r="DC32" s="229">
        <f t="array" ref="DC32">INDEX(Demand_current!$D$4:$AY$138, MATCH($A32, Demand_current!$B$4:$B$138, 0), MATCH(DC$4&amp;DC$5,Demand_current!$D$2:$AY$2&amp;Demand_current!$D$3:$AY$3, 0))/1000</f>
        <v>0.91900000000000004</v>
      </c>
      <c r="DD32" s="229">
        <f t="array" ref="DD32">INDEX(Demand_current!$D$4:$AY$138, MATCH($A32, Demand_current!$B$4:$B$138, 0), MATCH(DD$4&amp;DD$5,Demand_current!$D$2:$AY$2&amp;Demand_current!$D$3:$AY$3, 0))/1000</f>
        <v>0.58299999999999996</v>
      </c>
      <c r="DE32" s="229">
        <f t="array" ref="DE32">INDEX(Demand_current!$D$4:$AY$138, MATCH($A32, Demand_current!$B$4:$B$138, 0), MATCH(DE$4&amp;DE$5,Demand_current!$D$2:$AY$2&amp;Demand_current!$D$3:$AY$3, 0))/1000</f>
        <v>0.81200000000000006</v>
      </c>
      <c r="DF32" s="229">
        <f t="array" ref="DF32">INDEX(Demand_current!$D$4:$AY$138, MATCH($A32, Demand_current!$B$4:$B$138, 0), MATCH(DF$4&amp;DF$5,Demand_current!$D$2:$AY$2&amp;Demand_current!$D$3:$AY$3, 0))/1000</f>
        <v>0.85099999999999998</v>
      </c>
      <c r="DG32" s="229">
        <f t="array" ref="DG32">INDEX(Demand_current!$D$4:$AY$138, MATCH($A32, Demand_current!$B$4:$B$138, 0), MATCH(DG$4&amp;DG$5,Demand_current!$D$2:$AY$2&amp;Demand_current!$D$3:$AY$3, 0))/1000</f>
        <v>1.0129999999999999</v>
      </c>
      <c r="DH32" s="229">
        <f t="array" ref="DH32">INDEX(Demand_current!$D$4:$AY$138, MATCH($A32, Demand_current!$B$4:$B$138, 0), MATCH(DH$4&amp;DH$5,Demand_current!$D$2:$AY$2&amp;Demand_current!$D$3:$AY$3, 0))/1000</f>
        <v>1.175</v>
      </c>
      <c r="DI32" s="229">
        <f t="array" ref="DI32">INDEX(Demand_current!$D$4:$AY$138, MATCH($A32, Demand_current!$B$4:$B$138, 0), MATCH(DI$4&amp;DI$5,Demand_current!$D$2:$AY$2&amp;Demand_current!$D$3:$AY$3, 0))/1000</f>
        <v>0.85399999999999998</v>
      </c>
      <c r="DJ32" s="227">
        <f>$BT32*(VLOOKUP(DJ$4, Rates_current!$G$6:$Q$29, 10, FALSE)+VLOOKUP(DJ$4, Rates_current!$G$6:$Q$29, 11, FALSE))</f>
        <v>4528.2029741171991</v>
      </c>
      <c r="DK32" s="227">
        <f>$BT32*(VLOOKUP(DK$4, Rates_current!$G$6:$Q$29, 10, FALSE)+VLOOKUP(DK$4, Rates_current!$G$6:$Q$29, 11, FALSE))</f>
        <v>5752.2303774872998</v>
      </c>
      <c r="DL32" s="227">
        <f>$BT32*(VLOOKUP(DL$4, Rates_current!$G$6:$Q$29, 10, FALSE)+VLOOKUP(DL$4, Rates_current!$G$6:$Q$29, 11, FALSE))</f>
        <v>5682.7644122171996</v>
      </c>
      <c r="DM32" s="227">
        <f>$BT32*(VLOOKUP(DM$4, Rates_current!$G$6:$Q$29, 10, FALSE)+VLOOKUP(DM$4, Rates_current!$G$6:$Q$29, 11, FALSE))</f>
        <v>4736.9302586171998</v>
      </c>
      <c r="DN32" s="227">
        <f>$BT32*(VLOOKUP(DN$4, Rates_current!$G$6:$Q$29, 10, FALSE)+VLOOKUP(DN$4, Rates_current!$G$6:$Q$29, 11, FALSE))</f>
        <v>4291.1673957599996</v>
      </c>
      <c r="DO32" s="227">
        <f>$BT32*(VLOOKUP(DO$4, Rates_current!$G$6:$Q$29, 10, FALSE)+VLOOKUP(DO$4, Rates_current!$G$6:$Q$29, 11, FALSE))</f>
        <v>4773.1413714158998</v>
      </c>
      <c r="DP32" s="227">
        <f>$BT32*(VLOOKUP(DP$4, Rates_current!$G$6:$Q$29, 10, FALSE)+VLOOKUP(DP$4, Rates_current!$G$6:$Q$29, 11, FALSE))</f>
        <v>3886.2968553359997</v>
      </c>
      <c r="DQ32" s="227">
        <f>$BT32*(VLOOKUP(DQ$4, Rates_current!$G$6:$Q$29, 10, FALSE)+VLOOKUP(DQ$4, Rates_current!$G$6:$Q$29, 11, FALSE))</f>
        <v>5241.2508204672004</v>
      </c>
      <c r="DR32" s="227">
        <f>$BT32*(VLOOKUP(DR$4, Rates_current!$G$6:$Q$29, 10, FALSE)+VLOOKUP(DR$4, Rates_current!$G$6:$Q$29, 11, FALSE))</f>
        <v>6687.4795819860001</v>
      </c>
      <c r="DS32" s="227">
        <f>$BT32*(VLOOKUP(DS$4, Rates_current!$G$6:$Q$29, 10, FALSE)+VLOOKUP(DS$4, Rates_current!$G$6:$Q$29, 11, FALSE))</f>
        <v>5243.1960389172</v>
      </c>
      <c r="DT32" s="227">
        <f>$BT32*(VLOOKUP(DT$4, Rates_current!$G$6:$Q$29, 10, FALSE)+VLOOKUP(DT$4, Rates_current!$G$6:$Q$29, 11, FALSE))</f>
        <v>5105.8288995672001</v>
      </c>
      <c r="DU32" s="227">
        <f>$BT32*(VLOOKUP(DU$4, Rates_current!$G$6:$Q$29, 10, FALSE)+VLOOKUP(DU$4, Rates_current!$G$6:$Q$29, 11, FALSE))</f>
        <v>4583.9482020360001</v>
      </c>
      <c r="DV32" s="229">
        <f>IF(D32=0,IF(C32=0,MAX(0,DY32 - (VLOOKUP($A32,TOCA_current!$A$2:$AI$137,MATCH("RHWM 2020",TOCA_current!$A$2:$AI$2,0),FALSE)*$BT$2)), 0),0)</f>
        <v>0</v>
      </c>
      <c r="DW32" s="266">
        <f>VLOOKUP($A32,REP_current!$A$1:$D$135,MATCH("FY "&amp;$BT$1&amp; " Total Refund",REP_current!$A$1:$D$1,0),0)</f>
        <v>0</v>
      </c>
      <c r="DX32" s="295">
        <f>MIN(VLOOKUP($A32,TOCA_current!$A$2:$AI$137,MATCH("TRL - NLSL - Existing Resource "&amp;$BT$1,TOCA_current!$A$2:$AI$2,0),FALSE)*$BT$2, VLOOKUP($A32,TOCA_current!$A$2:$AI$137,MATCH("RHWM 2020",TOCA_current!$A$2:$AI$2,0),FALSE)*$BT$2)</f>
        <v>60512.976000000002</v>
      </c>
      <c r="DY32" s="240">
        <f>SUM(BZ32:CW32)+(BT32*RT1SC!$C$4*$BT$2)</f>
        <v>60215.439459225592</v>
      </c>
      <c r="DZ32" s="271">
        <f>VLOOKUP($A32,TOCA_current!$A$2:$AI$137,MATCH("Above RHWM Not Served with LS "&amp;$BT$1,TOCA_current!$A$2:$AI$2,0),FALSE)*$BT$2</f>
        <v>0</v>
      </c>
      <c r="EA32" s="244">
        <f t="shared" si="13"/>
        <v>-297.53654077441024</v>
      </c>
      <c r="EB32" s="295">
        <f>(VLOOKUP($A32,TOCA_current!$A$2:$AI$137,MATCH("RHWM 2020",TOCA_current!$A$2:$AI$2,0),FALSE)*$BT$2) - $DX32</f>
        <v>4471.0559999999969</v>
      </c>
      <c r="EC32" s="240">
        <f t="shared" si="14"/>
        <v>0</v>
      </c>
      <c r="ED32" s="240">
        <f t="shared" si="15"/>
        <v>297.53654077441024</v>
      </c>
      <c r="EE32" s="240">
        <f t="shared" si="16"/>
        <v>0</v>
      </c>
      <c r="EF32" s="240">
        <f t="shared" si="17"/>
        <v>297.53654077441024</v>
      </c>
    </row>
    <row r="33" spans="1:136">
      <c r="A33" s="166">
        <v>10081</v>
      </c>
      <c r="B33" s="167" t="s">
        <v>34</v>
      </c>
      <c r="C33" s="240">
        <v>0</v>
      </c>
      <c r="D33" s="240">
        <v>0</v>
      </c>
      <c r="E33" s="150">
        <f>VLOOKUP($A33,TOCA_previous!$A$2:$AI$137,MATCH(E$4,TOCA_previous!$A$2:$AI$2,0),FALSE)</f>
        <v>1.3960000000000001E-3</v>
      </c>
      <c r="F33" s="151">
        <f>VLOOKUP($A33,TOCA_previous!$A$2:$AI$137,MATCH(F$4,TOCA_previous!$A$2:$AI$2,0),FALSE)</f>
        <v>1.3960000000000001E-3</v>
      </c>
      <c r="G33" s="151">
        <f t="shared" si="2"/>
        <v>0</v>
      </c>
      <c r="H33" s="151">
        <f>VLOOKUP($A33,TOCA_previous!$A$2:$AI$137,MATCH(H$4,TOCA_previous!$A$2:$AI$2,0),FALSE)</f>
        <v>0</v>
      </c>
      <c r="I33" s="151">
        <f t="shared" si="3"/>
        <v>0</v>
      </c>
      <c r="J33" s="151">
        <f t="shared" si="4"/>
        <v>0</v>
      </c>
      <c r="K33" s="226">
        <f>VLOOKUP(A33, IRD!$A$5:$C$139, 3, FALSE)</f>
        <v>0</v>
      </c>
      <c r="L33" s="227">
        <f t="array" ref="L33">IF($G33=0, INDEX(LS_previous!$D$4:$AY$138, MATCH('Staging Table'!$A33, LS_previous!$B$4:$B$138, 0), MATCH(L$4&amp;L$5, LS_previous!$D$2:$AY$2&amp;LS_previous!$D$3:$AY$3, 0)),SUM(VLOOKUP($A33, LS_previous!$B$4:$AY$138, LS_previous!D$149, FALSE), VLOOKUP('Staging Table'!$A33, LS_previous!$B$4:$AY$138,LS_previous!AB$149, FALSE))/2)</f>
        <v>-703</v>
      </c>
      <c r="M33" s="227">
        <f t="array" ref="M33">IF($G33=0, INDEX(LS_previous!$D$4:$AY$138, MATCH('Staging Table'!$A33, LS_previous!$B$4:$B$138, 0), MATCH(M$4&amp;M$5, LS_previous!$D$2:$AY$2&amp;LS_previous!$D$3:$AY$3, 0)),SUM(VLOOKUP($A33, LS_previous!$B$4:$AY$138, LS_previous!E$149, FALSE), VLOOKUP('Staging Table'!$A33, LS_previous!$B$4:$AY$138,LS_previous!AC$149, FALSE))/2)</f>
        <v>-521</v>
      </c>
      <c r="N33" s="227">
        <f t="array" ref="N33">IF($G33=0, INDEX(LS_previous!$D$4:$AY$138, MATCH('Staging Table'!$A33, LS_previous!$B$4:$B$138, 0), MATCH(N$4&amp;N$5, LS_previous!$D$2:$AY$2&amp;LS_previous!$D$3:$AY$3, 0)),SUM(VLOOKUP($A33, LS_previous!$B$4:$AY$138, LS_previous!F$149, FALSE), VLOOKUP('Staging Table'!$A33, LS_previous!$B$4:$AY$138,LS_previous!AD$149, FALSE))/2)</f>
        <v>-286</v>
      </c>
      <c r="O33" s="227">
        <f t="array" ref="O33">IF($G33=0, INDEX(LS_previous!$D$4:$AY$138, MATCH('Staging Table'!$A33, LS_previous!$B$4:$B$138, 0), MATCH(O$4&amp;O$5, LS_previous!$D$2:$AY$2&amp;LS_previous!$D$3:$AY$3, 0)),SUM(VLOOKUP($A33, LS_previous!$B$4:$AY$138, LS_previous!G$149, FALSE), VLOOKUP('Staging Table'!$A33, LS_previous!$B$4:$AY$138,LS_previous!AE$149, FALSE))/2)</f>
        <v>25</v>
      </c>
      <c r="P33" s="227">
        <f t="array" ref="P33">IF($G33=0, INDEX(LS_previous!$D$4:$AY$138, MATCH('Staging Table'!$A33, LS_previous!$B$4:$B$138, 0), MATCH(P$4&amp;P$5, LS_previous!$D$2:$AY$2&amp;LS_previous!$D$3:$AY$3, 0)),SUM(VLOOKUP($A33, LS_previous!$B$4:$AY$138, LS_previous!H$149, FALSE), VLOOKUP('Staging Table'!$A33, LS_previous!$B$4:$AY$138,LS_previous!AF$149, FALSE))/2)</f>
        <v>956</v>
      </c>
      <c r="Q33" s="227">
        <f t="array" ref="Q33">IF($G33=0, INDEX(LS_previous!$D$4:$AY$138, MATCH('Staging Table'!$A33, LS_previous!$B$4:$B$138, 0), MATCH(Q$4&amp;Q$5, LS_previous!$D$2:$AY$2&amp;LS_previous!$D$3:$AY$3, 0)),SUM(VLOOKUP($A33, LS_previous!$B$4:$AY$138, LS_previous!I$149, FALSE), VLOOKUP('Staging Table'!$A33, LS_previous!$B$4:$AY$138,LS_previous!AG$149, FALSE))/2)</f>
        <v>1196</v>
      </c>
      <c r="R33" s="227">
        <f t="array" ref="R33">IF($G33=0, INDEX(LS_previous!$D$4:$AY$138, MATCH('Staging Table'!$A33, LS_previous!$B$4:$B$138, 0), MATCH(R$4&amp;R$5, LS_previous!$D$2:$AY$2&amp;LS_previous!$D$3:$AY$3, 0)),SUM(VLOOKUP($A33, LS_previous!$B$4:$AY$138, LS_previous!J$149, FALSE), VLOOKUP('Staging Table'!$A33, LS_previous!$B$4:$AY$138,LS_previous!AH$149, FALSE))/2)</f>
        <v>1871</v>
      </c>
      <c r="S33" s="227">
        <f t="array" ref="S33">IF($G33=0, INDEX(LS_previous!$D$4:$AY$138, MATCH('Staging Table'!$A33, LS_previous!$B$4:$B$138, 0), MATCH(S$4&amp;S$5, LS_previous!$D$2:$AY$2&amp;LS_previous!$D$3:$AY$3, 0)),SUM(VLOOKUP($A33, LS_previous!$B$4:$AY$138, LS_previous!K$149, FALSE), VLOOKUP('Staging Table'!$A33, LS_previous!$B$4:$AY$138,LS_previous!AI$149, FALSE))/2)</f>
        <v>1369</v>
      </c>
      <c r="T33" s="227">
        <f t="array" ref="T33">IF($G33=0, INDEX(LS_previous!$D$4:$AY$138, MATCH('Staging Table'!$A33, LS_previous!$B$4:$B$138, 0), MATCH(T$4&amp;T$5, LS_previous!$D$2:$AY$2&amp;LS_previous!$D$3:$AY$3, 0)),SUM(VLOOKUP($A33, LS_previous!$B$4:$AY$138, LS_previous!L$149, FALSE), VLOOKUP('Staging Table'!$A33, LS_previous!$B$4:$AY$138,LS_previous!AJ$149, FALSE))/2)</f>
        <v>1579</v>
      </c>
      <c r="U33" s="227">
        <f t="array" ref="U33">IF($G33=0, INDEX(LS_previous!$D$4:$AY$138, MATCH('Staging Table'!$A33, LS_previous!$B$4:$B$138, 0), MATCH(U$4&amp;U$5, LS_previous!$D$2:$AY$2&amp;LS_previous!$D$3:$AY$3, 0)),SUM(VLOOKUP($A33, LS_previous!$B$4:$AY$138, LS_previous!M$149, FALSE), VLOOKUP('Staging Table'!$A33, LS_previous!$B$4:$AY$138,LS_previous!AK$149, FALSE))/2)</f>
        <v>1016</v>
      </c>
      <c r="V33" s="227">
        <f t="array" ref="V33">IF($G33=0, INDEX(LS_previous!$D$4:$AY$138, MATCH('Staging Table'!$A33, LS_previous!$B$4:$B$138, 0), MATCH(V$4&amp;V$5, LS_previous!$D$2:$AY$2&amp;LS_previous!$D$3:$AY$3, 0)),SUM(VLOOKUP($A33, LS_previous!$B$4:$AY$138, LS_previous!N$149, FALSE), VLOOKUP('Staging Table'!$A33, LS_previous!$B$4:$AY$138,LS_previous!AL$149, FALSE))/2)</f>
        <v>-149</v>
      </c>
      <c r="W33" s="227">
        <f t="array" ref="W33">IF($G33=0, INDEX(LS_previous!$D$4:$AY$138, MATCH('Staging Table'!$A33, LS_previous!$B$4:$B$138, 0), MATCH(W$4&amp;W$5, LS_previous!$D$2:$AY$2&amp;LS_previous!$D$3:$AY$3, 0)),SUM(VLOOKUP($A33, LS_previous!$B$4:$AY$138, LS_previous!O$149, FALSE), VLOOKUP('Staging Table'!$A33, LS_previous!$B$4:$AY$138,LS_previous!AM$149, FALSE))/2)</f>
        <v>116</v>
      </c>
      <c r="X33" s="227">
        <f t="array" ref="X33">IF($G33=0, INDEX(LS_previous!$D$4:$AY$138, MATCH('Staging Table'!$A33, LS_previous!$B$4:$B$138, 0), MATCH(X$4&amp;X$5, LS_previous!$D$2:$AY$2&amp;LS_previous!$D$3:$AY$3, 0)),SUM(VLOOKUP($A33, LS_previous!$B$4:$AY$138, LS_previous!P$149, FALSE), VLOOKUP('Staging Table'!$A33, LS_previous!$B$4:$AY$138,LS_previous!AN$149, FALSE))/2)</f>
        <v>-83</v>
      </c>
      <c r="Y33" s="227">
        <f t="array" ref="Y33">IF($G33=0, INDEX(LS_previous!$D$4:$AY$138, MATCH('Staging Table'!$A33, LS_previous!$B$4:$B$138, 0), MATCH(Y$4&amp;Y$5, LS_previous!$D$2:$AY$2&amp;LS_previous!$D$3:$AY$3, 0)),SUM(VLOOKUP($A33, LS_previous!$B$4:$AY$138, LS_previous!Q$149, FALSE), VLOOKUP('Staging Table'!$A33, LS_previous!$B$4:$AY$138,LS_previous!AO$149, FALSE))/2)</f>
        <v>-49</v>
      </c>
      <c r="Z33" s="227">
        <f t="array" ref="Z33">IF($G33=0, INDEX(LS_previous!$D$4:$AY$138, MATCH('Staging Table'!$A33, LS_previous!$B$4:$B$138, 0), MATCH(Z$4&amp;Z$5, LS_previous!$D$2:$AY$2&amp;LS_previous!$D$3:$AY$3, 0)),SUM(VLOOKUP($A33, LS_previous!$B$4:$AY$138, LS_previous!R$149, FALSE), VLOOKUP('Staging Table'!$A33, LS_previous!$B$4:$AY$138,LS_previous!AP$149, FALSE))/2)</f>
        <v>-2603</v>
      </c>
      <c r="AA33" s="227">
        <f t="array" ref="AA33">IF($G33=0, INDEX(LS_previous!$D$4:$AY$138, MATCH('Staging Table'!$A33, LS_previous!$B$4:$B$138, 0), MATCH(AA$4&amp;AA$5, LS_previous!$D$2:$AY$2&amp;LS_previous!$D$3:$AY$3, 0)),SUM(VLOOKUP($A33, LS_previous!$B$4:$AY$138, LS_previous!S$149, FALSE), VLOOKUP('Staging Table'!$A33, LS_previous!$B$4:$AY$138,LS_previous!AQ$149, FALSE))/2)</f>
        <v>-1415</v>
      </c>
      <c r="AB33" s="227">
        <f t="array" ref="AB33">IF($G33=0, INDEX(LS_previous!$D$4:$AY$138, MATCH('Staging Table'!$A33, LS_previous!$B$4:$B$138, 0), MATCH(AB$4&amp;AB$5, LS_previous!$D$2:$AY$2&amp;LS_previous!$D$3:$AY$3, 0)),SUM(VLOOKUP($A33, LS_previous!$B$4:$AY$138, LS_previous!T$149, FALSE), VLOOKUP('Staging Table'!$A33, LS_previous!$B$4:$AY$138,LS_previous!AR$149, FALSE))/2)</f>
        <v>-1689</v>
      </c>
      <c r="AC33" s="227">
        <f t="array" ref="AC33">IF($G33=0, INDEX(LS_previous!$D$4:$AY$138, MATCH('Staging Table'!$A33, LS_previous!$B$4:$B$138, 0), MATCH(AC$4&amp;AC$5, LS_previous!$D$2:$AY$2&amp;LS_previous!$D$3:$AY$3, 0)),SUM(VLOOKUP($A33, LS_previous!$B$4:$AY$138, LS_previous!U$149, FALSE), VLOOKUP('Staging Table'!$A33, LS_previous!$B$4:$AY$138,LS_previous!AS$149, FALSE))/2)</f>
        <v>-1211</v>
      </c>
      <c r="AD33" s="227">
        <f t="array" ref="AD33">IF($G33=0, INDEX(LS_previous!$D$4:$AY$138, MATCH('Staging Table'!$A33, LS_previous!$B$4:$B$138, 0), MATCH(AD$4&amp;AD$5, LS_previous!$D$2:$AY$2&amp;LS_previous!$D$3:$AY$3, 0)),SUM(VLOOKUP($A33, LS_previous!$B$4:$AY$138, LS_previous!V$149, FALSE), VLOOKUP('Staging Table'!$A33, LS_previous!$B$4:$AY$138,LS_previous!AT$149, FALSE))/2)</f>
        <v>182</v>
      </c>
      <c r="AE33" s="227">
        <f t="array" ref="AE33">IF($G33=0, INDEX(LS_previous!$D$4:$AY$138, MATCH('Staging Table'!$A33, LS_previous!$B$4:$B$138, 0), MATCH(AE$4&amp;AE$5, LS_previous!$D$2:$AY$2&amp;LS_previous!$D$3:$AY$3, 0)),SUM(VLOOKUP($A33, LS_previous!$B$4:$AY$138, LS_previous!W$149, FALSE), VLOOKUP('Staging Table'!$A33, LS_previous!$B$4:$AY$138,LS_previous!AU$149, FALSE))/2)</f>
        <v>10</v>
      </c>
      <c r="AF33" s="227">
        <f t="array" ref="AF33">IF($G33=0, INDEX(LS_previous!$D$4:$AY$138, MATCH('Staging Table'!$A33, LS_previous!$B$4:$B$138, 0), MATCH(AF$4&amp;AF$5, LS_previous!$D$2:$AY$2&amp;LS_previous!$D$3:$AY$3, 0)),SUM(VLOOKUP($A33, LS_previous!$B$4:$AY$138, LS_previous!X$149, FALSE), VLOOKUP('Staging Table'!$A33, LS_previous!$B$4:$AY$138,LS_previous!AV$149, FALSE))/2)</f>
        <v>-360</v>
      </c>
      <c r="AG33" s="227">
        <f t="array" ref="AG33">IF($G33=0, INDEX(LS_previous!$D$4:$AY$138, MATCH('Staging Table'!$A33, LS_previous!$B$4:$B$138, 0), MATCH(AG$4&amp;AG$5, LS_previous!$D$2:$AY$2&amp;LS_previous!$D$3:$AY$3, 0)),SUM(VLOOKUP($A33, LS_previous!$B$4:$AY$138, LS_previous!Y$149, FALSE), VLOOKUP('Staging Table'!$A33, LS_previous!$B$4:$AY$138,LS_previous!AW$149, FALSE))/2)</f>
        <v>-205</v>
      </c>
      <c r="AH33" s="227">
        <f t="array" ref="AH33">IF($G33=0, INDEX(LS_previous!$D$4:$AY$138, MATCH('Staging Table'!$A33, LS_previous!$B$4:$B$138, 0), MATCH(AH$4&amp;AH$5, LS_previous!$D$2:$AY$2&amp;LS_previous!$D$3:$AY$3, 0)),SUM(VLOOKUP($A33, LS_previous!$B$4:$AY$138, LS_previous!Z$149, FALSE), VLOOKUP('Staging Table'!$A33, LS_previous!$B$4:$AY$138,LS_previous!AX$149, FALSE))/2)</f>
        <v>-417</v>
      </c>
      <c r="AI33" s="227">
        <f t="array" ref="AI33">IF($G33=0, INDEX(LS_previous!$D$4:$AY$138, MATCH('Staging Table'!$A33, LS_previous!$B$4:$B$138, 0), MATCH(AI$4&amp;AI$5, LS_previous!$D$2:$AY$2&amp;LS_previous!$D$3:$AY$3, 0)),SUM(VLOOKUP($A33, LS_previous!$B$4:$AY$138, LS_previous!AA$149, FALSE), VLOOKUP('Staging Table'!$A33, LS_previous!$B$4:$AY$138,LS_previous!AY$149, FALSE))/2)</f>
        <v>-371</v>
      </c>
      <c r="AJ33" s="424">
        <f t="array" ref="AJ33">INDEX(Demand_previous!$D$4:$AY$138, MATCH('Staging Table'!$A33, Demand_previous!$B$4:$B$138, 0), MATCH(AJ$4&amp;AJ$5,Demand_previous!$D$2:$AY$2&amp;Demand_previous!$D$3:$AY$3, 0))/1000</f>
        <v>1.3129999999999999</v>
      </c>
      <c r="AK33" s="424">
        <f t="array" ref="AK33">INDEX(Demand_previous!$D$4:$AY$138, MATCH('Staging Table'!$A33, Demand_previous!$B$4:$B$138, 0), MATCH(AK$4&amp;AK$5,Demand_previous!$D$2:$AY$2&amp;Demand_previous!$D$3:$AY$3, 0))/1000</f>
        <v>1.4419999999999999</v>
      </c>
      <c r="AL33" s="424">
        <f t="array" ref="AL33">INDEX(Demand_previous!$D$4:$AY$138, MATCH('Staging Table'!$A33, Demand_previous!$B$4:$B$138, 0), MATCH(AL$4&amp;AL$5,Demand_previous!$D$2:$AY$2&amp;Demand_previous!$D$3:$AY$3, 0))/1000</f>
        <v>3.7280000000000002</v>
      </c>
      <c r="AM33" s="424">
        <f t="array" ref="AM33">INDEX(Demand_previous!$D$4:$AY$138, MATCH('Staging Table'!$A33, Demand_previous!$B$4:$B$138, 0), MATCH(AM$4&amp;AM$5,Demand_previous!$D$2:$AY$2&amp;Demand_previous!$D$3:$AY$3, 0))/1000</f>
        <v>2.706</v>
      </c>
      <c r="AN33" s="424">
        <f t="array" ref="AN33">INDEX(Demand_previous!$D$4:$AY$138, MATCH('Staging Table'!$A33, Demand_previous!$B$4:$B$138, 0), MATCH(AN$4&amp;AN$5,Demand_previous!$D$2:$AY$2&amp;Demand_previous!$D$3:$AY$3, 0))/1000</f>
        <v>2.105</v>
      </c>
      <c r="AO33" s="424">
        <f t="array" ref="AO33">INDEX(Demand_previous!$D$4:$AY$138, MATCH('Staging Table'!$A33, Demand_previous!$B$4:$B$138, 0), MATCH(AO$4&amp;AO$5,Demand_previous!$D$2:$AY$2&amp;Demand_previous!$D$3:$AY$3, 0))/1000</f>
        <v>4.2149999999999999</v>
      </c>
      <c r="AP33" s="424">
        <f t="array" ref="AP33">INDEX(Demand_previous!$D$4:$AY$138, MATCH('Staging Table'!$A33, Demand_previous!$B$4:$B$138, 0), MATCH(AP$4&amp;AP$5,Demand_previous!$D$2:$AY$2&amp;Demand_previous!$D$3:$AY$3, 0))/1000</f>
        <v>0.89900000000000002</v>
      </c>
      <c r="AQ33" s="424">
        <f t="array" ref="AQ33">INDEX(Demand_previous!$D$4:$AY$138, MATCH('Staging Table'!$A33, Demand_previous!$B$4:$B$138, 0), MATCH(AQ$4&amp;AQ$5,Demand_previous!$D$2:$AY$2&amp;Demand_previous!$D$3:$AY$3, 0))/1000</f>
        <v>2.1949999999999998</v>
      </c>
      <c r="AR33" s="424">
        <f t="array" ref="AR33">INDEX(Demand_previous!$D$4:$AY$138, MATCH('Staging Table'!$A33, Demand_previous!$B$4:$B$138, 0), MATCH(AR$4&amp;AR$5,Demand_previous!$D$2:$AY$2&amp;Demand_previous!$D$3:$AY$3, 0))/1000</f>
        <v>1.9630000000000001</v>
      </c>
      <c r="AS33" s="424">
        <f t="array" ref="AS33">INDEX(Demand_previous!$D$4:$AY$138, MATCH('Staging Table'!$A33, Demand_previous!$B$4:$B$138, 0), MATCH(AS$4&amp;AS$5,Demand_previous!$D$2:$AY$2&amp;Demand_previous!$D$3:$AY$3, 0))/1000</f>
        <v>2.5619999999999998</v>
      </c>
      <c r="AT33" s="424">
        <f t="array" ref="AT33">INDEX(Demand_previous!$D$4:$AY$138, MATCH('Staging Table'!$A33, Demand_previous!$B$4:$B$138, 0), MATCH(AT$4&amp;AT$5,Demand_previous!$D$2:$AY$2&amp;Demand_previous!$D$3:$AY$3, 0))/1000</f>
        <v>2.6339999999999999</v>
      </c>
      <c r="AU33" s="424">
        <f t="array" ref="AU33">INDEX(Demand_previous!$D$4:$AY$138, MATCH('Staging Table'!$A33, Demand_previous!$B$4:$B$138, 0), MATCH(AU$4&amp;AU$5,Demand_previous!$D$2:$AY$2&amp;Demand_previous!$D$3:$AY$3, 0))/1000</f>
        <v>2.3879999999999999</v>
      </c>
      <c r="AV33" s="227">
        <f>$F33*(VLOOKUP(AV$4, Rates_previous!$G$6:$Q$29, 10, FALSE)+VLOOKUP(AV$4, Rates_previous!$G$6:$Q$29, 11, FALSE))</f>
        <v>6545.6175162957425</v>
      </c>
      <c r="AW33" s="227">
        <f>$F33*(VLOOKUP(AW$4, Rates_previous!$G$6:$Q$29, 10, FALSE)+VLOOKUP(AW$4, Rates_previous!$G$6:$Q$29, 11, FALSE))</f>
        <v>8089.8857568454687</v>
      </c>
      <c r="AX33" s="227">
        <f>$F33*(VLOOKUP(AX$4, Rates_previous!$G$6:$Q$29, 10, FALSE)+VLOOKUP(AX$4, Rates_previous!$G$6:$Q$29, 11, FALSE))</f>
        <v>7992.7359048764902</v>
      </c>
      <c r="AY33" s="227">
        <f>$F33*(VLOOKUP(AY$4, Rates_previous!$G$6:$Q$29, 10, FALSE)+VLOOKUP(AY$4, Rates_previous!$G$6:$Q$29, 11, FALSE))</f>
        <v>6829.0309971633606</v>
      </c>
      <c r="AZ33" s="227">
        <f>$F33*(VLOOKUP(AZ$4, Rates_previous!$G$6:$Q$29, 10, FALSE)+VLOOKUP(AZ$4, Rates_previous!$G$6:$Q$29, 11, FALSE))</f>
        <v>5598.4807826922824</v>
      </c>
      <c r="BA33" s="227">
        <f>$F33*(VLOOKUP(BA$4, Rates_previous!$G$6:$Q$29, 10, FALSE)+VLOOKUP(BA$4, Rates_previous!$G$6:$Q$29, 11, FALSE))</f>
        <v>6628.3978910130772</v>
      </c>
      <c r="BB33" s="227">
        <f>$F33*(VLOOKUP(BB$4, Rates_previous!$G$6:$Q$29, 10, FALSE)+VLOOKUP(BB$4, Rates_previous!$G$6:$Q$29, 11, FALSE))</f>
        <v>6370.854532559104</v>
      </c>
      <c r="BC33" s="227">
        <f>$F33*(VLOOKUP(BC$4, Rates_previous!$G$6:$Q$29, 10, FALSE)+VLOOKUP(BC$4, Rates_previous!$G$6:$Q$29, 11, FALSE))</f>
        <v>9348.7782073597537</v>
      </c>
      <c r="BD33" s="227">
        <f>$F33*(VLOOKUP(BD$4, Rates_previous!$G$6:$Q$29, 10, FALSE)+VLOOKUP(BD$4, Rates_previous!$G$6:$Q$29, 11, FALSE))</f>
        <v>7375.9389143869048</v>
      </c>
      <c r="BE33" s="227">
        <f>$F33*(VLOOKUP(BE$4, Rates_previous!$G$6:$Q$29, 10, FALSE)+VLOOKUP(BE$4, Rates_previous!$G$6:$Q$29, 11, FALSE))</f>
        <v>6476.693470175639</v>
      </c>
      <c r="BF33" s="227">
        <f>$F33*(VLOOKUP(BF$4, Rates_previous!$G$6:$Q$29, 10, FALSE)+VLOOKUP(BF$4, Rates_previous!$G$6:$Q$29, 11, FALSE))</f>
        <v>7173.1972654457086</v>
      </c>
      <c r="BG33" s="227">
        <f>$F33*(VLOOKUP(BG$4, Rates_previous!$G$6:$Q$29, 10, FALSE)+VLOOKUP(BG$4, Rates_previous!$G$6:$Q$29, 11, FALSE))</f>
        <v>6498.6314623169019</v>
      </c>
      <c r="BH33" s="229">
        <f>IF($D33=0,IF(C33=0, MAX(BK33 - (VLOOKUP($A33,TOCA_previous!$A$2:$AI$137,MATCH("RHWM 2018",TOCA_previous!$A$2:$AI$2,0),FALSE)*$F$2*TOCA_previous!C30),0),0), 0)</f>
        <v>0</v>
      </c>
      <c r="BI33" s="266">
        <f>VLOOKUP($A33,REP_previous!$A$1:$D$135,MATCH("FY "&amp;$F$1&amp; " Total Refund",REP_previous!$A$1:$D$1,0),0)</f>
        <v>132336.57605235174</v>
      </c>
      <c r="BJ33" s="241">
        <f>MIN(VLOOKUP($A33,TOCA_previous!$A$2:$AI$137,MATCH("TRL - NLSL - Existing Resource "&amp;$F$1,TOCA_previous!$A$2:$AI$2,0),FALSE)*$F$2,(VLOOKUP($A33,TOCA_previous!$A$2:$AI$137,MATCH("RHWM 2018",TOCA_previous!$A$2:$AI$2,0),FALSE)*$F$2))</f>
        <v>84928.2</v>
      </c>
      <c r="BK33" s="229">
        <f>SUM(L33:AI33)+(F33*RT1SC!$C$3*$F$2)</f>
        <v>83186.243940159999</v>
      </c>
      <c r="BL33" s="241">
        <f>VLOOKUP($A33,TOCA_previous!$A$2:$AI$137,MATCH("Above RHWM Not Served with LS "&amp;$F$1,TOCA_previous!$A$2:$AI$2,0),FALSE)*$F$2</f>
        <v>0</v>
      </c>
      <c r="BM33" s="151">
        <f t="shared" si="5"/>
        <v>-1741.9560598399985</v>
      </c>
      <c r="BN33" s="242">
        <f>(VLOOKUP($A33,TOCA_previous!$A$2:$AI$137,MATCH("RHWM 2018",TOCA_previous!$A$2:$AI$2,0),FALSE)*$F$2) - $BJ33</f>
        <v>5185.9200000000128</v>
      </c>
      <c r="BO33" s="151">
        <f t="shared" si="6"/>
        <v>0</v>
      </c>
      <c r="BP33" s="243">
        <f t="shared" si="7"/>
        <v>1741.9560598399985</v>
      </c>
      <c r="BQ33" s="237">
        <f t="shared" si="8"/>
        <v>0</v>
      </c>
      <c r="BR33" s="242">
        <f t="shared" si="9"/>
        <v>1741.9560598399985</v>
      </c>
      <c r="BS33" s="151">
        <f>VLOOKUP($A33,TOCA_current!$A$2:$AI$137,MATCH(BS$4,TOCA_current!$A$2:$AI$2,0),FALSE)</f>
        <v>1.4805E-3</v>
      </c>
      <c r="BT33" s="151">
        <f>VLOOKUP($A33,TOCA_current!$A$2:$AI$137,MATCH(BT$4,TOCA_current!$A$2:$AI$2,0),FALSE)</f>
        <v>1.4805E-3</v>
      </c>
      <c r="BU33" s="236">
        <f t="shared" si="10"/>
        <v>0</v>
      </c>
      <c r="BV33" s="151">
        <f>VLOOKUP($A33,TOCA_current!A29:BG164,MATCH(BV$4,TOCA_current!$A$2:$BG$2,0),FALSE)</f>
        <v>0</v>
      </c>
      <c r="BW33" s="151">
        <f t="shared" si="11"/>
        <v>0</v>
      </c>
      <c r="BX33" s="151">
        <f t="shared" si="12"/>
        <v>0</v>
      </c>
      <c r="BY33" s="226">
        <f>VLOOKUP($A33,IRD!$A$4:$G$139, 7, FALSE)</f>
        <v>0</v>
      </c>
      <c r="BZ33" s="227">
        <f t="array" ref="BZ33">IF($BU33=0, INDEX(LS_current!$D$4:$AY$138, MATCH('Staging Table'!$A33, LS_current!$B$4:$B$138, 0), MATCH(BZ$4&amp;BZ$5, LS_current!$D$2:$AY$2&amp;LS_current!$D$3:$AY$3, 0)),SUM(VLOOKUP($A33, LS_current!$B$4:$AY$138, LS_current!D$148, FALSE), VLOOKUP($A33, LS_current!$B$4:$AY$138,LS_current!D$148, FALSE))/2)</f>
        <v>-900</v>
      </c>
      <c r="CA33" s="227">
        <f t="array" ref="CA33">IF($BU33=0, INDEX(LS_current!$D$4:$AY$138, MATCH('Staging Table'!$A33, LS_current!$B$4:$B$138, 0), MATCH(CA$4&amp;CA$5, LS_current!$D$2:$AY$2&amp;LS_current!$D$3:$AY$3, 0)),SUM(VLOOKUP($A33, LS_current!$B$4:$AY$138, LS_current!E$148, FALSE), VLOOKUP($A33, LS_current!$B$4:$AY$138,LS_current!E$148, FALSE))/2)</f>
        <v>-614</v>
      </c>
      <c r="CB33" s="227">
        <f t="array" ref="CB33">IF($BU33=0, INDEX(LS_current!$D$4:$AY$138, MATCH('Staging Table'!$A33, LS_current!$B$4:$B$138, 0), MATCH(CB$4&amp;CB$5, LS_current!$D$2:$AY$2&amp;LS_current!$D$3:$AY$3, 0)),SUM(VLOOKUP($A33, LS_current!$B$4:$AY$138, LS_current!F$148, FALSE), VLOOKUP($A33, LS_current!$B$4:$AY$138,LS_current!F$148, FALSE))/2)</f>
        <v>-632</v>
      </c>
      <c r="CC33" s="227">
        <f t="array" ref="CC33">IF($BU33=0, INDEX(LS_current!$D$4:$AY$138, MATCH('Staging Table'!$A33, LS_current!$B$4:$B$138, 0), MATCH(CC$4&amp;CC$5, LS_current!$D$2:$AY$2&amp;LS_current!$D$3:$AY$3, 0)),SUM(VLOOKUP($A33, LS_current!$B$4:$AY$138, LS_current!G$148, FALSE), VLOOKUP($A33, LS_current!$B$4:$AY$138,LS_current!G$148, FALSE))/2)</f>
        <v>-222</v>
      </c>
      <c r="CD33" s="227">
        <f t="array" ref="CD33">IF($BU33=0, INDEX(LS_current!$D$4:$AY$138, MATCH('Staging Table'!$A33, LS_current!$B$4:$B$138, 0), MATCH(CD$4&amp;CD$5, LS_current!$D$2:$AY$2&amp;LS_current!$D$3:$AY$3, 0)),SUM(VLOOKUP($A33, LS_current!$B$4:$AY$138, LS_current!H$148, FALSE), VLOOKUP($A33, LS_current!$B$4:$AY$138,LS_current!H$148, FALSE))/2)</f>
        <v>607</v>
      </c>
      <c r="CE33" s="227">
        <f t="array" ref="CE33">IF($BU33=0, INDEX(LS_current!$D$4:$AY$138, MATCH('Staging Table'!$A33, LS_current!$B$4:$B$138, 0), MATCH(CE$4&amp;CE$5, LS_current!$D$2:$AY$2&amp;LS_current!$D$3:$AY$3, 0)),SUM(VLOOKUP($A33, LS_current!$B$4:$AY$138, LS_current!I$148, FALSE), VLOOKUP($A33, LS_current!$B$4:$AY$138,LS_current!I$148, FALSE))/2)</f>
        <v>958</v>
      </c>
      <c r="CF33" s="227">
        <f t="array" ref="CF33">IF($BU33=0, INDEX(LS_current!$D$4:$AY$138, MATCH('Staging Table'!$A33, LS_current!$B$4:$B$138, 0), MATCH(CF$4&amp;CF$5, LS_current!$D$2:$AY$2&amp;LS_current!$D$3:$AY$3, 0)),SUM(VLOOKUP($A33, LS_current!$B$4:$AY$138, LS_current!J$148, FALSE), VLOOKUP($A33, LS_current!$B$4:$AY$138,LS_current!J$148, FALSE))/2)</f>
        <v>1596</v>
      </c>
      <c r="CG33" s="227">
        <f t="array" ref="CG33">IF($BU33=0, INDEX(LS_current!$D$4:$AY$138, MATCH('Staging Table'!$A33, LS_current!$B$4:$B$138, 0), MATCH(CG$4&amp;CG$5, LS_current!$D$2:$AY$2&amp;LS_current!$D$3:$AY$3, 0)),SUM(VLOOKUP($A33, LS_current!$B$4:$AY$138, LS_current!K$148, FALSE), VLOOKUP($A33, LS_current!$B$4:$AY$138,LS_current!K$148, FALSE))/2)</f>
        <v>1322</v>
      </c>
      <c r="CH33" s="227">
        <f t="array" ref="CH33">IF($BU33=0, INDEX(LS_current!$D$4:$AY$138, MATCH('Staging Table'!$A33, LS_current!$B$4:$B$138, 0), MATCH(CH$4&amp;CH$5, LS_current!$D$2:$AY$2&amp;LS_current!$D$3:$AY$3, 0)),SUM(VLOOKUP($A33, LS_current!$B$4:$AY$138, LS_current!L$148, FALSE), VLOOKUP($A33, LS_current!$B$4:$AY$138,LS_current!L$148, FALSE))/2)</f>
        <v>1028</v>
      </c>
      <c r="CI33" s="227">
        <f t="array" ref="CI33">IF($BU33=0, INDEX(LS_current!$D$4:$AY$138, MATCH('Staging Table'!$A33, LS_current!$B$4:$B$138, 0), MATCH(CI$4&amp;CI$5, LS_current!$D$2:$AY$2&amp;LS_current!$D$3:$AY$3, 0)),SUM(VLOOKUP($A33, LS_current!$B$4:$AY$138, LS_current!M$148, FALSE), VLOOKUP($A33, LS_current!$B$4:$AY$138,LS_current!M$148, FALSE))/2)</f>
        <v>687</v>
      </c>
      <c r="CJ33" s="227">
        <f t="array" ref="CJ33">IF($BU33=0, INDEX(LS_current!$D$4:$AY$138, MATCH('Staging Table'!$A33, LS_current!$B$4:$B$138, 0), MATCH(CJ$4&amp;CJ$5, LS_current!$D$2:$AY$2&amp;LS_current!$D$3:$AY$3, 0)),SUM(VLOOKUP($A33, LS_current!$B$4:$AY$138, LS_current!N$148, FALSE), VLOOKUP($A33, LS_current!$B$4:$AY$138,LS_current!N$148, FALSE))/2)</f>
        <v>-539</v>
      </c>
      <c r="CK33" s="227">
        <f t="array" ref="CK33">IF($BU33=0, INDEX(LS_current!$D$4:$AY$138, MATCH('Staging Table'!$A33, LS_current!$B$4:$B$138, 0), MATCH(CK$4&amp;CK$5, LS_current!$D$2:$AY$2&amp;LS_current!$D$3:$AY$3, 0)),SUM(VLOOKUP($A33, LS_current!$B$4:$AY$138, LS_current!O$148, FALSE), VLOOKUP($A33, LS_current!$B$4:$AY$138,LS_current!O$148, FALSE))/2)</f>
        <v>-71</v>
      </c>
      <c r="CL33" s="227">
        <f t="array" ref="CL33">IF($BU33=0, INDEX(LS_current!$D$4:$AY$138, MATCH('Staging Table'!$A33, LS_current!$B$4:$B$138, 0), MATCH(CL$4&amp;CL$5, LS_current!$D$2:$AY$2&amp;LS_current!$D$3:$AY$3, 0)),SUM(VLOOKUP($A33, LS_current!$B$4:$AY$138, LS_current!P$148, FALSE), VLOOKUP($A33, LS_current!$B$4:$AY$138,LS_current!P$148, FALSE))/2)</f>
        <v>322</v>
      </c>
      <c r="CM33" s="227">
        <f t="array" ref="CM33">IF($BU33=0, INDEX(LS_current!$D$4:$AY$138, MATCH('Staging Table'!$A33, LS_current!$B$4:$B$138, 0), MATCH(CM$4&amp;CM$5, LS_current!$D$2:$AY$2&amp;LS_current!$D$3:$AY$3, 0)),SUM(VLOOKUP($A33, LS_current!$B$4:$AY$138, LS_current!Q$148, FALSE), VLOOKUP($A33, LS_current!$B$4:$AY$138,LS_current!Q$148, FALSE))/2)</f>
        <v>50</v>
      </c>
      <c r="CN33" s="227">
        <f t="array" ref="CN33">IF($BU33=0, INDEX(LS_current!$D$4:$AY$138, MATCH('Staging Table'!$A33, LS_current!$B$4:$B$138, 0), MATCH(CN$4&amp;CN$5, LS_current!$D$2:$AY$2&amp;LS_current!$D$3:$AY$3, 0)),SUM(VLOOKUP($A33, LS_current!$B$4:$AY$138, LS_current!R$148, FALSE), VLOOKUP($A33, LS_current!$B$4:$AY$138,LS_current!R$148, FALSE))/2)</f>
        <v>-1779</v>
      </c>
      <c r="CO33" s="227">
        <f t="array" ref="CO33">IF($BU33=0, INDEX(LS_current!$D$4:$AY$138, MATCH('Staging Table'!$A33, LS_current!$B$4:$B$138, 0), MATCH(CO$4&amp;CO$5, LS_current!$D$2:$AY$2&amp;LS_current!$D$3:$AY$3, 0)),SUM(VLOOKUP($A33, LS_current!$B$4:$AY$138, LS_current!S$148, FALSE), VLOOKUP($A33, LS_current!$B$4:$AY$138,LS_current!S$148, FALSE))/2)</f>
        <v>-802</v>
      </c>
      <c r="CP33" s="227">
        <f t="array" ref="CP33">IF($BU33=0, INDEX(LS_current!$D$4:$AY$138, MATCH('Staging Table'!$A33, LS_current!$B$4:$B$138, 0), MATCH(CP$4&amp;CP$5, LS_current!$D$2:$AY$2&amp;LS_current!$D$3:$AY$3, 0)),SUM(VLOOKUP($A33, LS_current!$B$4:$AY$138, LS_current!T$148, FALSE), VLOOKUP($A33, LS_current!$B$4:$AY$138,LS_current!T$148, FALSE))/2)</f>
        <v>-3416</v>
      </c>
      <c r="CQ33" s="227">
        <f t="array" ref="CQ33">IF($BU33=0, INDEX(LS_current!$D$4:$AY$138, MATCH('Staging Table'!$A33, LS_current!$B$4:$B$138, 0), MATCH(CQ$4&amp;CQ$5, LS_current!$D$2:$AY$2&amp;LS_current!$D$3:$AY$3, 0)),SUM(VLOOKUP($A33, LS_current!$B$4:$AY$138, LS_current!U$148, FALSE), VLOOKUP($A33, LS_current!$B$4:$AY$138,LS_current!U$148, FALSE))/2)</f>
        <v>-2204</v>
      </c>
      <c r="CR33" s="227">
        <f t="array" ref="CR33">IF($BU33=0, INDEX(LS_current!$D$4:$AY$138, MATCH('Staging Table'!$A33, LS_current!$B$4:$B$138, 0), MATCH(CR$4&amp;CR$5, LS_current!$D$2:$AY$2&amp;LS_current!$D$3:$AY$3, 0)),SUM(VLOOKUP($A33, LS_current!$B$4:$AY$138, LS_current!V$148, FALSE), VLOOKUP($A33, LS_current!$B$4:$AY$138,LS_current!V$148, FALSE))/2)</f>
        <v>-1032</v>
      </c>
      <c r="CS33" s="227">
        <f t="array" ref="CS33">IF($BU33=0, INDEX(LS_current!$D$4:$AY$138, MATCH('Staging Table'!$A33, LS_current!$B$4:$B$138, 0), MATCH(CS$4&amp;CS$5, LS_current!$D$2:$AY$2&amp;LS_current!$D$3:$AY$3, 0)),SUM(VLOOKUP($A33, LS_current!$B$4:$AY$138, LS_current!W$148, FALSE), VLOOKUP($A33, LS_current!$B$4:$AY$138,LS_current!W$148, FALSE))/2)</f>
        <v>-214</v>
      </c>
      <c r="CT33" s="227">
        <f t="array" ref="CT33">IF($BU33=0, INDEX(LS_current!$D$4:$AY$138, MATCH('Staging Table'!$A33, LS_current!$B$4:$B$138, 0), MATCH(CT$4&amp;CT$5, LS_current!$D$2:$AY$2&amp;LS_current!$D$3:$AY$3, 0)),SUM(VLOOKUP($A33, LS_current!$B$4:$AY$138, LS_current!X$148, FALSE), VLOOKUP($A33, LS_current!$B$4:$AY$138,LS_current!X$148, FALSE))/2)</f>
        <v>-844</v>
      </c>
      <c r="CU33" s="227">
        <f t="array" ref="CU33">IF($BU33=0, INDEX(LS_current!$D$4:$AY$138, MATCH('Staging Table'!$A33, LS_current!$B$4:$B$138, 0), MATCH(CU$4&amp;CU$5, LS_current!$D$2:$AY$2&amp;LS_current!$D$3:$AY$3, 0)),SUM(VLOOKUP($A33, LS_current!$B$4:$AY$138, LS_current!Y$148, FALSE), VLOOKUP($A33, LS_current!$B$4:$AY$138,LS_current!Y$148, FALSE))/2)</f>
        <v>-256</v>
      </c>
      <c r="CV33" s="227">
        <f t="array" ref="CV33">IF($BU33=0, INDEX(LS_current!$D$4:$AY$138, MATCH('Staging Table'!$A33, LS_current!$B$4:$B$138, 0), MATCH(CV$4&amp;CV$5, LS_current!$D$2:$AY$2&amp;LS_current!$D$3:$AY$3, 0)),SUM(VLOOKUP($A33, LS_current!$B$4:$AY$138, LS_current!Z$148, FALSE), VLOOKUP($A33, LS_current!$B$4:$AY$138,LS_current!Z$148, FALSE))/2)</f>
        <v>-695</v>
      </c>
      <c r="CW33" s="227">
        <f t="array" ref="CW33">IF($BU33=0, INDEX(LS_current!$D$4:$AY$138, MATCH('Staging Table'!$A33, LS_current!$B$4:$B$138, 0), MATCH(CW$4&amp;CW$5, LS_current!$D$2:$AY$2&amp;LS_current!$D$3:$AY$3, 0)),SUM(VLOOKUP($A33, LS_current!$B$4:$AY$138, LS_current!AA$148, FALSE), VLOOKUP($A33, LS_current!$B$4:$AY$138,LS_current!AA$148, FALSE))/2)</f>
        <v>-515</v>
      </c>
      <c r="CX33" s="229">
        <f t="array" ref="CX33">INDEX(Demand_current!$D$4:$AY$138, MATCH($A33, Demand_current!$B$4:$B$138, 0), MATCH(CX$4&amp;CX$5,Demand_current!$D$2:$AY$2&amp;Demand_current!$D$3:$AY$3, 0))/1000</f>
        <v>1.73</v>
      </c>
      <c r="CY33" s="229">
        <f t="array" ref="CY33">INDEX(Demand_current!$D$4:$AY$138, MATCH($A33, Demand_current!$B$4:$B$138, 0), MATCH(CY$4&amp;CY$5,Demand_current!$D$2:$AY$2&amp;Demand_current!$D$3:$AY$3, 0))/1000</f>
        <v>1.4419999999999999</v>
      </c>
      <c r="CZ33" s="229">
        <f t="array" ref="CZ33">INDEX(Demand_current!$D$4:$AY$138, MATCH($A33, Demand_current!$B$4:$B$138, 0), MATCH(CZ$4&amp;CZ$5,Demand_current!$D$2:$AY$2&amp;Demand_current!$D$3:$AY$3, 0))/1000</f>
        <v>3.7280000000000002</v>
      </c>
      <c r="DA33" s="229">
        <f t="array" ref="DA33">INDEX(Demand_current!$D$4:$AY$138, MATCH($A33, Demand_current!$B$4:$B$138, 0), MATCH(DA$4&amp;DA$5,Demand_current!$D$2:$AY$2&amp;Demand_current!$D$3:$AY$3, 0))/1000</f>
        <v>2.706</v>
      </c>
      <c r="DB33" s="229">
        <f t="array" ref="DB33">INDEX(Demand_current!$D$4:$AY$138, MATCH($A33, Demand_current!$B$4:$B$138, 0), MATCH(DB$4&amp;DB$5,Demand_current!$D$2:$AY$2&amp;Demand_current!$D$3:$AY$3, 0))/1000</f>
        <v>2.742</v>
      </c>
      <c r="DC33" s="229">
        <f t="array" ref="DC33">INDEX(Demand_current!$D$4:$AY$138, MATCH($A33, Demand_current!$B$4:$B$138, 0), MATCH(DC$4&amp;DC$5,Demand_current!$D$2:$AY$2&amp;Demand_current!$D$3:$AY$3, 0))/1000</f>
        <v>3.7839999999999998</v>
      </c>
      <c r="DD33" s="229">
        <f t="array" ref="DD33">INDEX(Demand_current!$D$4:$AY$138, MATCH($A33, Demand_current!$B$4:$B$138, 0), MATCH(DD$4&amp;DD$5,Demand_current!$D$2:$AY$2&amp;Demand_current!$D$3:$AY$3, 0))/1000</f>
        <v>1.3340000000000001</v>
      </c>
      <c r="DE33" s="229">
        <f t="array" ref="DE33">INDEX(Demand_current!$D$4:$AY$138, MATCH($A33, Demand_current!$B$4:$B$138, 0), MATCH(DE$4&amp;DE$5,Demand_current!$D$2:$AY$2&amp;Demand_current!$D$3:$AY$3, 0))/1000</f>
        <v>1.772</v>
      </c>
      <c r="DF33" s="229">
        <f t="array" ref="DF33">INDEX(Demand_current!$D$4:$AY$138, MATCH($A33, Demand_current!$B$4:$B$138, 0), MATCH(DF$4&amp;DF$5,Demand_current!$D$2:$AY$2&amp;Demand_current!$D$3:$AY$3, 0))/1000</f>
        <v>1.9630000000000001</v>
      </c>
      <c r="DG33" s="229">
        <f t="array" ref="DG33">INDEX(Demand_current!$D$4:$AY$138, MATCH($A33, Demand_current!$B$4:$B$138, 0), MATCH(DG$4&amp;DG$5,Demand_current!$D$2:$AY$2&amp;Demand_current!$D$3:$AY$3, 0))/1000</f>
        <v>3.1070000000000002</v>
      </c>
      <c r="DH33" s="229">
        <f t="array" ref="DH33">INDEX(Demand_current!$D$4:$AY$138, MATCH($A33, Demand_current!$B$4:$B$138, 0), MATCH(DH$4&amp;DH$5,Demand_current!$D$2:$AY$2&amp;Demand_current!$D$3:$AY$3, 0))/1000</f>
        <v>2.1179999999999999</v>
      </c>
      <c r="DI33" s="229">
        <f t="array" ref="DI33">INDEX(Demand_current!$D$4:$AY$138, MATCH($A33, Demand_current!$B$4:$B$138, 0), MATCH(DI$4&amp;DI$5,Demand_current!$D$2:$AY$2&amp;Demand_current!$D$3:$AY$3, 0))/1000</f>
        <v>2.8730000000000002</v>
      </c>
      <c r="DJ33" s="227">
        <f>$BT33*(VLOOKUP(DJ$4, Rates_current!$G$6:$Q$29, 10, FALSE)+VLOOKUP(DJ$4, Rates_current!$G$6:$Q$29, 11, FALSE))</f>
        <v>6835.9381086779995</v>
      </c>
      <c r="DK33" s="227">
        <f>$BT33*(VLOOKUP(DK$4, Rates_current!$G$6:$Q$29, 10, FALSE)+VLOOKUP(DK$4, Rates_current!$G$6:$Q$29, 11, FALSE))</f>
        <v>8683.7739103394997</v>
      </c>
      <c r="DL33" s="227">
        <f>$BT33*(VLOOKUP(DL$4, Rates_current!$G$6:$Q$29, 10, FALSE)+VLOOKUP(DL$4, Rates_current!$G$6:$Q$29, 11, FALSE))</f>
        <v>8578.9055901780011</v>
      </c>
      <c r="DM33" s="227">
        <f>$BT33*(VLOOKUP(DM$4, Rates_current!$G$6:$Q$29, 10, FALSE)+VLOOKUP(DM$4, Rates_current!$G$6:$Q$29, 11, FALSE))</f>
        <v>7151.0403261780011</v>
      </c>
      <c r="DN33" s="227">
        <f>$BT33*(VLOOKUP(DN$4, Rates_current!$G$6:$Q$29, 10, FALSE)+VLOOKUP(DN$4, Rates_current!$G$6:$Q$29, 11, FALSE))</f>
        <v>6478.1006723999999</v>
      </c>
      <c r="DO33" s="227">
        <f>$BT33*(VLOOKUP(DO$4, Rates_current!$G$6:$Q$29, 10, FALSE)+VLOOKUP(DO$4, Rates_current!$G$6:$Q$29, 11, FALSE))</f>
        <v>7205.7059247284997</v>
      </c>
      <c r="DP33" s="227">
        <f>$BT33*(VLOOKUP(DP$4, Rates_current!$G$6:$Q$29, 10, FALSE)+VLOOKUP(DP$4, Rates_current!$G$6:$Q$29, 11, FALSE))</f>
        <v>5866.8935396400002</v>
      </c>
      <c r="DQ33" s="227">
        <f>$BT33*(VLOOKUP(DQ$4, Rates_current!$G$6:$Q$29, 10, FALSE)+VLOOKUP(DQ$4, Rates_current!$G$6:$Q$29, 11, FALSE))</f>
        <v>7912.3807889280006</v>
      </c>
      <c r="DR33" s="227">
        <f>$BT33*(VLOOKUP(DR$4, Rates_current!$G$6:$Q$29, 10, FALSE)+VLOOKUP(DR$4, Rates_current!$G$6:$Q$29, 11, FALSE))</f>
        <v>10095.659754390001</v>
      </c>
      <c r="DS33" s="227">
        <f>$BT33*(VLOOKUP(DS$4, Rates_current!$G$6:$Q$29, 10, FALSE)+VLOOKUP(DS$4, Rates_current!$G$6:$Q$29, 11, FALSE))</f>
        <v>7915.317360678001</v>
      </c>
      <c r="DT33" s="227">
        <f>$BT33*(VLOOKUP(DT$4, Rates_current!$G$6:$Q$29, 10, FALSE)+VLOOKUP(DT$4, Rates_current!$G$6:$Q$29, 11, FALSE))</f>
        <v>7707.9429854280006</v>
      </c>
      <c r="DU33" s="227">
        <f>$BT33*(VLOOKUP(DU$4, Rates_current!$G$6:$Q$29, 10, FALSE)+VLOOKUP(DU$4, Rates_current!$G$6:$Q$29, 11, FALSE))</f>
        <v>6920.093110140001</v>
      </c>
      <c r="DV33" s="229">
        <f>IF(D33=0,IF(C33=0,MAX(0,DY33 - (VLOOKUP($A33,TOCA_current!$A$2:$AI$137,MATCH("RHWM 2020",TOCA_current!$A$2:$AI$2,0),FALSE)*$BT$2)), 0),0)</f>
        <v>0</v>
      </c>
      <c r="DW33" s="266">
        <f>VLOOKUP($A33,REP_current!$A$1:$D$135,MATCH("FY "&amp;$BT$1&amp; " Total Refund",REP_current!$A$1:$D$1,0),0)</f>
        <v>0</v>
      </c>
      <c r="DX33" s="295">
        <f>MIN(VLOOKUP($A33,TOCA_current!$A$2:$AI$137,MATCH("TRL - NLSL - Existing Resource "&amp;$BT$1,TOCA_current!$A$2:$AI$2,0),FALSE)*$BT$2, VLOOKUP($A33,TOCA_current!$A$2:$AI$137,MATCH("RHWM 2020",TOCA_current!$A$2:$AI$2,0),FALSE)*$BT$2)</f>
        <v>91353.600000000006</v>
      </c>
      <c r="DY33" s="240">
        <f>SUM(BZ33:CW33)+(BT33*RT1SC!$C$4*$BT$2)</f>
        <v>83186.755500544008</v>
      </c>
      <c r="DZ33" s="271">
        <f>VLOOKUP($A33,TOCA_current!$A$2:$AI$137,MATCH("Above RHWM Not Served with LS "&amp;$BT$1,TOCA_current!$A$2:$AI$2,0),FALSE)*$BT$2</f>
        <v>0</v>
      </c>
      <c r="EA33" s="244">
        <f t="shared" si="13"/>
        <v>-8166.8444994559977</v>
      </c>
      <c r="EB33" s="295">
        <f>(VLOOKUP($A33,TOCA_current!$A$2:$AI$137,MATCH("RHWM 2020",TOCA_current!$A$2:$AI$2,0),FALSE)*$BT$2) - $DX33</f>
        <v>0</v>
      </c>
      <c r="EC33" s="240">
        <f t="shared" si="14"/>
        <v>0</v>
      </c>
      <c r="ED33" s="240">
        <f t="shared" si="15"/>
        <v>8166.8444994559977</v>
      </c>
      <c r="EE33" s="240">
        <f t="shared" si="16"/>
        <v>0</v>
      </c>
      <c r="EF33" s="240">
        <f t="shared" si="17"/>
        <v>8166.8444994559977</v>
      </c>
    </row>
    <row r="34" spans="1:136">
      <c r="A34" s="166">
        <v>10082</v>
      </c>
      <c r="B34" s="167" t="s">
        <v>35</v>
      </c>
      <c r="C34" s="240">
        <v>0</v>
      </c>
      <c r="D34" s="240">
        <v>0</v>
      </c>
      <c r="E34" s="150">
        <f>VLOOKUP($A34,TOCA_previous!$A$2:$AI$137,MATCH(E$4,TOCA_previous!$A$2:$AI$2,0),FALSE)</f>
        <v>1.45E-5</v>
      </c>
      <c r="F34" s="151">
        <f>VLOOKUP($A34,TOCA_previous!$A$2:$AI$137,MATCH(F$4,TOCA_previous!$A$2:$AI$2,0),FALSE)</f>
        <v>1.45E-5</v>
      </c>
      <c r="G34" s="151">
        <f t="shared" si="2"/>
        <v>0</v>
      </c>
      <c r="H34" s="151">
        <f>VLOOKUP($A34,TOCA_previous!$A$2:$AI$137,MATCH(H$4,TOCA_previous!$A$2:$AI$2,0),FALSE)</f>
        <v>0</v>
      </c>
      <c r="I34" s="151">
        <f t="shared" si="3"/>
        <v>0</v>
      </c>
      <c r="J34" s="151">
        <f t="shared" si="4"/>
        <v>0</v>
      </c>
      <c r="K34" s="226">
        <f>VLOOKUP(A34, IRD!$A$5:$C$139, 3, FALSE)</f>
        <v>0</v>
      </c>
      <c r="L34" s="227">
        <f t="array" ref="L34">IF($G34=0, INDEX(LS_previous!$D$4:$AY$138, MATCH('Staging Table'!$A34, LS_previous!$B$4:$B$138, 0), MATCH(L$4&amp;L$5, LS_previous!$D$2:$AY$2&amp;LS_previous!$D$3:$AY$3, 0)),SUM(VLOOKUP($A34, LS_previous!$B$4:$AY$138, LS_previous!D$149, FALSE), VLOOKUP('Staging Table'!$A34, LS_previous!$B$4:$AY$138,LS_previous!AB$149, FALSE))/2)</f>
        <v>-11</v>
      </c>
      <c r="M34" s="227">
        <f t="array" ref="M34">IF($G34=0, INDEX(LS_previous!$D$4:$AY$138, MATCH('Staging Table'!$A34, LS_previous!$B$4:$B$138, 0), MATCH(M$4&amp;M$5, LS_previous!$D$2:$AY$2&amp;LS_previous!$D$3:$AY$3, 0)),SUM(VLOOKUP($A34, LS_previous!$B$4:$AY$138, LS_previous!E$149, FALSE), VLOOKUP('Staging Table'!$A34, LS_previous!$B$4:$AY$138,LS_previous!AC$149, FALSE))/2)</f>
        <v>-1</v>
      </c>
      <c r="N34" s="227">
        <f t="array" ref="N34">IF($G34=0, INDEX(LS_previous!$D$4:$AY$138, MATCH('Staging Table'!$A34, LS_previous!$B$4:$B$138, 0), MATCH(N$4&amp;N$5, LS_previous!$D$2:$AY$2&amp;LS_previous!$D$3:$AY$3, 0)),SUM(VLOOKUP($A34, LS_previous!$B$4:$AY$138, LS_previous!F$149, FALSE), VLOOKUP('Staging Table'!$A34, LS_previous!$B$4:$AY$138,LS_previous!AD$149, FALSE))/2)</f>
        <v>-7</v>
      </c>
      <c r="O34" s="227">
        <f t="array" ref="O34">IF($G34=0, INDEX(LS_previous!$D$4:$AY$138, MATCH('Staging Table'!$A34, LS_previous!$B$4:$B$138, 0), MATCH(O$4&amp;O$5, LS_previous!$D$2:$AY$2&amp;LS_previous!$D$3:$AY$3, 0)),SUM(VLOOKUP($A34, LS_previous!$B$4:$AY$138, LS_previous!G$149, FALSE), VLOOKUP('Staging Table'!$A34, LS_previous!$B$4:$AY$138,LS_previous!AE$149, FALSE))/2)</f>
        <v>3</v>
      </c>
      <c r="P34" s="227">
        <f t="array" ref="P34">IF($G34=0, INDEX(LS_previous!$D$4:$AY$138, MATCH('Staging Table'!$A34, LS_previous!$B$4:$B$138, 0), MATCH(P$4&amp;P$5, LS_previous!$D$2:$AY$2&amp;LS_previous!$D$3:$AY$3, 0)),SUM(VLOOKUP($A34, LS_previous!$B$4:$AY$138, LS_previous!H$149, FALSE), VLOOKUP('Staging Table'!$A34, LS_previous!$B$4:$AY$138,LS_previous!AF$149, FALSE))/2)</f>
        <v>9</v>
      </c>
      <c r="Q34" s="227">
        <f t="array" ref="Q34">IF($G34=0, INDEX(LS_previous!$D$4:$AY$138, MATCH('Staging Table'!$A34, LS_previous!$B$4:$B$138, 0), MATCH(Q$4&amp;Q$5, LS_previous!$D$2:$AY$2&amp;LS_previous!$D$3:$AY$3, 0)),SUM(VLOOKUP($A34, LS_previous!$B$4:$AY$138, LS_previous!I$149, FALSE), VLOOKUP('Staging Table'!$A34, LS_previous!$B$4:$AY$138,LS_previous!AG$149, FALSE))/2)</f>
        <v>16</v>
      </c>
      <c r="R34" s="227">
        <f t="array" ref="R34">IF($G34=0, INDEX(LS_previous!$D$4:$AY$138, MATCH('Staging Table'!$A34, LS_previous!$B$4:$B$138, 0), MATCH(R$4&amp;R$5, LS_previous!$D$2:$AY$2&amp;LS_previous!$D$3:$AY$3, 0)),SUM(VLOOKUP($A34, LS_previous!$B$4:$AY$138, LS_previous!J$149, FALSE), VLOOKUP('Staging Table'!$A34, LS_previous!$B$4:$AY$138,LS_previous!AH$149, FALSE))/2)</f>
        <v>20</v>
      </c>
      <c r="S34" s="227">
        <f t="array" ref="S34">IF($G34=0, INDEX(LS_previous!$D$4:$AY$138, MATCH('Staging Table'!$A34, LS_previous!$B$4:$B$138, 0), MATCH(S$4&amp;S$5, LS_previous!$D$2:$AY$2&amp;LS_previous!$D$3:$AY$3, 0)),SUM(VLOOKUP($A34, LS_previous!$B$4:$AY$138, LS_previous!K$149, FALSE), VLOOKUP('Staging Table'!$A34, LS_previous!$B$4:$AY$138,LS_previous!AI$149, FALSE))/2)</f>
        <v>20</v>
      </c>
      <c r="T34" s="227">
        <f t="array" ref="T34">IF($G34=0, INDEX(LS_previous!$D$4:$AY$138, MATCH('Staging Table'!$A34, LS_previous!$B$4:$B$138, 0), MATCH(T$4&amp;T$5, LS_previous!$D$2:$AY$2&amp;LS_previous!$D$3:$AY$3, 0)),SUM(VLOOKUP($A34, LS_previous!$B$4:$AY$138, LS_previous!L$149, FALSE), VLOOKUP('Staging Table'!$A34, LS_previous!$B$4:$AY$138,LS_previous!AJ$149, FALSE))/2)</f>
        <v>19</v>
      </c>
      <c r="U34" s="227">
        <f t="array" ref="U34">IF($G34=0, INDEX(LS_previous!$D$4:$AY$138, MATCH('Staging Table'!$A34, LS_previous!$B$4:$B$138, 0), MATCH(U$4&amp;U$5, LS_previous!$D$2:$AY$2&amp;LS_previous!$D$3:$AY$3, 0)),SUM(VLOOKUP($A34, LS_previous!$B$4:$AY$138, LS_previous!M$149, FALSE), VLOOKUP('Staging Table'!$A34, LS_previous!$B$4:$AY$138,LS_previous!AK$149, FALSE))/2)</f>
        <v>18</v>
      </c>
      <c r="V34" s="227">
        <f t="array" ref="V34">IF($G34=0, INDEX(LS_previous!$D$4:$AY$138, MATCH('Staging Table'!$A34, LS_previous!$B$4:$B$138, 0), MATCH(V$4&amp;V$5, LS_previous!$D$2:$AY$2&amp;LS_previous!$D$3:$AY$3, 0)),SUM(VLOOKUP($A34, LS_previous!$B$4:$AY$138, LS_previous!N$149, FALSE), VLOOKUP('Staging Table'!$A34, LS_previous!$B$4:$AY$138,LS_previous!AL$149, FALSE))/2)</f>
        <v>0</v>
      </c>
      <c r="W34" s="227">
        <f t="array" ref="W34">IF($G34=0, INDEX(LS_previous!$D$4:$AY$138, MATCH('Staging Table'!$A34, LS_previous!$B$4:$B$138, 0), MATCH(W$4&amp;W$5, LS_previous!$D$2:$AY$2&amp;LS_previous!$D$3:$AY$3, 0)),SUM(VLOOKUP($A34, LS_previous!$B$4:$AY$138, LS_previous!O$149, FALSE), VLOOKUP('Staging Table'!$A34, LS_previous!$B$4:$AY$138,LS_previous!AM$149, FALSE))/2)</f>
        <v>8</v>
      </c>
      <c r="X34" s="227">
        <f t="array" ref="X34">IF($G34=0, INDEX(LS_previous!$D$4:$AY$138, MATCH('Staging Table'!$A34, LS_previous!$B$4:$B$138, 0), MATCH(X$4&amp;X$5, LS_previous!$D$2:$AY$2&amp;LS_previous!$D$3:$AY$3, 0)),SUM(VLOOKUP($A34, LS_previous!$B$4:$AY$138, LS_previous!P$149, FALSE), VLOOKUP('Staging Table'!$A34, LS_previous!$B$4:$AY$138,LS_previous!AN$149, FALSE))/2)</f>
        <v>-7</v>
      </c>
      <c r="Y34" s="227">
        <f t="array" ref="Y34">IF($G34=0, INDEX(LS_previous!$D$4:$AY$138, MATCH('Staging Table'!$A34, LS_previous!$B$4:$B$138, 0), MATCH(Y$4&amp;Y$5, LS_previous!$D$2:$AY$2&amp;LS_previous!$D$3:$AY$3, 0)),SUM(VLOOKUP($A34, LS_previous!$B$4:$AY$138, LS_previous!Q$149, FALSE), VLOOKUP('Staging Table'!$A34, LS_previous!$B$4:$AY$138,LS_previous!AO$149, FALSE))/2)</f>
        <v>2</v>
      </c>
      <c r="Z34" s="227">
        <f t="array" ref="Z34">IF($G34=0, INDEX(LS_previous!$D$4:$AY$138, MATCH('Staging Table'!$A34, LS_previous!$B$4:$B$138, 0), MATCH(Z$4&amp;Z$5, LS_previous!$D$2:$AY$2&amp;LS_previous!$D$3:$AY$3, 0)),SUM(VLOOKUP($A34, LS_previous!$B$4:$AY$138, LS_previous!R$149, FALSE), VLOOKUP('Staging Table'!$A34, LS_previous!$B$4:$AY$138,LS_previous!AP$149, FALSE))/2)</f>
        <v>-35</v>
      </c>
      <c r="AA34" s="227">
        <f t="array" ref="AA34">IF($G34=0, INDEX(LS_previous!$D$4:$AY$138, MATCH('Staging Table'!$A34, LS_previous!$B$4:$B$138, 0), MATCH(AA$4&amp;AA$5, LS_previous!$D$2:$AY$2&amp;LS_previous!$D$3:$AY$3, 0)),SUM(VLOOKUP($A34, LS_previous!$B$4:$AY$138, LS_previous!S$149, FALSE), VLOOKUP('Staging Table'!$A34, LS_previous!$B$4:$AY$138,LS_previous!AQ$149, FALSE))/2)</f>
        <v>-13</v>
      </c>
      <c r="AB34" s="227">
        <f t="array" ref="AB34">IF($G34=0, INDEX(LS_previous!$D$4:$AY$138, MATCH('Staging Table'!$A34, LS_previous!$B$4:$B$138, 0), MATCH(AB$4&amp;AB$5, LS_previous!$D$2:$AY$2&amp;LS_previous!$D$3:$AY$3, 0)),SUM(VLOOKUP($A34, LS_previous!$B$4:$AY$138, LS_previous!T$149, FALSE), VLOOKUP('Staging Table'!$A34, LS_previous!$B$4:$AY$138,LS_previous!AR$149, FALSE))/2)</f>
        <v>-22</v>
      </c>
      <c r="AC34" s="227">
        <f t="array" ref="AC34">IF($G34=0, INDEX(LS_previous!$D$4:$AY$138, MATCH('Staging Table'!$A34, LS_previous!$B$4:$B$138, 0), MATCH(AC$4&amp;AC$5, LS_previous!$D$2:$AY$2&amp;LS_previous!$D$3:$AY$3, 0)),SUM(VLOOKUP($A34, LS_previous!$B$4:$AY$138, LS_previous!U$149, FALSE), VLOOKUP('Staging Table'!$A34, LS_previous!$B$4:$AY$138,LS_previous!AS$149, FALSE))/2)</f>
        <v>-8</v>
      </c>
      <c r="AD34" s="227">
        <f t="array" ref="AD34">IF($G34=0, INDEX(LS_previous!$D$4:$AY$138, MATCH('Staging Table'!$A34, LS_previous!$B$4:$B$138, 0), MATCH(AD$4&amp;AD$5, LS_previous!$D$2:$AY$2&amp;LS_previous!$D$3:$AY$3, 0)),SUM(VLOOKUP($A34, LS_previous!$B$4:$AY$138, LS_previous!V$149, FALSE), VLOOKUP('Staging Table'!$A34, LS_previous!$B$4:$AY$138,LS_previous!AT$149, FALSE))/2)</f>
        <v>-15</v>
      </c>
      <c r="AE34" s="227">
        <f t="array" ref="AE34">IF($G34=0, INDEX(LS_previous!$D$4:$AY$138, MATCH('Staging Table'!$A34, LS_previous!$B$4:$B$138, 0), MATCH(AE$4&amp;AE$5, LS_previous!$D$2:$AY$2&amp;LS_previous!$D$3:$AY$3, 0)),SUM(VLOOKUP($A34, LS_previous!$B$4:$AY$138, LS_previous!W$149, FALSE), VLOOKUP('Staging Table'!$A34, LS_previous!$B$4:$AY$138,LS_previous!AU$149, FALSE))/2)</f>
        <v>-3</v>
      </c>
      <c r="AF34" s="227">
        <f t="array" ref="AF34">IF($G34=0, INDEX(LS_previous!$D$4:$AY$138, MATCH('Staging Table'!$A34, LS_previous!$B$4:$B$138, 0), MATCH(AF$4&amp;AF$5, LS_previous!$D$2:$AY$2&amp;LS_previous!$D$3:$AY$3, 0)),SUM(VLOOKUP($A34, LS_previous!$B$4:$AY$138, LS_previous!X$149, FALSE), VLOOKUP('Staging Table'!$A34, LS_previous!$B$4:$AY$138,LS_previous!AV$149, FALSE))/2)</f>
        <v>-22</v>
      </c>
      <c r="AG34" s="227">
        <f t="array" ref="AG34">IF($G34=0, INDEX(LS_previous!$D$4:$AY$138, MATCH('Staging Table'!$A34, LS_previous!$B$4:$B$138, 0), MATCH(AG$4&amp;AG$5, LS_previous!$D$2:$AY$2&amp;LS_previous!$D$3:$AY$3, 0)),SUM(VLOOKUP($A34, LS_previous!$B$4:$AY$138, LS_previous!Y$149, FALSE), VLOOKUP('Staging Table'!$A34, LS_previous!$B$4:$AY$138,LS_previous!AW$149, FALSE))/2)</f>
        <v>-5</v>
      </c>
      <c r="AH34" s="227">
        <f t="array" ref="AH34">IF($G34=0, INDEX(LS_previous!$D$4:$AY$138, MATCH('Staging Table'!$A34, LS_previous!$B$4:$B$138, 0), MATCH(AH$4&amp;AH$5, LS_previous!$D$2:$AY$2&amp;LS_previous!$D$3:$AY$3, 0)),SUM(VLOOKUP($A34, LS_previous!$B$4:$AY$138, LS_previous!Z$149, FALSE), VLOOKUP('Staging Table'!$A34, LS_previous!$B$4:$AY$138,LS_previous!AX$149, FALSE))/2)</f>
        <v>-18</v>
      </c>
      <c r="AI34" s="227">
        <f t="array" ref="AI34">IF($G34=0, INDEX(LS_previous!$D$4:$AY$138, MATCH('Staging Table'!$A34, LS_previous!$B$4:$B$138, 0), MATCH(AI$4&amp;AI$5, LS_previous!$D$2:$AY$2&amp;LS_previous!$D$3:$AY$3, 0)),SUM(VLOOKUP($A34, LS_previous!$B$4:$AY$138, LS_previous!AA$149, FALSE), VLOOKUP('Staging Table'!$A34, LS_previous!$B$4:$AY$138,LS_previous!AY$149, FALSE))/2)</f>
        <v>-6</v>
      </c>
      <c r="AJ34" s="424">
        <f t="array" ref="AJ34">INDEX(Demand_previous!$D$4:$AY$138, MATCH('Staging Table'!$A34, Demand_previous!$B$4:$B$138, 0), MATCH(AJ$4&amp;AJ$5,Demand_previous!$D$2:$AY$2&amp;Demand_previous!$D$3:$AY$3, 0))/1000</f>
        <v>1.6E-2</v>
      </c>
      <c r="AK34" s="424">
        <f t="array" ref="AK34">INDEX(Demand_previous!$D$4:$AY$138, MATCH('Staging Table'!$A34, Demand_previous!$B$4:$B$138, 0), MATCH(AK$4&amp;AK$5,Demand_previous!$D$2:$AY$2&amp;Demand_previous!$D$3:$AY$3, 0))/1000</f>
        <v>2.7E-2</v>
      </c>
      <c r="AL34" s="424">
        <f t="array" ref="AL34">INDEX(Demand_previous!$D$4:$AY$138, MATCH('Staging Table'!$A34, Demand_previous!$B$4:$B$138, 0), MATCH(AL$4&amp;AL$5,Demand_previous!$D$2:$AY$2&amp;Demand_previous!$D$3:$AY$3, 0))/1000</f>
        <v>1.6E-2</v>
      </c>
      <c r="AM34" s="424">
        <f t="array" ref="AM34">INDEX(Demand_previous!$D$4:$AY$138, MATCH('Staging Table'!$A34, Demand_previous!$B$4:$B$138, 0), MATCH(AM$4&amp;AM$5,Demand_previous!$D$2:$AY$2&amp;Demand_previous!$D$3:$AY$3, 0))/1000</f>
        <v>4.3999999999999997E-2</v>
      </c>
      <c r="AN34" s="424">
        <f t="array" ref="AN34">INDEX(Demand_previous!$D$4:$AY$138, MATCH('Staging Table'!$A34, Demand_previous!$B$4:$B$138, 0), MATCH(AN$4&amp;AN$5,Demand_previous!$D$2:$AY$2&amp;Demand_previous!$D$3:$AY$3, 0))/1000</f>
        <v>1.4999999999999999E-2</v>
      </c>
      <c r="AO34" s="424">
        <f t="array" ref="AO34">INDEX(Demand_previous!$D$4:$AY$138, MATCH('Staging Table'!$A34, Demand_previous!$B$4:$B$138, 0), MATCH(AO$4&amp;AO$5,Demand_previous!$D$2:$AY$2&amp;Demand_previous!$D$3:$AY$3, 0))/1000</f>
        <v>2.5999999999999999E-2</v>
      </c>
      <c r="AP34" s="424">
        <f t="array" ref="AP34">INDEX(Demand_previous!$D$4:$AY$138, MATCH('Staging Table'!$A34, Demand_previous!$B$4:$B$138, 0), MATCH(AP$4&amp;AP$5,Demand_previous!$D$2:$AY$2&amp;Demand_previous!$D$3:$AY$3, 0))/1000</f>
        <v>6.0000000000000001E-3</v>
      </c>
      <c r="AQ34" s="424">
        <f t="array" ref="AQ34">INDEX(Demand_previous!$D$4:$AY$138, MATCH('Staging Table'!$A34, Demand_previous!$B$4:$B$138, 0), MATCH(AQ$4&amp;AQ$5,Demand_previous!$D$2:$AY$2&amp;Demand_previous!$D$3:$AY$3, 0))/1000</f>
        <v>0</v>
      </c>
      <c r="AR34" s="424">
        <f t="array" ref="AR34">INDEX(Demand_previous!$D$4:$AY$138, MATCH('Staging Table'!$A34, Demand_previous!$B$4:$B$138, 0), MATCH(AR$4&amp;AR$5,Demand_previous!$D$2:$AY$2&amp;Demand_previous!$D$3:$AY$3, 0))/1000</f>
        <v>0</v>
      </c>
      <c r="AS34" s="424">
        <f t="array" ref="AS34">INDEX(Demand_previous!$D$4:$AY$138, MATCH('Staging Table'!$A34, Demand_previous!$B$4:$B$138, 0), MATCH(AS$4&amp;AS$5,Demand_previous!$D$2:$AY$2&amp;Demand_previous!$D$3:$AY$3, 0))/1000</f>
        <v>0.01</v>
      </c>
      <c r="AT34" s="424">
        <f t="array" ref="AT34">INDEX(Demand_previous!$D$4:$AY$138, MATCH('Staging Table'!$A34, Demand_previous!$B$4:$B$138, 0), MATCH(AT$4&amp;AT$5,Demand_previous!$D$2:$AY$2&amp;Demand_previous!$D$3:$AY$3, 0))/1000</f>
        <v>1.4E-2</v>
      </c>
      <c r="AU34" s="424">
        <f t="array" ref="AU34">INDEX(Demand_previous!$D$4:$AY$138, MATCH('Staging Table'!$A34, Demand_previous!$B$4:$B$138, 0), MATCH(AU$4&amp;AU$5,Demand_previous!$D$2:$AY$2&amp;Demand_previous!$D$3:$AY$3, 0))/1000</f>
        <v>0</v>
      </c>
      <c r="AV34" s="227">
        <f>$F34*(VLOOKUP(AV$4, Rates_previous!$G$6:$Q$29, 10, FALSE)+VLOOKUP(AV$4, Rates_previous!$G$6:$Q$29, 11, FALSE))</f>
        <v>67.988147554647739</v>
      </c>
      <c r="AW34" s="227">
        <f>$F34*(VLOOKUP(AW$4, Rates_previous!$G$6:$Q$29, 10, FALSE)+VLOOKUP(AW$4, Rates_previous!$G$6:$Q$29, 11, FALSE))</f>
        <v>84.028183004483736</v>
      </c>
      <c r="AX34" s="227">
        <f>$F34*(VLOOKUP(AX$4, Rates_previous!$G$6:$Q$29, 10, FALSE)+VLOOKUP(AX$4, Rates_previous!$G$6:$Q$29, 11, FALSE))</f>
        <v>83.019105029161238</v>
      </c>
      <c r="AY34" s="227">
        <f>$F34*(VLOOKUP(AY$4, Rates_previous!$G$6:$Q$29, 10, FALSE)+VLOOKUP(AY$4, Rates_previous!$G$6:$Q$29, 11, FALSE))</f>
        <v>70.931912219820006</v>
      </c>
      <c r="AZ34" s="227">
        <f>$F34*(VLOOKUP(AZ$4, Rates_previous!$G$6:$Q$29, 10, FALSE)+VLOOKUP(AZ$4, Rates_previous!$G$6:$Q$29, 11, FALSE))</f>
        <v>58.15040927581525</v>
      </c>
      <c r="BA34" s="227">
        <f>$F34*(VLOOKUP(BA$4, Rates_previous!$G$6:$Q$29, 10, FALSE)+VLOOKUP(BA$4, Rates_previous!$G$6:$Q$29, 11, FALSE))</f>
        <v>68.847972363674501</v>
      </c>
      <c r="BB34" s="227">
        <f>$F34*(VLOOKUP(BB$4, Rates_previous!$G$6:$Q$29, 10, FALSE)+VLOOKUP(BB$4, Rates_previous!$G$6:$Q$29, 11, FALSE))</f>
        <v>66.172915990047997</v>
      </c>
      <c r="BC34" s="227">
        <f>$F34*(VLOOKUP(BC$4, Rates_previous!$G$6:$Q$29, 10, FALSE)+VLOOKUP(BC$4, Rates_previous!$G$6:$Q$29, 11, FALSE))</f>
        <v>97.104071638049007</v>
      </c>
      <c r="BD34" s="227">
        <f>$F34*(VLOOKUP(BD$4, Rates_previous!$G$6:$Q$29, 10, FALSE)+VLOOKUP(BD$4, Rates_previous!$G$6:$Q$29, 11, FALSE))</f>
        <v>76.612546030523006</v>
      </c>
      <c r="BE34" s="227">
        <f>$F34*(VLOOKUP(BE$4, Rates_previous!$G$6:$Q$29, 10, FALSE)+VLOOKUP(BE$4, Rates_previous!$G$6:$Q$29, 11, FALSE))</f>
        <v>67.272245929474764</v>
      </c>
      <c r="BF34" s="227">
        <f>$F34*(VLOOKUP(BF$4, Rates_previous!$G$6:$Q$29, 10, FALSE)+VLOOKUP(BF$4, Rates_previous!$G$6:$Q$29, 11, FALSE))</f>
        <v>74.506705121033505</v>
      </c>
      <c r="BG34" s="227">
        <f>$F34*(VLOOKUP(BG$4, Rates_previous!$G$6:$Q$29, 10, FALSE)+VLOOKUP(BG$4, Rates_previous!$G$6:$Q$29, 11, FALSE))</f>
        <v>67.500111893692747</v>
      </c>
      <c r="BH34" s="229">
        <f>IF($D34=0,IF(C34=0, MAX(BK34 - (VLOOKUP($A34,TOCA_previous!$A$2:$AI$137,MATCH("RHWM 2018",TOCA_previous!$A$2:$AI$2,0),FALSE)*$F$2*TOCA_previous!C31),0),0), 0)</f>
        <v>0</v>
      </c>
      <c r="BI34" s="266">
        <f>VLOOKUP($A34,REP_previous!$A$1:$D$135,MATCH("FY "&amp;$F$1&amp; " Total Refund",REP_previous!$A$1:$D$1,0),0)</f>
        <v>575.17635498852121</v>
      </c>
      <c r="BJ34" s="241">
        <f>MIN(VLOOKUP($A34,TOCA_previous!$A$2:$AI$137,MATCH("TRL - NLSL - Existing Resource "&amp;$F$1,TOCA_previous!$A$2:$AI$2,0),FALSE)*$F$2,(VLOOKUP($A34,TOCA_previous!$A$2:$AI$137,MATCH("RHWM 2018",TOCA_previous!$A$2:$AI$2,0),FALSE)*$F$2))</f>
        <v>884.7600000000001</v>
      </c>
      <c r="BK34" s="229">
        <f>SUM(L34:AI34)+(F34*RT1SC!$C$3*$F$2)</f>
        <v>824.13433892</v>
      </c>
      <c r="BL34" s="241">
        <f>VLOOKUP($A34,TOCA_previous!$A$2:$AI$137,MATCH("Above RHWM Not Served with LS "&amp;$F$1,TOCA_previous!$A$2:$AI$2,0),FALSE)*$F$2</f>
        <v>0</v>
      </c>
      <c r="BM34" s="151">
        <f t="shared" si="5"/>
        <v>-60.6256610800001</v>
      </c>
      <c r="BN34" s="242">
        <f>(VLOOKUP($A34,TOCA_previous!$A$2:$AI$137,MATCH("RHWM 2018",TOCA_previous!$A$2:$AI$2,0),FALSE)*$F$2) - $BJ34</f>
        <v>131.39999999999998</v>
      </c>
      <c r="BO34" s="151">
        <f t="shared" si="6"/>
        <v>0</v>
      </c>
      <c r="BP34" s="243">
        <f t="shared" si="7"/>
        <v>60.6256610800001</v>
      </c>
      <c r="BQ34" s="237">
        <f t="shared" si="8"/>
        <v>0</v>
      </c>
      <c r="BR34" s="242">
        <f t="shared" si="9"/>
        <v>60.6256610800001</v>
      </c>
      <c r="BS34" s="151">
        <f>VLOOKUP($A34,TOCA_current!$A$2:$AI$137,MATCH(BS$4,TOCA_current!$A$2:$AI$2,0),FALSE)</f>
        <v>1.34E-5</v>
      </c>
      <c r="BT34" s="151">
        <f>VLOOKUP($A34,TOCA_current!$A$2:$AI$137,MATCH(BT$4,TOCA_current!$A$2:$AI$2,0),FALSE)</f>
        <v>1.34E-5</v>
      </c>
      <c r="BU34" s="236">
        <f t="shared" si="10"/>
        <v>0</v>
      </c>
      <c r="BV34" s="151">
        <f>VLOOKUP($A34,TOCA_current!A30:BG165,MATCH(BV$4,TOCA_current!$A$2:$BG$2,0),FALSE)</f>
        <v>0</v>
      </c>
      <c r="BW34" s="151">
        <f t="shared" si="11"/>
        <v>0</v>
      </c>
      <c r="BX34" s="151">
        <f t="shared" si="12"/>
        <v>0</v>
      </c>
      <c r="BY34" s="226">
        <f>VLOOKUP($A34,IRD!$A$4:$G$139, 7, FALSE)</f>
        <v>0</v>
      </c>
      <c r="BZ34" s="227">
        <f t="array" ref="BZ34">IF($BU34=0, INDEX(LS_current!$D$4:$AY$138, MATCH('Staging Table'!$A34, LS_current!$B$4:$B$138, 0), MATCH(BZ$4&amp;BZ$5, LS_current!$D$2:$AY$2&amp;LS_current!$D$3:$AY$3, 0)),SUM(VLOOKUP($A34, LS_current!$B$4:$AY$138, LS_current!D$148, FALSE), VLOOKUP($A34, LS_current!$B$4:$AY$138,LS_current!D$148, FALSE))/2)</f>
        <v>-7</v>
      </c>
      <c r="CA34" s="227">
        <f t="array" ref="CA34">IF($BU34=0, INDEX(LS_current!$D$4:$AY$138, MATCH('Staging Table'!$A34, LS_current!$B$4:$B$138, 0), MATCH(CA$4&amp;CA$5, LS_current!$D$2:$AY$2&amp;LS_current!$D$3:$AY$3, 0)),SUM(VLOOKUP($A34, LS_current!$B$4:$AY$138, LS_current!E$148, FALSE), VLOOKUP($A34, LS_current!$B$4:$AY$138,LS_current!E$148, FALSE))/2)</f>
        <v>1</v>
      </c>
      <c r="CB34" s="227">
        <f t="array" ref="CB34">IF($BU34=0, INDEX(LS_current!$D$4:$AY$138, MATCH('Staging Table'!$A34, LS_current!$B$4:$B$138, 0), MATCH(CB$4&amp;CB$5, LS_current!$D$2:$AY$2&amp;LS_current!$D$3:$AY$3, 0)),SUM(VLOOKUP($A34, LS_current!$B$4:$AY$138, LS_current!F$148, FALSE), VLOOKUP($A34, LS_current!$B$4:$AY$138,LS_current!F$148, FALSE))/2)</f>
        <v>-3</v>
      </c>
      <c r="CC34" s="227">
        <f t="array" ref="CC34">IF($BU34=0, INDEX(LS_current!$D$4:$AY$138, MATCH('Staging Table'!$A34, LS_current!$B$4:$B$138, 0), MATCH(CC$4&amp;CC$5, LS_current!$D$2:$AY$2&amp;LS_current!$D$3:$AY$3, 0)),SUM(VLOOKUP($A34, LS_current!$B$4:$AY$138, LS_current!G$148, FALSE), VLOOKUP($A34, LS_current!$B$4:$AY$138,LS_current!G$148, FALSE))/2)</f>
        <v>5</v>
      </c>
      <c r="CD34" s="227">
        <f t="array" ref="CD34">IF($BU34=0, INDEX(LS_current!$D$4:$AY$138, MATCH('Staging Table'!$A34, LS_current!$B$4:$B$138, 0), MATCH(CD$4&amp;CD$5, LS_current!$D$2:$AY$2&amp;LS_current!$D$3:$AY$3, 0)),SUM(VLOOKUP($A34, LS_current!$B$4:$AY$138, LS_current!H$148, FALSE), VLOOKUP($A34, LS_current!$B$4:$AY$138,LS_current!H$148, FALSE))/2)</f>
        <v>12</v>
      </c>
      <c r="CE34" s="227">
        <f t="array" ref="CE34">IF($BU34=0, INDEX(LS_current!$D$4:$AY$138, MATCH('Staging Table'!$A34, LS_current!$B$4:$B$138, 0), MATCH(CE$4&amp;CE$5, LS_current!$D$2:$AY$2&amp;LS_current!$D$3:$AY$3, 0)),SUM(VLOOKUP($A34, LS_current!$B$4:$AY$138, LS_current!I$148, FALSE), VLOOKUP($A34, LS_current!$B$4:$AY$138,LS_current!I$148, FALSE))/2)</f>
        <v>18</v>
      </c>
      <c r="CF34" s="227">
        <f t="array" ref="CF34">IF($BU34=0, INDEX(LS_current!$D$4:$AY$138, MATCH('Staging Table'!$A34, LS_current!$B$4:$B$138, 0), MATCH(CF$4&amp;CF$5, LS_current!$D$2:$AY$2&amp;LS_current!$D$3:$AY$3, 0)),SUM(VLOOKUP($A34, LS_current!$B$4:$AY$138, LS_current!J$148, FALSE), VLOOKUP($A34, LS_current!$B$4:$AY$138,LS_current!J$148, FALSE))/2)</f>
        <v>23</v>
      </c>
      <c r="CG34" s="227">
        <f t="array" ref="CG34">IF($BU34=0, INDEX(LS_current!$D$4:$AY$138, MATCH('Staging Table'!$A34, LS_current!$B$4:$B$138, 0), MATCH(CG$4&amp;CG$5, LS_current!$D$2:$AY$2&amp;LS_current!$D$3:$AY$3, 0)),SUM(VLOOKUP($A34, LS_current!$B$4:$AY$138, LS_current!K$148, FALSE), VLOOKUP($A34, LS_current!$B$4:$AY$138,LS_current!K$148, FALSE))/2)</f>
        <v>23</v>
      </c>
      <c r="CH34" s="227">
        <f t="array" ref="CH34">IF($BU34=0, INDEX(LS_current!$D$4:$AY$138, MATCH('Staging Table'!$A34, LS_current!$B$4:$B$138, 0), MATCH(CH$4&amp;CH$5, LS_current!$D$2:$AY$2&amp;LS_current!$D$3:$AY$3, 0)),SUM(VLOOKUP($A34, LS_current!$B$4:$AY$138, LS_current!L$148, FALSE), VLOOKUP($A34, LS_current!$B$4:$AY$138,LS_current!L$148, FALSE))/2)</f>
        <v>19</v>
      </c>
      <c r="CI34" s="227">
        <f t="array" ref="CI34">IF($BU34=0, INDEX(LS_current!$D$4:$AY$138, MATCH('Staging Table'!$A34, LS_current!$B$4:$B$138, 0), MATCH(CI$4&amp;CI$5, LS_current!$D$2:$AY$2&amp;LS_current!$D$3:$AY$3, 0)),SUM(VLOOKUP($A34, LS_current!$B$4:$AY$138, LS_current!M$148, FALSE), VLOOKUP($A34, LS_current!$B$4:$AY$138,LS_current!M$148, FALSE))/2)</f>
        <v>17</v>
      </c>
      <c r="CJ34" s="227">
        <f t="array" ref="CJ34">IF($BU34=0, INDEX(LS_current!$D$4:$AY$138, MATCH('Staging Table'!$A34, LS_current!$B$4:$B$138, 0), MATCH(CJ$4&amp;CJ$5, LS_current!$D$2:$AY$2&amp;LS_current!$D$3:$AY$3, 0)),SUM(VLOOKUP($A34, LS_current!$B$4:$AY$138, LS_current!N$148, FALSE), VLOOKUP($A34, LS_current!$B$4:$AY$138,LS_current!N$148, FALSE))/2)</f>
        <v>2</v>
      </c>
      <c r="CK34" s="227">
        <f t="array" ref="CK34">IF($BU34=0, INDEX(LS_current!$D$4:$AY$138, MATCH('Staging Table'!$A34, LS_current!$B$4:$B$138, 0), MATCH(CK$4&amp;CK$5, LS_current!$D$2:$AY$2&amp;LS_current!$D$3:$AY$3, 0)),SUM(VLOOKUP($A34, LS_current!$B$4:$AY$138, LS_current!O$148, FALSE), VLOOKUP($A34, LS_current!$B$4:$AY$138,LS_current!O$148, FALSE))/2)</f>
        <v>9</v>
      </c>
      <c r="CL34" s="227">
        <f t="array" ref="CL34">IF($BU34=0, INDEX(LS_current!$D$4:$AY$138, MATCH('Staging Table'!$A34, LS_current!$B$4:$B$138, 0), MATCH(CL$4&amp;CL$5, LS_current!$D$2:$AY$2&amp;LS_current!$D$3:$AY$3, 0)),SUM(VLOOKUP($A34, LS_current!$B$4:$AY$138, LS_current!P$148, FALSE), VLOOKUP($A34, LS_current!$B$4:$AY$138,LS_current!P$148, FALSE))/2)</f>
        <v>3</v>
      </c>
      <c r="CM34" s="227">
        <f t="array" ref="CM34">IF($BU34=0, INDEX(LS_current!$D$4:$AY$138, MATCH('Staging Table'!$A34, LS_current!$B$4:$B$138, 0), MATCH(CM$4&amp;CM$5, LS_current!$D$2:$AY$2&amp;LS_current!$D$3:$AY$3, 0)),SUM(VLOOKUP($A34, LS_current!$B$4:$AY$138, LS_current!Q$148, FALSE), VLOOKUP($A34, LS_current!$B$4:$AY$138,LS_current!Q$148, FALSE))/2)</f>
        <v>6</v>
      </c>
      <c r="CN34" s="227">
        <f t="array" ref="CN34">IF($BU34=0, INDEX(LS_current!$D$4:$AY$138, MATCH('Staging Table'!$A34, LS_current!$B$4:$B$138, 0), MATCH(CN$4&amp;CN$5, LS_current!$D$2:$AY$2&amp;LS_current!$D$3:$AY$3, 0)),SUM(VLOOKUP($A34, LS_current!$B$4:$AY$138, LS_current!R$148, FALSE), VLOOKUP($A34, LS_current!$B$4:$AY$138,LS_current!R$148, FALSE))/2)</f>
        <v>-19</v>
      </c>
      <c r="CO34" s="227">
        <f t="array" ref="CO34">IF($BU34=0, INDEX(LS_current!$D$4:$AY$138, MATCH('Staging Table'!$A34, LS_current!$B$4:$B$138, 0), MATCH(CO$4&amp;CO$5, LS_current!$D$2:$AY$2&amp;LS_current!$D$3:$AY$3, 0)),SUM(VLOOKUP($A34, LS_current!$B$4:$AY$138, LS_current!S$148, FALSE), VLOOKUP($A34, LS_current!$B$4:$AY$138,LS_current!S$148, FALSE))/2)</f>
        <v>-3</v>
      </c>
      <c r="CP34" s="227">
        <f t="array" ref="CP34">IF($BU34=0, INDEX(LS_current!$D$4:$AY$138, MATCH('Staging Table'!$A34, LS_current!$B$4:$B$138, 0), MATCH(CP$4&amp;CP$5, LS_current!$D$2:$AY$2&amp;LS_current!$D$3:$AY$3, 0)),SUM(VLOOKUP($A34, LS_current!$B$4:$AY$138, LS_current!T$148, FALSE), VLOOKUP($A34, LS_current!$B$4:$AY$138,LS_current!T$148, FALSE))/2)</f>
        <v>-31</v>
      </c>
      <c r="CQ34" s="227">
        <f t="array" ref="CQ34">IF($BU34=0, INDEX(LS_current!$D$4:$AY$138, MATCH('Staging Table'!$A34, LS_current!$B$4:$B$138, 0), MATCH(CQ$4&amp;CQ$5, LS_current!$D$2:$AY$2&amp;LS_current!$D$3:$AY$3, 0)),SUM(VLOOKUP($A34, LS_current!$B$4:$AY$138, LS_current!U$148, FALSE), VLOOKUP($A34, LS_current!$B$4:$AY$138,LS_current!U$148, FALSE))/2)</f>
        <v>-14</v>
      </c>
      <c r="CR34" s="227">
        <f t="array" ref="CR34">IF($BU34=0, INDEX(LS_current!$D$4:$AY$138, MATCH('Staging Table'!$A34, LS_current!$B$4:$B$138, 0), MATCH(CR$4&amp;CR$5, LS_current!$D$2:$AY$2&amp;LS_current!$D$3:$AY$3, 0)),SUM(VLOOKUP($A34, LS_current!$B$4:$AY$138, LS_current!V$148, FALSE), VLOOKUP($A34, LS_current!$B$4:$AY$138,LS_current!V$148, FALSE))/2)</f>
        <v>-20</v>
      </c>
      <c r="CS34" s="227">
        <f t="array" ref="CS34">IF($BU34=0, INDEX(LS_current!$D$4:$AY$138, MATCH('Staging Table'!$A34, LS_current!$B$4:$B$138, 0), MATCH(CS$4&amp;CS$5, LS_current!$D$2:$AY$2&amp;LS_current!$D$3:$AY$3, 0)),SUM(VLOOKUP($A34, LS_current!$B$4:$AY$138, LS_current!W$148, FALSE), VLOOKUP($A34, LS_current!$B$4:$AY$138,LS_current!W$148, FALSE))/2)</f>
        <v>-2</v>
      </c>
      <c r="CT34" s="227">
        <f t="array" ref="CT34">IF($BU34=0, INDEX(LS_current!$D$4:$AY$138, MATCH('Staging Table'!$A34, LS_current!$B$4:$B$138, 0), MATCH(CT$4&amp;CT$5, LS_current!$D$2:$AY$2&amp;LS_current!$D$3:$AY$3, 0)),SUM(VLOOKUP($A34, LS_current!$B$4:$AY$138, LS_current!X$148, FALSE), VLOOKUP($A34, LS_current!$B$4:$AY$138,LS_current!X$148, FALSE))/2)</f>
        <v>-20</v>
      </c>
      <c r="CU34" s="227">
        <f t="array" ref="CU34">IF($BU34=0, INDEX(LS_current!$D$4:$AY$138, MATCH('Staging Table'!$A34, LS_current!$B$4:$B$138, 0), MATCH(CU$4&amp;CU$5, LS_current!$D$2:$AY$2&amp;LS_current!$D$3:$AY$3, 0)),SUM(VLOOKUP($A34, LS_current!$B$4:$AY$138, LS_current!Y$148, FALSE), VLOOKUP($A34, LS_current!$B$4:$AY$138,LS_current!Y$148, FALSE))/2)</f>
        <v>-3</v>
      </c>
      <c r="CV34" s="227">
        <f t="array" ref="CV34">IF($BU34=0, INDEX(LS_current!$D$4:$AY$138, MATCH('Staging Table'!$A34, LS_current!$B$4:$B$138, 0), MATCH(CV$4&amp;CV$5, LS_current!$D$2:$AY$2&amp;LS_current!$D$3:$AY$3, 0)),SUM(VLOOKUP($A34, LS_current!$B$4:$AY$138, LS_current!Z$148, FALSE), VLOOKUP($A34, LS_current!$B$4:$AY$138,LS_current!Z$148, FALSE))/2)</f>
        <v>-15</v>
      </c>
      <c r="CW34" s="227">
        <f t="array" ref="CW34">IF($BU34=0, INDEX(LS_current!$D$4:$AY$138, MATCH('Staging Table'!$A34, LS_current!$B$4:$B$138, 0), MATCH(CW$4&amp;CW$5, LS_current!$D$2:$AY$2&amp;LS_current!$D$3:$AY$3, 0)),SUM(VLOOKUP($A34, LS_current!$B$4:$AY$138, LS_current!AA$148, FALSE), VLOOKUP($A34, LS_current!$B$4:$AY$138,LS_current!AA$148, FALSE))/2)</f>
        <v>-4</v>
      </c>
      <c r="CX34" s="229">
        <f t="array" ref="CX34">INDEX(Demand_current!$D$4:$AY$138, MATCH($A34, Demand_current!$B$4:$B$138, 0), MATCH(CX$4&amp;CX$5,Demand_current!$D$2:$AY$2&amp;Demand_current!$D$3:$AY$3, 0))/1000</f>
        <v>1.9E-2</v>
      </c>
      <c r="CY34" s="229">
        <f t="array" ref="CY34">INDEX(Demand_current!$D$4:$AY$138, MATCH($A34, Demand_current!$B$4:$B$138, 0), MATCH(CY$4&amp;CY$5,Demand_current!$D$2:$AY$2&amp;Demand_current!$D$3:$AY$3, 0))/1000</f>
        <v>2.7E-2</v>
      </c>
      <c r="CZ34" s="229">
        <f t="array" ref="CZ34">INDEX(Demand_current!$D$4:$AY$138, MATCH($A34, Demand_current!$B$4:$B$138, 0), MATCH(CZ$4&amp;CZ$5,Demand_current!$D$2:$AY$2&amp;Demand_current!$D$3:$AY$3, 0))/1000</f>
        <v>1.6E-2</v>
      </c>
      <c r="DA34" s="229">
        <f t="array" ref="DA34">INDEX(Demand_current!$D$4:$AY$138, MATCH($A34, Demand_current!$B$4:$B$138, 0), MATCH(DA$4&amp;DA$5,Demand_current!$D$2:$AY$2&amp;Demand_current!$D$3:$AY$3, 0))/1000</f>
        <v>4.3999999999999997E-2</v>
      </c>
      <c r="DB34" s="229">
        <f t="array" ref="DB34">INDEX(Demand_current!$D$4:$AY$138, MATCH($A34, Demand_current!$B$4:$B$138, 0), MATCH(DB$4&amp;DB$5,Demand_current!$D$2:$AY$2&amp;Demand_current!$D$3:$AY$3, 0))/1000</f>
        <v>2.1000000000000001E-2</v>
      </c>
      <c r="DC34" s="229">
        <f t="array" ref="DC34">INDEX(Demand_current!$D$4:$AY$138, MATCH($A34, Demand_current!$B$4:$B$138, 0), MATCH(DC$4&amp;DC$5,Demand_current!$D$2:$AY$2&amp;Demand_current!$D$3:$AY$3, 0))/1000</f>
        <v>2.1999999999999999E-2</v>
      </c>
      <c r="DD34" s="229">
        <f t="array" ref="DD34">INDEX(Demand_current!$D$4:$AY$138, MATCH($A34, Demand_current!$B$4:$B$138, 0), MATCH(DD$4&amp;DD$5,Demand_current!$D$2:$AY$2&amp;Demand_current!$D$3:$AY$3, 0))/1000</f>
        <v>8.9999999999999993E-3</v>
      </c>
      <c r="DE34" s="229">
        <f t="array" ref="DE34">INDEX(Demand_current!$D$4:$AY$138, MATCH($A34, Demand_current!$B$4:$B$138, 0), MATCH(DE$4&amp;DE$5,Demand_current!$D$2:$AY$2&amp;Demand_current!$D$3:$AY$3, 0))/1000</f>
        <v>0</v>
      </c>
      <c r="DF34" s="229">
        <f t="array" ref="DF34">INDEX(Demand_current!$D$4:$AY$138, MATCH($A34, Demand_current!$B$4:$B$138, 0), MATCH(DF$4&amp;DF$5,Demand_current!$D$2:$AY$2&amp;Demand_current!$D$3:$AY$3, 0))/1000</f>
        <v>0</v>
      </c>
      <c r="DG34" s="229">
        <f t="array" ref="DG34">INDEX(Demand_current!$D$4:$AY$138, MATCH($A34, Demand_current!$B$4:$B$138, 0), MATCH(DG$4&amp;DG$5,Demand_current!$D$2:$AY$2&amp;Demand_current!$D$3:$AY$3, 0))/1000</f>
        <v>1.2999999999999999E-2</v>
      </c>
      <c r="DH34" s="229">
        <f t="array" ref="DH34">INDEX(Demand_current!$D$4:$AY$138, MATCH($A34, Demand_current!$B$4:$B$138, 0), MATCH(DH$4&amp;DH$5,Demand_current!$D$2:$AY$2&amp;Demand_current!$D$3:$AY$3, 0))/1000</f>
        <v>1.2E-2</v>
      </c>
      <c r="DI34" s="229">
        <f t="array" ref="DI34">INDEX(Demand_current!$D$4:$AY$138, MATCH($A34, Demand_current!$B$4:$B$138, 0), MATCH(DI$4&amp;DI$5,Demand_current!$D$2:$AY$2&amp;Demand_current!$D$3:$AY$3, 0))/1000</f>
        <v>2E-3</v>
      </c>
      <c r="DJ34" s="227">
        <f>$BT34*(VLOOKUP(DJ$4, Rates_current!$G$6:$Q$29, 10, FALSE)+VLOOKUP(DJ$4, Rates_current!$G$6:$Q$29, 11, FALSE))</f>
        <v>61.872050426399994</v>
      </c>
      <c r="DK34" s="227">
        <f>$BT34*(VLOOKUP(DK$4, Rates_current!$G$6:$Q$29, 10, FALSE)+VLOOKUP(DK$4, Rates_current!$G$6:$Q$29, 11, FALSE))</f>
        <v>78.596805402599998</v>
      </c>
      <c r="DL34" s="227">
        <f>$BT34*(VLOOKUP(DL$4, Rates_current!$G$6:$Q$29, 10, FALSE)+VLOOKUP(DL$4, Rates_current!$G$6:$Q$29, 11, FALSE))</f>
        <v>77.647642626400014</v>
      </c>
      <c r="DM34" s="227">
        <f>$BT34*(VLOOKUP(DM$4, Rates_current!$G$6:$Q$29, 10, FALSE)+VLOOKUP(DM$4, Rates_current!$G$6:$Q$29, 11, FALSE))</f>
        <v>64.724039426400012</v>
      </c>
      <c r="DN34" s="227">
        <f>$BT34*(VLOOKUP(DN$4, Rates_current!$G$6:$Q$29, 10, FALSE)+VLOOKUP(DN$4, Rates_current!$G$6:$Q$29, 11, FALSE))</f>
        <v>58.633265119999997</v>
      </c>
      <c r="DO34" s="227">
        <f>$BT34*(VLOOKUP(DO$4, Rates_current!$G$6:$Q$29, 10, FALSE)+VLOOKUP(DO$4, Rates_current!$G$6:$Q$29, 11, FALSE))</f>
        <v>65.218817555800001</v>
      </c>
      <c r="DP34" s="227">
        <f>$BT34*(VLOOKUP(DP$4, Rates_current!$G$6:$Q$29, 10, FALSE)+VLOOKUP(DP$4, Rates_current!$G$6:$Q$29, 11, FALSE))</f>
        <v>53.101231632000001</v>
      </c>
      <c r="DQ34" s="227">
        <f>$BT34*(VLOOKUP(DQ$4, Rates_current!$G$6:$Q$29, 10, FALSE)+VLOOKUP(DQ$4, Rates_current!$G$6:$Q$29, 11, FALSE))</f>
        <v>71.614929126400014</v>
      </c>
      <c r="DR34" s="227">
        <f>$BT34*(VLOOKUP(DR$4, Rates_current!$G$6:$Q$29, 10, FALSE)+VLOOKUP(DR$4, Rates_current!$G$6:$Q$29, 11, FALSE))</f>
        <v>91.375778932000003</v>
      </c>
      <c r="DS34" s="227">
        <f>$BT34*(VLOOKUP(DS$4, Rates_current!$G$6:$Q$29, 10, FALSE)+VLOOKUP(DS$4, Rates_current!$G$6:$Q$29, 11, FALSE))</f>
        <v>71.641508026400004</v>
      </c>
      <c r="DT34" s="227">
        <f>$BT34*(VLOOKUP(DT$4, Rates_current!$G$6:$Q$29, 10, FALSE)+VLOOKUP(DT$4, Rates_current!$G$6:$Q$29, 11, FALSE))</f>
        <v>69.764563326400008</v>
      </c>
      <c r="DU34" s="227">
        <f>$BT34*(VLOOKUP(DU$4, Rates_current!$G$6:$Q$29, 10, FALSE)+VLOOKUP(DU$4, Rates_current!$G$6:$Q$29, 11, FALSE))</f>
        <v>62.633737032000006</v>
      </c>
      <c r="DV34" s="229">
        <f>IF(D34=0,IF(C34=0,MAX(0,DY34 - (VLOOKUP($A34,TOCA_current!$A$2:$AI$137,MATCH("RHWM 2020",TOCA_current!$A$2:$AI$2,0),FALSE)*$BT$2)), 0),0)</f>
        <v>0</v>
      </c>
      <c r="DW34" s="266">
        <f>VLOOKUP($A34,REP_current!$A$1:$D$135,MATCH("FY "&amp;$BT$1&amp; " Total Refund",REP_current!$A$1:$D$1,0),0)</f>
        <v>0</v>
      </c>
      <c r="DX34" s="295">
        <f>MIN(VLOOKUP($A34,TOCA_current!$A$2:$AI$137,MATCH("TRL - NLSL - Existing Resource "&amp;$BT$1,TOCA_current!$A$2:$AI$2,0),FALSE)*$BT$2, VLOOKUP($A34,TOCA_current!$A$2:$AI$137,MATCH("RHWM 2020",TOCA_current!$A$2:$AI$2,0),FALSE)*$BT$2)</f>
        <v>825.69600000000003</v>
      </c>
      <c r="DY34" s="240">
        <f>SUM(BZ34:CW34)+(BT34*RT1SC!$C$4*$BT$2)</f>
        <v>823.82439966719994</v>
      </c>
      <c r="DZ34" s="271">
        <f>VLOOKUP($A34,TOCA_current!$A$2:$AI$137,MATCH("Above RHWM Not Served with LS "&amp;$BT$1,TOCA_current!$A$2:$AI$2,0),FALSE)*$BT$2</f>
        <v>0</v>
      </c>
      <c r="EA34" s="244">
        <f t="shared" si="13"/>
        <v>-1.8716003328000852</v>
      </c>
      <c r="EB34" s="295">
        <f>(VLOOKUP($A34,TOCA_current!$A$2:$AI$137,MATCH("RHWM 2020",TOCA_current!$A$2:$AI$2,0),FALSE)*$BT$2) - $DX34</f>
        <v>210.81599999999992</v>
      </c>
      <c r="EC34" s="240">
        <f t="shared" si="14"/>
        <v>0</v>
      </c>
      <c r="ED34" s="240">
        <f t="shared" si="15"/>
        <v>1.8716003328000852</v>
      </c>
      <c r="EE34" s="240">
        <f t="shared" si="16"/>
        <v>0</v>
      </c>
      <c r="EF34" s="240">
        <f t="shared" si="17"/>
        <v>1.8716003328000852</v>
      </c>
    </row>
    <row r="35" spans="1:136">
      <c r="A35" s="166">
        <v>10083</v>
      </c>
      <c r="B35" s="167" t="s">
        <v>36</v>
      </c>
      <c r="C35" s="240">
        <v>0</v>
      </c>
      <c r="D35" s="240">
        <v>0</v>
      </c>
      <c r="E35" s="150">
        <f>VLOOKUP($A35,TOCA_previous!$A$2:$AI$137,MATCH(E$4,TOCA_previous!$A$2:$AI$2,0),FALSE)</f>
        <v>1.1849E-3</v>
      </c>
      <c r="F35" s="151">
        <f>VLOOKUP($A35,TOCA_previous!$A$2:$AI$137,MATCH(F$4,TOCA_previous!$A$2:$AI$2,0),FALSE)</f>
        <v>1.1849E-3</v>
      </c>
      <c r="G35" s="151">
        <f t="shared" si="2"/>
        <v>0</v>
      </c>
      <c r="H35" s="151">
        <f>VLOOKUP($A35,TOCA_previous!$A$2:$AI$137,MATCH(H$4,TOCA_previous!$A$2:$AI$2,0),FALSE)</f>
        <v>0</v>
      </c>
      <c r="I35" s="151">
        <f t="shared" si="3"/>
        <v>0</v>
      </c>
      <c r="J35" s="151">
        <f t="shared" si="4"/>
        <v>0</v>
      </c>
      <c r="K35" s="226">
        <f>VLOOKUP(A35, IRD!$A$5:$C$139, 3, FALSE)</f>
        <v>0</v>
      </c>
      <c r="L35" s="227">
        <f t="array" ref="L35">IF($G35=0, INDEX(LS_previous!$D$4:$AY$138, MATCH('Staging Table'!$A35, LS_previous!$B$4:$B$138, 0), MATCH(L$4&amp;L$5, LS_previous!$D$2:$AY$2&amp;LS_previous!$D$3:$AY$3, 0)),SUM(VLOOKUP($A35, LS_previous!$B$4:$AY$138, LS_previous!D$149, FALSE), VLOOKUP('Staging Table'!$A35, LS_previous!$B$4:$AY$138,LS_previous!AB$149, FALSE))/2)</f>
        <v>226</v>
      </c>
      <c r="M35" s="227">
        <f t="array" ref="M35">IF($G35=0, INDEX(LS_previous!$D$4:$AY$138, MATCH('Staging Table'!$A35, LS_previous!$B$4:$B$138, 0), MATCH(M$4&amp;M$5, LS_previous!$D$2:$AY$2&amp;LS_previous!$D$3:$AY$3, 0)),SUM(VLOOKUP($A35, LS_previous!$B$4:$AY$138, LS_previous!E$149, FALSE), VLOOKUP('Staging Table'!$A35, LS_previous!$B$4:$AY$138,LS_previous!AC$149, FALSE))/2)</f>
        <v>100</v>
      </c>
      <c r="N35" s="227">
        <f t="array" ref="N35">IF($G35=0, INDEX(LS_previous!$D$4:$AY$138, MATCH('Staging Table'!$A35, LS_previous!$B$4:$B$138, 0), MATCH(N$4&amp;N$5, LS_previous!$D$2:$AY$2&amp;LS_previous!$D$3:$AY$3, 0)),SUM(VLOOKUP($A35, LS_previous!$B$4:$AY$138, LS_previous!F$149, FALSE), VLOOKUP('Staging Table'!$A35, LS_previous!$B$4:$AY$138,LS_previous!AD$149, FALSE))/2)</f>
        <v>184</v>
      </c>
      <c r="O35" s="227">
        <f t="array" ref="O35">IF($G35=0, INDEX(LS_previous!$D$4:$AY$138, MATCH('Staging Table'!$A35, LS_previous!$B$4:$B$138, 0), MATCH(O$4&amp;O$5, LS_previous!$D$2:$AY$2&amp;LS_previous!$D$3:$AY$3, 0)),SUM(VLOOKUP($A35, LS_previous!$B$4:$AY$138, LS_previous!G$149, FALSE), VLOOKUP('Staging Table'!$A35, LS_previous!$B$4:$AY$138,LS_previous!AE$149, FALSE))/2)</f>
        <v>346</v>
      </c>
      <c r="P35" s="227">
        <f t="array" ref="P35">IF($G35=0, INDEX(LS_previous!$D$4:$AY$138, MATCH('Staging Table'!$A35, LS_previous!$B$4:$B$138, 0), MATCH(P$4&amp;P$5, LS_previous!$D$2:$AY$2&amp;LS_previous!$D$3:$AY$3, 0)),SUM(VLOOKUP($A35, LS_previous!$B$4:$AY$138, LS_previous!H$149, FALSE), VLOOKUP('Staging Table'!$A35, LS_previous!$B$4:$AY$138,LS_previous!AF$149, FALSE))/2)</f>
        <v>608</v>
      </c>
      <c r="Q35" s="227">
        <f t="array" ref="Q35">IF($G35=0, INDEX(LS_previous!$D$4:$AY$138, MATCH('Staging Table'!$A35, LS_previous!$B$4:$B$138, 0), MATCH(Q$4&amp;Q$5, LS_previous!$D$2:$AY$2&amp;LS_previous!$D$3:$AY$3, 0)),SUM(VLOOKUP($A35, LS_previous!$B$4:$AY$138, LS_previous!I$149, FALSE), VLOOKUP('Staging Table'!$A35, LS_previous!$B$4:$AY$138,LS_previous!AG$149, FALSE))/2)</f>
        <v>849</v>
      </c>
      <c r="R35" s="227">
        <f t="array" ref="R35">IF($G35=0, INDEX(LS_previous!$D$4:$AY$138, MATCH('Staging Table'!$A35, LS_previous!$B$4:$B$138, 0), MATCH(R$4&amp;R$5, LS_previous!$D$2:$AY$2&amp;LS_previous!$D$3:$AY$3, 0)),SUM(VLOOKUP($A35, LS_previous!$B$4:$AY$138, LS_previous!J$149, FALSE), VLOOKUP('Staging Table'!$A35, LS_previous!$B$4:$AY$138,LS_previous!AH$149, FALSE))/2)</f>
        <v>1433</v>
      </c>
      <c r="S35" s="227">
        <f t="array" ref="S35">IF($G35=0, INDEX(LS_previous!$D$4:$AY$138, MATCH('Staging Table'!$A35, LS_previous!$B$4:$B$138, 0), MATCH(S$4&amp;S$5, LS_previous!$D$2:$AY$2&amp;LS_previous!$D$3:$AY$3, 0)),SUM(VLOOKUP($A35, LS_previous!$B$4:$AY$138, LS_previous!K$149, FALSE), VLOOKUP('Staging Table'!$A35, LS_previous!$B$4:$AY$138,LS_previous!AI$149, FALSE))/2)</f>
        <v>972</v>
      </c>
      <c r="T35" s="227">
        <f t="array" ref="T35">IF($G35=0, INDEX(LS_previous!$D$4:$AY$138, MATCH('Staging Table'!$A35, LS_previous!$B$4:$B$138, 0), MATCH(T$4&amp;T$5, LS_previous!$D$2:$AY$2&amp;LS_previous!$D$3:$AY$3, 0)),SUM(VLOOKUP($A35, LS_previous!$B$4:$AY$138, LS_previous!L$149, FALSE), VLOOKUP('Staging Table'!$A35, LS_previous!$B$4:$AY$138,LS_previous!AJ$149, FALSE))/2)</f>
        <v>1726</v>
      </c>
      <c r="U35" s="227">
        <f t="array" ref="U35">IF($G35=0, INDEX(LS_previous!$D$4:$AY$138, MATCH('Staging Table'!$A35, LS_previous!$B$4:$B$138, 0), MATCH(U$4&amp;U$5, LS_previous!$D$2:$AY$2&amp;LS_previous!$D$3:$AY$3, 0)),SUM(VLOOKUP($A35, LS_previous!$B$4:$AY$138, LS_previous!M$149, FALSE), VLOOKUP('Staging Table'!$A35, LS_previous!$B$4:$AY$138,LS_previous!AK$149, FALSE))/2)</f>
        <v>1080</v>
      </c>
      <c r="V35" s="227">
        <f t="array" ref="V35">IF($G35=0, INDEX(LS_previous!$D$4:$AY$138, MATCH('Staging Table'!$A35, LS_previous!$B$4:$B$138, 0), MATCH(V$4&amp;V$5, LS_previous!$D$2:$AY$2&amp;LS_previous!$D$3:$AY$3, 0)),SUM(VLOOKUP($A35, LS_previous!$B$4:$AY$138, LS_previous!N$149, FALSE), VLOOKUP('Staging Table'!$A35, LS_previous!$B$4:$AY$138,LS_previous!AL$149, FALSE))/2)</f>
        <v>493</v>
      </c>
      <c r="W35" s="227">
        <f t="array" ref="W35">IF($G35=0, INDEX(LS_previous!$D$4:$AY$138, MATCH('Staging Table'!$A35, LS_previous!$B$4:$B$138, 0), MATCH(W$4&amp;W$5, LS_previous!$D$2:$AY$2&amp;LS_previous!$D$3:$AY$3, 0)),SUM(VLOOKUP($A35, LS_previous!$B$4:$AY$138, LS_previous!O$149, FALSE), VLOOKUP('Staging Table'!$A35, LS_previous!$B$4:$AY$138,LS_previous!AM$149, FALSE))/2)</f>
        <v>513</v>
      </c>
      <c r="X35" s="227">
        <f t="array" ref="X35">IF($G35=0, INDEX(LS_previous!$D$4:$AY$138, MATCH('Staging Table'!$A35, LS_previous!$B$4:$B$138, 0), MATCH(X$4&amp;X$5, LS_previous!$D$2:$AY$2&amp;LS_previous!$D$3:$AY$3, 0)),SUM(VLOOKUP($A35, LS_previous!$B$4:$AY$138, LS_previous!P$149, FALSE), VLOOKUP('Staging Table'!$A35, LS_previous!$B$4:$AY$138,LS_previous!AN$149, FALSE))/2)</f>
        <v>437</v>
      </c>
      <c r="Y35" s="227">
        <f t="array" ref="Y35">IF($G35=0, INDEX(LS_previous!$D$4:$AY$138, MATCH('Staging Table'!$A35, LS_previous!$B$4:$B$138, 0), MATCH(Y$4&amp;Y$5, LS_previous!$D$2:$AY$2&amp;LS_previous!$D$3:$AY$3, 0)),SUM(VLOOKUP($A35, LS_previous!$B$4:$AY$138, LS_previous!Q$149, FALSE), VLOOKUP('Staging Table'!$A35, LS_previous!$B$4:$AY$138,LS_previous!AO$149, FALSE))/2)</f>
        <v>312</v>
      </c>
      <c r="Z35" s="227">
        <f t="array" ref="Z35">IF($G35=0, INDEX(LS_previous!$D$4:$AY$138, MATCH('Staging Table'!$A35, LS_previous!$B$4:$B$138, 0), MATCH(Z$4&amp;Z$5, LS_previous!$D$2:$AY$2&amp;LS_previous!$D$3:$AY$3, 0)),SUM(VLOOKUP($A35, LS_previous!$B$4:$AY$138, LS_previous!R$149, FALSE), VLOOKUP('Staging Table'!$A35, LS_previous!$B$4:$AY$138,LS_previous!AP$149, FALSE))/2)</f>
        <v>-1715</v>
      </c>
      <c r="AA35" s="227">
        <f t="array" ref="AA35">IF($G35=0, INDEX(LS_previous!$D$4:$AY$138, MATCH('Staging Table'!$A35, LS_previous!$B$4:$B$138, 0), MATCH(AA$4&amp;AA$5, LS_previous!$D$2:$AY$2&amp;LS_previous!$D$3:$AY$3, 0)),SUM(VLOOKUP($A35, LS_previous!$B$4:$AY$138, LS_previous!S$149, FALSE), VLOOKUP('Staging Table'!$A35, LS_previous!$B$4:$AY$138,LS_previous!AQ$149, FALSE))/2)</f>
        <v>-669</v>
      </c>
      <c r="AB35" s="227">
        <f t="array" ref="AB35">IF($G35=0, INDEX(LS_previous!$D$4:$AY$138, MATCH('Staging Table'!$A35, LS_previous!$B$4:$B$138, 0), MATCH(AB$4&amp;AB$5, LS_previous!$D$2:$AY$2&amp;LS_previous!$D$3:$AY$3, 0)),SUM(VLOOKUP($A35, LS_previous!$B$4:$AY$138, LS_previous!T$149, FALSE), VLOOKUP('Staging Table'!$A35, LS_previous!$B$4:$AY$138,LS_previous!AR$149, FALSE))/2)</f>
        <v>-785</v>
      </c>
      <c r="AC35" s="227">
        <f t="array" ref="AC35">IF($G35=0, INDEX(LS_previous!$D$4:$AY$138, MATCH('Staging Table'!$A35, LS_previous!$B$4:$B$138, 0), MATCH(AC$4&amp;AC$5, LS_previous!$D$2:$AY$2&amp;LS_previous!$D$3:$AY$3, 0)),SUM(VLOOKUP($A35, LS_previous!$B$4:$AY$138, LS_previous!U$149, FALSE), VLOOKUP('Staging Table'!$A35, LS_previous!$B$4:$AY$138,LS_previous!AS$149, FALSE))/2)</f>
        <v>-358</v>
      </c>
      <c r="AD35" s="227">
        <f t="array" ref="AD35">IF($G35=0, INDEX(LS_previous!$D$4:$AY$138, MATCH('Staging Table'!$A35, LS_previous!$B$4:$B$138, 0), MATCH(AD$4&amp;AD$5, LS_previous!$D$2:$AY$2&amp;LS_previous!$D$3:$AY$3, 0)),SUM(VLOOKUP($A35, LS_previous!$B$4:$AY$138, LS_previous!V$149, FALSE), VLOOKUP('Staging Table'!$A35, LS_previous!$B$4:$AY$138,LS_previous!AT$149, FALSE))/2)</f>
        <v>-136</v>
      </c>
      <c r="AE35" s="227">
        <f t="array" ref="AE35">IF($G35=0, INDEX(LS_previous!$D$4:$AY$138, MATCH('Staging Table'!$A35, LS_previous!$B$4:$B$138, 0), MATCH(AE$4&amp;AE$5, LS_previous!$D$2:$AY$2&amp;LS_previous!$D$3:$AY$3, 0)),SUM(VLOOKUP($A35, LS_previous!$B$4:$AY$138, LS_previous!W$149, FALSE), VLOOKUP('Staging Table'!$A35, LS_previous!$B$4:$AY$138,LS_previous!AU$149, FALSE))/2)</f>
        <v>85</v>
      </c>
      <c r="AF35" s="227">
        <f t="array" ref="AF35">IF($G35=0, INDEX(LS_previous!$D$4:$AY$138, MATCH('Staging Table'!$A35, LS_previous!$B$4:$B$138, 0), MATCH(AF$4&amp;AF$5, LS_previous!$D$2:$AY$2&amp;LS_previous!$D$3:$AY$3, 0)),SUM(VLOOKUP($A35, LS_previous!$B$4:$AY$138, LS_previous!X$149, FALSE), VLOOKUP('Staging Table'!$A35, LS_previous!$B$4:$AY$138,LS_previous!AV$149, FALSE))/2)</f>
        <v>-745</v>
      </c>
      <c r="AG35" s="227">
        <f t="array" ref="AG35">IF($G35=0, INDEX(LS_previous!$D$4:$AY$138, MATCH('Staging Table'!$A35, LS_previous!$B$4:$B$138, 0), MATCH(AG$4&amp;AG$5, LS_previous!$D$2:$AY$2&amp;LS_previous!$D$3:$AY$3, 0)),SUM(VLOOKUP($A35, LS_previous!$B$4:$AY$138, LS_previous!Y$149, FALSE), VLOOKUP('Staging Table'!$A35, LS_previous!$B$4:$AY$138,LS_previous!AW$149, FALSE))/2)</f>
        <v>-89</v>
      </c>
      <c r="AH35" s="227">
        <f t="array" ref="AH35">IF($G35=0, INDEX(LS_previous!$D$4:$AY$138, MATCH('Staging Table'!$A35, LS_previous!$B$4:$B$138, 0), MATCH(AH$4&amp;AH$5, LS_previous!$D$2:$AY$2&amp;LS_previous!$D$3:$AY$3, 0)),SUM(VLOOKUP($A35, LS_previous!$B$4:$AY$138, LS_previous!Z$149, FALSE), VLOOKUP('Staging Table'!$A35, LS_previous!$B$4:$AY$138,LS_previous!AX$149, FALSE))/2)</f>
        <v>-311</v>
      </c>
      <c r="AI35" s="227">
        <f t="array" ref="AI35">IF($G35=0, INDEX(LS_previous!$D$4:$AY$138, MATCH('Staging Table'!$A35, LS_previous!$B$4:$B$138, 0), MATCH(AI$4&amp;AI$5, LS_previous!$D$2:$AY$2&amp;LS_previous!$D$3:$AY$3, 0)),SUM(VLOOKUP($A35, LS_previous!$B$4:$AY$138, LS_previous!AA$149, FALSE), VLOOKUP('Staging Table'!$A35, LS_previous!$B$4:$AY$138,LS_previous!AY$149, FALSE))/2)</f>
        <v>-97</v>
      </c>
      <c r="AJ35" s="424">
        <f t="array" ref="AJ35">INDEX(Demand_previous!$D$4:$AY$138, MATCH('Staging Table'!$A35, Demand_previous!$B$4:$B$138, 0), MATCH(AJ$4&amp;AJ$5,Demand_previous!$D$2:$AY$2&amp;Demand_previous!$D$3:$AY$3, 0))/1000</f>
        <v>0.38100000000000001</v>
      </c>
      <c r="AK35" s="424">
        <f t="array" ref="AK35">INDEX(Demand_previous!$D$4:$AY$138, MATCH('Staging Table'!$A35, Demand_previous!$B$4:$B$138, 0), MATCH(AK$4&amp;AK$5,Demand_previous!$D$2:$AY$2&amp;Demand_previous!$D$3:$AY$3, 0))/1000</f>
        <v>1.091</v>
      </c>
      <c r="AL35" s="424">
        <f t="array" ref="AL35">INDEX(Demand_previous!$D$4:$AY$138, MATCH('Staging Table'!$A35, Demand_previous!$B$4:$B$138, 0), MATCH(AL$4&amp;AL$5,Demand_previous!$D$2:$AY$2&amp;Demand_previous!$D$3:$AY$3, 0))/1000</f>
        <v>1.81</v>
      </c>
      <c r="AM35" s="424">
        <f t="array" ref="AM35">INDEX(Demand_previous!$D$4:$AY$138, MATCH('Staging Table'!$A35, Demand_previous!$B$4:$B$138, 0), MATCH(AM$4&amp;AM$5,Demand_previous!$D$2:$AY$2&amp;Demand_previous!$D$3:$AY$3, 0))/1000</f>
        <v>1.446</v>
      </c>
      <c r="AN35" s="424">
        <f t="array" ref="AN35">INDEX(Demand_previous!$D$4:$AY$138, MATCH('Staging Table'!$A35, Demand_previous!$B$4:$B$138, 0), MATCH(AN$4&amp;AN$5,Demand_previous!$D$2:$AY$2&amp;Demand_previous!$D$3:$AY$3, 0))/1000</f>
        <v>0.59699999999999998</v>
      </c>
      <c r="AO35" s="424">
        <f t="array" ref="AO35">INDEX(Demand_previous!$D$4:$AY$138, MATCH('Staging Table'!$A35, Demand_previous!$B$4:$B$138, 0), MATCH(AO$4&amp;AO$5,Demand_previous!$D$2:$AY$2&amp;Demand_previous!$D$3:$AY$3, 0))/1000</f>
        <v>1.8109999999999999</v>
      </c>
      <c r="AP35" s="424">
        <f t="array" ref="AP35">INDEX(Demand_previous!$D$4:$AY$138, MATCH('Staging Table'!$A35, Demand_previous!$B$4:$B$138, 0), MATCH(AP$4&amp;AP$5,Demand_previous!$D$2:$AY$2&amp;Demand_previous!$D$3:$AY$3, 0))/1000</f>
        <v>0.74</v>
      </c>
      <c r="AQ35" s="424">
        <f t="array" ref="AQ35">INDEX(Demand_previous!$D$4:$AY$138, MATCH('Staging Table'!$A35, Demand_previous!$B$4:$B$138, 0), MATCH(AQ$4&amp;AQ$5,Demand_previous!$D$2:$AY$2&amp;Demand_previous!$D$3:$AY$3, 0))/1000</f>
        <v>0.90900000000000003</v>
      </c>
      <c r="AR35" s="424">
        <f t="array" ref="AR35">INDEX(Demand_previous!$D$4:$AY$138, MATCH('Staging Table'!$A35, Demand_previous!$B$4:$B$138, 0), MATCH(AR$4&amp;AR$5,Demand_previous!$D$2:$AY$2&amp;Demand_previous!$D$3:$AY$3, 0))/1000</f>
        <v>0.70299999999999996</v>
      </c>
      <c r="AS35" s="424">
        <f t="array" ref="AS35">INDEX(Demand_previous!$D$4:$AY$138, MATCH('Staging Table'!$A35, Demand_previous!$B$4:$B$138, 0), MATCH(AS$4&amp;AS$5,Demand_previous!$D$2:$AY$2&amp;Demand_previous!$D$3:$AY$3, 0))/1000</f>
        <v>0.82399999999999995</v>
      </c>
      <c r="AT35" s="424">
        <f t="array" ref="AT35">INDEX(Demand_previous!$D$4:$AY$138, MATCH('Staging Table'!$A35, Demand_previous!$B$4:$B$138, 0), MATCH(AT$4&amp;AT$5,Demand_previous!$D$2:$AY$2&amp;Demand_previous!$D$3:$AY$3, 0))/1000</f>
        <v>2.214</v>
      </c>
      <c r="AU35" s="424">
        <f t="array" ref="AU35">INDEX(Demand_previous!$D$4:$AY$138, MATCH('Staging Table'!$A35, Demand_previous!$B$4:$B$138, 0), MATCH(AU$4&amp;AU$5,Demand_previous!$D$2:$AY$2&amp;Demand_previous!$D$3:$AY$3, 0))/1000</f>
        <v>1.131</v>
      </c>
      <c r="AV35" s="227">
        <f>$F35*(VLOOKUP(AV$4, Rates_previous!$G$6:$Q$29, 10, FALSE)+VLOOKUP(AV$4, Rates_previous!$G$6:$Q$29, 11, FALSE))</f>
        <v>5555.8038646553186</v>
      </c>
      <c r="AW35" s="227">
        <f>$F35*(VLOOKUP(AW$4, Rates_previous!$G$6:$Q$29, 10, FALSE)+VLOOKUP(AW$4, Rates_previous!$G$6:$Q$29, 11, FALSE))</f>
        <v>6866.5513132422602</v>
      </c>
      <c r="AX35" s="227">
        <f>$F35*(VLOOKUP(AX$4, Rates_previous!$G$6:$Q$29, 10, FALSE)+VLOOKUP(AX$4, Rates_previous!$G$6:$Q$29, 11, FALSE))</f>
        <v>6784.092244762287</v>
      </c>
      <c r="AY35" s="227">
        <f>$F35*(VLOOKUP(AY$4, Rates_previous!$G$6:$Q$29, 10, FALSE)+VLOOKUP(AY$4, Rates_previous!$G$6:$Q$29, 11, FALSE))</f>
        <v>5796.360192363084</v>
      </c>
      <c r="AZ35" s="227">
        <f>$F35*(VLOOKUP(AZ$4, Rates_previous!$G$6:$Q$29, 10, FALSE)+VLOOKUP(AZ$4, Rates_previous!$G$6:$Q$29, 11, FALSE))</f>
        <v>4751.8910310974825</v>
      </c>
      <c r="BA35" s="227">
        <f>$F35*(VLOOKUP(BA$4, Rates_previous!$G$6:$Q$29, 10, FALSE)+VLOOKUP(BA$4, Rates_previous!$G$6:$Q$29, 11, FALSE))</f>
        <v>5626.0663761184769</v>
      </c>
      <c r="BB35" s="227">
        <f>$F35*(VLOOKUP(BB$4, Rates_previous!$G$6:$Q$29, 10, FALSE)+VLOOKUP(BB$4, Rates_previous!$G$6:$Q$29, 11, FALSE))</f>
        <v>5407.4681487315775</v>
      </c>
      <c r="BC35" s="227">
        <f>$F35*(VLOOKUP(BC$4, Rates_previous!$G$6:$Q$29, 10, FALSE)+VLOOKUP(BC$4, Rates_previous!$G$6:$Q$29, 11, FALSE))</f>
        <v>7935.0768609602947</v>
      </c>
      <c r="BD35" s="227">
        <f>$F35*(VLOOKUP(BD$4, Rates_previous!$G$6:$Q$29, 10, FALSE)+VLOOKUP(BD$4, Rates_previous!$G$6:$Q$29, 11, FALSE))</f>
        <v>6260.5659166597725</v>
      </c>
      <c r="BE35" s="227">
        <f>$F35*(VLOOKUP(BE$4, Rates_previous!$G$6:$Q$29, 10, FALSE)+VLOOKUP(BE$4, Rates_previous!$G$6:$Q$29, 11, FALSE))</f>
        <v>5497.3023587472171</v>
      </c>
      <c r="BF35" s="227">
        <f>$F35*(VLOOKUP(BF$4, Rates_previous!$G$6:$Q$29, 10, FALSE)+VLOOKUP(BF$4, Rates_previous!$G$6:$Q$29, 11, FALSE))</f>
        <v>6088.4824067525933</v>
      </c>
      <c r="BG35" s="227">
        <f>$F35*(VLOOKUP(BG$4, Rates_previous!$G$6:$Q$29, 10, FALSE)+VLOOKUP(BG$4, Rates_previous!$G$6:$Q$29, 11, FALSE))</f>
        <v>5515.9229367473472</v>
      </c>
      <c r="BH35" s="229">
        <f>IF($D35=0,IF(C35=0, MAX(BK35 - (VLOOKUP($A35,TOCA_previous!$A$2:$AI$137,MATCH("RHWM 2018",TOCA_previous!$A$2:$AI$2,0),FALSE)*$F$2*TOCA_previous!C32),0),0), 0)</f>
        <v>4458.5447025040048</v>
      </c>
      <c r="BI35" s="266">
        <f>VLOOKUP($A35,REP_previous!$A$1:$D$135,MATCH("FY "&amp;$F$1&amp; " Total Refund",REP_previous!$A$1:$D$1,0),0)</f>
        <v>106604.71104336144</v>
      </c>
      <c r="BJ35" s="241">
        <f>MIN(VLOOKUP($A35,TOCA_previous!$A$2:$AI$137,MATCH("TRL - NLSL - Existing Resource "&amp;$F$1,TOCA_previous!$A$2:$AI$2,0),FALSE)*$F$2,(VLOOKUP($A35,TOCA_previous!$A$2:$AI$137,MATCH("RHWM 2018",TOCA_previous!$A$2:$AI$2,0),FALSE)*$F$2))</f>
        <v>72086.039999999994</v>
      </c>
      <c r="BK35" s="229">
        <f>SUM(L35:AI35)+(F35*RT1SC!$C$3*$F$2)</f>
        <v>76544.584702503998</v>
      </c>
      <c r="BL35" s="241">
        <f>VLOOKUP($A35,TOCA_previous!$A$2:$AI$137,MATCH("Above RHWM Not Served with LS "&amp;$F$1,TOCA_previous!$A$2:$AI$2,0),FALSE)*$F$2</f>
        <v>0</v>
      </c>
      <c r="BM35" s="151">
        <f t="shared" si="5"/>
        <v>4458.5447025040048</v>
      </c>
      <c r="BN35" s="242">
        <f>(VLOOKUP($A35,TOCA_previous!$A$2:$AI$137,MATCH("RHWM 2018",TOCA_previous!$A$2:$AI$2,0),FALSE)*$F$2) - $BJ35</f>
        <v>0</v>
      </c>
      <c r="BO35" s="151">
        <f t="shared" si="6"/>
        <v>0</v>
      </c>
      <c r="BP35" s="243">
        <f t="shared" si="7"/>
        <v>0</v>
      </c>
      <c r="BQ35" s="237">
        <f t="shared" si="8"/>
        <v>0</v>
      </c>
      <c r="BR35" s="242">
        <f t="shared" si="9"/>
        <v>0</v>
      </c>
      <c r="BS35" s="151">
        <f>VLOOKUP($A35,TOCA_current!$A$2:$AI$137,MATCH(BS$4,TOCA_current!$A$2:$AI$2,0),FALSE)</f>
        <v>1.1842999999999999E-3</v>
      </c>
      <c r="BT35" s="151">
        <f>VLOOKUP($A35,TOCA_current!$A$2:$AI$137,MATCH(BT$4,TOCA_current!$A$2:$AI$2,0),FALSE)</f>
        <v>1.1842999999999999E-3</v>
      </c>
      <c r="BU35" s="236">
        <f t="shared" si="10"/>
        <v>0</v>
      </c>
      <c r="BV35" s="151">
        <f>VLOOKUP($A35,TOCA_current!A31:BG166,MATCH(BV$4,TOCA_current!$A$2:$BG$2,0),FALSE)</f>
        <v>0</v>
      </c>
      <c r="BW35" s="151">
        <f t="shared" si="11"/>
        <v>0</v>
      </c>
      <c r="BX35" s="151">
        <f t="shared" si="12"/>
        <v>0</v>
      </c>
      <c r="BY35" s="226">
        <f>VLOOKUP($A35,IRD!$A$4:$G$139, 7, FALSE)</f>
        <v>0</v>
      </c>
      <c r="BZ35" s="227">
        <f t="array" ref="BZ35">IF($BU35=0, INDEX(LS_current!$D$4:$AY$138, MATCH('Staging Table'!$A35, LS_current!$B$4:$B$138, 0), MATCH(BZ$4&amp;BZ$5, LS_current!$D$2:$AY$2&amp;LS_current!$D$3:$AY$3, 0)),SUM(VLOOKUP($A35, LS_current!$B$4:$AY$138, LS_current!D$148, FALSE), VLOOKUP($A35, LS_current!$B$4:$AY$138,LS_current!D$148, FALSE))/2)</f>
        <v>276</v>
      </c>
      <c r="CA35" s="227">
        <f t="array" ref="CA35">IF($BU35=0, INDEX(LS_current!$D$4:$AY$138, MATCH('Staging Table'!$A35, LS_current!$B$4:$B$138, 0), MATCH(CA$4&amp;CA$5, LS_current!$D$2:$AY$2&amp;LS_current!$D$3:$AY$3, 0)),SUM(VLOOKUP($A35, LS_current!$B$4:$AY$138, LS_current!E$148, FALSE), VLOOKUP($A35, LS_current!$B$4:$AY$138,LS_current!E$148, FALSE))/2)</f>
        <v>138</v>
      </c>
      <c r="CB35" s="227">
        <f t="array" ref="CB35">IF($BU35=0, INDEX(LS_current!$D$4:$AY$138, MATCH('Staging Table'!$A35, LS_current!$B$4:$B$138, 0), MATCH(CB$4&amp;CB$5, LS_current!$D$2:$AY$2&amp;LS_current!$D$3:$AY$3, 0)),SUM(VLOOKUP($A35, LS_current!$B$4:$AY$138, LS_current!F$148, FALSE), VLOOKUP($A35, LS_current!$B$4:$AY$138,LS_current!F$148, FALSE))/2)</f>
        <v>156</v>
      </c>
      <c r="CC35" s="227">
        <f t="array" ref="CC35">IF($BU35=0, INDEX(LS_current!$D$4:$AY$138, MATCH('Staging Table'!$A35, LS_current!$B$4:$B$138, 0), MATCH(CC$4&amp;CC$5, LS_current!$D$2:$AY$2&amp;LS_current!$D$3:$AY$3, 0)),SUM(VLOOKUP($A35, LS_current!$B$4:$AY$138, LS_current!G$148, FALSE), VLOOKUP($A35, LS_current!$B$4:$AY$138,LS_current!G$148, FALSE))/2)</f>
        <v>295</v>
      </c>
      <c r="CD35" s="227">
        <f t="array" ref="CD35">IF($BU35=0, INDEX(LS_current!$D$4:$AY$138, MATCH('Staging Table'!$A35, LS_current!$B$4:$B$138, 0), MATCH(CD$4&amp;CD$5, LS_current!$D$2:$AY$2&amp;LS_current!$D$3:$AY$3, 0)),SUM(VLOOKUP($A35, LS_current!$B$4:$AY$138, LS_current!H$148, FALSE), VLOOKUP($A35, LS_current!$B$4:$AY$138,LS_current!H$148, FALSE))/2)</f>
        <v>572</v>
      </c>
      <c r="CE35" s="227">
        <f t="array" ref="CE35">IF($BU35=0, INDEX(LS_current!$D$4:$AY$138, MATCH('Staging Table'!$A35, LS_current!$B$4:$B$138, 0), MATCH(CE$4&amp;CE$5, LS_current!$D$2:$AY$2&amp;LS_current!$D$3:$AY$3, 0)),SUM(VLOOKUP($A35, LS_current!$B$4:$AY$138, LS_current!I$148, FALSE), VLOOKUP($A35, LS_current!$B$4:$AY$138,LS_current!I$148, FALSE))/2)</f>
        <v>806</v>
      </c>
      <c r="CF35" s="227">
        <f t="array" ref="CF35">IF($BU35=0, INDEX(LS_current!$D$4:$AY$138, MATCH('Staging Table'!$A35, LS_current!$B$4:$B$138, 0), MATCH(CF$4&amp;CF$5, LS_current!$D$2:$AY$2&amp;LS_current!$D$3:$AY$3, 0)),SUM(VLOOKUP($A35, LS_current!$B$4:$AY$138, LS_current!J$148, FALSE), VLOOKUP($A35, LS_current!$B$4:$AY$138,LS_current!J$148, FALSE))/2)</f>
        <v>1419</v>
      </c>
      <c r="CG35" s="227">
        <f t="array" ref="CG35">IF($BU35=0, INDEX(LS_current!$D$4:$AY$138, MATCH('Staging Table'!$A35, LS_current!$B$4:$B$138, 0), MATCH(CG$4&amp;CG$5, LS_current!$D$2:$AY$2&amp;LS_current!$D$3:$AY$3, 0)),SUM(VLOOKUP($A35, LS_current!$B$4:$AY$138, LS_current!K$148, FALSE), VLOOKUP($A35, LS_current!$B$4:$AY$138,LS_current!K$148, FALSE))/2)</f>
        <v>1062</v>
      </c>
      <c r="CH35" s="227">
        <f t="array" ref="CH35">IF($BU35=0, INDEX(LS_current!$D$4:$AY$138, MATCH('Staging Table'!$A35, LS_current!$B$4:$B$138, 0), MATCH(CH$4&amp;CH$5, LS_current!$D$2:$AY$2&amp;LS_current!$D$3:$AY$3, 0)),SUM(VLOOKUP($A35, LS_current!$B$4:$AY$138, LS_current!L$148, FALSE), VLOOKUP($A35, LS_current!$B$4:$AY$138,LS_current!L$148, FALSE))/2)</f>
        <v>1459</v>
      </c>
      <c r="CI35" s="227">
        <f t="array" ref="CI35">IF($BU35=0, INDEX(LS_current!$D$4:$AY$138, MATCH('Staging Table'!$A35, LS_current!$B$4:$B$138, 0), MATCH(CI$4&amp;CI$5, LS_current!$D$2:$AY$2&amp;LS_current!$D$3:$AY$3, 0)),SUM(VLOOKUP($A35, LS_current!$B$4:$AY$138, LS_current!M$148, FALSE), VLOOKUP($A35, LS_current!$B$4:$AY$138,LS_current!M$148, FALSE))/2)</f>
        <v>918</v>
      </c>
      <c r="CJ35" s="227">
        <f t="array" ref="CJ35">IF($BU35=0, INDEX(LS_current!$D$4:$AY$138, MATCH('Staging Table'!$A35, LS_current!$B$4:$B$138, 0), MATCH(CJ$4&amp;CJ$5, LS_current!$D$2:$AY$2&amp;LS_current!$D$3:$AY$3, 0)),SUM(VLOOKUP($A35, LS_current!$B$4:$AY$138, LS_current!N$148, FALSE), VLOOKUP($A35, LS_current!$B$4:$AY$138,LS_current!N$148, FALSE))/2)</f>
        <v>386</v>
      </c>
      <c r="CK35" s="227">
        <f t="array" ref="CK35">IF($BU35=0, INDEX(LS_current!$D$4:$AY$138, MATCH('Staging Table'!$A35, LS_current!$B$4:$B$138, 0), MATCH(CK$4&amp;CK$5, LS_current!$D$2:$AY$2&amp;LS_current!$D$3:$AY$3, 0)),SUM(VLOOKUP($A35, LS_current!$B$4:$AY$138, LS_current!O$148, FALSE), VLOOKUP($A35, LS_current!$B$4:$AY$138,LS_current!O$148, FALSE))/2)</f>
        <v>482</v>
      </c>
      <c r="CL35" s="227">
        <f t="array" ref="CL35">IF($BU35=0, INDEX(LS_current!$D$4:$AY$138, MATCH('Staging Table'!$A35, LS_current!$B$4:$B$138, 0), MATCH(CL$4&amp;CL$5, LS_current!$D$2:$AY$2&amp;LS_current!$D$3:$AY$3, 0)),SUM(VLOOKUP($A35, LS_current!$B$4:$AY$138, LS_current!P$148, FALSE), VLOOKUP($A35, LS_current!$B$4:$AY$138,LS_current!P$148, FALSE))/2)</f>
        <v>962</v>
      </c>
      <c r="CM35" s="227">
        <f t="array" ref="CM35">IF($BU35=0, INDEX(LS_current!$D$4:$AY$138, MATCH('Staging Table'!$A35, LS_current!$B$4:$B$138, 0), MATCH(CM$4&amp;CM$5, LS_current!$D$2:$AY$2&amp;LS_current!$D$3:$AY$3, 0)),SUM(VLOOKUP($A35, LS_current!$B$4:$AY$138, LS_current!Q$148, FALSE), VLOOKUP($A35, LS_current!$B$4:$AY$138,LS_current!Q$148, FALSE))/2)</f>
        <v>502</v>
      </c>
      <c r="CN35" s="227">
        <f t="array" ref="CN35">IF($BU35=0, INDEX(LS_current!$D$4:$AY$138, MATCH('Staging Table'!$A35, LS_current!$B$4:$B$138, 0), MATCH(CN$4&amp;CN$5, LS_current!$D$2:$AY$2&amp;LS_current!$D$3:$AY$3, 0)),SUM(VLOOKUP($A35, LS_current!$B$4:$AY$138, LS_current!R$148, FALSE), VLOOKUP($A35, LS_current!$B$4:$AY$138,LS_current!R$148, FALSE))/2)</f>
        <v>-765</v>
      </c>
      <c r="CO35" s="227">
        <f t="array" ref="CO35">IF($BU35=0, INDEX(LS_current!$D$4:$AY$138, MATCH('Staging Table'!$A35, LS_current!$B$4:$B$138, 0), MATCH(CO$4&amp;CO$5, LS_current!$D$2:$AY$2&amp;LS_current!$D$3:$AY$3, 0)),SUM(VLOOKUP($A35, LS_current!$B$4:$AY$138, LS_current!S$148, FALSE), VLOOKUP($A35, LS_current!$B$4:$AY$138,LS_current!S$148, FALSE))/2)</f>
        <v>-14</v>
      </c>
      <c r="CP35" s="227">
        <f t="array" ref="CP35">IF($BU35=0, INDEX(LS_current!$D$4:$AY$138, MATCH('Staging Table'!$A35, LS_current!$B$4:$B$138, 0), MATCH(CP$4&amp;CP$5, LS_current!$D$2:$AY$2&amp;LS_current!$D$3:$AY$3, 0)),SUM(VLOOKUP($A35, LS_current!$B$4:$AY$138, LS_current!T$148, FALSE), VLOOKUP($A35, LS_current!$B$4:$AY$138,LS_current!T$148, FALSE))/2)</f>
        <v>-1930</v>
      </c>
      <c r="CQ35" s="227">
        <f t="array" ref="CQ35">IF($BU35=0, INDEX(LS_current!$D$4:$AY$138, MATCH('Staging Table'!$A35, LS_current!$B$4:$B$138, 0), MATCH(CQ$4&amp;CQ$5, LS_current!$D$2:$AY$2&amp;LS_current!$D$3:$AY$3, 0)),SUM(VLOOKUP($A35, LS_current!$B$4:$AY$138, LS_current!U$148, FALSE), VLOOKUP($A35, LS_current!$B$4:$AY$138,LS_current!U$148, FALSE))/2)</f>
        <v>-1028</v>
      </c>
      <c r="CR35" s="227">
        <f t="array" ref="CR35">IF($BU35=0, INDEX(LS_current!$D$4:$AY$138, MATCH('Staging Table'!$A35, LS_current!$B$4:$B$138, 0), MATCH(CR$4&amp;CR$5, LS_current!$D$2:$AY$2&amp;LS_current!$D$3:$AY$3, 0)),SUM(VLOOKUP($A35, LS_current!$B$4:$AY$138, LS_current!V$148, FALSE), VLOOKUP($A35, LS_current!$B$4:$AY$138,LS_current!V$148, FALSE))/2)</f>
        <v>-900</v>
      </c>
      <c r="CS35" s="227">
        <f t="array" ref="CS35">IF($BU35=0, INDEX(LS_current!$D$4:$AY$138, MATCH('Staging Table'!$A35, LS_current!$B$4:$B$138, 0), MATCH(CS$4&amp;CS$5, LS_current!$D$2:$AY$2&amp;LS_current!$D$3:$AY$3, 0)),SUM(VLOOKUP($A35, LS_current!$B$4:$AY$138, LS_current!W$148, FALSE), VLOOKUP($A35, LS_current!$B$4:$AY$138,LS_current!W$148, FALSE))/2)</f>
        <v>15</v>
      </c>
      <c r="CT35" s="227">
        <f t="array" ref="CT35">IF($BU35=0, INDEX(LS_current!$D$4:$AY$138, MATCH('Staging Table'!$A35, LS_current!$B$4:$B$138, 0), MATCH(CT$4&amp;CT$5, LS_current!$D$2:$AY$2&amp;LS_current!$D$3:$AY$3, 0)),SUM(VLOOKUP($A35, LS_current!$B$4:$AY$138, LS_current!X$148, FALSE), VLOOKUP($A35, LS_current!$B$4:$AY$138,LS_current!X$148, FALSE))/2)</f>
        <v>-897</v>
      </c>
      <c r="CU35" s="227">
        <f t="array" ref="CU35">IF($BU35=0, INDEX(LS_current!$D$4:$AY$138, MATCH('Staging Table'!$A35, LS_current!$B$4:$B$138, 0), MATCH(CU$4&amp;CU$5, LS_current!$D$2:$AY$2&amp;LS_current!$D$3:$AY$3, 0)),SUM(VLOOKUP($A35, LS_current!$B$4:$AY$138, LS_current!Y$148, FALSE), VLOOKUP($A35, LS_current!$B$4:$AY$138,LS_current!Y$148, FALSE))/2)</f>
        <v>-14</v>
      </c>
      <c r="CV35" s="227">
        <f t="array" ref="CV35">IF($BU35=0, INDEX(LS_current!$D$4:$AY$138, MATCH('Staging Table'!$A35, LS_current!$B$4:$B$138, 0), MATCH(CV$4&amp;CV$5, LS_current!$D$2:$AY$2&amp;LS_current!$D$3:$AY$3, 0)),SUM(VLOOKUP($A35, LS_current!$B$4:$AY$138, LS_current!Z$148, FALSE), VLOOKUP($A35, LS_current!$B$4:$AY$138,LS_current!Z$148, FALSE))/2)</f>
        <v>-330</v>
      </c>
      <c r="CW35" s="227">
        <f t="array" ref="CW35">IF($BU35=0, INDEX(LS_current!$D$4:$AY$138, MATCH('Staging Table'!$A35, LS_current!$B$4:$B$138, 0), MATCH(CW$4&amp;CW$5, LS_current!$D$2:$AY$2&amp;LS_current!$D$3:$AY$3, 0)),SUM(VLOOKUP($A35, LS_current!$B$4:$AY$138, LS_current!AA$148, FALSE), VLOOKUP($A35, LS_current!$B$4:$AY$138,LS_current!AA$148, FALSE))/2)</f>
        <v>-98</v>
      </c>
      <c r="CX35" s="229">
        <f t="array" ref="CX35">INDEX(Demand_current!$D$4:$AY$138, MATCH($A35, Demand_current!$B$4:$B$138, 0), MATCH(CX$4&amp;CX$5,Demand_current!$D$2:$AY$2&amp;Demand_current!$D$3:$AY$3, 0))/1000</f>
        <v>0.72299999999999998</v>
      </c>
      <c r="CY35" s="229">
        <f t="array" ref="CY35">INDEX(Demand_current!$D$4:$AY$138, MATCH($A35, Demand_current!$B$4:$B$138, 0), MATCH(CY$4&amp;CY$5,Demand_current!$D$2:$AY$2&amp;Demand_current!$D$3:$AY$3, 0))/1000</f>
        <v>1.091</v>
      </c>
      <c r="CZ35" s="229">
        <f t="array" ref="CZ35">INDEX(Demand_current!$D$4:$AY$138, MATCH($A35, Demand_current!$B$4:$B$138, 0), MATCH(CZ$4&amp;CZ$5,Demand_current!$D$2:$AY$2&amp;Demand_current!$D$3:$AY$3, 0))/1000</f>
        <v>1.81</v>
      </c>
      <c r="DA35" s="229">
        <f t="array" ref="DA35">INDEX(Demand_current!$D$4:$AY$138, MATCH($A35, Demand_current!$B$4:$B$138, 0), MATCH(DA$4&amp;DA$5,Demand_current!$D$2:$AY$2&amp;Demand_current!$D$3:$AY$3, 0))/1000</f>
        <v>1.446</v>
      </c>
      <c r="DB35" s="229">
        <f t="array" ref="DB35">INDEX(Demand_current!$D$4:$AY$138, MATCH($A35, Demand_current!$B$4:$B$138, 0), MATCH(DB$4&amp;DB$5,Demand_current!$D$2:$AY$2&amp;Demand_current!$D$3:$AY$3, 0))/1000</f>
        <v>1.089</v>
      </c>
      <c r="DC35" s="229">
        <f t="array" ref="DC35">INDEX(Demand_current!$D$4:$AY$138, MATCH($A35, Demand_current!$B$4:$B$138, 0), MATCH(DC$4&amp;DC$5,Demand_current!$D$2:$AY$2&amp;Demand_current!$D$3:$AY$3, 0))/1000</f>
        <v>1.45</v>
      </c>
      <c r="DD35" s="229">
        <f t="array" ref="DD35">INDEX(Demand_current!$D$4:$AY$138, MATCH($A35, Demand_current!$B$4:$B$138, 0), MATCH(DD$4&amp;DD$5,Demand_current!$D$2:$AY$2&amp;Demand_current!$D$3:$AY$3, 0))/1000</f>
        <v>1.1160000000000001</v>
      </c>
      <c r="DE35" s="229">
        <f t="array" ref="DE35">INDEX(Demand_current!$D$4:$AY$138, MATCH($A35, Demand_current!$B$4:$B$138, 0), MATCH(DE$4&amp;DE$5,Demand_current!$D$2:$AY$2&amp;Demand_current!$D$3:$AY$3, 0))/1000</f>
        <v>0.58699999999999997</v>
      </c>
      <c r="DF35" s="229">
        <f t="array" ref="DF35">INDEX(Demand_current!$D$4:$AY$138, MATCH($A35, Demand_current!$B$4:$B$138, 0), MATCH(DF$4&amp;DF$5,Demand_current!$D$2:$AY$2&amp;Demand_current!$D$3:$AY$3, 0))/1000</f>
        <v>0.70299999999999996</v>
      </c>
      <c r="DG35" s="229">
        <f t="array" ref="DG35">INDEX(Demand_current!$D$4:$AY$138, MATCH($A35, Demand_current!$B$4:$B$138, 0), MATCH(DG$4&amp;DG$5,Demand_current!$D$2:$AY$2&amp;Demand_current!$D$3:$AY$3, 0))/1000</f>
        <v>1.157</v>
      </c>
      <c r="DH35" s="229">
        <f t="array" ref="DH35">INDEX(Demand_current!$D$4:$AY$138, MATCH($A35, Demand_current!$B$4:$B$138, 0), MATCH(DH$4&amp;DH$5,Demand_current!$D$2:$AY$2&amp;Demand_current!$D$3:$AY$3, 0))/1000</f>
        <v>1.917</v>
      </c>
      <c r="DI35" s="229">
        <f t="array" ref="DI35">INDEX(Demand_current!$D$4:$AY$138, MATCH($A35, Demand_current!$B$4:$B$138, 0), MATCH(DI$4&amp;DI$5,Demand_current!$D$2:$AY$2&amp;Demand_current!$D$3:$AY$3, 0))/1000</f>
        <v>1.466</v>
      </c>
      <c r="DJ35" s="227">
        <f>$BT35*(VLOOKUP(DJ$4, Rates_current!$G$6:$Q$29, 10, FALSE)+VLOOKUP(DJ$4, Rates_current!$G$6:$Q$29, 11, FALSE))</f>
        <v>5468.2887552227985</v>
      </c>
      <c r="DK35" s="227">
        <f>$BT35*(VLOOKUP(DK$4, Rates_current!$G$6:$Q$29, 10, FALSE)+VLOOKUP(DK$4, Rates_current!$G$6:$Q$29, 11, FALSE))</f>
        <v>6946.4325849476991</v>
      </c>
      <c r="DL35" s="227">
        <f>$BT35*(VLOOKUP(DL$4, Rates_current!$G$6:$Q$29, 10, FALSE)+VLOOKUP(DL$4, Rates_current!$G$6:$Q$29, 11, FALSE))</f>
        <v>6862.5450121227996</v>
      </c>
      <c r="DM35" s="227">
        <f>$BT35*(VLOOKUP(DM$4, Rates_current!$G$6:$Q$29, 10, FALSE)+VLOOKUP(DM$4, Rates_current!$G$6:$Q$29, 11, FALSE))</f>
        <v>5720.3492457228003</v>
      </c>
      <c r="DN35" s="227">
        <f>$BT35*(VLOOKUP(DN$4, Rates_current!$G$6:$Q$29, 10, FALSE)+VLOOKUP(DN$4, Rates_current!$G$6:$Q$29, 11, FALSE))</f>
        <v>5182.042976239999</v>
      </c>
      <c r="DO35" s="227">
        <f>$BT35*(VLOOKUP(DO$4, Rates_current!$G$6:$Q$29, 10, FALSE)+VLOOKUP(DO$4, Rates_current!$G$6:$Q$29, 11, FALSE))</f>
        <v>5764.0780321890998</v>
      </c>
      <c r="DP35" s="227">
        <f>$BT35*(VLOOKUP(DP$4, Rates_current!$G$6:$Q$29, 10, FALSE)+VLOOKUP(DP$4, Rates_current!$G$6:$Q$29, 11, FALSE))</f>
        <v>4693.1185538639993</v>
      </c>
      <c r="DQ35" s="227">
        <f>$BT35*(VLOOKUP(DQ$4, Rates_current!$G$6:$Q$29, 10, FALSE)+VLOOKUP(DQ$4, Rates_current!$G$6:$Q$29, 11, FALSE))</f>
        <v>6329.3701913728</v>
      </c>
      <c r="DR35" s="227">
        <f>$BT35*(VLOOKUP(DR$4, Rates_current!$G$6:$Q$29, 10, FALSE)+VLOOKUP(DR$4, Rates_current!$G$6:$Q$29, 11, FALSE))</f>
        <v>8075.8458947139998</v>
      </c>
      <c r="DS35" s="227">
        <f>$BT35*(VLOOKUP(DS$4, Rates_current!$G$6:$Q$29, 10, FALSE)+VLOOKUP(DS$4, Rates_current!$G$6:$Q$29, 11, FALSE))</f>
        <v>6331.7192504227996</v>
      </c>
      <c r="DT35" s="227">
        <f>$BT35*(VLOOKUP(DT$4, Rates_current!$G$6:$Q$29, 10, FALSE)+VLOOKUP(DT$4, Rates_current!$G$6:$Q$29, 11, FALSE))</f>
        <v>6165.8337572727996</v>
      </c>
      <c r="DU35" s="227">
        <f>$BT35*(VLOOKUP(DU$4, Rates_current!$G$6:$Q$29, 10, FALSE)+VLOOKUP(DU$4, Rates_current!$G$6:$Q$29, 11, FALSE))</f>
        <v>5535.6070721639999</v>
      </c>
      <c r="DV35" s="229">
        <f>IF(D35=0,IF(C35=0,MAX(0,DY35 - (VLOOKUP($A35,TOCA_current!$A$2:$AI$137,MATCH("RHWM 2020",TOCA_current!$A$2:$AI$2,0),FALSE)*$BT$2)), 0),0)</f>
        <v>3473.138069094377</v>
      </c>
      <c r="DW35" s="266">
        <f>VLOOKUP($A35,REP_current!$A$1:$D$135,MATCH("FY "&amp;$BT$1&amp; " Total Refund",REP_current!$A$1:$D$1,0),0)</f>
        <v>0</v>
      </c>
      <c r="DX35" s="295">
        <f>MIN(VLOOKUP($A35,TOCA_current!$A$2:$AI$137,MATCH("TRL - NLSL - Existing Resource "&amp;$BT$1,TOCA_current!$A$2:$AI$2,0),FALSE)*$BT$2, VLOOKUP($A35,TOCA_current!$A$2:$AI$137,MATCH("RHWM 2020",TOCA_current!$A$2:$AI$2,0),FALSE)*$BT$2)</f>
        <v>73074.096000000005</v>
      </c>
      <c r="DY35" s="240">
        <f>SUM(BZ35:CW35)+(BT35*RT1SC!$C$4*$BT$2)</f>
        <v>76547.234069094382</v>
      </c>
      <c r="DZ35" s="271">
        <f>VLOOKUP($A35,TOCA_current!$A$2:$AI$137,MATCH("Above RHWM Not Served with LS "&amp;$BT$1,TOCA_current!$A$2:$AI$2,0),FALSE)*$BT$2</f>
        <v>0</v>
      </c>
      <c r="EA35" s="244">
        <f t="shared" si="13"/>
        <v>3473.138069094377</v>
      </c>
      <c r="EB35" s="295">
        <f>(VLOOKUP($A35,TOCA_current!$A$2:$AI$137,MATCH("RHWM 2020",TOCA_current!$A$2:$AI$2,0),FALSE)*$BT$2) - $DX35</f>
        <v>0</v>
      </c>
      <c r="EC35" s="240">
        <f t="shared" si="14"/>
        <v>0</v>
      </c>
      <c r="ED35" s="240">
        <f t="shared" si="15"/>
        <v>0</v>
      </c>
      <c r="EE35" s="240">
        <f t="shared" si="16"/>
        <v>0</v>
      </c>
      <c r="EF35" s="240">
        <f t="shared" si="17"/>
        <v>0</v>
      </c>
    </row>
    <row r="36" spans="1:136">
      <c r="A36" s="166">
        <v>10086</v>
      </c>
      <c r="B36" s="167" t="s">
        <v>37</v>
      </c>
      <c r="C36" s="240">
        <v>0</v>
      </c>
      <c r="D36" s="240">
        <v>0</v>
      </c>
      <c r="E36" s="150">
        <f>VLOOKUP($A36,TOCA_previous!$A$2:$AI$137,MATCH(E$4,TOCA_previous!$A$2:$AI$2,0),FALSE)</f>
        <v>5.5900000000000004E-4</v>
      </c>
      <c r="F36" s="151">
        <f>VLOOKUP($A36,TOCA_previous!$A$2:$AI$137,MATCH(F$4,TOCA_previous!$A$2:$AI$2,0),FALSE)</f>
        <v>5.5900000000000004E-4</v>
      </c>
      <c r="G36" s="151">
        <f t="shared" si="2"/>
        <v>0</v>
      </c>
      <c r="H36" s="151">
        <f>VLOOKUP($A36,TOCA_previous!$A$2:$AI$137,MATCH(H$4,TOCA_previous!$A$2:$AI$2,0),FALSE)</f>
        <v>0</v>
      </c>
      <c r="I36" s="151">
        <f t="shared" si="3"/>
        <v>0</v>
      </c>
      <c r="J36" s="151">
        <f t="shared" si="4"/>
        <v>0</v>
      </c>
      <c r="K36" s="226">
        <f>VLOOKUP(A36, IRD!$A$5:$C$139, 3, FALSE)</f>
        <v>0</v>
      </c>
      <c r="L36" s="227">
        <f t="array" ref="L36">IF($G36=0, INDEX(LS_previous!$D$4:$AY$138, MATCH('Staging Table'!$A36, LS_previous!$B$4:$B$138, 0), MATCH(L$4&amp;L$5, LS_previous!$D$2:$AY$2&amp;LS_previous!$D$3:$AY$3, 0)),SUM(VLOOKUP($A36, LS_previous!$B$4:$AY$138, LS_previous!D$149, FALSE), VLOOKUP('Staging Table'!$A36, LS_previous!$B$4:$AY$138,LS_previous!AB$149, FALSE))/2)</f>
        <v>-4</v>
      </c>
      <c r="M36" s="227">
        <f t="array" ref="M36">IF($G36=0, INDEX(LS_previous!$D$4:$AY$138, MATCH('Staging Table'!$A36, LS_previous!$B$4:$B$138, 0), MATCH(M$4&amp;M$5, LS_previous!$D$2:$AY$2&amp;LS_previous!$D$3:$AY$3, 0)),SUM(VLOOKUP($A36, LS_previous!$B$4:$AY$138, LS_previous!E$149, FALSE), VLOOKUP('Staging Table'!$A36, LS_previous!$B$4:$AY$138,LS_previous!AC$149, FALSE))/2)</f>
        <v>72</v>
      </c>
      <c r="N36" s="227">
        <f t="array" ref="N36">IF($G36=0, INDEX(LS_previous!$D$4:$AY$138, MATCH('Staging Table'!$A36, LS_previous!$B$4:$B$138, 0), MATCH(N$4&amp;N$5, LS_previous!$D$2:$AY$2&amp;LS_previous!$D$3:$AY$3, 0)),SUM(VLOOKUP($A36, LS_previous!$B$4:$AY$138, LS_previous!F$149, FALSE), VLOOKUP('Staging Table'!$A36, LS_previous!$B$4:$AY$138,LS_previous!AD$149, FALSE))/2)</f>
        <v>-135</v>
      </c>
      <c r="O36" s="227">
        <f t="array" ref="O36">IF($G36=0, INDEX(LS_previous!$D$4:$AY$138, MATCH('Staging Table'!$A36, LS_previous!$B$4:$B$138, 0), MATCH(O$4&amp;O$5, LS_previous!$D$2:$AY$2&amp;LS_previous!$D$3:$AY$3, 0)),SUM(VLOOKUP($A36, LS_previous!$B$4:$AY$138, LS_previous!G$149, FALSE), VLOOKUP('Staging Table'!$A36, LS_previous!$B$4:$AY$138,LS_previous!AE$149, FALSE))/2)</f>
        <v>86</v>
      </c>
      <c r="P36" s="227">
        <f t="array" ref="P36">IF($G36=0, INDEX(LS_previous!$D$4:$AY$138, MATCH('Staging Table'!$A36, LS_previous!$B$4:$B$138, 0), MATCH(P$4&amp;P$5, LS_previous!$D$2:$AY$2&amp;LS_previous!$D$3:$AY$3, 0)),SUM(VLOOKUP($A36, LS_previous!$B$4:$AY$138, LS_previous!H$149, FALSE), VLOOKUP('Staging Table'!$A36, LS_previous!$B$4:$AY$138,LS_previous!AF$149, FALSE))/2)</f>
        <v>154</v>
      </c>
      <c r="Q36" s="227">
        <f t="array" ref="Q36">IF($G36=0, INDEX(LS_previous!$D$4:$AY$138, MATCH('Staging Table'!$A36, LS_previous!$B$4:$B$138, 0), MATCH(Q$4&amp;Q$5, LS_previous!$D$2:$AY$2&amp;LS_previous!$D$3:$AY$3, 0)),SUM(VLOOKUP($A36, LS_previous!$B$4:$AY$138, LS_previous!I$149, FALSE), VLOOKUP('Staging Table'!$A36, LS_previous!$B$4:$AY$138,LS_previous!AG$149, FALSE))/2)</f>
        <v>371</v>
      </c>
      <c r="R36" s="227">
        <f t="array" ref="R36">IF($G36=0, INDEX(LS_previous!$D$4:$AY$138, MATCH('Staging Table'!$A36, LS_previous!$B$4:$B$138, 0), MATCH(R$4&amp;R$5, LS_previous!$D$2:$AY$2&amp;LS_previous!$D$3:$AY$3, 0)),SUM(VLOOKUP($A36, LS_previous!$B$4:$AY$138, LS_previous!J$149, FALSE), VLOOKUP('Staging Table'!$A36, LS_previous!$B$4:$AY$138,LS_previous!AH$149, FALSE))/2)</f>
        <v>485</v>
      </c>
      <c r="S36" s="227">
        <f t="array" ref="S36">IF($G36=0, INDEX(LS_previous!$D$4:$AY$138, MATCH('Staging Table'!$A36, LS_previous!$B$4:$B$138, 0), MATCH(S$4&amp;S$5, LS_previous!$D$2:$AY$2&amp;LS_previous!$D$3:$AY$3, 0)),SUM(VLOOKUP($A36, LS_previous!$B$4:$AY$138, LS_previous!K$149, FALSE), VLOOKUP('Staging Table'!$A36, LS_previous!$B$4:$AY$138,LS_previous!AI$149, FALSE))/2)</f>
        <v>425</v>
      </c>
      <c r="T36" s="227">
        <f t="array" ref="T36">IF($G36=0, INDEX(LS_previous!$D$4:$AY$138, MATCH('Staging Table'!$A36, LS_previous!$B$4:$B$138, 0), MATCH(T$4&amp;T$5, LS_previous!$D$2:$AY$2&amp;LS_previous!$D$3:$AY$3, 0)),SUM(VLOOKUP($A36, LS_previous!$B$4:$AY$138, LS_previous!L$149, FALSE), VLOOKUP('Staging Table'!$A36, LS_previous!$B$4:$AY$138,LS_previous!AJ$149, FALSE))/2)</f>
        <v>571</v>
      </c>
      <c r="U36" s="227">
        <f t="array" ref="U36">IF($G36=0, INDEX(LS_previous!$D$4:$AY$138, MATCH('Staging Table'!$A36, LS_previous!$B$4:$B$138, 0), MATCH(U$4&amp;U$5, LS_previous!$D$2:$AY$2&amp;LS_previous!$D$3:$AY$3, 0)),SUM(VLOOKUP($A36, LS_previous!$B$4:$AY$138, LS_previous!M$149, FALSE), VLOOKUP('Staging Table'!$A36, LS_previous!$B$4:$AY$138,LS_previous!AK$149, FALSE))/2)</f>
        <v>442</v>
      </c>
      <c r="V36" s="227">
        <f t="array" ref="V36">IF($G36=0, INDEX(LS_previous!$D$4:$AY$138, MATCH('Staging Table'!$A36, LS_previous!$B$4:$B$138, 0), MATCH(V$4&amp;V$5, LS_previous!$D$2:$AY$2&amp;LS_previous!$D$3:$AY$3, 0)),SUM(VLOOKUP($A36, LS_previous!$B$4:$AY$138, LS_previous!N$149, FALSE), VLOOKUP('Staging Table'!$A36, LS_previous!$B$4:$AY$138,LS_previous!AL$149, FALSE))/2)</f>
        <v>236</v>
      </c>
      <c r="W36" s="227">
        <f t="array" ref="W36">IF($G36=0, INDEX(LS_previous!$D$4:$AY$138, MATCH('Staging Table'!$A36, LS_previous!$B$4:$B$138, 0), MATCH(W$4&amp;W$5, LS_previous!$D$2:$AY$2&amp;LS_previous!$D$3:$AY$3, 0)),SUM(VLOOKUP($A36, LS_previous!$B$4:$AY$138, LS_previous!O$149, FALSE), VLOOKUP('Staging Table'!$A36, LS_previous!$B$4:$AY$138,LS_previous!AM$149, FALSE))/2)</f>
        <v>311</v>
      </c>
      <c r="X36" s="227">
        <f t="array" ref="X36">IF($G36=0, INDEX(LS_previous!$D$4:$AY$138, MATCH('Staging Table'!$A36, LS_previous!$B$4:$B$138, 0), MATCH(X$4&amp;X$5, LS_previous!$D$2:$AY$2&amp;LS_previous!$D$3:$AY$3, 0)),SUM(VLOOKUP($A36, LS_previous!$B$4:$AY$138, LS_previous!P$149, FALSE), VLOOKUP('Staging Table'!$A36, LS_previous!$B$4:$AY$138,LS_previous!AN$149, FALSE))/2)</f>
        <v>-6</v>
      </c>
      <c r="Y36" s="227">
        <f t="array" ref="Y36">IF($G36=0, INDEX(LS_previous!$D$4:$AY$138, MATCH('Staging Table'!$A36, LS_previous!$B$4:$B$138, 0), MATCH(Y$4&amp;Y$5, LS_previous!$D$2:$AY$2&amp;LS_previous!$D$3:$AY$3, 0)),SUM(VLOOKUP($A36, LS_previous!$B$4:$AY$138, LS_previous!Q$149, FALSE), VLOOKUP('Staging Table'!$A36, LS_previous!$B$4:$AY$138,LS_previous!AO$149, FALSE))/2)</f>
        <v>98</v>
      </c>
      <c r="Z36" s="227">
        <f t="array" ref="Z36">IF($G36=0, INDEX(LS_previous!$D$4:$AY$138, MATCH('Staging Table'!$A36, LS_previous!$B$4:$B$138, 0), MATCH(Z$4&amp;Z$5, LS_previous!$D$2:$AY$2&amp;LS_previous!$D$3:$AY$3, 0)),SUM(VLOOKUP($A36, LS_previous!$B$4:$AY$138, LS_previous!R$149, FALSE), VLOOKUP('Staging Table'!$A36, LS_previous!$B$4:$AY$138,LS_previous!AP$149, FALSE))/2)</f>
        <v>-924</v>
      </c>
      <c r="AA36" s="227">
        <f t="array" ref="AA36">IF($G36=0, INDEX(LS_previous!$D$4:$AY$138, MATCH('Staging Table'!$A36, LS_previous!$B$4:$B$138, 0), MATCH(AA$4&amp;AA$5, LS_previous!$D$2:$AY$2&amp;LS_previous!$D$3:$AY$3, 0)),SUM(VLOOKUP($A36, LS_previous!$B$4:$AY$138, LS_previous!S$149, FALSE), VLOOKUP('Staging Table'!$A36, LS_previous!$B$4:$AY$138,LS_previous!AQ$149, FALSE))/2)</f>
        <v>-338</v>
      </c>
      <c r="AB36" s="227">
        <f t="array" ref="AB36">IF($G36=0, INDEX(LS_previous!$D$4:$AY$138, MATCH('Staging Table'!$A36, LS_previous!$B$4:$B$138, 0), MATCH(AB$4&amp;AB$5, LS_previous!$D$2:$AY$2&amp;LS_previous!$D$3:$AY$3, 0)),SUM(VLOOKUP($A36, LS_previous!$B$4:$AY$138, LS_previous!T$149, FALSE), VLOOKUP('Staging Table'!$A36, LS_previous!$B$4:$AY$138,LS_previous!AR$149, FALSE))/2)</f>
        <v>-485</v>
      </c>
      <c r="AC36" s="227">
        <f t="array" ref="AC36">IF($G36=0, INDEX(LS_previous!$D$4:$AY$138, MATCH('Staging Table'!$A36, LS_previous!$B$4:$B$138, 0), MATCH(AC$4&amp;AC$5, LS_previous!$D$2:$AY$2&amp;LS_previous!$D$3:$AY$3, 0)),SUM(VLOOKUP($A36, LS_previous!$B$4:$AY$138, LS_previous!U$149, FALSE), VLOOKUP('Staging Table'!$A36, LS_previous!$B$4:$AY$138,LS_previous!AS$149, FALSE))/2)</f>
        <v>-203</v>
      </c>
      <c r="AD36" s="227">
        <f t="array" ref="AD36">IF($G36=0, INDEX(LS_previous!$D$4:$AY$138, MATCH('Staging Table'!$A36, LS_previous!$B$4:$B$138, 0), MATCH(AD$4&amp;AD$5, LS_previous!$D$2:$AY$2&amp;LS_previous!$D$3:$AY$3, 0)),SUM(VLOOKUP($A36, LS_previous!$B$4:$AY$138, LS_previous!V$149, FALSE), VLOOKUP('Staging Table'!$A36, LS_previous!$B$4:$AY$138,LS_previous!AT$149, FALSE))/2)</f>
        <v>-272</v>
      </c>
      <c r="AE36" s="227">
        <f t="array" ref="AE36">IF($G36=0, INDEX(LS_previous!$D$4:$AY$138, MATCH('Staging Table'!$A36, LS_previous!$B$4:$B$138, 0), MATCH(AE$4&amp;AE$5, LS_previous!$D$2:$AY$2&amp;LS_previous!$D$3:$AY$3, 0)),SUM(VLOOKUP($A36, LS_previous!$B$4:$AY$138, LS_previous!W$149, FALSE), VLOOKUP('Staging Table'!$A36, LS_previous!$B$4:$AY$138,LS_previous!AU$149, FALSE))/2)</f>
        <v>-43</v>
      </c>
      <c r="AF36" s="227">
        <f t="array" ref="AF36">IF($G36=0, INDEX(LS_previous!$D$4:$AY$138, MATCH('Staging Table'!$A36, LS_previous!$B$4:$B$138, 0), MATCH(AF$4&amp;AF$5, LS_previous!$D$2:$AY$2&amp;LS_previous!$D$3:$AY$3, 0)),SUM(VLOOKUP($A36, LS_previous!$B$4:$AY$138, LS_previous!X$149, FALSE), VLOOKUP('Staging Table'!$A36, LS_previous!$B$4:$AY$138,LS_previous!AV$149, FALSE))/2)</f>
        <v>-464</v>
      </c>
      <c r="AG36" s="227">
        <f t="array" ref="AG36">IF($G36=0, INDEX(LS_previous!$D$4:$AY$138, MATCH('Staging Table'!$A36, LS_previous!$B$4:$B$138, 0), MATCH(AG$4&amp;AG$5, LS_previous!$D$2:$AY$2&amp;LS_previous!$D$3:$AY$3, 0)),SUM(VLOOKUP($A36, LS_previous!$B$4:$AY$138, LS_previous!Y$149, FALSE), VLOOKUP('Staging Table'!$A36, LS_previous!$B$4:$AY$138,LS_previous!AW$149, FALSE))/2)</f>
        <v>-86</v>
      </c>
      <c r="AH36" s="227">
        <f t="array" ref="AH36">IF($G36=0, INDEX(LS_previous!$D$4:$AY$138, MATCH('Staging Table'!$A36, LS_previous!$B$4:$B$138, 0), MATCH(AH$4&amp;AH$5, LS_previous!$D$2:$AY$2&amp;LS_previous!$D$3:$AY$3, 0)),SUM(VLOOKUP($A36, LS_previous!$B$4:$AY$138, LS_previous!Z$149, FALSE), VLOOKUP('Staging Table'!$A36, LS_previous!$B$4:$AY$138,LS_previous!AX$149, FALSE))/2)</f>
        <v>-257</v>
      </c>
      <c r="AI36" s="227">
        <f t="array" ref="AI36">IF($G36=0, INDEX(LS_previous!$D$4:$AY$138, MATCH('Staging Table'!$A36, LS_previous!$B$4:$B$138, 0), MATCH(AI$4&amp;AI$5, LS_previous!$D$2:$AY$2&amp;LS_previous!$D$3:$AY$3, 0)),SUM(VLOOKUP($A36, LS_previous!$B$4:$AY$138, LS_previous!AA$149, FALSE), VLOOKUP('Staging Table'!$A36, LS_previous!$B$4:$AY$138,LS_previous!AY$149, FALSE))/2)</f>
        <v>-77</v>
      </c>
      <c r="AJ36" s="424">
        <f t="array" ref="AJ36">INDEX(Demand_previous!$D$4:$AY$138, MATCH('Staging Table'!$A36, Demand_previous!$B$4:$B$138, 0), MATCH(AJ$4&amp;AJ$5,Demand_previous!$D$2:$AY$2&amp;Demand_previous!$D$3:$AY$3, 0))/1000</f>
        <v>0.76300000000000001</v>
      </c>
      <c r="AK36" s="424">
        <f t="array" ref="AK36">INDEX(Demand_previous!$D$4:$AY$138, MATCH('Staging Table'!$A36, Demand_previous!$B$4:$B$138, 0), MATCH(AK$4&amp;AK$5,Demand_previous!$D$2:$AY$2&amp;Demand_previous!$D$3:$AY$3, 0))/1000</f>
        <v>0.501</v>
      </c>
      <c r="AL36" s="424">
        <f t="array" ref="AL36">INDEX(Demand_previous!$D$4:$AY$138, MATCH('Staging Table'!$A36, Demand_previous!$B$4:$B$138, 0), MATCH(AL$4&amp;AL$5,Demand_previous!$D$2:$AY$2&amp;Demand_previous!$D$3:$AY$3, 0))/1000</f>
        <v>0.69799999999999995</v>
      </c>
      <c r="AM36" s="424">
        <f t="array" ref="AM36">INDEX(Demand_previous!$D$4:$AY$138, MATCH('Staging Table'!$A36, Demand_previous!$B$4:$B$138, 0), MATCH(AM$4&amp;AM$5,Demand_previous!$D$2:$AY$2&amp;Demand_previous!$D$3:$AY$3, 0))/1000</f>
        <v>1.1020000000000001</v>
      </c>
      <c r="AN36" s="424">
        <f t="array" ref="AN36">INDEX(Demand_previous!$D$4:$AY$138, MATCH('Staging Table'!$A36, Demand_previous!$B$4:$B$138, 0), MATCH(AN$4&amp;AN$5,Demand_previous!$D$2:$AY$2&amp;Demand_previous!$D$3:$AY$3, 0))/1000</f>
        <v>0.84699999999999998</v>
      </c>
      <c r="AO36" s="424">
        <f t="array" ref="AO36">INDEX(Demand_previous!$D$4:$AY$138, MATCH('Staging Table'!$A36, Demand_previous!$B$4:$B$138, 0), MATCH(AO$4&amp;AO$5,Demand_previous!$D$2:$AY$2&amp;Demand_previous!$D$3:$AY$3, 0))/1000</f>
        <v>1.1379999999999999</v>
      </c>
      <c r="AP36" s="424">
        <f t="array" ref="AP36">INDEX(Demand_previous!$D$4:$AY$138, MATCH('Staging Table'!$A36, Demand_previous!$B$4:$B$138, 0), MATCH(AP$4&amp;AP$5,Demand_previous!$D$2:$AY$2&amp;Demand_previous!$D$3:$AY$3, 0))/1000</f>
        <v>0.96699999999999997</v>
      </c>
      <c r="AQ36" s="424">
        <f t="array" ref="AQ36">INDEX(Demand_previous!$D$4:$AY$138, MATCH('Staging Table'!$A36, Demand_previous!$B$4:$B$138, 0), MATCH(AQ$4&amp;AQ$5,Demand_previous!$D$2:$AY$2&amp;Demand_previous!$D$3:$AY$3, 0))/1000</f>
        <v>0.39400000000000002</v>
      </c>
      <c r="AR36" s="424">
        <f t="array" ref="AR36">INDEX(Demand_previous!$D$4:$AY$138, MATCH('Staging Table'!$A36, Demand_previous!$B$4:$B$138, 0), MATCH(AR$4&amp;AR$5,Demand_previous!$D$2:$AY$2&amp;Demand_previous!$D$3:$AY$3, 0))/1000</f>
        <v>0.38800000000000001</v>
      </c>
      <c r="AS36" s="424">
        <f t="array" ref="AS36">INDEX(Demand_previous!$D$4:$AY$138, MATCH('Staging Table'!$A36, Demand_previous!$B$4:$B$138, 0), MATCH(AS$4&amp;AS$5,Demand_previous!$D$2:$AY$2&amp;Demand_previous!$D$3:$AY$3, 0))/1000</f>
        <v>0.30199999999999999</v>
      </c>
      <c r="AT36" s="424">
        <f t="array" ref="AT36">INDEX(Demand_previous!$D$4:$AY$138, MATCH('Staging Table'!$A36, Demand_previous!$B$4:$B$138, 0), MATCH(AT$4&amp;AT$5,Demand_previous!$D$2:$AY$2&amp;Demand_previous!$D$3:$AY$3, 0))/1000</f>
        <v>0.63400000000000001</v>
      </c>
      <c r="AU36" s="424">
        <f t="array" ref="AU36">INDEX(Demand_previous!$D$4:$AY$138, MATCH('Staging Table'!$A36, Demand_previous!$B$4:$B$138, 0), MATCH(AU$4&amp;AU$5,Demand_previous!$D$2:$AY$2&amp;Demand_previous!$D$3:$AY$3, 0))/1000</f>
        <v>0.215</v>
      </c>
      <c r="AV36" s="227">
        <f>$F36*(VLOOKUP(AV$4, Rates_previous!$G$6:$Q$29, 10, FALSE)+VLOOKUP(AV$4, Rates_previous!$G$6:$Q$29, 11, FALSE))</f>
        <v>2621.0603091757307</v>
      </c>
      <c r="AW36" s="227">
        <f>$F36*(VLOOKUP(AW$4, Rates_previous!$G$6:$Q$29, 10, FALSE)+VLOOKUP(AW$4, Rates_previous!$G$6:$Q$29, 11, FALSE))</f>
        <v>3239.4313310004422</v>
      </c>
      <c r="AX36" s="227">
        <f>$F36*(VLOOKUP(AX$4, Rates_previous!$G$6:$Q$29, 10, FALSE)+VLOOKUP(AX$4, Rates_previous!$G$6:$Q$29, 11, FALSE))</f>
        <v>3200.5296352621476</v>
      </c>
      <c r="AY36" s="227">
        <f>$F36*(VLOOKUP(AY$4, Rates_previous!$G$6:$Q$29, 10, FALSE)+VLOOKUP(AY$4, Rates_previous!$G$6:$Q$29, 11, FALSE))</f>
        <v>2734.5475124744403</v>
      </c>
      <c r="AZ36" s="227">
        <f>$F36*(VLOOKUP(AZ$4, Rates_previous!$G$6:$Q$29, 10, FALSE)+VLOOKUP(AZ$4, Rates_previous!$G$6:$Q$29, 11, FALSE))</f>
        <v>2241.7985369090156</v>
      </c>
      <c r="BA36" s="227">
        <f>$F36*(VLOOKUP(BA$4, Rates_previous!$G$6:$Q$29, 10, FALSE)+VLOOKUP(BA$4, Rates_previous!$G$6:$Q$29, 11, FALSE))</f>
        <v>2654.2080380202792</v>
      </c>
      <c r="BB36" s="227">
        <f>$F36*(VLOOKUP(BB$4, Rates_previous!$G$6:$Q$29, 10, FALSE)+VLOOKUP(BB$4, Rates_previous!$G$6:$Q$29, 11, FALSE))</f>
        <v>2551.0800026508159</v>
      </c>
      <c r="BC36" s="227">
        <f>$F36*(VLOOKUP(BC$4, Rates_previous!$G$6:$Q$29, 10, FALSE)+VLOOKUP(BC$4, Rates_previous!$G$6:$Q$29, 11, FALSE))</f>
        <v>3743.5293824599585</v>
      </c>
      <c r="BD36" s="227">
        <f>$F36*(VLOOKUP(BD$4, Rates_previous!$G$6:$Q$29, 10, FALSE)+VLOOKUP(BD$4, Rates_previous!$G$6:$Q$29, 11, FALSE))</f>
        <v>2953.5457400732662</v>
      </c>
      <c r="BE36" s="227">
        <f>$F36*(VLOOKUP(BE$4, Rates_previous!$G$6:$Q$29, 10, FALSE)+VLOOKUP(BE$4, Rates_previous!$G$6:$Q$29, 11, FALSE))</f>
        <v>2593.4610672121648</v>
      </c>
      <c r="BF36" s="227">
        <f>$F36*(VLOOKUP(BF$4, Rates_previous!$G$6:$Q$29, 10, FALSE)+VLOOKUP(BF$4, Rates_previous!$G$6:$Q$29, 11, FALSE))</f>
        <v>2872.3619422522574</v>
      </c>
      <c r="BG36" s="227">
        <f>$F36*(VLOOKUP(BG$4, Rates_previous!$G$6:$Q$29, 10, FALSE)+VLOOKUP(BG$4, Rates_previous!$G$6:$Q$29, 11, FALSE))</f>
        <v>2602.2456930051203</v>
      </c>
      <c r="BH36" s="229">
        <f>IF($D36=0,IF(C36=0, MAX(BK36 - (VLOOKUP($A36,TOCA_previous!$A$2:$AI$137,MATCH("RHWM 2018",TOCA_previous!$A$2:$AI$2,0),FALSE)*$F$2*TOCA_previous!C33),0),0), 0)</f>
        <v>0</v>
      </c>
      <c r="BI36" s="266">
        <f>VLOOKUP($A36,REP_previous!$A$1:$D$135,MATCH("FY "&amp;$F$1&amp; " Total Refund",REP_previous!$A$1:$D$1,0),0)</f>
        <v>50427.790581798938</v>
      </c>
      <c r="BJ36" s="241">
        <f>MIN(VLOOKUP($A36,TOCA_previous!$A$2:$AI$137,MATCH("TRL - NLSL - Existing Resource "&amp;$F$1,TOCA_previous!$A$2:$AI$2,0),FALSE)*$F$2,(VLOOKUP($A36,TOCA_previous!$A$2:$AI$137,MATCH("RHWM 2018",TOCA_previous!$A$2:$AI$2,0),FALSE)*$F$2))</f>
        <v>34006.32</v>
      </c>
      <c r="BK36" s="229">
        <f>SUM(L36:AI36)+(F36*RT1SC!$C$3*$F$2)</f>
        <v>33964.799686639999</v>
      </c>
      <c r="BL36" s="241">
        <f>VLOOKUP($A36,TOCA_previous!$A$2:$AI$137,MATCH("Above RHWM Not Served with LS "&amp;$F$1,TOCA_previous!$A$2:$AI$2,0),FALSE)*$F$2</f>
        <v>0</v>
      </c>
      <c r="BM36" s="151">
        <f t="shared" si="5"/>
        <v>-41.520313360000728</v>
      </c>
      <c r="BN36" s="242">
        <f>(VLOOKUP($A36,TOCA_previous!$A$2:$AI$137,MATCH("RHWM 2018",TOCA_previous!$A$2:$AI$2,0),FALSE)*$F$2) - $BJ36</f>
        <v>0</v>
      </c>
      <c r="BO36" s="151">
        <f t="shared" si="6"/>
        <v>0</v>
      </c>
      <c r="BP36" s="243">
        <f t="shared" si="7"/>
        <v>41.520313360000728</v>
      </c>
      <c r="BQ36" s="237">
        <f t="shared" si="8"/>
        <v>0</v>
      </c>
      <c r="BR36" s="242">
        <f t="shared" si="9"/>
        <v>41.520313360000728</v>
      </c>
      <c r="BS36" s="151">
        <f>VLOOKUP($A36,TOCA_current!$A$2:$AI$137,MATCH(BS$4,TOCA_current!$A$2:$AI$2,0),FALSE)</f>
        <v>5.5139999999999996E-4</v>
      </c>
      <c r="BT36" s="151">
        <f>VLOOKUP($A36,TOCA_current!$A$2:$AI$137,MATCH(BT$4,TOCA_current!$A$2:$AI$2,0),FALSE)</f>
        <v>5.5139999999999996E-4</v>
      </c>
      <c r="BU36" s="236">
        <f t="shared" si="10"/>
        <v>0</v>
      </c>
      <c r="BV36" s="151">
        <f>VLOOKUP($A36,TOCA_current!A32:BG167,MATCH(BV$4,TOCA_current!$A$2:$BG$2,0),FALSE)</f>
        <v>0</v>
      </c>
      <c r="BW36" s="151">
        <f t="shared" si="11"/>
        <v>0</v>
      </c>
      <c r="BX36" s="151">
        <f t="shared" si="12"/>
        <v>0</v>
      </c>
      <c r="BY36" s="226">
        <f>VLOOKUP($A36,IRD!$A$4:$G$139, 7, FALSE)</f>
        <v>0</v>
      </c>
      <c r="BZ36" s="227">
        <f t="array" ref="BZ36">IF($BU36=0, INDEX(LS_current!$D$4:$AY$138, MATCH('Staging Table'!$A36, LS_current!$B$4:$B$138, 0), MATCH(BZ$4&amp;BZ$5, LS_current!$D$2:$AY$2&amp;LS_current!$D$3:$AY$3, 0)),SUM(VLOOKUP($A36, LS_current!$B$4:$AY$138, LS_current!D$148, FALSE), VLOOKUP($A36, LS_current!$B$4:$AY$138,LS_current!D$148, FALSE))/2)</f>
        <v>42</v>
      </c>
      <c r="CA36" s="227">
        <f t="array" ref="CA36">IF($BU36=0, INDEX(LS_current!$D$4:$AY$138, MATCH('Staging Table'!$A36, LS_current!$B$4:$B$138, 0), MATCH(CA$4&amp;CA$5, LS_current!$D$2:$AY$2&amp;LS_current!$D$3:$AY$3, 0)),SUM(VLOOKUP($A36, LS_current!$B$4:$AY$138, LS_current!E$148, FALSE), VLOOKUP($A36, LS_current!$B$4:$AY$138,LS_current!E$148, FALSE))/2)</f>
        <v>101</v>
      </c>
      <c r="CB36" s="227">
        <f t="array" ref="CB36">IF($BU36=0, INDEX(LS_current!$D$4:$AY$138, MATCH('Staging Table'!$A36, LS_current!$B$4:$B$138, 0), MATCH(CB$4&amp;CB$5, LS_current!$D$2:$AY$2&amp;LS_current!$D$3:$AY$3, 0)),SUM(VLOOKUP($A36, LS_current!$B$4:$AY$138, LS_current!F$148, FALSE), VLOOKUP($A36, LS_current!$B$4:$AY$138,LS_current!F$148, FALSE))/2)</f>
        <v>-122</v>
      </c>
      <c r="CC36" s="227">
        <f t="array" ref="CC36">IF($BU36=0, INDEX(LS_current!$D$4:$AY$138, MATCH('Staging Table'!$A36, LS_current!$B$4:$B$138, 0), MATCH(CC$4&amp;CC$5, LS_current!$D$2:$AY$2&amp;LS_current!$D$3:$AY$3, 0)),SUM(VLOOKUP($A36, LS_current!$B$4:$AY$138, LS_current!G$148, FALSE), VLOOKUP($A36, LS_current!$B$4:$AY$138,LS_current!G$148, FALSE))/2)</f>
        <v>78</v>
      </c>
      <c r="CD36" s="227">
        <f t="array" ref="CD36">IF($BU36=0, INDEX(LS_current!$D$4:$AY$138, MATCH('Staging Table'!$A36, LS_current!$B$4:$B$138, 0), MATCH(CD$4&amp;CD$5, LS_current!$D$2:$AY$2&amp;LS_current!$D$3:$AY$3, 0)),SUM(VLOOKUP($A36, LS_current!$B$4:$AY$138, LS_current!H$148, FALSE), VLOOKUP($A36, LS_current!$B$4:$AY$138,LS_current!H$148, FALSE))/2)</f>
        <v>163</v>
      </c>
      <c r="CE36" s="227">
        <f t="array" ref="CE36">IF($BU36=0, INDEX(LS_current!$D$4:$AY$138, MATCH('Staging Table'!$A36, LS_current!$B$4:$B$138, 0), MATCH(CE$4&amp;CE$5, LS_current!$D$2:$AY$2&amp;LS_current!$D$3:$AY$3, 0)),SUM(VLOOKUP($A36, LS_current!$B$4:$AY$138, LS_current!I$148, FALSE), VLOOKUP($A36, LS_current!$B$4:$AY$138,LS_current!I$148, FALSE))/2)</f>
        <v>366</v>
      </c>
      <c r="CF36" s="227">
        <f t="array" ref="CF36">IF($BU36=0, INDEX(LS_current!$D$4:$AY$138, MATCH('Staging Table'!$A36, LS_current!$B$4:$B$138, 0), MATCH(CF$4&amp;CF$5, LS_current!$D$2:$AY$2&amp;LS_current!$D$3:$AY$3, 0)),SUM(VLOOKUP($A36, LS_current!$B$4:$AY$138, LS_current!J$148, FALSE), VLOOKUP($A36, LS_current!$B$4:$AY$138,LS_current!J$148, FALSE))/2)</f>
        <v>501</v>
      </c>
      <c r="CG36" s="227">
        <f t="array" ref="CG36">IF($BU36=0, INDEX(LS_current!$D$4:$AY$138, MATCH('Staging Table'!$A36, LS_current!$B$4:$B$138, 0), MATCH(CG$4&amp;CG$5, LS_current!$D$2:$AY$2&amp;LS_current!$D$3:$AY$3, 0)),SUM(VLOOKUP($A36, LS_current!$B$4:$AY$138, LS_current!K$148, FALSE), VLOOKUP($A36, LS_current!$B$4:$AY$138,LS_current!K$148, FALSE))/2)</f>
        <v>480</v>
      </c>
      <c r="CH36" s="227">
        <f t="array" ref="CH36">IF($BU36=0, INDEX(LS_current!$D$4:$AY$138, MATCH('Staging Table'!$A36, LS_current!$B$4:$B$138, 0), MATCH(CH$4&amp;CH$5, LS_current!$D$2:$AY$2&amp;LS_current!$D$3:$AY$3, 0)),SUM(VLOOKUP($A36, LS_current!$B$4:$AY$138, LS_current!L$148, FALSE), VLOOKUP($A36, LS_current!$B$4:$AY$138,LS_current!L$148, FALSE))/2)</f>
        <v>465</v>
      </c>
      <c r="CI36" s="227">
        <f t="array" ref="CI36">IF($BU36=0, INDEX(LS_current!$D$4:$AY$138, MATCH('Staging Table'!$A36, LS_current!$B$4:$B$138, 0), MATCH(CI$4&amp;CI$5, LS_current!$D$2:$AY$2&amp;LS_current!$D$3:$AY$3, 0)),SUM(VLOOKUP($A36, LS_current!$B$4:$AY$138, LS_current!M$148, FALSE), VLOOKUP($A36, LS_current!$B$4:$AY$138,LS_current!M$148, FALSE))/2)</f>
        <v>377</v>
      </c>
      <c r="CJ36" s="227">
        <f t="array" ref="CJ36">IF($BU36=0, INDEX(LS_current!$D$4:$AY$138, MATCH('Staging Table'!$A36, LS_current!$B$4:$B$138, 0), MATCH(CJ$4&amp;CJ$5, LS_current!$D$2:$AY$2&amp;LS_current!$D$3:$AY$3, 0)),SUM(VLOOKUP($A36, LS_current!$B$4:$AY$138, LS_current!N$148, FALSE), VLOOKUP($A36, LS_current!$B$4:$AY$138,LS_current!N$148, FALSE))/2)</f>
        <v>208</v>
      </c>
      <c r="CK36" s="227">
        <f t="array" ref="CK36">IF($BU36=0, INDEX(LS_current!$D$4:$AY$138, MATCH('Staging Table'!$A36, LS_current!$B$4:$B$138, 0), MATCH(CK$4&amp;CK$5, LS_current!$D$2:$AY$2&amp;LS_current!$D$3:$AY$3, 0)),SUM(VLOOKUP($A36, LS_current!$B$4:$AY$138, LS_current!O$148, FALSE), VLOOKUP($A36, LS_current!$B$4:$AY$138,LS_current!O$148, FALSE))/2)</f>
        <v>310</v>
      </c>
      <c r="CL36" s="227">
        <f t="array" ref="CL36">IF($BU36=0, INDEX(LS_current!$D$4:$AY$138, MATCH('Staging Table'!$A36, LS_current!$B$4:$B$138, 0), MATCH(CL$4&amp;CL$5, LS_current!$D$2:$AY$2&amp;LS_current!$D$3:$AY$3, 0)),SUM(VLOOKUP($A36, LS_current!$B$4:$AY$138, LS_current!P$148, FALSE), VLOOKUP($A36, LS_current!$B$4:$AY$138,LS_current!P$148, FALSE))/2)</f>
        <v>259</v>
      </c>
      <c r="CM36" s="227">
        <f t="array" ref="CM36">IF($BU36=0, INDEX(LS_current!$D$4:$AY$138, MATCH('Staging Table'!$A36, LS_current!$B$4:$B$138, 0), MATCH(CM$4&amp;CM$5, LS_current!$D$2:$AY$2&amp;LS_current!$D$3:$AY$3, 0)),SUM(VLOOKUP($A36, LS_current!$B$4:$AY$138, LS_current!Q$148, FALSE), VLOOKUP($A36, LS_current!$B$4:$AY$138,LS_current!Q$148, FALSE))/2)</f>
        <v>198</v>
      </c>
      <c r="CN36" s="227">
        <f t="array" ref="CN36">IF($BU36=0, INDEX(LS_current!$D$4:$AY$138, MATCH('Staging Table'!$A36, LS_current!$B$4:$B$138, 0), MATCH(CN$4&amp;CN$5, LS_current!$D$2:$AY$2&amp;LS_current!$D$3:$AY$3, 0)),SUM(VLOOKUP($A36, LS_current!$B$4:$AY$138, LS_current!R$148, FALSE), VLOOKUP($A36, LS_current!$B$4:$AY$138,LS_current!R$148, FALSE))/2)</f>
        <v>-450</v>
      </c>
      <c r="CO36" s="227">
        <f t="array" ref="CO36">IF($BU36=0, INDEX(LS_current!$D$4:$AY$138, MATCH('Staging Table'!$A36, LS_current!$B$4:$B$138, 0), MATCH(CO$4&amp;CO$5, LS_current!$D$2:$AY$2&amp;LS_current!$D$3:$AY$3, 0)),SUM(VLOOKUP($A36, LS_current!$B$4:$AY$138, LS_current!S$148, FALSE), VLOOKUP($A36, LS_current!$B$4:$AY$138,LS_current!S$148, FALSE))/2)</f>
        <v>-15</v>
      </c>
      <c r="CP36" s="227">
        <f t="array" ref="CP36">IF($BU36=0, INDEX(LS_current!$D$4:$AY$138, MATCH('Staging Table'!$A36, LS_current!$B$4:$B$138, 0), MATCH(CP$4&amp;CP$5, LS_current!$D$2:$AY$2&amp;LS_current!$D$3:$AY$3, 0)),SUM(VLOOKUP($A36, LS_current!$B$4:$AY$138, LS_current!T$148, FALSE), VLOOKUP($A36, LS_current!$B$4:$AY$138,LS_current!T$148, FALSE))/2)</f>
        <v>-993</v>
      </c>
      <c r="CQ36" s="227">
        <f t="array" ref="CQ36">IF($BU36=0, INDEX(LS_current!$D$4:$AY$138, MATCH('Staging Table'!$A36, LS_current!$B$4:$B$138, 0), MATCH(CQ$4&amp;CQ$5, LS_current!$D$2:$AY$2&amp;LS_current!$D$3:$AY$3, 0)),SUM(VLOOKUP($A36, LS_current!$B$4:$AY$138, LS_current!U$148, FALSE), VLOOKUP($A36, LS_current!$B$4:$AY$138,LS_current!U$148, FALSE))/2)</f>
        <v>-501</v>
      </c>
      <c r="CR36" s="227">
        <f t="array" ref="CR36">IF($BU36=0, INDEX(LS_current!$D$4:$AY$138, MATCH('Staging Table'!$A36, LS_current!$B$4:$B$138, 0), MATCH(CR$4&amp;CR$5, LS_current!$D$2:$AY$2&amp;LS_current!$D$3:$AY$3, 0)),SUM(VLOOKUP($A36, LS_current!$B$4:$AY$138, LS_current!V$148, FALSE), VLOOKUP($A36, LS_current!$B$4:$AY$138,LS_current!V$148, FALSE))/2)</f>
        <v>-606</v>
      </c>
      <c r="CS36" s="227">
        <f t="array" ref="CS36">IF($BU36=0, INDEX(LS_current!$D$4:$AY$138, MATCH('Staging Table'!$A36, LS_current!$B$4:$B$138, 0), MATCH(CS$4&amp;CS$5, LS_current!$D$2:$AY$2&amp;LS_current!$D$3:$AY$3, 0)),SUM(VLOOKUP($A36, LS_current!$B$4:$AY$138, LS_current!W$148, FALSE), VLOOKUP($A36, LS_current!$B$4:$AY$138,LS_current!W$148, FALSE))/2)</f>
        <v>-64</v>
      </c>
      <c r="CT36" s="227">
        <f t="array" ref="CT36">IF($BU36=0, INDEX(LS_current!$D$4:$AY$138, MATCH('Staging Table'!$A36, LS_current!$B$4:$B$138, 0), MATCH(CT$4&amp;CT$5, LS_current!$D$2:$AY$2&amp;LS_current!$D$3:$AY$3, 0)),SUM(VLOOKUP($A36, LS_current!$B$4:$AY$138, LS_current!X$148, FALSE), VLOOKUP($A36, LS_current!$B$4:$AY$138,LS_current!X$148, FALSE))/2)</f>
        <v>-510</v>
      </c>
      <c r="CU36" s="227">
        <f t="array" ref="CU36">IF($BU36=0, INDEX(LS_current!$D$4:$AY$138, MATCH('Staging Table'!$A36, LS_current!$B$4:$B$138, 0), MATCH(CU$4&amp;CU$5, LS_current!$D$2:$AY$2&amp;LS_current!$D$3:$AY$3, 0)),SUM(VLOOKUP($A36, LS_current!$B$4:$AY$138, LS_current!Y$148, FALSE), VLOOKUP($A36, LS_current!$B$4:$AY$138,LS_current!Y$148, FALSE))/2)</f>
        <v>-39</v>
      </c>
      <c r="CV36" s="227">
        <f t="array" ref="CV36">IF($BU36=0, INDEX(LS_current!$D$4:$AY$138, MATCH('Staging Table'!$A36, LS_current!$B$4:$B$138, 0), MATCH(CV$4&amp;CV$5, LS_current!$D$2:$AY$2&amp;LS_current!$D$3:$AY$3, 0)),SUM(VLOOKUP($A36, LS_current!$B$4:$AY$138, LS_current!Z$148, FALSE), VLOOKUP($A36, LS_current!$B$4:$AY$138,LS_current!Z$148, FALSE))/2)</f>
        <v>-244</v>
      </c>
      <c r="CW36" s="227">
        <f t="array" ref="CW36">IF($BU36=0, INDEX(LS_current!$D$4:$AY$138, MATCH('Staging Table'!$A36, LS_current!$B$4:$B$138, 0), MATCH(CW$4&amp;CW$5, LS_current!$D$2:$AY$2&amp;LS_current!$D$3:$AY$3, 0)),SUM(VLOOKUP($A36, LS_current!$B$4:$AY$138, LS_current!AA$148, FALSE), VLOOKUP($A36, LS_current!$B$4:$AY$138,LS_current!AA$148, FALSE))/2)</f>
        <v>-65</v>
      </c>
      <c r="CX36" s="229">
        <f t="array" ref="CX36">INDEX(Demand_current!$D$4:$AY$138, MATCH($A36, Demand_current!$B$4:$B$138, 0), MATCH(CX$4&amp;CX$5,Demand_current!$D$2:$AY$2&amp;Demand_current!$D$3:$AY$3, 0))/1000</f>
        <v>0.91400000000000003</v>
      </c>
      <c r="CY36" s="229">
        <f t="array" ref="CY36">INDEX(Demand_current!$D$4:$AY$138, MATCH($A36, Demand_current!$B$4:$B$138, 0), MATCH(CY$4&amp;CY$5,Demand_current!$D$2:$AY$2&amp;Demand_current!$D$3:$AY$3, 0))/1000</f>
        <v>0.501</v>
      </c>
      <c r="CZ36" s="229">
        <f t="array" ref="CZ36">INDEX(Demand_current!$D$4:$AY$138, MATCH($A36, Demand_current!$B$4:$B$138, 0), MATCH(CZ$4&amp;CZ$5,Demand_current!$D$2:$AY$2&amp;Demand_current!$D$3:$AY$3, 0))/1000</f>
        <v>0.69799999999999995</v>
      </c>
      <c r="DA36" s="229">
        <f t="array" ref="DA36">INDEX(Demand_current!$D$4:$AY$138, MATCH($A36, Demand_current!$B$4:$B$138, 0), MATCH(DA$4&amp;DA$5,Demand_current!$D$2:$AY$2&amp;Demand_current!$D$3:$AY$3, 0))/1000</f>
        <v>1.1020000000000001</v>
      </c>
      <c r="DB36" s="229">
        <f t="array" ref="DB36">INDEX(Demand_current!$D$4:$AY$138, MATCH($A36, Demand_current!$B$4:$B$138, 0), MATCH(DB$4&amp;DB$5,Demand_current!$D$2:$AY$2&amp;Demand_current!$D$3:$AY$3, 0))/1000</f>
        <v>1.054</v>
      </c>
      <c r="DC36" s="229">
        <f t="array" ref="DC36">INDEX(Demand_current!$D$4:$AY$138, MATCH($A36, Demand_current!$B$4:$B$138, 0), MATCH(DC$4&amp;DC$5,Demand_current!$D$2:$AY$2&amp;Demand_current!$D$3:$AY$3, 0))/1000</f>
        <v>0.96799999999999997</v>
      </c>
      <c r="DD36" s="229">
        <f t="array" ref="DD36">INDEX(Demand_current!$D$4:$AY$138, MATCH($A36, Demand_current!$B$4:$B$138, 0), MATCH(DD$4&amp;DD$5,Demand_current!$D$2:$AY$2&amp;Demand_current!$D$3:$AY$3, 0))/1000</f>
        <v>1.1240000000000001</v>
      </c>
      <c r="DE36" s="229">
        <f t="array" ref="DE36">INDEX(Demand_current!$D$4:$AY$138, MATCH($A36, Demand_current!$B$4:$B$138, 0), MATCH(DE$4&amp;DE$5,Demand_current!$D$2:$AY$2&amp;Demand_current!$D$3:$AY$3, 0))/1000</f>
        <v>0.253</v>
      </c>
      <c r="DF36" s="229">
        <f t="array" ref="DF36">INDEX(Demand_current!$D$4:$AY$138, MATCH($A36, Demand_current!$B$4:$B$138, 0), MATCH(DF$4&amp;DF$5,Demand_current!$D$2:$AY$2&amp;Demand_current!$D$3:$AY$3, 0))/1000</f>
        <v>0.38800000000000001</v>
      </c>
      <c r="DG36" s="229">
        <f t="array" ref="DG36">INDEX(Demand_current!$D$4:$AY$138, MATCH($A36, Demand_current!$B$4:$B$138, 0), MATCH(DG$4&amp;DG$5,Demand_current!$D$2:$AY$2&amp;Demand_current!$D$3:$AY$3, 0))/1000</f>
        <v>0.439</v>
      </c>
      <c r="DH36" s="229">
        <f t="array" ref="DH36">INDEX(Demand_current!$D$4:$AY$138, MATCH($A36, Demand_current!$B$4:$B$138, 0), MATCH(DH$4&amp;DH$5,Demand_current!$D$2:$AY$2&amp;Demand_current!$D$3:$AY$3, 0))/1000</f>
        <v>0.504</v>
      </c>
      <c r="DI36" s="229">
        <f t="array" ref="DI36">INDEX(Demand_current!$D$4:$AY$138, MATCH($A36, Demand_current!$B$4:$B$138, 0), MATCH(DI$4&amp;DI$5,Demand_current!$D$2:$AY$2&amp;Demand_current!$D$3:$AY$3, 0))/1000</f>
        <v>0.36099999999999999</v>
      </c>
      <c r="DJ36" s="227">
        <f>$BT36*(VLOOKUP(DJ$4, Rates_current!$G$6:$Q$29, 10, FALSE)+VLOOKUP(DJ$4, Rates_current!$G$6:$Q$29, 11, FALSE))</f>
        <v>2545.9887018743993</v>
      </c>
      <c r="DK36" s="227">
        <f>$BT36*(VLOOKUP(DK$4, Rates_current!$G$6:$Q$29, 10, FALSE)+VLOOKUP(DK$4, Rates_current!$G$6:$Q$29, 11, FALSE))</f>
        <v>3234.1998879845996</v>
      </c>
      <c r="DL36" s="227">
        <f>$BT36*(VLOOKUP(DL$4, Rates_current!$G$6:$Q$29, 10, FALSE)+VLOOKUP(DL$4, Rates_current!$G$6:$Q$29, 11, FALSE))</f>
        <v>3195.1425480744001</v>
      </c>
      <c r="DM36" s="227">
        <f>$BT36*(VLOOKUP(DM$4, Rates_current!$G$6:$Q$29, 10, FALSE)+VLOOKUP(DM$4, Rates_current!$G$6:$Q$29, 11, FALSE))</f>
        <v>2663.3459208744002</v>
      </c>
      <c r="DN36" s="227">
        <f>$BT36*(VLOOKUP(DN$4, Rates_current!$G$6:$Q$29, 10, FALSE)+VLOOKUP(DN$4, Rates_current!$G$6:$Q$29, 11, FALSE))</f>
        <v>2412.7151035199995</v>
      </c>
      <c r="DO36" s="227">
        <f>$BT36*(VLOOKUP(DO$4, Rates_current!$G$6:$Q$29, 10, FALSE)+VLOOKUP(DO$4, Rates_current!$G$6:$Q$29, 11, FALSE))</f>
        <v>2683.7056716617999</v>
      </c>
      <c r="DP36" s="227">
        <f>$BT36*(VLOOKUP(DP$4, Rates_current!$G$6:$Q$29, 10, FALSE)+VLOOKUP(DP$4, Rates_current!$G$6:$Q$29, 11, FALSE))</f>
        <v>2185.0760538719996</v>
      </c>
      <c r="DQ36" s="227">
        <f>$BT36*(VLOOKUP(DQ$4, Rates_current!$G$6:$Q$29, 10, FALSE)+VLOOKUP(DQ$4, Rates_current!$G$6:$Q$29, 11, FALSE))</f>
        <v>2946.9008895744</v>
      </c>
      <c r="DR36" s="227">
        <f>$BT36*(VLOOKUP(DR$4, Rates_current!$G$6:$Q$29, 10, FALSE)+VLOOKUP(DR$4, Rates_current!$G$6:$Q$29, 11, FALSE))</f>
        <v>3760.0451121719998</v>
      </c>
      <c r="DS36" s="227">
        <f>$BT36*(VLOOKUP(DS$4, Rates_current!$G$6:$Q$29, 10, FALSE)+VLOOKUP(DS$4, Rates_current!$G$6:$Q$29, 11, FALSE))</f>
        <v>2947.9945914743998</v>
      </c>
      <c r="DT36" s="227">
        <f>$BT36*(VLOOKUP(DT$4, Rates_current!$G$6:$Q$29, 10, FALSE)+VLOOKUP(DT$4, Rates_current!$G$6:$Q$29, 11, FALSE))</f>
        <v>2870.7597177744001</v>
      </c>
      <c r="DU36" s="227">
        <f>$BT36*(VLOOKUP(DU$4, Rates_current!$G$6:$Q$29, 10, FALSE)+VLOOKUP(DU$4, Rates_current!$G$6:$Q$29, 11, FALSE))</f>
        <v>2577.3315372719999</v>
      </c>
      <c r="DV36" s="229">
        <f>IF(D36=0,IF(C36=0,MAX(0,DY36 - (VLOOKUP($A36,TOCA_current!$A$2:$AI$137,MATCH("RHWM 2020",TOCA_current!$A$2:$AI$2,0),FALSE)*$BT$2)), 0),0)</f>
        <v>0</v>
      </c>
      <c r="DW36" s="266">
        <f>VLOOKUP($A36,REP_current!$A$1:$D$135,MATCH("FY "&amp;$BT$1&amp; " Total Refund",REP_current!$A$1:$D$1,0),0)</f>
        <v>0</v>
      </c>
      <c r="DX36" s="295">
        <f>MIN(VLOOKUP($A36,TOCA_current!$A$2:$AI$137,MATCH("TRL - NLSL - Existing Resource "&amp;$BT$1,TOCA_current!$A$2:$AI$2,0),FALSE)*$BT$2, VLOOKUP($A36,TOCA_current!$A$2:$AI$137,MATCH("RHWM 2020",TOCA_current!$A$2:$AI$2,0),FALSE)*$BT$2)</f>
        <v>34020.432000000001</v>
      </c>
      <c r="DY36" s="240">
        <f>SUM(BZ36:CW36)+(BT36*RT1SC!$C$4*$BT$2)</f>
        <v>33962.207013171195</v>
      </c>
      <c r="DZ36" s="271">
        <f>VLOOKUP($A36,TOCA_current!$A$2:$AI$137,MATCH("Above RHWM Not Served with LS "&amp;$BT$1,TOCA_current!$A$2:$AI$2,0),FALSE)*$BT$2</f>
        <v>0</v>
      </c>
      <c r="EA36" s="244">
        <f t="shared" si="13"/>
        <v>-58.224986828805413</v>
      </c>
      <c r="EB36" s="295">
        <f>(VLOOKUP($A36,TOCA_current!$A$2:$AI$137,MATCH("RHWM 2020",TOCA_current!$A$2:$AI$2,0),FALSE)*$BT$2) - $DX36</f>
        <v>447.98399999999674</v>
      </c>
      <c r="EC36" s="240">
        <f t="shared" si="14"/>
        <v>0</v>
      </c>
      <c r="ED36" s="240">
        <f t="shared" si="15"/>
        <v>58.224986828805413</v>
      </c>
      <c r="EE36" s="240">
        <f t="shared" si="16"/>
        <v>0</v>
      </c>
      <c r="EF36" s="240">
        <f t="shared" si="17"/>
        <v>58.224986828805413</v>
      </c>
    </row>
    <row r="37" spans="1:136">
      <c r="A37" s="166">
        <v>10087</v>
      </c>
      <c r="B37" s="167" t="s">
        <v>38</v>
      </c>
      <c r="C37" s="240">
        <v>0</v>
      </c>
      <c r="D37" s="240">
        <v>0</v>
      </c>
      <c r="E37" s="150">
        <f>VLOOKUP($A37,TOCA_previous!$A$2:$AI$137,MATCH(E$4,TOCA_previous!$A$2:$AI$2,0),FALSE)</f>
        <v>4.4377000000000002E-3</v>
      </c>
      <c r="F37" s="151">
        <f>VLOOKUP($A37,TOCA_previous!$A$2:$AI$137,MATCH(F$4,TOCA_previous!$A$2:$AI$2,0),FALSE)</f>
        <v>4.4377000000000002E-3</v>
      </c>
      <c r="G37" s="151">
        <f t="shared" si="2"/>
        <v>0</v>
      </c>
      <c r="H37" s="151">
        <f>VLOOKUP($A37,TOCA_previous!$A$2:$AI$137,MATCH(H$4,TOCA_previous!$A$2:$AI$2,0),FALSE)</f>
        <v>0</v>
      </c>
      <c r="I37" s="151">
        <f t="shared" si="3"/>
        <v>0</v>
      </c>
      <c r="J37" s="151">
        <f t="shared" si="4"/>
        <v>0</v>
      </c>
      <c r="K37" s="226">
        <f>VLOOKUP(A37, IRD!$A$5:$C$139, 3, FALSE)</f>
        <v>0</v>
      </c>
      <c r="L37" s="227">
        <f t="array" ref="L37">IF($G37=0, INDEX(LS_previous!$D$4:$AY$138, MATCH('Staging Table'!$A37, LS_previous!$B$4:$B$138, 0), MATCH(L$4&amp;L$5, LS_previous!$D$2:$AY$2&amp;LS_previous!$D$3:$AY$3, 0)),SUM(VLOOKUP($A37, LS_previous!$B$4:$AY$138, LS_previous!D$149, FALSE), VLOOKUP('Staging Table'!$A37, LS_previous!$B$4:$AY$138,LS_previous!AB$149, FALSE))/2)</f>
        <v>-978</v>
      </c>
      <c r="M37" s="227">
        <f t="array" ref="M37">IF($G37=0, INDEX(LS_previous!$D$4:$AY$138, MATCH('Staging Table'!$A37, LS_previous!$B$4:$B$138, 0), MATCH(M$4&amp;M$5, LS_previous!$D$2:$AY$2&amp;LS_previous!$D$3:$AY$3, 0)),SUM(VLOOKUP($A37, LS_previous!$B$4:$AY$138, LS_previous!E$149, FALSE), VLOOKUP('Staging Table'!$A37, LS_previous!$B$4:$AY$138,LS_previous!AC$149, FALSE))/2)</f>
        <v>2424</v>
      </c>
      <c r="N37" s="227">
        <f t="array" ref="N37">IF($G37=0, INDEX(LS_previous!$D$4:$AY$138, MATCH('Staging Table'!$A37, LS_previous!$B$4:$B$138, 0), MATCH(N$4&amp;N$5, LS_previous!$D$2:$AY$2&amp;LS_previous!$D$3:$AY$3, 0)),SUM(VLOOKUP($A37, LS_previous!$B$4:$AY$138, LS_previous!F$149, FALSE), VLOOKUP('Staging Table'!$A37, LS_previous!$B$4:$AY$138,LS_previous!AD$149, FALSE))/2)</f>
        <v>-1089</v>
      </c>
      <c r="O37" s="227">
        <f t="array" ref="O37">IF($G37=0, INDEX(LS_previous!$D$4:$AY$138, MATCH('Staging Table'!$A37, LS_previous!$B$4:$B$138, 0), MATCH(O$4&amp;O$5, LS_previous!$D$2:$AY$2&amp;LS_previous!$D$3:$AY$3, 0)),SUM(VLOOKUP($A37, LS_previous!$B$4:$AY$138, LS_previous!G$149, FALSE), VLOOKUP('Staging Table'!$A37, LS_previous!$B$4:$AY$138,LS_previous!AE$149, FALSE))/2)</f>
        <v>3916</v>
      </c>
      <c r="P37" s="227">
        <f t="array" ref="P37">IF($G37=0, INDEX(LS_previous!$D$4:$AY$138, MATCH('Staging Table'!$A37, LS_previous!$B$4:$B$138, 0), MATCH(P$4&amp;P$5, LS_previous!$D$2:$AY$2&amp;LS_previous!$D$3:$AY$3, 0)),SUM(VLOOKUP($A37, LS_previous!$B$4:$AY$138, LS_previous!H$149, FALSE), VLOOKUP('Staging Table'!$A37, LS_previous!$B$4:$AY$138,LS_previous!AF$149, FALSE))/2)</f>
        <v>2318</v>
      </c>
      <c r="Q37" s="227">
        <f t="array" ref="Q37">IF($G37=0, INDEX(LS_previous!$D$4:$AY$138, MATCH('Staging Table'!$A37, LS_previous!$B$4:$B$138, 0), MATCH(Q$4&amp;Q$5, LS_previous!$D$2:$AY$2&amp;LS_previous!$D$3:$AY$3, 0)),SUM(VLOOKUP($A37, LS_previous!$B$4:$AY$138, LS_previous!I$149, FALSE), VLOOKUP('Staging Table'!$A37, LS_previous!$B$4:$AY$138,LS_previous!AG$149, FALSE))/2)</f>
        <v>4000</v>
      </c>
      <c r="R37" s="227">
        <f t="array" ref="R37">IF($G37=0, INDEX(LS_previous!$D$4:$AY$138, MATCH('Staging Table'!$A37, LS_previous!$B$4:$B$138, 0), MATCH(R$4&amp;R$5, LS_previous!$D$2:$AY$2&amp;LS_previous!$D$3:$AY$3, 0)),SUM(VLOOKUP($A37, LS_previous!$B$4:$AY$138, LS_previous!J$149, FALSE), VLOOKUP('Staging Table'!$A37, LS_previous!$B$4:$AY$138,LS_previous!AH$149, FALSE))/2)</f>
        <v>4017</v>
      </c>
      <c r="S37" s="227">
        <f t="array" ref="S37">IF($G37=0, INDEX(LS_previous!$D$4:$AY$138, MATCH('Staging Table'!$A37, LS_previous!$B$4:$B$138, 0), MATCH(S$4&amp;S$5, LS_previous!$D$2:$AY$2&amp;LS_previous!$D$3:$AY$3, 0)),SUM(VLOOKUP($A37, LS_previous!$B$4:$AY$138, LS_previous!K$149, FALSE), VLOOKUP('Staging Table'!$A37, LS_previous!$B$4:$AY$138,LS_previous!AI$149, FALSE))/2)</f>
        <v>6903</v>
      </c>
      <c r="T37" s="227">
        <f t="array" ref="T37">IF($G37=0, INDEX(LS_previous!$D$4:$AY$138, MATCH('Staging Table'!$A37, LS_previous!$B$4:$B$138, 0), MATCH(T$4&amp;T$5, LS_previous!$D$2:$AY$2&amp;LS_previous!$D$3:$AY$3, 0)),SUM(VLOOKUP($A37, LS_previous!$B$4:$AY$138, LS_previous!L$149, FALSE), VLOOKUP('Staging Table'!$A37, LS_previous!$B$4:$AY$138,LS_previous!AJ$149, FALSE))/2)</f>
        <v>5256</v>
      </c>
      <c r="U37" s="227">
        <f t="array" ref="U37">IF($G37=0, INDEX(LS_previous!$D$4:$AY$138, MATCH('Staging Table'!$A37, LS_previous!$B$4:$B$138, 0), MATCH(U$4&amp;U$5, LS_previous!$D$2:$AY$2&amp;LS_previous!$D$3:$AY$3, 0)),SUM(VLOOKUP($A37, LS_previous!$B$4:$AY$138, LS_previous!M$149, FALSE), VLOOKUP('Staging Table'!$A37, LS_previous!$B$4:$AY$138,LS_previous!AK$149, FALSE))/2)</f>
        <v>6549</v>
      </c>
      <c r="V37" s="227">
        <f t="array" ref="V37">IF($G37=0, INDEX(LS_previous!$D$4:$AY$138, MATCH('Staging Table'!$A37, LS_previous!$B$4:$B$138, 0), MATCH(V$4&amp;V$5, LS_previous!$D$2:$AY$2&amp;LS_previous!$D$3:$AY$3, 0)),SUM(VLOOKUP($A37, LS_previous!$B$4:$AY$138, LS_previous!N$149, FALSE), VLOOKUP('Staging Table'!$A37, LS_previous!$B$4:$AY$138,LS_previous!AL$149, FALSE))/2)</f>
        <v>1752</v>
      </c>
      <c r="W37" s="227">
        <f t="array" ref="W37">IF($G37=0, INDEX(LS_previous!$D$4:$AY$138, MATCH('Staging Table'!$A37, LS_previous!$B$4:$B$138, 0), MATCH(W$4&amp;W$5, LS_previous!$D$2:$AY$2&amp;LS_previous!$D$3:$AY$3, 0)),SUM(VLOOKUP($A37, LS_previous!$B$4:$AY$138, LS_previous!O$149, FALSE), VLOOKUP('Staging Table'!$A37, LS_previous!$B$4:$AY$138,LS_previous!AM$149, FALSE))/2)</f>
        <v>4111</v>
      </c>
      <c r="X37" s="227">
        <f t="array" ref="X37">IF($G37=0, INDEX(LS_previous!$D$4:$AY$138, MATCH('Staging Table'!$A37, LS_previous!$B$4:$B$138, 0), MATCH(X$4&amp;X$5, LS_previous!$D$2:$AY$2&amp;LS_previous!$D$3:$AY$3, 0)),SUM(VLOOKUP($A37, LS_previous!$B$4:$AY$138, LS_previous!P$149, FALSE), VLOOKUP('Staging Table'!$A37, LS_previous!$B$4:$AY$138,LS_previous!AN$149, FALSE))/2)</f>
        <v>180</v>
      </c>
      <c r="Y37" s="227">
        <f t="array" ref="Y37">IF($G37=0, INDEX(LS_previous!$D$4:$AY$138, MATCH('Staging Table'!$A37, LS_previous!$B$4:$B$138, 0), MATCH(Y$4&amp;Y$5, LS_previous!$D$2:$AY$2&amp;LS_previous!$D$3:$AY$3, 0)),SUM(VLOOKUP($A37, LS_previous!$B$4:$AY$138, LS_previous!Q$149, FALSE), VLOOKUP('Staging Table'!$A37, LS_previous!$B$4:$AY$138,LS_previous!AO$149, FALSE))/2)</f>
        <v>2911</v>
      </c>
      <c r="Z37" s="227">
        <f t="array" ref="Z37">IF($G37=0, INDEX(LS_previous!$D$4:$AY$138, MATCH('Staging Table'!$A37, LS_previous!$B$4:$B$138, 0), MATCH(Z$4&amp;Z$5, LS_previous!$D$2:$AY$2&amp;LS_previous!$D$3:$AY$3, 0)),SUM(VLOOKUP($A37, LS_previous!$B$4:$AY$138, LS_previous!R$149, FALSE), VLOOKUP('Staging Table'!$A37, LS_previous!$B$4:$AY$138,LS_previous!AP$149, FALSE))/2)</f>
        <v>-8785</v>
      </c>
      <c r="AA37" s="227">
        <f t="array" ref="AA37">IF($G37=0, INDEX(LS_previous!$D$4:$AY$138, MATCH('Staging Table'!$A37, LS_previous!$B$4:$B$138, 0), MATCH(AA$4&amp;AA$5, LS_previous!$D$2:$AY$2&amp;LS_previous!$D$3:$AY$3, 0)),SUM(VLOOKUP($A37, LS_previous!$B$4:$AY$138, LS_previous!S$149, FALSE), VLOOKUP('Staging Table'!$A37, LS_previous!$B$4:$AY$138,LS_previous!AQ$149, FALSE))/2)</f>
        <v>-2104</v>
      </c>
      <c r="AB37" s="227">
        <f t="array" ref="AB37">IF($G37=0, INDEX(LS_previous!$D$4:$AY$138, MATCH('Staging Table'!$A37, LS_previous!$B$4:$B$138, 0), MATCH(AB$4&amp;AB$5, LS_previous!$D$2:$AY$2&amp;LS_previous!$D$3:$AY$3, 0)),SUM(VLOOKUP($A37, LS_previous!$B$4:$AY$138, LS_previous!T$149, FALSE), VLOOKUP('Staging Table'!$A37, LS_previous!$B$4:$AY$138,LS_previous!AR$149, FALSE))/2)</f>
        <v>-5444</v>
      </c>
      <c r="AC37" s="227">
        <f t="array" ref="AC37">IF($G37=0, INDEX(LS_previous!$D$4:$AY$138, MATCH('Staging Table'!$A37, LS_previous!$B$4:$B$138, 0), MATCH(AC$4&amp;AC$5, LS_previous!$D$2:$AY$2&amp;LS_previous!$D$3:$AY$3, 0)),SUM(VLOOKUP($A37, LS_previous!$B$4:$AY$138, LS_previous!U$149, FALSE), VLOOKUP('Staging Table'!$A37, LS_previous!$B$4:$AY$138,LS_previous!AS$149, FALSE))/2)</f>
        <v>-652</v>
      </c>
      <c r="AD37" s="227">
        <f t="array" ref="AD37">IF($G37=0, INDEX(LS_previous!$D$4:$AY$138, MATCH('Staging Table'!$A37, LS_previous!$B$4:$B$138, 0), MATCH(AD$4&amp;AD$5, LS_previous!$D$2:$AY$2&amp;LS_previous!$D$3:$AY$3, 0)),SUM(VLOOKUP($A37, LS_previous!$B$4:$AY$138, LS_previous!V$149, FALSE), VLOOKUP('Staging Table'!$A37, LS_previous!$B$4:$AY$138,LS_previous!AT$149, FALSE))/2)</f>
        <v>-4209</v>
      </c>
      <c r="AE37" s="227">
        <f t="array" ref="AE37">IF($G37=0, INDEX(LS_previous!$D$4:$AY$138, MATCH('Staging Table'!$A37, LS_previous!$B$4:$B$138, 0), MATCH(AE$4&amp;AE$5, LS_previous!$D$2:$AY$2&amp;LS_previous!$D$3:$AY$3, 0)),SUM(VLOOKUP($A37, LS_previous!$B$4:$AY$138, LS_previous!W$149, FALSE), VLOOKUP('Staging Table'!$A37, LS_previous!$B$4:$AY$138,LS_previous!AU$149, FALSE))/2)</f>
        <v>301</v>
      </c>
      <c r="AF37" s="227">
        <f t="array" ref="AF37">IF($G37=0, INDEX(LS_previous!$D$4:$AY$138, MATCH('Staging Table'!$A37, LS_previous!$B$4:$B$138, 0), MATCH(AF$4&amp;AF$5, LS_previous!$D$2:$AY$2&amp;LS_previous!$D$3:$AY$3, 0)),SUM(VLOOKUP($A37, LS_previous!$B$4:$AY$138, LS_previous!X$149, FALSE), VLOOKUP('Staging Table'!$A37, LS_previous!$B$4:$AY$138,LS_previous!AV$149, FALSE))/2)</f>
        <v>-5763</v>
      </c>
      <c r="AG37" s="227">
        <f t="array" ref="AG37">IF($G37=0, INDEX(LS_previous!$D$4:$AY$138, MATCH('Staging Table'!$A37, LS_previous!$B$4:$B$138, 0), MATCH(AG$4&amp;AG$5, LS_previous!$D$2:$AY$2&amp;LS_previous!$D$3:$AY$3, 0)),SUM(VLOOKUP($A37, LS_previous!$B$4:$AY$138, LS_previous!Y$149, FALSE), VLOOKUP('Staging Table'!$A37, LS_previous!$B$4:$AY$138,LS_previous!AW$149, FALSE))/2)</f>
        <v>-102</v>
      </c>
      <c r="AH37" s="227">
        <f t="array" ref="AH37">IF($G37=0, INDEX(LS_previous!$D$4:$AY$138, MATCH('Staging Table'!$A37, LS_previous!$B$4:$B$138, 0), MATCH(AH$4&amp;AH$5, LS_previous!$D$2:$AY$2&amp;LS_previous!$D$3:$AY$3, 0)),SUM(VLOOKUP($A37, LS_previous!$B$4:$AY$138, LS_previous!Z$149, FALSE), VLOOKUP('Staging Table'!$A37, LS_previous!$B$4:$AY$138,LS_previous!AX$149, FALSE))/2)</f>
        <v>-3767</v>
      </c>
      <c r="AI37" s="227">
        <f t="array" ref="AI37">IF($G37=0, INDEX(LS_previous!$D$4:$AY$138, MATCH('Staging Table'!$A37, LS_previous!$B$4:$B$138, 0), MATCH(AI$4&amp;AI$5, LS_previous!$D$2:$AY$2&amp;LS_previous!$D$3:$AY$3, 0)),SUM(VLOOKUP($A37, LS_previous!$B$4:$AY$138, LS_previous!AA$149, FALSE), VLOOKUP('Staging Table'!$A37, LS_previous!$B$4:$AY$138,LS_previous!AY$149, FALSE))/2)</f>
        <v>186</v>
      </c>
      <c r="AJ37" s="424">
        <f t="array" ref="AJ37">INDEX(Demand_previous!$D$4:$AY$138, MATCH('Staging Table'!$A37, Demand_previous!$B$4:$B$138, 0), MATCH(AJ$4&amp;AJ$5,Demand_previous!$D$2:$AY$2&amp;Demand_previous!$D$3:$AY$3, 0))/1000</f>
        <v>0</v>
      </c>
      <c r="AK37" s="424">
        <f t="array" ref="AK37">INDEX(Demand_previous!$D$4:$AY$138, MATCH('Staging Table'!$A37, Demand_previous!$B$4:$B$138, 0), MATCH(AK$4&amp;AK$5,Demand_previous!$D$2:$AY$2&amp;Demand_previous!$D$3:$AY$3, 0))/1000</f>
        <v>0</v>
      </c>
      <c r="AL37" s="424">
        <f t="array" ref="AL37">INDEX(Demand_previous!$D$4:$AY$138, MATCH('Staging Table'!$A37, Demand_previous!$B$4:$B$138, 0), MATCH(AL$4&amp;AL$5,Demand_previous!$D$2:$AY$2&amp;Demand_previous!$D$3:$AY$3, 0))/1000</f>
        <v>1.5580000000000001</v>
      </c>
      <c r="AM37" s="424">
        <f t="array" ref="AM37">INDEX(Demand_previous!$D$4:$AY$138, MATCH('Staging Table'!$A37, Demand_previous!$B$4:$B$138, 0), MATCH(AM$4&amp;AM$5,Demand_previous!$D$2:$AY$2&amp;Demand_previous!$D$3:$AY$3, 0))/1000</f>
        <v>0</v>
      </c>
      <c r="AN37" s="424">
        <f t="array" ref="AN37">INDEX(Demand_previous!$D$4:$AY$138, MATCH('Staging Table'!$A37, Demand_previous!$B$4:$B$138, 0), MATCH(AN$4&amp;AN$5,Demand_previous!$D$2:$AY$2&amp;Demand_previous!$D$3:$AY$3, 0))/1000</f>
        <v>0</v>
      </c>
      <c r="AO37" s="424">
        <f t="array" ref="AO37">INDEX(Demand_previous!$D$4:$AY$138, MATCH('Staging Table'!$A37, Demand_previous!$B$4:$B$138, 0), MATCH(AO$4&amp;AO$5,Demand_previous!$D$2:$AY$2&amp;Demand_previous!$D$3:$AY$3, 0))/1000</f>
        <v>0</v>
      </c>
      <c r="AP37" s="424">
        <f t="array" ref="AP37">INDEX(Demand_previous!$D$4:$AY$138, MATCH('Staging Table'!$A37, Demand_previous!$B$4:$B$138, 0), MATCH(AP$4&amp;AP$5,Demand_previous!$D$2:$AY$2&amp;Demand_previous!$D$3:$AY$3, 0))/1000</f>
        <v>0</v>
      </c>
      <c r="AQ37" s="424">
        <f t="array" ref="AQ37">INDEX(Demand_previous!$D$4:$AY$138, MATCH('Staging Table'!$A37, Demand_previous!$B$4:$B$138, 0), MATCH(AQ$4&amp;AQ$5,Demand_previous!$D$2:$AY$2&amp;Demand_previous!$D$3:$AY$3, 0))/1000</f>
        <v>0</v>
      </c>
      <c r="AR37" s="424">
        <f t="array" ref="AR37">INDEX(Demand_previous!$D$4:$AY$138, MATCH('Staging Table'!$A37, Demand_previous!$B$4:$B$138, 0), MATCH(AR$4&amp;AR$5,Demand_previous!$D$2:$AY$2&amp;Demand_previous!$D$3:$AY$3, 0))/1000</f>
        <v>0</v>
      </c>
      <c r="AS37" s="424">
        <f t="array" ref="AS37">INDEX(Demand_previous!$D$4:$AY$138, MATCH('Staging Table'!$A37, Demand_previous!$B$4:$B$138, 0), MATCH(AS$4&amp;AS$5,Demand_previous!$D$2:$AY$2&amp;Demand_previous!$D$3:$AY$3, 0))/1000</f>
        <v>0</v>
      </c>
      <c r="AT37" s="424">
        <f t="array" ref="AT37">INDEX(Demand_previous!$D$4:$AY$138, MATCH('Staging Table'!$A37, Demand_previous!$B$4:$B$138, 0), MATCH(AT$4&amp;AT$5,Demand_previous!$D$2:$AY$2&amp;Demand_previous!$D$3:$AY$3, 0))/1000</f>
        <v>0</v>
      </c>
      <c r="AU37" s="424">
        <f t="array" ref="AU37">INDEX(Demand_previous!$D$4:$AY$138, MATCH('Staging Table'!$A37, Demand_previous!$B$4:$B$138, 0), MATCH(AU$4&amp;AU$5,Demand_previous!$D$2:$AY$2&amp;Demand_previous!$D$3:$AY$3, 0))/1000</f>
        <v>0</v>
      </c>
      <c r="AV37" s="227">
        <f>$F37*(VLOOKUP(AV$4, Rates_previous!$G$6:$Q$29, 10, FALSE)+VLOOKUP(AV$4, Rates_previous!$G$6:$Q$29, 11, FALSE))</f>
        <v>20807.655338155884</v>
      </c>
      <c r="AW37" s="227">
        <f>$F37*(VLOOKUP(AW$4, Rates_previous!$G$6:$Q$29, 10, FALSE)+VLOOKUP(AW$4, Rates_previous!$G$6:$Q$29, 11, FALSE))</f>
        <v>25716.680532344653</v>
      </c>
      <c r="AX37" s="227">
        <f>$F37*(VLOOKUP(AX$4, Rates_previous!$G$6:$Q$29, 10, FALSE)+VLOOKUP(AX$4, Rates_previous!$G$6:$Q$29, 11, FALSE))</f>
        <v>25407.853957786818</v>
      </c>
      <c r="AY37" s="227">
        <f>$F37*(VLOOKUP(AY$4, Rates_previous!$G$6:$Q$29, 10, FALSE)+VLOOKUP(AY$4, Rates_previous!$G$6:$Q$29, 11, FALSE))</f>
        <v>21708.589438475534</v>
      </c>
      <c r="AZ37" s="227">
        <f>$F37*(VLOOKUP(AZ$4, Rates_previous!$G$6:$Q$29, 10, FALSE)+VLOOKUP(AZ$4, Rates_previous!$G$6:$Q$29, 11, FALSE))</f>
        <v>17796.832499536922</v>
      </c>
      <c r="BA37" s="227">
        <f>$F37*(VLOOKUP(BA$4, Rates_previous!$G$6:$Q$29, 10, FALSE)+VLOOKUP(BA$4, Rates_previous!$G$6:$Q$29, 11, FALSE))</f>
        <v>21070.803238501954</v>
      </c>
      <c r="BB37" s="227">
        <f>$F37*(VLOOKUP(BB$4, Rates_previous!$G$6:$Q$29, 10, FALSE)+VLOOKUP(BB$4, Rates_previous!$G$6:$Q$29, 11, FALSE))</f>
        <v>20252.106847519724</v>
      </c>
      <c r="BC37" s="227">
        <f>$F37*(VLOOKUP(BC$4, Rates_previous!$G$6:$Q$29, 10, FALSE)+VLOOKUP(BC$4, Rates_previous!$G$6:$Q$29, 11, FALSE))</f>
        <v>29718.53370401173</v>
      </c>
      <c r="BD37" s="227">
        <f>$F37*(VLOOKUP(BD$4, Rates_previous!$G$6:$Q$29, 10, FALSE)+VLOOKUP(BD$4, Rates_previous!$G$6:$Q$29, 11, FALSE))</f>
        <v>23447.13762204496</v>
      </c>
      <c r="BE37" s="227">
        <f>$F37*(VLOOKUP(BE$4, Rates_previous!$G$6:$Q$29, 10, FALSE)+VLOOKUP(BE$4, Rates_previous!$G$6:$Q$29, 11, FALSE))</f>
        <v>20588.554880084837</v>
      </c>
      <c r="BF37" s="227">
        <f>$F37*(VLOOKUP(BF$4, Rates_previous!$G$6:$Q$29, 10, FALSE)+VLOOKUP(BF$4, Rates_previous!$G$6:$Q$29, 11, FALSE))</f>
        <v>22802.64864245589</v>
      </c>
      <c r="BG37" s="227">
        <f>$F37*(VLOOKUP(BG$4, Rates_previous!$G$6:$Q$29, 10, FALSE)+VLOOKUP(BG$4, Rates_previous!$G$6:$Q$29, 11, FALSE))</f>
        <v>20658.292865561401</v>
      </c>
      <c r="BH37" s="229">
        <f>IF($D37=0,IF(C37=0, MAX(BK37 - (VLOOKUP($A37,TOCA_previous!$A$2:$AI$137,MATCH("RHWM 2018",TOCA_previous!$A$2:$AI$2,0),FALSE)*$F$2*TOCA_previous!C34),0),0), 0)</f>
        <v>0</v>
      </c>
      <c r="BI37" s="266">
        <f>VLOOKUP($A37,REP_previous!$A$1:$D$135,MATCH("FY "&amp;$F$1&amp; " Total Refund",REP_previous!$A$1:$D$1,0),0)</f>
        <v>693203.97036166384</v>
      </c>
      <c r="BJ37" s="241">
        <f>MIN(VLOOKUP($A37,TOCA_previous!$A$2:$AI$137,MATCH("TRL - NLSL - Existing Resource "&amp;$F$1,TOCA_previous!$A$2:$AI$2,0),FALSE)*$F$2,(VLOOKUP($A37,TOCA_previous!$A$2:$AI$137,MATCH("RHWM 2018",TOCA_previous!$A$2:$AI$2,0),FALSE)*$F$2))</f>
        <v>269974.44</v>
      </c>
      <c r="BK37" s="229">
        <f>SUM(L37:AI37)+(F37*RT1SC!$C$3*$F$2)</f>
        <v>281906.693505192</v>
      </c>
      <c r="BL37" s="241">
        <f>VLOOKUP($A37,TOCA_previous!$A$2:$AI$137,MATCH("Above RHWM Not Served with LS "&amp;$F$1,TOCA_previous!$A$2:$AI$2,0),FALSE)*$F$2</f>
        <v>0</v>
      </c>
      <c r="BM37" s="151">
        <f t="shared" si="5"/>
        <v>11932.253505191999</v>
      </c>
      <c r="BN37" s="242">
        <f>(VLOOKUP($A37,TOCA_previous!$A$2:$AI$137,MATCH("RHWM 2018",TOCA_previous!$A$2:$AI$2,0),FALSE)*$F$2) - $BJ37</f>
        <v>466811.64000000007</v>
      </c>
      <c r="BO37" s="151">
        <f t="shared" si="6"/>
        <v>-11932.253505191999</v>
      </c>
      <c r="BP37" s="243">
        <f t="shared" si="7"/>
        <v>0</v>
      </c>
      <c r="BQ37" s="237">
        <f t="shared" si="8"/>
        <v>0</v>
      </c>
      <c r="BR37" s="242">
        <f t="shared" si="9"/>
        <v>-11932.253505191999</v>
      </c>
      <c r="BS37" s="151">
        <f>VLOOKUP($A37,TOCA_current!$A$2:$AI$137,MATCH(BS$4,TOCA_current!$A$2:$AI$2,0),FALSE)</f>
        <v>4.3660000000000001E-3</v>
      </c>
      <c r="BT37" s="151">
        <f>VLOOKUP($A37,TOCA_current!$A$2:$AI$137,MATCH(BT$4,TOCA_current!$A$2:$AI$2,0),FALSE)</f>
        <v>4.3660000000000001E-3</v>
      </c>
      <c r="BU37" s="236">
        <f t="shared" si="10"/>
        <v>0</v>
      </c>
      <c r="BV37" s="151">
        <f>VLOOKUP($A37,TOCA_current!A33:BG168,MATCH(BV$4,TOCA_current!$A$2:$BG$2,0),FALSE)</f>
        <v>0</v>
      </c>
      <c r="BW37" s="151">
        <f t="shared" si="11"/>
        <v>0</v>
      </c>
      <c r="BX37" s="151">
        <f t="shared" si="12"/>
        <v>0</v>
      </c>
      <c r="BY37" s="226">
        <f>VLOOKUP($A37,IRD!$A$4:$G$139, 7, FALSE)</f>
        <v>0</v>
      </c>
      <c r="BZ37" s="227">
        <f t="array" ref="BZ37">IF($BU37=0, INDEX(LS_current!$D$4:$AY$138, MATCH('Staging Table'!$A37, LS_current!$B$4:$B$138, 0), MATCH(BZ$4&amp;BZ$5, LS_current!$D$2:$AY$2&amp;LS_current!$D$3:$AY$3, 0)),SUM(VLOOKUP($A37, LS_current!$B$4:$AY$138, LS_current!D$148, FALSE), VLOOKUP($A37, LS_current!$B$4:$AY$138,LS_current!D$148, FALSE))/2)</f>
        <v>-582</v>
      </c>
      <c r="CA37" s="227">
        <f t="array" ref="CA37">IF($BU37=0, INDEX(LS_current!$D$4:$AY$138, MATCH('Staging Table'!$A37, LS_current!$B$4:$B$138, 0), MATCH(CA$4&amp;CA$5, LS_current!$D$2:$AY$2&amp;LS_current!$D$3:$AY$3, 0)),SUM(VLOOKUP($A37, LS_current!$B$4:$AY$138, LS_current!E$148, FALSE), VLOOKUP($A37, LS_current!$B$4:$AY$138,LS_current!E$148, FALSE))/2)</f>
        <v>2676</v>
      </c>
      <c r="CB37" s="227">
        <f t="array" ref="CB37">IF($BU37=0, INDEX(LS_current!$D$4:$AY$138, MATCH('Staging Table'!$A37, LS_current!$B$4:$B$138, 0), MATCH(CB$4&amp;CB$5, LS_current!$D$2:$AY$2&amp;LS_current!$D$3:$AY$3, 0)),SUM(VLOOKUP($A37, LS_current!$B$4:$AY$138, LS_current!F$148, FALSE), VLOOKUP($A37, LS_current!$B$4:$AY$138,LS_current!F$148, FALSE))/2)</f>
        <v>-940</v>
      </c>
      <c r="CC37" s="227">
        <f t="array" ref="CC37">IF($BU37=0, INDEX(LS_current!$D$4:$AY$138, MATCH('Staging Table'!$A37, LS_current!$B$4:$B$138, 0), MATCH(CC$4&amp;CC$5, LS_current!$D$2:$AY$2&amp;LS_current!$D$3:$AY$3, 0)),SUM(VLOOKUP($A37, LS_current!$B$4:$AY$138, LS_current!G$148, FALSE), VLOOKUP($A37, LS_current!$B$4:$AY$138,LS_current!G$148, FALSE))/2)</f>
        <v>3876</v>
      </c>
      <c r="CD37" s="227">
        <f t="array" ref="CD37">IF($BU37=0, INDEX(LS_current!$D$4:$AY$138, MATCH('Staging Table'!$A37, LS_current!$B$4:$B$138, 0), MATCH(CD$4&amp;CD$5, LS_current!$D$2:$AY$2&amp;LS_current!$D$3:$AY$3, 0)),SUM(VLOOKUP($A37, LS_current!$B$4:$AY$138, LS_current!H$148, FALSE), VLOOKUP($A37, LS_current!$B$4:$AY$138,LS_current!H$148, FALSE))/2)</f>
        <v>2434</v>
      </c>
      <c r="CE37" s="227">
        <f t="array" ref="CE37">IF($BU37=0, INDEX(LS_current!$D$4:$AY$138, MATCH('Staging Table'!$A37, LS_current!$B$4:$B$138, 0), MATCH(CE$4&amp;CE$5, LS_current!$D$2:$AY$2&amp;LS_current!$D$3:$AY$3, 0)),SUM(VLOOKUP($A37, LS_current!$B$4:$AY$138, LS_current!I$148, FALSE), VLOOKUP($A37, LS_current!$B$4:$AY$138,LS_current!I$148, FALSE))/2)</f>
        <v>3992</v>
      </c>
      <c r="CF37" s="227">
        <f t="array" ref="CF37">IF($BU37=0, INDEX(LS_current!$D$4:$AY$138, MATCH('Staging Table'!$A37, LS_current!$B$4:$B$138, 0), MATCH(CF$4&amp;CF$5, LS_current!$D$2:$AY$2&amp;LS_current!$D$3:$AY$3, 0)),SUM(VLOOKUP($A37, LS_current!$B$4:$AY$138, LS_current!J$148, FALSE), VLOOKUP($A37, LS_current!$B$4:$AY$138,LS_current!J$148, FALSE))/2)</f>
        <v>4175</v>
      </c>
      <c r="CG37" s="227">
        <f t="array" ref="CG37">IF($BU37=0, INDEX(LS_current!$D$4:$AY$138, MATCH('Staging Table'!$A37, LS_current!$B$4:$B$138, 0), MATCH(CG$4&amp;CG$5, LS_current!$D$2:$AY$2&amp;LS_current!$D$3:$AY$3, 0)),SUM(VLOOKUP($A37, LS_current!$B$4:$AY$138, LS_current!K$148, FALSE), VLOOKUP($A37, LS_current!$B$4:$AY$138,LS_current!K$148, FALSE))/2)</f>
        <v>7365</v>
      </c>
      <c r="CH37" s="227">
        <f t="array" ref="CH37">IF($BU37=0, INDEX(LS_current!$D$4:$AY$138, MATCH('Staging Table'!$A37, LS_current!$B$4:$B$138, 0), MATCH(CH$4&amp;CH$5, LS_current!$D$2:$AY$2&amp;LS_current!$D$3:$AY$3, 0)),SUM(VLOOKUP($A37, LS_current!$B$4:$AY$138, LS_current!L$148, FALSE), VLOOKUP($A37, LS_current!$B$4:$AY$138,LS_current!L$148, FALSE))/2)</f>
        <v>4445</v>
      </c>
      <c r="CI37" s="227">
        <f t="array" ref="CI37">IF($BU37=0, INDEX(LS_current!$D$4:$AY$138, MATCH('Staging Table'!$A37, LS_current!$B$4:$B$138, 0), MATCH(CI$4&amp;CI$5, LS_current!$D$2:$AY$2&amp;LS_current!$D$3:$AY$3, 0)),SUM(VLOOKUP($A37, LS_current!$B$4:$AY$138, LS_current!M$148, FALSE), VLOOKUP($A37, LS_current!$B$4:$AY$138,LS_current!M$148, FALSE))/2)</f>
        <v>6053</v>
      </c>
      <c r="CJ37" s="227">
        <f t="array" ref="CJ37">IF($BU37=0, INDEX(LS_current!$D$4:$AY$138, MATCH('Staging Table'!$A37, LS_current!$B$4:$B$138, 0), MATCH(CJ$4&amp;CJ$5, LS_current!$D$2:$AY$2&amp;LS_current!$D$3:$AY$3, 0)),SUM(VLOOKUP($A37, LS_current!$B$4:$AY$138, LS_current!N$148, FALSE), VLOOKUP($A37, LS_current!$B$4:$AY$138,LS_current!N$148, FALSE))/2)</f>
        <v>1566</v>
      </c>
      <c r="CK37" s="227">
        <f t="array" ref="CK37">IF($BU37=0, INDEX(LS_current!$D$4:$AY$138, MATCH('Staging Table'!$A37, LS_current!$B$4:$B$138, 0), MATCH(CK$4&amp;CK$5, LS_current!$D$2:$AY$2&amp;LS_current!$D$3:$AY$3, 0)),SUM(VLOOKUP($A37, LS_current!$B$4:$AY$138, LS_current!O$148, FALSE), VLOOKUP($A37, LS_current!$B$4:$AY$138,LS_current!O$148, FALSE))/2)</f>
        <v>4119</v>
      </c>
      <c r="CL37" s="227">
        <f t="array" ref="CL37">IF($BU37=0, INDEX(LS_current!$D$4:$AY$138, MATCH('Staging Table'!$A37, LS_current!$B$4:$B$138, 0), MATCH(CL$4&amp;CL$5, LS_current!$D$2:$AY$2&amp;LS_current!$D$3:$AY$3, 0)),SUM(VLOOKUP($A37, LS_current!$B$4:$AY$138, LS_current!P$148, FALSE), VLOOKUP($A37, LS_current!$B$4:$AY$138,LS_current!P$148, FALSE))/2)</f>
        <v>2317</v>
      </c>
      <c r="CM37" s="227">
        <f t="array" ref="CM37">IF($BU37=0, INDEX(LS_current!$D$4:$AY$138, MATCH('Staging Table'!$A37, LS_current!$B$4:$B$138, 0), MATCH(CM$4&amp;CM$5, LS_current!$D$2:$AY$2&amp;LS_current!$D$3:$AY$3, 0)),SUM(VLOOKUP($A37, LS_current!$B$4:$AY$138, LS_current!Q$148, FALSE), VLOOKUP($A37, LS_current!$B$4:$AY$138,LS_current!Q$148, FALSE))/2)</f>
        <v>3725</v>
      </c>
      <c r="CN37" s="227">
        <f t="array" ref="CN37">IF($BU37=0, INDEX(LS_current!$D$4:$AY$138, MATCH('Staging Table'!$A37, LS_current!$B$4:$B$138, 0), MATCH(CN$4&amp;CN$5, LS_current!$D$2:$AY$2&amp;LS_current!$D$3:$AY$3, 0)),SUM(VLOOKUP($A37, LS_current!$B$4:$AY$138, LS_current!R$148, FALSE), VLOOKUP($A37, LS_current!$B$4:$AY$138,LS_current!R$148, FALSE))/2)</f>
        <v>-4986</v>
      </c>
      <c r="CO37" s="227">
        <f t="array" ref="CO37">IF($BU37=0, INDEX(LS_current!$D$4:$AY$138, MATCH('Staging Table'!$A37, LS_current!$B$4:$B$138, 0), MATCH(CO$4&amp;CO$5, LS_current!$D$2:$AY$2&amp;LS_current!$D$3:$AY$3, 0)),SUM(VLOOKUP($A37, LS_current!$B$4:$AY$138, LS_current!S$148, FALSE), VLOOKUP($A37, LS_current!$B$4:$AY$138,LS_current!S$148, FALSE))/2)</f>
        <v>481</v>
      </c>
      <c r="CP37" s="227">
        <f t="array" ref="CP37">IF($BU37=0, INDEX(LS_current!$D$4:$AY$138, MATCH('Staging Table'!$A37, LS_current!$B$4:$B$138, 0), MATCH(CP$4&amp;CP$5, LS_current!$D$2:$AY$2&amp;LS_current!$D$3:$AY$3, 0)),SUM(VLOOKUP($A37, LS_current!$B$4:$AY$138, LS_current!T$148, FALSE), VLOOKUP($A37, LS_current!$B$4:$AY$138,LS_current!T$148, FALSE))/2)</f>
        <v>-9427</v>
      </c>
      <c r="CQ37" s="227">
        <f t="array" ref="CQ37">IF($BU37=0, INDEX(LS_current!$D$4:$AY$138, MATCH('Staging Table'!$A37, LS_current!$B$4:$B$138, 0), MATCH(CQ$4&amp;CQ$5, LS_current!$D$2:$AY$2&amp;LS_current!$D$3:$AY$3, 0)),SUM(VLOOKUP($A37, LS_current!$B$4:$AY$138, LS_current!U$148, FALSE), VLOOKUP($A37, LS_current!$B$4:$AY$138,LS_current!U$148, FALSE))/2)</f>
        <v>-2994</v>
      </c>
      <c r="CR37" s="227">
        <f t="array" ref="CR37">IF($BU37=0, INDEX(LS_current!$D$4:$AY$138, MATCH('Staging Table'!$A37, LS_current!$B$4:$B$138, 0), MATCH(CR$4&amp;CR$5, LS_current!$D$2:$AY$2&amp;LS_current!$D$3:$AY$3, 0)),SUM(VLOOKUP($A37, LS_current!$B$4:$AY$138, LS_current!V$148, FALSE), VLOOKUP($A37, LS_current!$B$4:$AY$138,LS_current!V$148, FALSE))/2)</f>
        <v>-6817</v>
      </c>
      <c r="CS37" s="227">
        <f t="array" ref="CS37">IF($BU37=0, INDEX(LS_current!$D$4:$AY$138, MATCH('Staging Table'!$A37, LS_current!$B$4:$B$138, 0), MATCH(CS$4&amp;CS$5, LS_current!$D$2:$AY$2&amp;LS_current!$D$3:$AY$3, 0)),SUM(VLOOKUP($A37, LS_current!$B$4:$AY$138, LS_current!W$148, FALSE), VLOOKUP($A37, LS_current!$B$4:$AY$138,LS_current!W$148, FALSE))/2)</f>
        <v>155</v>
      </c>
      <c r="CT37" s="227">
        <f t="array" ref="CT37">IF($BU37=0, INDEX(LS_current!$D$4:$AY$138, MATCH('Staging Table'!$A37, LS_current!$B$4:$B$138, 0), MATCH(CT$4&amp;CT$5, LS_current!$D$2:$AY$2&amp;LS_current!$D$3:$AY$3, 0)),SUM(VLOOKUP($A37, LS_current!$B$4:$AY$138, LS_current!X$148, FALSE), VLOOKUP($A37, LS_current!$B$4:$AY$138,LS_current!X$148, FALSE))/2)</f>
        <v>-6084</v>
      </c>
      <c r="CU37" s="227">
        <f t="array" ref="CU37">IF($BU37=0, INDEX(LS_current!$D$4:$AY$138, MATCH('Staging Table'!$A37, LS_current!$B$4:$B$138, 0), MATCH(CU$4&amp;CU$5, LS_current!$D$2:$AY$2&amp;LS_current!$D$3:$AY$3, 0)),SUM(VLOOKUP($A37, LS_current!$B$4:$AY$138, LS_current!Y$148, FALSE), VLOOKUP($A37, LS_current!$B$4:$AY$138,LS_current!Y$148, FALSE))/2)</f>
        <v>291</v>
      </c>
      <c r="CV37" s="227">
        <f t="array" ref="CV37">IF($BU37=0, INDEX(LS_current!$D$4:$AY$138, MATCH('Staging Table'!$A37, LS_current!$B$4:$B$138, 0), MATCH(CV$4&amp;CV$5, LS_current!$D$2:$AY$2&amp;LS_current!$D$3:$AY$3, 0)),SUM(VLOOKUP($A37, LS_current!$B$4:$AY$138, LS_current!Z$148, FALSE), VLOOKUP($A37, LS_current!$B$4:$AY$138,LS_current!Z$148, FALSE))/2)</f>
        <v>-3630</v>
      </c>
      <c r="CW37" s="227">
        <f t="array" ref="CW37">IF($BU37=0, INDEX(LS_current!$D$4:$AY$138, MATCH('Staging Table'!$A37, LS_current!$B$4:$B$138, 0), MATCH(CW$4&amp;CW$5, LS_current!$D$2:$AY$2&amp;LS_current!$D$3:$AY$3, 0)),SUM(VLOOKUP($A37, LS_current!$B$4:$AY$138, LS_current!AA$148, FALSE), VLOOKUP($A37, LS_current!$B$4:$AY$138,LS_current!AA$148, FALSE))/2)</f>
        <v>300</v>
      </c>
      <c r="CX37" s="229">
        <f t="array" ref="CX37">INDEX(Demand_current!$D$4:$AY$138, MATCH($A37, Demand_current!$B$4:$B$138, 0), MATCH(CX$4&amp;CX$5,Demand_current!$D$2:$AY$2&amp;Demand_current!$D$3:$AY$3, 0))/1000</f>
        <v>0</v>
      </c>
      <c r="CY37" s="229">
        <f t="array" ref="CY37">INDEX(Demand_current!$D$4:$AY$138, MATCH($A37, Demand_current!$B$4:$B$138, 0), MATCH(CY$4&amp;CY$5,Demand_current!$D$2:$AY$2&amp;Demand_current!$D$3:$AY$3, 0))/1000</f>
        <v>0</v>
      </c>
      <c r="CZ37" s="229">
        <f t="array" ref="CZ37">INDEX(Demand_current!$D$4:$AY$138, MATCH($A37, Demand_current!$B$4:$B$138, 0), MATCH(CZ$4&amp;CZ$5,Demand_current!$D$2:$AY$2&amp;Demand_current!$D$3:$AY$3, 0))/1000</f>
        <v>1.5580000000000001</v>
      </c>
      <c r="DA37" s="229">
        <f t="array" ref="DA37">INDEX(Demand_current!$D$4:$AY$138, MATCH($A37, Demand_current!$B$4:$B$138, 0), MATCH(DA$4&amp;DA$5,Demand_current!$D$2:$AY$2&amp;Demand_current!$D$3:$AY$3, 0))/1000</f>
        <v>0</v>
      </c>
      <c r="DB37" s="229">
        <f t="array" ref="DB37">INDEX(Demand_current!$D$4:$AY$138, MATCH($A37, Demand_current!$B$4:$B$138, 0), MATCH(DB$4&amp;DB$5,Demand_current!$D$2:$AY$2&amp;Demand_current!$D$3:$AY$3, 0))/1000</f>
        <v>0.64200000000000002</v>
      </c>
      <c r="DC37" s="229">
        <f t="array" ref="DC37">INDEX(Demand_current!$D$4:$AY$138, MATCH($A37, Demand_current!$B$4:$B$138, 0), MATCH(DC$4&amp;DC$5,Demand_current!$D$2:$AY$2&amp;Demand_current!$D$3:$AY$3, 0))/1000</f>
        <v>0</v>
      </c>
      <c r="DD37" s="229">
        <f t="array" ref="DD37">INDEX(Demand_current!$D$4:$AY$138, MATCH($A37, Demand_current!$B$4:$B$138, 0), MATCH(DD$4&amp;DD$5,Demand_current!$D$2:$AY$2&amp;Demand_current!$D$3:$AY$3, 0))/1000</f>
        <v>0</v>
      </c>
      <c r="DE37" s="229">
        <f t="array" ref="DE37">INDEX(Demand_current!$D$4:$AY$138, MATCH($A37, Demand_current!$B$4:$B$138, 0), MATCH(DE$4&amp;DE$5,Demand_current!$D$2:$AY$2&amp;Demand_current!$D$3:$AY$3, 0))/1000</f>
        <v>0</v>
      </c>
      <c r="DF37" s="229">
        <f t="array" ref="DF37">INDEX(Demand_current!$D$4:$AY$138, MATCH($A37, Demand_current!$B$4:$B$138, 0), MATCH(DF$4&amp;DF$5,Demand_current!$D$2:$AY$2&amp;Demand_current!$D$3:$AY$3, 0))/1000</f>
        <v>0</v>
      </c>
      <c r="DG37" s="229">
        <f t="array" ref="DG37">INDEX(Demand_current!$D$4:$AY$138, MATCH($A37, Demand_current!$B$4:$B$138, 0), MATCH(DG$4&amp;DG$5,Demand_current!$D$2:$AY$2&amp;Demand_current!$D$3:$AY$3, 0))/1000</f>
        <v>0</v>
      </c>
      <c r="DH37" s="229">
        <f t="array" ref="DH37">INDEX(Demand_current!$D$4:$AY$138, MATCH($A37, Demand_current!$B$4:$B$138, 0), MATCH(DH$4&amp;DH$5,Demand_current!$D$2:$AY$2&amp;Demand_current!$D$3:$AY$3, 0))/1000</f>
        <v>0</v>
      </c>
      <c r="DI37" s="229">
        <f t="array" ref="DI37">INDEX(Demand_current!$D$4:$AY$138, MATCH($A37, Demand_current!$B$4:$B$138, 0), MATCH(DI$4&amp;DI$5,Demand_current!$D$2:$AY$2&amp;Demand_current!$D$3:$AY$3, 0))/1000</f>
        <v>0</v>
      </c>
      <c r="DJ37" s="227">
        <f>$BT37*(VLOOKUP(DJ$4, Rates_current!$G$6:$Q$29, 10, FALSE)+VLOOKUP(DJ$4, Rates_current!$G$6:$Q$29, 11, FALSE))</f>
        <v>20159.206877736</v>
      </c>
      <c r="DK37" s="227">
        <f>$BT37*(VLOOKUP(DK$4, Rates_current!$G$6:$Q$29, 10, FALSE)+VLOOKUP(DK$4, Rates_current!$G$6:$Q$29, 11, FALSE))</f>
        <v>25608.481521474001</v>
      </c>
      <c r="DL37" s="227">
        <f>$BT37*(VLOOKUP(DL$4, Rates_current!$G$6:$Q$29, 10, FALSE)+VLOOKUP(DL$4, Rates_current!$G$6:$Q$29, 11, FALSE))</f>
        <v>25299.224455736003</v>
      </c>
      <c r="DM37" s="227">
        <f>$BT37*(VLOOKUP(DM$4, Rates_current!$G$6:$Q$29, 10, FALSE)+VLOOKUP(DM$4, Rates_current!$G$6:$Q$29, 11, FALSE))</f>
        <v>21088.444487736004</v>
      </c>
      <c r="DN37" s="227">
        <f>$BT37*(VLOOKUP(DN$4, Rates_current!$G$6:$Q$29, 10, FALSE)+VLOOKUP(DN$4, Rates_current!$G$6:$Q$29, 11, FALSE))</f>
        <v>19103.942948799999</v>
      </c>
      <c r="DO37" s="227">
        <f>$BT37*(VLOOKUP(DO$4, Rates_current!$G$6:$Q$29, 10, FALSE)+VLOOKUP(DO$4, Rates_current!$G$6:$Q$29, 11, FALSE))</f>
        <v>21249.653540941999</v>
      </c>
      <c r="DP37" s="227">
        <f>$BT37*(VLOOKUP(DP$4, Rates_current!$G$6:$Q$29, 10, FALSE)+VLOOKUP(DP$4, Rates_current!$G$6:$Q$29, 11, FALSE))</f>
        <v>17301.49084368</v>
      </c>
      <c r="DQ37" s="227">
        <f>$BT37*(VLOOKUP(DQ$4, Rates_current!$G$6:$Q$29, 10, FALSE)+VLOOKUP(DQ$4, Rates_current!$G$6:$Q$29, 11, FALSE))</f>
        <v>23333.640340736001</v>
      </c>
      <c r="DR37" s="227">
        <f>$BT37*(VLOOKUP(DR$4, Rates_current!$G$6:$Q$29, 10, FALSE)+VLOOKUP(DR$4, Rates_current!$G$6:$Q$29, 11, FALSE))</f>
        <v>29772.138120680003</v>
      </c>
      <c r="DS37" s="227">
        <f>$BT37*(VLOOKUP(DS$4, Rates_current!$G$6:$Q$29, 10, FALSE)+VLOOKUP(DS$4, Rates_current!$G$6:$Q$29, 11, FALSE))</f>
        <v>23342.300301736002</v>
      </c>
      <c r="DT37" s="227">
        <f>$BT37*(VLOOKUP(DT$4, Rates_current!$G$6:$Q$29, 10, FALSE)+VLOOKUP(DT$4, Rates_current!$G$6:$Q$29, 11, FALSE))</f>
        <v>22730.752498736001</v>
      </c>
      <c r="DU37" s="227">
        <f>$BT37*(VLOOKUP(DU$4, Rates_current!$G$6:$Q$29, 10, FALSE)+VLOOKUP(DU$4, Rates_current!$G$6:$Q$29, 11, FALSE))</f>
        <v>20407.380289680001</v>
      </c>
      <c r="DV37" s="229">
        <f>IF(D37=0,IF(C37=0,MAX(0,DY37 - (VLOOKUP($A37,TOCA_current!$A$2:$AI$137,MATCH("RHWM 2020",TOCA_current!$A$2:$AI$2,0),FALSE)*$BT$2)), 0),0)</f>
        <v>0</v>
      </c>
      <c r="DW37" s="266">
        <f>VLOOKUP($A37,REP_current!$A$1:$D$135,MATCH("FY "&amp;$BT$1&amp; " Total Refund",REP_current!$A$1:$D$1,0),0)</f>
        <v>0</v>
      </c>
      <c r="DX37" s="295">
        <f>MIN(VLOOKUP($A37,TOCA_current!$A$2:$AI$137,MATCH("TRL - NLSL - Existing Resource "&amp;$BT$1,TOCA_current!$A$2:$AI$2,0),FALSE)*$BT$2, VLOOKUP($A37,TOCA_current!$A$2:$AI$137,MATCH("RHWM 2020",TOCA_current!$A$2:$AI$2,0),FALSE)*$BT$2)</f>
        <v>269396.49599999998</v>
      </c>
      <c r="DY37" s="240">
        <f>SUM(BZ37:CW37)+(BT37*RT1SC!$C$4*$BT$2)</f>
        <v>281906.66633932799</v>
      </c>
      <c r="DZ37" s="271">
        <f>VLOOKUP($A37,TOCA_current!$A$2:$AI$137,MATCH("Above RHWM Not Served with LS "&amp;$BT$1,TOCA_current!$A$2:$AI$2,0),FALSE)*$BT$2</f>
        <v>0</v>
      </c>
      <c r="EA37" s="244">
        <f t="shared" si="13"/>
        <v>12510.170339328004</v>
      </c>
      <c r="EB37" s="295">
        <f>(VLOOKUP($A37,TOCA_current!$A$2:$AI$137,MATCH("RHWM 2020",TOCA_current!$A$2:$AI$2,0),FALSE)*$BT$2) - $DX37</f>
        <v>477480.67200000008</v>
      </c>
      <c r="EC37" s="240">
        <f t="shared" si="14"/>
        <v>-12510.170339328004</v>
      </c>
      <c r="ED37" s="240">
        <f t="shared" si="15"/>
        <v>0</v>
      </c>
      <c r="EE37" s="240">
        <f t="shared" si="16"/>
        <v>0</v>
      </c>
      <c r="EF37" s="240">
        <f t="shared" si="17"/>
        <v>-12510.170339328004</v>
      </c>
    </row>
    <row r="38" spans="1:136">
      <c r="A38" s="166">
        <v>10089</v>
      </c>
      <c r="B38" s="167" t="s">
        <v>39</v>
      </c>
      <c r="C38" s="240">
        <v>0</v>
      </c>
      <c r="D38" s="240">
        <v>0</v>
      </c>
      <c r="E38" s="150">
        <f>VLOOKUP($A38,TOCA_previous!$A$2:$AI$137,MATCH(E$4,TOCA_previous!$A$2:$AI$2,0),FALSE)</f>
        <v>1.47145E-2</v>
      </c>
      <c r="F38" s="151">
        <f>VLOOKUP($A38,TOCA_previous!$A$2:$AI$137,MATCH(F$4,TOCA_previous!$A$2:$AI$2,0),FALSE)</f>
        <v>1.47145E-2</v>
      </c>
      <c r="G38" s="151">
        <f t="shared" si="2"/>
        <v>0</v>
      </c>
      <c r="H38" s="151">
        <f>VLOOKUP($A38,TOCA_previous!$A$2:$AI$137,MATCH(H$4,TOCA_previous!$A$2:$AI$2,0),FALSE)</f>
        <v>0</v>
      </c>
      <c r="I38" s="151">
        <f t="shared" si="3"/>
        <v>0</v>
      </c>
      <c r="J38" s="151">
        <f t="shared" si="4"/>
        <v>0</v>
      </c>
      <c r="K38" s="226">
        <f>VLOOKUP(A38, IRD!$A$5:$C$139, 3, FALSE)</f>
        <v>0</v>
      </c>
      <c r="L38" s="227">
        <f t="array" ref="L38">IF($G38=0, INDEX(LS_previous!$D$4:$AY$138, MATCH('Staging Table'!$A38, LS_previous!$B$4:$B$138, 0), MATCH(L$4&amp;L$5, LS_previous!$D$2:$AY$2&amp;LS_previous!$D$3:$AY$3, 0)),SUM(VLOOKUP($A38, LS_previous!$B$4:$AY$138, LS_previous!D$149, FALSE), VLOOKUP('Staging Table'!$A38, LS_previous!$B$4:$AY$138,LS_previous!AB$149, FALSE))/2)</f>
        <v>-6323</v>
      </c>
      <c r="M38" s="227">
        <f t="array" ref="M38">IF($G38=0, INDEX(LS_previous!$D$4:$AY$138, MATCH('Staging Table'!$A38, LS_previous!$B$4:$B$138, 0), MATCH(M$4&amp;M$5, LS_previous!$D$2:$AY$2&amp;LS_previous!$D$3:$AY$3, 0)),SUM(VLOOKUP($A38, LS_previous!$B$4:$AY$138, LS_previous!E$149, FALSE), VLOOKUP('Staging Table'!$A38, LS_previous!$B$4:$AY$138,LS_previous!AC$149, FALSE))/2)</f>
        <v>-2679</v>
      </c>
      <c r="N38" s="227">
        <f t="array" ref="N38">IF($G38=0, INDEX(LS_previous!$D$4:$AY$138, MATCH('Staging Table'!$A38, LS_previous!$B$4:$B$138, 0), MATCH(N$4&amp;N$5, LS_previous!$D$2:$AY$2&amp;LS_previous!$D$3:$AY$3, 0)),SUM(VLOOKUP($A38, LS_previous!$B$4:$AY$138, LS_previous!F$149, FALSE), VLOOKUP('Staging Table'!$A38, LS_previous!$B$4:$AY$138,LS_previous!AD$149, FALSE))/2)</f>
        <v>-12089</v>
      </c>
      <c r="O38" s="227">
        <f t="array" ref="O38">IF($G38=0, INDEX(LS_previous!$D$4:$AY$138, MATCH('Staging Table'!$A38, LS_previous!$B$4:$B$138, 0), MATCH(O$4&amp;O$5, LS_previous!$D$2:$AY$2&amp;LS_previous!$D$3:$AY$3, 0)),SUM(VLOOKUP($A38, LS_previous!$B$4:$AY$138, LS_previous!G$149, FALSE), VLOOKUP('Staging Table'!$A38, LS_previous!$B$4:$AY$138,LS_previous!AE$149, FALSE))/2)</f>
        <v>-3136</v>
      </c>
      <c r="P38" s="227">
        <f t="array" ref="P38">IF($G38=0, INDEX(LS_previous!$D$4:$AY$138, MATCH('Staging Table'!$A38, LS_previous!$B$4:$B$138, 0), MATCH(P$4&amp;P$5, LS_previous!$D$2:$AY$2&amp;LS_previous!$D$3:$AY$3, 0)),SUM(VLOOKUP($A38, LS_previous!$B$4:$AY$138, LS_previous!H$149, FALSE), VLOOKUP('Staging Table'!$A38, LS_previous!$B$4:$AY$138,LS_previous!AF$149, FALSE))/2)</f>
        <v>-746</v>
      </c>
      <c r="Q38" s="227">
        <f t="array" ref="Q38">IF($G38=0, INDEX(LS_previous!$D$4:$AY$138, MATCH('Staging Table'!$A38, LS_previous!$B$4:$B$138, 0), MATCH(Q$4&amp;Q$5, LS_previous!$D$2:$AY$2&amp;LS_previous!$D$3:$AY$3, 0)),SUM(VLOOKUP($A38, LS_previous!$B$4:$AY$138, LS_previous!I$149, FALSE), VLOOKUP('Staging Table'!$A38, LS_previous!$B$4:$AY$138,LS_previous!AG$149, FALSE))/2)</f>
        <v>6970</v>
      </c>
      <c r="R38" s="227">
        <f t="array" ref="R38">IF($G38=0, INDEX(LS_previous!$D$4:$AY$138, MATCH('Staging Table'!$A38, LS_previous!$B$4:$B$138, 0), MATCH(R$4&amp;R$5, LS_previous!$D$2:$AY$2&amp;LS_previous!$D$3:$AY$3, 0)),SUM(VLOOKUP($A38, LS_previous!$B$4:$AY$138, LS_previous!J$149, FALSE), VLOOKUP('Staging Table'!$A38, LS_previous!$B$4:$AY$138,LS_previous!AH$149, FALSE))/2)</f>
        <v>9004</v>
      </c>
      <c r="S38" s="227">
        <f t="array" ref="S38">IF($G38=0, INDEX(LS_previous!$D$4:$AY$138, MATCH('Staging Table'!$A38, LS_previous!$B$4:$B$138, 0), MATCH(S$4&amp;S$5, LS_previous!$D$2:$AY$2&amp;LS_previous!$D$3:$AY$3, 0)),SUM(VLOOKUP($A38, LS_previous!$B$4:$AY$138, LS_previous!K$149, FALSE), VLOOKUP('Staging Table'!$A38, LS_previous!$B$4:$AY$138,LS_previous!AI$149, FALSE))/2)</f>
        <v>8786</v>
      </c>
      <c r="T38" s="227">
        <f t="array" ref="T38">IF($G38=0, INDEX(LS_previous!$D$4:$AY$138, MATCH('Staging Table'!$A38, LS_previous!$B$4:$B$138, 0), MATCH(T$4&amp;T$5, LS_previous!$D$2:$AY$2&amp;LS_previous!$D$3:$AY$3, 0)),SUM(VLOOKUP($A38, LS_previous!$B$4:$AY$138, LS_previous!L$149, FALSE), VLOOKUP('Staging Table'!$A38, LS_previous!$B$4:$AY$138,LS_previous!AJ$149, FALSE))/2)</f>
        <v>8064</v>
      </c>
      <c r="U38" s="227">
        <f t="array" ref="U38">IF($G38=0, INDEX(LS_previous!$D$4:$AY$138, MATCH('Staging Table'!$A38, LS_previous!$B$4:$B$138, 0), MATCH(U$4&amp;U$5, LS_previous!$D$2:$AY$2&amp;LS_previous!$D$3:$AY$3, 0)),SUM(VLOOKUP($A38, LS_previous!$B$4:$AY$138, LS_previous!M$149, FALSE), VLOOKUP('Staging Table'!$A38, LS_previous!$B$4:$AY$138,LS_previous!AK$149, FALSE))/2)</f>
        <v>7605</v>
      </c>
      <c r="V38" s="227">
        <f t="array" ref="V38">IF($G38=0, INDEX(LS_previous!$D$4:$AY$138, MATCH('Staging Table'!$A38, LS_previous!$B$4:$B$138, 0), MATCH(V$4&amp;V$5, LS_previous!$D$2:$AY$2&amp;LS_previous!$D$3:$AY$3, 0)),SUM(VLOOKUP($A38, LS_previous!$B$4:$AY$138, LS_previous!N$149, FALSE), VLOOKUP('Staging Table'!$A38, LS_previous!$B$4:$AY$138,LS_previous!AL$149, FALSE))/2)</f>
        <v>-5661</v>
      </c>
      <c r="W38" s="227">
        <f t="array" ref="W38">IF($G38=0, INDEX(LS_previous!$D$4:$AY$138, MATCH('Staging Table'!$A38, LS_previous!$B$4:$B$138, 0), MATCH(W$4&amp;W$5, LS_previous!$D$2:$AY$2&amp;LS_previous!$D$3:$AY$3, 0)),SUM(VLOOKUP($A38, LS_previous!$B$4:$AY$138, LS_previous!O$149, FALSE), VLOOKUP('Staging Table'!$A38, LS_previous!$B$4:$AY$138,LS_previous!AM$149, FALSE))/2)</f>
        <v>637</v>
      </c>
      <c r="X38" s="227">
        <f t="array" ref="X38">IF($G38=0, INDEX(LS_previous!$D$4:$AY$138, MATCH('Staging Table'!$A38, LS_previous!$B$4:$B$138, 0), MATCH(X$4&amp;X$5, LS_previous!$D$2:$AY$2&amp;LS_previous!$D$3:$AY$3, 0)),SUM(VLOOKUP($A38, LS_previous!$B$4:$AY$138, LS_previous!P$149, FALSE), VLOOKUP('Staging Table'!$A38, LS_previous!$B$4:$AY$138,LS_previous!AN$149, FALSE))/2)</f>
        <v>-5494</v>
      </c>
      <c r="Y38" s="227">
        <f t="array" ref="Y38">IF($G38=0, INDEX(LS_previous!$D$4:$AY$138, MATCH('Staging Table'!$A38, LS_previous!$B$4:$B$138, 0), MATCH(Y$4&amp;Y$5, LS_previous!$D$2:$AY$2&amp;LS_previous!$D$3:$AY$3, 0)),SUM(VLOOKUP($A38, LS_previous!$B$4:$AY$138, LS_previous!Q$149, FALSE), VLOOKUP('Staging Table'!$A38, LS_previous!$B$4:$AY$138,LS_previous!AO$149, FALSE))/2)</f>
        <v>-2103</v>
      </c>
      <c r="Z38" s="227">
        <f t="array" ref="Z38">IF($G38=0, INDEX(LS_previous!$D$4:$AY$138, MATCH('Staging Table'!$A38, LS_previous!$B$4:$B$138, 0), MATCH(Z$4&amp;Z$5, LS_previous!$D$2:$AY$2&amp;LS_previous!$D$3:$AY$3, 0)),SUM(VLOOKUP($A38, LS_previous!$B$4:$AY$138, LS_previous!R$149, FALSE), VLOOKUP('Staging Table'!$A38, LS_previous!$B$4:$AY$138,LS_previous!AP$149, FALSE))/2)</f>
        <v>-24078</v>
      </c>
      <c r="AA38" s="227">
        <f t="array" ref="AA38">IF($G38=0, INDEX(LS_previous!$D$4:$AY$138, MATCH('Staging Table'!$A38, LS_previous!$B$4:$B$138, 0), MATCH(AA$4&amp;AA$5, LS_previous!$D$2:$AY$2&amp;LS_previous!$D$3:$AY$3, 0)),SUM(VLOOKUP($A38, LS_previous!$B$4:$AY$138, LS_previous!S$149, FALSE), VLOOKUP('Staging Table'!$A38, LS_previous!$B$4:$AY$138,LS_previous!AQ$149, FALSE))/2)</f>
        <v>-9622</v>
      </c>
      <c r="AB38" s="227">
        <f t="array" ref="AB38">IF($G38=0, INDEX(LS_previous!$D$4:$AY$138, MATCH('Staging Table'!$A38, LS_previous!$B$4:$B$138, 0), MATCH(AB$4&amp;AB$5, LS_previous!$D$2:$AY$2&amp;LS_previous!$D$3:$AY$3, 0)),SUM(VLOOKUP($A38, LS_previous!$B$4:$AY$138, LS_previous!T$149, FALSE), VLOOKUP('Staging Table'!$A38, LS_previous!$B$4:$AY$138,LS_previous!AR$149, FALSE))/2)</f>
        <v>-7002</v>
      </c>
      <c r="AC38" s="227">
        <f t="array" ref="AC38">IF($G38=0, INDEX(LS_previous!$D$4:$AY$138, MATCH('Staging Table'!$A38, LS_previous!$B$4:$B$138, 0), MATCH(AC$4&amp;AC$5, LS_previous!$D$2:$AY$2&amp;LS_previous!$D$3:$AY$3, 0)),SUM(VLOOKUP($A38, LS_previous!$B$4:$AY$138, LS_previous!U$149, FALSE), VLOOKUP('Staging Table'!$A38, LS_previous!$B$4:$AY$138,LS_previous!AS$149, FALSE))/2)</f>
        <v>-2903</v>
      </c>
      <c r="AD38" s="227">
        <f t="array" ref="AD38">IF($G38=0, INDEX(LS_previous!$D$4:$AY$138, MATCH('Staging Table'!$A38, LS_previous!$B$4:$B$138, 0), MATCH(AD$4&amp;AD$5, LS_previous!$D$2:$AY$2&amp;LS_previous!$D$3:$AY$3, 0)),SUM(VLOOKUP($A38, LS_previous!$B$4:$AY$138, LS_previous!V$149, FALSE), VLOOKUP('Staging Table'!$A38, LS_previous!$B$4:$AY$138,LS_previous!AT$149, FALSE))/2)</f>
        <v>7097</v>
      </c>
      <c r="AE38" s="227">
        <f t="array" ref="AE38">IF($G38=0, INDEX(LS_previous!$D$4:$AY$138, MATCH('Staging Table'!$A38, LS_previous!$B$4:$B$138, 0), MATCH(AE$4&amp;AE$5, LS_previous!$D$2:$AY$2&amp;LS_previous!$D$3:$AY$3, 0)),SUM(VLOOKUP($A38, LS_previous!$B$4:$AY$138, LS_previous!W$149, FALSE), VLOOKUP('Staging Table'!$A38, LS_previous!$B$4:$AY$138,LS_previous!AU$149, FALSE))/2)</f>
        <v>5681</v>
      </c>
      <c r="AF38" s="227">
        <f t="array" ref="AF38">IF($G38=0, INDEX(LS_previous!$D$4:$AY$138, MATCH('Staging Table'!$A38, LS_previous!$B$4:$B$138, 0), MATCH(AF$4&amp;AF$5, LS_previous!$D$2:$AY$2&amp;LS_previous!$D$3:$AY$3, 0)),SUM(VLOOKUP($A38, LS_previous!$B$4:$AY$138, LS_previous!X$149, FALSE), VLOOKUP('Staging Table'!$A38, LS_previous!$B$4:$AY$138,LS_previous!AV$149, FALSE))/2)</f>
        <v>-585</v>
      </c>
      <c r="AG38" s="227">
        <f t="array" ref="AG38">IF($G38=0, INDEX(LS_previous!$D$4:$AY$138, MATCH('Staging Table'!$A38, LS_previous!$B$4:$B$138, 0), MATCH(AG$4&amp;AG$5, LS_previous!$D$2:$AY$2&amp;LS_previous!$D$3:$AY$3, 0)),SUM(VLOOKUP($A38, LS_previous!$B$4:$AY$138, LS_previous!Y$149, FALSE), VLOOKUP('Staging Table'!$A38, LS_previous!$B$4:$AY$138,LS_previous!AW$149, FALSE))/2)</f>
        <v>4302</v>
      </c>
      <c r="AH38" s="227">
        <f t="array" ref="AH38">IF($G38=0, INDEX(LS_previous!$D$4:$AY$138, MATCH('Staging Table'!$A38, LS_previous!$B$4:$B$138, 0), MATCH(AH$4&amp;AH$5, LS_previous!$D$2:$AY$2&amp;LS_previous!$D$3:$AY$3, 0)),SUM(VLOOKUP($A38, LS_previous!$B$4:$AY$138, LS_previous!Z$149, FALSE), VLOOKUP('Staging Table'!$A38, LS_previous!$B$4:$AY$138,LS_previous!AX$149, FALSE))/2)</f>
        <v>-4644</v>
      </c>
      <c r="AI38" s="227">
        <f t="array" ref="AI38">IF($G38=0, INDEX(LS_previous!$D$4:$AY$138, MATCH('Staging Table'!$A38, LS_previous!$B$4:$B$138, 0), MATCH(AI$4&amp;AI$5, LS_previous!$D$2:$AY$2&amp;LS_previous!$D$3:$AY$3, 0)),SUM(VLOOKUP($A38, LS_previous!$B$4:$AY$138, LS_previous!AA$149, FALSE), VLOOKUP('Staging Table'!$A38, LS_previous!$B$4:$AY$138,LS_previous!AY$149, FALSE))/2)</f>
        <v>-1354</v>
      </c>
      <c r="AJ38" s="424">
        <f t="array" ref="AJ38">INDEX(Demand_previous!$D$4:$AY$138, MATCH('Staging Table'!$A38, Demand_previous!$B$4:$B$138, 0), MATCH(AJ$4&amp;AJ$5,Demand_previous!$D$2:$AY$2&amp;Demand_previous!$D$3:$AY$3, 0))/1000</f>
        <v>0</v>
      </c>
      <c r="AK38" s="424">
        <f t="array" ref="AK38">INDEX(Demand_previous!$D$4:$AY$138, MATCH('Staging Table'!$A38, Demand_previous!$B$4:$B$138, 0), MATCH(AK$4&amp;AK$5,Demand_previous!$D$2:$AY$2&amp;Demand_previous!$D$3:$AY$3, 0))/1000</f>
        <v>1.121</v>
      </c>
      <c r="AL38" s="424">
        <f t="array" ref="AL38">INDEX(Demand_previous!$D$4:$AY$138, MATCH('Staging Table'!$A38, Demand_previous!$B$4:$B$138, 0), MATCH(AL$4&amp;AL$5,Demand_previous!$D$2:$AY$2&amp;Demand_previous!$D$3:$AY$3, 0))/1000</f>
        <v>19.718</v>
      </c>
      <c r="AM38" s="424">
        <f t="array" ref="AM38">INDEX(Demand_previous!$D$4:$AY$138, MATCH('Staging Table'!$A38, Demand_previous!$B$4:$B$138, 0), MATCH(AM$4&amp;AM$5,Demand_previous!$D$2:$AY$2&amp;Demand_previous!$D$3:$AY$3, 0))/1000</f>
        <v>13.846</v>
      </c>
      <c r="AN38" s="424">
        <f t="array" ref="AN38">INDEX(Demand_previous!$D$4:$AY$138, MATCH('Staging Table'!$A38, Demand_previous!$B$4:$B$138, 0), MATCH(AN$4&amp;AN$5,Demand_previous!$D$2:$AY$2&amp;Demand_previous!$D$3:$AY$3, 0))/1000</f>
        <v>5.2930000000000001</v>
      </c>
      <c r="AO38" s="424">
        <f t="array" ref="AO38">INDEX(Demand_previous!$D$4:$AY$138, MATCH('Staging Table'!$A38, Demand_previous!$B$4:$B$138, 0), MATCH(AO$4&amp;AO$5,Demand_previous!$D$2:$AY$2&amp;Demand_previous!$D$3:$AY$3, 0))/1000</f>
        <v>19.713999999999999</v>
      </c>
      <c r="AP38" s="424">
        <f t="array" ref="AP38">INDEX(Demand_previous!$D$4:$AY$138, MATCH('Staging Table'!$A38, Demand_previous!$B$4:$B$138, 0), MATCH(AP$4&amp;AP$5,Demand_previous!$D$2:$AY$2&amp;Demand_previous!$D$3:$AY$3, 0))/1000</f>
        <v>4.4039999999999999</v>
      </c>
      <c r="AQ38" s="424">
        <f t="array" ref="AQ38">INDEX(Demand_previous!$D$4:$AY$138, MATCH('Staging Table'!$A38, Demand_previous!$B$4:$B$138, 0), MATCH(AQ$4&amp;AQ$5,Demand_previous!$D$2:$AY$2&amp;Demand_previous!$D$3:$AY$3, 0))/1000</f>
        <v>8.0619999999999994</v>
      </c>
      <c r="AR38" s="424">
        <f t="array" ref="AR38">INDEX(Demand_previous!$D$4:$AY$138, MATCH('Staging Table'!$A38, Demand_previous!$B$4:$B$138, 0), MATCH(AR$4&amp;AR$5,Demand_previous!$D$2:$AY$2&amp;Demand_previous!$D$3:$AY$3, 0))/1000</f>
        <v>8.3409999999999993</v>
      </c>
      <c r="AS38" s="424">
        <f t="array" ref="AS38">INDEX(Demand_previous!$D$4:$AY$138, MATCH('Staging Table'!$A38, Demand_previous!$B$4:$B$138, 0), MATCH(AS$4&amp;AS$5,Demand_previous!$D$2:$AY$2&amp;Demand_previous!$D$3:$AY$3, 0))/1000</f>
        <v>9.06</v>
      </c>
      <c r="AT38" s="424">
        <f t="array" ref="AT38">INDEX(Demand_previous!$D$4:$AY$138, MATCH('Staging Table'!$A38, Demand_previous!$B$4:$B$138, 0), MATCH(AT$4&amp;AT$5,Demand_previous!$D$2:$AY$2&amp;Demand_previous!$D$3:$AY$3, 0))/1000</f>
        <v>26.268999999999998</v>
      </c>
      <c r="AU38" s="424">
        <f t="array" ref="AU38">INDEX(Demand_previous!$D$4:$AY$138, MATCH('Staging Table'!$A38, Demand_previous!$B$4:$B$138, 0), MATCH(AU$4&amp;AU$5,Demand_previous!$D$2:$AY$2&amp;Demand_previous!$D$3:$AY$3, 0))/1000</f>
        <v>17.064</v>
      </c>
      <c r="AV38" s="227">
        <f>$F38*(VLOOKUP(AV$4, Rates_previous!$G$6:$Q$29, 10, FALSE)+VLOOKUP(AV$4, Rates_previous!$G$6:$Q$29, 11, FALSE))</f>
        <v>68993.903254680292</v>
      </c>
      <c r="AW38" s="227">
        <f>$F38*(VLOOKUP(AW$4, Rates_previous!$G$6:$Q$29, 10, FALSE)+VLOOKUP(AW$4, Rates_previous!$G$6:$Q$29, 11, FALSE))</f>
        <v>85271.220608239717</v>
      </c>
      <c r="AX38" s="227">
        <f>$F38*(VLOOKUP(AX$4, Rates_previous!$G$6:$Q$29, 10, FALSE)+VLOOKUP(AX$4, Rates_previous!$G$6:$Q$29, 11, FALSE))</f>
        <v>84247.21523804091</v>
      </c>
      <c r="AY38" s="227">
        <f>$F38*(VLOOKUP(AY$4, Rates_previous!$G$6:$Q$29, 10, FALSE)+VLOOKUP(AY$4, Rates_previous!$G$6:$Q$29, 11, FALSE))</f>
        <v>71981.215335071814</v>
      </c>
      <c r="AZ38" s="227">
        <f>$F38*(VLOOKUP(AZ$4, Rates_previous!$G$6:$Q$29, 10, FALSE)+VLOOKUP(AZ$4, Rates_previous!$G$6:$Q$29, 11, FALSE))</f>
        <v>59010.63429579197</v>
      </c>
      <c r="BA38" s="227">
        <f>$F38*(VLOOKUP(BA$4, Rates_previous!$G$6:$Q$29, 10, FALSE)+VLOOKUP(BA$4, Rates_previous!$G$6:$Q$29, 11, FALSE))</f>
        <v>69866.447541054382</v>
      </c>
      <c r="BB38" s="227">
        <f>$F38*(VLOOKUP(BB$4, Rates_previous!$G$6:$Q$29, 10, FALSE)+VLOOKUP(BB$4, Rates_previous!$G$6:$Q$29, 11, FALSE))</f>
        <v>67151.81878176285</v>
      </c>
      <c r="BC38" s="227">
        <f>$F38*(VLOOKUP(BC$4, Rates_previous!$G$6:$Q$29, 10, FALSE)+VLOOKUP(BC$4, Rates_previous!$G$6:$Q$29, 11, FALSE))</f>
        <v>98540.542215039459</v>
      </c>
      <c r="BD38" s="227">
        <f>$F38*(VLOOKUP(BD$4, Rates_previous!$G$6:$Q$29, 10, FALSE)+VLOOKUP(BD$4, Rates_previous!$G$6:$Q$29, 11, FALSE))</f>
        <v>77745.883349388328</v>
      </c>
      <c r="BE38" s="227">
        <f>$F38*(VLOOKUP(BE$4, Rates_previous!$G$6:$Q$29, 10, FALSE)+VLOOKUP(BE$4, Rates_previous!$G$6:$Q$29, 11, FALSE))</f>
        <v>68267.411222707335</v>
      </c>
      <c r="BF38" s="227">
        <f>$F38*(VLOOKUP(BF$4, Rates_previous!$G$6:$Q$29, 10, FALSE)+VLOOKUP(BF$4, Rates_previous!$G$6:$Q$29, 11, FALSE))</f>
        <v>75608.890517479129</v>
      </c>
      <c r="BG38" s="227">
        <f>$F38*(VLOOKUP(BG$4, Rates_previous!$G$6:$Q$29, 10, FALSE)+VLOOKUP(BG$4, Rates_previous!$G$6:$Q$29, 11, FALSE))</f>
        <v>68498.64803170634</v>
      </c>
      <c r="BH38" s="229">
        <f>IF($D38=0,IF(C38=0, MAX(BK38 - (VLOOKUP($A38,TOCA_previous!$A$2:$AI$137,MATCH("RHWM 2018",TOCA_previous!$A$2:$AI$2,0),FALSE)*$F$2*TOCA_previous!C35),0),0), 0)</f>
        <v>0</v>
      </c>
      <c r="BI38" s="266">
        <f>VLOOKUP($A38,REP_previous!$A$1:$D$135,MATCH("FY "&amp;$F$1&amp; " Total Refund",REP_previous!$A$1:$D$1,0),0)</f>
        <v>1207342.0876217578</v>
      </c>
      <c r="BJ38" s="241">
        <f>MIN(VLOOKUP($A38,TOCA_previous!$A$2:$AI$137,MATCH("TRL - NLSL - Existing Resource "&amp;$F$1,TOCA_previous!$A$2:$AI$2,0),FALSE)*$F$2,(VLOOKUP($A38,TOCA_previous!$A$2:$AI$137,MATCH("RHWM 2018",TOCA_previous!$A$2:$AI$2,0),FALSE)*$F$2))</f>
        <v>895184.4</v>
      </c>
      <c r="BK38" s="229">
        <f>SUM(L38:AI38)+(F38*RT1SC!$C$3*$F$2)</f>
        <v>864910.84345091996</v>
      </c>
      <c r="BL38" s="241">
        <f>VLOOKUP($A38,TOCA_previous!$A$2:$AI$137,MATCH("Above RHWM Not Served with LS "&amp;$F$1,TOCA_previous!$A$2:$AI$2,0),FALSE)*$F$2</f>
        <v>121834.08</v>
      </c>
      <c r="BM38" s="151">
        <f t="shared" si="5"/>
        <v>-30273.556549080065</v>
      </c>
      <c r="BN38" s="242">
        <f>(VLOOKUP($A38,TOCA_previous!$A$2:$AI$137,MATCH("RHWM 2018",TOCA_previous!$A$2:$AI$2,0),FALSE)*$F$2) - $BJ38</f>
        <v>0</v>
      </c>
      <c r="BO38" s="151">
        <f t="shared" si="6"/>
        <v>0</v>
      </c>
      <c r="BP38" s="243">
        <f t="shared" si="7"/>
        <v>0</v>
      </c>
      <c r="BQ38" s="237">
        <f t="shared" si="8"/>
        <v>0</v>
      </c>
      <c r="BR38" s="242">
        <f t="shared" si="9"/>
        <v>0</v>
      </c>
      <c r="BS38" s="151">
        <f>VLOOKUP($A38,TOCA_current!$A$2:$AI$137,MATCH(BS$4,TOCA_current!$A$2:$AI$2,0),FALSE)</f>
        <v>1.47066E-2</v>
      </c>
      <c r="BT38" s="151">
        <f>VLOOKUP($A38,TOCA_current!$A$2:$AI$137,MATCH(BT$4,TOCA_current!$A$2:$AI$2,0),FALSE)</f>
        <v>1.47066E-2</v>
      </c>
      <c r="BU38" s="236">
        <f t="shared" si="10"/>
        <v>0</v>
      </c>
      <c r="BV38" s="151">
        <f>VLOOKUP($A38,TOCA_current!A34:BG169,MATCH(BV$4,TOCA_current!$A$2:$BG$2,0),FALSE)</f>
        <v>0</v>
      </c>
      <c r="BW38" s="151">
        <f t="shared" si="11"/>
        <v>0</v>
      </c>
      <c r="BX38" s="151">
        <f t="shared" si="12"/>
        <v>0</v>
      </c>
      <c r="BY38" s="226">
        <f>VLOOKUP($A38,IRD!$A$4:$G$139, 7, FALSE)</f>
        <v>0</v>
      </c>
      <c r="BZ38" s="227">
        <f t="array" ref="BZ38">IF($BU38=0, INDEX(LS_current!$D$4:$AY$138, MATCH('Staging Table'!$A38, LS_current!$B$4:$B$138, 0), MATCH(BZ$4&amp;BZ$5, LS_current!$D$2:$AY$2&amp;LS_current!$D$3:$AY$3, 0)),SUM(VLOOKUP($A38, LS_current!$B$4:$AY$138, LS_current!D$148, FALSE), VLOOKUP($A38, LS_current!$B$4:$AY$138,LS_current!D$148, FALSE))/2)</f>
        <v>-4647</v>
      </c>
      <c r="CA38" s="227">
        <f t="array" ref="CA38">IF($BU38=0, INDEX(LS_current!$D$4:$AY$138, MATCH('Staging Table'!$A38, LS_current!$B$4:$B$138, 0), MATCH(CA$4&amp;CA$5, LS_current!$D$2:$AY$2&amp;LS_current!$D$3:$AY$3, 0)),SUM(VLOOKUP($A38, LS_current!$B$4:$AY$138, LS_current!E$148, FALSE), VLOOKUP($A38, LS_current!$B$4:$AY$138,LS_current!E$148, FALSE))/2)</f>
        <v>-1067</v>
      </c>
      <c r="CB38" s="227">
        <f t="array" ref="CB38">IF($BU38=0, INDEX(LS_current!$D$4:$AY$138, MATCH('Staging Table'!$A38, LS_current!$B$4:$B$138, 0), MATCH(CB$4&amp;CB$5, LS_current!$D$2:$AY$2&amp;LS_current!$D$3:$AY$3, 0)),SUM(VLOOKUP($A38, LS_current!$B$4:$AY$138, LS_current!F$148, FALSE), VLOOKUP($A38, LS_current!$B$4:$AY$138,LS_current!F$148, FALSE))/2)</f>
        <v>-11259</v>
      </c>
      <c r="CC38" s="227">
        <f t="array" ref="CC38">IF($BU38=0, INDEX(LS_current!$D$4:$AY$138, MATCH('Staging Table'!$A38, LS_current!$B$4:$B$138, 0), MATCH(CC$4&amp;CC$5, LS_current!$D$2:$AY$2&amp;LS_current!$D$3:$AY$3, 0)),SUM(VLOOKUP($A38, LS_current!$B$4:$AY$138, LS_current!G$148, FALSE), VLOOKUP($A38, LS_current!$B$4:$AY$138,LS_current!G$148, FALSE))/2)</f>
        <v>-2826</v>
      </c>
      <c r="CD38" s="227">
        <f t="array" ref="CD38">IF($BU38=0, INDEX(LS_current!$D$4:$AY$138, MATCH('Staging Table'!$A38, LS_current!$B$4:$B$138, 0), MATCH(CD$4&amp;CD$5, LS_current!$D$2:$AY$2&amp;LS_current!$D$3:$AY$3, 0)),SUM(VLOOKUP($A38, LS_current!$B$4:$AY$138, LS_current!H$148, FALSE), VLOOKUP($A38, LS_current!$B$4:$AY$138,LS_current!H$148, FALSE))/2)</f>
        <v>-3</v>
      </c>
      <c r="CE38" s="227">
        <f t="array" ref="CE38">IF($BU38=0, INDEX(LS_current!$D$4:$AY$138, MATCH('Staging Table'!$A38, LS_current!$B$4:$B$138, 0), MATCH(CE$4&amp;CE$5, LS_current!$D$2:$AY$2&amp;LS_current!$D$3:$AY$3, 0)),SUM(VLOOKUP($A38, LS_current!$B$4:$AY$138, LS_current!I$148, FALSE), VLOOKUP($A38, LS_current!$B$4:$AY$138,LS_current!I$148, FALSE))/2)</f>
        <v>7454</v>
      </c>
      <c r="CF38" s="227">
        <f t="array" ref="CF38">IF($BU38=0, INDEX(LS_current!$D$4:$AY$138, MATCH('Staging Table'!$A38, LS_current!$B$4:$B$138, 0), MATCH(CF$4&amp;CF$5, LS_current!$D$2:$AY$2&amp;LS_current!$D$3:$AY$3, 0)),SUM(VLOOKUP($A38, LS_current!$B$4:$AY$138, LS_current!J$148, FALSE), VLOOKUP($A38, LS_current!$B$4:$AY$138,LS_current!J$148, FALSE))/2)</f>
        <v>10061</v>
      </c>
      <c r="CG38" s="227">
        <f t="array" ref="CG38">IF($BU38=0, INDEX(LS_current!$D$4:$AY$138, MATCH('Staging Table'!$A38, LS_current!$B$4:$B$138, 0), MATCH(CG$4&amp;CG$5, LS_current!$D$2:$AY$2&amp;LS_current!$D$3:$AY$3, 0)),SUM(VLOOKUP($A38, LS_current!$B$4:$AY$138, LS_current!K$148, FALSE), VLOOKUP($A38, LS_current!$B$4:$AY$138,LS_current!K$148, FALSE))/2)</f>
        <v>10873</v>
      </c>
      <c r="CH38" s="227">
        <f t="array" ref="CH38">IF($BU38=0, INDEX(LS_current!$D$4:$AY$138, MATCH('Staging Table'!$A38, LS_current!$B$4:$B$138, 0), MATCH(CH$4&amp;CH$5, LS_current!$D$2:$AY$2&amp;LS_current!$D$3:$AY$3, 0)),SUM(VLOOKUP($A38, LS_current!$B$4:$AY$138, LS_current!L$148, FALSE), VLOOKUP($A38, LS_current!$B$4:$AY$138,LS_current!L$148, FALSE))/2)</f>
        <v>5700</v>
      </c>
      <c r="CI38" s="227">
        <f t="array" ref="CI38">IF($BU38=0, INDEX(LS_current!$D$4:$AY$138, MATCH('Staging Table'!$A38, LS_current!$B$4:$B$138, 0), MATCH(CI$4&amp;CI$5, LS_current!$D$2:$AY$2&amp;LS_current!$D$3:$AY$3, 0)),SUM(VLOOKUP($A38, LS_current!$B$4:$AY$138, LS_current!M$148, FALSE), VLOOKUP($A38, LS_current!$B$4:$AY$138,LS_current!M$148, FALSE))/2)</f>
        <v>6352</v>
      </c>
      <c r="CJ38" s="227">
        <f t="array" ref="CJ38">IF($BU38=0, INDEX(LS_current!$D$4:$AY$138, MATCH('Staging Table'!$A38, LS_current!$B$4:$B$138, 0), MATCH(CJ$4&amp;CJ$5, LS_current!$D$2:$AY$2&amp;LS_current!$D$3:$AY$3, 0)),SUM(VLOOKUP($A38, LS_current!$B$4:$AY$138, LS_current!N$148, FALSE), VLOOKUP($A38, LS_current!$B$4:$AY$138,LS_current!N$148, FALSE))/2)</f>
        <v>-5539</v>
      </c>
      <c r="CK38" s="227">
        <f t="array" ref="CK38">IF($BU38=0, INDEX(LS_current!$D$4:$AY$138, MATCH('Staging Table'!$A38, LS_current!$B$4:$B$138, 0), MATCH(CK$4&amp;CK$5, LS_current!$D$2:$AY$2&amp;LS_current!$D$3:$AY$3, 0)),SUM(VLOOKUP($A38, LS_current!$B$4:$AY$138, LS_current!O$148, FALSE), VLOOKUP($A38, LS_current!$B$4:$AY$138,LS_current!O$148, FALSE))/2)</f>
        <v>999</v>
      </c>
      <c r="CL38" s="227">
        <f t="array" ref="CL38">IF($BU38=0, INDEX(LS_current!$D$4:$AY$138, MATCH('Staging Table'!$A38, LS_current!$B$4:$B$138, 0), MATCH(CL$4&amp;CL$5, LS_current!$D$2:$AY$2&amp;LS_current!$D$3:$AY$3, 0)),SUM(VLOOKUP($A38, LS_current!$B$4:$AY$138, LS_current!P$148, FALSE), VLOOKUP($A38, LS_current!$B$4:$AY$138,LS_current!P$148, FALSE))/2)</f>
        <v>2026</v>
      </c>
      <c r="CM38" s="227">
        <f t="array" ref="CM38">IF($BU38=0, INDEX(LS_current!$D$4:$AY$138, MATCH('Staging Table'!$A38, LS_current!$B$4:$B$138, 0), MATCH(CM$4&amp;CM$5, LS_current!$D$2:$AY$2&amp;LS_current!$D$3:$AY$3, 0)),SUM(VLOOKUP($A38, LS_current!$B$4:$AY$138, LS_current!Q$148, FALSE), VLOOKUP($A38, LS_current!$B$4:$AY$138,LS_current!Q$148, FALSE))/2)</f>
        <v>1377</v>
      </c>
      <c r="CN38" s="227">
        <f t="array" ref="CN38">IF($BU38=0, INDEX(LS_current!$D$4:$AY$138, MATCH('Staging Table'!$A38, LS_current!$B$4:$B$138, 0), MATCH(CN$4&amp;CN$5, LS_current!$D$2:$AY$2&amp;LS_current!$D$3:$AY$3, 0)),SUM(VLOOKUP($A38, LS_current!$B$4:$AY$138, LS_current!R$148, FALSE), VLOOKUP($A38, LS_current!$B$4:$AY$138,LS_current!R$148, FALSE))/2)</f>
        <v>-10872</v>
      </c>
      <c r="CO38" s="227">
        <f t="array" ref="CO38">IF($BU38=0, INDEX(LS_current!$D$4:$AY$138, MATCH('Staging Table'!$A38, LS_current!$B$4:$B$138, 0), MATCH(CO$4&amp;CO$5, LS_current!$D$2:$AY$2&amp;LS_current!$D$3:$AY$3, 0)),SUM(VLOOKUP($A38, LS_current!$B$4:$AY$138, LS_current!S$148, FALSE), VLOOKUP($A38, LS_current!$B$4:$AY$138,LS_current!S$148, FALSE))/2)</f>
        <v>-686</v>
      </c>
      <c r="CP38" s="227">
        <f t="array" ref="CP38">IF($BU38=0, INDEX(LS_current!$D$4:$AY$138, MATCH('Staging Table'!$A38, LS_current!$B$4:$B$138, 0), MATCH(CP$4&amp;CP$5, LS_current!$D$2:$AY$2&amp;LS_current!$D$3:$AY$3, 0)),SUM(VLOOKUP($A38, LS_current!$B$4:$AY$138, LS_current!T$148, FALSE), VLOOKUP($A38, LS_current!$B$4:$AY$138,LS_current!T$148, FALSE))/2)</f>
        <v>-19997</v>
      </c>
      <c r="CQ38" s="227">
        <f t="array" ref="CQ38">IF($BU38=0, INDEX(LS_current!$D$4:$AY$138, MATCH('Staging Table'!$A38, LS_current!$B$4:$B$138, 0), MATCH(CQ$4&amp;CQ$5, LS_current!$D$2:$AY$2&amp;LS_current!$D$3:$AY$3, 0)),SUM(VLOOKUP($A38, LS_current!$B$4:$AY$138, LS_current!U$148, FALSE), VLOOKUP($A38, LS_current!$B$4:$AY$138,LS_current!U$148, FALSE))/2)</f>
        <v>-10319</v>
      </c>
      <c r="CR38" s="227">
        <f t="array" ref="CR38">IF($BU38=0, INDEX(LS_current!$D$4:$AY$138, MATCH('Staging Table'!$A38, LS_current!$B$4:$B$138, 0), MATCH(CR$4&amp;CR$5, LS_current!$D$2:$AY$2&amp;LS_current!$D$3:$AY$3, 0)),SUM(VLOOKUP($A38, LS_current!$B$4:$AY$138, LS_current!V$148, FALSE), VLOOKUP($A38, LS_current!$B$4:$AY$138,LS_current!V$148, FALSE))/2)</f>
        <v>-1389</v>
      </c>
      <c r="CS38" s="227">
        <f t="array" ref="CS38">IF($BU38=0, INDEX(LS_current!$D$4:$AY$138, MATCH('Staging Table'!$A38, LS_current!$B$4:$B$138, 0), MATCH(CS$4&amp;CS$5, LS_current!$D$2:$AY$2&amp;LS_current!$D$3:$AY$3, 0)),SUM(VLOOKUP($A38, LS_current!$B$4:$AY$138, LS_current!W$148, FALSE), VLOOKUP($A38, LS_current!$B$4:$AY$138,LS_current!W$148, FALSE))/2)</f>
        <v>6006</v>
      </c>
      <c r="CT38" s="227">
        <f t="array" ref="CT38">IF($BU38=0, INDEX(LS_current!$D$4:$AY$138, MATCH('Staging Table'!$A38, LS_current!$B$4:$B$138, 0), MATCH(CT$4&amp;CT$5, LS_current!$D$2:$AY$2&amp;LS_current!$D$3:$AY$3, 0)),SUM(VLOOKUP($A38, LS_current!$B$4:$AY$138, LS_current!X$148, FALSE), VLOOKUP($A38, LS_current!$B$4:$AY$138,LS_current!X$148, FALSE))/2)</f>
        <v>-1020</v>
      </c>
      <c r="CU38" s="227">
        <f t="array" ref="CU38">IF($BU38=0, INDEX(LS_current!$D$4:$AY$138, MATCH('Staging Table'!$A38, LS_current!$B$4:$B$138, 0), MATCH(CU$4&amp;CU$5, LS_current!$D$2:$AY$2&amp;LS_current!$D$3:$AY$3, 0)),SUM(VLOOKUP($A38, LS_current!$B$4:$AY$138, LS_current!Y$148, FALSE), VLOOKUP($A38, LS_current!$B$4:$AY$138,LS_current!Y$148, FALSE))/2)</f>
        <v>5977</v>
      </c>
      <c r="CV38" s="227">
        <f t="array" ref="CV38">IF($BU38=0, INDEX(LS_current!$D$4:$AY$138, MATCH('Staging Table'!$A38, LS_current!$B$4:$B$138, 0), MATCH(CV$4&amp;CV$5, LS_current!$D$2:$AY$2&amp;LS_current!$D$3:$AY$3, 0)),SUM(VLOOKUP($A38, LS_current!$B$4:$AY$138, LS_current!Z$148, FALSE), VLOOKUP($A38, LS_current!$B$4:$AY$138,LS_current!Z$148, FALSE))/2)</f>
        <v>-3920</v>
      </c>
      <c r="CW38" s="227">
        <f t="array" ref="CW38">IF($BU38=0, INDEX(LS_current!$D$4:$AY$138, MATCH('Staging Table'!$A38, LS_current!$B$4:$B$138, 0), MATCH(CW$4&amp;CW$5, LS_current!$D$2:$AY$2&amp;LS_current!$D$3:$AY$3, 0)),SUM(VLOOKUP($A38, LS_current!$B$4:$AY$138, LS_current!AA$148, FALSE), VLOOKUP($A38, LS_current!$B$4:$AY$138,LS_current!AA$148, FALSE))/2)</f>
        <v>-192</v>
      </c>
      <c r="CX38" s="229">
        <f t="array" ref="CX38">INDEX(Demand_current!$D$4:$AY$138, MATCH($A38, Demand_current!$B$4:$B$138, 0), MATCH(CX$4&amp;CX$5,Demand_current!$D$2:$AY$2&amp;Demand_current!$D$3:$AY$3, 0))/1000</f>
        <v>2.5670000000000002</v>
      </c>
      <c r="CY38" s="229">
        <f t="array" ref="CY38">INDEX(Demand_current!$D$4:$AY$138, MATCH($A38, Demand_current!$B$4:$B$138, 0), MATCH(CY$4&amp;CY$5,Demand_current!$D$2:$AY$2&amp;Demand_current!$D$3:$AY$3, 0))/1000</f>
        <v>1.121</v>
      </c>
      <c r="CZ38" s="229">
        <f t="array" ref="CZ38">INDEX(Demand_current!$D$4:$AY$138, MATCH($A38, Demand_current!$B$4:$B$138, 0), MATCH(CZ$4&amp;CZ$5,Demand_current!$D$2:$AY$2&amp;Demand_current!$D$3:$AY$3, 0))/1000</f>
        <v>19.718</v>
      </c>
      <c r="DA38" s="229">
        <f t="array" ref="DA38">INDEX(Demand_current!$D$4:$AY$138, MATCH($A38, Demand_current!$B$4:$B$138, 0), MATCH(DA$4&amp;DA$5,Demand_current!$D$2:$AY$2&amp;Demand_current!$D$3:$AY$3, 0))/1000</f>
        <v>13.846</v>
      </c>
      <c r="DB38" s="229">
        <f t="array" ref="DB38">INDEX(Demand_current!$D$4:$AY$138, MATCH($A38, Demand_current!$B$4:$B$138, 0), MATCH(DB$4&amp;DB$5,Demand_current!$D$2:$AY$2&amp;Demand_current!$D$3:$AY$3, 0))/1000</f>
        <v>10.571999999999999</v>
      </c>
      <c r="DC38" s="229">
        <f t="array" ref="DC38">INDEX(Demand_current!$D$4:$AY$138, MATCH($A38, Demand_current!$B$4:$B$138, 0), MATCH(DC$4&amp;DC$5,Demand_current!$D$2:$AY$2&amp;Demand_current!$D$3:$AY$3, 0))/1000</f>
        <v>15.749000000000001</v>
      </c>
      <c r="DD38" s="229">
        <f t="array" ref="DD38">INDEX(Demand_current!$D$4:$AY$138, MATCH($A38, Demand_current!$B$4:$B$138, 0), MATCH(DD$4&amp;DD$5,Demand_current!$D$2:$AY$2&amp;Demand_current!$D$3:$AY$3, 0))/1000</f>
        <v>8.5630000000000006</v>
      </c>
      <c r="DE38" s="229">
        <f t="array" ref="DE38">INDEX(Demand_current!$D$4:$AY$138, MATCH($A38, Demand_current!$B$4:$B$138, 0), MATCH(DE$4&amp;DE$5,Demand_current!$D$2:$AY$2&amp;Demand_current!$D$3:$AY$3, 0))/1000</f>
        <v>3.782</v>
      </c>
      <c r="DF38" s="229">
        <f t="array" ref="DF38">INDEX(Demand_current!$D$4:$AY$138, MATCH($A38, Demand_current!$B$4:$B$138, 0), MATCH(DF$4&amp;DF$5,Demand_current!$D$2:$AY$2&amp;Demand_current!$D$3:$AY$3, 0))/1000</f>
        <v>8.3409999999999993</v>
      </c>
      <c r="DG38" s="229">
        <f t="array" ref="DG38">INDEX(Demand_current!$D$4:$AY$138, MATCH($A38, Demand_current!$B$4:$B$138, 0), MATCH(DG$4&amp;DG$5,Demand_current!$D$2:$AY$2&amp;Demand_current!$D$3:$AY$3, 0))/1000</f>
        <v>14.569000000000001</v>
      </c>
      <c r="DH38" s="229">
        <f t="array" ref="DH38">INDEX(Demand_current!$D$4:$AY$138, MATCH($A38, Demand_current!$B$4:$B$138, 0), MATCH(DH$4&amp;DH$5,Demand_current!$D$2:$AY$2&amp;Demand_current!$D$3:$AY$3, 0))/1000</f>
        <v>21.283000000000001</v>
      </c>
      <c r="DI38" s="229">
        <f t="array" ref="DI38">INDEX(Demand_current!$D$4:$AY$138, MATCH($A38, Demand_current!$B$4:$B$138, 0), MATCH(DI$4&amp;DI$5,Demand_current!$D$2:$AY$2&amp;Demand_current!$D$3:$AY$3, 0))/1000</f>
        <v>21.698</v>
      </c>
      <c r="DJ38" s="227">
        <f>$BT38*(VLOOKUP(DJ$4, Rates_current!$G$6:$Q$29, 10, FALSE)+VLOOKUP(DJ$4, Rates_current!$G$6:$Q$29, 11, FALSE))</f>
        <v>67905.037074693595</v>
      </c>
      <c r="DK38" s="227">
        <f>$BT38*(VLOOKUP(DK$4, Rates_current!$G$6:$Q$29, 10, FALSE)+VLOOKUP(DK$4, Rates_current!$G$6:$Q$29, 11, FALSE))</f>
        <v>86260.580472677408</v>
      </c>
      <c r="DL38" s="227">
        <f>$BT38*(VLOOKUP(DL$4, Rates_current!$G$6:$Q$29, 10, FALSE)+VLOOKUP(DL$4, Rates_current!$G$6:$Q$29, 11, FALSE))</f>
        <v>85218.867242493609</v>
      </c>
      <c r="DM38" s="227">
        <f>$BT38*(VLOOKUP(DM$4, Rates_current!$G$6:$Q$29, 10, FALSE)+VLOOKUP(DM$4, Rates_current!$G$6:$Q$29, 11, FALSE))</f>
        <v>71035.116285693613</v>
      </c>
      <c r="DN38" s="227">
        <f>$BT38*(VLOOKUP(DN$4, Rates_current!$G$6:$Q$29, 10, FALSE)+VLOOKUP(DN$4, Rates_current!$G$6:$Q$29, 11, FALSE))</f>
        <v>64350.446030879997</v>
      </c>
      <c r="DO38" s="227">
        <f>$BT38*(VLOOKUP(DO$4, Rates_current!$G$6:$Q$29, 10, FALSE)+VLOOKUP(DO$4, Rates_current!$G$6:$Q$29, 11, FALSE))</f>
        <v>71578.138975084206</v>
      </c>
      <c r="DP38" s="227">
        <f>$BT38*(VLOOKUP(DP$4, Rates_current!$G$6:$Q$29, 10, FALSE)+VLOOKUP(DP$4, Rates_current!$G$6:$Q$29, 11, FALSE))</f>
        <v>58278.997993967998</v>
      </c>
      <c r="DQ38" s="227">
        <f>$BT38*(VLOOKUP(DQ$4, Rates_current!$G$6:$Q$29, 10, FALSE)+VLOOKUP(DQ$4, Rates_current!$G$6:$Q$29, 11, FALSE))</f>
        <v>78597.919155993615</v>
      </c>
      <c r="DR38" s="227">
        <f>$BT38*(VLOOKUP(DR$4, Rates_current!$G$6:$Q$29, 10, FALSE)+VLOOKUP(DR$4, Rates_current!$G$6:$Q$29, 11, FALSE))</f>
        <v>100285.599286668</v>
      </c>
      <c r="DS38" s="227">
        <f>$BT38*(VLOOKUP(DS$4, Rates_current!$G$6:$Q$29, 10, FALSE)+VLOOKUP(DS$4, Rates_current!$G$6:$Q$29, 11, FALSE))</f>
        <v>78627.089697093601</v>
      </c>
      <c r="DT38" s="227">
        <f>$BT38*(VLOOKUP(DT$4, Rates_current!$G$6:$Q$29, 10, FALSE)+VLOOKUP(DT$4, Rates_current!$G$6:$Q$29, 11, FALSE))</f>
        <v>76567.128881793615</v>
      </c>
      <c r="DU38" s="227">
        <f>$BT38*(VLOOKUP(DU$4, Rates_current!$G$6:$Q$29, 10, FALSE)+VLOOKUP(DU$4, Rates_current!$G$6:$Q$29, 11, FALSE))</f>
        <v>68740.993808568004</v>
      </c>
      <c r="DV38" s="229">
        <f>IF(D38=0,IF(C38=0,MAX(0,DY38 - (VLOOKUP($A38,TOCA_current!$A$2:$AI$137,MATCH("RHWM 2020",TOCA_current!$A$2:$AI$2,0),FALSE)*$BT$2)), 0),0)</f>
        <v>0</v>
      </c>
      <c r="DW38" s="266">
        <f>VLOOKUP($A38,REP_current!$A$1:$D$135,MATCH("FY "&amp;$BT$1&amp; " Total Refund",REP_current!$A$1:$D$1,0),0)</f>
        <v>0</v>
      </c>
      <c r="DX38" s="295">
        <f>MIN(VLOOKUP($A38,TOCA_current!$A$2:$AI$137,MATCH("TRL - NLSL - Existing Resource "&amp;$BT$1,TOCA_current!$A$2:$AI$2,0),FALSE)*$BT$2, VLOOKUP($A38,TOCA_current!$A$2:$AI$137,MATCH("RHWM 2020",TOCA_current!$A$2:$AI$2,0),FALSE)*$BT$2)</f>
        <v>907448.68799999997</v>
      </c>
      <c r="DY38" s="240">
        <f>SUM(BZ38:CW38)+(BT38*RT1SC!$C$4*$BT$2)</f>
        <v>890534.94896609278</v>
      </c>
      <c r="DZ38" s="271">
        <f>VLOOKUP($A38,TOCA_current!$A$2:$AI$137,MATCH("Above RHWM Not Served with LS "&amp;$BT$1,TOCA_current!$A$2:$AI$2,0),FALSE)*$BT$2</f>
        <v>96211.152000000002</v>
      </c>
      <c r="EA38" s="244">
        <f t="shared" si="13"/>
        <v>-16913.739033907186</v>
      </c>
      <c r="EB38" s="295">
        <f>(VLOOKUP($A38,TOCA_current!$A$2:$AI$137,MATCH("RHWM 2020",TOCA_current!$A$2:$AI$2,0),FALSE)*$BT$2) - $DX38</f>
        <v>0</v>
      </c>
      <c r="EC38" s="240">
        <f t="shared" si="14"/>
        <v>0</v>
      </c>
      <c r="ED38" s="240">
        <f t="shared" si="15"/>
        <v>0</v>
      </c>
      <c r="EE38" s="240">
        <f t="shared" si="16"/>
        <v>0</v>
      </c>
      <c r="EF38" s="240">
        <f t="shared" si="17"/>
        <v>0</v>
      </c>
    </row>
    <row r="39" spans="1:136">
      <c r="A39" s="166">
        <v>10091</v>
      </c>
      <c r="B39" s="167" t="s">
        <v>40</v>
      </c>
      <c r="C39" s="240">
        <v>0</v>
      </c>
      <c r="D39" s="240">
        <v>0</v>
      </c>
      <c r="E39" s="150">
        <f>VLOOKUP($A39,TOCA_previous!$A$2:$AI$137,MATCH(E$4,TOCA_previous!$A$2:$AI$2,0),FALSE)</f>
        <v>1.3349E-3</v>
      </c>
      <c r="F39" s="151">
        <f>VLOOKUP($A39,TOCA_previous!$A$2:$AI$137,MATCH(F$4,TOCA_previous!$A$2:$AI$2,0),FALSE)</f>
        <v>1.3349E-3</v>
      </c>
      <c r="G39" s="151">
        <f t="shared" si="2"/>
        <v>0</v>
      </c>
      <c r="H39" s="151">
        <f>VLOOKUP($A39,TOCA_previous!$A$2:$AI$137,MATCH(H$4,TOCA_previous!$A$2:$AI$2,0),FALSE)</f>
        <v>0</v>
      </c>
      <c r="I39" s="151">
        <f t="shared" si="3"/>
        <v>0</v>
      </c>
      <c r="J39" s="151">
        <f t="shared" si="4"/>
        <v>0</v>
      </c>
      <c r="K39" s="226">
        <f>VLOOKUP(A39, IRD!$A$5:$C$139, 3, FALSE)</f>
        <v>0</v>
      </c>
      <c r="L39" s="227">
        <f t="array" ref="L39">IF($G39=0, INDEX(LS_previous!$D$4:$AY$138, MATCH('Staging Table'!$A39, LS_previous!$B$4:$B$138, 0), MATCH(L$4&amp;L$5, LS_previous!$D$2:$AY$2&amp;LS_previous!$D$3:$AY$3, 0)),SUM(VLOOKUP($A39, LS_previous!$B$4:$AY$138, LS_previous!D$149, FALSE), VLOOKUP('Staging Table'!$A39, LS_previous!$B$4:$AY$138,LS_previous!AB$149, FALSE))/2)</f>
        <v>-402</v>
      </c>
      <c r="M39" s="227">
        <f t="array" ref="M39">IF($G39=0, INDEX(LS_previous!$D$4:$AY$138, MATCH('Staging Table'!$A39, LS_previous!$B$4:$B$138, 0), MATCH(M$4&amp;M$5, LS_previous!$D$2:$AY$2&amp;LS_previous!$D$3:$AY$3, 0)),SUM(VLOOKUP($A39, LS_previous!$B$4:$AY$138, LS_previous!E$149, FALSE), VLOOKUP('Staging Table'!$A39, LS_previous!$B$4:$AY$138,LS_previous!AC$149, FALSE))/2)</f>
        <v>99</v>
      </c>
      <c r="N39" s="227">
        <f t="array" ref="N39">IF($G39=0, INDEX(LS_previous!$D$4:$AY$138, MATCH('Staging Table'!$A39, LS_previous!$B$4:$B$138, 0), MATCH(N$4&amp;N$5, LS_previous!$D$2:$AY$2&amp;LS_previous!$D$3:$AY$3, 0)),SUM(VLOOKUP($A39, LS_previous!$B$4:$AY$138, LS_previous!F$149, FALSE), VLOOKUP('Staging Table'!$A39, LS_previous!$B$4:$AY$138,LS_previous!AD$149, FALSE))/2)</f>
        <v>-622</v>
      </c>
      <c r="O39" s="227">
        <f t="array" ref="O39">IF($G39=0, INDEX(LS_previous!$D$4:$AY$138, MATCH('Staging Table'!$A39, LS_previous!$B$4:$B$138, 0), MATCH(O$4&amp;O$5, LS_previous!$D$2:$AY$2&amp;LS_previous!$D$3:$AY$3, 0)),SUM(VLOOKUP($A39, LS_previous!$B$4:$AY$138, LS_previous!G$149, FALSE), VLOOKUP('Staging Table'!$A39, LS_previous!$B$4:$AY$138,LS_previous!AE$149, FALSE))/2)</f>
        <v>206</v>
      </c>
      <c r="P39" s="227">
        <f t="array" ref="P39">IF($G39=0, INDEX(LS_previous!$D$4:$AY$138, MATCH('Staging Table'!$A39, LS_previous!$B$4:$B$138, 0), MATCH(P$4&amp;P$5, LS_previous!$D$2:$AY$2&amp;LS_previous!$D$3:$AY$3, 0)),SUM(VLOOKUP($A39, LS_previous!$B$4:$AY$138, LS_previous!H$149, FALSE), VLOOKUP('Staging Table'!$A39, LS_previous!$B$4:$AY$138,LS_previous!AF$149, FALSE))/2)</f>
        <v>736</v>
      </c>
      <c r="Q39" s="227">
        <f t="array" ref="Q39">IF($G39=0, INDEX(LS_previous!$D$4:$AY$138, MATCH('Staging Table'!$A39, LS_previous!$B$4:$B$138, 0), MATCH(Q$4&amp;Q$5, LS_previous!$D$2:$AY$2&amp;LS_previous!$D$3:$AY$3, 0)),SUM(VLOOKUP($A39, LS_previous!$B$4:$AY$138, LS_previous!I$149, FALSE), VLOOKUP('Staging Table'!$A39, LS_previous!$B$4:$AY$138,LS_previous!AG$149, FALSE))/2)</f>
        <v>1023</v>
      </c>
      <c r="R39" s="227">
        <f t="array" ref="R39">IF($G39=0, INDEX(LS_previous!$D$4:$AY$138, MATCH('Staging Table'!$A39, LS_previous!$B$4:$B$138, 0), MATCH(R$4&amp;R$5, LS_previous!$D$2:$AY$2&amp;LS_previous!$D$3:$AY$3, 0)),SUM(VLOOKUP($A39, LS_previous!$B$4:$AY$138, LS_previous!J$149, FALSE), VLOOKUP('Staging Table'!$A39, LS_previous!$B$4:$AY$138,LS_previous!AH$149, FALSE))/2)</f>
        <v>1503</v>
      </c>
      <c r="S39" s="227">
        <f t="array" ref="S39">IF($G39=0, INDEX(LS_previous!$D$4:$AY$138, MATCH('Staging Table'!$A39, LS_previous!$B$4:$B$138, 0), MATCH(S$4&amp;S$5, LS_previous!$D$2:$AY$2&amp;LS_previous!$D$3:$AY$3, 0)),SUM(VLOOKUP($A39, LS_previous!$B$4:$AY$138, LS_previous!K$149, FALSE), VLOOKUP('Staging Table'!$A39, LS_previous!$B$4:$AY$138,LS_previous!AI$149, FALSE))/2)</f>
        <v>1557</v>
      </c>
      <c r="T39" s="227">
        <f t="array" ref="T39">IF($G39=0, INDEX(LS_previous!$D$4:$AY$138, MATCH('Staging Table'!$A39, LS_previous!$B$4:$B$138, 0), MATCH(T$4&amp;T$5, LS_previous!$D$2:$AY$2&amp;LS_previous!$D$3:$AY$3, 0)),SUM(VLOOKUP($A39, LS_previous!$B$4:$AY$138, LS_previous!L$149, FALSE), VLOOKUP('Staging Table'!$A39, LS_previous!$B$4:$AY$138,LS_previous!AJ$149, FALSE))/2)</f>
        <v>1557</v>
      </c>
      <c r="U39" s="227">
        <f t="array" ref="U39">IF($G39=0, INDEX(LS_previous!$D$4:$AY$138, MATCH('Staging Table'!$A39, LS_previous!$B$4:$B$138, 0), MATCH(U$4&amp;U$5, LS_previous!$D$2:$AY$2&amp;LS_previous!$D$3:$AY$3, 0)),SUM(VLOOKUP($A39, LS_previous!$B$4:$AY$138, LS_previous!M$149, FALSE), VLOOKUP('Staging Table'!$A39, LS_previous!$B$4:$AY$138,LS_previous!AK$149, FALSE))/2)</f>
        <v>1350</v>
      </c>
      <c r="V39" s="227">
        <f t="array" ref="V39">IF($G39=0, INDEX(LS_previous!$D$4:$AY$138, MATCH('Staging Table'!$A39, LS_previous!$B$4:$B$138, 0), MATCH(V$4&amp;V$5, LS_previous!$D$2:$AY$2&amp;LS_previous!$D$3:$AY$3, 0)),SUM(VLOOKUP($A39, LS_previous!$B$4:$AY$138, LS_previous!N$149, FALSE), VLOOKUP('Staging Table'!$A39, LS_previous!$B$4:$AY$138,LS_previous!AL$149, FALSE))/2)</f>
        <v>477</v>
      </c>
      <c r="W39" s="227">
        <f t="array" ref="W39">IF($G39=0, INDEX(LS_previous!$D$4:$AY$138, MATCH('Staging Table'!$A39, LS_previous!$B$4:$B$138, 0), MATCH(W$4&amp;W$5, LS_previous!$D$2:$AY$2&amp;LS_previous!$D$3:$AY$3, 0)),SUM(VLOOKUP($A39, LS_previous!$B$4:$AY$138, LS_previous!O$149, FALSE), VLOOKUP('Staging Table'!$A39, LS_previous!$B$4:$AY$138,LS_previous!AM$149, FALSE))/2)</f>
        <v>605</v>
      </c>
      <c r="X39" s="227">
        <f t="array" ref="X39">IF($G39=0, INDEX(LS_previous!$D$4:$AY$138, MATCH('Staging Table'!$A39, LS_previous!$B$4:$B$138, 0), MATCH(X$4&amp;X$5, LS_previous!$D$2:$AY$2&amp;LS_previous!$D$3:$AY$3, 0)),SUM(VLOOKUP($A39, LS_previous!$B$4:$AY$138, LS_previous!P$149, FALSE), VLOOKUP('Staging Table'!$A39, LS_previous!$B$4:$AY$138,LS_previous!AN$149, FALSE))/2)</f>
        <v>-64</v>
      </c>
      <c r="Y39" s="227">
        <f t="array" ref="Y39">IF($G39=0, INDEX(LS_previous!$D$4:$AY$138, MATCH('Staging Table'!$A39, LS_previous!$B$4:$B$138, 0), MATCH(Y$4&amp;Y$5, LS_previous!$D$2:$AY$2&amp;LS_previous!$D$3:$AY$3, 0)),SUM(VLOOKUP($A39, LS_previous!$B$4:$AY$138, LS_previous!Q$149, FALSE), VLOOKUP('Staging Table'!$A39, LS_previous!$B$4:$AY$138,LS_previous!AO$149, FALSE))/2)</f>
        <v>277</v>
      </c>
      <c r="Z39" s="227">
        <f t="array" ref="Z39">IF($G39=0, INDEX(LS_previous!$D$4:$AY$138, MATCH('Staging Table'!$A39, LS_previous!$B$4:$B$138, 0), MATCH(Z$4&amp;Z$5, LS_previous!$D$2:$AY$2&amp;LS_previous!$D$3:$AY$3, 0)),SUM(VLOOKUP($A39, LS_previous!$B$4:$AY$138, LS_previous!R$149, FALSE), VLOOKUP('Staging Table'!$A39, LS_previous!$B$4:$AY$138,LS_previous!AP$149, FALSE))/2)</f>
        <v>-2140</v>
      </c>
      <c r="AA39" s="227">
        <f t="array" ref="AA39">IF($G39=0, INDEX(LS_previous!$D$4:$AY$138, MATCH('Staging Table'!$A39, LS_previous!$B$4:$B$138, 0), MATCH(AA$4&amp;AA$5, LS_previous!$D$2:$AY$2&amp;LS_previous!$D$3:$AY$3, 0)),SUM(VLOOKUP($A39, LS_previous!$B$4:$AY$138, LS_previous!S$149, FALSE), VLOOKUP('Staging Table'!$A39, LS_previous!$B$4:$AY$138,LS_previous!AQ$149, FALSE))/2)</f>
        <v>-904</v>
      </c>
      <c r="AB39" s="227">
        <f t="array" ref="AB39">IF($G39=0, INDEX(LS_previous!$D$4:$AY$138, MATCH('Staging Table'!$A39, LS_previous!$B$4:$B$138, 0), MATCH(AB$4&amp;AB$5, LS_previous!$D$2:$AY$2&amp;LS_previous!$D$3:$AY$3, 0)),SUM(VLOOKUP($A39, LS_previous!$B$4:$AY$138, LS_previous!T$149, FALSE), VLOOKUP('Staging Table'!$A39, LS_previous!$B$4:$AY$138,LS_previous!AR$149, FALSE))/2)</f>
        <v>-986</v>
      </c>
      <c r="AC39" s="227">
        <f t="array" ref="AC39">IF($G39=0, INDEX(LS_previous!$D$4:$AY$138, MATCH('Staging Table'!$A39, LS_previous!$B$4:$B$138, 0), MATCH(AC$4&amp;AC$5, LS_previous!$D$2:$AY$2&amp;LS_previous!$D$3:$AY$3, 0)),SUM(VLOOKUP($A39, LS_previous!$B$4:$AY$138, LS_previous!U$149, FALSE), VLOOKUP('Staging Table'!$A39, LS_previous!$B$4:$AY$138,LS_previous!AS$149, FALSE))/2)</f>
        <v>-313</v>
      </c>
      <c r="AD39" s="227">
        <f t="array" ref="AD39">IF($G39=0, INDEX(LS_previous!$D$4:$AY$138, MATCH('Staging Table'!$A39, LS_previous!$B$4:$B$138, 0), MATCH(AD$4&amp;AD$5, LS_previous!$D$2:$AY$2&amp;LS_previous!$D$3:$AY$3, 0)),SUM(VLOOKUP($A39, LS_previous!$B$4:$AY$138, LS_previous!V$149, FALSE), VLOOKUP('Staging Table'!$A39, LS_previous!$B$4:$AY$138,LS_previous!AT$149, FALSE))/2)</f>
        <v>33</v>
      </c>
      <c r="AE39" s="227">
        <f t="array" ref="AE39">IF($G39=0, INDEX(LS_previous!$D$4:$AY$138, MATCH('Staging Table'!$A39, LS_previous!$B$4:$B$138, 0), MATCH(AE$4&amp;AE$5, LS_previous!$D$2:$AY$2&amp;LS_previous!$D$3:$AY$3, 0)),SUM(VLOOKUP($A39, LS_previous!$B$4:$AY$138, LS_previous!W$149, FALSE), VLOOKUP('Staging Table'!$A39, LS_previous!$B$4:$AY$138,LS_previous!AU$149, FALSE))/2)</f>
        <v>443</v>
      </c>
      <c r="AF39" s="227">
        <f t="array" ref="AF39">IF($G39=0, INDEX(LS_previous!$D$4:$AY$138, MATCH('Staging Table'!$A39, LS_previous!$B$4:$B$138, 0), MATCH(AF$4&amp;AF$5, LS_previous!$D$2:$AY$2&amp;LS_previous!$D$3:$AY$3, 0)),SUM(VLOOKUP($A39, LS_previous!$B$4:$AY$138, LS_previous!X$149, FALSE), VLOOKUP('Staging Table'!$A39, LS_previous!$B$4:$AY$138,LS_previous!AV$149, FALSE))/2)</f>
        <v>-655</v>
      </c>
      <c r="AG39" s="227">
        <f t="array" ref="AG39">IF($G39=0, INDEX(LS_previous!$D$4:$AY$138, MATCH('Staging Table'!$A39, LS_previous!$B$4:$B$138, 0), MATCH(AG$4&amp;AG$5, LS_previous!$D$2:$AY$2&amp;LS_previous!$D$3:$AY$3, 0)),SUM(VLOOKUP($A39, LS_previous!$B$4:$AY$138, LS_previous!Y$149, FALSE), VLOOKUP('Staging Table'!$A39, LS_previous!$B$4:$AY$138,LS_previous!AW$149, FALSE))/2)</f>
        <v>-7</v>
      </c>
      <c r="AH39" s="227">
        <f t="array" ref="AH39">IF($G39=0, INDEX(LS_previous!$D$4:$AY$138, MATCH('Staging Table'!$A39, LS_previous!$B$4:$B$138, 0), MATCH(AH$4&amp;AH$5, LS_previous!$D$2:$AY$2&amp;LS_previous!$D$3:$AY$3, 0)),SUM(VLOOKUP($A39, LS_previous!$B$4:$AY$138, LS_previous!Z$149, FALSE), VLOOKUP('Staging Table'!$A39, LS_previous!$B$4:$AY$138,LS_previous!AX$149, FALSE))/2)</f>
        <v>-533</v>
      </c>
      <c r="AI39" s="227">
        <f t="array" ref="AI39">IF($G39=0, INDEX(LS_previous!$D$4:$AY$138, MATCH('Staging Table'!$A39, LS_previous!$B$4:$B$138, 0), MATCH(AI$4&amp;AI$5, LS_previous!$D$2:$AY$2&amp;LS_previous!$D$3:$AY$3, 0)),SUM(VLOOKUP($A39, LS_previous!$B$4:$AY$138, LS_previous!AA$149, FALSE), VLOOKUP('Staging Table'!$A39, LS_previous!$B$4:$AY$138,LS_previous!AY$149, FALSE))/2)</f>
        <v>-53</v>
      </c>
      <c r="AJ39" s="424">
        <f t="array" ref="AJ39">INDEX(Demand_previous!$D$4:$AY$138, MATCH('Staging Table'!$A39, Demand_previous!$B$4:$B$138, 0), MATCH(AJ$4&amp;AJ$5,Demand_previous!$D$2:$AY$2&amp;Demand_previous!$D$3:$AY$3, 0))/1000</f>
        <v>1.2989999999999999</v>
      </c>
      <c r="AK39" s="424">
        <f t="array" ref="AK39">INDEX(Demand_previous!$D$4:$AY$138, MATCH('Staging Table'!$A39, Demand_previous!$B$4:$B$138, 0), MATCH(AK$4&amp;AK$5,Demand_previous!$D$2:$AY$2&amp;Demand_previous!$D$3:$AY$3, 0))/1000</f>
        <v>2.2879999999999998</v>
      </c>
      <c r="AL39" s="424">
        <f t="array" ref="AL39">INDEX(Demand_previous!$D$4:$AY$138, MATCH('Staging Table'!$A39, Demand_previous!$B$4:$B$138, 0), MATCH(AL$4&amp;AL$5,Demand_previous!$D$2:$AY$2&amp;Demand_previous!$D$3:$AY$3, 0))/1000</f>
        <v>1.71</v>
      </c>
      <c r="AM39" s="424">
        <f t="array" ref="AM39">INDEX(Demand_previous!$D$4:$AY$138, MATCH('Staging Table'!$A39, Demand_previous!$B$4:$B$138, 0), MATCH(AM$4&amp;AM$5,Demand_previous!$D$2:$AY$2&amp;Demand_previous!$D$3:$AY$3, 0))/1000</f>
        <v>1.8839999999999999</v>
      </c>
      <c r="AN39" s="424">
        <f t="array" ref="AN39">INDEX(Demand_previous!$D$4:$AY$138, MATCH('Staging Table'!$A39, Demand_previous!$B$4:$B$138, 0), MATCH(AN$4&amp;AN$5,Demand_previous!$D$2:$AY$2&amp;Demand_previous!$D$3:$AY$3, 0))/1000</f>
        <v>1.3839999999999999</v>
      </c>
      <c r="AO39" s="424">
        <f t="array" ref="AO39">INDEX(Demand_previous!$D$4:$AY$138, MATCH('Staging Table'!$A39, Demand_previous!$B$4:$B$138, 0), MATCH(AO$4&amp;AO$5,Demand_previous!$D$2:$AY$2&amp;Demand_previous!$D$3:$AY$3, 0))/1000</f>
        <v>1.5429999999999999</v>
      </c>
      <c r="AP39" s="424">
        <f t="array" ref="AP39">INDEX(Demand_previous!$D$4:$AY$138, MATCH('Staging Table'!$A39, Demand_previous!$B$4:$B$138, 0), MATCH(AP$4&amp;AP$5,Demand_previous!$D$2:$AY$2&amp;Demand_previous!$D$3:$AY$3, 0))/1000</f>
        <v>1.5740000000000001</v>
      </c>
      <c r="AQ39" s="424">
        <f t="array" ref="AQ39">INDEX(Demand_previous!$D$4:$AY$138, MATCH('Staging Table'!$A39, Demand_previous!$B$4:$B$138, 0), MATCH(AQ$4&amp;AQ$5,Demand_previous!$D$2:$AY$2&amp;Demand_previous!$D$3:$AY$3, 0))/1000</f>
        <v>1.087</v>
      </c>
      <c r="AR39" s="424">
        <f t="array" ref="AR39">INDEX(Demand_previous!$D$4:$AY$138, MATCH('Staging Table'!$A39, Demand_previous!$B$4:$B$138, 0), MATCH(AR$4&amp;AR$5,Demand_previous!$D$2:$AY$2&amp;Demand_previous!$D$3:$AY$3, 0))/1000</f>
        <v>2.77</v>
      </c>
      <c r="AS39" s="424">
        <f t="array" ref="AS39">INDEX(Demand_previous!$D$4:$AY$138, MATCH('Staging Table'!$A39, Demand_previous!$B$4:$B$138, 0), MATCH(AS$4&amp;AS$5,Demand_previous!$D$2:$AY$2&amp;Demand_previous!$D$3:$AY$3, 0))/1000</f>
        <v>2.3439999999999999</v>
      </c>
      <c r="AT39" s="424">
        <f t="array" ref="AT39">INDEX(Demand_previous!$D$4:$AY$138, MATCH('Staging Table'!$A39, Demand_previous!$B$4:$B$138, 0), MATCH(AT$4&amp;AT$5,Demand_previous!$D$2:$AY$2&amp;Demand_previous!$D$3:$AY$3, 0))/1000</f>
        <v>2.5179999999999998</v>
      </c>
      <c r="AU39" s="424">
        <f t="array" ref="AU39">INDEX(Demand_previous!$D$4:$AY$138, MATCH('Staging Table'!$A39, Demand_previous!$B$4:$B$138, 0), MATCH(AU$4&amp;AU$5,Demand_previous!$D$2:$AY$2&amp;Demand_previous!$D$3:$AY$3, 0))/1000</f>
        <v>1.105</v>
      </c>
      <c r="AV39" s="227">
        <f>$F39*(VLOOKUP(AV$4, Rates_previous!$G$6:$Q$29, 10, FALSE)+VLOOKUP(AV$4, Rates_previous!$G$6:$Q$29, 11, FALSE))</f>
        <v>6259.1295290137432</v>
      </c>
      <c r="AW39" s="227">
        <f>$F39*(VLOOKUP(AW$4, Rates_previous!$G$6:$Q$29, 10, FALSE)+VLOOKUP(AW$4, Rates_previous!$G$6:$Q$29, 11, FALSE))</f>
        <v>7735.8083788058848</v>
      </c>
      <c r="AX39" s="227">
        <f>$F39*(VLOOKUP(AX$4, Rates_previous!$G$6:$Q$29, 10, FALSE)+VLOOKUP(AX$4, Rates_previous!$G$6:$Q$29, 11, FALSE))</f>
        <v>7642.9105726501612</v>
      </c>
      <c r="AY39" s="227">
        <f>$F39*(VLOOKUP(AY$4, Rates_previous!$G$6:$Q$29, 10, FALSE)+VLOOKUP(AY$4, Rates_previous!$G$6:$Q$29, 11, FALSE))</f>
        <v>6530.1385946370838</v>
      </c>
      <c r="AZ39" s="227">
        <f>$F39*(VLOOKUP(AZ$4, Rates_previous!$G$6:$Q$29, 10, FALSE)+VLOOKUP(AZ$4, Rates_previous!$G$6:$Q$29, 11, FALSE))</f>
        <v>5353.4469891231574</v>
      </c>
      <c r="BA39" s="227">
        <f>$F39*(VLOOKUP(BA$4, Rates_previous!$G$6:$Q$29, 10, FALSE)+VLOOKUP(BA$4, Rates_previous!$G$6:$Q$29, 11, FALSE))</f>
        <v>6338.2867798806274</v>
      </c>
      <c r="BB39" s="227">
        <f>$F39*(VLOOKUP(BB$4, Rates_previous!$G$6:$Q$29, 10, FALSE)+VLOOKUP(BB$4, Rates_previous!$G$6:$Q$29, 11, FALSE))</f>
        <v>6092.0155555251768</v>
      </c>
      <c r="BC39" s="227">
        <f>$F39*(VLOOKUP(BC$4, Rates_previous!$G$6:$Q$29, 10, FALSE)+VLOOKUP(BC$4, Rates_previous!$G$6:$Q$29, 11, FALSE))</f>
        <v>8939.6017399745942</v>
      </c>
      <c r="BD39" s="227">
        <f>$F39*(VLOOKUP(BD$4, Rates_previous!$G$6:$Q$29, 10, FALSE)+VLOOKUP(BD$4, Rates_previous!$G$6:$Q$29, 11, FALSE))</f>
        <v>7053.1094962858724</v>
      </c>
      <c r="BE39" s="227">
        <f>$F39*(VLOOKUP(BE$4, Rates_previous!$G$6:$Q$29, 10, FALSE)+VLOOKUP(BE$4, Rates_previous!$G$6:$Q$29, 11, FALSE))</f>
        <v>6193.2221442245418</v>
      </c>
      <c r="BF39" s="227">
        <f>$F39*(VLOOKUP(BF$4, Rates_previous!$G$6:$Q$29, 10, FALSE)+VLOOKUP(BF$4, Rates_previous!$G$6:$Q$29, 11, FALSE))</f>
        <v>6859.241425246043</v>
      </c>
      <c r="BG39" s="227">
        <f>$F39*(VLOOKUP(BG$4, Rates_previous!$G$6:$Q$29, 10, FALSE)+VLOOKUP(BG$4, Rates_previous!$G$6:$Q$29, 11, FALSE))</f>
        <v>6214.1999563372719</v>
      </c>
      <c r="BH39" s="229">
        <f>IF($D39=0,IF(C39=0, MAX(BK39 - (VLOOKUP($A39,TOCA_previous!$A$2:$AI$137,MATCH("RHWM 2018",TOCA_previous!$A$2:$AI$2,0),FALSE)*$F$2*TOCA_previous!C36),0),0), 0)</f>
        <v>3184.1523465039936</v>
      </c>
      <c r="BI39" s="266">
        <f>VLOOKUP($A39,REP_previous!$A$1:$D$135,MATCH("FY "&amp;$F$1&amp; " Total Refund",REP_previous!$A$1:$D$1,0),0)</f>
        <v>125894.70843970538</v>
      </c>
      <c r="BJ39" s="241">
        <f>MIN(VLOOKUP($A39,TOCA_previous!$A$2:$AI$137,MATCH("TRL - NLSL - Existing Resource "&amp;$F$1,TOCA_previous!$A$2:$AI$2,0),FALSE)*$F$2,(VLOOKUP($A39,TOCA_previous!$A$2:$AI$137,MATCH("RHWM 2018",TOCA_previous!$A$2:$AI$2,0),FALSE)*$F$2))</f>
        <v>81213.960000000006</v>
      </c>
      <c r="BK39" s="229">
        <f>SUM(L39:AI39)+(F39*RT1SC!$C$3*$F$2)</f>
        <v>84398.112346504</v>
      </c>
      <c r="BL39" s="241">
        <f>VLOOKUP($A39,TOCA_previous!$A$2:$AI$137,MATCH("Above RHWM Not Served with LS "&amp;$F$1,TOCA_previous!$A$2:$AI$2,0),FALSE)*$F$2</f>
        <v>0</v>
      </c>
      <c r="BM39" s="151">
        <f t="shared" si="5"/>
        <v>3184.1523465039936</v>
      </c>
      <c r="BN39" s="242">
        <f>(VLOOKUP($A39,TOCA_previous!$A$2:$AI$137,MATCH("RHWM 2018",TOCA_previous!$A$2:$AI$2,0),FALSE)*$F$2) - $BJ39</f>
        <v>0</v>
      </c>
      <c r="BO39" s="151">
        <f t="shared" si="6"/>
        <v>0</v>
      </c>
      <c r="BP39" s="243">
        <f t="shared" si="7"/>
        <v>0</v>
      </c>
      <c r="BQ39" s="237">
        <f t="shared" si="8"/>
        <v>0</v>
      </c>
      <c r="BR39" s="242">
        <f t="shared" si="9"/>
        <v>0</v>
      </c>
      <c r="BS39" s="151">
        <f>VLOOKUP($A39,TOCA_current!$A$2:$AI$137,MATCH(BS$4,TOCA_current!$A$2:$AI$2,0),FALSE)</f>
        <v>1.3343000000000001E-3</v>
      </c>
      <c r="BT39" s="151">
        <f>VLOOKUP($A39,TOCA_current!$A$2:$AI$137,MATCH(BT$4,TOCA_current!$A$2:$AI$2,0),FALSE)</f>
        <v>1.3343000000000001E-3</v>
      </c>
      <c r="BU39" s="236">
        <f t="shared" si="10"/>
        <v>0</v>
      </c>
      <c r="BV39" s="151">
        <f>VLOOKUP($A39,TOCA_current!A35:BG170,MATCH(BV$4,TOCA_current!$A$2:$BG$2,0),FALSE)</f>
        <v>0</v>
      </c>
      <c r="BW39" s="151">
        <f t="shared" si="11"/>
        <v>0</v>
      </c>
      <c r="BX39" s="151">
        <f t="shared" si="12"/>
        <v>0</v>
      </c>
      <c r="BY39" s="226">
        <f>VLOOKUP($A39,IRD!$A$4:$G$139, 7, FALSE)</f>
        <v>0</v>
      </c>
      <c r="BZ39" s="227">
        <f t="array" ref="BZ39">IF($BU39=0, INDEX(LS_current!$D$4:$AY$138, MATCH('Staging Table'!$A39, LS_current!$B$4:$B$138, 0), MATCH(BZ$4&amp;BZ$5, LS_current!$D$2:$AY$2&amp;LS_current!$D$3:$AY$3, 0)),SUM(VLOOKUP($A39, LS_current!$B$4:$AY$138, LS_current!D$148, FALSE), VLOOKUP($A39, LS_current!$B$4:$AY$138,LS_current!D$148, FALSE))/2)</f>
        <v>-346</v>
      </c>
      <c r="CA39" s="227">
        <f t="array" ref="CA39">IF($BU39=0, INDEX(LS_current!$D$4:$AY$138, MATCH('Staging Table'!$A39, LS_current!$B$4:$B$138, 0), MATCH(CA$4&amp;CA$5, LS_current!$D$2:$AY$2&amp;LS_current!$D$3:$AY$3, 0)),SUM(VLOOKUP($A39, LS_current!$B$4:$AY$138, LS_current!E$148, FALSE), VLOOKUP($A39, LS_current!$B$4:$AY$138,LS_current!E$148, FALSE))/2)</f>
        <v>141</v>
      </c>
      <c r="CB39" s="227">
        <f t="array" ref="CB39">IF($BU39=0, INDEX(LS_current!$D$4:$AY$138, MATCH('Staging Table'!$A39, LS_current!$B$4:$B$138, 0), MATCH(CB$4&amp;CB$5, LS_current!$D$2:$AY$2&amp;LS_current!$D$3:$AY$3, 0)),SUM(VLOOKUP($A39, LS_current!$B$4:$AY$138, LS_current!F$148, FALSE), VLOOKUP($A39, LS_current!$B$4:$AY$138,LS_current!F$148, FALSE))/2)</f>
        <v>-655</v>
      </c>
      <c r="CC39" s="227">
        <f t="array" ref="CC39">IF($BU39=0, INDEX(LS_current!$D$4:$AY$138, MATCH('Staging Table'!$A39, LS_current!$B$4:$B$138, 0), MATCH(CC$4&amp;CC$5, LS_current!$D$2:$AY$2&amp;LS_current!$D$3:$AY$3, 0)),SUM(VLOOKUP($A39, LS_current!$B$4:$AY$138, LS_current!G$148, FALSE), VLOOKUP($A39, LS_current!$B$4:$AY$138,LS_current!G$148, FALSE))/2)</f>
        <v>148</v>
      </c>
      <c r="CD39" s="227">
        <f t="array" ref="CD39">IF($BU39=0, INDEX(LS_current!$D$4:$AY$138, MATCH('Staging Table'!$A39, LS_current!$B$4:$B$138, 0), MATCH(CD$4&amp;CD$5, LS_current!$D$2:$AY$2&amp;LS_current!$D$3:$AY$3, 0)),SUM(VLOOKUP($A39, LS_current!$B$4:$AY$138, LS_current!H$148, FALSE), VLOOKUP($A39, LS_current!$B$4:$AY$138,LS_current!H$148, FALSE))/2)</f>
        <v>696</v>
      </c>
      <c r="CE39" s="227">
        <f t="array" ref="CE39">IF($BU39=0, INDEX(LS_current!$D$4:$AY$138, MATCH('Staging Table'!$A39, LS_current!$B$4:$B$138, 0), MATCH(CE$4&amp;CE$5, LS_current!$D$2:$AY$2&amp;LS_current!$D$3:$AY$3, 0)),SUM(VLOOKUP($A39, LS_current!$B$4:$AY$138, LS_current!I$148, FALSE), VLOOKUP($A39, LS_current!$B$4:$AY$138,LS_current!I$148, FALSE))/2)</f>
        <v>974</v>
      </c>
      <c r="CF39" s="227">
        <f t="array" ref="CF39">IF($BU39=0, INDEX(LS_current!$D$4:$AY$138, MATCH('Staging Table'!$A39, LS_current!$B$4:$B$138, 0), MATCH(CF$4&amp;CF$5, LS_current!$D$2:$AY$2&amp;LS_current!$D$3:$AY$3, 0)),SUM(VLOOKUP($A39, LS_current!$B$4:$AY$138, LS_current!J$148, FALSE), VLOOKUP($A39, LS_current!$B$4:$AY$138,LS_current!J$148, FALSE))/2)</f>
        <v>1487</v>
      </c>
      <c r="CG39" s="227">
        <f t="array" ref="CG39">IF($BU39=0, INDEX(LS_current!$D$4:$AY$138, MATCH('Staging Table'!$A39, LS_current!$B$4:$B$138, 0), MATCH(CG$4&amp;CG$5, LS_current!$D$2:$AY$2&amp;LS_current!$D$3:$AY$3, 0)),SUM(VLOOKUP($A39, LS_current!$B$4:$AY$138, LS_current!K$148, FALSE), VLOOKUP($A39, LS_current!$B$4:$AY$138,LS_current!K$148, FALSE))/2)</f>
        <v>1658</v>
      </c>
      <c r="CH39" s="227">
        <f t="array" ref="CH39">IF($BU39=0, INDEX(LS_current!$D$4:$AY$138, MATCH('Staging Table'!$A39, LS_current!$B$4:$B$138, 0), MATCH(CH$4&amp;CH$5, LS_current!$D$2:$AY$2&amp;LS_current!$D$3:$AY$3, 0)),SUM(VLOOKUP($A39, LS_current!$B$4:$AY$138, LS_current!L$148, FALSE), VLOOKUP($A39, LS_current!$B$4:$AY$138,LS_current!L$148, FALSE))/2)</f>
        <v>1255</v>
      </c>
      <c r="CI39" s="227">
        <f t="array" ref="CI39">IF($BU39=0, INDEX(LS_current!$D$4:$AY$138, MATCH('Staging Table'!$A39, LS_current!$B$4:$B$138, 0), MATCH(CI$4&amp;CI$5, LS_current!$D$2:$AY$2&amp;LS_current!$D$3:$AY$3, 0)),SUM(VLOOKUP($A39, LS_current!$B$4:$AY$138, LS_current!M$148, FALSE), VLOOKUP($A39, LS_current!$B$4:$AY$138,LS_current!M$148, FALSE))/2)</f>
        <v>1167</v>
      </c>
      <c r="CJ39" s="227">
        <f t="array" ref="CJ39">IF($BU39=0, INDEX(LS_current!$D$4:$AY$138, MATCH('Staging Table'!$A39, LS_current!$B$4:$B$138, 0), MATCH(CJ$4&amp;CJ$5, LS_current!$D$2:$AY$2&amp;LS_current!$D$3:$AY$3, 0)),SUM(VLOOKUP($A39, LS_current!$B$4:$AY$138, LS_current!N$148, FALSE), VLOOKUP($A39, LS_current!$B$4:$AY$138,LS_current!N$148, FALSE))/2)</f>
        <v>356</v>
      </c>
      <c r="CK39" s="227">
        <f t="array" ref="CK39">IF($BU39=0, INDEX(LS_current!$D$4:$AY$138, MATCH('Staging Table'!$A39, LS_current!$B$4:$B$138, 0), MATCH(CK$4&amp;CK$5, LS_current!$D$2:$AY$2&amp;LS_current!$D$3:$AY$3, 0)),SUM(VLOOKUP($A39, LS_current!$B$4:$AY$138, LS_current!O$148, FALSE), VLOOKUP($A39, LS_current!$B$4:$AY$138,LS_current!O$148, FALSE))/2)</f>
        <v>570</v>
      </c>
      <c r="CL39" s="227">
        <f t="array" ref="CL39">IF($BU39=0, INDEX(LS_current!$D$4:$AY$138, MATCH('Staging Table'!$A39, LS_current!$B$4:$B$138, 0), MATCH(CL$4&amp;CL$5, LS_current!$D$2:$AY$2&amp;LS_current!$D$3:$AY$3, 0)),SUM(VLOOKUP($A39, LS_current!$B$4:$AY$138, LS_current!P$148, FALSE), VLOOKUP($A39, LS_current!$B$4:$AY$138,LS_current!P$148, FALSE))/2)</f>
        <v>526</v>
      </c>
      <c r="CM39" s="227">
        <f t="array" ref="CM39">IF($BU39=0, INDEX(LS_current!$D$4:$AY$138, MATCH('Staging Table'!$A39, LS_current!$B$4:$B$138, 0), MATCH(CM$4&amp;CM$5, LS_current!$D$2:$AY$2&amp;LS_current!$D$3:$AY$3, 0)),SUM(VLOOKUP($A39, LS_current!$B$4:$AY$138, LS_current!Q$148, FALSE), VLOOKUP($A39, LS_current!$B$4:$AY$138,LS_current!Q$148, FALSE))/2)</f>
        <v>491</v>
      </c>
      <c r="CN39" s="227">
        <f t="array" ref="CN39">IF($BU39=0, INDEX(LS_current!$D$4:$AY$138, MATCH('Staging Table'!$A39, LS_current!$B$4:$B$138, 0), MATCH(CN$4&amp;CN$5, LS_current!$D$2:$AY$2&amp;LS_current!$D$3:$AY$3, 0)),SUM(VLOOKUP($A39, LS_current!$B$4:$AY$138, LS_current!R$148, FALSE), VLOOKUP($A39, LS_current!$B$4:$AY$138,LS_current!R$148, FALSE))/2)</f>
        <v>-1070</v>
      </c>
      <c r="CO39" s="227">
        <f t="array" ref="CO39">IF($BU39=0, INDEX(LS_current!$D$4:$AY$138, MATCH('Staging Table'!$A39, LS_current!$B$4:$B$138, 0), MATCH(CO$4&amp;CO$5, LS_current!$D$2:$AY$2&amp;LS_current!$D$3:$AY$3, 0)),SUM(VLOOKUP($A39, LS_current!$B$4:$AY$138, LS_current!S$148, FALSE), VLOOKUP($A39, LS_current!$B$4:$AY$138,LS_current!S$148, FALSE))/2)</f>
        <v>-165</v>
      </c>
      <c r="CP39" s="227">
        <f t="array" ref="CP39">IF($BU39=0, INDEX(LS_current!$D$4:$AY$138, MATCH('Staging Table'!$A39, LS_current!$B$4:$B$138, 0), MATCH(CP$4&amp;CP$5, LS_current!$D$2:$AY$2&amp;LS_current!$D$3:$AY$3, 0)),SUM(VLOOKUP($A39, LS_current!$B$4:$AY$138, LS_current!T$148, FALSE), VLOOKUP($A39, LS_current!$B$4:$AY$138,LS_current!T$148, FALSE))/2)</f>
        <v>-2277</v>
      </c>
      <c r="CQ39" s="227">
        <f t="array" ref="CQ39">IF($BU39=0, INDEX(LS_current!$D$4:$AY$138, MATCH('Staging Table'!$A39, LS_current!$B$4:$B$138, 0), MATCH(CQ$4&amp;CQ$5, LS_current!$D$2:$AY$2&amp;LS_current!$D$3:$AY$3, 0)),SUM(VLOOKUP($A39, LS_current!$B$4:$AY$138, LS_current!U$148, FALSE), VLOOKUP($A39, LS_current!$B$4:$AY$138,LS_current!U$148, FALSE))/2)</f>
        <v>-1067</v>
      </c>
      <c r="CR39" s="227">
        <f t="array" ref="CR39">IF($BU39=0, INDEX(LS_current!$D$4:$AY$138, MATCH('Staging Table'!$A39, LS_current!$B$4:$B$138, 0), MATCH(CR$4&amp;CR$5, LS_current!$D$2:$AY$2&amp;LS_current!$D$3:$AY$3, 0)),SUM(VLOOKUP($A39, LS_current!$B$4:$AY$138, LS_current!V$148, FALSE), VLOOKUP($A39, LS_current!$B$4:$AY$138,LS_current!V$148, FALSE))/2)</f>
        <v>-829</v>
      </c>
      <c r="CS39" s="227">
        <f t="array" ref="CS39">IF($BU39=0, INDEX(LS_current!$D$4:$AY$138, MATCH('Staging Table'!$A39, LS_current!$B$4:$B$138, 0), MATCH(CS$4&amp;CS$5, LS_current!$D$2:$AY$2&amp;LS_current!$D$3:$AY$3, 0)),SUM(VLOOKUP($A39, LS_current!$B$4:$AY$138, LS_current!W$148, FALSE), VLOOKUP($A39, LS_current!$B$4:$AY$138,LS_current!W$148, FALSE))/2)</f>
        <v>364</v>
      </c>
      <c r="CT39" s="227">
        <f t="array" ref="CT39">IF($BU39=0, INDEX(LS_current!$D$4:$AY$138, MATCH('Staging Table'!$A39, LS_current!$B$4:$B$138, 0), MATCH(CT$4&amp;CT$5, LS_current!$D$2:$AY$2&amp;LS_current!$D$3:$AY$3, 0)),SUM(VLOOKUP($A39, LS_current!$B$4:$AY$138, LS_current!X$148, FALSE), VLOOKUP($A39, LS_current!$B$4:$AY$138,LS_current!X$148, FALSE))/2)</f>
        <v>-827</v>
      </c>
      <c r="CU39" s="227">
        <f t="array" ref="CU39">IF($BU39=0, INDEX(LS_current!$D$4:$AY$138, MATCH('Staging Table'!$A39, LS_current!$B$4:$B$138, 0), MATCH(CU$4&amp;CU$5, LS_current!$D$2:$AY$2&amp;LS_current!$D$3:$AY$3, 0)),SUM(VLOOKUP($A39, LS_current!$B$4:$AY$138, LS_current!Y$148, FALSE), VLOOKUP($A39, LS_current!$B$4:$AY$138,LS_current!Y$148, FALSE))/2)</f>
        <v>77</v>
      </c>
      <c r="CV39" s="227">
        <f t="array" ref="CV39">IF($BU39=0, INDEX(LS_current!$D$4:$AY$138, MATCH('Staging Table'!$A39, LS_current!$B$4:$B$138, 0), MATCH(CV$4&amp;CV$5, LS_current!$D$2:$AY$2&amp;LS_current!$D$3:$AY$3, 0)),SUM(VLOOKUP($A39, LS_current!$B$4:$AY$138, LS_current!Z$148, FALSE), VLOOKUP($A39, LS_current!$B$4:$AY$138,LS_current!Z$148, FALSE))/2)</f>
        <v>-554</v>
      </c>
      <c r="CW39" s="227">
        <f t="array" ref="CW39">IF($BU39=0, INDEX(LS_current!$D$4:$AY$138, MATCH('Staging Table'!$A39, LS_current!$B$4:$B$138, 0), MATCH(CW$4&amp;CW$5, LS_current!$D$2:$AY$2&amp;LS_current!$D$3:$AY$3, 0)),SUM(VLOOKUP($A39, LS_current!$B$4:$AY$138, LS_current!AA$148, FALSE), VLOOKUP($A39, LS_current!$B$4:$AY$138,LS_current!AA$148, FALSE))/2)</f>
        <v>-54</v>
      </c>
      <c r="CX39" s="229">
        <f t="array" ref="CX39">INDEX(Demand_current!$D$4:$AY$138, MATCH($A39, Demand_current!$B$4:$B$138, 0), MATCH(CX$4&amp;CX$5,Demand_current!$D$2:$AY$2&amp;Demand_current!$D$3:$AY$3, 0))/1000</f>
        <v>1.6259999999999999</v>
      </c>
      <c r="CY39" s="229">
        <f t="array" ref="CY39">INDEX(Demand_current!$D$4:$AY$138, MATCH($A39, Demand_current!$B$4:$B$138, 0), MATCH(CY$4&amp;CY$5,Demand_current!$D$2:$AY$2&amp;Demand_current!$D$3:$AY$3, 0))/1000</f>
        <v>2.2879999999999998</v>
      </c>
      <c r="CZ39" s="229">
        <f t="array" ref="CZ39">INDEX(Demand_current!$D$4:$AY$138, MATCH($A39, Demand_current!$B$4:$B$138, 0), MATCH(CZ$4&amp;CZ$5,Demand_current!$D$2:$AY$2&amp;Demand_current!$D$3:$AY$3, 0))/1000</f>
        <v>1.71</v>
      </c>
      <c r="DA39" s="229">
        <f t="array" ref="DA39">INDEX(Demand_current!$D$4:$AY$138, MATCH($A39, Demand_current!$B$4:$B$138, 0), MATCH(DA$4&amp;DA$5,Demand_current!$D$2:$AY$2&amp;Demand_current!$D$3:$AY$3, 0))/1000</f>
        <v>1.8839999999999999</v>
      </c>
      <c r="DB39" s="229">
        <f t="array" ref="DB39">INDEX(Demand_current!$D$4:$AY$138, MATCH($A39, Demand_current!$B$4:$B$138, 0), MATCH(DB$4&amp;DB$5,Demand_current!$D$2:$AY$2&amp;Demand_current!$D$3:$AY$3, 0))/1000</f>
        <v>1.899</v>
      </c>
      <c r="DC39" s="229">
        <f t="array" ref="DC39">INDEX(Demand_current!$D$4:$AY$138, MATCH($A39, Demand_current!$B$4:$B$138, 0), MATCH(DC$4&amp;DC$5,Demand_current!$D$2:$AY$2&amp;Demand_current!$D$3:$AY$3, 0))/1000</f>
        <v>1.1439999999999999</v>
      </c>
      <c r="DD39" s="229">
        <f t="array" ref="DD39">INDEX(Demand_current!$D$4:$AY$138, MATCH($A39, Demand_current!$B$4:$B$138, 0), MATCH(DD$4&amp;DD$5,Demand_current!$D$2:$AY$2&amp;Demand_current!$D$3:$AY$3, 0))/1000</f>
        <v>1.944</v>
      </c>
      <c r="DE39" s="229">
        <f t="array" ref="DE39">INDEX(Demand_current!$D$4:$AY$138, MATCH($A39, Demand_current!$B$4:$B$138, 0), MATCH(DE$4&amp;DE$5,Demand_current!$D$2:$AY$2&amp;Demand_current!$D$3:$AY$3, 0))/1000</f>
        <v>0.745</v>
      </c>
      <c r="DF39" s="229">
        <f t="array" ref="DF39">INDEX(Demand_current!$D$4:$AY$138, MATCH($A39, Demand_current!$B$4:$B$138, 0), MATCH(DF$4&amp;DF$5,Demand_current!$D$2:$AY$2&amp;Demand_current!$D$3:$AY$3, 0))/1000</f>
        <v>2.77</v>
      </c>
      <c r="DG39" s="229">
        <f t="array" ref="DG39">INDEX(Demand_current!$D$4:$AY$138, MATCH($A39, Demand_current!$B$4:$B$138, 0), MATCH(DG$4&amp;DG$5,Demand_current!$D$2:$AY$2&amp;Demand_current!$D$3:$AY$3, 0))/1000</f>
        <v>2.7360000000000002</v>
      </c>
      <c r="DH39" s="229">
        <f t="array" ref="DH39">INDEX(Demand_current!$D$4:$AY$138, MATCH($A39, Demand_current!$B$4:$B$138, 0), MATCH(DH$4&amp;DH$5,Demand_current!$D$2:$AY$2&amp;Demand_current!$D$3:$AY$3, 0))/1000</f>
        <v>2.1680000000000001</v>
      </c>
      <c r="DI39" s="229">
        <f t="array" ref="DI39">INDEX(Demand_current!$D$4:$AY$138, MATCH($A39, Demand_current!$B$4:$B$138, 0), MATCH(DI$4&amp;DI$5,Demand_current!$D$2:$AY$2&amp;Demand_current!$D$3:$AY$3, 0))/1000</f>
        <v>1.464</v>
      </c>
      <c r="DJ39" s="227">
        <f>$BT39*(VLOOKUP(DJ$4, Rates_current!$G$6:$Q$29, 10, FALSE)+VLOOKUP(DJ$4, Rates_current!$G$6:$Q$29, 11, FALSE))</f>
        <v>6160.8863346228</v>
      </c>
      <c r="DK39" s="227">
        <f>$BT39*(VLOOKUP(DK$4, Rates_current!$G$6:$Q$29, 10, FALSE)+VLOOKUP(DK$4, Rates_current!$G$6:$Q$29, 11, FALSE))</f>
        <v>7826.2475707977001</v>
      </c>
      <c r="DL39" s="227">
        <f>$BT39*(VLOOKUP(DL$4, Rates_current!$G$6:$Q$29, 10, FALSE)+VLOOKUP(DL$4, Rates_current!$G$6:$Q$29, 11, FALSE))</f>
        <v>7731.7350415228011</v>
      </c>
      <c r="DM39" s="227">
        <f>$BT39*(VLOOKUP(DM$4, Rates_current!$G$6:$Q$29, 10, FALSE)+VLOOKUP(DM$4, Rates_current!$G$6:$Q$29, 11, FALSE))</f>
        <v>6444.8720751228011</v>
      </c>
      <c r="DN39" s="227">
        <f>$BT39*(VLOOKUP(DN$4, Rates_current!$G$6:$Q$29, 10, FALSE)+VLOOKUP(DN$4, Rates_current!$G$6:$Q$29, 11, FALSE))</f>
        <v>5838.3854962400001</v>
      </c>
      <c r="DO39" s="227">
        <f>$BT39*(VLOOKUP(DO$4, Rates_current!$G$6:$Q$29, 10, FALSE)+VLOOKUP(DO$4, Rates_current!$G$6:$Q$29, 11, FALSE))</f>
        <v>6494.1394227391002</v>
      </c>
      <c r="DP39" s="227">
        <f>$BT39*(VLOOKUP(DP$4, Rates_current!$G$6:$Q$29, 10, FALSE)+VLOOKUP(DP$4, Rates_current!$G$6:$Q$29, 11, FALSE))</f>
        <v>5287.5353258640007</v>
      </c>
      <c r="DQ39" s="227">
        <f>$BT39*(VLOOKUP(DQ$4, Rates_current!$G$6:$Q$29, 10, FALSE)+VLOOKUP(DQ$4, Rates_current!$G$6:$Q$29, 11, FALSE))</f>
        <v>7131.0298457728013</v>
      </c>
      <c r="DR39" s="227">
        <f>$BT39*(VLOOKUP(DR$4, Rates_current!$G$6:$Q$29, 10, FALSE)+VLOOKUP(DR$4, Rates_current!$G$6:$Q$29, 11, FALSE))</f>
        <v>9098.7090917140013</v>
      </c>
      <c r="DS39" s="227">
        <f>$BT39*(VLOOKUP(DS$4, Rates_current!$G$6:$Q$29, 10, FALSE)+VLOOKUP(DS$4, Rates_current!$G$6:$Q$29, 11, FALSE))</f>
        <v>7133.6764298228009</v>
      </c>
      <c r="DT39" s="227">
        <f>$BT39*(VLOOKUP(DT$4, Rates_current!$G$6:$Q$29, 10, FALSE)+VLOOKUP(DT$4, Rates_current!$G$6:$Q$29, 11, FALSE))</f>
        <v>6946.7803616728006</v>
      </c>
      <c r="DU39" s="227">
        <f>$BT39*(VLOOKUP(DU$4, Rates_current!$G$6:$Q$29, 10, FALSE)+VLOOKUP(DU$4, Rates_current!$G$6:$Q$29, 11, FALSE))</f>
        <v>6236.7309941640005</v>
      </c>
      <c r="DV39" s="229">
        <f>IF(D39=0,IF(C39=0,MAX(0,DY39 - (VLOOKUP($A39,TOCA_current!$A$2:$AI$137,MATCH("RHWM 2020",TOCA_current!$A$2:$AI$2,0),FALSE)*$BT$2)), 0),0)</f>
        <v>2064.2990802943968</v>
      </c>
      <c r="DW39" s="266">
        <f>VLOOKUP($A39,REP_current!$A$1:$D$135,MATCH("FY "&amp;$BT$1&amp; " Total Refund",REP_current!$A$1:$D$1,0),0)</f>
        <v>0</v>
      </c>
      <c r="DX39" s="295">
        <f>MIN(VLOOKUP($A39,TOCA_current!$A$2:$AI$137,MATCH("TRL - NLSL - Existing Resource "&amp;$BT$1,TOCA_current!$A$2:$AI$2,0),FALSE)*$BT$2, VLOOKUP($A39,TOCA_current!$A$2:$AI$137,MATCH("RHWM 2020",TOCA_current!$A$2:$AI$2,0),FALSE)*$BT$2)</f>
        <v>82332.432000000001</v>
      </c>
      <c r="DY39" s="240">
        <f>SUM(BZ39:CW39)+(BT39*RT1SC!$C$4*$BT$2)</f>
        <v>84396.731080294398</v>
      </c>
      <c r="DZ39" s="271">
        <f>VLOOKUP($A39,TOCA_current!$A$2:$AI$137,MATCH("Above RHWM Not Served with LS "&amp;$BT$1,TOCA_current!$A$2:$AI$2,0),FALSE)*$BT$2</f>
        <v>0</v>
      </c>
      <c r="EA39" s="244">
        <f t="shared" si="13"/>
        <v>2064.2990802943968</v>
      </c>
      <c r="EB39" s="295">
        <f>(VLOOKUP($A39,TOCA_current!$A$2:$AI$137,MATCH("RHWM 2020",TOCA_current!$A$2:$AI$2,0),FALSE)*$BT$2) - $DX39</f>
        <v>0</v>
      </c>
      <c r="EC39" s="240">
        <f t="shared" si="14"/>
        <v>0</v>
      </c>
      <c r="ED39" s="240">
        <f t="shared" si="15"/>
        <v>0</v>
      </c>
      <c r="EE39" s="240">
        <f t="shared" si="16"/>
        <v>0</v>
      </c>
      <c r="EF39" s="240">
        <f t="shared" si="17"/>
        <v>0</v>
      </c>
    </row>
    <row r="40" spans="1:136">
      <c r="A40" s="166">
        <v>10094</v>
      </c>
      <c r="B40" s="167" t="s">
        <v>41</v>
      </c>
      <c r="C40" s="240">
        <v>0</v>
      </c>
      <c r="D40" s="240">
        <v>0</v>
      </c>
      <c r="E40" s="150">
        <f>VLOOKUP($A40,TOCA_previous!$A$2:$AI$137,MATCH(E$4,TOCA_previous!$A$2:$AI$2,0),FALSE)</f>
        <v>4.3019999999999999E-4</v>
      </c>
      <c r="F40" s="151">
        <f>VLOOKUP($A40,TOCA_previous!$A$2:$AI$137,MATCH(F$4,TOCA_previous!$A$2:$AI$2,0),FALSE)</f>
        <v>4.3019999999999999E-4</v>
      </c>
      <c r="G40" s="151">
        <f t="shared" si="2"/>
        <v>0</v>
      </c>
      <c r="H40" s="151">
        <f>VLOOKUP($A40,TOCA_previous!$A$2:$AI$137,MATCH(H$4,TOCA_previous!$A$2:$AI$2,0),FALSE)</f>
        <v>0</v>
      </c>
      <c r="I40" s="151">
        <f t="shared" si="3"/>
        <v>0</v>
      </c>
      <c r="J40" s="151">
        <f t="shared" si="4"/>
        <v>0</v>
      </c>
      <c r="K40" s="226">
        <f>VLOOKUP(A40, IRD!$A$5:$C$139, 3, FALSE)</f>
        <v>0</v>
      </c>
      <c r="L40" s="227">
        <f t="array" ref="L40">IF($G40=0, INDEX(LS_previous!$D$4:$AY$138, MATCH('Staging Table'!$A40, LS_previous!$B$4:$B$138, 0), MATCH(L$4&amp;L$5, LS_previous!$D$2:$AY$2&amp;LS_previous!$D$3:$AY$3, 0)),SUM(VLOOKUP($A40, LS_previous!$B$4:$AY$138, LS_previous!D$149, FALSE), VLOOKUP('Staging Table'!$A40, LS_previous!$B$4:$AY$138,LS_previous!AB$149, FALSE))/2)</f>
        <v>37</v>
      </c>
      <c r="M40" s="227">
        <f t="array" ref="M40">IF($G40=0, INDEX(LS_previous!$D$4:$AY$138, MATCH('Staging Table'!$A40, LS_previous!$B$4:$B$138, 0), MATCH(M$4&amp;M$5, LS_previous!$D$2:$AY$2&amp;LS_previous!$D$3:$AY$3, 0)),SUM(VLOOKUP($A40, LS_previous!$B$4:$AY$138, LS_previous!E$149, FALSE), VLOOKUP('Staging Table'!$A40, LS_previous!$B$4:$AY$138,LS_previous!AC$149, FALSE))/2)</f>
        <v>80</v>
      </c>
      <c r="N40" s="227">
        <f t="array" ref="N40">IF($G40=0, INDEX(LS_previous!$D$4:$AY$138, MATCH('Staging Table'!$A40, LS_previous!$B$4:$B$138, 0), MATCH(N$4&amp;N$5, LS_previous!$D$2:$AY$2&amp;LS_previous!$D$3:$AY$3, 0)),SUM(VLOOKUP($A40, LS_previous!$B$4:$AY$138, LS_previous!F$149, FALSE), VLOOKUP('Staging Table'!$A40, LS_previous!$B$4:$AY$138,LS_previous!AD$149, FALSE))/2)</f>
        <v>-155</v>
      </c>
      <c r="O40" s="227">
        <f t="array" ref="O40">IF($G40=0, INDEX(LS_previous!$D$4:$AY$138, MATCH('Staging Table'!$A40, LS_previous!$B$4:$B$138, 0), MATCH(O$4&amp;O$5, LS_previous!$D$2:$AY$2&amp;LS_previous!$D$3:$AY$3, 0)),SUM(VLOOKUP($A40, LS_previous!$B$4:$AY$138, LS_previous!G$149, FALSE), VLOOKUP('Staging Table'!$A40, LS_previous!$B$4:$AY$138,LS_previous!AE$149, FALSE))/2)</f>
        <v>16</v>
      </c>
      <c r="P40" s="227">
        <f t="array" ref="P40">IF($G40=0, INDEX(LS_previous!$D$4:$AY$138, MATCH('Staging Table'!$A40, LS_previous!$B$4:$B$138, 0), MATCH(P$4&amp;P$5, LS_previous!$D$2:$AY$2&amp;LS_previous!$D$3:$AY$3, 0)),SUM(VLOOKUP($A40, LS_previous!$B$4:$AY$138, LS_previous!H$149, FALSE), VLOOKUP('Staging Table'!$A40, LS_previous!$B$4:$AY$138,LS_previous!AF$149, FALSE))/2)</f>
        <v>137</v>
      </c>
      <c r="Q40" s="227">
        <f t="array" ref="Q40">IF($G40=0, INDEX(LS_previous!$D$4:$AY$138, MATCH('Staging Table'!$A40, LS_previous!$B$4:$B$138, 0), MATCH(Q$4&amp;Q$5, LS_previous!$D$2:$AY$2&amp;LS_previous!$D$3:$AY$3, 0)),SUM(VLOOKUP($A40, LS_previous!$B$4:$AY$138, LS_previous!I$149, FALSE), VLOOKUP('Staging Table'!$A40, LS_previous!$B$4:$AY$138,LS_previous!AG$149, FALSE))/2)</f>
        <v>166</v>
      </c>
      <c r="R40" s="227">
        <f t="array" ref="R40">IF($G40=0, INDEX(LS_previous!$D$4:$AY$138, MATCH('Staging Table'!$A40, LS_previous!$B$4:$B$138, 0), MATCH(R$4&amp;R$5, LS_previous!$D$2:$AY$2&amp;LS_previous!$D$3:$AY$3, 0)),SUM(VLOOKUP($A40, LS_previous!$B$4:$AY$138, LS_previous!J$149, FALSE), VLOOKUP('Staging Table'!$A40, LS_previous!$B$4:$AY$138,LS_previous!AH$149, FALSE))/2)</f>
        <v>373</v>
      </c>
      <c r="S40" s="227">
        <f t="array" ref="S40">IF($G40=0, INDEX(LS_previous!$D$4:$AY$138, MATCH('Staging Table'!$A40, LS_previous!$B$4:$B$138, 0), MATCH(S$4&amp;S$5, LS_previous!$D$2:$AY$2&amp;LS_previous!$D$3:$AY$3, 0)),SUM(VLOOKUP($A40, LS_previous!$B$4:$AY$138, LS_previous!K$149, FALSE), VLOOKUP('Staging Table'!$A40, LS_previous!$B$4:$AY$138,LS_previous!AI$149, FALSE))/2)</f>
        <v>304</v>
      </c>
      <c r="T40" s="227">
        <f t="array" ref="T40">IF($G40=0, INDEX(LS_previous!$D$4:$AY$138, MATCH('Staging Table'!$A40, LS_previous!$B$4:$B$138, 0), MATCH(T$4&amp;T$5, LS_previous!$D$2:$AY$2&amp;LS_previous!$D$3:$AY$3, 0)),SUM(VLOOKUP($A40, LS_previous!$B$4:$AY$138, LS_previous!L$149, FALSE), VLOOKUP('Staging Table'!$A40, LS_previous!$B$4:$AY$138,LS_previous!AJ$149, FALSE))/2)</f>
        <v>404</v>
      </c>
      <c r="U40" s="227">
        <f t="array" ref="U40">IF($G40=0, INDEX(LS_previous!$D$4:$AY$138, MATCH('Staging Table'!$A40, LS_previous!$B$4:$B$138, 0), MATCH(U$4&amp;U$5, LS_previous!$D$2:$AY$2&amp;LS_previous!$D$3:$AY$3, 0)),SUM(VLOOKUP($A40, LS_previous!$B$4:$AY$138, LS_previous!M$149, FALSE), VLOOKUP('Staging Table'!$A40, LS_previous!$B$4:$AY$138,LS_previous!AK$149, FALSE))/2)</f>
        <v>297</v>
      </c>
      <c r="V40" s="227">
        <f t="array" ref="V40">IF($G40=0, INDEX(LS_previous!$D$4:$AY$138, MATCH('Staging Table'!$A40, LS_previous!$B$4:$B$138, 0), MATCH(V$4&amp;V$5, LS_previous!$D$2:$AY$2&amp;LS_previous!$D$3:$AY$3, 0)),SUM(VLOOKUP($A40, LS_previous!$B$4:$AY$138, LS_previous!N$149, FALSE), VLOOKUP('Staging Table'!$A40, LS_previous!$B$4:$AY$138,LS_previous!AL$149, FALSE))/2)</f>
        <v>200</v>
      </c>
      <c r="W40" s="227">
        <f t="array" ref="W40">IF($G40=0, INDEX(LS_previous!$D$4:$AY$138, MATCH('Staging Table'!$A40, LS_previous!$B$4:$B$138, 0), MATCH(W$4&amp;W$5, LS_previous!$D$2:$AY$2&amp;LS_previous!$D$3:$AY$3, 0)),SUM(VLOOKUP($A40, LS_previous!$B$4:$AY$138, LS_previous!O$149, FALSE), VLOOKUP('Staging Table'!$A40, LS_previous!$B$4:$AY$138,LS_previous!AM$149, FALSE))/2)</f>
        <v>159</v>
      </c>
      <c r="X40" s="227">
        <f t="array" ref="X40">IF($G40=0, INDEX(LS_previous!$D$4:$AY$138, MATCH('Staging Table'!$A40, LS_previous!$B$4:$B$138, 0), MATCH(X$4&amp;X$5, LS_previous!$D$2:$AY$2&amp;LS_previous!$D$3:$AY$3, 0)),SUM(VLOOKUP($A40, LS_previous!$B$4:$AY$138, LS_previous!P$149, FALSE), VLOOKUP('Staging Table'!$A40, LS_previous!$B$4:$AY$138,LS_previous!AN$149, FALSE))/2)</f>
        <v>92</v>
      </c>
      <c r="Y40" s="227">
        <f t="array" ref="Y40">IF($G40=0, INDEX(LS_previous!$D$4:$AY$138, MATCH('Staging Table'!$A40, LS_previous!$B$4:$B$138, 0), MATCH(Y$4&amp;Y$5, LS_previous!$D$2:$AY$2&amp;LS_previous!$D$3:$AY$3, 0)),SUM(VLOOKUP($A40, LS_previous!$B$4:$AY$138, LS_previous!Q$149, FALSE), VLOOKUP('Staging Table'!$A40, LS_previous!$B$4:$AY$138,LS_previous!AO$149, FALSE))/2)</f>
        <v>125</v>
      </c>
      <c r="Z40" s="227">
        <f t="array" ref="Z40">IF($G40=0, INDEX(LS_previous!$D$4:$AY$138, MATCH('Staging Table'!$A40, LS_previous!$B$4:$B$138, 0), MATCH(Z$4&amp;Z$5, LS_previous!$D$2:$AY$2&amp;LS_previous!$D$3:$AY$3, 0)),SUM(VLOOKUP($A40, LS_previous!$B$4:$AY$138, LS_previous!R$149, FALSE), VLOOKUP('Staging Table'!$A40, LS_previous!$B$4:$AY$138,LS_previous!AP$149, FALSE))/2)</f>
        <v>-639</v>
      </c>
      <c r="AA40" s="227">
        <f t="array" ref="AA40">IF($G40=0, INDEX(LS_previous!$D$4:$AY$138, MATCH('Staging Table'!$A40, LS_previous!$B$4:$B$138, 0), MATCH(AA$4&amp;AA$5, LS_previous!$D$2:$AY$2&amp;LS_previous!$D$3:$AY$3, 0)),SUM(VLOOKUP($A40, LS_previous!$B$4:$AY$138, LS_previous!S$149, FALSE), VLOOKUP('Staging Table'!$A40, LS_previous!$B$4:$AY$138,LS_previous!AQ$149, FALSE))/2)</f>
        <v>-277</v>
      </c>
      <c r="AB40" s="227">
        <f t="array" ref="AB40">IF($G40=0, INDEX(LS_previous!$D$4:$AY$138, MATCH('Staging Table'!$A40, LS_previous!$B$4:$B$138, 0), MATCH(AB$4&amp;AB$5, LS_previous!$D$2:$AY$2&amp;LS_previous!$D$3:$AY$3, 0)),SUM(VLOOKUP($A40, LS_previous!$B$4:$AY$138, LS_previous!T$149, FALSE), VLOOKUP('Staging Table'!$A40, LS_previous!$B$4:$AY$138,LS_previous!AR$149, FALSE))/2)</f>
        <v>-360</v>
      </c>
      <c r="AC40" s="227">
        <f t="array" ref="AC40">IF($G40=0, INDEX(LS_previous!$D$4:$AY$138, MATCH('Staging Table'!$A40, LS_previous!$B$4:$B$138, 0), MATCH(AC$4&amp;AC$5, LS_previous!$D$2:$AY$2&amp;LS_previous!$D$3:$AY$3, 0)),SUM(VLOOKUP($A40, LS_previous!$B$4:$AY$138, LS_previous!U$149, FALSE), VLOOKUP('Staging Table'!$A40, LS_previous!$B$4:$AY$138,LS_previous!AS$149, FALSE))/2)</f>
        <v>-151</v>
      </c>
      <c r="AD40" s="227">
        <f t="array" ref="AD40">IF($G40=0, INDEX(LS_previous!$D$4:$AY$138, MATCH('Staging Table'!$A40, LS_previous!$B$4:$B$138, 0), MATCH(AD$4&amp;AD$5, LS_previous!$D$2:$AY$2&amp;LS_previous!$D$3:$AY$3, 0)),SUM(VLOOKUP($A40, LS_previous!$B$4:$AY$138, LS_previous!V$149, FALSE), VLOOKUP('Staging Table'!$A40, LS_previous!$B$4:$AY$138,LS_previous!AT$149, FALSE))/2)</f>
        <v>-98</v>
      </c>
      <c r="AE40" s="227">
        <f t="array" ref="AE40">IF($G40=0, INDEX(LS_previous!$D$4:$AY$138, MATCH('Staging Table'!$A40, LS_previous!$B$4:$B$138, 0), MATCH(AE$4&amp;AE$5, LS_previous!$D$2:$AY$2&amp;LS_previous!$D$3:$AY$3, 0)),SUM(VLOOKUP($A40, LS_previous!$B$4:$AY$138, LS_previous!W$149, FALSE), VLOOKUP('Staging Table'!$A40, LS_previous!$B$4:$AY$138,LS_previous!AU$149, FALSE))/2)</f>
        <v>40</v>
      </c>
      <c r="AF40" s="227">
        <f t="array" ref="AF40">IF($G40=0, INDEX(LS_previous!$D$4:$AY$138, MATCH('Staging Table'!$A40, LS_previous!$B$4:$B$138, 0), MATCH(AF$4&amp;AF$5, LS_previous!$D$2:$AY$2&amp;LS_previous!$D$3:$AY$3, 0)),SUM(VLOOKUP($A40, LS_previous!$B$4:$AY$138, LS_previous!X$149, FALSE), VLOOKUP('Staging Table'!$A40, LS_previous!$B$4:$AY$138,LS_previous!AV$149, FALSE))/2)</f>
        <v>-194</v>
      </c>
      <c r="AG40" s="227">
        <f t="array" ref="AG40">IF($G40=0, INDEX(LS_previous!$D$4:$AY$138, MATCH('Staging Table'!$A40, LS_previous!$B$4:$B$138, 0), MATCH(AG$4&amp;AG$5, LS_previous!$D$2:$AY$2&amp;LS_previous!$D$3:$AY$3, 0)),SUM(VLOOKUP($A40, LS_previous!$B$4:$AY$138, LS_previous!Y$149, FALSE), VLOOKUP('Staging Table'!$A40, LS_previous!$B$4:$AY$138,LS_previous!AW$149, FALSE))/2)</f>
        <v>-29</v>
      </c>
      <c r="AH40" s="227">
        <f t="array" ref="AH40">IF($G40=0, INDEX(LS_previous!$D$4:$AY$138, MATCH('Staging Table'!$A40, LS_previous!$B$4:$B$138, 0), MATCH(AH$4&amp;AH$5, LS_previous!$D$2:$AY$2&amp;LS_previous!$D$3:$AY$3, 0)),SUM(VLOOKUP($A40, LS_previous!$B$4:$AY$138, LS_previous!Z$149, FALSE), VLOOKUP('Staging Table'!$A40, LS_previous!$B$4:$AY$138,LS_previous!AX$149, FALSE))/2)</f>
        <v>-79</v>
      </c>
      <c r="AI40" s="227">
        <f t="array" ref="AI40">IF($G40=0, INDEX(LS_previous!$D$4:$AY$138, MATCH('Staging Table'!$A40, LS_previous!$B$4:$B$138, 0), MATCH(AI$4&amp;AI$5, LS_previous!$D$2:$AY$2&amp;LS_previous!$D$3:$AY$3, 0)),SUM(VLOOKUP($A40, LS_previous!$B$4:$AY$138, LS_previous!AA$149, FALSE), VLOOKUP('Staging Table'!$A40, LS_previous!$B$4:$AY$138,LS_previous!AY$149, FALSE))/2)</f>
        <v>19</v>
      </c>
      <c r="AJ40" s="424">
        <f t="array" ref="AJ40">INDEX(Demand_previous!$D$4:$AY$138, MATCH('Staging Table'!$A40, Demand_previous!$B$4:$B$138, 0), MATCH(AJ$4&amp;AJ$5,Demand_previous!$D$2:$AY$2&amp;Demand_previous!$D$3:$AY$3, 0))/1000</f>
        <v>0.45500000000000002</v>
      </c>
      <c r="AK40" s="424">
        <f t="array" ref="AK40">INDEX(Demand_previous!$D$4:$AY$138, MATCH('Staging Table'!$A40, Demand_previous!$B$4:$B$138, 0), MATCH(AK$4&amp;AK$5,Demand_previous!$D$2:$AY$2&amp;Demand_previous!$D$3:$AY$3, 0))/1000</f>
        <v>0.253</v>
      </c>
      <c r="AL40" s="424">
        <f t="array" ref="AL40">INDEX(Demand_previous!$D$4:$AY$138, MATCH('Staging Table'!$A40, Demand_previous!$B$4:$B$138, 0), MATCH(AL$4&amp;AL$5,Demand_previous!$D$2:$AY$2&amp;Demand_previous!$D$3:$AY$3, 0))/1000</f>
        <v>0.3</v>
      </c>
      <c r="AM40" s="424">
        <f t="array" ref="AM40">INDEX(Demand_previous!$D$4:$AY$138, MATCH('Staging Table'!$A40, Demand_previous!$B$4:$B$138, 0), MATCH(AM$4&amp;AM$5,Demand_previous!$D$2:$AY$2&amp;Demand_previous!$D$3:$AY$3, 0))/1000</f>
        <v>0.63</v>
      </c>
      <c r="AN40" s="424">
        <f t="array" ref="AN40">INDEX(Demand_previous!$D$4:$AY$138, MATCH('Staging Table'!$A40, Demand_previous!$B$4:$B$138, 0), MATCH(AN$4&amp;AN$5,Demand_previous!$D$2:$AY$2&amp;Demand_previous!$D$3:$AY$3, 0))/1000</f>
        <v>0.312</v>
      </c>
      <c r="AO40" s="424">
        <f t="array" ref="AO40">INDEX(Demand_previous!$D$4:$AY$138, MATCH('Staging Table'!$A40, Demand_previous!$B$4:$B$138, 0), MATCH(AO$4&amp;AO$5,Demand_previous!$D$2:$AY$2&amp;Demand_previous!$D$3:$AY$3, 0))/1000</f>
        <v>0.61</v>
      </c>
      <c r="AP40" s="424">
        <f t="array" ref="AP40">INDEX(Demand_previous!$D$4:$AY$138, MATCH('Staging Table'!$A40, Demand_previous!$B$4:$B$138, 0), MATCH(AP$4&amp;AP$5,Demand_previous!$D$2:$AY$2&amp;Demand_previous!$D$3:$AY$3, 0))/1000</f>
        <v>0.433</v>
      </c>
      <c r="AQ40" s="424">
        <f t="array" ref="AQ40">INDEX(Demand_previous!$D$4:$AY$138, MATCH('Staging Table'!$A40, Demand_previous!$B$4:$B$138, 0), MATCH(AQ$4&amp;AQ$5,Demand_previous!$D$2:$AY$2&amp;Demand_previous!$D$3:$AY$3, 0))/1000</f>
        <v>0.49399999999999999</v>
      </c>
      <c r="AR40" s="424">
        <f t="array" ref="AR40">INDEX(Demand_previous!$D$4:$AY$138, MATCH('Staging Table'!$A40, Demand_previous!$B$4:$B$138, 0), MATCH(AR$4&amp;AR$5,Demand_previous!$D$2:$AY$2&amp;Demand_previous!$D$3:$AY$3, 0))/1000</f>
        <v>0.46300000000000002</v>
      </c>
      <c r="AS40" s="424">
        <f t="array" ref="AS40">INDEX(Demand_previous!$D$4:$AY$138, MATCH('Staging Table'!$A40, Demand_previous!$B$4:$B$138, 0), MATCH(AS$4&amp;AS$5,Demand_previous!$D$2:$AY$2&amp;Demand_previous!$D$3:$AY$3, 0))/1000</f>
        <v>0.496</v>
      </c>
      <c r="AT40" s="424">
        <f t="array" ref="AT40">INDEX(Demand_previous!$D$4:$AY$138, MATCH('Staging Table'!$A40, Demand_previous!$B$4:$B$138, 0), MATCH(AT$4&amp;AT$5,Demand_previous!$D$2:$AY$2&amp;Demand_previous!$D$3:$AY$3, 0))/1000</f>
        <v>0.53800000000000003</v>
      </c>
      <c r="AU40" s="424">
        <f t="array" ref="AU40">INDEX(Demand_previous!$D$4:$AY$138, MATCH('Staging Table'!$A40, Demand_previous!$B$4:$B$138, 0), MATCH(AU$4&amp;AU$5,Demand_previous!$D$2:$AY$2&amp;Demand_previous!$D$3:$AY$3, 0))/1000</f>
        <v>0.32300000000000001</v>
      </c>
      <c r="AV40" s="227">
        <f>$F40*(VLOOKUP(AV$4, Rates_previous!$G$6:$Q$29, 10, FALSE)+VLOOKUP(AV$4, Rates_previous!$G$6:$Q$29, 11, FALSE))</f>
        <v>2017.1380053799628</v>
      </c>
      <c r="AW40" s="227">
        <f>$F40*(VLOOKUP(AW$4, Rates_previous!$G$6:$Q$29, 10, FALSE)+VLOOKUP(AW$4, Rates_previous!$G$6:$Q$29, 11, FALSE))</f>
        <v>2493.029264036476</v>
      </c>
      <c r="AX40" s="227">
        <f>$F40*(VLOOKUP(AX$4, Rates_previous!$G$6:$Q$29, 10, FALSE)+VLOOKUP(AX$4, Rates_previous!$G$6:$Q$29, 11, FALSE))</f>
        <v>2463.0909643824252</v>
      </c>
      <c r="AY40" s="227">
        <f>$F40*(VLOOKUP(AY$4, Rates_previous!$G$6:$Q$29, 10, FALSE)+VLOOKUP(AY$4, Rates_previous!$G$6:$Q$29, 11, FALSE))</f>
        <v>2104.476457721832</v>
      </c>
      <c r="AZ40" s="227">
        <f>$F40*(VLOOKUP(AZ$4, Rates_previous!$G$6:$Q$29, 10, FALSE)+VLOOKUP(AZ$4, Rates_previous!$G$6:$Q$29, 11, FALSE))</f>
        <v>1725.262487617636</v>
      </c>
      <c r="BA40" s="227">
        <f>$F40*(VLOOKUP(BA$4, Rates_previous!$G$6:$Q$29, 10, FALSE)+VLOOKUP(BA$4, Rates_previous!$G$6:$Q$29, 11, FALSE))</f>
        <v>2042.6481179898462</v>
      </c>
      <c r="BB40" s="227">
        <f>$F40*(VLOOKUP(BB$4, Rates_previous!$G$6:$Q$29, 10, FALSE)+VLOOKUP(BB$4, Rates_previous!$G$6:$Q$29, 11, FALSE))</f>
        <v>1963.2819626840446</v>
      </c>
      <c r="BC40" s="227">
        <f>$F40*(VLOOKUP(BC$4, Rates_previous!$G$6:$Q$29, 10, FALSE)+VLOOKUP(BC$4, Rates_previous!$G$6:$Q$29, 11, FALSE))</f>
        <v>2880.9773530130124</v>
      </c>
      <c r="BD40" s="227">
        <f>$F40*(VLOOKUP(BD$4, Rates_previous!$G$6:$Q$29, 10, FALSE)+VLOOKUP(BD$4, Rates_previous!$G$6:$Q$29, 11, FALSE))</f>
        <v>2273.0149863676547</v>
      </c>
      <c r="BE40" s="227">
        <f>$F40*(VLOOKUP(BE$4, Rates_previous!$G$6:$Q$29, 10, FALSE)+VLOOKUP(BE$4, Rates_previous!$G$6:$Q$29, 11, FALSE))</f>
        <v>1995.8979447489683</v>
      </c>
      <c r="BF40" s="227">
        <f>$F40*(VLOOKUP(BF$4, Rates_previous!$G$6:$Q$29, 10, FALSE)+VLOOKUP(BF$4, Rates_previous!$G$6:$Q$29, 11, FALSE))</f>
        <v>2210.5368650392147</v>
      </c>
      <c r="BG40" s="227">
        <f>$F40*(VLOOKUP(BG$4, Rates_previous!$G$6:$Q$29, 10, FALSE)+VLOOKUP(BG$4, Rates_previous!$G$6:$Q$29, 11, FALSE))</f>
        <v>2002.6584921839046</v>
      </c>
      <c r="BH40" s="229">
        <f>IF($D40=0,IF(C40=0, MAX(BK40 - (VLOOKUP($A40,TOCA_previous!$A$2:$AI$137,MATCH("RHWM 2018",TOCA_previous!$A$2:$AI$2,0),FALSE)*$F$2*TOCA_previous!C37),0),0), 0)</f>
        <v>464.13328299199566</v>
      </c>
      <c r="BI40" s="266">
        <f>VLOOKUP($A40,REP_previous!$A$1:$D$135,MATCH("FY "&amp;$F$1&amp; " Total Refund",REP_previous!$A$1:$D$1,0),0)</f>
        <v>17064.887442487019</v>
      </c>
      <c r="BJ40" s="241">
        <f>MIN(VLOOKUP($A40,TOCA_previous!$A$2:$AI$137,MATCH("TRL - NLSL - Existing Resource "&amp;$F$1,TOCA_previous!$A$2:$AI$2,0),FALSE)*$F$2,(VLOOKUP($A40,TOCA_previous!$A$2:$AI$137,MATCH("RHWM 2018",TOCA_previous!$A$2:$AI$2,0),FALSE)*$F$2))</f>
        <v>26174.880000000001</v>
      </c>
      <c r="BK40" s="229">
        <f>SUM(L40:AI40)+(F40*RT1SC!$C$3*$F$2)</f>
        <v>26639.013282991997</v>
      </c>
      <c r="BL40" s="241">
        <f>VLOOKUP($A40,TOCA_previous!$A$2:$AI$137,MATCH("Above RHWM Not Served with LS "&amp;$F$1,TOCA_previous!$A$2:$AI$2,0),FALSE)*$F$2</f>
        <v>0</v>
      </c>
      <c r="BM40" s="151">
        <f t="shared" si="5"/>
        <v>464.13328299199566</v>
      </c>
      <c r="BN40" s="242">
        <f>(VLOOKUP($A40,TOCA_previous!$A$2:$AI$137,MATCH("RHWM 2018",TOCA_previous!$A$2:$AI$2,0),FALSE)*$F$2) - $BJ40</f>
        <v>0</v>
      </c>
      <c r="BO40" s="151">
        <f t="shared" si="6"/>
        <v>0</v>
      </c>
      <c r="BP40" s="243">
        <f t="shared" si="7"/>
        <v>0</v>
      </c>
      <c r="BQ40" s="237">
        <f t="shared" si="8"/>
        <v>0</v>
      </c>
      <c r="BR40" s="242">
        <f t="shared" si="9"/>
        <v>0</v>
      </c>
      <c r="BS40" s="151">
        <f>VLOOKUP($A40,TOCA_current!$A$2:$AI$137,MATCH(BS$4,TOCA_current!$A$2:$AI$2,0),FALSE)</f>
        <v>4.3009999999999999E-4</v>
      </c>
      <c r="BT40" s="151">
        <f>VLOOKUP($A40,TOCA_current!$A$2:$AI$137,MATCH(BT$4,TOCA_current!$A$2:$AI$2,0),FALSE)</f>
        <v>4.3009999999999999E-4</v>
      </c>
      <c r="BU40" s="236">
        <f t="shared" si="10"/>
        <v>0</v>
      </c>
      <c r="BV40" s="151">
        <f>VLOOKUP($A40,TOCA_current!A36:BG171,MATCH(BV$4,TOCA_current!$A$2:$BG$2,0),FALSE)</f>
        <v>0</v>
      </c>
      <c r="BW40" s="151">
        <f t="shared" si="11"/>
        <v>0</v>
      </c>
      <c r="BX40" s="151">
        <f t="shared" si="12"/>
        <v>0</v>
      </c>
      <c r="BY40" s="226">
        <f>VLOOKUP($A40,IRD!$A$4:$G$139, 7, FALSE)</f>
        <v>0</v>
      </c>
      <c r="BZ40" s="227">
        <f t="array" ref="BZ40">IF($BU40=0, INDEX(LS_current!$D$4:$AY$138, MATCH('Staging Table'!$A40, LS_current!$B$4:$B$138, 0), MATCH(BZ$4&amp;BZ$5, LS_current!$D$2:$AY$2&amp;LS_current!$D$3:$AY$3, 0)),SUM(VLOOKUP($A40, LS_current!$B$4:$AY$138, LS_current!D$148, FALSE), VLOOKUP($A40, LS_current!$B$4:$AY$138,LS_current!D$148, FALSE))/2)</f>
        <v>54</v>
      </c>
      <c r="CA40" s="227">
        <f t="array" ref="CA40">IF($BU40=0, INDEX(LS_current!$D$4:$AY$138, MATCH('Staging Table'!$A40, LS_current!$B$4:$B$138, 0), MATCH(CA$4&amp;CA$5, LS_current!$D$2:$AY$2&amp;LS_current!$D$3:$AY$3, 0)),SUM(VLOOKUP($A40, LS_current!$B$4:$AY$138, LS_current!E$148, FALSE), VLOOKUP($A40, LS_current!$B$4:$AY$138,LS_current!E$148, FALSE))/2)</f>
        <v>94</v>
      </c>
      <c r="CB40" s="227">
        <f t="array" ref="CB40">IF($BU40=0, INDEX(LS_current!$D$4:$AY$138, MATCH('Staging Table'!$A40, LS_current!$B$4:$B$138, 0), MATCH(CB$4&amp;CB$5, LS_current!$D$2:$AY$2&amp;LS_current!$D$3:$AY$3, 0)),SUM(VLOOKUP($A40, LS_current!$B$4:$AY$138, LS_current!F$148, FALSE), VLOOKUP($A40, LS_current!$B$4:$AY$138,LS_current!F$148, FALSE))/2)</f>
        <v>-166</v>
      </c>
      <c r="CC40" s="227">
        <f t="array" ref="CC40">IF($BU40=0, INDEX(LS_current!$D$4:$AY$138, MATCH('Staging Table'!$A40, LS_current!$B$4:$B$138, 0), MATCH(CC$4&amp;CC$5, LS_current!$D$2:$AY$2&amp;LS_current!$D$3:$AY$3, 0)),SUM(VLOOKUP($A40, LS_current!$B$4:$AY$138, LS_current!G$148, FALSE), VLOOKUP($A40, LS_current!$B$4:$AY$138,LS_current!G$148, FALSE))/2)</f>
        <v>-3</v>
      </c>
      <c r="CD40" s="227">
        <f t="array" ref="CD40">IF($BU40=0, INDEX(LS_current!$D$4:$AY$138, MATCH('Staging Table'!$A40, LS_current!$B$4:$B$138, 0), MATCH(CD$4&amp;CD$5, LS_current!$D$2:$AY$2&amp;LS_current!$D$3:$AY$3, 0)),SUM(VLOOKUP($A40, LS_current!$B$4:$AY$138, LS_current!H$148, FALSE), VLOOKUP($A40, LS_current!$B$4:$AY$138,LS_current!H$148, FALSE))/2)</f>
        <v>124</v>
      </c>
      <c r="CE40" s="227">
        <f t="array" ref="CE40">IF($BU40=0, INDEX(LS_current!$D$4:$AY$138, MATCH('Staging Table'!$A40, LS_current!$B$4:$B$138, 0), MATCH(CE$4&amp;CE$5, LS_current!$D$2:$AY$2&amp;LS_current!$D$3:$AY$3, 0)),SUM(VLOOKUP($A40, LS_current!$B$4:$AY$138, LS_current!I$148, FALSE), VLOOKUP($A40, LS_current!$B$4:$AY$138,LS_current!I$148, FALSE))/2)</f>
        <v>150</v>
      </c>
      <c r="CF40" s="227">
        <f t="array" ref="CF40">IF($BU40=0, INDEX(LS_current!$D$4:$AY$138, MATCH('Staging Table'!$A40, LS_current!$B$4:$B$138, 0), MATCH(CF$4&amp;CF$5, LS_current!$D$2:$AY$2&amp;LS_current!$D$3:$AY$3, 0)),SUM(VLOOKUP($A40, LS_current!$B$4:$AY$138, LS_current!J$148, FALSE), VLOOKUP($A40, LS_current!$B$4:$AY$138,LS_current!J$148, FALSE))/2)</f>
        <v>368</v>
      </c>
      <c r="CG40" s="227">
        <f t="array" ref="CG40">IF($BU40=0, INDEX(LS_current!$D$4:$AY$138, MATCH('Staging Table'!$A40, LS_current!$B$4:$B$138, 0), MATCH(CG$4&amp;CG$5, LS_current!$D$2:$AY$2&amp;LS_current!$D$3:$AY$3, 0)),SUM(VLOOKUP($A40, LS_current!$B$4:$AY$138, LS_current!K$148, FALSE), VLOOKUP($A40, LS_current!$B$4:$AY$138,LS_current!K$148, FALSE))/2)</f>
        <v>336</v>
      </c>
      <c r="CH40" s="227">
        <f t="array" ref="CH40">IF($BU40=0, INDEX(LS_current!$D$4:$AY$138, MATCH('Staging Table'!$A40, LS_current!$B$4:$B$138, 0), MATCH(CH$4&amp;CH$5, LS_current!$D$2:$AY$2&amp;LS_current!$D$3:$AY$3, 0)),SUM(VLOOKUP($A40, LS_current!$B$4:$AY$138, LS_current!L$148, FALSE), VLOOKUP($A40, LS_current!$B$4:$AY$138,LS_current!L$148, FALSE))/2)</f>
        <v>307</v>
      </c>
      <c r="CI40" s="227">
        <f t="array" ref="CI40">IF($BU40=0, INDEX(LS_current!$D$4:$AY$138, MATCH('Staging Table'!$A40, LS_current!$B$4:$B$138, 0), MATCH(CI$4&amp;CI$5, LS_current!$D$2:$AY$2&amp;LS_current!$D$3:$AY$3, 0)),SUM(VLOOKUP($A40, LS_current!$B$4:$AY$138, LS_current!M$148, FALSE), VLOOKUP($A40, LS_current!$B$4:$AY$138,LS_current!M$148, FALSE))/2)</f>
        <v>238</v>
      </c>
      <c r="CJ40" s="227">
        <f t="array" ref="CJ40">IF($BU40=0, INDEX(LS_current!$D$4:$AY$138, MATCH('Staging Table'!$A40, LS_current!$B$4:$B$138, 0), MATCH(CJ$4&amp;CJ$5, LS_current!$D$2:$AY$2&amp;LS_current!$D$3:$AY$3, 0)),SUM(VLOOKUP($A40, LS_current!$B$4:$AY$138, LS_current!N$148, FALSE), VLOOKUP($A40, LS_current!$B$4:$AY$138,LS_current!N$148, FALSE))/2)</f>
        <v>160</v>
      </c>
      <c r="CK40" s="227">
        <f t="array" ref="CK40">IF($BU40=0, INDEX(LS_current!$D$4:$AY$138, MATCH('Staging Table'!$A40, LS_current!$B$4:$B$138, 0), MATCH(CK$4&amp;CK$5, LS_current!$D$2:$AY$2&amp;LS_current!$D$3:$AY$3, 0)),SUM(VLOOKUP($A40, LS_current!$B$4:$AY$138, LS_current!O$148, FALSE), VLOOKUP($A40, LS_current!$B$4:$AY$138,LS_current!O$148, FALSE))/2)</f>
        <v>147</v>
      </c>
      <c r="CL40" s="227">
        <f t="array" ref="CL40">IF($BU40=0, INDEX(LS_current!$D$4:$AY$138, MATCH('Staging Table'!$A40, LS_current!$B$4:$B$138, 0), MATCH(CL$4&amp;CL$5, LS_current!$D$2:$AY$2&amp;LS_current!$D$3:$AY$3, 0)),SUM(VLOOKUP($A40, LS_current!$B$4:$AY$138, LS_current!P$148, FALSE), VLOOKUP($A40, LS_current!$B$4:$AY$138,LS_current!P$148, FALSE))/2)</f>
        <v>282</v>
      </c>
      <c r="CM40" s="227">
        <f t="array" ref="CM40">IF($BU40=0, INDEX(LS_current!$D$4:$AY$138, MATCH('Staging Table'!$A40, LS_current!$B$4:$B$138, 0), MATCH(CM$4&amp;CM$5, LS_current!$D$2:$AY$2&amp;LS_current!$D$3:$AY$3, 0)),SUM(VLOOKUP($A40, LS_current!$B$4:$AY$138, LS_current!Q$148, FALSE), VLOOKUP($A40, LS_current!$B$4:$AY$138,LS_current!Q$148, FALSE))/2)</f>
        <v>194</v>
      </c>
      <c r="CN40" s="227">
        <f t="array" ref="CN40">IF($BU40=0, INDEX(LS_current!$D$4:$AY$138, MATCH('Staging Table'!$A40, LS_current!$B$4:$B$138, 0), MATCH(CN$4&amp;CN$5, LS_current!$D$2:$AY$2&amp;LS_current!$D$3:$AY$3, 0)),SUM(VLOOKUP($A40, LS_current!$B$4:$AY$138, LS_current!R$148, FALSE), VLOOKUP($A40, LS_current!$B$4:$AY$138,LS_current!R$148, FALSE))/2)</f>
        <v>-294</v>
      </c>
      <c r="CO40" s="227">
        <f t="array" ref="CO40">IF($BU40=0, INDEX(LS_current!$D$4:$AY$138, MATCH('Staging Table'!$A40, LS_current!$B$4:$B$138, 0), MATCH(CO$4&amp;CO$5, LS_current!$D$2:$AY$2&amp;LS_current!$D$3:$AY$3, 0)),SUM(VLOOKUP($A40, LS_current!$B$4:$AY$138, LS_current!S$148, FALSE), VLOOKUP($A40, LS_current!$B$4:$AY$138,LS_current!S$148, FALSE))/2)</f>
        <v>-39</v>
      </c>
      <c r="CP40" s="227">
        <f t="array" ref="CP40">IF($BU40=0, INDEX(LS_current!$D$4:$AY$138, MATCH('Staging Table'!$A40, LS_current!$B$4:$B$138, 0), MATCH(CP$4&amp;CP$5, LS_current!$D$2:$AY$2&amp;LS_current!$D$3:$AY$3, 0)),SUM(VLOOKUP($A40, LS_current!$B$4:$AY$138, LS_current!T$148, FALSE), VLOOKUP($A40, LS_current!$B$4:$AY$138,LS_current!T$148, FALSE))/2)</f>
        <v>-777</v>
      </c>
      <c r="CQ40" s="227">
        <f t="array" ref="CQ40">IF($BU40=0, INDEX(LS_current!$D$4:$AY$138, MATCH('Staging Table'!$A40, LS_current!$B$4:$B$138, 0), MATCH(CQ$4&amp;CQ$5, LS_current!$D$2:$AY$2&amp;LS_current!$D$3:$AY$3, 0)),SUM(VLOOKUP($A40, LS_current!$B$4:$AY$138, LS_current!U$148, FALSE), VLOOKUP($A40, LS_current!$B$4:$AY$138,LS_current!U$148, FALSE))/2)</f>
        <v>-394</v>
      </c>
      <c r="CR40" s="227">
        <f t="array" ref="CR40">IF($BU40=0, INDEX(LS_current!$D$4:$AY$138, MATCH('Staging Table'!$A40, LS_current!$B$4:$B$138, 0), MATCH(CR$4&amp;CR$5, LS_current!$D$2:$AY$2&amp;LS_current!$D$3:$AY$3, 0)),SUM(VLOOKUP($A40, LS_current!$B$4:$AY$138, LS_current!V$148, FALSE), VLOOKUP($A40, LS_current!$B$4:$AY$138,LS_current!V$148, FALSE))/2)</f>
        <v>-376</v>
      </c>
      <c r="CS40" s="227">
        <f t="array" ref="CS40">IF($BU40=0, INDEX(LS_current!$D$4:$AY$138, MATCH('Staging Table'!$A40, LS_current!$B$4:$B$138, 0), MATCH(CS$4&amp;CS$5, LS_current!$D$2:$AY$2&amp;LS_current!$D$3:$AY$3, 0)),SUM(VLOOKUP($A40, LS_current!$B$4:$AY$138, LS_current!W$148, FALSE), VLOOKUP($A40, LS_current!$B$4:$AY$138,LS_current!W$148, FALSE))/2)</f>
        <v>15</v>
      </c>
      <c r="CT40" s="227">
        <f t="array" ref="CT40">IF($BU40=0, INDEX(LS_current!$D$4:$AY$138, MATCH('Staging Table'!$A40, LS_current!$B$4:$B$138, 0), MATCH(CT$4&amp;CT$5, LS_current!$D$2:$AY$2&amp;LS_current!$D$3:$AY$3, 0)),SUM(VLOOKUP($A40, LS_current!$B$4:$AY$138, LS_current!X$148, FALSE), VLOOKUP($A40, LS_current!$B$4:$AY$138,LS_current!X$148, FALSE))/2)</f>
        <v>-250</v>
      </c>
      <c r="CU40" s="227">
        <f t="array" ref="CU40">IF($BU40=0, INDEX(LS_current!$D$4:$AY$138, MATCH('Staging Table'!$A40, LS_current!$B$4:$B$138, 0), MATCH(CU$4&amp;CU$5, LS_current!$D$2:$AY$2&amp;LS_current!$D$3:$AY$3, 0)),SUM(VLOOKUP($A40, LS_current!$B$4:$AY$138, LS_current!Y$148, FALSE), VLOOKUP($A40, LS_current!$B$4:$AY$138,LS_current!Y$148, FALSE))/2)</f>
        <v>-2</v>
      </c>
      <c r="CV40" s="227">
        <f t="array" ref="CV40">IF($BU40=0, INDEX(LS_current!$D$4:$AY$138, MATCH('Staging Table'!$A40, LS_current!$B$4:$B$138, 0), MATCH(CV$4&amp;CV$5, LS_current!$D$2:$AY$2&amp;LS_current!$D$3:$AY$3, 0)),SUM(VLOOKUP($A40, LS_current!$B$4:$AY$138, LS_current!Z$148, FALSE), VLOOKUP($A40, LS_current!$B$4:$AY$138,LS_current!Z$148, FALSE))/2)</f>
        <v>-86</v>
      </c>
      <c r="CW40" s="227">
        <f t="array" ref="CW40">IF($BU40=0, INDEX(LS_current!$D$4:$AY$138, MATCH('Staging Table'!$A40, LS_current!$B$4:$B$138, 0), MATCH(CW$4&amp;CW$5, LS_current!$D$2:$AY$2&amp;LS_current!$D$3:$AY$3, 0)),SUM(VLOOKUP($A40, LS_current!$B$4:$AY$138, LS_current!AA$148, FALSE), VLOOKUP($A40, LS_current!$B$4:$AY$138,LS_current!AA$148, FALSE))/2)</f>
        <v>19</v>
      </c>
      <c r="CX40" s="229">
        <f t="array" ref="CX40">INDEX(Demand_current!$D$4:$AY$138, MATCH($A40, Demand_current!$B$4:$B$138, 0), MATCH(CX$4&amp;CX$5,Demand_current!$D$2:$AY$2&amp;Demand_current!$D$3:$AY$3, 0))/1000</f>
        <v>0.57999999999999996</v>
      </c>
      <c r="CY40" s="229">
        <f t="array" ref="CY40">INDEX(Demand_current!$D$4:$AY$138, MATCH($A40, Demand_current!$B$4:$B$138, 0), MATCH(CY$4&amp;CY$5,Demand_current!$D$2:$AY$2&amp;Demand_current!$D$3:$AY$3, 0))/1000</f>
        <v>0.253</v>
      </c>
      <c r="CZ40" s="229">
        <f t="array" ref="CZ40">INDEX(Demand_current!$D$4:$AY$138, MATCH($A40, Demand_current!$B$4:$B$138, 0), MATCH(CZ$4&amp;CZ$5,Demand_current!$D$2:$AY$2&amp;Demand_current!$D$3:$AY$3, 0))/1000</f>
        <v>0.3</v>
      </c>
      <c r="DA40" s="229">
        <f t="array" ref="DA40">INDEX(Demand_current!$D$4:$AY$138, MATCH($A40, Demand_current!$B$4:$B$138, 0), MATCH(DA$4&amp;DA$5,Demand_current!$D$2:$AY$2&amp;Demand_current!$D$3:$AY$3, 0))/1000</f>
        <v>0.63</v>
      </c>
      <c r="DB40" s="229">
        <f t="array" ref="DB40">INDEX(Demand_current!$D$4:$AY$138, MATCH($A40, Demand_current!$B$4:$B$138, 0), MATCH(DB$4&amp;DB$5,Demand_current!$D$2:$AY$2&amp;Demand_current!$D$3:$AY$3, 0))/1000</f>
        <v>0.47299999999999998</v>
      </c>
      <c r="DC40" s="229">
        <f t="array" ref="DC40">INDEX(Demand_current!$D$4:$AY$138, MATCH($A40, Demand_current!$B$4:$B$138, 0), MATCH(DC$4&amp;DC$5,Demand_current!$D$2:$AY$2&amp;Demand_current!$D$3:$AY$3, 0))/1000</f>
        <v>0.47299999999999998</v>
      </c>
      <c r="DD40" s="229">
        <f t="array" ref="DD40">INDEX(Demand_current!$D$4:$AY$138, MATCH($A40, Demand_current!$B$4:$B$138, 0), MATCH(DD$4&amp;DD$5,Demand_current!$D$2:$AY$2&amp;Demand_current!$D$3:$AY$3, 0))/1000</f>
        <v>0.56299999999999994</v>
      </c>
      <c r="DE40" s="229">
        <f t="array" ref="DE40">INDEX(Demand_current!$D$4:$AY$138, MATCH($A40, Demand_current!$B$4:$B$138, 0), MATCH(DE$4&amp;DE$5,Demand_current!$D$2:$AY$2&amp;Demand_current!$D$3:$AY$3, 0))/1000</f>
        <v>0.377</v>
      </c>
      <c r="DF40" s="229">
        <f t="array" ref="DF40">INDEX(Demand_current!$D$4:$AY$138, MATCH($A40, Demand_current!$B$4:$B$138, 0), MATCH(DF$4&amp;DF$5,Demand_current!$D$2:$AY$2&amp;Demand_current!$D$3:$AY$3, 0))/1000</f>
        <v>0.46300000000000002</v>
      </c>
      <c r="DG40" s="229">
        <f t="array" ref="DG40">INDEX(Demand_current!$D$4:$AY$138, MATCH($A40, Demand_current!$B$4:$B$138, 0), MATCH(DG$4&amp;DG$5,Demand_current!$D$2:$AY$2&amp;Demand_current!$D$3:$AY$3, 0))/1000</f>
        <v>0.61899999999999999</v>
      </c>
      <c r="DH40" s="229">
        <f t="array" ref="DH40">INDEX(Demand_current!$D$4:$AY$138, MATCH($A40, Demand_current!$B$4:$B$138, 0), MATCH(DH$4&amp;DH$5,Demand_current!$D$2:$AY$2&amp;Demand_current!$D$3:$AY$3, 0))/1000</f>
        <v>0.41899999999999998</v>
      </c>
      <c r="DI40" s="229">
        <f t="array" ref="DI40">INDEX(Demand_current!$D$4:$AY$138, MATCH($A40, Demand_current!$B$4:$B$138, 0), MATCH(DI$4&amp;DI$5,Demand_current!$D$2:$AY$2&amp;Demand_current!$D$3:$AY$3, 0))/1000</f>
        <v>0.44900000000000001</v>
      </c>
      <c r="DJ40" s="227">
        <f>$BT40*(VLOOKUP(DJ$4, Rates_current!$G$6:$Q$29, 10, FALSE)+VLOOKUP(DJ$4, Rates_current!$G$6:$Q$29, 11, FALSE))</f>
        <v>1985.9081259995999</v>
      </c>
      <c r="DK40" s="227">
        <f>$BT40*(VLOOKUP(DK$4, Rates_current!$G$6:$Q$29, 10, FALSE)+VLOOKUP(DK$4, Rates_current!$G$6:$Q$29, 11, FALSE))</f>
        <v>2522.7228360938998</v>
      </c>
      <c r="DL40" s="227">
        <f>$BT40*(VLOOKUP(DL$4, Rates_current!$G$6:$Q$29, 10, FALSE)+VLOOKUP(DL$4, Rates_current!$G$6:$Q$29, 11, FALSE))</f>
        <v>2492.2575442996003</v>
      </c>
      <c r="DM40" s="227">
        <f>$BT40*(VLOOKUP(DM$4, Rates_current!$G$6:$Q$29, 10, FALSE)+VLOOKUP(DM$4, Rates_current!$G$6:$Q$29, 11, FALSE))</f>
        <v>2077.4484594996002</v>
      </c>
      <c r="DN40" s="227">
        <f>$BT40*(VLOOKUP(DN$4, Rates_current!$G$6:$Q$29, 10, FALSE)+VLOOKUP(DN$4, Rates_current!$G$6:$Q$29, 11, FALSE))</f>
        <v>1881.9527856799998</v>
      </c>
      <c r="DO40" s="227">
        <f>$BT40*(VLOOKUP(DO$4, Rates_current!$G$6:$Q$29, 10, FALSE)+VLOOKUP(DO$4, Rates_current!$G$6:$Q$29, 11, FALSE))</f>
        <v>2093.3293605036997</v>
      </c>
      <c r="DP40" s="227">
        <f>$BT40*(VLOOKUP(DP$4, Rates_current!$G$6:$Q$29, 10, FALSE)+VLOOKUP(DP$4, Rates_current!$G$6:$Q$29, 11, FALSE))</f>
        <v>1704.3910242479999</v>
      </c>
      <c r="DQ40" s="227">
        <f>$BT40*(VLOOKUP(DQ$4, Rates_current!$G$6:$Q$29, 10, FALSE)+VLOOKUP(DQ$4, Rates_current!$G$6:$Q$29, 11, FALSE))</f>
        <v>2298.6254490496003</v>
      </c>
      <c r="DR40" s="227">
        <f>$BT40*(VLOOKUP(DR$4, Rates_current!$G$6:$Q$29, 10, FALSE)+VLOOKUP(DR$4, Rates_current!$G$6:$Q$29, 11, FALSE))</f>
        <v>2932.8897401980003</v>
      </c>
      <c r="DS40" s="227">
        <f>$BT40*(VLOOKUP(DS$4, Rates_current!$G$6:$Q$29, 10, FALSE)+VLOOKUP(DS$4, Rates_current!$G$6:$Q$29, 11, FALSE))</f>
        <v>2299.4785523996002</v>
      </c>
      <c r="DT40" s="227">
        <f>$BT40*(VLOOKUP(DT$4, Rates_current!$G$6:$Q$29, 10, FALSE)+VLOOKUP(DT$4, Rates_current!$G$6:$Q$29, 11, FALSE))</f>
        <v>2239.2342303496002</v>
      </c>
      <c r="DU40" s="227">
        <f>$BT40*(VLOOKUP(DU$4, Rates_current!$G$6:$Q$29, 10, FALSE)+VLOOKUP(DU$4, Rates_current!$G$6:$Q$29, 11, FALSE))</f>
        <v>2010.3559923480002</v>
      </c>
      <c r="DV40" s="229">
        <f>IF(D40=0,IF(C40=0,MAX(0,DY40 - (VLOOKUP($A40,TOCA_current!$A$2:$AI$137,MATCH("RHWM 2020",TOCA_current!$A$2:$AI$2,0),FALSE)*$BT$2)), 0),0)</f>
        <v>103.13109678079854</v>
      </c>
      <c r="DW40" s="266">
        <f>VLOOKUP($A40,REP_current!$A$1:$D$135,MATCH("FY "&amp;$BT$1&amp; " Total Refund",REP_current!$A$1:$D$1,0),0)</f>
        <v>0</v>
      </c>
      <c r="DX40" s="295">
        <f>MIN(VLOOKUP($A40,TOCA_current!$A$2:$AI$137,MATCH("TRL - NLSL - Existing Resource "&amp;$BT$1,TOCA_current!$A$2:$AI$2,0),FALSE)*$BT$2, VLOOKUP($A40,TOCA_current!$A$2:$AI$137,MATCH("RHWM 2020",TOCA_current!$A$2:$AI$2,0),FALSE)*$BT$2)</f>
        <v>26536.464</v>
      </c>
      <c r="DY40" s="240">
        <f>SUM(BZ40:CW40)+(BT40*RT1SC!$C$4*$BT$2)</f>
        <v>26639.595096780798</v>
      </c>
      <c r="DZ40" s="271">
        <f>VLOOKUP($A40,TOCA_current!$A$2:$AI$137,MATCH("Above RHWM Not Served with LS "&amp;$BT$1,TOCA_current!$A$2:$AI$2,0),FALSE)*$BT$2</f>
        <v>0</v>
      </c>
      <c r="EA40" s="244">
        <f t="shared" si="13"/>
        <v>103.13109678079854</v>
      </c>
      <c r="EB40" s="295">
        <f>(VLOOKUP($A40,TOCA_current!$A$2:$AI$137,MATCH("RHWM 2020",TOCA_current!$A$2:$AI$2,0),FALSE)*$BT$2) - $DX40</f>
        <v>0</v>
      </c>
      <c r="EC40" s="240">
        <f t="shared" si="14"/>
        <v>0</v>
      </c>
      <c r="ED40" s="240">
        <f t="shared" si="15"/>
        <v>0</v>
      </c>
      <c r="EE40" s="240">
        <f t="shared" si="16"/>
        <v>0</v>
      </c>
      <c r="EF40" s="240">
        <f t="shared" si="17"/>
        <v>0</v>
      </c>
    </row>
    <row r="41" spans="1:136">
      <c r="A41" s="166">
        <v>10095</v>
      </c>
      <c r="B41" s="167" t="s">
        <v>42</v>
      </c>
      <c r="C41" s="240">
        <v>0</v>
      </c>
      <c r="D41" s="240">
        <v>0</v>
      </c>
      <c r="E41" s="150">
        <f>VLOOKUP($A41,TOCA_previous!$A$2:$AI$137,MATCH(E$4,TOCA_previous!$A$2:$AI$2,0),FALSE)</f>
        <v>5.1610000000000002E-4</v>
      </c>
      <c r="F41" s="151">
        <f>VLOOKUP($A41,TOCA_previous!$A$2:$AI$137,MATCH(F$4,TOCA_previous!$A$2:$AI$2,0),FALSE)</f>
        <v>5.1610000000000002E-4</v>
      </c>
      <c r="G41" s="151">
        <f t="shared" si="2"/>
        <v>0</v>
      </c>
      <c r="H41" s="151">
        <f>VLOOKUP($A41,TOCA_previous!$A$2:$AI$137,MATCH(H$4,TOCA_previous!$A$2:$AI$2,0),FALSE)</f>
        <v>0</v>
      </c>
      <c r="I41" s="151">
        <f t="shared" si="3"/>
        <v>0</v>
      </c>
      <c r="J41" s="151">
        <f t="shared" si="4"/>
        <v>0</v>
      </c>
      <c r="K41" s="226">
        <f>VLOOKUP(A41, IRD!$A$5:$C$139, 3, FALSE)</f>
        <v>0</v>
      </c>
      <c r="L41" s="227">
        <f t="array" ref="L41">IF($G41=0, INDEX(LS_previous!$D$4:$AY$138, MATCH('Staging Table'!$A41, LS_previous!$B$4:$B$138, 0), MATCH(L$4&amp;L$5, LS_previous!$D$2:$AY$2&amp;LS_previous!$D$3:$AY$3, 0)),SUM(VLOOKUP($A41, LS_previous!$B$4:$AY$138, LS_previous!D$149, FALSE), VLOOKUP('Staging Table'!$A41, LS_previous!$B$4:$AY$138,LS_previous!AB$149, FALSE))/2)</f>
        <v>277</v>
      </c>
      <c r="M41" s="227">
        <f t="array" ref="M41">IF($G41=0, INDEX(LS_previous!$D$4:$AY$138, MATCH('Staging Table'!$A41, LS_previous!$B$4:$B$138, 0), MATCH(M$4&amp;M$5, LS_previous!$D$2:$AY$2&amp;LS_previous!$D$3:$AY$3, 0)),SUM(VLOOKUP($A41, LS_previous!$B$4:$AY$138, LS_previous!E$149, FALSE), VLOOKUP('Staging Table'!$A41, LS_previous!$B$4:$AY$138,LS_previous!AC$149, FALSE))/2)</f>
        <v>120</v>
      </c>
      <c r="N41" s="227">
        <f t="array" ref="N41">IF($G41=0, INDEX(LS_previous!$D$4:$AY$138, MATCH('Staging Table'!$A41, LS_previous!$B$4:$B$138, 0), MATCH(N$4&amp;N$5, LS_previous!$D$2:$AY$2&amp;LS_previous!$D$3:$AY$3, 0)),SUM(VLOOKUP($A41, LS_previous!$B$4:$AY$138, LS_previous!F$149, FALSE), VLOOKUP('Staging Table'!$A41, LS_previous!$B$4:$AY$138,LS_previous!AD$149, FALSE))/2)</f>
        <v>-95</v>
      </c>
      <c r="O41" s="227">
        <f t="array" ref="O41">IF($G41=0, INDEX(LS_previous!$D$4:$AY$138, MATCH('Staging Table'!$A41, LS_previous!$B$4:$B$138, 0), MATCH(O$4&amp;O$5, LS_previous!$D$2:$AY$2&amp;LS_previous!$D$3:$AY$3, 0)),SUM(VLOOKUP($A41, LS_previous!$B$4:$AY$138, LS_previous!G$149, FALSE), VLOOKUP('Staging Table'!$A41, LS_previous!$B$4:$AY$138,LS_previous!AE$149, FALSE))/2)</f>
        <v>-40</v>
      </c>
      <c r="P41" s="227">
        <f t="array" ref="P41">IF($G41=0, INDEX(LS_previous!$D$4:$AY$138, MATCH('Staging Table'!$A41, LS_previous!$B$4:$B$138, 0), MATCH(P$4&amp;P$5, LS_previous!$D$2:$AY$2&amp;LS_previous!$D$3:$AY$3, 0)),SUM(VLOOKUP($A41, LS_previous!$B$4:$AY$138, LS_previous!H$149, FALSE), VLOOKUP('Staging Table'!$A41, LS_previous!$B$4:$AY$138,LS_previous!AF$149, FALSE))/2)</f>
        <v>-19</v>
      </c>
      <c r="Q41" s="227">
        <f t="array" ref="Q41">IF($G41=0, INDEX(LS_previous!$D$4:$AY$138, MATCH('Staging Table'!$A41, LS_previous!$B$4:$B$138, 0), MATCH(Q$4&amp;Q$5, LS_previous!$D$2:$AY$2&amp;LS_previous!$D$3:$AY$3, 0)),SUM(VLOOKUP($A41, LS_previous!$B$4:$AY$138, LS_previous!I$149, FALSE), VLOOKUP('Staging Table'!$A41, LS_previous!$B$4:$AY$138,LS_previous!AG$149, FALSE))/2)</f>
        <v>42</v>
      </c>
      <c r="R41" s="227">
        <f t="array" ref="R41">IF($G41=0, INDEX(LS_previous!$D$4:$AY$138, MATCH('Staging Table'!$A41, LS_previous!$B$4:$B$138, 0), MATCH(R$4&amp;R$5, LS_previous!$D$2:$AY$2&amp;LS_previous!$D$3:$AY$3, 0)),SUM(VLOOKUP($A41, LS_previous!$B$4:$AY$138, LS_previous!J$149, FALSE), VLOOKUP('Staging Table'!$A41, LS_previous!$B$4:$AY$138,LS_previous!AH$149, FALSE))/2)</f>
        <v>389</v>
      </c>
      <c r="S41" s="227">
        <f t="array" ref="S41">IF($G41=0, INDEX(LS_previous!$D$4:$AY$138, MATCH('Staging Table'!$A41, LS_previous!$B$4:$B$138, 0), MATCH(S$4&amp;S$5, LS_previous!$D$2:$AY$2&amp;LS_previous!$D$3:$AY$3, 0)),SUM(VLOOKUP($A41, LS_previous!$B$4:$AY$138, LS_previous!K$149, FALSE), VLOOKUP('Staging Table'!$A41, LS_previous!$B$4:$AY$138,LS_previous!AI$149, FALSE))/2)</f>
        <v>184</v>
      </c>
      <c r="T41" s="227">
        <f t="array" ref="T41">IF($G41=0, INDEX(LS_previous!$D$4:$AY$138, MATCH('Staging Table'!$A41, LS_previous!$B$4:$B$138, 0), MATCH(T$4&amp;T$5, LS_previous!$D$2:$AY$2&amp;LS_previous!$D$3:$AY$3, 0)),SUM(VLOOKUP($A41, LS_previous!$B$4:$AY$138, LS_previous!L$149, FALSE), VLOOKUP('Staging Table'!$A41, LS_previous!$B$4:$AY$138,LS_previous!AJ$149, FALSE))/2)</f>
        <v>617</v>
      </c>
      <c r="U41" s="227">
        <f t="array" ref="U41">IF($G41=0, INDEX(LS_previous!$D$4:$AY$138, MATCH('Staging Table'!$A41, LS_previous!$B$4:$B$138, 0), MATCH(U$4&amp;U$5, LS_previous!$D$2:$AY$2&amp;LS_previous!$D$3:$AY$3, 0)),SUM(VLOOKUP($A41, LS_previous!$B$4:$AY$138, LS_previous!M$149, FALSE), VLOOKUP('Staging Table'!$A41, LS_previous!$B$4:$AY$138,LS_previous!AK$149, FALSE))/2)</f>
        <v>307</v>
      </c>
      <c r="V41" s="227">
        <f t="array" ref="V41">IF($G41=0, INDEX(LS_previous!$D$4:$AY$138, MATCH('Staging Table'!$A41, LS_previous!$B$4:$B$138, 0), MATCH(V$4&amp;V$5, LS_previous!$D$2:$AY$2&amp;LS_previous!$D$3:$AY$3, 0)),SUM(VLOOKUP($A41, LS_previous!$B$4:$AY$138, LS_previous!N$149, FALSE), VLOOKUP('Staging Table'!$A41, LS_previous!$B$4:$AY$138,LS_previous!AL$149, FALSE))/2)</f>
        <v>411</v>
      </c>
      <c r="W41" s="227">
        <f t="array" ref="W41">IF($G41=0, INDEX(LS_previous!$D$4:$AY$138, MATCH('Staging Table'!$A41, LS_previous!$B$4:$B$138, 0), MATCH(W$4&amp;W$5, LS_previous!$D$2:$AY$2&amp;LS_previous!$D$3:$AY$3, 0)),SUM(VLOOKUP($A41, LS_previous!$B$4:$AY$138, LS_previous!O$149, FALSE), VLOOKUP('Staging Table'!$A41, LS_previous!$B$4:$AY$138,LS_previous!AM$149, FALSE))/2)</f>
        <v>241</v>
      </c>
      <c r="X41" s="227">
        <f t="array" ref="X41">IF($G41=0, INDEX(LS_previous!$D$4:$AY$138, MATCH('Staging Table'!$A41, LS_previous!$B$4:$B$138, 0), MATCH(X$4&amp;X$5, LS_previous!$D$2:$AY$2&amp;LS_previous!$D$3:$AY$3, 0)),SUM(VLOOKUP($A41, LS_previous!$B$4:$AY$138, LS_previous!P$149, FALSE), VLOOKUP('Staging Table'!$A41, LS_previous!$B$4:$AY$138,LS_previous!AN$149, FALSE))/2)</f>
        <v>345</v>
      </c>
      <c r="Y41" s="227">
        <f t="array" ref="Y41">IF($G41=0, INDEX(LS_previous!$D$4:$AY$138, MATCH('Staging Table'!$A41, LS_previous!$B$4:$B$138, 0), MATCH(Y$4&amp;Y$5, LS_previous!$D$2:$AY$2&amp;LS_previous!$D$3:$AY$3, 0)),SUM(VLOOKUP($A41, LS_previous!$B$4:$AY$138, LS_previous!Q$149, FALSE), VLOOKUP('Staging Table'!$A41, LS_previous!$B$4:$AY$138,LS_previous!AO$149, FALSE))/2)</f>
        <v>171</v>
      </c>
      <c r="Z41" s="227">
        <f t="array" ref="Z41">IF($G41=0, INDEX(LS_previous!$D$4:$AY$138, MATCH('Staging Table'!$A41, LS_previous!$B$4:$B$138, 0), MATCH(Z$4&amp;Z$5, LS_previous!$D$2:$AY$2&amp;LS_previous!$D$3:$AY$3, 0)),SUM(VLOOKUP($A41, LS_previous!$B$4:$AY$138, LS_previous!R$149, FALSE), VLOOKUP('Staging Table'!$A41, LS_previous!$B$4:$AY$138,LS_previous!AP$149, FALSE))/2)</f>
        <v>-469</v>
      </c>
      <c r="AA41" s="227">
        <f t="array" ref="AA41">IF($G41=0, INDEX(LS_previous!$D$4:$AY$138, MATCH('Staging Table'!$A41, LS_previous!$B$4:$B$138, 0), MATCH(AA$4&amp;AA$5, LS_previous!$D$2:$AY$2&amp;LS_previous!$D$3:$AY$3, 0)),SUM(VLOOKUP($A41, LS_previous!$B$4:$AY$138, LS_previous!S$149, FALSE), VLOOKUP('Staging Table'!$A41, LS_previous!$B$4:$AY$138,LS_previous!AQ$149, FALSE))/2)</f>
        <v>-193</v>
      </c>
      <c r="AB41" s="227">
        <f t="array" ref="AB41">IF($G41=0, INDEX(LS_previous!$D$4:$AY$138, MATCH('Staging Table'!$A41, LS_previous!$B$4:$B$138, 0), MATCH(AB$4&amp;AB$5, LS_previous!$D$2:$AY$2&amp;LS_previous!$D$3:$AY$3, 0)),SUM(VLOOKUP($A41, LS_previous!$B$4:$AY$138, LS_previous!T$149, FALSE), VLOOKUP('Staging Table'!$A41, LS_previous!$B$4:$AY$138,LS_previous!AR$149, FALSE))/2)</f>
        <v>31</v>
      </c>
      <c r="AC41" s="227">
        <f t="array" ref="AC41">IF($G41=0, INDEX(LS_previous!$D$4:$AY$138, MATCH('Staging Table'!$A41, LS_previous!$B$4:$B$138, 0), MATCH(AC$4&amp;AC$5, LS_previous!$D$2:$AY$2&amp;LS_previous!$D$3:$AY$3, 0)),SUM(VLOOKUP($A41, LS_previous!$B$4:$AY$138, LS_previous!U$149, FALSE), VLOOKUP('Staging Table'!$A41, LS_previous!$B$4:$AY$138,LS_previous!AS$149, FALSE))/2)</f>
        <v>27</v>
      </c>
      <c r="AD41" s="227">
        <f t="array" ref="AD41">IF($G41=0, INDEX(LS_previous!$D$4:$AY$138, MATCH('Staging Table'!$A41, LS_previous!$B$4:$B$138, 0), MATCH(AD$4&amp;AD$5, LS_previous!$D$2:$AY$2&amp;LS_previous!$D$3:$AY$3, 0)),SUM(VLOOKUP($A41, LS_previous!$B$4:$AY$138, LS_previous!V$149, FALSE), VLOOKUP('Staging Table'!$A41, LS_previous!$B$4:$AY$138,LS_previous!AT$149, FALSE))/2)</f>
        <v>218</v>
      </c>
      <c r="AE41" s="227">
        <f t="array" ref="AE41">IF($G41=0, INDEX(LS_previous!$D$4:$AY$138, MATCH('Staging Table'!$A41, LS_previous!$B$4:$B$138, 0), MATCH(AE$4&amp;AE$5, LS_previous!$D$2:$AY$2&amp;LS_previous!$D$3:$AY$3, 0)),SUM(VLOOKUP($A41, LS_previous!$B$4:$AY$138, LS_previous!W$149, FALSE), VLOOKUP('Staging Table'!$A41, LS_previous!$B$4:$AY$138,LS_previous!AU$149, FALSE))/2)</f>
        <v>193</v>
      </c>
      <c r="AF41" s="227">
        <f t="array" ref="AF41">IF($G41=0, INDEX(LS_previous!$D$4:$AY$138, MATCH('Staging Table'!$A41, LS_previous!$B$4:$B$138, 0), MATCH(AF$4&amp;AF$5, LS_previous!$D$2:$AY$2&amp;LS_previous!$D$3:$AY$3, 0)),SUM(VLOOKUP($A41, LS_previous!$B$4:$AY$138, LS_previous!X$149, FALSE), VLOOKUP('Staging Table'!$A41, LS_previous!$B$4:$AY$138,LS_previous!AV$149, FALSE))/2)</f>
        <v>35</v>
      </c>
      <c r="AG41" s="227">
        <f t="array" ref="AG41">IF($G41=0, INDEX(LS_previous!$D$4:$AY$138, MATCH('Staging Table'!$A41, LS_previous!$B$4:$B$138, 0), MATCH(AG$4&amp;AG$5, LS_previous!$D$2:$AY$2&amp;LS_previous!$D$3:$AY$3, 0)),SUM(VLOOKUP($A41, LS_previous!$B$4:$AY$138, LS_previous!Y$149, FALSE), VLOOKUP('Staging Table'!$A41, LS_previous!$B$4:$AY$138,LS_previous!AW$149, FALSE))/2)</f>
        <v>155</v>
      </c>
      <c r="AH41" s="227">
        <f t="array" ref="AH41">IF($G41=0, INDEX(LS_previous!$D$4:$AY$138, MATCH('Staging Table'!$A41, LS_previous!$B$4:$B$138, 0), MATCH(AH$4&amp;AH$5, LS_previous!$D$2:$AY$2&amp;LS_previous!$D$3:$AY$3, 0)),SUM(VLOOKUP($A41, LS_previous!$B$4:$AY$138, LS_previous!Z$149, FALSE), VLOOKUP('Staging Table'!$A41, LS_previous!$B$4:$AY$138,LS_previous!AX$149, FALSE))/2)</f>
        <v>155</v>
      </c>
      <c r="AI41" s="227">
        <f t="array" ref="AI41">IF($G41=0, INDEX(LS_previous!$D$4:$AY$138, MATCH('Staging Table'!$A41, LS_previous!$B$4:$B$138, 0), MATCH(AI$4&amp;AI$5, LS_previous!$D$2:$AY$2&amp;LS_previous!$D$3:$AY$3, 0)),SUM(VLOOKUP($A41, LS_previous!$B$4:$AY$138, LS_previous!AA$149, FALSE), VLOOKUP('Staging Table'!$A41, LS_previous!$B$4:$AY$138,LS_previous!AY$149, FALSE))/2)</f>
        <v>102</v>
      </c>
      <c r="AJ41" s="424">
        <f t="array" ref="AJ41">INDEX(Demand_previous!$D$4:$AY$138, MATCH('Staging Table'!$A41, Demand_previous!$B$4:$B$138, 0), MATCH(AJ$4&amp;AJ$5,Demand_previous!$D$2:$AY$2&amp;Demand_previous!$D$3:$AY$3, 0))/1000</f>
        <v>0.39600000000000002</v>
      </c>
      <c r="AK41" s="424">
        <f t="array" ref="AK41">INDEX(Demand_previous!$D$4:$AY$138, MATCH('Staging Table'!$A41, Demand_previous!$B$4:$B$138, 0), MATCH(AK$4&amp;AK$5,Demand_previous!$D$2:$AY$2&amp;Demand_previous!$D$3:$AY$3, 0))/1000</f>
        <v>0.247</v>
      </c>
      <c r="AL41" s="424">
        <f t="array" ref="AL41">INDEX(Demand_previous!$D$4:$AY$138, MATCH('Staging Table'!$A41, Demand_previous!$B$4:$B$138, 0), MATCH(AL$4&amp;AL$5,Demand_previous!$D$2:$AY$2&amp;Demand_previous!$D$3:$AY$3, 0))/1000</f>
        <v>0.69</v>
      </c>
      <c r="AM41" s="424">
        <f t="array" ref="AM41">INDEX(Demand_previous!$D$4:$AY$138, MATCH('Staging Table'!$A41, Demand_previous!$B$4:$B$138, 0), MATCH(AM$4&amp;AM$5,Demand_previous!$D$2:$AY$2&amp;Demand_previous!$D$3:$AY$3, 0))/1000</f>
        <v>0.67500000000000004</v>
      </c>
      <c r="AN41" s="424">
        <f t="array" ref="AN41">INDEX(Demand_previous!$D$4:$AY$138, MATCH('Staging Table'!$A41, Demand_previous!$B$4:$B$138, 0), MATCH(AN$4&amp;AN$5,Demand_previous!$D$2:$AY$2&amp;Demand_previous!$D$3:$AY$3, 0))/1000</f>
        <v>7.8E-2</v>
      </c>
      <c r="AO41" s="424">
        <f t="array" ref="AO41">INDEX(Demand_previous!$D$4:$AY$138, MATCH('Staging Table'!$A41, Demand_previous!$B$4:$B$138, 0), MATCH(AO$4&amp;AO$5,Demand_previous!$D$2:$AY$2&amp;Demand_previous!$D$3:$AY$3, 0))/1000</f>
        <v>0.33200000000000002</v>
      </c>
      <c r="AP41" s="424">
        <f t="array" ref="AP41">INDEX(Demand_previous!$D$4:$AY$138, MATCH('Staging Table'!$A41, Demand_previous!$B$4:$B$138, 0), MATCH(AP$4&amp;AP$5,Demand_previous!$D$2:$AY$2&amp;Demand_previous!$D$3:$AY$3, 0))/1000</f>
        <v>0</v>
      </c>
      <c r="AQ41" s="424">
        <f t="array" ref="AQ41">INDEX(Demand_previous!$D$4:$AY$138, MATCH('Staging Table'!$A41, Demand_previous!$B$4:$B$138, 0), MATCH(AQ$4&amp;AQ$5,Demand_previous!$D$2:$AY$2&amp;Demand_previous!$D$3:$AY$3, 0))/1000</f>
        <v>0.17899999999999999</v>
      </c>
      <c r="AR41" s="424">
        <f t="array" ref="AR41">INDEX(Demand_previous!$D$4:$AY$138, MATCH('Staging Table'!$A41, Demand_previous!$B$4:$B$138, 0), MATCH(AR$4&amp;AR$5,Demand_previous!$D$2:$AY$2&amp;Demand_previous!$D$3:$AY$3, 0))/1000</f>
        <v>0.187</v>
      </c>
      <c r="AS41" s="424">
        <f t="array" ref="AS41">INDEX(Demand_previous!$D$4:$AY$138, MATCH('Staging Table'!$A41, Demand_previous!$B$4:$B$138, 0), MATCH(AS$4&amp;AS$5,Demand_previous!$D$2:$AY$2&amp;Demand_previous!$D$3:$AY$3, 0))/1000</f>
        <v>4.4999999999999998E-2</v>
      </c>
      <c r="AT41" s="424">
        <f t="array" ref="AT41">INDEX(Demand_previous!$D$4:$AY$138, MATCH('Staging Table'!$A41, Demand_previous!$B$4:$B$138, 0), MATCH(AT$4&amp;AT$5,Demand_previous!$D$2:$AY$2&amp;Demand_previous!$D$3:$AY$3, 0))/1000</f>
        <v>0.41199999999999998</v>
      </c>
      <c r="AU41" s="424">
        <f t="array" ref="AU41">INDEX(Demand_previous!$D$4:$AY$138, MATCH('Staging Table'!$A41, Demand_previous!$B$4:$B$138, 0), MATCH(AU$4&amp;AU$5,Demand_previous!$D$2:$AY$2&amp;Demand_previous!$D$3:$AY$3, 0))/1000</f>
        <v>3.9E-2</v>
      </c>
      <c r="AV41" s="227">
        <f>$F41*(VLOOKUP(AV$4, Rates_previous!$G$6:$Q$29, 10, FALSE)+VLOOKUP(AV$4, Rates_previous!$G$6:$Q$29, 11, FALSE))</f>
        <v>2419.9091691692211</v>
      </c>
      <c r="AW41" s="227">
        <f>$F41*(VLOOKUP(AW$4, Rates_previous!$G$6:$Q$29, 10, FALSE)+VLOOKUP(AW$4, Rates_previous!$G$6:$Q$29, 11, FALSE))</f>
        <v>2990.8238102492451</v>
      </c>
      <c r="AX41" s="227">
        <f>$F41*(VLOOKUP(AX$4, Rates_previous!$G$6:$Q$29, 10, FALSE)+VLOOKUP(AX$4, Rates_previous!$G$6:$Q$29, 11, FALSE))</f>
        <v>2954.9075934862153</v>
      </c>
      <c r="AY41" s="227">
        <f>$F41*(VLOOKUP(AY$4, Rates_previous!$G$6:$Q$29, 10, FALSE)+VLOOKUP(AY$4, Rates_previous!$G$6:$Q$29, 11, FALSE))</f>
        <v>2524.6868894240761</v>
      </c>
      <c r="AZ41" s="227">
        <f>$F41*(VLOOKUP(AZ$4, Rates_previous!$G$6:$Q$29, 10, FALSE)+VLOOKUP(AZ$4, Rates_previous!$G$6:$Q$29, 11, FALSE))</f>
        <v>2069.7535329136726</v>
      </c>
      <c r="BA41" s="227">
        <f>$F41*(VLOOKUP(BA$4, Rates_previous!$G$6:$Q$29, 10, FALSE)+VLOOKUP(BA$4, Rates_previous!$G$6:$Q$29, 11, FALSE))</f>
        <v>2450.5130025443045</v>
      </c>
      <c r="BB41" s="227">
        <f>$F41*(VLOOKUP(BB$4, Rates_previous!$G$6:$Q$29, 10, FALSE)+VLOOKUP(BB$4, Rates_previous!$G$6:$Q$29, 11, FALSE))</f>
        <v>2355.2994443078464</v>
      </c>
      <c r="BC41" s="227">
        <f>$F41*(VLOOKUP(BC$4, Rates_previous!$G$6:$Q$29, 10, FALSE)+VLOOKUP(BC$4, Rates_previous!$G$6:$Q$29, 11, FALSE))</f>
        <v>3456.2352670618684</v>
      </c>
      <c r="BD41" s="227">
        <f>$F41*(VLOOKUP(BD$4, Rates_previous!$G$6:$Q$29, 10, FALSE)+VLOOKUP(BD$4, Rates_previous!$G$6:$Q$29, 11, FALSE))</f>
        <v>2726.8782763002014</v>
      </c>
      <c r="BE41" s="227">
        <f>$F41*(VLOOKUP(BE$4, Rates_previous!$G$6:$Q$29, 10, FALSE)+VLOOKUP(BE$4, Rates_previous!$G$6:$Q$29, 11, FALSE))</f>
        <v>2394.4280085656501</v>
      </c>
      <c r="BF41" s="227">
        <f>$F41*(VLOOKUP(BF$4, Rates_previous!$G$6:$Q$29, 10, FALSE)+VLOOKUP(BF$4, Rates_previous!$G$6:$Q$29, 11, FALSE))</f>
        <v>2651.9248629631306</v>
      </c>
      <c r="BG41" s="227">
        <f>$F41*(VLOOKUP(BG$4, Rates_previous!$G$6:$Q$29, 10, FALSE)+VLOOKUP(BG$4, Rates_previous!$G$6:$Q$29, 11, FALSE))</f>
        <v>2402.5384654024019</v>
      </c>
      <c r="BH41" s="229">
        <f>IF($D41=0,IF(C41=0, MAX(BK41 - (VLOOKUP($A41,TOCA_previous!$A$2:$AI$137,MATCH("RHWM 2018",TOCA_previous!$A$2:$AI$2,0),FALSE)*$F$2*TOCA_previous!C38),0),0), 0)</f>
        <v>3206.0587804560018</v>
      </c>
      <c r="BI41" s="266">
        <f>VLOOKUP($A41,REP_previous!$A$1:$D$135,MATCH("FY "&amp;$F$1&amp; " Total Refund",REP_previous!$A$1:$D$1,0),0)</f>
        <v>43901.029034336563</v>
      </c>
      <c r="BJ41" s="241">
        <f>MIN(VLOOKUP($A41,TOCA_previous!$A$2:$AI$137,MATCH("TRL - NLSL - Existing Resource "&amp;$F$1,TOCA_previous!$A$2:$AI$2,0),FALSE)*$F$2,(VLOOKUP($A41,TOCA_previous!$A$2:$AI$137,MATCH("RHWM 2018",TOCA_previous!$A$2:$AI$2,0),FALSE)*$F$2))</f>
        <v>31395.84</v>
      </c>
      <c r="BK41" s="229">
        <f>SUM(L41:AI41)+(F41*RT1SC!$C$3*$F$2)</f>
        <v>34601.898780456002</v>
      </c>
      <c r="BL41" s="241">
        <f>VLOOKUP($A41,TOCA_previous!$A$2:$AI$137,MATCH("Above RHWM Not Served with LS "&amp;$F$1,TOCA_previous!$A$2:$AI$2,0),FALSE)*$F$2</f>
        <v>0</v>
      </c>
      <c r="BM41" s="151">
        <f t="shared" si="5"/>
        <v>3206.0587804560018</v>
      </c>
      <c r="BN41" s="242">
        <f>(VLOOKUP($A41,TOCA_previous!$A$2:$AI$137,MATCH("RHWM 2018",TOCA_previous!$A$2:$AI$2,0),FALSE)*$F$2) - $BJ41</f>
        <v>0</v>
      </c>
      <c r="BO41" s="151">
        <f t="shared" si="6"/>
        <v>0</v>
      </c>
      <c r="BP41" s="243">
        <f t="shared" si="7"/>
        <v>0</v>
      </c>
      <c r="BQ41" s="237">
        <f t="shared" si="8"/>
        <v>0</v>
      </c>
      <c r="BR41" s="242">
        <f t="shared" si="9"/>
        <v>0</v>
      </c>
      <c r="BS41" s="151">
        <f>VLOOKUP($A41,TOCA_current!$A$2:$AI$137,MATCH(BS$4,TOCA_current!$A$2:$AI$2,0),FALSE)</f>
        <v>5.1579999999999996E-4</v>
      </c>
      <c r="BT41" s="151">
        <f>VLOOKUP($A41,TOCA_current!$A$2:$AI$137,MATCH(BT$4,TOCA_current!$A$2:$AI$2,0),FALSE)</f>
        <v>5.1579999999999996E-4</v>
      </c>
      <c r="BU41" s="236">
        <f t="shared" si="10"/>
        <v>0</v>
      </c>
      <c r="BV41" s="151">
        <f>VLOOKUP($A41,TOCA_current!A37:BG172,MATCH(BV$4,TOCA_current!$A$2:$BG$2,0),FALSE)</f>
        <v>0</v>
      </c>
      <c r="BW41" s="151">
        <f t="shared" si="11"/>
        <v>0</v>
      </c>
      <c r="BX41" s="151">
        <f t="shared" si="12"/>
        <v>0</v>
      </c>
      <c r="BY41" s="226">
        <f>VLOOKUP($A41,IRD!$A$4:$G$139, 7, FALSE)</f>
        <v>0</v>
      </c>
      <c r="BZ41" s="227">
        <f t="array" ref="BZ41">IF($BU41=0, INDEX(LS_current!$D$4:$AY$138, MATCH('Staging Table'!$A41, LS_current!$B$4:$B$138, 0), MATCH(BZ$4&amp;BZ$5, LS_current!$D$2:$AY$2&amp;LS_current!$D$3:$AY$3, 0)),SUM(VLOOKUP($A41, LS_current!$B$4:$AY$138, LS_current!D$148, FALSE), VLOOKUP($A41, LS_current!$B$4:$AY$138,LS_current!D$148, FALSE))/2)</f>
        <v>299</v>
      </c>
      <c r="CA41" s="227">
        <f t="array" ref="CA41">IF($BU41=0, INDEX(LS_current!$D$4:$AY$138, MATCH('Staging Table'!$A41, LS_current!$B$4:$B$138, 0), MATCH(CA$4&amp;CA$5, LS_current!$D$2:$AY$2&amp;LS_current!$D$3:$AY$3, 0)),SUM(VLOOKUP($A41, LS_current!$B$4:$AY$138, LS_current!E$148, FALSE), VLOOKUP($A41, LS_current!$B$4:$AY$138,LS_current!E$148, FALSE))/2)</f>
        <v>136</v>
      </c>
      <c r="CB41" s="227">
        <f t="array" ref="CB41">IF($BU41=0, INDEX(LS_current!$D$4:$AY$138, MATCH('Staging Table'!$A41, LS_current!$B$4:$B$138, 0), MATCH(CB$4&amp;CB$5, LS_current!$D$2:$AY$2&amp;LS_current!$D$3:$AY$3, 0)),SUM(VLOOKUP($A41, LS_current!$B$4:$AY$138, LS_current!F$148, FALSE), VLOOKUP($A41, LS_current!$B$4:$AY$138,LS_current!F$148, FALSE))/2)</f>
        <v>-108</v>
      </c>
      <c r="CC41" s="227">
        <f t="array" ref="CC41">IF($BU41=0, INDEX(LS_current!$D$4:$AY$138, MATCH('Staging Table'!$A41, LS_current!$B$4:$B$138, 0), MATCH(CC$4&amp;CC$5, LS_current!$D$2:$AY$2&amp;LS_current!$D$3:$AY$3, 0)),SUM(VLOOKUP($A41, LS_current!$B$4:$AY$138, LS_current!G$148, FALSE), VLOOKUP($A41, LS_current!$B$4:$AY$138,LS_current!G$148, FALSE))/2)</f>
        <v>-63</v>
      </c>
      <c r="CD41" s="227">
        <f t="array" ref="CD41">IF($BU41=0, INDEX(LS_current!$D$4:$AY$138, MATCH('Staging Table'!$A41, LS_current!$B$4:$B$138, 0), MATCH(CD$4&amp;CD$5, LS_current!$D$2:$AY$2&amp;LS_current!$D$3:$AY$3, 0)),SUM(VLOOKUP($A41, LS_current!$B$4:$AY$138, LS_current!H$148, FALSE), VLOOKUP($A41, LS_current!$B$4:$AY$138,LS_current!H$148, FALSE))/2)</f>
        <v>-35</v>
      </c>
      <c r="CE41" s="227">
        <f t="array" ref="CE41">IF($BU41=0, INDEX(LS_current!$D$4:$AY$138, MATCH('Staging Table'!$A41, LS_current!$B$4:$B$138, 0), MATCH(CE$4&amp;CE$5, LS_current!$D$2:$AY$2&amp;LS_current!$D$3:$AY$3, 0)),SUM(VLOOKUP($A41, LS_current!$B$4:$AY$138, LS_current!I$148, FALSE), VLOOKUP($A41, LS_current!$B$4:$AY$138,LS_current!I$148, FALSE))/2)</f>
        <v>24</v>
      </c>
      <c r="CF41" s="227">
        <f t="array" ref="CF41">IF($BU41=0, INDEX(LS_current!$D$4:$AY$138, MATCH('Staging Table'!$A41, LS_current!$B$4:$B$138, 0), MATCH(CF$4&amp;CF$5, LS_current!$D$2:$AY$2&amp;LS_current!$D$3:$AY$3, 0)),SUM(VLOOKUP($A41, LS_current!$B$4:$AY$138, LS_current!J$148, FALSE), VLOOKUP($A41, LS_current!$B$4:$AY$138,LS_current!J$148, FALSE))/2)</f>
        <v>383</v>
      </c>
      <c r="CG41" s="227">
        <f t="array" ref="CG41">IF($BU41=0, INDEX(LS_current!$D$4:$AY$138, MATCH('Staging Table'!$A41, LS_current!$B$4:$B$138, 0), MATCH(CG$4&amp;CG$5, LS_current!$D$2:$AY$2&amp;LS_current!$D$3:$AY$3, 0)),SUM(VLOOKUP($A41, LS_current!$B$4:$AY$138, LS_current!K$148, FALSE), VLOOKUP($A41, LS_current!$B$4:$AY$138,LS_current!K$148, FALSE))/2)</f>
        <v>223</v>
      </c>
      <c r="CH41" s="227">
        <f t="array" ref="CH41">IF($BU41=0, INDEX(LS_current!$D$4:$AY$138, MATCH('Staging Table'!$A41, LS_current!$B$4:$B$138, 0), MATCH(CH$4&amp;CH$5, LS_current!$D$2:$AY$2&amp;LS_current!$D$3:$AY$3, 0)),SUM(VLOOKUP($A41, LS_current!$B$4:$AY$138, LS_current!L$148, FALSE), VLOOKUP($A41, LS_current!$B$4:$AY$138,LS_current!L$148, FALSE))/2)</f>
        <v>501</v>
      </c>
      <c r="CI41" s="227">
        <f t="array" ref="CI41">IF($BU41=0, INDEX(LS_current!$D$4:$AY$138, MATCH('Staging Table'!$A41, LS_current!$B$4:$B$138, 0), MATCH(CI$4&amp;CI$5, LS_current!$D$2:$AY$2&amp;LS_current!$D$3:$AY$3, 0)),SUM(VLOOKUP($A41, LS_current!$B$4:$AY$138, LS_current!M$148, FALSE), VLOOKUP($A41, LS_current!$B$4:$AY$138,LS_current!M$148, FALSE))/2)</f>
        <v>236</v>
      </c>
      <c r="CJ41" s="227">
        <f t="array" ref="CJ41">IF($BU41=0, INDEX(LS_current!$D$4:$AY$138, MATCH('Staging Table'!$A41, LS_current!$B$4:$B$138, 0), MATCH(CJ$4&amp;CJ$5, LS_current!$D$2:$AY$2&amp;LS_current!$D$3:$AY$3, 0)),SUM(VLOOKUP($A41, LS_current!$B$4:$AY$138, LS_current!N$148, FALSE), VLOOKUP($A41, LS_current!$B$4:$AY$138,LS_current!N$148, FALSE))/2)</f>
        <v>365</v>
      </c>
      <c r="CK41" s="227">
        <f t="array" ref="CK41">IF($BU41=0, INDEX(LS_current!$D$4:$AY$138, MATCH('Staging Table'!$A41, LS_current!$B$4:$B$138, 0), MATCH(CK$4&amp;CK$5, LS_current!$D$2:$AY$2&amp;LS_current!$D$3:$AY$3, 0)),SUM(VLOOKUP($A41, LS_current!$B$4:$AY$138, LS_current!O$148, FALSE), VLOOKUP($A41, LS_current!$B$4:$AY$138,LS_current!O$148, FALSE))/2)</f>
        <v>227</v>
      </c>
      <c r="CL41" s="227">
        <f t="array" ref="CL41">IF($BU41=0, INDEX(LS_current!$D$4:$AY$138, MATCH('Staging Table'!$A41, LS_current!$B$4:$B$138, 0), MATCH(CL$4&amp;CL$5, LS_current!$D$2:$AY$2&amp;LS_current!$D$3:$AY$3, 0)),SUM(VLOOKUP($A41, LS_current!$B$4:$AY$138, LS_current!P$148, FALSE), VLOOKUP($A41, LS_current!$B$4:$AY$138,LS_current!P$148, FALSE))/2)</f>
        <v>574</v>
      </c>
      <c r="CM41" s="227">
        <f t="array" ref="CM41">IF($BU41=0, INDEX(LS_current!$D$4:$AY$138, MATCH('Staging Table'!$A41, LS_current!$B$4:$B$138, 0), MATCH(CM$4&amp;CM$5, LS_current!$D$2:$AY$2&amp;LS_current!$D$3:$AY$3, 0)),SUM(VLOOKUP($A41, LS_current!$B$4:$AY$138, LS_current!Q$148, FALSE), VLOOKUP($A41, LS_current!$B$4:$AY$138,LS_current!Q$148, FALSE))/2)</f>
        <v>254</v>
      </c>
      <c r="CN41" s="227">
        <f t="array" ref="CN41">IF($BU41=0, INDEX(LS_current!$D$4:$AY$138, MATCH('Staging Table'!$A41, LS_current!$B$4:$B$138, 0), MATCH(CN$4&amp;CN$5, LS_current!$D$2:$AY$2&amp;LS_current!$D$3:$AY$3, 0)),SUM(VLOOKUP($A41, LS_current!$B$4:$AY$138, LS_current!R$148, FALSE), VLOOKUP($A41, LS_current!$B$4:$AY$138,LS_current!R$148, FALSE))/2)</f>
        <v>-55</v>
      </c>
      <c r="CO41" s="227">
        <f t="array" ref="CO41">IF($BU41=0, INDEX(LS_current!$D$4:$AY$138, MATCH('Staging Table'!$A41, LS_current!$B$4:$B$138, 0), MATCH(CO$4&amp;CO$5, LS_current!$D$2:$AY$2&amp;LS_current!$D$3:$AY$3, 0)),SUM(VLOOKUP($A41, LS_current!$B$4:$AY$138, LS_current!S$148, FALSE), VLOOKUP($A41, LS_current!$B$4:$AY$138,LS_current!S$148, FALSE))/2)</f>
        <v>93</v>
      </c>
      <c r="CP41" s="227">
        <f t="array" ref="CP41">IF($BU41=0, INDEX(LS_current!$D$4:$AY$138, MATCH('Staging Table'!$A41, LS_current!$B$4:$B$138, 0), MATCH(CP$4&amp;CP$5, LS_current!$D$2:$AY$2&amp;LS_current!$D$3:$AY$3, 0)),SUM(VLOOKUP($A41, LS_current!$B$4:$AY$138, LS_current!T$148, FALSE), VLOOKUP($A41, LS_current!$B$4:$AY$138,LS_current!T$148, FALSE))/2)</f>
        <v>-468</v>
      </c>
      <c r="CQ41" s="227">
        <f t="array" ref="CQ41">IF($BU41=0, INDEX(LS_current!$D$4:$AY$138, MATCH('Staging Table'!$A41, LS_current!$B$4:$B$138, 0), MATCH(CQ$4&amp;CQ$5, LS_current!$D$2:$AY$2&amp;LS_current!$D$3:$AY$3, 0)),SUM(VLOOKUP($A41, LS_current!$B$4:$AY$138, LS_current!U$148, FALSE), VLOOKUP($A41, LS_current!$B$4:$AY$138,LS_current!U$148, FALSE))/2)</f>
        <v>-265</v>
      </c>
      <c r="CR41" s="227">
        <f t="array" ref="CR41">IF($BU41=0, INDEX(LS_current!$D$4:$AY$138, MATCH('Staging Table'!$A41, LS_current!$B$4:$B$138, 0), MATCH(CR$4&amp;CR$5, LS_current!$D$2:$AY$2&amp;LS_current!$D$3:$AY$3, 0)),SUM(VLOOKUP($A41, LS_current!$B$4:$AY$138, LS_current!V$148, FALSE), VLOOKUP($A41, LS_current!$B$4:$AY$138,LS_current!V$148, FALSE))/2)</f>
        <v>-114</v>
      </c>
      <c r="CS41" s="227">
        <f t="array" ref="CS41">IF($BU41=0, INDEX(LS_current!$D$4:$AY$138, MATCH('Staging Table'!$A41, LS_current!$B$4:$B$138, 0), MATCH(CS$4&amp;CS$5, LS_current!$D$2:$AY$2&amp;LS_current!$D$3:$AY$3, 0)),SUM(VLOOKUP($A41, LS_current!$B$4:$AY$138, LS_current!W$148, FALSE), VLOOKUP($A41, LS_current!$B$4:$AY$138,LS_current!W$148, FALSE))/2)</f>
        <v>163</v>
      </c>
      <c r="CT41" s="227">
        <f t="array" ref="CT41">IF($BU41=0, INDEX(LS_current!$D$4:$AY$138, MATCH('Staging Table'!$A41, LS_current!$B$4:$B$138, 0), MATCH(CT$4&amp;CT$5, LS_current!$D$2:$AY$2&amp;LS_current!$D$3:$AY$3, 0)),SUM(VLOOKUP($A41, LS_current!$B$4:$AY$138, LS_current!X$148, FALSE), VLOOKUP($A41, LS_current!$B$4:$AY$138,LS_current!X$148, FALSE))/2)</f>
        <v>-31</v>
      </c>
      <c r="CU41" s="227">
        <f t="array" ref="CU41">IF($BU41=0, INDEX(LS_current!$D$4:$AY$138, MATCH('Staging Table'!$A41, LS_current!$B$4:$B$138, 0), MATCH(CU$4&amp;CU$5, LS_current!$D$2:$AY$2&amp;LS_current!$D$3:$AY$3, 0)),SUM(VLOOKUP($A41, LS_current!$B$4:$AY$138, LS_current!Y$148, FALSE), VLOOKUP($A41, LS_current!$B$4:$AY$138,LS_current!Y$148, FALSE))/2)</f>
        <v>188</v>
      </c>
      <c r="CV41" s="227">
        <f t="array" ref="CV41">IF($BU41=0, INDEX(LS_current!$D$4:$AY$138, MATCH('Staging Table'!$A41, LS_current!$B$4:$B$138, 0), MATCH(CV$4&amp;CV$5, LS_current!$D$2:$AY$2&amp;LS_current!$D$3:$AY$3, 0)),SUM(VLOOKUP($A41, LS_current!$B$4:$AY$138, LS_current!Z$148, FALSE), VLOOKUP($A41, LS_current!$B$4:$AY$138,LS_current!Z$148, FALSE))/2)</f>
        <v>147</v>
      </c>
      <c r="CW41" s="227">
        <f t="array" ref="CW41">IF($BU41=0, INDEX(LS_current!$D$4:$AY$138, MATCH('Staging Table'!$A41, LS_current!$B$4:$B$138, 0), MATCH(CW$4&amp;CW$5, LS_current!$D$2:$AY$2&amp;LS_current!$D$3:$AY$3, 0)),SUM(VLOOKUP($A41, LS_current!$B$4:$AY$138, LS_current!AA$148, FALSE), VLOOKUP($A41, LS_current!$B$4:$AY$138,LS_current!AA$148, FALSE))/2)</f>
        <v>102</v>
      </c>
      <c r="CX41" s="229">
        <f t="array" ref="CX41">INDEX(Demand_current!$D$4:$AY$138, MATCH($A41, Demand_current!$B$4:$B$138, 0), MATCH(CX$4&amp;CX$5,Demand_current!$D$2:$AY$2&amp;Demand_current!$D$3:$AY$3, 0))/1000</f>
        <v>0.56100000000000005</v>
      </c>
      <c r="CY41" s="229">
        <f t="array" ref="CY41">INDEX(Demand_current!$D$4:$AY$138, MATCH($A41, Demand_current!$B$4:$B$138, 0), MATCH(CY$4&amp;CY$5,Demand_current!$D$2:$AY$2&amp;Demand_current!$D$3:$AY$3, 0))/1000</f>
        <v>0.247</v>
      </c>
      <c r="CZ41" s="229">
        <f t="array" ref="CZ41">INDEX(Demand_current!$D$4:$AY$138, MATCH($A41, Demand_current!$B$4:$B$138, 0), MATCH(CZ$4&amp;CZ$5,Demand_current!$D$2:$AY$2&amp;Demand_current!$D$3:$AY$3, 0))/1000</f>
        <v>0.69</v>
      </c>
      <c r="DA41" s="229">
        <f t="array" ref="DA41">INDEX(Demand_current!$D$4:$AY$138, MATCH($A41, Demand_current!$B$4:$B$138, 0), MATCH(DA$4&amp;DA$5,Demand_current!$D$2:$AY$2&amp;Demand_current!$D$3:$AY$3, 0))/1000</f>
        <v>0.67500000000000004</v>
      </c>
      <c r="DB41" s="229">
        <f t="array" ref="DB41">INDEX(Demand_current!$D$4:$AY$138, MATCH($A41, Demand_current!$B$4:$B$138, 0), MATCH(DB$4&amp;DB$5,Demand_current!$D$2:$AY$2&amp;Demand_current!$D$3:$AY$3, 0))/1000</f>
        <v>0.27900000000000003</v>
      </c>
      <c r="DC41" s="229">
        <f t="array" ref="DC41">INDEX(Demand_current!$D$4:$AY$138, MATCH($A41, Demand_current!$B$4:$B$138, 0), MATCH(DC$4&amp;DC$5,Demand_current!$D$2:$AY$2&amp;Demand_current!$D$3:$AY$3, 0))/1000</f>
        <v>0.157</v>
      </c>
      <c r="DD41" s="229">
        <f t="array" ref="DD41">INDEX(Demand_current!$D$4:$AY$138, MATCH($A41, Demand_current!$B$4:$B$138, 0), MATCH(DD$4&amp;DD$5,Demand_current!$D$2:$AY$2&amp;Demand_current!$D$3:$AY$3, 0))/1000</f>
        <v>0.151</v>
      </c>
      <c r="DE41" s="229">
        <f t="array" ref="DE41">INDEX(Demand_current!$D$4:$AY$138, MATCH($A41, Demand_current!$B$4:$B$138, 0), MATCH(DE$4&amp;DE$5,Demand_current!$D$2:$AY$2&amp;Demand_current!$D$3:$AY$3, 0))/1000</f>
        <v>1.2999999999999999E-2</v>
      </c>
      <c r="DF41" s="229">
        <f t="array" ref="DF41">INDEX(Demand_current!$D$4:$AY$138, MATCH($A41, Demand_current!$B$4:$B$138, 0), MATCH(DF$4&amp;DF$5,Demand_current!$D$2:$AY$2&amp;Demand_current!$D$3:$AY$3, 0))/1000</f>
        <v>0.187</v>
      </c>
      <c r="DG41" s="229">
        <f t="array" ref="DG41">INDEX(Demand_current!$D$4:$AY$138, MATCH($A41, Demand_current!$B$4:$B$138, 0), MATCH(DG$4&amp;DG$5,Demand_current!$D$2:$AY$2&amp;Demand_current!$D$3:$AY$3, 0))/1000</f>
        <v>0.217</v>
      </c>
      <c r="DH41" s="229">
        <f t="array" ref="DH41">INDEX(Demand_current!$D$4:$AY$138, MATCH($A41, Demand_current!$B$4:$B$138, 0), MATCH(DH$4&amp;DH$5,Demand_current!$D$2:$AY$2&amp;Demand_current!$D$3:$AY$3, 0))/1000</f>
        <v>0.251</v>
      </c>
      <c r="DI41" s="229">
        <f t="array" ref="DI41">INDEX(Demand_current!$D$4:$AY$138, MATCH($A41, Demand_current!$B$4:$B$138, 0), MATCH(DI$4&amp;DI$5,Demand_current!$D$2:$AY$2&amp;Demand_current!$D$3:$AY$3, 0))/1000</f>
        <v>0.215</v>
      </c>
      <c r="DJ41" s="227">
        <f>$BT41*(VLOOKUP(DJ$4, Rates_current!$G$6:$Q$29, 10, FALSE)+VLOOKUP(DJ$4, Rates_current!$G$6:$Q$29, 11, FALSE))</f>
        <v>2381.6122096967997</v>
      </c>
      <c r="DK41" s="227">
        <f>$BT41*(VLOOKUP(DK$4, Rates_current!$G$6:$Q$29, 10, FALSE)+VLOOKUP(DK$4, Rates_current!$G$6:$Q$29, 11, FALSE))</f>
        <v>3025.3904646761998</v>
      </c>
      <c r="DL41" s="227">
        <f>$BT41*(VLOOKUP(DL$4, Rates_current!$G$6:$Q$29, 10, FALSE)+VLOOKUP(DL$4, Rates_current!$G$6:$Q$29, 11, FALSE))</f>
        <v>2988.8547810967998</v>
      </c>
      <c r="DM41" s="227">
        <f>$BT41*(VLOOKUP(DM$4, Rates_current!$G$6:$Q$29, 10, FALSE)+VLOOKUP(DM$4, Rates_current!$G$6:$Q$29, 11, FALSE))</f>
        <v>2491.3925026968</v>
      </c>
      <c r="DN41" s="227">
        <f>$BT41*(VLOOKUP(DN$4, Rates_current!$G$6:$Q$29, 10, FALSE)+VLOOKUP(DN$4, Rates_current!$G$6:$Q$29, 11, FALSE))</f>
        <v>2256.9431454399996</v>
      </c>
      <c r="DO41" s="227">
        <f>$BT41*(VLOOKUP(DO$4, Rates_current!$G$6:$Q$29, 10, FALSE)+VLOOKUP(DO$4, Rates_current!$G$6:$Q$29, 11, FALSE))</f>
        <v>2510.4377683045996</v>
      </c>
      <c r="DP41" s="227">
        <f>$BT41*(VLOOKUP(DP$4, Rates_current!$G$6:$Q$29, 10, FALSE)+VLOOKUP(DP$4, Rates_current!$G$6:$Q$29, 11, FALSE))</f>
        <v>2044.0011399839998</v>
      </c>
      <c r="DQ41" s="227">
        <f>$BT41*(VLOOKUP(DQ$4, Rates_current!$G$6:$Q$29, 10, FALSE)+VLOOKUP(DQ$4, Rates_current!$G$6:$Q$29, 11, FALSE))</f>
        <v>2756.6403315968</v>
      </c>
      <c r="DR41" s="227">
        <f>$BT41*(VLOOKUP(DR$4, Rates_current!$G$6:$Q$29, 10, FALSE)+VLOOKUP(DR$4, Rates_current!$G$6:$Q$29, 11, FALSE))</f>
        <v>3517.2855800839998</v>
      </c>
      <c r="DS41" s="227">
        <f>$BT41*(VLOOKUP(DS$4, Rates_current!$G$6:$Q$29, 10, FALSE)+VLOOKUP(DS$4, Rates_current!$G$6:$Q$29, 11, FALSE))</f>
        <v>2757.6634208967998</v>
      </c>
      <c r="DT41" s="227">
        <f>$BT41*(VLOOKUP(DT$4, Rates_current!$G$6:$Q$29, 10, FALSE)+VLOOKUP(DT$4, Rates_current!$G$6:$Q$29, 11, FALSE))</f>
        <v>2685.4150569968001</v>
      </c>
      <c r="DU41" s="227">
        <f>$BT41*(VLOOKUP(DU$4, Rates_current!$G$6:$Q$29, 10, FALSE)+VLOOKUP(DU$4, Rates_current!$G$6:$Q$29, 11, FALSE))</f>
        <v>2410.9314597840003</v>
      </c>
      <c r="DV41" s="229">
        <f>IF(D41=0,IF(C41=0,MAX(0,DY41 - (VLOOKUP($A41,TOCA_current!$A$2:$AI$137,MATCH("RHWM 2020",TOCA_current!$A$2:$AI$2,0),FALSE)*$BT$2)), 0),0)</f>
        <v>2778.1370558463968</v>
      </c>
      <c r="DW41" s="266">
        <f>VLOOKUP($A41,REP_current!$A$1:$D$135,MATCH("FY "&amp;$BT$1&amp; " Total Refund",REP_current!$A$1:$D$1,0),0)</f>
        <v>0</v>
      </c>
      <c r="DX41" s="295">
        <f>MIN(VLOOKUP($A41,TOCA_current!$A$2:$AI$137,MATCH("TRL - NLSL - Existing Resource "&amp;$BT$1,TOCA_current!$A$2:$AI$2,0),FALSE)*$BT$2, VLOOKUP($A41,TOCA_current!$A$2:$AI$137,MATCH("RHWM 2020",TOCA_current!$A$2:$AI$2,0),FALSE)*$BT$2)</f>
        <v>31824.432000000001</v>
      </c>
      <c r="DY41" s="240">
        <f>SUM(BZ41:CW41)+(BT41*RT1SC!$C$4*$BT$2)</f>
        <v>34602.569055846398</v>
      </c>
      <c r="DZ41" s="271">
        <f>VLOOKUP($A41,TOCA_current!$A$2:$AI$137,MATCH("Above RHWM Not Served with LS "&amp;$BT$1,TOCA_current!$A$2:$AI$2,0),FALSE)*$BT$2</f>
        <v>0</v>
      </c>
      <c r="EA41" s="244">
        <f t="shared" si="13"/>
        <v>2778.1370558463968</v>
      </c>
      <c r="EB41" s="295">
        <f>(VLOOKUP($A41,TOCA_current!$A$2:$AI$137,MATCH("RHWM 2020",TOCA_current!$A$2:$AI$2,0),FALSE)*$BT$2) - $DX41</f>
        <v>0</v>
      </c>
      <c r="EC41" s="240">
        <f t="shared" si="14"/>
        <v>0</v>
      </c>
      <c r="ED41" s="240">
        <f t="shared" si="15"/>
        <v>0</v>
      </c>
      <c r="EE41" s="240">
        <f t="shared" si="16"/>
        <v>0</v>
      </c>
      <c r="EF41" s="240">
        <f t="shared" si="17"/>
        <v>0</v>
      </c>
    </row>
    <row r="42" spans="1:136">
      <c r="A42" s="166">
        <v>10097</v>
      </c>
      <c r="B42" s="167" t="s">
        <v>43</v>
      </c>
      <c r="C42" s="240">
        <v>0</v>
      </c>
      <c r="D42" s="240">
        <v>0</v>
      </c>
      <c r="E42" s="150">
        <f>VLOOKUP($A42,TOCA_previous!$A$2:$AI$137,MATCH(E$4,TOCA_previous!$A$2:$AI$2,0),FALSE)</f>
        <v>2.8870000000000002E-4</v>
      </c>
      <c r="F42" s="151">
        <f>VLOOKUP($A42,TOCA_previous!$A$2:$AI$137,MATCH(F$4,TOCA_previous!$A$2:$AI$2,0),FALSE)</f>
        <v>2.8870000000000002E-4</v>
      </c>
      <c r="G42" s="151">
        <f t="shared" si="2"/>
        <v>0</v>
      </c>
      <c r="H42" s="151">
        <f>VLOOKUP($A42,TOCA_previous!$A$2:$AI$137,MATCH(H$4,TOCA_previous!$A$2:$AI$2,0),FALSE)</f>
        <v>0</v>
      </c>
      <c r="I42" s="151">
        <f t="shared" si="3"/>
        <v>0</v>
      </c>
      <c r="J42" s="151">
        <f t="shared" si="4"/>
        <v>0</v>
      </c>
      <c r="K42" s="226">
        <f>VLOOKUP(A42, IRD!$A$5:$C$139, 3, FALSE)</f>
        <v>0</v>
      </c>
      <c r="L42" s="227">
        <f t="array" ref="L42">IF($G42=0, INDEX(LS_previous!$D$4:$AY$138, MATCH('Staging Table'!$A42, LS_previous!$B$4:$B$138, 0), MATCH(L$4&amp;L$5, LS_previous!$D$2:$AY$2&amp;LS_previous!$D$3:$AY$3, 0)),SUM(VLOOKUP($A42, LS_previous!$B$4:$AY$138, LS_previous!D$149, FALSE), VLOOKUP('Staging Table'!$A42, LS_previous!$B$4:$AY$138,LS_previous!AB$149, FALSE))/2)</f>
        <v>-31</v>
      </c>
      <c r="M42" s="227">
        <f t="array" ref="M42">IF($G42=0, INDEX(LS_previous!$D$4:$AY$138, MATCH('Staging Table'!$A42, LS_previous!$B$4:$B$138, 0), MATCH(M$4&amp;M$5, LS_previous!$D$2:$AY$2&amp;LS_previous!$D$3:$AY$3, 0)),SUM(VLOOKUP($A42, LS_previous!$B$4:$AY$138, LS_previous!E$149, FALSE), VLOOKUP('Staging Table'!$A42, LS_previous!$B$4:$AY$138,LS_previous!AC$149, FALSE))/2)</f>
        <v>44</v>
      </c>
      <c r="N42" s="227">
        <f t="array" ref="N42">IF($G42=0, INDEX(LS_previous!$D$4:$AY$138, MATCH('Staging Table'!$A42, LS_previous!$B$4:$B$138, 0), MATCH(N$4&amp;N$5, LS_previous!$D$2:$AY$2&amp;LS_previous!$D$3:$AY$3, 0)),SUM(VLOOKUP($A42, LS_previous!$B$4:$AY$138, LS_previous!F$149, FALSE), VLOOKUP('Staging Table'!$A42, LS_previous!$B$4:$AY$138,LS_previous!AD$149, FALSE))/2)</f>
        <v>-43</v>
      </c>
      <c r="O42" s="227">
        <f t="array" ref="O42">IF($G42=0, INDEX(LS_previous!$D$4:$AY$138, MATCH('Staging Table'!$A42, LS_previous!$B$4:$B$138, 0), MATCH(O$4&amp;O$5, LS_previous!$D$2:$AY$2&amp;LS_previous!$D$3:$AY$3, 0)),SUM(VLOOKUP($A42, LS_previous!$B$4:$AY$138, LS_previous!G$149, FALSE), VLOOKUP('Staging Table'!$A42, LS_previous!$B$4:$AY$138,LS_previous!AE$149, FALSE))/2)</f>
        <v>117</v>
      </c>
      <c r="P42" s="227">
        <f t="array" ref="P42">IF($G42=0, INDEX(LS_previous!$D$4:$AY$138, MATCH('Staging Table'!$A42, LS_previous!$B$4:$B$138, 0), MATCH(P$4&amp;P$5, LS_previous!$D$2:$AY$2&amp;LS_previous!$D$3:$AY$3, 0)),SUM(VLOOKUP($A42, LS_previous!$B$4:$AY$138, LS_previous!H$149, FALSE), VLOOKUP('Staging Table'!$A42, LS_previous!$B$4:$AY$138,LS_previous!AF$149, FALSE))/2)</f>
        <v>185</v>
      </c>
      <c r="Q42" s="227">
        <f t="array" ref="Q42">IF($G42=0, INDEX(LS_previous!$D$4:$AY$138, MATCH('Staging Table'!$A42, LS_previous!$B$4:$B$138, 0), MATCH(Q$4&amp;Q$5, LS_previous!$D$2:$AY$2&amp;LS_previous!$D$3:$AY$3, 0)),SUM(VLOOKUP($A42, LS_previous!$B$4:$AY$138, LS_previous!I$149, FALSE), VLOOKUP('Staging Table'!$A42, LS_previous!$B$4:$AY$138,LS_previous!AG$149, FALSE))/2)</f>
        <v>234</v>
      </c>
      <c r="R42" s="227">
        <f t="array" ref="R42">IF($G42=0, INDEX(LS_previous!$D$4:$AY$138, MATCH('Staging Table'!$A42, LS_previous!$B$4:$B$138, 0), MATCH(R$4&amp;R$5, LS_previous!$D$2:$AY$2&amp;LS_previous!$D$3:$AY$3, 0)),SUM(VLOOKUP($A42, LS_previous!$B$4:$AY$138, LS_previous!J$149, FALSE), VLOOKUP('Staging Table'!$A42, LS_previous!$B$4:$AY$138,LS_previous!AH$149, FALSE))/2)</f>
        <v>352</v>
      </c>
      <c r="S42" s="227">
        <f t="array" ref="S42">IF($G42=0, INDEX(LS_previous!$D$4:$AY$138, MATCH('Staging Table'!$A42, LS_previous!$B$4:$B$138, 0), MATCH(S$4&amp;S$5, LS_previous!$D$2:$AY$2&amp;LS_previous!$D$3:$AY$3, 0)),SUM(VLOOKUP($A42, LS_previous!$B$4:$AY$138, LS_previous!K$149, FALSE), VLOOKUP('Staging Table'!$A42, LS_previous!$B$4:$AY$138,LS_previous!AI$149, FALSE))/2)</f>
        <v>346</v>
      </c>
      <c r="T42" s="227">
        <f t="array" ref="T42">IF($G42=0, INDEX(LS_previous!$D$4:$AY$138, MATCH('Staging Table'!$A42, LS_previous!$B$4:$B$138, 0), MATCH(T$4&amp;T$5, LS_previous!$D$2:$AY$2&amp;LS_previous!$D$3:$AY$3, 0)),SUM(VLOOKUP($A42, LS_previous!$B$4:$AY$138, LS_previous!L$149, FALSE), VLOOKUP('Staging Table'!$A42, LS_previous!$B$4:$AY$138,LS_previous!AJ$149, FALSE))/2)</f>
        <v>401</v>
      </c>
      <c r="U42" s="227">
        <f t="array" ref="U42">IF($G42=0, INDEX(LS_previous!$D$4:$AY$138, MATCH('Staging Table'!$A42, LS_previous!$B$4:$B$138, 0), MATCH(U$4&amp;U$5, LS_previous!$D$2:$AY$2&amp;LS_previous!$D$3:$AY$3, 0)),SUM(VLOOKUP($A42, LS_previous!$B$4:$AY$138, LS_previous!M$149, FALSE), VLOOKUP('Staging Table'!$A42, LS_previous!$B$4:$AY$138,LS_previous!AK$149, FALSE))/2)</f>
        <v>355</v>
      </c>
      <c r="V42" s="227">
        <f t="array" ref="V42">IF($G42=0, INDEX(LS_previous!$D$4:$AY$138, MATCH('Staging Table'!$A42, LS_previous!$B$4:$B$138, 0), MATCH(V$4&amp;V$5, LS_previous!$D$2:$AY$2&amp;LS_previous!$D$3:$AY$3, 0)),SUM(VLOOKUP($A42, LS_previous!$B$4:$AY$138, LS_previous!N$149, FALSE), VLOOKUP('Staging Table'!$A42, LS_previous!$B$4:$AY$138,LS_previous!AL$149, FALSE))/2)</f>
        <v>199</v>
      </c>
      <c r="W42" s="227">
        <f t="array" ref="W42">IF($G42=0, INDEX(LS_previous!$D$4:$AY$138, MATCH('Staging Table'!$A42, LS_previous!$B$4:$B$138, 0), MATCH(W$4&amp;W$5, LS_previous!$D$2:$AY$2&amp;LS_previous!$D$3:$AY$3, 0)),SUM(VLOOKUP($A42, LS_previous!$B$4:$AY$138, LS_previous!O$149, FALSE), VLOOKUP('Staging Table'!$A42, LS_previous!$B$4:$AY$138,LS_previous!AM$149, FALSE))/2)</f>
        <v>217</v>
      </c>
      <c r="X42" s="227">
        <f t="array" ref="X42">IF($G42=0, INDEX(LS_previous!$D$4:$AY$138, MATCH('Staging Table'!$A42, LS_previous!$B$4:$B$138, 0), MATCH(X$4&amp;X$5, LS_previous!$D$2:$AY$2&amp;LS_previous!$D$3:$AY$3, 0)),SUM(VLOOKUP($A42, LS_previous!$B$4:$AY$138, LS_previous!P$149, FALSE), VLOOKUP('Staging Table'!$A42, LS_previous!$B$4:$AY$138,LS_previous!AN$149, FALSE))/2)</f>
        <v>18</v>
      </c>
      <c r="Y42" s="227">
        <f t="array" ref="Y42">IF($G42=0, INDEX(LS_previous!$D$4:$AY$138, MATCH('Staging Table'!$A42, LS_previous!$B$4:$B$138, 0), MATCH(Y$4&amp;Y$5, LS_previous!$D$2:$AY$2&amp;LS_previous!$D$3:$AY$3, 0)),SUM(VLOOKUP($A42, LS_previous!$B$4:$AY$138, LS_previous!Q$149, FALSE), VLOOKUP('Staging Table'!$A42, LS_previous!$B$4:$AY$138,LS_previous!AO$149, FALSE))/2)</f>
        <v>101</v>
      </c>
      <c r="Z42" s="227">
        <f t="array" ref="Z42">IF($G42=0, INDEX(LS_previous!$D$4:$AY$138, MATCH('Staging Table'!$A42, LS_previous!$B$4:$B$138, 0), MATCH(Z$4&amp;Z$5, LS_previous!$D$2:$AY$2&amp;LS_previous!$D$3:$AY$3, 0)),SUM(VLOOKUP($A42, LS_previous!$B$4:$AY$138, LS_previous!R$149, FALSE), VLOOKUP('Staging Table'!$A42, LS_previous!$B$4:$AY$138,LS_previous!AP$149, FALSE))/2)</f>
        <v>-535</v>
      </c>
      <c r="AA42" s="227">
        <f t="array" ref="AA42">IF($G42=0, INDEX(LS_previous!$D$4:$AY$138, MATCH('Staging Table'!$A42, LS_previous!$B$4:$B$138, 0), MATCH(AA$4&amp;AA$5, LS_previous!$D$2:$AY$2&amp;LS_previous!$D$3:$AY$3, 0)),SUM(VLOOKUP($A42, LS_previous!$B$4:$AY$138, LS_previous!S$149, FALSE), VLOOKUP('Staging Table'!$A42, LS_previous!$B$4:$AY$138,LS_previous!AQ$149, FALSE))/2)</f>
        <v>-227</v>
      </c>
      <c r="AB42" s="227">
        <f t="array" ref="AB42">IF($G42=0, INDEX(LS_previous!$D$4:$AY$138, MATCH('Staging Table'!$A42, LS_previous!$B$4:$B$138, 0), MATCH(AB$4&amp;AB$5, LS_previous!$D$2:$AY$2&amp;LS_previous!$D$3:$AY$3, 0)),SUM(VLOOKUP($A42, LS_previous!$B$4:$AY$138, LS_previous!T$149, FALSE), VLOOKUP('Staging Table'!$A42, LS_previous!$B$4:$AY$138,LS_previous!AR$149, FALSE))/2)</f>
        <v>-372</v>
      </c>
      <c r="AC42" s="227">
        <f t="array" ref="AC42">IF($G42=0, INDEX(LS_previous!$D$4:$AY$138, MATCH('Staging Table'!$A42, LS_previous!$B$4:$B$138, 0), MATCH(AC$4&amp;AC$5, LS_previous!$D$2:$AY$2&amp;LS_previous!$D$3:$AY$3, 0)),SUM(VLOOKUP($A42, LS_previous!$B$4:$AY$138, LS_previous!U$149, FALSE), VLOOKUP('Staging Table'!$A42, LS_previous!$B$4:$AY$138,LS_previous!AS$149, FALSE))/2)</f>
        <v>-154</v>
      </c>
      <c r="AD42" s="227">
        <f t="array" ref="AD42">IF($G42=0, INDEX(LS_previous!$D$4:$AY$138, MATCH('Staging Table'!$A42, LS_previous!$B$4:$B$138, 0), MATCH(AD$4&amp;AD$5, LS_previous!$D$2:$AY$2&amp;LS_previous!$D$3:$AY$3, 0)),SUM(VLOOKUP($A42, LS_previous!$B$4:$AY$138, LS_previous!V$149, FALSE), VLOOKUP('Staging Table'!$A42, LS_previous!$B$4:$AY$138,LS_previous!AT$149, FALSE))/2)</f>
        <v>-243</v>
      </c>
      <c r="AE42" s="227">
        <f t="array" ref="AE42">IF($G42=0, INDEX(LS_previous!$D$4:$AY$138, MATCH('Staging Table'!$A42, LS_previous!$B$4:$B$138, 0), MATCH(AE$4&amp;AE$5, LS_previous!$D$2:$AY$2&amp;LS_previous!$D$3:$AY$3, 0)),SUM(VLOOKUP($A42, LS_previous!$B$4:$AY$138, LS_previous!W$149, FALSE), VLOOKUP('Staging Table'!$A42, LS_previous!$B$4:$AY$138,LS_previous!AU$149, FALSE))/2)</f>
        <v>-71</v>
      </c>
      <c r="AF42" s="227">
        <f t="array" ref="AF42">IF($G42=0, INDEX(LS_previous!$D$4:$AY$138, MATCH('Staging Table'!$A42, LS_previous!$B$4:$B$138, 0), MATCH(AF$4&amp;AF$5, LS_previous!$D$2:$AY$2&amp;LS_previous!$D$3:$AY$3, 0)),SUM(VLOOKUP($A42, LS_previous!$B$4:$AY$138, LS_previous!X$149, FALSE), VLOOKUP('Staging Table'!$A42, LS_previous!$B$4:$AY$138,LS_previous!AV$149, FALSE))/2)</f>
        <v>-343</v>
      </c>
      <c r="AG42" s="227">
        <f t="array" ref="AG42">IF($G42=0, INDEX(LS_previous!$D$4:$AY$138, MATCH('Staging Table'!$A42, LS_previous!$B$4:$B$138, 0), MATCH(AG$4&amp;AG$5, LS_previous!$D$2:$AY$2&amp;LS_previous!$D$3:$AY$3, 0)),SUM(VLOOKUP($A42, LS_previous!$B$4:$AY$138, LS_previous!Y$149, FALSE), VLOOKUP('Staging Table'!$A42, LS_previous!$B$4:$AY$138,LS_previous!AW$149, FALSE))/2)</f>
        <v>-128</v>
      </c>
      <c r="AH42" s="227">
        <f t="array" ref="AH42">IF($G42=0, INDEX(LS_previous!$D$4:$AY$138, MATCH('Staging Table'!$A42, LS_previous!$B$4:$B$138, 0), MATCH(AH$4&amp;AH$5, LS_previous!$D$2:$AY$2&amp;LS_previous!$D$3:$AY$3, 0)),SUM(VLOOKUP($A42, LS_previous!$B$4:$AY$138, LS_previous!Z$149, FALSE), VLOOKUP('Staging Table'!$A42, LS_previous!$B$4:$AY$138,LS_previous!AX$149, FALSE))/2)</f>
        <v>-247</v>
      </c>
      <c r="AI42" s="227">
        <f t="array" ref="AI42">IF($G42=0, INDEX(LS_previous!$D$4:$AY$138, MATCH('Staging Table'!$A42, LS_previous!$B$4:$B$138, 0), MATCH(AI$4&amp;AI$5, LS_previous!$D$2:$AY$2&amp;LS_previous!$D$3:$AY$3, 0)),SUM(VLOOKUP($A42, LS_previous!$B$4:$AY$138, LS_previous!AA$149, FALSE), VLOOKUP('Staging Table'!$A42, LS_previous!$B$4:$AY$138,LS_previous!AY$149, FALSE))/2)</f>
        <v>-79</v>
      </c>
      <c r="AJ42" s="424">
        <f t="array" ref="AJ42">INDEX(Demand_previous!$D$4:$AY$138, MATCH('Staging Table'!$A42, Demand_previous!$B$4:$B$138, 0), MATCH(AJ$4&amp;AJ$5,Demand_previous!$D$2:$AY$2&amp;Demand_previous!$D$3:$AY$3, 0))/1000</f>
        <v>0.217</v>
      </c>
      <c r="AK42" s="424">
        <f t="array" ref="AK42">INDEX(Demand_previous!$D$4:$AY$138, MATCH('Staging Table'!$A42, Demand_previous!$B$4:$B$138, 0), MATCH(AK$4&amp;AK$5,Demand_previous!$D$2:$AY$2&amp;Demand_previous!$D$3:$AY$3, 0))/1000</f>
        <v>0.45500000000000002</v>
      </c>
      <c r="AL42" s="424">
        <f t="array" ref="AL42">INDEX(Demand_previous!$D$4:$AY$138, MATCH('Staging Table'!$A42, Demand_previous!$B$4:$B$138, 0), MATCH(AL$4&amp;AL$5,Demand_previous!$D$2:$AY$2&amp;Demand_previous!$D$3:$AY$3, 0))/1000</f>
        <v>0.28899999999999998</v>
      </c>
      <c r="AM42" s="424">
        <f t="array" ref="AM42">INDEX(Demand_previous!$D$4:$AY$138, MATCH('Staging Table'!$A42, Demand_previous!$B$4:$B$138, 0), MATCH(AM$4&amp;AM$5,Demand_previous!$D$2:$AY$2&amp;Demand_previous!$D$3:$AY$3, 0))/1000</f>
        <v>0.50700000000000001</v>
      </c>
      <c r="AN42" s="424">
        <f t="array" ref="AN42">INDEX(Demand_previous!$D$4:$AY$138, MATCH('Staging Table'!$A42, Demand_previous!$B$4:$B$138, 0), MATCH(AN$4&amp;AN$5,Demand_previous!$D$2:$AY$2&amp;Demand_previous!$D$3:$AY$3, 0))/1000</f>
        <v>0.46700000000000003</v>
      </c>
      <c r="AO42" s="424">
        <f t="array" ref="AO42">INDEX(Demand_previous!$D$4:$AY$138, MATCH('Staging Table'!$A42, Demand_previous!$B$4:$B$138, 0), MATCH(AO$4&amp;AO$5,Demand_previous!$D$2:$AY$2&amp;Demand_previous!$D$3:$AY$3, 0))/1000</f>
        <v>0.41599999999999998</v>
      </c>
      <c r="AP42" s="424">
        <f t="array" ref="AP42">INDEX(Demand_previous!$D$4:$AY$138, MATCH('Staging Table'!$A42, Demand_previous!$B$4:$B$138, 0), MATCH(AP$4&amp;AP$5,Demand_previous!$D$2:$AY$2&amp;Demand_previous!$D$3:$AY$3, 0))/1000</f>
        <v>0.34</v>
      </c>
      <c r="AQ42" s="424">
        <f t="array" ref="AQ42">INDEX(Demand_previous!$D$4:$AY$138, MATCH('Staging Table'!$A42, Demand_previous!$B$4:$B$138, 0), MATCH(AQ$4&amp;AQ$5,Demand_previous!$D$2:$AY$2&amp;Demand_previous!$D$3:$AY$3, 0))/1000</f>
        <v>0.28299999999999997</v>
      </c>
      <c r="AR42" s="424">
        <f t="array" ref="AR42">INDEX(Demand_previous!$D$4:$AY$138, MATCH('Staging Table'!$A42, Demand_previous!$B$4:$B$138, 0), MATCH(AR$4&amp;AR$5,Demand_previous!$D$2:$AY$2&amp;Demand_previous!$D$3:$AY$3, 0))/1000</f>
        <v>0.27300000000000002</v>
      </c>
      <c r="AS42" s="424">
        <f t="array" ref="AS42">INDEX(Demand_previous!$D$4:$AY$138, MATCH('Staging Table'!$A42, Demand_previous!$B$4:$B$138, 0), MATCH(AS$4&amp;AS$5,Demand_previous!$D$2:$AY$2&amp;Demand_previous!$D$3:$AY$3, 0))/1000</f>
        <v>0.13100000000000001</v>
      </c>
      <c r="AT42" s="424">
        <f t="array" ref="AT42">INDEX(Demand_previous!$D$4:$AY$138, MATCH('Staging Table'!$A42, Demand_previous!$B$4:$B$138, 0), MATCH(AT$4&amp;AT$5,Demand_previous!$D$2:$AY$2&amp;Demand_previous!$D$3:$AY$3, 0))/1000</f>
        <v>0.221</v>
      </c>
      <c r="AU42" s="424">
        <f t="array" ref="AU42">INDEX(Demand_previous!$D$4:$AY$138, MATCH('Staging Table'!$A42, Demand_previous!$B$4:$B$138, 0), MATCH(AU$4&amp;AU$5,Demand_previous!$D$2:$AY$2&amp;Demand_previous!$D$3:$AY$3, 0))/1000</f>
        <v>0.16</v>
      </c>
      <c r="AV42" s="227">
        <f>$F42*(VLOOKUP(AV$4, Rates_previous!$G$6:$Q$29, 10, FALSE)+VLOOKUP(AV$4, Rates_previous!$G$6:$Q$29, 11, FALSE))</f>
        <v>1353.6674620018487</v>
      </c>
      <c r="AW42" s="227">
        <f>$F42*(VLOOKUP(AW$4, Rates_previous!$G$6:$Q$29, 10, FALSE)+VLOOKUP(AW$4, Rates_previous!$G$6:$Q$29, 11, FALSE))</f>
        <v>1673.0300988547901</v>
      </c>
      <c r="AX42" s="227">
        <f>$F42*(VLOOKUP(AX$4, Rates_previous!$G$6:$Q$29, 10, FALSE)+VLOOKUP(AX$4, Rates_previous!$G$6:$Q$29, 11, FALSE))</f>
        <v>1652.9390084081967</v>
      </c>
      <c r="AY42" s="227">
        <f>$F42*(VLOOKUP(AY$4, Rates_previous!$G$6:$Q$29, 10, FALSE)+VLOOKUP(AY$4, Rates_previous!$G$6:$Q$29, 11, FALSE))</f>
        <v>1412.278831576692</v>
      </c>
      <c r="AZ42" s="227">
        <f>$F42*(VLOOKUP(AZ$4, Rates_previous!$G$6:$Q$29, 10, FALSE)+VLOOKUP(AZ$4, Rates_previous!$G$6:$Q$29, 11, FALSE))</f>
        <v>1157.7947005467493</v>
      </c>
      <c r="BA42" s="227">
        <f>$F42*(VLOOKUP(BA$4, Rates_previous!$G$6:$Q$29, 10, FALSE)+VLOOKUP(BA$4, Rates_previous!$G$6:$Q$29, 11, FALSE))</f>
        <v>1370.786870440885</v>
      </c>
      <c r="BB42" s="227">
        <f>$F42*(VLOOKUP(BB$4, Rates_previous!$G$6:$Q$29, 10, FALSE)+VLOOKUP(BB$4, Rates_previous!$G$6:$Q$29, 11, FALSE))</f>
        <v>1317.5255756087488</v>
      </c>
      <c r="BC42" s="227">
        <f>$F42*(VLOOKUP(BC$4, Rates_previous!$G$6:$Q$29, 10, FALSE)+VLOOKUP(BC$4, Rates_previous!$G$6:$Q$29, 11, FALSE))</f>
        <v>1933.3755504761896</v>
      </c>
      <c r="BD42" s="227">
        <f>$F42*(VLOOKUP(BD$4, Rates_previous!$G$6:$Q$29, 10, FALSE)+VLOOKUP(BD$4, Rates_previous!$G$6:$Q$29, 11, FALSE))</f>
        <v>1525.3822095870339</v>
      </c>
      <c r="BE42" s="227">
        <f>$F42*(VLOOKUP(BE$4, Rates_previous!$G$6:$Q$29, 10, FALSE)+VLOOKUP(BE$4, Rates_previous!$G$6:$Q$29, 11, FALSE))</f>
        <v>1339.4136137820251</v>
      </c>
      <c r="BF42" s="227">
        <f>$F42*(VLOOKUP(BF$4, Rates_previous!$G$6:$Q$29, 10, FALSE)+VLOOKUP(BF$4, Rates_previous!$G$6:$Q$29, 11, FALSE))</f>
        <v>1483.4541909270602</v>
      </c>
      <c r="BG42" s="227">
        <f>$F42*(VLOOKUP(BG$4, Rates_previous!$G$6:$Q$29, 10, FALSE)+VLOOKUP(BG$4, Rates_previous!$G$6:$Q$29, 11, FALSE))</f>
        <v>1343.9505037040756</v>
      </c>
      <c r="BH42" s="229">
        <f>IF($D42=0,IF(C42=0, MAX(BK42 - (VLOOKUP($A42,TOCA_previous!$A$2:$AI$137,MATCH("RHWM 2018",TOCA_previous!$A$2:$AI$2,0),FALSE)*$F$2*TOCA_previous!C39),0),0), 0)</f>
        <v>95.798872152001422</v>
      </c>
      <c r="BI42" s="266">
        <f>VLOOKUP($A42,REP_previous!$A$1:$D$135,MATCH("FY "&amp;$F$1&amp; " Total Refund",REP_previous!$A$1:$D$1,0),0)</f>
        <v>11451.95956449559</v>
      </c>
      <c r="BJ42" s="241">
        <f>MIN(VLOOKUP($A42,TOCA_previous!$A$2:$AI$137,MATCH("TRL - NLSL - Existing Resource "&amp;$F$1,TOCA_previous!$A$2:$AI$2,0),FALSE)*$F$2,(VLOOKUP($A42,TOCA_previous!$A$2:$AI$137,MATCH("RHWM 2018",TOCA_previous!$A$2:$AI$2,0),FALSE)*$F$2))</f>
        <v>17563.8</v>
      </c>
      <c r="BK42" s="229">
        <f>SUM(L42:AI42)+(F42*RT1SC!$C$3*$F$2)</f>
        <v>17659.598872152001</v>
      </c>
      <c r="BL42" s="241">
        <f>VLOOKUP($A42,TOCA_previous!$A$2:$AI$137,MATCH("Above RHWM Not Served with LS "&amp;$F$1,TOCA_previous!$A$2:$AI$2,0),FALSE)*$F$2</f>
        <v>0</v>
      </c>
      <c r="BM42" s="151">
        <f t="shared" si="5"/>
        <v>95.798872152001422</v>
      </c>
      <c r="BN42" s="242">
        <f>(VLOOKUP($A42,TOCA_previous!$A$2:$AI$137,MATCH("RHWM 2018",TOCA_previous!$A$2:$AI$2,0),FALSE)*$F$2) - $BJ42</f>
        <v>0</v>
      </c>
      <c r="BO42" s="151">
        <f t="shared" si="6"/>
        <v>0</v>
      </c>
      <c r="BP42" s="243">
        <f t="shared" si="7"/>
        <v>0</v>
      </c>
      <c r="BQ42" s="237">
        <f t="shared" si="8"/>
        <v>0</v>
      </c>
      <c r="BR42" s="242">
        <f t="shared" si="9"/>
        <v>0</v>
      </c>
      <c r="BS42" s="151">
        <f>VLOOKUP($A42,TOCA_current!$A$2:$AI$137,MATCH(BS$4,TOCA_current!$A$2:$AI$2,0),FALSE)</f>
        <v>2.8630000000000002E-4</v>
      </c>
      <c r="BT42" s="151">
        <f>VLOOKUP($A42,TOCA_current!$A$2:$AI$137,MATCH(BT$4,TOCA_current!$A$2:$AI$2,0),FALSE)</f>
        <v>2.8630000000000002E-4</v>
      </c>
      <c r="BU42" s="236">
        <f t="shared" si="10"/>
        <v>0</v>
      </c>
      <c r="BV42" s="151">
        <f>VLOOKUP($A42,TOCA_current!A38:BG173,MATCH(BV$4,TOCA_current!$A$2:$BG$2,0),FALSE)</f>
        <v>0</v>
      </c>
      <c r="BW42" s="151">
        <f t="shared" si="11"/>
        <v>0</v>
      </c>
      <c r="BX42" s="151">
        <f t="shared" si="12"/>
        <v>0</v>
      </c>
      <c r="BY42" s="226">
        <f>VLOOKUP($A42,IRD!$A$4:$G$139, 7, FALSE)</f>
        <v>0</v>
      </c>
      <c r="BZ42" s="227">
        <f t="array" ref="BZ42">IF($BU42=0, INDEX(LS_current!$D$4:$AY$138, MATCH('Staging Table'!$A42, LS_current!$B$4:$B$138, 0), MATCH(BZ$4&amp;BZ$5, LS_current!$D$2:$AY$2&amp;LS_current!$D$3:$AY$3, 0)),SUM(VLOOKUP($A42, LS_current!$B$4:$AY$138, LS_current!D$148, FALSE), VLOOKUP($A42, LS_current!$B$4:$AY$138,LS_current!D$148, FALSE))/2)</f>
        <v>-12</v>
      </c>
      <c r="CA42" s="227">
        <f t="array" ref="CA42">IF($BU42=0, INDEX(LS_current!$D$4:$AY$138, MATCH('Staging Table'!$A42, LS_current!$B$4:$B$138, 0), MATCH(CA$4&amp;CA$5, LS_current!$D$2:$AY$2&amp;LS_current!$D$3:$AY$3, 0)),SUM(VLOOKUP($A42, LS_current!$B$4:$AY$138, LS_current!E$148, FALSE), VLOOKUP($A42, LS_current!$B$4:$AY$138,LS_current!E$148, FALSE))/2)</f>
        <v>57</v>
      </c>
      <c r="CB42" s="227">
        <f t="array" ref="CB42">IF($BU42=0, INDEX(LS_current!$D$4:$AY$138, MATCH('Staging Table'!$A42, LS_current!$B$4:$B$138, 0), MATCH(CB$4&amp;CB$5, LS_current!$D$2:$AY$2&amp;LS_current!$D$3:$AY$3, 0)),SUM(VLOOKUP($A42, LS_current!$B$4:$AY$138, LS_current!F$148, FALSE), VLOOKUP($A42, LS_current!$B$4:$AY$138,LS_current!F$148, FALSE))/2)</f>
        <v>-41</v>
      </c>
      <c r="CC42" s="227">
        <f t="array" ref="CC42">IF($BU42=0, INDEX(LS_current!$D$4:$AY$138, MATCH('Staging Table'!$A42, LS_current!$B$4:$B$138, 0), MATCH(CC$4&amp;CC$5, LS_current!$D$2:$AY$2&amp;LS_current!$D$3:$AY$3, 0)),SUM(VLOOKUP($A42, LS_current!$B$4:$AY$138, LS_current!G$148, FALSE), VLOOKUP($A42, LS_current!$B$4:$AY$138,LS_current!G$148, FALSE))/2)</f>
        <v>109</v>
      </c>
      <c r="CD42" s="227">
        <f t="array" ref="CD42">IF($BU42=0, INDEX(LS_current!$D$4:$AY$138, MATCH('Staging Table'!$A42, LS_current!$B$4:$B$138, 0), MATCH(CD$4&amp;CD$5, LS_current!$D$2:$AY$2&amp;LS_current!$D$3:$AY$3, 0)),SUM(VLOOKUP($A42, LS_current!$B$4:$AY$138, LS_current!H$148, FALSE), VLOOKUP($A42, LS_current!$B$4:$AY$138,LS_current!H$148, FALSE))/2)</f>
        <v>184</v>
      </c>
      <c r="CE42" s="227">
        <f t="array" ref="CE42">IF($BU42=0, INDEX(LS_current!$D$4:$AY$138, MATCH('Staging Table'!$A42, LS_current!$B$4:$B$138, 0), MATCH(CE$4&amp;CE$5, LS_current!$D$2:$AY$2&amp;LS_current!$D$3:$AY$3, 0)),SUM(VLOOKUP($A42, LS_current!$B$4:$AY$138, LS_current!I$148, FALSE), VLOOKUP($A42, LS_current!$B$4:$AY$138,LS_current!I$148, FALSE))/2)</f>
        <v>228</v>
      </c>
      <c r="CF42" s="227">
        <f t="array" ref="CF42">IF($BU42=0, INDEX(LS_current!$D$4:$AY$138, MATCH('Staging Table'!$A42, LS_current!$B$4:$B$138, 0), MATCH(CF$4&amp;CF$5, LS_current!$D$2:$AY$2&amp;LS_current!$D$3:$AY$3, 0)),SUM(VLOOKUP($A42, LS_current!$B$4:$AY$138, LS_current!J$148, FALSE), VLOOKUP($A42, LS_current!$B$4:$AY$138,LS_current!J$148, FALSE))/2)</f>
        <v>356</v>
      </c>
      <c r="CG42" s="227">
        <f t="array" ref="CG42">IF($BU42=0, INDEX(LS_current!$D$4:$AY$138, MATCH('Staging Table'!$A42, LS_current!$B$4:$B$138, 0), MATCH(CG$4&amp;CG$5, LS_current!$D$2:$AY$2&amp;LS_current!$D$3:$AY$3, 0)),SUM(VLOOKUP($A42, LS_current!$B$4:$AY$138, LS_current!K$148, FALSE), VLOOKUP($A42, LS_current!$B$4:$AY$138,LS_current!K$148, FALSE))/2)</f>
        <v>372</v>
      </c>
      <c r="CH42" s="227">
        <f t="array" ref="CH42">IF($BU42=0, INDEX(LS_current!$D$4:$AY$138, MATCH('Staging Table'!$A42, LS_current!$B$4:$B$138, 0), MATCH(CH$4&amp;CH$5, LS_current!$D$2:$AY$2&amp;LS_current!$D$3:$AY$3, 0)),SUM(VLOOKUP($A42, LS_current!$B$4:$AY$138, LS_current!L$148, FALSE), VLOOKUP($A42, LS_current!$B$4:$AY$138,LS_current!L$148, FALSE))/2)</f>
        <v>342</v>
      </c>
      <c r="CI42" s="227">
        <f t="array" ref="CI42">IF($BU42=0, INDEX(LS_current!$D$4:$AY$138, MATCH('Staging Table'!$A42, LS_current!$B$4:$B$138, 0), MATCH(CI$4&amp;CI$5, LS_current!$D$2:$AY$2&amp;LS_current!$D$3:$AY$3, 0)),SUM(VLOOKUP($A42, LS_current!$B$4:$AY$138, LS_current!M$148, FALSE), VLOOKUP($A42, LS_current!$B$4:$AY$138,LS_current!M$148, FALSE))/2)</f>
        <v>320</v>
      </c>
      <c r="CJ42" s="227">
        <f t="array" ref="CJ42">IF($BU42=0, INDEX(LS_current!$D$4:$AY$138, MATCH('Staging Table'!$A42, LS_current!$B$4:$B$138, 0), MATCH(CJ$4&amp;CJ$5, LS_current!$D$2:$AY$2&amp;LS_current!$D$3:$AY$3, 0)),SUM(VLOOKUP($A42, LS_current!$B$4:$AY$138, LS_current!N$148, FALSE), VLOOKUP($A42, LS_current!$B$4:$AY$138,LS_current!N$148, FALSE))/2)</f>
        <v>180</v>
      </c>
      <c r="CK42" s="227">
        <f t="array" ref="CK42">IF($BU42=0, INDEX(LS_current!$D$4:$AY$138, MATCH('Staging Table'!$A42, LS_current!$B$4:$B$138, 0), MATCH(CK$4&amp;CK$5, LS_current!$D$2:$AY$2&amp;LS_current!$D$3:$AY$3, 0)),SUM(VLOOKUP($A42, LS_current!$B$4:$AY$138, LS_current!O$148, FALSE), VLOOKUP($A42, LS_current!$B$4:$AY$138,LS_current!O$148, FALSE))/2)</f>
        <v>214</v>
      </c>
      <c r="CL42" s="227">
        <f t="array" ref="CL42">IF($BU42=0, INDEX(LS_current!$D$4:$AY$138, MATCH('Staging Table'!$A42, LS_current!$B$4:$B$138, 0), MATCH(CL$4&amp;CL$5, LS_current!$D$2:$AY$2&amp;LS_current!$D$3:$AY$3, 0)),SUM(VLOOKUP($A42, LS_current!$B$4:$AY$138, LS_current!P$148, FALSE), VLOOKUP($A42, LS_current!$B$4:$AY$138,LS_current!P$148, FALSE))/2)</f>
        <v>152</v>
      </c>
      <c r="CM42" s="227">
        <f t="array" ref="CM42">IF($BU42=0, INDEX(LS_current!$D$4:$AY$138, MATCH('Staging Table'!$A42, LS_current!$B$4:$B$138, 0), MATCH(CM$4&amp;CM$5, LS_current!$D$2:$AY$2&amp;LS_current!$D$3:$AY$3, 0)),SUM(VLOOKUP($A42, LS_current!$B$4:$AY$138, LS_current!Q$148, FALSE), VLOOKUP($A42, LS_current!$B$4:$AY$138,LS_current!Q$148, FALSE))/2)</f>
        <v>151</v>
      </c>
      <c r="CN42" s="227">
        <f t="array" ref="CN42">IF($BU42=0, INDEX(LS_current!$D$4:$AY$138, MATCH('Staging Table'!$A42, LS_current!$B$4:$B$138, 0), MATCH(CN$4&amp;CN$5, LS_current!$D$2:$AY$2&amp;LS_current!$D$3:$AY$3, 0)),SUM(VLOOKUP($A42, LS_current!$B$4:$AY$138, LS_current!R$148, FALSE), VLOOKUP($A42, LS_current!$B$4:$AY$138,LS_current!R$148, FALSE))/2)</f>
        <v>-295</v>
      </c>
      <c r="CO42" s="227">
        <f t="array" ref="CO42">IF($BU42=0, INDEX(LS_current!$D$4:$AY$138, MATCH('Staging Table'!$A42, LS_current!$B$4:$B$138, 0), MATCH(CO$4&amp;CO$5, LS_current!$D$2:$AY$2&amp;LS_current!$D$3:$AY$3, 0)),SUM(VLOOKUP($A42, LS_current!$B$4:$AY$138, LS_current!S$148, FALSE), VLOOKUP($A42, LS_current!$B$4:$AY$138,LS_current!S$148, FALSE))/2)</f>
        <v>-63</v>
      </c>
      <c r="CP42" s="227">
        <f t="array" ref="CP42">IF($BU42=0, INDEX(LS_current!$D$4:$AY$138, MATCH('Staging Table'!$A42, LS_current!$B$4:$B$138, 0), MATCH(CP$4&amp;CP$5, LS_current!$D$2:$AY$2&amp;LS_current!$D$3:$AY$3, 0)),SUM(VLOOKUP($A42, LS_current!$B$4:$AY$138, LS_current!T$148, FALSE), VLOOKUP($A42, LS_current!$B$4:$AY$138,LS_current!T$148, FALSE))/2)</f>
        <v>-641</v>
      </c>
      <c r="CQ42" s="227">
        <f t="array" ref="CQ42">IF($BU42=0, INDEX(LS_current!$D$4:$AY$138, MATCH('Staging Table'!$A42, LS_current!$B$4:$B$138, 0), MATCH(CQ$4&amp;CQ$5, LS_current!$D$2:$AY$2&amp;LS_current!$D$3:$AY$3, 0)),SUM(VLOOKUP($A42, LS_current!$B$4:$AY$138, LS_current!U$148, FALSE), VLOOKUP($A42, LS_current!$B$4:$AY$138,LS_current!U$148, FALSE))/2)</f>
        <v>-311</v>
      </c>
      <c r="CR42" s="227">
        <f t="array" ref="CR42">IF($BU42=0, INDEX(LS_current!$D$4:$AY$138, MATCH('Staging Table'!$A42, LS_current!$B$4:$B$138, 0), MATCH(CR$4&amp;CR$5, LS_current!$D$2:$AY$2&amp;LS_current!$D$3:$AY$3, 0)),SUM(VLOOKUP($A42, LS_current!$B$4:$AY$138, LS_current!V$148, FALSE), VLOOKUP($A42, LS_current!$B$4:$AY$138,LS_current!V$148, FALSE))/2)</f>
        <v>-421</v>
      </c>
      <c r="CS42" s="227">
        <f t="array" ref="CS42">IF($BU42=0, INDEX(LS_current!$D$4:$AY$138, MATCH('Staging Table'!$A42, LS_current!$B$4:$B$138, 0), MATCH(CS$4&amp;CS$5, LS_current!$D$2:$AY$2&amp;LS_current!$D$3:$AY$3, 0)),SUM(VLOOKUP($A42, LS_current!$B$4:$AY$138, LS_current!W$148, FALSE), VLOOKUP($A42, LS_current!$B$4:$AY$138,LS_current!W$148, FALSE))/2)</f>
        <v>-84</v>
      </c>
      <c r="CT42" s="227">
        <f t="array" ref="CT42">IF($BU42=0, INDEX(LS_current!$D$4:$AY$138, MATCH('Staging Table'!$A42, LS_current!$B$4:$B$138, 0), MATCH(CT$4&amp;CT$5, LS_current!$D$2:$AY$2&amp;LS_current!$D$3:$AY$3, 0)),SUM(VLOOKUP($A42, LS_current!$B$4:$AY$138, LS_current!X$148, FALSE), VLOOKUP($A42, LS_current!$B$4:$AY$138,LS_current!X$148, FALSE))/2)</f>
        <v>-372</v>
      </c>
      <c r="CU42" s="227">
        <f t="array" ref="CU42">IF($BU42=0, INDEX(LS_current!$D$4:$AY$138, MATCH('Staging Table'!$A42, LS_current!$B$4:$B$138, 0), MATCH(CU$4&amp;CU$5, LS_current!$D$2:$AY$2&amp;LS_current!$D$3:$AY$3, 0)),SUM(VLOOKUP($A42, LS_current!$B$4:$AY$138, LS_current!Y$148, FALSE), VLOOKUP($A42, LS_current!$B$4:$AY$138,LS_current!Y$148, FALSE))/2)</f>
        <v>-106</v>
      </c>
      <c r="CV42" s="227">
        <f t="array" ref="CV42">IF($BU42=0, INDEX(LS_current!$D$4:$AY$138, MATCH('Staging Table'!$A42, LS_current!$B$4:$B$138, 0), MATCH(CV$4&amp;CV$5, LS_current!$D$2:$AY$2&amp;LS_current!$D$3:$AY$3, 0)),SUM(VLOOKUP($A42, LS_current!$B$4:$AY$138, LS_current!Z$148, FALSE), VLOOKUP($A42, LS_current!$B$4:$AY$138,LS_current!Z$148, FALSE))/2)</f>
        <v>-244</v>
      </c>
      <c r="CW42" s="227">
        <f t="array" ref="CW42">IF($BU42=0, INDEX(LS_current!$D$4:$AY$138, MATCH('Staging Table'!$A42, LS_current!$B$4:$B$138, 0), MATCH(CW$4&amp;CW$5, LS_current!$D$2:$AY$2&amp;LS_current!$D$3:$AY$3, 0)),SUM(VLOOKUP($A42, LS_current!$B$4:$AY$138, LS_current!AA$148, FALSE), VLOOKUP($A42, LS_current!$B$4:$AY$138,LS_current!AA$148, FALSE))/2)</f>
        <v>-76</v>
      </c>
      <c r="CX42" s="229">
        <f t="array" ref="CX42">INDEX(Demand_current!$D$4:$AY$138, MATCH($A42, Demand_current!$B$4:$B$138, 0), MATCH(CX$4&amp;CX$5,Demand_current!$D$2:$AY$2&amp;Demand_current!$D$3:$AY$3, 0))/1000</f>
        <v>0.29199999999999998</v>
      </c>
      <c r="CY42" s="229">
        <f t="array" ref="CY42">INDEX(Demand_current!$D$4:$AY$138, MATCH($A42, Demand_current!$B$4:$B$138, 0), MATCH(CY$4&amp;CY$5,Demand_current!$D$2:$AY$2&amp;Demand_current!$D$3:$AY$3, 0))/1000</f>
        <v>0.45500000000000002</v>
      </c>
      <c r="CZ42" s="229">
        <f t="array" ref="CZ42">INDEX(Demand_current!$D$4:$AY$138, MATCH($A42, Demand_current!$B$4:$B$138, 0), MATCH(CZ$4&amp;CZ$5,Demand_current!$D$2:$AY$2&amp;Demand_current!$D$3:$AY$3, 0))/1000</f>
        <v>0.28899999999999998</v>
      </c>
      <c r="DA42" s="229">
        <f t="array" ref="DA42">INDEX(Demand_current!$D$4:$AY$138, MATCH($A42, Demand_current!$B$4:$B$138, 0), MATCH(DA$4&amp;DA$5,Demand_current!$D$2:$AY$2&amp;Demand_current!$D$3:$AY$3, 0))/1000</f>
        <v>0.50700000000000001</v>
      </c>
      <c r="DB42" s="229">
        <f t="array" ref="DB42">INDEX(Demand_current!$D$4:$AY$138, MATCH($A42, Demand_current!$B$4:$B$138, 0), MATCH(DB$4&amp;DB$5,Demand_current!$D$2:$AY$2&amp;Demand_current!$D$3:$AY$3, 0))/1000</f>
        <v>0.58499999999999996</v>
      </c>
      <c r="DC42" s="229">
        <f t="array" ref="DC42">INDEX(Demand_current!$D$4:$AY$138, MATCH($A42, Demand_current!$B$4:$B$138, 0), MATCH(DC$4&amp;DC$5,Demand_current!$D$2:$AY$2&amp;Demand_current!$D$3:$AY$3, 0))/1000</f>
        <v>0.32100000000000001</v>
      </c>
      <c r="DD42" s="229">
        <f t="array" ref="DD42">INDEX(Demand_current!$D$4:$AY$138, MATCH($A42, Demand_current!$B$4:$B$138, 0), MATCH(DD$4&amp;DD$5,Demand_current!$D$2:$AY$2&amp;Demand_current!$D$3:$AY$3, 0))/1000</f>
        <v>0.42299999999999999</v>
      </c>
      <c r="DE42" s="229">
        <f t="array" ref="DE42">INDEX(Demand_current!$D$4:$AY$138, MATCH($A42, Demand_current!$B$4:$B$138, 0), MATCH(DE$4&amp;DE$5,Demand_current!$D$2:$AY$2&amp;Demand_current!$D$3:$AY$3, 0))/1000</f>
        <v>0.216</v>
      </c>
      <c r="DF42" s="229">
        <f t="array" ref="DF42">INDEX(Demand_current!$D$4:$AY$138, MATCH($A42, Demand_current!$B$4:$B$138, 0), MATCH(DF$4&amp;DF$5,Demand_current!$D$2:$AY$2&amp;Demand_current!$D$3:$AY$3, 0))/1000</f>
        <v>0.27300000000000002</v>
      </c>
      <c r="DG42" s="229">
        <f t="array" ref="DG42">INDEX(Demand_current!$D$4:$AY$138, MATCH($A42, Demand_current!$B$4:$B$138, 0), MATCH(DG$4&amp;DG$5,Demand_current!$D$2:$AY$2&amp;Demand_current!$D$3:$AY$3, 0))/1000</f>
        <v>0.192</v>
      </c>
      <c r="DH42" s="229">
        <f t="array" ref="DH42">INDEX(Demand_current!$D$4:$AY$138, MATCH($A42, Demand_current!$B$4:$B$138, 0), MATCH(DH$4&amp;DH$5,Demand_current!$D$2:$AY$2&amp;Demand_current!$D$3:$AY$3, 0))/1000</f>
        <v>0.16300000000000001</v>
      </c>
      <c r="DI42" s="229">
        <f t="array" ref="DI42">INDEX(Demand_current!$D$4:$AY$138, MATCH($A42, Demand_current!$B$4:$B$138, 0), MATCH(DI$4&amp;DI$5,Demand_current!$D$2:$AY$2&amp;Demand_current!$D$3:$AY$3, 0))/1000</f>
        <v>0.224</v>
      </c>
      <c r="DJ42" s="227">
        <f>$BT42*(VLOOKUP(DJ$4, Rates_current!$G$6:$Q$29, 10, FALSE)+VLOOKUP(DJ$4, Rates_current!$G$6:$Q$29, 11, FALSE))</f>
        <v>1321.9379132147999</v>
      </c>
      <c r="DK42" s="227">
        <f>$BT42*(VLOOKUP(DK$4, Rates_current!$G$6:$Q$29, 10, FALSE)+VLOOKUP(DK$4, Rates_current!$G$6:$Q$29, 11, FALSE))</f>
        <v>1679.2735363257002</v>
      </c>
      <c r="DL42" s="227">
        <f>$BT42*(VLOOKUP(DL$4, Rates_current!$G$6:$Q$29, 10, FALSE)+VLOOKUP(DL$4, Rates_current!$G$6:$Q$29, 11, FALSE))</f>
        <v>1658.9940361148003</v>
      </c>
      <c r="DM42" s="227">
        <f>$BT42*(VLOOKUP(DM$4, Rates_current!$G$6:$Q$29, 10, FALSE)+VLOOKUP(DM$4, Rates_current!$G$6:$Q$29, 11, FALSE))</f>
        <v>1382.8725737148002</v>
      </c>
      <c r="DN42" s="227">
        <f>$BT42*(VLOOKUP(DN$4, Rates_current!$G$6:$Q$29, 10, FALSE)+VLOOKUP(DN$4, Rates_current!$G$6:$Q$29, 11, FALSE))</f>
        <v>1252.7390898400001</v>
      </c>
      <c r="DO42" s="227">
        <f>$BT42*(VLOOKUP(DO$4, Rates_current!$G$6:$Q$29, 10, FALSE)+VLOOKUP(DO$4, Rates_current!$G$6:$Q$29, 11, FALSE))</f>
        <v>1393.4438407631001</v>
      </c>
      <c r="DP42" s="227">
        <f>$BT42*(VLOOKUP(DP$4, Rates_current!$G$6:$Q$29, 10, FALSE)+VLOOKUP(DP$4, Rates_current!$G$6:$Q$29, 11, FALSE))</f>
        <v>1134.543478824</v>
      </c>
      <c r="DQ42" s="227">
        <f>$BT42*(VLOOKUP(DQ$4, Rates_current!$G$6:$Q$29, 10, FALSE)+VLOOKUP(DQ$4, Rates_current!$G$6:$Q$29, 11, FALSE))</f>
        <v>1530.1010603648003</v>
      </c>
      <c r="DR42" s="227">
        <f>$BT42*(VLOOKUP(DR$4, Rates_current!$G$6:$Q$29, 10, FALSE)+VLOOKUP(DR$4, Rates_current!$G$6:$Q$29, 11, FALSE))</f>
        <v>1952.3048886740003</v>
      </c>
      <c r="DS42" s="227">
        <f>$BT42*(VLOOKUP(DS$4, Rates_current!$G$6:$Q$29, 10, FALSE)+VLOOKUP(DS$4, Rates_current!$G$6:$Q$29, 11, FALSE))</f>
        <v>1530.6689364148003</v>
      </c>
      <c r="DT42" s="227">
        <f>$BT42*(VLOOKUP(DT$4, Rates_current!$G$6:$Q$29, 10, FALSE)+VLOOKUP(DT$4, Rates_current!$G$6:$Q$29, 11, FALSE))</f>
        <v>1490.5667522648002</v>
      </c>
      <c r="DU42" s="227">
        <f>$BT42*(VLOOKUP(DU$4, Rates_current!$G$6:$Q$29, 10, FALSE)+VLOOKUP(DU$4, Rates_current!$G$6:$Q$29, 11, FALSE))</f>
        <v>1338.2118591240003</v>
      </c>
      <c r="DV42" s="229">
        <f>IF(D42=0,IF(C42=0,MAX(0,DY42 - (VLOOKUP($A42,TOCA_current!$A$2:$AI$137,MATCH("RHWM 2020",TOCA_current!$A$2:$AI$2,0),FALSE)*$BT$2)), 0),0)</f>
        <v>0</v>
      </c>
      <c r="DW42" s="266">
        <f>VLOOKUP($A42,REP_current!$A$1:$D$135,MATCH("FY "&amp;$BT$1&amp; " Total Refund",REP_current!$A$1:$D$1,0),0)</f>
        <v>0</v>
      </c>
      <c r="DX42" s="295">
        <f>MIN(VLOOKUP($A42,TOCA_current!$A$2:$AI$137,MATCH("TRL - NLSL - Existing Resource "&amp;$BT$1,TOCA_current!$A$2:$AI$2,0),FALSE)*$BT$2, VLOOKUP($A42,TOCA_current!$A$2:$AI$137,MATCH("RHWM 2020",TOCA_current!$A$2:$AI$2,0),FALSE)*$BT$2)</f>
        <v>17664.624</v>
      </c>
      <c r="DY42" s="240">
        <f>SUM(BZ42:CW42)+(BT42*RT1SC!$C$4*$BT$2)</f>
        <v>17664.6586287104</v>
      </c>
      <c r="DZ42" s="271">
        <f>VLOOKUP($A42,TOCA_current!$A$2:$AI$137,MATCH("Above RHWM Not Served with LS "&amp;$BT$1,TOCA_current!$A$2:$AI$2,0),FALSE)*$BT$2</f>
        <v>0</v>
      </c>
      <c r="EA42" s="244">
        <f t="shared" si="13"/>
        <v>3.4628710400284035E-2</v>
      </c>
      <c r="EB42" s="295">
        <f>(VLOOKUP($A42,TOCA_current!$A$2:$AI$137,MATCH("RHWM 2020",TOCA_current!$A$2:$AI$2,0),FALSE)*$BT$2) - $DX42</f>
        <v>140.54400000000169</v>
      </c>
      <c r="EC42" s="240">
        <f t="shared" si="14"/>
        <v>-3.4628710400284035E-2</v>
      </c>
      <c r="ED42" s="240">
        <f t="shared" si="15"/>
        <v>0</v>
      </c>
      <c r="EE42" s="240">
        <f t="shared" si="16"/>
        <v>0</v>
      </c>
      <c r="EF42" s="240">
        <f t="shared" si="17"/>
        <v>-3.4628710400284035E-2</v>
      </c>
    </row>
    <row r="43" spans="1:136">
      <c r="A43" s="166">
        <v>10101</v>
      </c>
      <c r="B43" s="167" t="s">
        <v>44</v>
      </c>
      <c r="C43" s="240">
        <v>0</v>
      </c>
      <c r="D43" s="240">
        <v>0</v>
      </c>
      <c r="E43" s="150">
        <f>VLOOKUP($A43,TOCA_previous!$A$2:$AI$137,MATCH(E$4,TOCA_previous!$A$2:$AI$2,0),FALSE)</f>
        <v>1.07717E-2</v>
      </c>
      <c r="F43" s="151">
        <f>VLOOKUP($A43,TOCA_previous!$A$2:$AI$137,MATCH(F$4,TOCA_previous!$A$2:$AI$2,0),FALSE)</f>
        <v>1.07717E-2</v>
      </c>
      <c r="G43" s="151">
        <f t="shared" si="2"/>
        <v>0</v>
      </c>
      <c r="H43" s="151">
        <f>VLOOKUP($A43,TOCA_previous!$A$2:$AI$137,MATCH(H$4,TOCA_previous!$A$2:$AI$2,0),FALSE)</f>
        <v>5.6357900000000002E-2</v>
      </c>
      <c r="I43" s="151">
        <f t="shared" si="3"/>
        <v>0</v>
      </c>
      <c r="J43" s="151">
        <f t="shared" si="4"/>
        <v>0</v>
      </c>
      <c r="K43" s="226">
        <f>VLOOKUP(A43, IRD!$A$5:$C$139, 3, FALSE)</f>
        <v>0</v>
      </c>
      <c r="L43" s="227">
        <f t="array" ref="L43">IF($G43=0, INDEX(LS_previous!$D$4:$AY$138, MATCH('Staging Table'!$A43, LS_previous!$B$4:$B$138, 0), MATCH(L$4&amp;L$5, LS_previous!$D$2:$AY$2&amp;LS_previous!$D$3:$AY$3, 0)),SUM(VLOOKUP($A43, LS_previous!$B$4:$AY$138, LS_previous!D$149, FALSE), VLOOKUP('Staging Table'!$A43, LS_previous!$B$4:$AY$138,LS_previous!AB$149, FALSE))/2)</f>
        <v>49</v>
      </c>
      <c r="M43" s="227">
        <f t="array" ref="M43">IF($G43=0, INDEX(LS_previous!$D$4:$AY$138, MATCH('Staging Table'!$A43, LS_previous!$B$4:$B$138, 0), MATCH(M$4&amp;M$5, LS_previous!$D$2:$AY$2&amp;LS_previous!$D$3:$AY$3, 0)),SUM(VLOOKUP($A43, LS_previous!$B$4:$AY$138, LS_previous!E$149, FALSE), VLOOKUP('Staging Table'!$A43, LS_previous!$B$4:$AY$138,LS_previous!AC$149, FALSE))/2)</f>
        <v>1430</v>
      </c>
      <c r="N43" s="227">
        <f t="array" ref="N43">IF($G43=0, INDEX(LS_previous!$D$4:$AY$138, MATCH('Staging Table'!$A43, LS_previous!$B$4:$B$138, 0), MATCH(N$4&amp;N$5, LS_previous!$D$2:$AY$2&amp;LS_previous!$D$3:$AY$3, 0)),SUM(VLOOKUP($A43, LS_previous!$B$4:$AY$138, LS_previous!F$149, FALSE), VLOOKUP('Staging Table'!$A43, LS_previous!$B$4:$AY$138,LS_previous!AD$149, FALSE))/2)</f>
        <v>1203</v>
      </c>
      <c r="O43" s="227">
        <f t="array" ref="O43">IF($G43=0, INDEX(LS_previous!$D$4:$AY$138, MATCH('Staging Table'!$A43, LS_previous!$B$4:$B$138, 0), MATCH(O$4&amp;O$5, LS_previous!$D$2:$AY$2&amp;LS_previous!$D$3:$AY$3, 0)),SUM(VLOOKUP($A43, LS_previous!$B$4:$AY$138, LS_previous!G$149, FALSE), VLOOKUP('Staging Table'!$A43, LS_previous!$B$4:$AY$138,LS_previous!AE$149, FALSE))/2)</f>
        <v>3043</v>
      </c>
      <c r="P43" s="227">
        <f t="array" ref="P43">IF($G43=0, INDEX(LS_previous!$D$4:$AY$138, MATCH('Staging Table'!$A43, LS_previous!$B$4:$B$138, 0), MATCH(P$4&amp;P$5, LS_previous!$D$2:$AY$2&amp;LS_previous!$D$3:$AY$3, 0)),SUM(VLOOKUP($A43, LS_previous!$B$4:$AY$138, LS_previous!H$149, FALSE), VLOOKUP('Staging Table'!$A43, LS_previous!$B$4:$AY$138,LS_previous!AF$149, FALSE))/2)</f>
        <v>10072</v>
      </c>
      <c r="Q43" s="227">
        <f t="array" ref="Q43">IF($G43=0, INDEX(LS_previous!$D$4:$AY$138, MATCH('Staging Table'!$A43, LS_previous!$B$4:$B$138, 0), MATCH(Q$4&amp;Q$5, LS_previous!$D$2:$AY$2&amp;LS_previous!$D$3:$AY$3, 0)),SUM(VLOOKUP($A43, LS_previous!$B$4:$AY$138, LS_previous!I$149, FALSE), VLOOKUP('Staging Table'!$A43, LS_previous!$B$4:$AY$138,LS_previous!AG$149, FALSE))/2)</f>
        <v>7924</v>
      </c>
      <c r="R43" s="227">
        <f t="array" ref="R43">IF($G43=0, INDEX(LS_previous!$D$4:$AY$138, MATCH('Staging Table'!$A43, LS_previous!$B$4:$B$138, 0), MATCH(R$4&amp;R$5, LS_previous!$D$2:$AY$2&amp;LS_previous!$D$3:$AY$3, 0)),SUM(VLOOKUP($A43, LS_previous!$B$4:$AY$138, LS_previous!J$149, FALSE), VLOOKUP('Staging Table'!$A43, LS_previous!$B$4:$AY$138,LS_previous!AH$149, FALSE))/2)</f>
        <v>16075</v>
      </c>
      <c r="S43" s="227">
        <f t="array" ref="S43">IF($G43=0, INDEX(LS_previous!$D$4:$AY$138, MATCH('Staging Table'!$A43, LS_previous!$B$4:$B$138, 0), MATCH(S$4&amp;S$5, LS_previous!$D$2:$AY$2&amp;LS_previous!$D$3:$AY$3, 0)),SUM(VLOOKUP($A43, LS_previous!$B$4:$AY$138, LS_previous!K$149, FALSE), VLOOKUP('Staging Table'!$A43, LS_previous!$B$4:$AY$138,LS_previous!AI$149, FALSE))/2)</f>
        <v>12072</v>
      </c>
      <c r="T43" s="227">
        <f t="array" ref="T43">IF($G43=0, INDEX(LS_previous!$D$4:$AY$138, MATCH('Staging Table'!$A43, LS_previous!$B$4:$B$138, 0), MATCH(T$4&amp;T$5, LS_previous!$D$2:$AY$2&amp;LS_previous!$D$3:$AY$3, 0)),SUM(VLOOKUP($A43, LS_previous!$B$4:$AY$138, LS_previous!L$149, FALSE), VLOOKUP('Staging Table'!$A43, LS_previous!$B$4:$AY$138,LS_previous!AJ$149, FALSE))/2)</f>
        <v>15099</v>
      </c>
      <c r="U43" s="227">
        <f t="array" ref="U43">IF($G43=0, INDEX(LS_previous!$D$4:$AY$138, MATCH('Staging Table'!$A43, LS_previous!$B$4:$B$138, 0), MATCH(U$4&amp;U$5, LS_previous!$D$2:$AY$2&amp;LS_previous!$D$3:$AY$3, 0)),SUM(VLOOKUP($A43, LS_previous!$B$4:$AY$138, LS_previous!M$149, FALSE), VLOOKUP('Staging Table'!$A43, LS_previous!$B$4:$AY$138,LS_previous!AK$149, FALSE))/2)</f>
        <v>10249</v>
      </c>
      <c r="V43" s="227">
        <f t="array" ref="V43">IF($G43=0, INDEX(LS_previous!$D$4:$AY$138, MATCH('Staging Table'!$A43, LS_previous!$B$4:$B$138, 0), MATCH(V$4&amp;V$5, LS_previous!$D$2:$AY$2&amp;LS_previous!$D$3:$AY$3, 0)),SUM(VLOOKUP($A43, LS_previous!$B$4:$AY$138, LS_previous!N$149, FALSE), VLOOKUP('Staging Table'!$A43, LS_previous!$B$4:$AY$138,LS_previous!AL$149, FALSE))/2)</f>
        <v>5559</v>
      </c>
      <c r="W43" s="227">
        <f t="array" ref="W43">IF($G43=0, INDEX(LS_previous!$D$4:$AY$138, MATCH('Staging Table'!$A43, LS_previous!$B$4:$B$138, 0), MATCH(W$4&amp;W$5, LS_previous!$D$2:$AY$2&amp;LS_previous!$D$3:$AY$3, 0)),SUM(VLOOKUP($A43, LS_previous!$B$4:$AY$138, LS_previous!O$149, FALSE), VLOOKUP('Staging Table'!$A43, LS_previous!$B$4:$AY$138,LS_previous!AM$149, FALSE))/2)</f>
        <v>4137</v>
      </c>
      <c r="X43" s="227">
        <f t="array" ref="X43">IF($G43=0, INDEX(LS_previous!$D$4:$AY$138, MATCH('Staging Table'!$A43, LS_previous!$B$4:$B$138, 0), MATCH(X$4&amp;X$5, LS_previous!$D$2:$AY$2&amp;LS_previous!$D$3:$AY$3, 0)),SUM(VLOOKUP($A43, LS_previous!$B$4:$AY$138, LS_previous!P$149, FALSE), VLOOKUP('Staging Table'!$A43, LS_previous!$B$4:$AY$138,LS_previous!AN$149, FALSE))/2)</f>
        <v>1103</v>
      </c>
      <c r="Y43" s="227">
        <f t="array" ref="Y43">IF($G43=0, INDEX(LS_previous!$D$4:$AY$138, MATCH('Staging Table'!$A43, LS_previous!$B$4:$B$138, 0), MATCH(Y$4&amp;Y$5, LS_previous!$D$2:$AY$2&amp;LS_previous!$D$3:$AY$3, 0)),SUM(VLOOKUP($A43, LS_previous!$B$4:$AY$138, LS_previous!Q$149, FALSE), VLOOKUP('Staging Table'!$A43, LS_previous!$B$4:$AY$138,LS_previous!AO$149, FALSE))/2)</f>
        <v>2563</v>
      </c>
      <c r="Z43" s="227">
        <f t="array" ref="Z43">IF($G43=0, INDEX(LS_previous!$D$4:$AY$138, MATCH('Staging Table'!$A43, LS_previous!$B$4:$B$138, 0), MATCH(Z$4&amp;Z$5, LS_previous!$D$2:$AY$2&amp;LS_previous!$D$3:$AY$3, 0)),SUM(VLOOKUP($A43, LS_previous!$B$4:$AY$138, LS_previous!R$149, FALSE), VLOOKUP('Staging Table'!$A43, LS_previous!$B$4:$AY$138,LS_previous!AP$149, FALSE))/2)</f>
        <v>-19411</v>
      </c>
      <c r="AA43" s="227">
        <f t="array" ref="AA43">IF($G43=0, INDEX(LS_previous!$D$4:$AY$138, MATCH('Staging Table'!$A43, LS_previous!$B$4:$B$138, 0), MATCH(AA$4&amp;AA$5, LS_previous!$D$2:$AY$2&amp;LS_previous!$D$3:$AY$3, 0)),SUM(VLOOKUP($A43, LS_previous!$B$4:$AY$138, LS_previous!S$149, FALSE), VLOOKUP('Staging Table'!$A43, LS_previous!$B$4:$AY$138,LS_previous!AQ$149, FALSE))/2)</f>
        <v>-8525</v>
      </c>
      <c r="AB43" s="227">
        <f t="array" ref="AB43">IF($G43=0, INDEX(LS_previous!$D$4:$AY$138, MATCH('Staging Table'!$A43, LS_previous!$B$4:$B$138, 0), MATCH(AB$4&amp;AB$5, LS_previous!$D$2:$AY$2&amp;LS_previous!$D$3:$AY$3, 0)),SUM(VLOOKUP($A43, LS_previous!$B$4:$AY$138, LS_previous!T$149, FALSE), VLOOKUP('Staging Table'!$A43, LS_previous!$B$4:$AY$138,LS_previous!AR$149, FALSE))/2)</f>
        <v>-12149</v>
      </c>
      <c r="AC43" s="227">
        <f t="array" ref="AC43">IF($G43=0, INDEX(LS_previous!$D$4:$AY$138, MATCH('Staging Table'!$A43, LS_previous!$B$4:$B$138, 0), MATCH(AC$4&amp;AC$5, LS_previous!$D$2:$AY$2&amp;LS_previous!$D$3:$AY$3, 0)),SUM(VLOOKUP($A43, LS_previous!$B$4:$AY$138, LS_previous!U$149, FALSE), VLOOKUP('Staging Table'!$A43, LS_previous!$B$4:$AY$138,LS_previous!AS$149, FALSE))/2)</f>
        <v>-5159</v>
      </c>
      <c r="AD43" s="227">
        <f t="array" ref="AD43">IF($G43=0, INDEX(LS_previous!$D$4:$AY$138, MATCH('Staging Table'!$A43, LS_previous!$B$4:$B$138, 0), MATCH(AD$4&amp;AD$5, LS_previous!$D$2:$AY$2&amp;LS_previous!$D$3:$AY$3, 0)),SUM(VLOOKUP($A43, LS_previous!$B$4:$AY$138, LS_previous!V$149, FALSE), VLOOKUP('Staging Table'!$A43, LS_previous!$B$4:$AY$138,LS_previous!AT$149, FALSE))/2)</f>
        <v>-9041</v>
      </c>
      <c r="AE43" s="227">
        <f t="array" ref="AE43">IF($G43=0, INDEX(LS_previous!$D$4:$AY$138, MATCH('Staging Table'!$A43, LS_previous!$B$4:$B$138, 0), MATCH(AE$4&amp;AE$5, LS_previous!$D$2:$AY$2&amp;LS_previous!$D$3:$AY$3, 0)),SUM(VLOOKUP($A43, LS_previous!$B$4:$AY$138, LS_previous!W$149, FALSE), VLOOKUP('Staging Table'!$A43, LS_previous!$B$4:$AY$138,LS_previous!AU$149, FALSE))/2)</f>
        <v>-2300</v>
      </c>
      <c r="AF43" s="227">
        <f t="array" ref="AF43">IF($G43=0, INDEX(LS_previous!$D$4:$AY$138, MATCH('Staging Table'!$A43, LS_previous!$B$4:$B$138, 0), MATCH(AF$4&amp;AF$5, LS_previous!$D$2:$AY$2&amp;LS_previous!$D$3:$AY$3, 0)),SUM(VLOOKUP($A43, LS_previous!$B$4:$AY$138, LS_previous!X$149, FALSE), VLOOKUP('Staging Table'!$A43, LS_previous!$B$4:$AY$138,LS_previous!AV$149, FALSE))/2)</f>
        <v>-12208</v>
      </c>
      <c r="AG43" s="227">
        <f t="array" ref="AG43">IF($G43=0, INDEX(LS_previous!$D$4:$AY$138, MATCH('Staging Table'!$A43, LS_previous!$B$4:$B$138, 0), MATCH(AG$4&amp;AG$5, LS_previous!$D$2:$AY$2&amp;LS_previous!$D$3:$AY$3, 0)),SUM(VLOOKUP($A43, LS_previous!$B$4:$AY$138, LS_previous!Y$149, FALSE), VLOOKUP('Staging Table'!$A43, LS_previous!$B$4:$AY$138,LS_previous!AW$149, FALSE))/2)</f>
        <v>-4391</v>
      </c>
      <c r="AH43" s="227">
        <f t="array" ref="AH43">IF($G43=0, INDEX(LS_previous!$D$4:$AY$138, MATCH('Staging Table'!$A43, LS_previous!$B$4:$B$138, 0), MATCH(AH$4&amp;AH$5, LS_previous!$D$2:$AY$2&amp;LS_previous!$D$3:$AY$3, 0)),SUM(VLOOKUP($A43, LS_previous!$B$4:$AY$138, LS_previous!Z$149, FALSE), VLOOKUP('Staging Table'!$A43, LS_previous!$B$4:$AY$138,LS_previous!AX$149, FALSE))/2)</f>
        <v>-6701</v>
      </c>
      <c r="AI43" s="227">
        <f t="array" ref="AI43">IF($G43=0, INDEX(LS_previous!$D$4:$AY$138, MATCH('Staging Table'!$A43, LS_previous!$B$4:$B$138, 0), MATCH(AI$4&amp;AI$5, LS_previous!$D$2:$AY$2&amp;LS_previous!$D$3:$AY$3, 0)),SUM(VLOOKUP($A43, LS_previous!$B$4:$AY$138, LS_previous!AA$149, FALSE), VLOOKUP('Staging Table'!$A43, LS_previous!$B$4:$AY$138,LS_previous!AY$149, FALSE))/2)</f>
        <v>-2569</v>
      </c>
      <c r="AJ43" s="424">
        <f t="array" ref="AJ43">INDEX(Demand_previous!$D$4:$AY$138, MATCH('Staging Table'!$A43, Demand_previous!$B$4:$B$138, 0), MATCH(AJ$4&amp;AJ$5,Demand_previous!$D$2:$AY$2&amp;Demand_previous!$D$3:$AY$3, 0))/1000</f>
        <v>6.827</v>
      </c>
      <c r="AK43" s="424">
        <f t="array" ref="AK43">INDEX(Demand_previous!$D$4:$AY$138, MATCH('Staging Table'!$A43, Demand_previous!$B$4:$B$138, 0), MATCH(AK$4&amp;AK$5,Demand_previous!$D$2:$AY$2&amp;Demand_previous!$D$3:$AY$3, 0))/1000</f>
        <v>8.5760000000000005</v>
      </c>
      <c r="AL43" s="424">
        <f t="array" ref="AL43">INDEX(Demand_previous!$D$4:$AY$138, MATCH('Staging Table'!$A43, Demand_previous!$B$4:$B$138, 0), MATCH(AL$4&amp;AL$5,Demand_previous!$D$2:$AY$2&amp;Demand_previous!$D$3:$AY$3, 0))/1000</f>
        <v>24.385999999999999</v>
      </c>
      <c r="AM43" s="424">
        <f t="array" ref="AM43">INDEX(Demand_previous!$D$4:$AY$138, MATCH('Staging Table'!$A43, Demand_previous!$B$4:$B$138, 0), MATCH(AM$4&amp;AM$5,Demand_previous!$D$2:$AY$2&amp;Demand_previous!$D$3:$AY$3, 0))/1000</f>
        <v>30.587</v>
      </c>
      <c r="AN43" s="424">
        <f t="array" ref="AN43">INDEX(Demand_previous!$D$4:$AY$138, MATCH('Staging Table'!$A43, Demand_previous!$B$4:$B$138, 0), MATCH(AN$4&amp;AN$5,Demand_previous!$D$2:$AY$2&amp;Demand_previous!$D$3:$AY$3, 0))/1000</f>
        <v>28.946000000000002</v>
      </c>
      <c r="AO43" s="424">
        <f t="array" ref="AO43">INDEX(Demand_previous!$D$4:$AY$138, MATCH('Staging Table'!$A43, Demand_previous!$B$4:$B$138, 0), MATCH(AO$4&amp;AO$5,Demand_previous!$D$2:$AY$2&amp;Demand_previous!$D$3:$AY$3, 0))/1000</f>
        <v>32.185000000000002</v>
      </c>
      <c r="AP43" s="424">
        <f t="array" ref="AP43">INDEX(Demand_previous!$D$4:$AY$138, MATCH('Staging Table'!$A43, Demand_previous!$B$4:$B$138, 0), MATCH(AP$4&amp;AP$5,Demand_previous!$D$2:$AY$2&amp;Demand_previous!$D$3:$AY$3, 0))/1000</f>
        <v>20.805</v>
      </c>
      <c r="AQ43" s="424">
        <f t="array" ref="AQ43">INDEX(Demand_previous!$D$4:$AY$138, MATCH('Staging Table'!$A43, Demand_previous!$B$4:$B$138, 0), MATCH(AQ$4&amp;AQ$5,Demand_previous!$D$2:$AY$2&amp;Demand_previous!$D$3:$AY$3, 0))/1000</f>
        <v>13.151999999999999</v>
      </c>
      <c r="AR43" s="424">
        <f t="array" ref="AR43">INDEX(Demand_previous!$D$4:$AY$138, MATCH('Staging Table'!$A43, Demand_previous!$B$4:$B$138, 0), MATCH(AR$4&amp;AR$5,Demand_previous!$D$2:$AY$2&amp;Demand_previous!$D$3:$AY$3, 0))/1000</f>
        <v>11.459</v>
      </c>
      <c r="AS43" s="424">
        <f t="array" ref="AS43">INDEX(Demand_previous!$D$4:$AY$138, MATCH('Staging Table'!$A43, Demand_previous!$B$4:$B$138, 0), MATCH(AS$4&amp;AS$5,Demand_previous!$D$2:$AY$2&amp;Demand_previous!$D$3:$AY$3, 0))/1000</f>
        <v>14.516999999999999</v>
      </c>
      <c r="AT43" s="424">
        <f t="array" ref="AT43">INDEX(Demand_previous!$D$4:$AY$138, MATCH('Staging Table'!$A43, Demand_previous!$B$4:$B$138, 0), MATCH(AT$4&amp;AT$5,Demand_previous!$D$2:$AY$2&amp;Demand_previous!$D$3:$AY$3, 0))/1000</f>
        <v>18.7</v>
      </c>
      <c r="AU43" s="424">
        <f t="array" ref="AU43">INDEX(Demand_previous!$D$4:$AY$138, MATCH('Staging Table'!$A43, Demand_previous!$B$4:$B$138, 0), MATCH(AU$4&amp;AU$5,Demand_previous!$D$2:$AY$2&amp;Demand_previous!$D$3:$AY$3, 0))/1000</f>
        <v>6.3</v>
      </c>
      <c r="AV43" s="227">
        <f>$F43*(VLOOKUP(AV$4, Rates_previous!$G$6:$Q$29, 10, FALSE)+VLOOKUP(AV$4, Rates_previous!$G$6:$Q$29, 11, FALSE))</f>
        <v>50506.753725130977</v>
      </c>
      <c r="AW43" s="227">
        <f>$F43*(VLOOKUP(AW$4, Rates_previous!$G$6:$Q$29, 10, FALSE)+VLOOKUP(AW$4, Rates_previous!$G$6:$Q$29, 11, FALSE))</f>
        <v>62422.508887544653</v>
      </c>
      <c r="AX43" s="227">
        <f>$F43*(VLOOKUP(AX$4, Rates_previous!$G$6:$Q$29, 10, FALSE)+VLOOKUP(AX$4, Rates_previous!$G$6:$Q$29, 11, FALSE))</f>
        <v>61672.889216732154</v>
      </c>
      <c r="AY43" s="227">
        <f>$F43*(VLOOKUP(AY$4, Rates_previous!$G$6:$Q$29, 10, FALSE)+VLOOKUP(AY$4, Rates_previous!$G$6:$Q$29, 11, FALSE))</f>
        <v>52693.605438498977</v>
      </c>
      <c r="AZ43" s="227">
        <f>$F43*(VLOOKUP(AZ$4, Rates_previous!$G$6:$Q$29, 10, FALSE)+VLOOKUP(AZ$4, Rates_previous!$G$6:$Q$29, 11, FALSE))</f>
        <v>43198.535420434426</v>
      </c>
      <c r="BA43" s="227">
        <f>$F43*(VLOOKUP(BA$4, Rates_previous!$G$6:$Q$29, 10, FALSE)+VLOOKUP(BA$4, Rates_previous!$G$6:$Q$29, 11, FALSE))</f>
        <v>51145.496821365014</v>
      </c>
      <c r="BB43" s="227">
        <f>$F43*(VLOOKUP(BB$4, Rates_previous!$G$6:$Q$29, 10, FALSE)+VLOOKUP(BB$4, Rates_previous!$G$6:$Q$29, 11, FALSE))</f>
        <v>49158.262011724139</v>
      </c>
      <c r="BC43" s="227">
        <f>$F43*(VLOOKUP(BC$4, Rates_previous!$G$6:$Q$29, 10, FALSE)+VLOOKUP(BC$4, Rates_previous!$G$6:$Q$29, 11, FALSE))</f>
        <v>72136.270928522237</v>
      </c>
      <c r="BD43" s="227">
        <f>$F43*(VLOOKUP(BD$4, Rates_previous!$G$6:$Q$29, 10, FALSE)+VLOOKUP(BD$4, Rates_previous!$G$6:$Q$29, 11, FALSE))</f>
        <v>56913.611177723076</v>
      </c>
      <c r="BE43" s="227">
        <f>$F43*(VLOOKUP(BE$4, Rates_previous!$G$6:$Q$29, 10, FALSE)+VLOOKUP(BE$4, Rates_previous!$G$6:$Q$29, 11, FALSE))</f>
        <v>49974.927688174022</v>
      </c>
      <c r="BF43" s="227">
        <f>$F43*(VLOOKUP(BF$4, Rates_previous!$G$6:$Q$29, 10, FALSE)+VLOOKUP(BF$4, Rates_previous!$G$6:$Q$29, 11, FALSE))</f>
        <v>55349.232796705975</v>
      </c>
      <c r="BG43" s="227">
        <f>$F43*(VLOOKUP(BG$4, Rates_previous!$G$6:$Q$29, 10, FALSE)+VLOOKUP(BG$4, Rates_previous!$G$6:$Q$29, 11, FALSE))</f>
        <v>50144.203812778629</v>
      </c>
      <c r="BH43" s="229">
        <f>IF($D43=0,IF(C43=0, MAX(BK43 - (VLOOKUP($A43,TOCA_previous!$A$2:$AI$137,MATCH("RHWM 2018",TOCA_previous!$A$2:$AI$2,0),FALSE)*$F$2*TOCA_previous!C40),0),0), 0)</f>
        <v>8122.2274858319433</v>
      </c>
      <c r="BI43" s="266">
        <f>VLOOKUP($A43,REP_previous!$A$1:$D$135,MATCH("FY "&amp;$F$1&amp; " Total Refund",REP_previous!$A$1:$D$1,0),0)</f>
        <v>947867.86706278101</v>
      </c>
      <c r="BJ43" s="241">
        <f>MIN(VLOOKUP($A43,TOCA_previous!$A$2:$AI$137,MATCH("TRL - NLSL - Existing Resource "&amp;$F$1,TOCA_previous!$A$2:$AI$2,0),FALSE)*$F$2,(VLOOKUP($A43,TOCA_previous!$A$2:$AI$137,MATCH("RHWM 2018",TOCA_previous!$A$2:$AI$2,0),FALSE)*$F$2))</f>
        <v>655318.08000000007</v>
      </c>
      <c r="BK43" s="229">
        <f>SUM(L43:AI43)+(F43*RT1SC!$C$3*$F$2)</f>
        <v>663440.30748583202</v>
      </c>
      <c r="BL43" s="241">
        <f>VLOOKUP($A43,TOCA_previous!$A$2:$AI$137,MATCH("Above RHWM Not Served with LS "&amp;$F$1,TOCA_previous!$A$2:$AI$2,0),FALSE)*$F$2</f>
        <v>16179.72</v>
      </c>
      <c r="BM43" s="151">
        <f t="shared" si="5"/>
        <v>8122.2274858319433</v>
      </c>
      <c r="BN43" s="242">
        <f>(VLOOKUP($A43,TOCA_previous!$A$2:$AI$137,MATCH("RHWM 2018",TOCA_previous!$A$2:$AI$2,0),FALSE)*$F$2) - $BJ43</f>
        <v>0</v>
      </c>
      <c r="BO43" s="151">
        <f t="shared" si="6"/>
        <v>0</v>
      </c>
      <c r="BP43" s="243">
        <f t="shared" si="7"/>
        <v>0</v>
      </c>
      <c r="BQ43" s="237">
        <f t="shared" si="8"/>
        <v>0</v>
      </c>
      <c r="BR43" s="242">
        <f t="shared" si="9"/>
        <v>0</v>
      </c>
      <c r="BS43" s="151">
        <f>VLOOKUP($A43,TOCA_current!$A$2:$AI$137,MATCH(BS$4,TOCA_current!$A$2:$AI$2,0),FALSE)</f>
        <v>1.07659E-2</v>
      </c>
      <c r="BT43" s="151">
        <f>VLOOKUP($A43,TOCA_current!$A$2:$AI$137,MATCH(BT$4,TOCA_current!$A$2:$AI$2,0),FALSE)</f>
        <v>1.07659E-2</v>
      </c>
      <c r="BU43" s="236">
        <f t="shared" si="10"/>
        <v>0</v>
      </c>
      <c r="BV43" s="151">
        <f>VLOOKUP($A43,TOCA_current!A39:BG174,MATCH(BV$4,TOCA_current!$A$2:$BG$2,0),FALSE)</f>
        <v>5.1153700000000003E-2</v>
      </c>
      <c r="BW43" s="151">
        <f t="shared" si="11"/>
        <v>0</v>
      </c>
      <c r="BX43" s="151">
        <f t="shared" si="12"/>
        <v>0</v>
      </c>
      <c r="BY43" s="226">
        <f>VLOOKUP($A43,IRD!$A$4:$G$139, 7, FALSE)</f>
        <v>0</v>
      </c>
      <c r="BZ43" s="227">
        <f t="array" ref="BZ43">IF($BU43=0, INDEX(LS_current!$D$4:$AY$138, MATCH('Staging Table'!$A43, LS_current!$B$4:$B$138, 0), MATCH(BZ$4&amp;BZ$5, LS_current!$D$2:$AY$2&amp;LS_current!$D$3:$AY$3, 0)),SUM(VLOOKUP($A43, LS_current!$B$4:$AY$138, LS_current!D$148, FALSE), VLOOKUP($A43, LS_current!$B$4:$AY$138,LS_current!D$148, FALSE))/2)</f>
        <v>518</v>
      </c>
      <c r="CA43" s="227">
        <f t="array" ref="CA43">IF($BU43=0, INDEX(LS_current!$D$4:$AY$138, MATCH('Staging Table'!$A43, LS_current!$B$4:$B$138, 0), MATCH(CA$4&amp;CA$5, LS_current!$D$2:$AY$2&amp;LS_current!$D$3:$AY$3, 0)),SUM(VLOOKUP($A43, LS_current!$B$4:$AY$138, LS_current!E$148, FALSE), VLOOKUP($A43, LS_current!$B$4:$AY$138,LS_current!E$148, FALSE))/2)</f>
        <v>1834</v>
      </c>
      <c r="CB43" s="227">
        <f t="array" ref="CB43">IF($BU43=0, INDEX(LS_current!$D$4:$AY$138, MATCH('Staging Table'!$A43, LS_current!$B$4:$B$138, 0), MATCH(CB$4&amp;CB$5, LS_current!$D$2:$AY$2&amp;LS_current!$D$3:$AY$3, 0)),SUM(VLOOKUP($A43, LS_current!$B$4:$AY$138, LS_current!F$148, FALSE), VLOOKUP($A43, LS_current!$B$4:$AY$138,LS_current!F$148, FALSE))/2)</f>
        <v>986</v>
      </c>
      <c r="CC43" s="227">
        <f t="array" ref="CC43">IF($BU43=0, INDEX(LS_current!$D$4:$AY$138, MATCH('Staging Table'!$A43, LS_current!$B$4:$B$138, 0), MATCH(CC$4&amp;CC$5, LS_current!$D$2:$AY$2&amp;LS_current!$D$3:$AY$3, 0)),SUM(VLOOKUP($A43, LS_current!$B$4:$AY$138, LS_current!G$148, FALSE), VLOOKUP($A43, LS_current!$B$4:$AY$138,LS_current!G$148, FALSE))/2)</f>
        <v>2609</v>
      </c>
      <c r="CD43" s="227">
        <f t="array" ref="CD43">IF($BU43=0, INDEX(LS_current!$D$4:$AY$138, MATCH('Staging Table'!$A43, LS_current!$B$4:$B$138, 0), MATCH(CD$4&amp;CD$5, LS_current!$D$2:$AY$2&amp;LS_current!$D$3:$AY$3, 0)),SUM(VLOOKUP($A43, LS_current!$B$4:$AY$138, LS_current!H$148, FALSE), VLOOKUP($A43, LS_current!$B$4:$AY$138,LS_current!H$148, FALSE))/2)</f>
        <v>9791</v>
      </c>
      <c r="CE43" s="227">
        <f t="array" ref="CE43">IF($BU43=0, INDEX(LS_current!$D$4:$AY$138, MATCH('Staging Table'!$A43, LS_current!$B$4:$B$138, 0), MATCH(CE$4&amp;CE$5, LS_current!$D$2:$AY$2&amp;LS_current!$D$3:$AY$3, 0)),SUM(VLOOKUP($A43, LS_current!$B$4:$AY$138, LS_current!I$148, FALSE), VLOOKUP($A43, LS_current!$B$4:$AY$138,LS_current!I$148, FALSE))/2)</f>
        <v>7570</v>
      </c>
      <c r="CF43" s="227">
        <f t="array" ref="CF43">IF($BU43=0, INDEX(LS_current!$D$4:$AY$138, MATCH('Staging Table'!$A43, LS_current!$B$4:$B$138, 0), MATCH(CF$4&amp;CF$5, LS_current!$D$2:$AY$2&amp;LS_current!$D$3:$AY$3, 0)),SUM(VLOOKUP($A43, LS_current!$B$4:$AY$138, LS_current!J$148, FALSE), VLOOKUP($A43, LS_current!$B$4:$AY$138,LS_current!J$148, FALSE))/2)</f>
        <v>15992</v>
      </c>
      <c r="CG43" s="227">
        <f t="array" ref="CG43">IF($BU43=0, INDEX(LS_current!$D$4:$AY$138, MATCH('Staging Table'!$A43, LS_current!$B$4:$B$138, 0), MATCH(CG$4&amp;CG$5, LS_current!$D$2:$AY$2&amp;LS_current!$D$3:$AY$3, 0)),SUM(VLOOKUP($A43, LS_current!$B$4:$AY$138, LS_current!K$148, FALSE), VLOOKUP($A43, LS_current!$B$4:$AY$138,LS_current!K$148, FALSE))/2)</f>
        <v>12924</v>
      </c>
      <c r="CH43" s="227">
        <f t="array" ref="CH43">IF($BU43=0, INDEX(LS_current!$D$4:$AY$138, MATCH('Staging Table'!$A43, LS_current!$B$4:$B$138, 0), MATCH(CH$4&amp;CH$5, LS_current!$D$2:$AY$2&amp;LS_current!$D$3:$AY$3, 0)),SUM(VLOOKUP($A43, LS_current!$B$4:$AY$138, LS_current!L$148, FALSE), VLOOKUP($A43, LS_current!$B$4:$AY$138,LS_current!L$148, FALSE))/2)</f>
        <v>12677</v>
      </c>
      <c r="CI43" s="227">
        <f t="array" ref="CI43">IF($BU43=0, INDEX(LS_current!$D$4:$AY$138, MATCH('Staging Table'!$A43, LS_current!$B$4:$B$138, 0), MATCH(CI$4&amp;CI$5, LS_current!$D$2:$AY$2&amp;LS_current!$D$3:$AY$3, 0)),SUM(VLOOKUP($A43, LS_current!$B$4:$AY$138, LS_current!M$148, FALSE), VLOOKUP($A43, LS_current!$B$4:$AY$138,LS_current!M$148, FALSE))/2)</f>
        <v>8789</v>
      </c>
      <c r="CJ43" s="227">
        <f t="array" ref="CJ43">IF($BU43=0, INDEX(LS_current!$D$4:$AY$138, MATCH('Staging Table'!$A43, LS_current!$B$4:$B$138, 0), MATCH(CJ$4&amp;CJ$5, LS_current!$D$2:$AY$2&amp;LS_current!$D$3:$AY$3, 0)),SUM(VLOOKUP($A43, LS_current!$B$4:$AY$138, LS_current!N$148, FALSE), VLOOKUP($A43, LS_current!$B$4:$AY$138,LS_current!N$148, FALSE))/2)</f>
        <v>4657</v>
      </c>
      <c r="CK43" s="227">
        <f t="array" ref="CK43">IF($BU43=0, INDEX(LS_current!$D$4:$AY$138, MATCH('Staging Table'!$A43, LS_current!$B$4:$B$138, 0), MATCH(CK$4&amp;CK$5, LS_current!$D$2:$AY$2&amp;LS_current!$D$3:$AY$3, 0)),SUM(VLOOKUP($A43, LS_current!$B$4:$AY$138, LS_current!O$148, FALSE), VLOOKUP($A43, LS_current!$B$4:$AY$138,LS_current!O$148, FALSE))/2)</f>
        <v>3861</v>
      </c>
      <c r="CL43" s="227">
        <f t="array" ref="CL43">IF($BU43=0, INDEX(LS_current!$D$4:$AY$138, MATCH('Staging Table'!$A43, LS_current!$B$4:$B$138, 0), MATCH(CL$4&amp;CL$5, LS_current!$D$2:$AY$2&amp;LS_current!$D$3:$AY$3, 0)),SUM(VLOOKUP($A43, LS_current!$B$4:$AY$138, LS_current!P$148, FALSE), VLOOKUP($A43, LS_current!$B$4:$AY$138,LS_current!P$148, FALSE))/2)</f>
        <v>5884</v>
      </c>
      <c r="CM43" s="227">
        <f t="array" ref="CM43">IF($BU43=0, INDEX(LS_current!$D$4:$AY$138, MATCH('Staging Table'!$A43, LS_current!$B$4:$B$138, 0), MATCH(CM$4&amp;CM$5, LS_current!$D$2:$AY$2&amp;LS_current!$D$3:$AY$3, 0)),SUM(VLOOKUP($A43, LS_current!$B$4:$AY$138, LS_current!Q$148, FALSE), VLOOKUP($A43, LS_current!$B$4:$AY$138,LS_current!Q$148, FALSE))/2)</f>
        <v>4351</v>
      </c>
      <c r="CN43" s="227">
        <f t="array" ref="CN43">IF($BU43=0, INDEX(LS_current!$D$4:$AY$138, MATCH('Staging Table'!$A43, LS_current!$B$4:$B$138, 0), MATCH(CN$4&amp;CN$5, LS_current!$D$2:$AY$2&amp;LS_current!$D$3:$AY$3, 0)),SUM(VLOOKUP($A43, LS_current!$B$4:$AY$138, LS_current!R$148, FALSE), VLOOKUP($A43, LS_current!$B$4:$AY$138,LS_current!R$148, FALSE))/2)</f>
        <v>-10701</v>
      </c>
      <c r="CO43" s="227">
        <f t="array" ref="CO43">IF($BU43=0, INDEX(LS_current!$D$4:$AY$138, MATCH('Staging Table'!$A43, LS_current!$B$4:$B$138, 0), MATCH(CO$4&amp;CO$5, LS_current!$D$2:$AY$2&amp;LS_current!$D$3:$AY$3, 0)),SUM(VLOOKUP($A43, LS_current!$B$4:$AY$138, LS_current!S$148, FALSE), VLOOKUP($A43, LS_current!$B$4:$AY$138,LS_current!S$148, FALSE))/2)</f>
        <v>-2560</v>
      </c>
      <c r="CP43" s="227">
        <f t="array" ref="CP43">IF($BU43=0, INDEX(LS_current!$D$4:$AY$138, MATCH('Staging Table'!$A43, LS_current!$B$4:$B$138, 0), MATCH(CP$4&amp;CP$5, LS_current!$D$2:$AY$2&amp;LS_current!$D$3:$AY$3, 0)),SUM(VLOOKUP($A43, LS_current!$B$4:$AY$138, LS_current!T$148, FALSE), VLOOKUP($A43, LS_current!$B$4:$AY$138,LS_current!T$148, FALSE))/2)</f>
        <v>-22520</v>
      </c>
      <c r="CQ43" s="227">
        <f t="array" ref="CQ43">IF($BU43=0, INDEX(LS_current!$D$4:$AY$138, MATCH('Staging Table'!$A43, LS_current!$B$4:$B$138, 0), MATCH(CQ$4&amp;CQ$5, LS_current!$D$2:$AY$2&amp;LS_current!$D$3:$AY$3, 0)),SUM(VLOOKUP($A43, LS_current!$B$4:$AY$138, LS_current!U$148, FALSE), VLOOKUP($A43, LS_current!$B$4:$AY$138,LS_current!U$148, FALSE))/2)</f>
        <v>-11215</v>
      </c>
      <c r="CR43" s="227">
        <f t="array" ref="CR43">IF($BU43=0, INDEX(LS_current!$D$4:$AY$138, MATCH('Staging Table'!$A43, LS_current!$B$4:$B$138, 0), MATCH(CR$4&amp;CR$5, LS_current!$D$2:$AY$2&amp;LS_current!$D$3:$AY$3, 0)),SUM(VLOOKUP($A43, LS_current!$B$4:$AY$138, LS_current!V$148, FALSE), VLOOKUP($A43, LS_current!$B$4:$AY$138,LS_current!V$148, FALSE))/2)</f>
        <v>-15978</v>
      </c>
      <c r="CS43" s="227">
        <f t="array" ref="CS43">IF($BU43=0, INDEX(LS_current!$D$4:$AY$138, MATCH('Staging Table'!$A43, LS_current!$B$4:$B$138, 0), MATCH(CS$4&amp;CS$5, LS_current!$D$2:$AY$2&amp;LS_current!$D$3:$AY$3, 0)),SUM(VLOOKUP($A43, LS_current!$B$4:$AY$138, LS_current!W$148, FALSE), VLOOKUP($A43, LS_current!$B$4:$AY$138,LS_current!W$148, FALSE))/2)</f>
        <v>-2871</v>
      </c>
      <c r="CT43" s="227">
        <f t="array" ref="CT43">IF($BU43=0, INDEX(LS_current!$D$4:$AY$138, MATCH('Staging Table'!$A43, LS_current!$B$4:$B$138, 0), MATCH(CT$4&amp;CT$5, LS_current!$D$2:$AY$2&amp;LS_current!$D$3:$AY$3, 0)),SUM(VLOOKUP($A43, LS_current!$B$4:$AY$138, LS_current!X$148, FALSE), VLOOKUP($A43, LS_current!$B$4:$AY$138,LS_current!X$148, FALSE))/2)</f>
        <v>-13517</v>
      </c>
      <c r="CU43" s="227">
        <f t="array" ref="CU43">IF($BU43=0, INDEX(LS_current!$D$4:$AY$138, MATCH('Staging Table'!$A43, LS_current!$B$4:$B$138, 0), MATCH(CU$4&amp;CU$5, LS_current!$D$2:$AY$2&amp;LS_current!$D$3:$AY$3, 0)),SUM(VLOOKUP($A43, LS_current!$B$4:$AY$138, LS_current!Y$148, FALSE), VLOOKUP($A43, LS_current!$B$4:$AY$138,LS_current!Y$148, FALSE))/2)</f>
        <v>-3707</v>
      </c>
      <c r="CV43" s="227">
        <f t="array" ref="CV43">IF($BU43=0, INDEX(LS_current!$D$4:$AY$138, MATCH('Staging Table'!$A43, LS_current!$B$4:$B$138, 0), MATCH(CV$4&amp;CV$5, LS_current!$D$2:$AY$2&amp;LS_current!$D$3:$AY$3, 0)),SUM(VLOOKUP($A43, LS_current!$B$4:$AY$138, LS_current!Z$148, FALSE), VLOOKUP($A43, LS_current!$B$4:$AY$138,LS_current!Z$148, FALSE))/2)</f>
        <v>-6863</v>
      </c>
      <c r="CW43" s="227">
        <f t="array" ref="CW43">IF($BU43=0, INDEX(LS_current!$D$4:$AY$138, MATCH('Staging Table'!$A43, LS_current!$B$4:$B$138, 0), MATCH(CW$4&amp;CW$5, LS_current!$D$2:$AY$2&amp;LS_current!$D$3:$AY$3, 0)),SUM(VLOOKUP($A43, LS_current!$B$4:$AY$138, LS_current!AA$148, FALSE), VLOOKUP($A43, LS_current!$B$4:$AY$138,LS_current!AA$148, FALSE))/2)</f>
        <v>-2512</v>
      </c>
      <c r="CX43" s="229">
        <f t="array" ref="CX43">INDEX(Demand_current!$D$4:$AY$138, MATCH($A43, Demand_current!$B$4:$B$138, 0), MATCH(CX$4&amp;CX$5,Demand_current!$D$2:$AY$2&amp;Demand_current!$D$3:$AY$3, 0))/1000</f>
        <v>9.8249999999999993</v>
      </c>
      <c r="CY43" s="229">
        <f t="array" ref="CY43">INDEX(Demand_current!$D$4:$AY$138, MATCH($A43, Demand_current!$B$4:$B$138, 0), MATCH(CY$4&amp;CY$5,Demand_current!$D$2:$AY$2&amp;Demand_current!$D$3:$AY$3, 0))/1000</f>
        <v>8.5760000000000005</v>
      </c>
      <c r="CZ43" s="229">
        <f t="array" ref="CZ43">INDEX(Demand_current!$D$4:$AY$138, MATCH($A43, Demand_current!$B$4:$B$138, 0), MATCH(CZ$4&amp;CZ$5,Demand_current!$D$2:$AY$2&amp;Demand_current!$D$3:$AY$3, 0))/1000</f>
        <v>24.385999999999999</v>
      </c>
      <c r="DA43" s="229">
        <f t="array" ref="DA43">INDEX(Demand_current!$D$4:$AY$138, MATCH($A43, Demand_current!$B$4:$B$138, 0), MATCH(DA$4&amp;DA$5,Demand_current!$D$2:$AY$2&amp;Demand_current!$D$3:$AY$3, 0))/1000</f>
        <v>30.587</v>
      </c>
      <c r="DB43" s="229">
        <f t="array" ref="DB43">INDEX(Demand_current!$D$4:$AY$138, MATCH($A43, Demand_current!$B$4:$B$138, 0), MATCH(DB$4&amp;DB$5,Demand_current!$D$2:$AY$2&amp;Demand_current!$D$3:$AY$3, 0))/1000</f>
        <v>33.436</v>
      </c>
      <c r="DC43" s="229">
        <f t="array" ref="DC43">INDEX(Demand_current!$D$4:$AY$138, MATCH($A43, Demand_current!$B$4:$B$138, 0), MATCH(DC$4&amp;DC$5,Demand_current!$D$2:$AY$2&amp;Demand_current!$D$3:$AY$3, 0))/1000</f>
        <v>28.74</v>
      </c>
      <c r="DD43" s="229">
        <f t="array" ref="DD43">INDEX(Demand_current!$D$4:$AY$138, MATCH($A43, Demand_current!$B$4:$B$138, 0), MATCH(DD$4&amp;DD$5,Demand_current!$D$2:$AY$2&amp;Demand_current!$D$3:$AY$3, 0))/1000</f>
        <v>24.021999999999998</v>
      </c>
      <c r="DE43" s="229">
        <f t="array" ref="DE43">INDEX(Demand_current!$D$4:$AY$138, MATCH($A43, Demand_current!$B$4:$B$138, 0), MATCH(DE$4&amp;DE$5,Demand_current!$D$2:$AY$2&amp;Demand_current!$D$3:$AY$3, 0))/1000</f>
        <v>10.523999999999999</v>
      </c>
      <c r="DF43" s="229">
        <f t="array" ref="DF43">INDEX(Demand_current!$D$4:$AY$138, MATCH($A43, Demand_current!$B$4:$B$138, 0), MATCH(DF$4&amp;DF$5,Demand_current!$D$2:$AY$2&amp;Demand_current!$D$3:$AY$3, 0))/1000</f>
        <v>11.459</v>
      </c>
      <c r="DG43" s="229">
        <f t="array" ref="DG43">INDEX(Demand_current!$D$4:$AY$138, MATCH($A43, Demand_current!$B$4:$B$138, 0), MATCH(DG$4&amp;DG$5,Demand_current!$D$2:$AY$2&amp;Demand_current!$D$3:$AY$3, 0))/1000</f>
        <v>16.86</v>
      </c>
      <c r="DH43" s="229">
        <f t="array" ref="DH43">INDEX(Demand_current!$D$4:$AY$138, MATCH($A43, Demand_current!$B$4:$B$138, 0), MATCH(DH$4&amp;DH$5,Demand_current!$D$2:$AY$2&amp;Demand_current!$D$3:$AY$3, 0))/1000</f>
        <v>16.420000000000002</v>
      </c>
      <c r="DI43" s="229">
        <f t="array" ref="DI43">INDEX(Demand_current!$D$4:$AY$138, MATCH($A43, Demand_current!$B$4:$B$138, 0), MATCH(DI$4&amp;DI$5,Demand_current!$D$2:$AY$2&amp;Demand_current!$D$3:$AY$3, 0))/1000</f>
        <v>9.0150000000000006</v>
      </c>
      <c r="DJ43" s="227">
        <f>$BT43*(VLOOKUP(DJ$4, Rates_current!$G$6:$Q$29, 10, FALSE)+VLOOKUP(DJ$4, Rates_current!$G$6:$Q$29, 11, FALSE))</f>
        <v>49709.575200416395</v>
      </c>
      <c r="DK43" s="227">
        <f>$BT43*(VLOOKUP(DK$4, Rates_current!$G$6:$Q$29, 10, FALSE)+VLOOKUP(DK$4, Rates_current!$G$6:$Q$29, 11, FALSE))</f>
        <v>63146.667707750101</v>
      </c>
      <c r="DL43" s="227">
        <f>$BT43*(VLOOKUP(DL$4, Rates_current!$G$6:$Q$29, 10, FALSE)+VLOOKUP(DL$4, Rates_current!$G$6:$Q$29, 11, FALSE))</f>
        <v>62384.086250116408</v>
      </c>
      <c r="DM43" s="227">
        <f>$BT43*(VLOOKUP(DM$4, Rates_current!$G$6:$Q$29, 10, FALSE)+VLOOKUP(DM$4, Rates_current!$G$6:$Q$29, 11, FALSE))</f>
        <v>52000.935526916408</v>
      </c>
      <c r="DN43" s="227">
        <f>$BT43*(VLOOKUP(DN$4, Rates_current!$G$6:$Q$29, 10, FALSE)+VLOOKUP(DN$4, Rates_current!$G$6:$Q$29, 11, FALSE))</f>
        <v>47107.452907120001</v>
      </c>
      <c r="DO43" s="227">
        <f>$BT43*(VLOOKUP(DO$4, Rates_current!$G$6:$Q$29, 10, FALSE)+VLOOKUP(DO$4, Rates_current!$G$6:$Q$29, 11, FALSE))</f>
        <v>52398.452830148301</v>
      </c>
      <c r="DP43" s="227">
        <f>$BT43*(VLOOKUP(DP$4, Rates_current!$G$6:$Q$29, 10, FALSE)+VLOOKUP(DP$4, Rates_current!$G$6:$Q$29, 11, FALSE))</f>
        <v>42662.876837832002</v>
      </c>
      <c r="DQ43" s="227">
        <f>$BT43*(VLOOKUP(DQ$4, Rates_current!$G$6:$Q$29, 10, FALSE)+VLOOKUP(DQ$4, Rates_current!$G$6:$Q$29, 11, FALSE))</f>
        <v>57537.251155366408</v>
      </c>
      <c r="DR43" s="227">
        <f>$BT43*(VLOOKUP(DR$4, Rates_current!$G$6:$Q$29, 10, FALSE)+VLOOKUP(DR$4, Rates_current!$G$6:$Q$29, 11, FALSE))</f>
        <v>73413.619283881999</v>
      </c>
      <c r="DS43" s="227">
        <f>$BT43*(VLOOKUP(DS$4, Rates_current!$G$6:$Q$29, 10, FALSE)+VLOOKUP(DS$4, Rates_current!$G$6:$Q$29, 11, FALSE))</f>
        <v>57558.605318016409</v>
      </c>
      <c r="DT43" s="227">
        <f>$BT43*(VLOOKUP(DT$4, Rates_current!$G$6:$Q$29, 10, FALSE)+VLOOKUP(DT$4, Rates_current!$G$6:$Q$29, 11, FALSE))</f>
        <v>56050.620322066403</v>
      </c>
      <c r="DU43" s="227">
        <f>$BT43*(VLOOKUP(DU$4, Rates_current!$G$6:$Q$29, 10, FALSE)+VLOOKUP(DU$4, Rates_current!$G$6:$Q$29, 11, FALSE))</f>
        <v>50321.533545732003</v>
      </c>
      <c r="DV43" s="229">
        <f>IF(D43=0,IF(C43=0,MAX(0,DY43 - (VLOOKUP($A43,TOCA_current!$A$2:$AI$137,MATCH("RHWM 2020",TOCA_current!$A$2:$AI$2,0),FALSE)*$BT$2)), 0),0)</f>
        <v>0.70181918714661151</v>
      </c>
      <c r="DW43" s="266">
        <f>VLOOKUP($A43,REP_current!$A$1:$D$135,MATCH("FY "&amp;$BT$1&amp; " Total Refund",REP_current!$A$1:$D$1,0),0)</f>
        <v>0</v>
      </c>
      <c r="DX43" s="295">
        <f>MIN(VLOOKUP($A43,TOCA_current!$A$2:$AI$137,MATCH("TRL - NLSL - Existing Resource "&amp;$BT$1,TOCA_current!$A$2:$AI$2,0),FALSE)*$BT$2, VLOOKUP($A43,TOCA_current!$A$2:$AI$137,MATCH("RHWM 2020",TOCA_current!$A$2:$AI$2,0),FALSE)*$BT$2)</f>
        <v>664290</v>
      </c>
      <c r="DY43" s="240">
        <f>SUM(BZ43:CW43)+(BT43*RT1SC!$C$4*$BT$2)</f>
        <v>664290.70181918715</v>
      </c>
      <c r="DZ43" s="271">
        <f>VLOOKUP($A43,TOCA_current!$A$2:$AI$137,MATCH("Above RHWM Not Served with LS "&amp;$BT$1,TOCA_current!$A$2:$AI$2,0),FALSE)*$BT$2</f>
        <v>15328.080000000002</v>
      </c>
      <c r="EA43" s="244">
        <f t="shared" si="13"/>
        <v>0.70181918714661151</v>
      </c>
      <c r="EB43" s="295">
        <f>(VLOOKUP($A43,TOCA_current!$A$2:$AI$137,MATCH("RHWM 2020",TOCA_current!$A$2:$AI$2,0),FALSE)*$BT$2) - $DX43</f>
        <v>0</v>
      </c>
      <c r="EC43" s="240">
        <f t="shared" si="14"/>
        <v>0</v>
      </c>
      <c r="ED43" s="240">
        <f t="shared" si="15"/>
        <v>0</v>
      </c>
      <c r="EE43" s="240">
        <f t="shared" si="16"/>
        <v>0</v>
      </c>
      <c r="EF43" s="240">
        <f t="shared" si="17"/>
        <v>0</v>
      </c>
    </row>
    <row r="44" spans="1:136">
      <c r="A44" s="166">
        <v>10103</v>
      </c>
      <c r="B44" s="167" t="s">
        <v>45</v>
      </c>
      <c r="C44" s="240">
        <v>0</v>
      </c>
      <c r="D44" s="240">
        <v>1</v>
      </c>
      <c r="E44" s="150">
        <f>VLOOKUP($A44,TOCA_previous!$A$2:$AI$137,MATCH(E$4,TOCA_previous!$A$2:$AI$2,0),FALSE)</f>
        <v>4.3872399999999999E-2</v>
      </c>
      <c r="F44" s="151">
        <f>VLOOKUP($A44,TOCA_previous!$A$2:$AI$137,MATCH(F$4,TOCA_previous!$A$2:$AI$2,0),FALSE)</f>
        <v>2.2039199999999998E-2</v>
      </c>
      <c r="G44" s="151">
        <f t="shared" si="2"/>
        <v>2.1833200000000001E-2</v>
      </c>
      <c r="H44" s="151">
        <f>VLOOKUP($A44,TOCA_previous!$A$2:$AI$137,MATCH(H$4,TOCA_previous!$A$2:$AI$2,0),FALSE)</f>
        <v>0</v>
      </c>
      <c r="I44" s="151">
        <f t="shared" si="3"/>
        <v>0</v>
      </c>
      <c r="J44" s="151">
        <f t="shared" si="4"/>
        <v>0</v>
      </c>
      <c r="K44" s="226">
        <f>VLOOKUP(A44, IRD!$A$5:$C$139, 3, FALSE)</f>
        <v>0</v>
      </c>
      <c r="L44" s="227">
        <f t="array" ref="L44">IF($G44=0, INDEX(LS_previous!$D$4:$AY$138, MATCH('Staging Table'!$A44, LS_previous!$B$4:$B$138, 0), MATCH(L$4&amp;L$5, LS_previous!$D$2:$AY$2&amp;LS_previous!$D$3:$AY$3, 0)),SUM(VLOOKUP($A44, LS_previous!$B$4:$AY$138, LS_previous!D$149, FALSE), VLOOKUP('Staging Table'!$A44, LS_previous!$B$4:$AY$138,LS_previous!AB$149, FALSE))/2)</f>
        <v>-12940</v>
      </c>
      <c r="M44" s="227">
        <f t="array" ref="M44">IF($G44=0, INDEX(LS_previous!$D$4:$AY$138, MATCH('Staging Table'!$A44, LS_previous!$B$4:$B$138, 0), MATCH(M$4&amp;M$5, LS_previous!$D$2:$AY$2&amp;LS_previous!$D$3:$AY$3, 0)),SUM(VLOOKUP($A44, LS_previous!$B$4:$AY$138, LS_previous!E$149, FALSE), VLOOKUP('Staging Table'!$A44, LS_previous!$B$4:$AY$138,LS_previous!AC$149, FALSE))/2)</f>
        <v>4902</v>
      </c>
      <c r="N44" s="227">
        <f t="array" ref="N44">IF($G44=0, INDEX(LS_previous!$D$4:$AY$138, MATCH('Staging Table'!$A44, LS_previous!$B$4:$B$138, 0), MATCH(N$4&amp;N$5, LS_previous!$D$2:$AY$2&amp;LS_previous!$D$3:$AY$3, 0)),SUM(VLOOKUP($A44, LS_previous!$B$4:$AY$138, LS_previous!F$149, FALSE), VLOOKUP('Staging Table'!$A44, LS_previous!$B$4:$AY$138,LS_previous!AD$149, FALSE))/2)</f>
        <v>-9802.5</v>
      </c>
      <c r="O44" s="227">
        <f t="array" ref="O44">IF($G44=0, INDEX(LS_previous!$D$4:$AY$138, MATCH('Staging Table'!$A44, LS_previous!$B$4:$B$138, 0), MATCH(O$4&amp;O$5, LS_previous!$D$2:$AY$2&amp;LS_previous!$D$3:$AY$3, 0)),SUM(VLOOKUP($A44, LS_previous!$B$4:$AY$138, LS_previous!G$149, FALSE), VLOOKUP('Staging Table'!$A44, LS_previous!$B$4:$AY$138,LS_previous!AE$149, FALSE))/2)</f>
        <v>9588</v>
      </c>
      <c r="P44" s="227">
        <f t="array" ref="P44">IF($G44=0, INDEX(LS_previous!$D$4:$AY$138, MATCH('Staging Table'!$A44, LS_previous!$B$4:$B$138, 0), MATCH(P$4&amp;P$5, LS_previous!$D$2:$AY$2&amp;LS_previous!$D$3:$AY$3, 0)),SUM(VLOOKUP($A44, LS_previous!$B$4:$AY$138, LS_previous!H$149, FALSE), VLOOKUP('Staging Table'!$A44, LS_previous!$B$4:$AY$138,LS_previous!AF$149, FALSE))/2)</f>
        <v>6479.5</v>
      </c>
      <c r="Q44" s="227">
        <f t="array" ref="Q44">IF($G44=0, INDEX(LS_previous!$D$4:$AY$138, MATCH('Staging Table'!$A44, LS_previous!$B$4:$B$138, 0), MATCH(Q$4&amp;Q$5, LS_previous!$D$2:$AY$2&amp;LS_previous!$D$3:$AY$3, 0)),SUM(VLOOKUP($A44, LS_previous!$B$4:$AY$138, LS_previous!I$149, FALSE), VLOOKUP('Staging Table'!$A44, LS_previous!$B$4:$AY$138,LS_previous!AG$149, FALSE))/2)</f>
        <v>25727</v>
      </c>
      <c r="R44" s="227">
        <f t="array" ref="R44">IF($G44=0, INDEX(LS_previous!$D$4:$AY$138, MATCH('Staging Table'!$A44, LS_previous!$B$4:$B$138, 0), MATCH(R$4&amp;R$5, LS_previous!$D$2:$AY$2&amp;LS_previous!$D$3:$AY$3, 0)),SUM(VLOOKUP($A44, LS_previous!$B$4:$AY$138, LS_previous!J$149, FALSE), VLOOKUP('Staging Table'!$A44, LS_previous!$B$4:$AY$138,LS_previous!AH$149, FALSE))/2)</f>
        <v>23644.5</v>
      </c>
      <c r="S44" s="227">
        <f t="array" ref="S44">IF($G44=0, INDEX(LS_previous!$D$4:$AY$138, MATCH('Staging Table'!$A44, LS_previous!$B$4:$B$138, 0), MATCH(S$4&amp;S$5, LS_previous!$D$2:$AY$2&amp;LS_previous!$D$3:$AY$3, 0)),SUM(VLOOKUP($A44, LS_previous!$B$4:$AY$138, LS_previous!K$149, FALSE), VLOOKUP('Staging Table'!$A44, LS_previous!$B$4:$AY$138,LS_previous!AI$149, FALSE))/2)</f>
        <v>30030.5</v>
      </c>
      <c r="T44" s="227">
        <f t="array" ref="T44">IF($G44=0, INDEX(LS_previous!$D$4:$AY$138, MATCH('Staging Table'!$A44, LS_previous!$B$4:$B$138, 0), MATCH(T$4&amp;T$5, LS_previous!$D$2:$AY$2&amp;LS_previous!$D$3:$AY$3, 0)),SUM(VLOOKUP($A44, LS_previous!$B$4:$AY$138, LS_previous!L$149, FALSE), VLOOKUP('Staging Table'!$A44, LS_previous!$B$4:$AY$138,LS_previous!AJ$149, FALSE))/2)</f>
        <v>11004</v>
      </c>
      <c r="U44" s="227">
        <f t="array" ref="U44">IF($G44=0, INDEX(LS_previous!$D$4:$AY$138, MATCH('Staging Table'!$A44, LS_previous!$B$4:$B$138, 0), MATCH(U$4&amp;U$5, LS_previous!$D$2:$AY$2&amp;LS_previous!$D$3:$AY$3, 0)),SUM(VLOOKUP($A44, LS_previous!$B$4:$AY$138, LS_previous!M$149, FALSE), VLOOKUP('Staging Table'!$A44, LS_previous!$B$4:$AY$138,LS_previous!AK$149, FALSE))/2)</f>
        <v>17633</v>
      </c>
      <c r="V44" s="227">
        <f t="array" ref="V44">IF($G44=0, INDEX(LS_previous!$D$4:$AY$138, MATCH('Staging Table'!$A44, LS_previous!$B$4:$B$138, 0), MATCH(V$4&amp;V$5, LS_previous!$D$2:$AY$2&amp;LS_previous!$D$3:$AY$3, 0)),SUM(VLOOKUP($A44, LS_previous!$B$4:$AY$138, LS_previous!N$149, FALSE), VLOOKUP('Staging Table'!$A44, LS_previous!$B$4:$AY$138,LS_previous!AL$149, FALSE))/2)</f>
        <v>-4086.5</v>
      </c>
      <c r="W44" s="227">
        <f t="array" ref="W44">IF($G44=0, INDEX(LS_previous!$D$4:$AY$138, MATCH('Staging Table'!$A44, LS_previous!$B$4:$B$138, 0), MATCH(W$4&amp;W$5, LS_previous!$D$2:$AY$2&amp;LS_previous!$D$3:$AY$3, 0)),SUM(VLOOKUP($A44, LS_previous!$B$4:$AY$138, LS_previous!O$149, FALSE), VLOOKUP('Staging Table'!$A44, LS_previous!$B$4:$AY$138,LS_previous!AM$149, FALSE))/2)</f>
        <v>8350.5</v>
      </c>
      <c r="X44" s="227">
        <f t="array" ref="X44">IF($G44=0, INDEX(LS_previous!$D$4:$AY$138, MATCH('Staging Table'!$A44, LS_previous!$B$4:$B$138, 0), MATCH(X$4&amp;X$5, LS_previous!$D$2:$AY$2&amp;LS_previous!$D$3:$AY$3, 0)),SUM(VLOOKUP($A44, LS_previous!$B$4:$AY$138, LS_previous!P$149, FALSE), VLOOKUP('Staging Table'!$A44, LS_previous!$B$4:$AY$138,LS_previous!AN$149, FALSE))/2)</f>
        <v>-13881.5</v>
      </c>
      <c r="Y44" s="227">
        <f t="array" ref="Y44">IF($G44=0, INDEX(LS_previous!$D$4:$AY$138, MATCH('Staging Table'!$A44, LS_previous!$B$4:$B$138, 0), MATCH(Y$4&amp;Y$5, LS_previous!$D$2:$AY$2&amp;LS_previous!$D$3:$AY$3, 0)),SUM(VLOOKUP($A44, LS_previous!$B$4:$AY$138, LS_previous!Q$149, FALSE), VLOOKUP('Staging Table'!$A44, LS_previous!$B$4:$AY$138,LS_previous!AO$149, FALSE))/2)</f>
        <v>3005.5</v>
      </c>
      <c r="Z44" s="227">
        <f t="array" ref="Z44">IF($G44=0, INDEX(LS_previous!$D$4:$AY$138, MATCH('Staging Table'!$A44, LS_previous!$B$4:$B$138, 0), MATCH(Z$4&amp;Z$5, LS_previous!$D$2:$AY$2&amp;LS_previous!$D$3:$AY$3, 0)),SUM(VLOOKUP($A44, LS_previous!$B$4:$AY$138, LS_previous!R$149, FALSE), VLOOKUP('Staging Table'!$A44, LS_previous!$B$4:$AY$138,LS_previous!AP$149, FALSE))/2)</f>
        <v>-23755.5</v>
      </c>
      <c r="AA44" s="227">
        <f t="array" ref="AA44">IF($G44=0, INDEX(LS_previous!$D$4:$AY$138, MATCH('Staging Table'!$A44, LS_previous!$B$4:$B$138, 0), MATCH(AA$4&amp;AA$5, LS_previous!$D$2:$AY$2&amp;LS_previous!$D$3:$AY$3, 0)),SUM(VLOOKUP($A44, LS_previous!$B$4:$AY$138, LS_previous!S$149, FALSE), VLOOKUP('Staging Table'!$A44, LS_previous!$B$4:$AY$138,LS_previous!AQ$149, FALSE))/2)</f>
        <v>2050.5</v>
      </c>
      <c r="AB44" s="227">
        <f t="array" ref="AB44">IF($G44=0, INDEX(LS_previous!$D$4:$AY$138, MATCH('Staging Table'!$A44, LS_previous!$B$4:$B$138, 0), MATCH(AB$4&amp;AB$5, LS_previous!$D$2:$AY$2&amp;LS_previous!$D$3:$AY$3, 0)),SUM(VLOOKUP($A44, LS_previous!$B$4:$AY$138, LS_previous!T$149, FALSE), VLOOKUP('Staging Table'!$A44, LS_previous!$B$4:$AY$138,LS_previous!AR$149, FALSE))/2)</f>
        <v>-26916.5</v>
      </c>
      <c r="AC44" s="227">
        <f t="array" ref="AC44">IF($G44=0, INDEX(LS_previous!$D$4:$AY$138, MATCH('Staging Table'!$A44, LS_previous!$B$4:$B$138, 0), MATCH(AC$4&amp;AC$5, LS_previous!$D$2:$AY$2&amp;LS_previous!$D$3:$AY$3, 0)),SUM(VLOOKUP($A44, LS_previous!$B$4:$AY$138, LS_previous!U$149, FALSE), VLOOKUP('Staging Table'!$A44, LS_previous!$B$4:$AY$138,LS_previous!AS$149, FALSE))/2)</f>
        <v>-2451</v>
      </c>
      <c r="AD44" s="227">
        <f t="array" ref="AD44">IF($G44=0, INDEX(LS_previous!$D$4:$AY$138, MATCH('Staging Table'!$A44, LS_previous!$B$4:$B$138, 0), MATCH(AD$4&amp;AD$5, LS_previous!$D$2:$AY$2&amp;LS_previous!$D$3:$AY$3, 0)),SUM(VLOOKUP($A44, LS_previous!$B$4:$AY$138, LS_previous!V$149, FALSE), VLOOKUP('Staging Table'!$A44, LS_previous!$B$4:$AY$138,LS_previous!AT$149, FALSE))/2)</f>
        <v>-14638</v>
      </c>
      <c r="AE44" s="227">
        <f t="array" ref="AE44">IF($G44=0, INDEX(LS_previous!$D$4:$AY$138, MATCH('Staging Table'!$A44, LS_previous!$B$4:$B$138, 0), MATCH(AE$4&amp;AE$5, LS_previous!$D$2:$AY$2&amp;LS_previous!$D$3:$AY$3, 0)),SUM(VLOOKUP($A44, LS_previous!$B$4:$AY$138, LS_previous!W$149, FALSE), VLOOKUP('Staging Table'!$A44, LS_previous!$B$4:$AY$138,LS_previous!AU$149, FALSE))/2)</f>
        <v>7695.5</v>
      </c>
      <c r="AF44" s="227">
        <f t="array" ref="AF44">IF($G44=0, INDEX(LS_previous!$D$4:$AY$138, MATCH('Staging Table'!$A44, LS_previous!$B$4:$B$138, 0), MATCH(AF$4&amp;AF$5, LS_previous!$D$2:$AY$2&amp;LS_previous!$D$3:$AY$3, 0)),SUM(VLOOKUP($A44, LS_previous!$B$4:$AY$138, LS_previous!X$149, FALSE), VLOOKUP('Staging Table'!$A44, LS_previous!$B$4:$AY$138,LS_previous!AV$149, FALSE))/2)</f>
        <v>-19881</v>
      </c>
      <c r="AG44" s="227">
        <f t="array" ref="AG44">IF($G44=0, INDEX(LS_previous!$D$4:$AY$138, MATCH('Staging Table'!$A44, LS_previous!$B$4:$B$138, 0), MATCH(AG$4&amp;AG$5, LS_previous!$D$2:$AY$2&amp;LS_previous!$D$3:$AY$3, 0)),SUM(VLOOKUP($A44, LS_previous!$B$4:$AY$138, LS_previous!Y$149, FALSE), VLOOKUP('Staging Table'!$A44, LS_previous!$B$4:$AY$138,LS_previous!AW$149, FALSE))/2)</f>
        <v>2987</v>
      </c>
      <c r="AH44" s="227">
        <f t="array" ref="AH44">IF($G44=0, INDEX(LS_previous!$D$4:$AY$138, MATCH('Staging Table'!$A44, LS_previous!$B$4:$B$138, 0), MATCH(AH$4&amp;AH$5, LS_previous!$D$2:$AY$2&amp;LS_previous!$D$3:$AY$3, 0)),SUM(VLOOKUP($A44, LS_previous!$B$4:$AY$138, LS_previous!Z$149, FALSE), VLOOKUP('Staging Table'!$A44, LS_previous!$B$4:$AY$138,LS_previous!AX$149, FALSE))/2)</f>
        <v>-23388.5</v>
      </c>
      <c r="AI44" s="227">
        <f t="array" ref="AI44">IF($G44=0, INDEX(LS_previous!$D$4:$AY$138, MATCH('Staging Table'!$A44, LS_previous!$B$4:$B$138, 0), MATCH(AI$4&amp;AI$5, LS_previous!$D$2:$AY$2&amp;LS_previous!$D$3:$AY$3, 0)),SUM(VLOOKUP($A44, LS_previous!$B$4:$AY$138, LS_previous!AA$149, FALSE), VLOOKUP('Staging Table'!$A44, LS_previous!$B$4:$AY$138,LS_previous!AY$149, FALSE))/2)</f>
        <v>41.5</v>
      </c>
      <c r="AJ44" s="424">
        <f t="array" ref="AJ44">INDEX(Demand_previous!$D$4:$AY$138, MATCH('Staging Table'!$A44, Demand_previous!$B$4:$B$138, 0), MATCH(AJ$4&amp;AJ$5,Demand_previous!$D$2:$AY$2&amp;Demand_previous!$D$3:$AY$3, 0))/1000</f>
        <v>0</v>
      </c>
      <c r="AK44" s="424">
        <f t="array" ref="AK44">INDEX(Demand_previous!$D$4:$AY$138, MATCH('Staging Table'!$A44, Demand_previous!$B$4:$B$138, 0), MATCH(AK$4&amp;AK$5,Demand_previous!$D$2:$AY$2&amp;Demand_previous!$D$3:$AY$3, 0))/1000</f>
        <v>0</v>
      </c>
      <c r="AL44" s="424">
        <f t="array" ref="AL44">INDEX(Demand_previous!$D$4:$AY$138, MATCH('Staging Table'!$A44, Demand_previous!$B$4:$B$138, 0), MATCH(AL$4&amp;AL$5,Demand_previous!$D$2:$AY$2&amp;Demand_previous!$D$3:$AY$3, 0))/1000</f>
        <v>0</v>
      </c>
      <c r="AM44" s="424">
        <f t="array" ref="AM44">INDEX(Demand_previous!$D$4:$AY$138, MATCH('Staging Table'!$A44, Demand_previous!$B$4:$B$138, 0), MATCH(AM$4&amp;AM$5,Demand_previous!$D$2:$AY$2&amp;Demand_previous!$D$3:$AY$3, 0))/1000</f>
        <v>0</v>
      </c>
      <c r="AN44" s="424">
        <f t="array" ref="AN44">INDEX(Demand_previous!$D$4:$AY$138, MATCH('Staging Table'!$A44, Demand_previous!$B$4:$B$138, 0), MATCH(AN$4&amp;AN$5,Demand_previous!$D$2:$AY$2&amp;Demand_previous!$D$3:$AY$3, 0))/1000</f>
        <v>0</v>
      </c>
      <c r="AO44" s="424">
        <f t="array" ref="AO44">INDEX(Demand_previous!$D$4:$AY$138, MATCH('Staging Table'!$A44, Demand_previous!$B$4:$B$138, 0), MATCH(AO$4&amp;AO$5,Demand_previous!$D$2:$AY$2&amp;Demand_previous!$D$3:$AY$3, 0))/1000</f>
        <v>0</v>
      </c>
      <c r="AP44" s="424">
        <f t="array" ref="AP44">INDEX(Demand_previous!$D$4:$AY$138, MATCH('Staging Table'!$A44, Demand_previous!$B$4:$B$138, 0), MATCH(AP$4&amp;AP$5,Demand_previous!$D$2:$AY$2&amp;Demand_previous!$D$3:$AY$3, 0))/1000</f>
        <v>0</v>
      </c>
      <c r="AQ44" s="424">
        <f t="array" ref="AQ44">INDEX(Demand_previous!$D$4:$AY$138, MATCH('Staging Table'!$A44, Demand_previous!$B$4:$B$138, 0), MATCH(AQ$4&amp;AQ$5,Demand_previous!$D$2:$AY$2&amp;Demand_previous!$D$3:$AY$3, 0))/1000</f>
        <v>0</v>
      </c>
      <c r="AR44" s="424">
        <f t="array" ref="AR44">INDEX(Demand_previous!$D$4:$AY$138, MATCH('Staging Table'!$A44, Demand_previous!$B$4:$B$138, 0), MATCH(AR$4&amp;AR$5,Demand_previous!$D$2:$AY$2&amp;Demand_previous!$D$3:$AY$3, 0))/1000</f>
        <v>0</v>
      </c>
      <c r="AS44" s="424">
        <f t="array" ref="AS44">INDEX(Demand_previous!$D$4:$AY$138, MATCH('Staging Table'!$A44, Demand_previous!$B$4:$B$138, 0), MATCH(AS$4&amp;AS$5,Demand_previous!$D$2:$AY$2&amp;Demand_previous!$D$3:$AY$3, 0))/1000</f>
        <v>0</v>
      </c>
      <c r="AT44" s="424">
        <f t="array" ref="AT44">INDEX(Demand_previous!$D$4:$AY$138, MATCH('Staging Table'!$A44, Demand_previous!$B$4:$B$138, 0), MATCH(AT$4&amp;AT$5,Demand_previous!$D$2:$AY$2&amp;Demand_previous!$D$3:$AY$3, 0))/1000</f>
        <v>0</v>
      </c>
      <c r="AU44" s="424">
        <f t="array" ref="AU44">INDEX(Demand_previous!$D$4:$AY$138, MATCH('Staging Table'!$A44, Demand_previous!$B$4:$B$138, 0), MATCH(AU$4&amp;AU$5,Demand_previous!$D$2:$AY$2&amp;Demand_previous!$D$3:$AY$3, 0))/1000</f>
        <v>0</v>
      </c>
      <c r="AV44" s="227">
        <f>$F44*(VLOOKUP(AV$4, Rates_previous!$G$6:$Q$29, 10, FALSE)+VLOOKUP(AV$4, Rates_previous!$G$6:$Q$29, 11, FALSE))</f>
        <v>103338.23321285465</v>
      </c>
      <c r="AW44" s="227">
        <f>$F44*(VLOOKUP(AW$4, Rates_previous!$G$6:$Q$29, 10, FALSE)+VLOOKUP(AW$4, Rates_previous!$G$6:$Q$29, 11, FALSE))</f>
        <v>127718.20212913226</v>
      </c>
      <c r="AX44" s="227">
        <f>$F44*(VLOOKUP(AX$4, Rates_previous!$G$6:$Q$29, 10, FALSE)+VLOOKUP(AX$4, Rates_previous!$G$6:$Q$29, 11, FALSE))</f>
        <v>126184.45927990969</v>
      </c>
      <c r="AY44" s="227">
        <f>$F44*(VLOOKUP(AY$4, Rates_previous!$G$6:$Q$29, 10, FALSE)+VLOOKUP(AY$4, Rates_previous!$G$6:$Q$29, 11, FALSE))</f>
        <v>107812.59308931426</v>
      </c>
      <c r="AZ44" s="227">
        <f>$F44*(VLOOKUP(AZ$4, Rates_previous!$G$6:$Q$29, 10, FALSE)+VLOOKUP(AZ$4, Rates_previous!$G$6:$Q$29, 11, FALSE))</f>
        <v>88385.413800796377</v>
      </c>
      <c r="BA44" s="227">
        <f>$F44*(VLOOKUP(BA$4, Rates_previous!$G$6:$Q$29, 10, FALSE)+VLOOKUP(BA$4, Rates_previous!$G$6:$Q$29, 11, FALSE))</f>
        <v>104645.11948396517</v>
      </c>
      <c r="BB44" s="227">
        <f>$F44*(VLOOKUP(BB$4, Rates_previous!$G$6:$Q$29, 10, FALSE)+VLOOKUP(BB$4, Rates_previous!$G$6:$Q$29, 11, FALSE))</f>
        <v>100579.18138537004</v>
      </c>
      <c r="BC44" s="227">
        <f>$F44*(VLOOKUP(BC$4, Rates_previous!$G$6:$Q$29, 10, FALSE)+VLOOKUP(BC$4, Rates_previous!$G$6:$Q$29, 11, FALSE))</f>
        <v>147592.83142381307</v>
      </c>
      <c r="BD44" s="227">
        <f>$F44*(VLOOKUP(BD$4, Rates_previous!$G$6:$Q$29, 10, FALSE)+VLOOKUP(BD$4, Rates_previous!$G$6:$Q$29, 11, FALSE))</f>
        <v>116446.84306730361</v>
      </c>
      <c r="BE44" s="227">
        <f>$F44*(VLOOKUP(BE$4, Rates_previous!$G$6:$Q$29, 10, FALSE)+VLOOKUP(BE$4, Rates_previous!$G$6:$Q$29, 11, FALSE))</f>
        <v>102250.10224061241</v>
      </c>
      <c r="BF44" s="227">
        <f>$F44*(VLOOKUP(BF$4, Rates_previous!$G$6:$Q$29, 10, FALSE)+VLOOKUP(BF$4, Rates_previous!$G$6:$Q$29, 11, FALSE))</f>
        <v>113246.08106920561</v>
      </c>
      <c r="BG44" s="227">
        <f>$F44*(VLOOKUP(BG$4, Rates_previous!$G$6:$Q$29, 10, FALSE)+VLOOKUP(BG$4, Rates_previous!$G$6:$Q$29, 11, FALSE))</f>
        <v>102596.44593430849</v>
      </c>
      <c r="BH44" s="229">
        <f>IF($D44=0,IF(C44=0, MAX(BK44 - (VLOOKUP($A44,TOCA_previous!$A$2:$AI$137,MATCH("RHWM 2018",TOCA_previous!$A$2:$AI$2,0),FALSE)*$F$2*TOCA_previous!C41),0),0), 0)</f>
        <v>0</v>
      </c>
      <c r="BI44" s="266">
        <f>VLOOKUP($A44,REP_previous!$A$1:$D$135,MATCH("FY "&amp;$F$1&amp; " Total Refund",REP_previous!$A$1:$D$1,0),0)</f>
        <v>4076834.2519638757</v>
      </c>
      <c r="BJ44" s="241">
        <f>MIN(VLOOKUP($A44,TOCA_previous!$A$2:$AI$137,MATCH("TRL - NLSL - Existing Resource "&amp;$F$1,TOCA_previous!$A$2:$AI$2,0),FALSE)*$F$2,(VLOOKUP($A44,TOCA_previous!$A$2:$AI$137,MATCH("RHWM 2018",TOCA_previous!$A$2:$AI$2,0),FALSE)*$F$2))</f>
        <v>2669058.12</v>
      </c>
      <c r="BK44" s="229">
        <f>SUM(L44:AI44)+(F44*RT1SC!$C$3*$F$2)</f>
        <v>1342193.5256776318</v>
      </c>
      <c r="BL44" s="241">
        <f>VLOOKUP($A44,TOCA_previous!$A$2:$AI$137,MATCH("Above RHWM Not Served with LS "&amp;$F$1,TOCA_previous!$A$2:$AI$2,0),FALSE)*$F$2</f>
        <v>0</v>
      </c>
      <c r="BM44" s="151">
        <f t="shared" si="5"/>
        <v>-1326864.5943223683</v>
      </c>
      <c r="BN44" s="242">
        <f>(VLOOKUP($A44,TOCA_previous!$A$2:$AI$137,MATCH("RHWM 2018",TOCA_previous!$A$2:$AI$2,0),FALSE)*$F$2) - $BJ44</f>
        <v>76168.199999999721</v>
      </c>
      <c r="BO44" s="151">
        <f t="shared" si="6"/>
        <v>0</v>
      </c>
      <c r="BP44" s="243">
        <f t="shared" si="7"/>
        <v>1326864.5943223683</v>
      </c>
      <c r="BQ44" s="237">
        <f t="shared" si="8"/>
        <v>0</v>
      </c>
      <c r="BR44" s="242">
        <f t="shared" si="9"/>
        <v>0</v>
      </c>
      <c r="BS44" s="151">
        <f>VLOOKUP($A44,TOCA_current!$A$2:$AI$137,MATCH(BS$4,TOCA_current!$A$2:$AI$2,0),FALSE)</f>
        <v>4.3256200000000002E-2</v>
      </c>
      <c r="BT44" s="151">
        <f>VLOOKUP($A44,TOCA_current!$A$2:$AI$137,MATCH(BT$4,TOCA_current!$A$2:$AI$2,0),FALSE)</f>
        <v>2.1434700000000001E-2</v>
      </c>
      <c r="BU44" s="236">
        <f t="shared" si="10"/>
        <v>2.1821500000000001E-2</v>
      </c>
      <c r="BV44" s="151">
        <f>VLOOKUP($A44,TOCA_current!A40:BG175,MATCH(BV$4,TOCA_current!$A$2:$BG$2,0),FALSE)</f>
        <v>0</v>
      </c>
      <c r="BW44" s="151">
        <f t="shared" si="11"/>
        <v>0</v>
      </c>
      <c r="BX44" s="151">
        <f t="shared" si="12"/>
        <v>0</v>
      </c>
      <c r="BY44" s="226">
        <f>VLOOKUP($A44,IRD!$A$4:$G$139, 7, FALSE)</f>
        <v>0</v>
      </c>
      <c r="BZ44" s="227">
        <f t="array" ref="BZ44">IF($BU44=0, INDEX(LS_current!$D$4:$AY$138, MATCH('Staging Table'!$A44, LS_current!$B$4:$B$138, 0), MATCH(BZ$4&amp;BZ$5, LS_current!$D$2:$AY$2&amp;LS_current!$D$3:$AY$3, 0)),SUM(VLOOKUP($A44, LS_current!$B$4:$AY$138, LS_current!D$148, FALSE), VLOOKUP($A44, LS_current!$B$4:$AY$138,LS_current!D$148, FALSE))/2)</f>
        <v>-10207</v>
      </c>
      <c r="CA44" s="227">
        <f t="array" ref="CA44">IF($BU44=0, INDEX(LS_current!$D$4:$AY$138, MATCH('Staging Table'!$A44, LS_current!$B$4:$B$138, 0), MATCH(CA$4&amp;CA$5, LS_current!$D$2:$AY$2&amp;LS_current!$D$3:$AY$3, 0)),SUM(VLOOKUP($A44, LS_current!$B$4:$AY$138, LS_current!E$148, FALSE), VLOOKUP($A44, LS_current!$B$4:$AY$138,LS_current!E$148, FALSE))/2)</f>
        <v>4738</v>
      </c>
      <c r="CB44" s="227">
        <f t="array" ref="CB44">IF($BU44=0, INDEX(LS_current!$D$4:$AY$138, MATCH('Staging Table'!$A44, LS_current!$B$4:$B$138, 0), MATCH(CB$4&amp;CB$5, LS_current!$D$2:$AY$2&amp;LS_current!$D$3:$AY$3, 0)),SUM(VLOOKUP($A44, LS_current!$B$4:$AY$138, LS_current!F$148, FALSE), VLOOKUP($A44, LS_current!$B$4:$AY$138,LS_current!F$148, FALSE))/2)</f>
        <v>-9415</v>
      </c>
      <c r="CC44" s="227">
        <f t="array" ref="CC44">IF($BU44=0, INDEX(LS_current!$D$4:$AY$138, MATCH('Staging Table'!$A44, LS_current!$B$4:$B$138, 0), MATCH(CC$4&amp;CC$5, LS_current!$D$2:$AY$2&amp;LS_current!$D$3:$AY$3, 0)),SUM(VLOOKUP($A44, LS_current!$B$4:$AY$138, LS_current!G$148, FALSE), VLOOKUP($A44, LS_current!$B$4:$AY$138,LS_current!G$148, FALSE))/2)</f>
        <v>8800</v>
      </c>
      <c r="CD44" s="227">
        <f t="array" ref="CD44">IF($BU44=0, INDEX(LS_current!$D$4:$AY$138, MATCH('Staging Table'!$A44, LS_current!$B$4:$B$138, 0), MATCH(CD$4&amp;CD$5, LS_current!$D$2:$AY$2&amp;LS_current!$D$3:$AY$3, 0)),SUM(VLOOKUP($A44, LS_current!$B$4:$AY$138, LS_current!H$148, FALSE), VLOOKUP($A44, LS_current!$B$4:$AY$138,LS_current!H$148, FALSE))/2)</f>
        <v>6415</v>
      </c>
      <c r="CE44" s="227">
        <f t="array" ref="CE44">IF($BU44=0, INDEX(LS_current!$D$4:$AY$138, MATCH('Staging Table'!$A44, LS_current!$B$4:$B$138, 0), MATCH(CE$4&amp;CE$5, LS_current!$D$2:$AY$2&amp;LS_current!$D$3:$AY$3, 0)),SUM(VLOOKUP($A44, LS_current!$B$4:$AY$138, LS_current!I$148, FALSE), VLOOKUP($A44, LS_current!$B$4:$AY$138,LS_current!I$148, FALSE))/2)</f>
        <v>24777</v>
      </c>
      <c r="CF44" s="227">
        <f t="array" ref="CF44">IF($BU44=0, INDEX(LS_current!$D$4:$AY$138, MATCH('Staging Table'!$A44, LS_current!$B$4:$B$138, 0), MATCH(CF$4&amp;CF$5, LS_current!$D$2:$AY$2&amp;LS_current!$D$3:$AY$3, 0)),SUM(VLOOKUP($A44, LS_current!$B$4:$AY$138, LS_current!J$148, FALSE), VLOOKUP($A44, LS_current!$B$4:$AY$138,LS_current!J$148, FALSE))/2)</f>
        <v>23295</v>
      </c>
      <c r="CG44" s="227">
        <f t="array" ref="CG44">IF($BU44=0, INDEX(LS_current!$D$4:$AY$138, MATCH('Staging Table'!$A44, LS_current!$B$4:$B$138, 0), MATCH(CG$4&amp;CG$5, LS_current!$D$2:$AY$2&amp;LS_current!$D$3:$AY$3, 0)),SUM(VLOOKUP($A44, LS_current!$B$4:$AY$138, LS_current!K$148, FALSE), VLOOKUP($A44, LS_current!$B$4:$AY$138,LS_current!K$148, FALSE))/2)</f>
        <v>31204</v>
      </c>
      <c r="CH44" s="227">
        <f t="array" ref="CH44">IF($BU44=0, INDEX(LS_current!$D$4:$AY$138, MATCH('Staging Table'!$A44, LS_current!$B$4:$B$138, 0), MATCH(CH$4&amp;CH$5, LS_current!$D$2:$AY$2&amp;LS_current!$D$3:$AY$3, 0)),SUM(VLOOKUP($A44, LS_current!$B$4:$AY$138, LS_current!L$148, FALSE), VLOOKUP($A44, LS_current!$B$4:$AY$138,LS_current!L$148, FALSE))/2)</f>
        <v>6674</v>
      </c>
      <c r="CI44" s="227">
        <f t="array" ref="CI44">IF($BU44=0, INDEX(LS_current!$D$4:$AY$138, MATCH('Staging Table'!$A44, LS_current!$B$4:$B$138, 0), MATCH(CI$4&amp;CI$5, LS_current!$D$2:$AY$2&amp;LS_current!$D$3:$AY$3, 0)),SUM(VLOOKUP($A44, LS_current!$B$4:$AY$138, LS_current!M$148, FALSE), VLOOKUP($A44, LS_current!$B$4:$AY$138,LS_current!M$148, FALSE))/2)</f>
        <v>14109</v>
      </c>
      <c r="CJ44" s="227">
        <f t="array" ref="CJ44">IF($BU44=0, INDEX(LS_current!$D$4:$AY$138, MATCH('Staging Table'!$A44, LS_current!$B$4:$B$138, 0), MATCH(CJ$4&amp;CJ$5, LS_current!$D$2:$AY$2&amp;LS_current!$D$3:$AY$3, 0)),SUM(VLOOKUP($A44, LS_current!$B$4:$AY$138, LS_current!N$148, FALSE), VLOOKUP($A44, LS_current!$B$4:$AY$138,LS_current!N$148, FALSE))/2)</f>
        <v>-6607</v>
      </c>
      <c r="CK44" s="227">
        <f t="array" ref="CK44">IF($BU44=0, INDEX(LS_current!$D$4:$AY$138, MATCH('Staging Table'!$A44, LS_current!$B$4:$B$138, 0), MATCH(CK$4&amp;CK$5, LS_current!$D$2:$AY$2&amp;LS_current!$D$3:$AY$3, 0)),SUM(VLOOKUP($A44, LS_current!$B$4:$AY$138, LS_current!O$148, FALSE), VLOOKUP($A44, LS_current!$B$4:$AY$138,LS_current!O$148, FALSE))/2)</f>
        <v>8954</v>
      </c>
      <c r="CL44" s="227">
        <f t="array" ref="CL44">IF($BU44=0, INDEX(LS_current!$D$4:$AY$138, MATCH('Staging Table'!$A44, LS_current!$B$4:$B$138, 0), MATCH(CL$4&amp;CL$5, LS_current!$D$2:$AY$2&amp;LS_current!$D$3:$AY$3, 0)),SUM(VLOOKUP($A44, LS_current!$B$4:$AY$138, LS_current!P$148, FALSE), VLOOKUP($A44, LS_current!$B$4:$AY$138,LS_current!P$148, FALSE))/2)</f>
        <v>-2469</v>
      </c>
      <c r="CM44" s="227">
        <f t="array" ref="CM44">IF($BU44=0, INDEX(LS_current!$D$4:$AY$138, MATCH('Staging Table'!$A44, LS_current!$B$4:$B$138, 0), MATCH(CM$4&amp;CM$5, LS_current!$D$2:$AY$2&amp;LS_current!$D$3:$AY$3, 0)),SUM(VLOOKUP($A44, LS_current!$B$4:$AY$138, LS_current!Q$148, FALSE), VLOOKUP($A44, LS_current!$B$4:$AY$138,LS_current!Q$148, FALSE))/2)</f>
        <v>5763</v>
      </c>
      <c r="CN44" s="227">
        <f t="array" ref="CN44">IF($BU44=0, INDEX(LS_current!$D$4:$AY$138, MATCH('Staging Table'!$A44, LS_current!$B$4:$B$138, 0), MATCH(CN$4&amp;CN$5, LS_current!$D$2:$AY$2&amp;LS_current!$D$3:$AY$3, 0)),SUM(VLOOKUP($A44, LS_current!$B$4:$AY$138, LS_current!R$148, FALSE), VLOOKUP($A44, LS_current!$B$4:$AY$138,LS_current!R$148, FALSE))/2)</f>
        <v>-7783</v>
      </c>
      <c r="CO44" s="227">
        <f t="array" ref="CO44">IF($BU44=0, INDEX(LS_current!$D$4:$AY$138, MATCH('Staging Table'!$A44, LS_current!$B$4:$B$138, 0), MATCH(CO$4&amp;CO$5, LS_current!$D$2:$AY$2&amp;LS_current!$D$3:$AY$3, 0)),SUM(VLOOKUP($A44, LS_current!$B$4:$AY$138, LS_current!S$148, FALSE), VLOOKUP($A44, LS_current!$B$4:$AY$138,LS_current!S$148, FALSE))/2)</f>
        <v>17019</v>
      </c>
      <c r="CP44" s="227">
        <f t="array" ref="CP44">IF($BU44=0, INDEX(LS_current!$D$4:$AY$138, MATCH('Staging Table'!$A44, LS_current!$B$4:$B$138, 0), MATCH(CP$4&amp;CP$5, LS_current!$D$2:$AY$2&amp;LS_current!$D$3:$AY$3, 0)),SUM(VLOOKUP($A44, LS_current!$B$4:$AY$138, LS_current!T$148, FALSE), VLOOKUP($A44, LS_current!$B$4:$AY$138,LS_current!T$148, FALSE))/2)</f>
        <v>-45404</v>
      </c>
      <c r="CQ44" s="227">
        <f t="array" ref="CQ44">IF($BU44=0, INDEX(LS_current!$D$4:$AY$138, MATCH('Staging Table'!$A44, LS_current!$B$4:$B$138, 0), MATCH(CQ$4&amp;CQ$5, LS_current!$D$2:$AY$2&amp;LS_current!$D$3:$AY$3, 0)),SUM(VLOOKUP($A44, LS_current!$B$4:$AY$138, LS_current!U$148, FALSE), VLOOKUP($A44, LS_current!$B$4:$AY$138,LS_current!U$148, FALSE))/2)</f>
        <v>-15161</v>
      </c>
      <c r="CR44" s="227">
        <f t="array" ref="CR44">IF($BU44=0, INDEX(LS_current!$D$4:$AY$138, MATCH('Staging Table'!$A44, LS_current!$B$4:$B$138, 0), MATCH(CR$4&amp;CR$5, LS_current!$D$2:$AY$2&amp;LS_current!$D$3:$AY$3, 0)),SUM(VLOOKUP($A44, LS_current!$B$4:$AY$138, LS_current!V$148, FALSE), VLOOKUP($A44, LS_current!$B$4:$AY$138,LS_current!V$148, FALSE))/2)</f>
        <v>-26606</v>
      </c>
      <c r="CS44" s="227">
        <f t="array" ref="CS44">IF($BU44=0, INDEX(LS_current!$D$4:$AY$138, MATCH('Staging Table'!$A44, LS_current!$B$4:$B$138, 0), MATCH(CS$4&amp;CS$5, LS_current!$D$2:$AY$2&amp;LS_current!$D$3:$AY$3, 0)),SUM(VLOOKUP($A44, LS_current!$B$4:$AY$138, LS_current!W$148, FALSE), VLOOKUP($A44, LS_current!$B$4:$AY$138,LS_current!W$148, FALSE))/2)</f>
        <v>5510</v>
      </c>
      <c r="CT44" s="227">
        <f t="array" ref="CT44">IF($BU44=0, INDEX(LS_current!$D$4:$AY$138, MATCH('Staging Table'!$A44, LS_current!$B$4:$B$138, 0), MATCH(CT$4&amp;CT$5, LS_current!$D$2:$AY$2&amp;LS_current!$D$3:$AY$3, 0)),SUM(VLOOKUP($A44, LS_current!$B$4:$AY$138, LS_current!X$148, FALSE), VLOOKUP($A44, LS_current!$B$4:$AY$138,LS_current!X$148, FALSE))/2)</f>
        <v>-23457</v>
      </c>
      <c r="CU44" s="227">
        <f t="array" ref="CU44">IF($BU44=0, INDEX(LS_current!$D$4:$AY$138, MATCH('Staging Table'!$A44, LS_current!$B$4:$B$138, 0), MATCH(CU$4&amp;CU$5, LS_current!$D$2:$AY$2&amp;LS_current!$D$3:$AY$3, 0)),SUM(VLOOKUP($A44, LS_current!$B$4:$AY$138, LS_current!Y$148, FALSE), VLOOKUP($A44, LS_current!$B$4:$AY$138,LS_current!Y$148, FALSE))/2)</f>
        <v>6680</v>
      </c>
      <c r="CV44" s="227">
        <f t="array" ref="CV44">IF($BU44=0, INDEX(LS_current!$D$4:$AY$138, MATCH('Staging Table'!$A44, LS_current!$B$4:$B$138, 0), MATCH(CV$4&amp;CV$5, LS_current!$D$2:$AY$2&amp;LS_current!$D$3:$AY$3, 0)),SUM(VLOOKUP($A44, LS_current!$B$4:$AY$138, LS_current!Z$148, FALSE), VLOOKUP($A44, LS_current!$B$4:$AY$138,LS_current!Z$148, FALSE))/2)</f>
        <v>-20996</v>
      </c>
      <c r="CW44" s="227">
        <f t="array" ref="CW44">IF($BU44=0, INDEX(LS_current!$D$4:$AY$138, MATCH('Staging Table'!$A44, LS_current!$B$4:$B$138, 0), MATCH(CW$4&amp;CW$5, LS_current!$D$2:$AY$2&amp;LS_current!$D$3:$AY$3, 0)),SUM(VLOOKUP($A44, LS_current!$B$4:$AY$138, LS_current!AA$148, FALSE), VLOOKUP($A44, LS_current!$B$4:$AY$138,LS_current!AA$148, FALSE))/2)</f>
        <v>-1494</v>
      </c>
      <c r="CX44" s="229">
        <f t="array" ref="CX44">INDEX(Demand_current!$D$4:$AY$138, MATCH($A44, Demand_current!$B$4:$B$138, 0), MATCH(CX$4&amp;CX$5,Demand_current!$D$2:$AY$2&amp;Demand_current!$D$3:$AY$3, 0))/1000</f>
        <v>0</v>
      </c>
      <c r="CY44" s="229">
        <f t="array" ref="CY44">INDEX(Demand_current!$D$4:$AY$138, MATCH($A44, Demand_current!$B$4:$B$138, 0), MATCH(CY$4&amp;CY$5,Demand_current!$D$2:$AY$2&amp;Demand_current!$D$3:$AY$3, 0))/1000</f>
        <v>0</v>
      </c>
      <c r="CZ44" s="229">
        <f t="array" ref="CZ44">INDEX(Demand_current!$D$4:$AY$138, MATCH($A44, Demand_current!$B$4:$B$138, 0), MATCH(CZ$4&amp;CZ$5,Demand_current!$D$2:$AY$2&amp;Demand_current!$D$3:$AY$3, 0))/1000</f>
        <v>0</v>
      </c>
      <c r="DA44" s="229">
        <f t="array" ref="DA44">INDEX(Demand_current!$D$4:$AY$138, MATCH($A44, Demand_current!$B$4:$B$138, 0), MATCH(DA$4&amp;DA$5,Demand_current!$D$2:$AY$2&amp;Demand_current!$D$3:$AY$3, 0))/1000</f>
        <v>0</v>
      </c>
      <c r="DB44" s="229">
        <f t="array" ref="DB44">INDEX(Demand_current!$D$4:$AY$138, MATCH($A44, Demand_current!$B$4:$B$138, 0), MATCH(DB$4&amp;DB$5,Demand_current!$D$2:$AY$2&amp;Demand_current!$D$3:$AY$3, 0))/1000</f>
        <v>0</v>
      </c>
      <c r="DC44" s="229">
        <f t="array" ref="DC44">INDEX(Demand_current!$D$4:$AY$138, MATCH($A44, Demand_current!$B$4:$B$138, 0), MATCH(DC$4&amp;DC$5,Demand_current!$D$2:$AY$2&amp;Demand_current!$D$3:$AY$3, 0))/1000</f>
        <v>0</v>
      </c>
      <c r="DD44" s="229">
        <f t="array" ref="DD44">INDEX(Demand_current!$D$4:$AY$138, MATCH($A44, Demand_current!$B$4:$B$138, 0), MATCH(DD$4&amp;DD$5,Demand_current!$D$2:$AY$2&amp;Demand_current!$D$3:$AY$3, 0))/1000</f>
        <v>0</v>
      </c>
      <c r="DE44" s="229">
        <f t="array" ref="DE44">INDEX(Demand_current!$D$4:$AY$138, MATCH($A44, Demand_current!$B$4:$B$138, 0), MATCH(DE$4&amp;DE$5,Demand_current!$D$2:$AY$2&amp;Demand_current!$D$3:$AY$3, 0))/1000</f>
        <v>0</v>
      </c>
      <c r="DF44" s="229">
        <f t="array" ref="DF44">INDEX(Demand_current!$D$4:$AY$138, MATCH($A44, Demand_current!$B$4:$B$138, 0), MATCH(DF$4&amp;DF$5,Demand_current!$D$2:$AY$2&amp;Demand_current!$D$3:$AY$3, 0))/1000</f>
        <v>0</v>
      </c>
      <c r="DG44" s="229">
        <f t="array" ref="DG44">INDEX(Demand_current!$D$4:$AY$138, MATCH($A44, Demand_current!$B$4:$B$138, 0), MATCH(DG$4&amp;DG$5,Demand_current!$D$2:$AY$2&amp;Demand_current!$D$3:$AY$3, 0))/1000</f>
        <v>0</v>
      </c>
      <c r="DH44" s="229">
        <f t="array" ref="DH44">INDEX(Demand_current!$D$4:$AY$138, MATCH($A44, Demand_current!$B$4:$B$138, 0), MATCH(DH$4&amp;DH$5,Demand_current!$D$2:$AY$2&amp;Demand_current!$D$3:$AY$3, 0))/1000</f>
        <v>0</v>
      </c>
      <c r="DI44" s="229">
        <f t="array" ref="DI44">INDEX(Demand_current!$D$4:$AY$138, MATCH($A44, Demand_current!$B$4:$B$138, 0), MATCH(DI$4&amp;DI$5,Demand_current!$D$2:$AY$2&amp;Demand_current!$D$3:$AY$3, 0))/1000</f>
        <v>0</v>
      </c>
      <c r="DJ44" s="227">
        <f>$BT44*(VLOOKUP(DJ$4, Rates_current!$G$6:$Q$29, 10, FALSE)+VLOOKUP(DJ$4, Rates_current!$G$6:$Q$29, 11, FALSE))</f>
        <v>98970.808901101191</v>
      </c>
      <c r="DK44" s="227">
        <f>$BT44*(VLOOKUP(DK$4, Rates_current!$G$6:$Q$29, 10, FALSE)+VLOOKUP(DK$4, Rates_current!$G$6:$Q$29, 11, FALSE))</f>
        <v>125723.80184799331</v>
      </c>
      <c r="DL44" s="227">
        <f>$BT44*(VLOOKUP(DL$4, Rates_current!$G$6:$Q$29, 10, FALSE)+VLOOKUP(DL$4, Rates_current!$G$6:$Q$29, 11, FALSE))</f>
        <v>124205.51682120122</v>
      </c>
      <c r="DM44" s="227">
        <f>$BT44*(VLOOKUP(DM$4, Rates_current!$G$6:$Q$29, 10, FALSE)+VLOOKUP(DM$4, Rates_current!$G$6:$Q$29, 11, FALSE))</f>
        <v>103532.86327560121</v>
      </c>
      <c r="DN44" s="227">
        <f>$BT44*(VLOOKUP(DN$4, Rates_current!$G$6:$Q$29, 10, FALSE)+VLOOKUP(DN$4, Rates_current!$G$6:$Q$29, 11, FALSE))</f>
        <v>93790.033422959998</v>
      </c>
      <c r="DO44" s="227">
        <f>$BT44*(VLOOKUP(DO$4, Rates_current!$G$6:$Q$29, 10, FALSE)+VLOOKUP(DO$4, Rates_current!$G$6:$Q$29, 11, FALSE))</f>
        <v>104324.3125868139</v>
      </c>
      <c r="DP44" s="227">
        <f>$BT44*(VLOOKUP(DP$4, Rates_current!$G$6:$Q$29, 10, FALSE)+VLOOKUP(DP$4, Rates_current!$G$6:$Q$29, 11, FALSE))</f>
        <v>84940.967885256003</v>
      </c>
      <c r="DQ44" s="227">
        <f>$BT44*(VLOOKUP(DQ$4, Rates_current!$G$6:$Q$29, 10, FALSE)+VLOOKUP(DQ$4, Rates_current!$G$6:$Q$29, 11, FALSE))</f>
        <v>114555.56129445121</v>
      </c>
      <c r="DR44" s="227">
        <f>$BT44*(VLOOKUP(DR$4, Rates_current!$G$6:$Q$29, 10, FALSE)+VLOOKUP(DR$4, Rates_current!$G$6:$Q$29, 11, FALSE))</f>
        <v>146165.10512490603</v>
      </c>
      <c r="DS44" s="227">
        <f>$BT44*(VLOOKUP(DS$4, Rates_current!$G$6:$Q$29, 10, FALSE)+VLOOKUP(DS$4, Rates_current!$G$6:$Q$29, 11, FALSE))</f>
        <v>114598.07702190122</v>
      </c>
      <c r="DT44" s="227">
        <f>$BT44*(VLOOKUP(DT$4, Rates_current!$G$6:$Q$29, 10, FALSE)+VLOOKUP(DT$4, Rates_current!$G$6:$Q$29, 11, FALSE))</f>
        <v>111595.70787555122</v>
      </c>
      <c r="DU44" s="227">
        <f>$BT44*(VLOOKUP(DU$4, Rates_current!$G$6:$Q$29, 10, FALSE)+VLOOKUP(DU$4, Rates_current!$G$6:$Q$29, 11, FALSE))</f>
        <v>100189.20620595601</v>
      </c>
      <c r="DV44" s="229">
        <f>IF(D44=0,IF(C44=0,MAX(0,DY44 - (VLOOKUP($A44,TOCA_current!$A$2:$AI$137,MATCH("RHWM 2020",TOCA_current!$A$2:$AI$2,0),FALSE)*$BT$2)), 0),0)</f>
        <v>0</v>
      </c>
      <c r="DW44" s="266">
        <f>VLOOKUP($A44,REP_current!$A$1:$D$135,MATCH("FY "&amp;$BT$1&amp; " Total Refund",REP_current!$A$1:$D$1,0),0)</f>
        <v>0</v>
      </c>
      <c r="DX44" s="295">
        <f>MIN(VLOOKUP($A44,TOCA_current!$A$2:$AI$137,MATCH("TRL - NLSL - Existing Resource "&amp;$BT$1,TOCA_current!$A$2:$AI$2,0),FALSE)*$BT$2, VLOOKUP($A44,TOCA_current!$A$2:$AI$137,MATCH("RHWM 2020",TOCA_current!$A$2:$AI$2,0),FALSE)*$BT$2)</f>
        <v>2669053.5359999998</v>
      </c>
      <c r="DY44" s="240">
        <f>SUM(BZ44:CW44)+(BT44*RT1SC!$C$4*$BT$2)</f>
        <v>1316931.0119064576</v>
      </c>
      <c r="DZ44" s="271">
        <f>VLOOKUP($A44,TOCA_current!$A$2:$AI$137,MATCH("Above RHWM Not Served with LS "&amp;$BT$1,TOCA_current!$A$2:$AI$2,0),FALSE)*$BT$2</f>
        <v>0</v>
      </c>
      <c r="EA44" s="244">
        <f t="shared" si="13"/>
        <v>-1352122.5240935422</v>
      </c>
      <c r="EB44" s="295">
        <f>(VLOOKUP($A44,TOCA_current!$A$2:$AI$137,MATCH("RHWM 2020",TOCA_current!$A$2:$AI$2,0),FALSE)*$BT$2) - $DX44</f>
        <v>113787.93600000022</v>
      </c>
      <c r="EC44" s="240">
        <f t="shared" si="14"/>
        <v>0</v>
      </c>
      <c r="ED44" s="240">
        <f t="shared" si="15"/>
        <v>1352122.5240935422</v>
      </c>
      <c r="EE44" s="240">
        <f t="shared" si="16"/>
        <v>0</v>
      </c>
      <c r="EF44" s="240">
        <f t="shared" si="17"/>
        <v>0</v>
      </c>
    </row>
    <row r="45" spans="1:136">
      <c r="A45" s="166">
        <v>10105</v>
      </c>
      <c r="B45" s="167" t="s">
        <v>46</v>
      </c>
      <c r="C45" s="240">
        <v>0</v>
      </c>
      <c r="D45" s="240">
        <v>1</v>
      </c>
      <c r="E45" s="150">
        <f>VLOOKUP($A45,TOCA_previous!$A$2:$AI$137,MATCH(E$4,TOCA_previous!$A$2:$AI$2,0),FALSE)</f>
        <v>1.26085E-2</v>
      </c>
      <c r="F45" s="151">
        <f>VLOOKUP($A45,TOCA_previous!$A$2:$AI$137,MATCH(F$4,TOCA_previous!$A$2:$AI$2,0),FALSE)</f>
        <v>5.3512000000000004E-3</v>
      </c>
      <c r="G45" s="151">
        <f t="shared" si="2"/>
        <v>7.2572999999999995E-3</v>
      </c>
      <c r="H45" s="151">
        <f>VLOOKUP($A45,TOCA_previous!$A$2:$AI$137,MATCH(H$4,TOCA_previous!$A$2:$AI$2,0),FALSE)</f>
        <v>0</v>
      </c>
      <c r="I45" s="151">
        <f t="shared" si="3"/>
        <v>0</v>
      </c>
      <c r="J45" s="151">
        <f t="shared" si="4"/>
        <v>0</v>
      </c>
      <c r="K45" s="226">
        <f>VLOOKUP(A45, IRD!$A$5:$C$139, 3, FALSE)</f>
        <v>0</v>
      </c>
      <c r="L45" s="227">
        <f t="array" ref="L45">IF($G45=0, INDEX(LS_previous!$D$4:$AY$138, MATCH('Staging Table'!$A45, LS_previous!$B$4:$B$138, 0), MATCH(L$4&amp;L$5, LS_previous!$D$2:$AY$2&amp;LS_previous!$D$3:$AY$3, 0)),SUM(VLOOKUP($A45, LS_previous!$B$4:$AY$138, LS_previous!D$149, FALSE), VLOOKUP('Staging Table'!$A45, LS_previous!$B$4:$AY$138,LS_previous!AB$149, FALSE))/2)</f>
        <v>-806</v>
      </c>
      <c r="M45" s="227">
        <f t="array" ref="M45">IF($G45=0, INDEX(LS_previous!$D$4:$AY$138, MATCH('Staging Table'!$A45, LS_previous!$B$4:$B$138, 0), MATCH(M$4&amp;M$5, LS_previous!$D$2:$AY$2&amp;LS_previous!$D$3:$AY$3, 0)),SUM(VLOOKUP($A45, LS_previous!$B$4:$AY$138, LS_previous!E$149, FALSE), VLOOKUP('Staging Table'!$A45, LS_previous!$B$4:$AY$138,LS_previous!AC$149, FALSE))/2)</f>
        <v>3082</v>
      </c>
      <c r="N45" s="227">
        <f t="array" ref="N45">IF($G45=0, INDEX(LS_previous!$D$4:$AY$138, MATCH('Staging Table'!$A45, LS_previous!$B$4:$B$138, 0), MATCH(N$4&amp;N$5, LS_previous!$D$2:$AY$2&amp;LS_previous!$D$3:$AY$3, 0)),SUM(VLOOKUP($A45, LS_previous!$B$4:$AY$138, LS_previous!F$149, FALSE), VLOOKUP('Staging Table'!$A45, LS_previous!$B$4:$AY$138,LS_previous!AD$149, FALSE))/2)</f>
        <v>-4735</v>
      </c>
      <c r="O45" s="227">
        <f t="array" ref="O45">IF($G45=0, INDEX(LS_previous!$D$4:$AY$138, MATCH('Staging Table'!$A45, LS_previous!$B$4:$B$138, 0), MATCH(O$4&amp;O$5, LS_previous!$D$2:$AY$2&amp;LS_previous!$D$3:$AY$3, 0)),SUM(VLOOKUP($A45, LS_previous!$B$4:$AY$138, LS_previous!G$149, FALSE), VLOOKUP('Staging Table'!$A45, LS_previous!$B$4:$AY$138,LS_previous!AE$149, FALSE))/2)</f>
        <v>625.5</v>
      </c>
      <c r="P45" s="227">
        <f t="array" ref="P45">IF($G45=0, INDEX(LS_previous!$D$4:$AY$138, MATCH('Staging Table'!$A45, LS_previous!$B$4:$B$138, 0), MATCH(P$4&amp;P$5, LS_previous!$D$2:$AY$2&amp;LS_previous!$D$3:$AY$3, 0)),SUM(VLOOKUP($A45, LS_previous!$B$4:$AY$138, LS_previous!H$149, FALSE), VLOOKUP('Staging Table'!$A45, LS_previous!$B$4:$AY$138,LS_previous!AF$149, FALSE))/2)</f>
        <v>-3057.5</v>
      </c>
      <c r="Q45" s="227">
        <f t="array" ref="Q45">IF($G45=0, INDEX(LS_previous!$D$4:$AY$138, MATCH('Staging Table'!$A45, LS_previous!$B$4:$B$138, 0), MATCH(Q$4&amp;Q$5, LS_previous!$D$2:$AY$2&amp;LS_previous!$D$3:$AY$3, 0)),SUM(VLOOKUP($A45, LS_previous!$B$4:$AY$138, LS_previous!I$149, FALSE), VLOOKUP('Staging Table'!$A45, LS_previous!$B$4:$AY$138,LS_previous!AG$149, FALSE))/2)</f>
        <v>2480</v>
      </c>
      <c r="R45" s="227">
        <f t="array" ref="R45">IF($G45=0, INDEX(LS_previous!$D$4:$AY$138, MATCH('Staging Table'!$A45, LS_previous!$B$4:$B$138, 0), MATCH(R$4&amp;R$5, LS_previous!$D$2:$AY$2&amp;LS_previous!$D$3:$AY$3, 0)),SUM(VLOOKUP($A45, LS_previous!$B$4:$AY$138, LS_previous!J$149, FALSE), VLOOKUP('Staging Table'!$A45, LS_previous!$B$4:$AY$138,LS_previous!AH$149, FALSE))/2)</f>
        <v>267.5</v>
      </c>
      <c r="S45" s="227">
        <f t="array" ref="S45">IF($G45=0, INDEX(LS_previous!$D$4:$AY$138, MATCH('Staging Table'!$A45, LS_previous!$B$4:$B$138, 0), MATCH(S$4&amp;S$5, LS_previous!$D$2:$AY$2&amp;LS_previous!$D$3:$AY$3, 0)),SUM(VLOOKUP($A45, LS_previous!$B$4:$AY$138, LS_previous!K$149, FALSE), VLOOKUP('Staging Table'!$A45, LS_previous!$B$4:$AY$138,LS_previous!AI$149, FALSE))/2)</f>
        <v>3098</v>
      </c>
      <c r="T45" s="227">
        <f t="array" ref="T45">IF($G45=0, INDEX(LS_previous!$D$4:$AY$138, MATCH('Staging Table'!$A45, LS_previous!$B$4:$B$138, 0), MATCH(T$4&amp;T$5, LS_previous!$D$2:$AY$2&amp;LS_previous!$D$3:$AY$3, 0)),SUM(VLOOKUP($A45, LS_previous!$B$4:$AY$138, LS_previous!L$149, FALSE), VLOOKUP('Staging Table'!$A45, LS_previous!$B$4:$AY$138,LS_previous!AJ$149, FALSE))/2)</f>
        <v>2074</v>
      </c>
      <c r="U45" s="227">
        <f t="array" ref="U45">IF($G45=0, INDEX(LS_previous!$D$4:$AY$138, MATCH('Staging Table'!$A45, LS_previous!$B$4:$B$138, 0), MATCH(U$4&amp;U$5, LS_previous!$D$2:$AY$2&amp;LS_previous!$D$3:$AY$3, 0)),SUM(VLOOKUP($A45, LS_previous!$B$4:$AY$138, LS_previous!M$149, FALSE), VLOOKUP('Staging Table'!$A45, LS_previous!$B$4:$AY$138,LS_previous!AK$149, FALSE))/2)</f>
        <v>3933.5</v>
      </c>
      <c r="V45" s="227">
        <f t="array" ref="V45">IF($G45=0, INDEX(LS_previous!$D$4:$AY$138, MATCH('Staging Table'!$A45, LS_previous!$B$4:$B$138, 0), MATCH(V$4&amp;V$5, LS_previous!$D$2:$AY$2&amp;LS_previous!$D$3:$AY$3, 0)),SUM(VLOOKUP($A45, LS_previous!$B$4:$AY$138, LS_previous!N$149, FALSE), VLOOKUP('Staging Table'!$A45, LS_previous!$B$4:$AY$138,LS_previous!AL$149, FALSE))/2)</f>
        <v>898.5</v>
      </c>
      <c r="W45" s="227">
        <f t="array" ref="W45">IF($G45=0, INDEX(LS_previous!$D$4:$AY$138, MATCH('Staging Table'!$A45, LS_previous!$B$4:$B$138, 0), MATCH(W$4&amp;W$5, LS_previous!$D$2:$AY$2&amp;LS_previous!$D$3:$AY$3, 0)),SUM(VLOOKUP($A45, LS_previous!$B$4:$AY$138, LS_previous!O$149, FALSE), VLOOKUP('Staging Table'!$A45, LS_previous!$B$4:$AY$138,LS_previous!AM$149, FALSE))/2)</f>
        <v>3605.5</v>
      </c>
      <c r="X45" s="227">
        <f t="array" ref="X45">IF($G45=0, INDEX(LS_previous!$D$4:$AY$138, MATCH('Staging Table'!$A45, LS_previous!$B$4:$B$138, 0), MATCH(X$4&amp;X$5, LS_previous!$D$2:$AY$2&amp;LS_previous!$D$3:$AY$3, 0)),SUM(VLOOKUP($A45, LS_previous!$B$4:$AY$138, LS_previous!P$149, FALSE), VLOOKUP('Staging Table'!$A45, LS_previous!$B$4:$AY$138,LS_previous!AN$149, FALSE))/2)</f>
        <v>39</v>
      </c>
      <c r="Y45" s="227">
        <f t="array" ref="Y45">IF($G45=0, INDEX(LS_previous!$D$4:$AY$138, MATCH('Staging Table'!$A45, LS_previous!$B$4:$B$138, 0), MATCH(Y$4&amp;Y$5, LS_previous!$D$2:$AY$2&amp;LS_previous!$D$3:$AY$3, 0)),SUM(VLOOKUP($A45, LS_previous!$B$4:$AY$138, LS_previous!Q$149, FALSE), VLOOKUP('Staging Table'!$A45, LS_previous!$B$4:$AY$138,LS_previous!AO$149, FALSE))/2)</f>
        <v>3456.5</v>
      </c>
      <c r="Z45" s="227">
        <f t="array" ref="Z45">IF($G45=0, INDEX(LS_previous!$D$4:$AY$138, MATCH('Staging Table'!$A45, LS_previous!$B$4:$B$138, 0), MATCH(Z$4&amp;Z$5, LS_previous!$D$2:$AY$2&amp;LS_previous!$D$3:$AY$3, 0)),SUM(VLOOKUP($A45, LS_previous!$B$4:$AY$138, LS_previous!R$149, FALSE), VLOOKUP('Staging Table'!$A45, LS_previous!$B$4:$AY$138,LS_previous!AP$149, FALSE))/2)</f>
        <v>-11107</v>
      </c>
      <c r="AA45" s="227">
        <f t="array" ref="AA45">IF($G45=0, INDEX(LS_previous!$D$4:$AY$138, MATCH('Staging Table'!$A45, LS_previous!$B$4:$B$138, 0), MATCH(AA$4&amp;AA$5, LS_previous!$D$2:$AY$2&amp;LS_previous!$D$3:$AY$3, 0)),SUM(VLOOKUP($A45, LS_previous!$B$4:$AY$138, LS_previous!S$149, FALSE), VLOOKUP('Staging Table'!$A45, LS_previous!$B$4:$AY$138,LS_previous!AQ$149, FALSE))/2)</f>
        <v>-3489.5</v>
      </c>
      <c r="AB45" s="227">
        <f t="array" ref="AB45">IF($G45=0, INDEX(LS_previous!$D$4:$AY$138, MATCH('Staging Table'!$A45, LS_previous!$B$4:$B$138, 0), MATCH(AB$4&amp;AB$5, LS_previous!$D$2:$AY$2&amp;LS_previous!$D$3:$AY$3, 0)),SUM(VLOOKUP($A45, LS_previous!$B$4:$AY$138, LS_previous!T$149, FALSE), VLOOKUP('Staging Table'!$A45, LS_previous!$B$4:$AY$138,LS_previous!AR$149, FALSE))/2)</f>
        <v>-3342</v>
      </c>
      <c r="AC45" s="227">
        <f t="array" ref="AC45">IF($G45=0, INDEX(LS_previous!$D$4:$AY$138, MATCH('Staging Table'!$A45, LS_previous!$B$4:$B$138, 0), MATCH(AC$4&amp;AC$5, LS_previous!$D$2:$AY$2&amp;LS_previous!$D$3:$AY$3, 0)),SUM(VLOOKUP($A45, LS_previous!$B$4:$AY$138, LS_previous!U$149, FALSE), VLOOKUP('Staging Table'!$A45, LS_previous!$B$4:$AY$138,LS_previous!AS$149, FALSE))/2)</f>
        <v>2069</v>
      </c>
      <c r="AD45" s="227">
        <f t="array" ref="AD45">IF($G45=0, INDEX(LS_previous!$D$4:$AY$138, MATCH('Staging Table'!$A45, LS_previous!$B$4:$B$138, 0), MATCH(AD$4&amp;AD$5, LS_previous!$D$2:$AY$2&amp;LS_previous!$D$3:$AY$3, 0)),SUM(VLOOKUP($A45, LS_previous!$B$4:$AY$138, LS_previous!V$149, FALSE), VLOOKUP('Staging Table'!$A45, LS_previous!$B$4:$AY$138,LS_previous!AT$149, FALSE))/2)</f>
        <v>-2145.5</v>
      </c>
      <c r="AE45" s="227">
        <f t="array" ref="AE45">IF($G45=0, INDEX(LS_previous!$D$4:$AY$138, MATCH('Staging Table'!$A45, LS_previous!$B$4:$B$138, 0), MATCH(AE$4&amp;AE$5, LS_previous!$D$2:$AY$2&amp;LS_previous!$D$3:$AY$3, 0)),SUM(VLOOKUP($A45, LS_previous!$B$4:$AY$138, LS_previous!W$149, FALSE), VLOOKUP('Staging Table'!$A45, LS_previous!$B$4:$AY$138,LS_previous!AU$149, FALSE))/2)</f>
        <v>3210.5</v>
      </c>
      <c r="AF45" s="227">
        <f t="array" ref="AF45">IF($G45=0, INDEX(LS_previous!$D$4:$AY$138, MATCH('Staging Table'!$A45, LS_previous!$B$4:$B$138, 0), MATCH(AF$4&amp;AF$5, LS_previous!$D$2:$AY$2&amp;LS_previous!$D$3:$AY$3, 0)),SUM(VLOOKUP($A45, LS_previous!$B$4:$AY$138, LS_previous!X$149, FALSE), VLOOKUP('Staging Table'!$A45, LS_previous!$B$4:$AY$138,LS_previous!AV$149, FALSE))/2)</f>
        <v>-3132</v>
      </c>
      <c r="AG45" s="227">
        <f t="array" ref="AG45">IF($G45=0, INDEX(LS_previous!$D$4:$AY$138, MATCH('Staging Table'!$A45, LS_previous!$B$4:$B$138, 0), MATCH(AG$4&amp;AG$5, LS_previous!$D$2:$AY$2&amp;LS_previous!$D$3:$AY$3, 0)),SUM(VLOOKUP($A45, LS_previous!$B$4:$AY$138, LS_previous!Y$149, FALSE), VLOOKUP('Staging Table'!$A45, LS_previous!$B$4:$AY$138,LS_previous!AW$149, FALSE))/2)</f>
        <v>2135.5</v>
      </c>
      <c r="AH45" s="227">
        <f t="array" ref="AH45">IF($G45=0, INDEX(LS_previous!$D$4:$AY$138, MATCH('Staging Table'!$A45, LS_previous!$B$4:$B$138, 0), MATCH(AH$4&amp;AH$5, LS_previous!$D$2:$AY$2&amp;LS_previous!$D$3:$AY$3, 0)),SUM(VLOOKUP($A45, LS_previous!$B$4:$AY$138, LS_previous!Z$149, FALSE), VLOOKUP('Staging Table'!$A45, LS_previous!$B$4:$AY$138,LS_previous!AX$149, FALSE))/2)</f>
        <v>-2142.5</v>
      </c>
      <c r="AI45" s="227">
        <f t="array" ref="AI45">IF($G45=0, INDEX(LS_previous!$D$4:$AY$138, MATCH('Staging Table'!$A45, LS_previous!$B$4:$B$138, 0), MATCH(AI$4&amp;AI$5, LS_previous!$D$2:$AY$2&amp;LS_previous!$D$3:$AY$3, 0)),SUM(VLOOKUP($A45, LS_previous!$B$4:$AY$138, LS_previous!AA$149, FALSE), VLOOKUP('Staging Table'!$A45, LS_previous!$B$4:$AY$138,LS_previous!AY$149, FALSE))/2)</f>
        <v>3323.5</v>
      </c>
      <c r="AJ45" s="424">
        <f t="array" ref="AJ45">INDEX(Demand_previous!$D$4:$AY$138, MATCH('Staging Table'!$A45, Demand_previous!$B$4:$B$138, 0), MATCH(AJ$4&amp;AJ$5,Demand_previous!$D$2:$AY$2&amp;Demand_previous!$D$3:$AY$3, 0))/1000</f>
        <v>0</v>
      </c>
      <c r="AK45" s="424">
        <f t="array" ref="AK45">INDEX(Demand_previous!$D$4:$AY$138, MATCH('Staging Table'!$A45, Demand_previous!$B$4:$B$138, 0), MATCH(AK$4&amp;AK$5,Demand_previous!$D$2:$AY$2&amp;Demand_previous!$D$3:$AY$3, 0))/1000</f>
        <v>0</v>
      </c>
      <c r="AL45" s="424">
        <f t="array" ref="AL45">INDEX(Demand_previous!$D$4:$AY$138, MATCH('Staging Table'!$A45, Demand_previous!$B$4:$B$138, 0), MATCH(AL$4&amp;AL$5,Demand_previous!$D$2:$AY$2&amp;Demand_previous!$D$3:$AY$3, 0))/1000</f>
        <v>0</v>
      </c>
      <c r="AM45" s="424">
        <f t="array" ref="AM45">INDEX(Demand_previous!$D$4:$AY$138, MATCH('Staging Table'!$A45, Demand_previous!$B$4:$B$138, 0), MATCH(AM$4&amp;AM$5,Demand_previous!$D$2:$AY$2&amp;Demand_previous!$D$3:$AY$3, 0))/1000</f>
        <v>0</v>
      </c>
      <c r="AN45" s="424">
        <f t="array" ref="AN45">INDEX(Demand_previous!$D$4:$AY$138, MATCH('Staging Table'!$A45, Demand_previous!$B$4:$B$138, 0), MATCH(AN$4&amp;AN$5,Demand_previous!$D$2:$AY$2&amp;Demand_previous!$D$3:$AY$3, 0))/1000</f>
        <v>0</v>
      </c>
      <c r="AO45" s="424">
        <f t="array" ref="AO45">INDEX(Demand_previous!$D$4:$AY$138, MATCH('Staging Table'!$A45, Demand_previous!$B$4:$B$138, 0), MATCH(AO$4&amp;AO$5,Demand_previous!$D$2:$AY$2&amp;Demand_previous!$D$3:$AY$3, 0))/1000</f>
        <v>0</v>
      </c>
      <c r="AP45" s="424">
        <f t="array" ref="AP45">INDEX(Demand_previous!$D$4:$AY$138, MATCH('Staging Table'!$A45, Demand_previous!$B$4:$B$138, 0), MATCH(AP$4&amp;AP$5,Demand_previous!$D$2:$AY$2&amp;Demand_previous!$D$3:$AY$3, 0))/1000</f>
        <v>0</v>
      </c>
      <c r="AQ45" s="424">
        <f t="array" ref="AQ45">INDEX(Demand_previous!$D$4:$AY$138, MATCH('Staging Table'!$A45, Demand_previous!$B$4:$B$138, 0), MATCH(AQ$4&amp;AQ$5,Demand_previous!$D$2:$AY$2&amp;Demand_previous!$D$3:$AY$3, 0))/1000</f>
        <v>0</v>
      </c>
      <c r="AR45" s="424">
        <f t="array" ref="AR45">INDEX(Demand_previous!$D$4:$AY$138, MATCH('Staging Table'!$A45, Demand_previous!$B$4:$B$138, 0), MATCH(AR$4&amp;AR$5,Demand_previous!$D$2:$AY$2&amp;Demand_previous!$D$3:$AY$3, 0))/1000</f>
        <v>0</v>
      </c>
      <c r="AS45" s="424">
        <f t="array" ref="AS45">INDEX(Demand_previous!$D$4:$AY$138, MATCH('Staging Table'!$A45, Demand_previous!$B$4:$B$138, 0), MATCH(AS$4&amp;AS$5,Demand_previous!$D$2:$AY$2&amp;Demand_previous!$D$3:$AY$3, 0))/1000</f>
        <v>0</v>
      </c>
      <c r="AT45" s="424">
        <f t="array" ref="AT45">INDEX(Demand_previous!$D$4:$AY$138, MATCH('Staging Table'!$A45, Demand_previous!$B$4:$B$138, 0), MATCH(AT$4&amp;AT$5,Demand_previous!$D$2:$AY$2&amp;Demand_previous!$D$3:$AY$3, 0))/1000</f>
        <v>0</v>
      </c>
      <c r="AU45" s="424">
        <f t="array" ref="AU45">INDEX(Demand_previous!$D$4:$AY$138, MATCH('Staging Table'!$A45, Demand_previous!$B$4:$B$138, 0), MATCH(AU$4&amp;AU$5,Demand_previous!$D$2:$AY$2&amp;Demand_previous!$D$3:$AY$3, 0))/1000</f>
        <v>0</v>
      </c>
      <c r="AV45" s="227">
        <f>$F45*(VLOOKUP(AV$4, Rates_previous!$G$6:$Q$29, 10, FALSE)+VLOOKUP(AV$4, Rates_previous!$G$6:$Q$29, 11, FALSE))</f>
        <v>25090.908634098694</v>
      </c>
      <c r="AW45" s="227">
        <f>$F45*(VLOOKUP(AW$4, Rates_previous!$G$6:$Q$29, 10, FALSE)+VLOOKUP(AW$4, Rates_previous!$G$6:$Q$29, 11, FALSE))</f>
        <v>31010.45606162713</v>
      </c>
      <c r="AX45" s="227">
        <f>$F45*(VLOOKUP(AX$4, Rates_previous!$G$6:$Q$29, 10, FALSE)+VLOOKUP(AX$4, Rates_previous!$G$6:$Q$29, 11, FALSE))</f>
        <v>30638.057574623977</v>
      </c>
      <c r="AY45" s="227">
        <f>$F45*(VLOOKUP(AY$4, Rates_previous!$G$6:$Q$29, 10, FALSE)+VLOOKUP(AY$4, Rates_previous!$G$6:$Q$29, 11, FALSE))</f>
        <v>26177.299908324192</v>
      </c>
      <c r="AZ45" s="227">
        <f>$F45*(VLOOKUP(AZ$4, Rates_previous!$G$6:$Q$29, 10, FALSE)+VLOOKUP(AZ$4, Rates_previous!$G$6:$Q$29, 11, FALSE))</f>
        <v>21460.308283913284</v>
      </c>
      <c r="BA45" s="227">
        <f>$F45*(VLOOKUP(BA$4, Rates_previous!$G$6:$Q$29, 10, FALSE)+VLOOKUP(BA$4, Rates_previous!$G$6:$Q$29, 11, FALSE))</f>
        <v>25408.225497413452</v>
      </c>
      <c r="BB45" s="227">
        <f>$F45*(VLOOKUP(BB$4, Rates_previous!$G$6:$Q$29, 10, FALSE)+VLOOKUP(BB$4, Rates_previous!$G$6:$Q$29, 11, FALSE))</f>
        <v>24421.000554892747</v>
      </c>
      <c r="BC45" s="227">
        <f>$F45*(VLOOKUP(BC$4, Rates_previous!$G$6:$Q$29, 10, FALSE)+VLOOKUP(BC$4, Rates_previous!$G$6:$Q$29, 11, FALSE))</f>
        <v>35836.090217208817</v>
      </c>
      <c r="BD45" s="227">
        <f>$F45*(VLOOKUP(BD$4, Rates_previous!$G$6:$Q$29, 10, FALSE)+VLOOKUP(BD$4, Rates_previous!$G$6:$Q$29, 11, FALSE))</f>
        <v>28273.728021967912</v>
      </c>
      <c r="BE45" s="227">
        <f>$F45*(VLOOKUP(BE$4, Rates_previous!$G$6:$Q$29, 10, FALSE)+VLOOKUP(BE$4, Rates_previous!$G$6:$Q$29, 11, FALSE))</f>
        <v>24826.706373641748</v>
      </c>
      <c r="BF45" s="227">
        <f>$F45*(VLOOKUP(BF$4, Rates_previous!$G$6:$Q$29, 10, FALSE)+VLOOKUP(BF$4, Rates_previous!$G$6:$Q$29, 11, FALSE))</f>
        <v>27496.571065081</v>
      </c>
      <c r="BG45" s="227">
        <f>$F45*(VLOOKUP(BG$4, Rates_previous!$G$6:$Q$29, 10, FALSE)+VLOOKUP(BG$4, Rates_previous!$G$6:$Q$29, 11, FALSE))</f>
        <v>24910.799914864045</v>
      </c>
      <c r="BH45" s="229">
        <f>IF($D45=0,IF(C45=0, MAX(BK45 - (VLOOKUP($A45,TOCA_previous!$A$2:$AI$137,MATCH("RHWM 2018",TOCA_previous!$A$2:$AI$2,0),FALSE)*$F$2*TOCA_previous!C42),0),0), 0)</f>
        <v>0</v>
      </c>
      <c r="BI45" s="266">
        <f>VLOOKUP($A45,REP_previous!$A$1:$D$135,MATCH("FY "&amp;$F$1&amp; " Total Refund",REP_previous!$A$1:$D$1,0),0)</f>
        <v>1100156.3819007562</v>
      </c>
      <c r="BJ45" s="241">
        <f>MIN(VLOOKUP($A45,TOCA_previous!$A$2:$AI$137,MATCH("TRL - NLSL - Existing Resource "&amp;$F$1,TOCA_previous!$A$2:$AI$2,0),FALSE)*$F$2,(VLOOKUP($A45,TOCA_previous!$A$2:$AI$137,MATCH("RHWM 2018",TOCA_previous!$A$2:$AI$2,0),FALSE)*$F$2))</f>
        <v>767060.6399999999</v>
      </c>
      <c r="BK45" s="229">
        <f>SUM(L45:AI45)+(F45*RT1SC!$C$3*$F$2)</f>
        <v>325891.656857152</v>
      </c>
      <c r="BL45" s="241">
        <f>VLOOKUP($A45,TOCA_previous!$A$2:$AI$137,MATCH("Above RHWM Not Served with LS "&amp;$F$1,TOCA_previous!$A$2:$AI$2,0),FALSE)*$F$2</f>
        <v>0</v>
      </c>
      <c r="BM45" s="151">
        <f t="shared" si="5"/>
        <v>-441168.98314284789</v>
      </c>
      <c r="BN45" s="242">
        <f>(VLOOKUP($A45,TOCA_previous!$A$2:$AI$137,MATCH("RHWM 2018",TOCA_previous!$A$2:$AI$2,0),FALSE)*$F$2) - $BJ45</f>
        <v>33147.840000000084</v>
      </c>
      <c r="BO45" s="151">
        <f t="shared" si="6"/>
        <v>0</v>
      </c>
      <c r="BP45" s="243">
        <f t="shared" si="7"/>
        <v>441168.98314284789</v>
      </c>
      <c r="BQ45" s="237">
        <f t="shared" si="8"/>
        <v>0</v>
      </c>
      <c r="BR45" s="242">
        <f t="shared" si="9"/>
        <v>0</v>
      </c>
      <c r="BS45" s="151">
        <f>VLOOKUP($A45,TOCA_current!$A$2:$AI$137,MATCH(BS$4,TOCA_current!$A$2:$AI$2,0),FALSE)</f>
        <v>1.24315E-2</v>
      </c>
      <c r="BT45" s="151">
        <f>VLOOKUP($A45,TOCA_current!$A$2:$AI$137,MATCH(BT$4,TOCA_current!$A$2:$AI$2,0),FALSE)</f>
        <v>5.1780999999999997E-3</v>
      </c>
      <c r="BU45" s="236">
        <f t="shared" si="10"/>
        <v>7.2534000000000001E-3</v>
      </c>
      <c r="BV45" s="151">
        <f>VLOOKUP($A45,TOCA_current!A41:BG176,MATCH(BV$4,TOCA_current!$A$2:$BG$2,0),FALSE)</f>
        <v>0</v>
      </c>
      <c r="BW45" s="151">
        <f t="shared" si="11"/>
        <v>0</v>
      </c>
      <c r="BX45" s="151">
        <f t="shared" si="12"/>
        <v>0</v>
      </c>
      <c r="BY45" s="226">
        <f>VLOOKUP($A45,IRD!$A$4:$G$139, 7, FALSE)</f>
        <v>0</v>
      </c>
      <c r="BZ45" s="227">
        <f t="array" ref="BZ45">IF($BU45=0, INDEX(LS_current!$D$4:$AY$138, MATCH('Staging Table'!$A45, LS_current!$B$4:$B$138, 0), MATCH(BZ$4&amp;BZ$5, LS_current!$D$2:$AY$2&amp;LS_current!$D$3:$AY$3, 0)),SUM(VLOOKUP($A45, LS_current!$B$4:$AY$138, LS_current!D$148, FALSE), VLOOKUP($A45, LS_current!$B$4:$AY$138,LS_current!D$148, FALSE))/2)</f>
        <v>-274</v>
      </c>
      <c r="CA45" s="227">
        <f t="array" ref="CA45">IF($BU45=0, INDEX(LS_current!$D$4:$AY$138, MATCH('Staging Table'!$A45, LS_current!$B$4:$B$138, 0), MATCH(CA$4&amp;CA$5, LS_current!$D$2:$AY$2&amp;LS_current!$D$3:$AY$3, 0)),SUM(VLOOKUP($A45, LS_current!$B$4:$AY$138, LS_current!E$148, FALSE), VLOOKUP($A45, LS_current!$B$4:$AY$138,LS_current!E$148, FALSE))/2)</f>
        <v>2728</v>
      </c>
      <c r="CB45" s="227">
        <f t="array" ref="CB45">IF($BU45=0, INDEX(LS_current!$D$4:$AY$138, MATCH('Staging Table'!$A45, LS_current!$B$4:$B$138, 0), MATCH(CB$4&amp;CB$5, LS_current!$D$2:$AY$2&amp;LS_current!$D$3:$AY$3, 0)),SUM(VLOOKUP($A45, LS_current!$B$4:$AY$138, LS_current!F$148, FALSE), VLOOKUP($A45, LS_current!$B$4:$AY$138,LS_current!F$148, FALSE))/2)</f>
        <v>-4416</v>
      </c>
      <c r="CC45" s="227">
        <f t="array" ref="CC45">IF($BU45=0, INDEX(LS_current!$D$4:$AY$138, MATCH('Staging Table'!$A45, LS_current!$B$4:$B$138, 0), MATCH(CC$4&amp;CC$5, LS_current!$D$2:$AY$2&amp;LS_current!$D$3:$AY$3, 0)),SUM(VLOOKUP($A45, LS_current!$B$4:$AY$138, LS_current!G$148, FALSE), VLOOKUP($A45, LS_current!$B$4:$AY$138,LS_current!G$148, FALSE))/2)</f>
        <v>407</v>
      </c>
      <c r="CD45" s="227">
        <f t="array" ref="CD45">IF($BU45=0, INDEX(LS_current!$D$4:$AY$138, MATCH('Staging Table'!$A45, LS_current!$B$4:$B$138, 0), MATCH(CD$4&amp;CD$5, LS_current!$D$2:$AY$2&amp;LS_current!$D$3:$AY$3, 0)),SUM(VLOOKUP($A45, LS_current!$B$4:$AY$138, LS_current!H$148, FALSE), VLOOKUP($A45, LS_current!$B$4:$AY$138,LS_current!H$148, FALSE))/2)</f>
        <v>-2923</v>
      </c>
      <c r="CE45" s="227">
        <f t="array" ref="CE45">IF($BU45=0, INDEX(LS_current!$D$4:$AY$138, MATCH('Staging Table'!$A45, LS_current!$B$4:$B$138, 0), MATCH(CE$4&amp;CE$5, LS_current!$D$2:$AY$2&amp;LS_current!$D$3:$AY$3, 0)),SUM(VLOOKUP($A45, LS_current!$B$4:$AY$138, LS_current!I$148, FALSE), VLOOKUP($A45, LS_current!$B$4:$AY$138,LS_current!I$148, FALSE))/2)</f>
        <v>2139</v>
      </c>
      <c r="CF45" s="227">
        <f t="array" ref="CF45">IF($BU45=0, INDEX(LS_current!$D$4:$AY$138, MATCH('Staging Table'!$A45, LS_current!$B$4:$B$138, 0), MATCH(CF$4&amp;CF$5, LS_current!$D$2:$AY$2&amp;LS_current!$D$3:$AY$3, 0)),SUM(VLOOKUP($A45, LS_current!$B$4:$AY$138, LS_current!J$148, FALSE), VLOOKUP($A45, LS_current!$B$4:$AY$138,LS_current!J$148, FALSE))/2)</f>
        <v>265</v>
      </c>
      <c r="CG45" s="227">
        <f t="array" ref="CG45">IF($BU45=0, INDEX(LS_current!$D$4:$AY$138, MATCH('Staging Table'!$A45, LS_current!$B$4:$B$138, 0), MATCH(CG$4&amp;CG$5, LS_current!$D$2:$AY$2&amp;LS_current!$D$3:$AY$3, 0)),SUM(VLOOKUP($A45, LS_current!$B$4:$AY$138, LS_current!K$148, FALSE), VLOOKUP($A45, LS_current!$B$4:$AY$138,LS_current!K$148, FALSE))/2)</f>
        <v>3310</v>
      </c>
      <c r="CH45" s="227">
        <f t="array" ref="CH45">IF($BU45=0, INDEX(LS_current!$D$4:$AY$138, MATCH('Staging Table'!$A45, LS_current!$B$4:$B$138, 0), MATCH(CH$4&amp;CH$5, LS_current!$D$2:$AY$2&amp;LS_current!$D$3:$AY$3, 0)),SUM(VLOOKUP($A45, LS_current!$B$4:$AY$138, LS_current!L$148, FALSE), VLOOKUP($A45, LS_current!$B$4:$AY$138,LS_current!L$148, FALSE))/2)</f>
        <v>856</v>
      </c>
      <c r="CI45" s="227">
        <f t="array" ref="CI45">IF($BU45=0, INDEX(LS_current!$D$4:$AY$138, MATCH('Staging Table'!$A45, LS_current!$B$4:$B$138, 0), MATCH(CI$4&amp;CI$5, LS_current!$D$2:$AY$2&amp;LS_current!$D$3:$AY$3, 0)),SUM(VLOOKUP($A45, LS_current!$B$4:$AY$138, LS_current!M$148, FALSE), VLOOKUP($A45, LS_current!$B$4:$AY$138,LS_current!M$148, FALSE))/2)</f>
        <v>2849</v>
      </c>
      <c r="CJ45" s="227">
        <f t="array" ref="CJ45">IF($BU45=0, INDEX(LS_current!$D$4:$AY$138, MATCH('Staging Table'!$A45, LS_current!$B$4:$B$138, 0), MATCH(CJ$4&amp;CJ$5, LS_current!$D$2:$AY$2&amp;LS_current!$D$3:$AY$3, 0)),SUM(VLOOKUP($A45, LS_current!$B$4:$AY$138, LS_current!N$148, FALSE), VLOOKUP($A45, LS_current!$B$4:$AY$138,LS_current!N$148, FALSE))/2)</f>
        <v>159</v>
      </c>
      <c r="CK45" s="227">
        <f t="array" ref="CK45">IF($BU45=0, INDEX(LS_current!$D$4:$AY$138, MATCH('Staging Table'!$A45, LS_current!$B$4:$B$138, 0), MATCH(CK$4&amp;CK$5, LS_current!$D$2:$AY$2&amp;LS_current!$D$3:$AY$3, 0)),SUM(VLOOKUP($A45, LS_current!$B$4:$AY$138, LS_current!O$148, FALSE), VLOOKUP($A45, LS_current!$B$4:$AY$138,LS_current!O$148, FALSE))/2)</f>
        <v>3543</v>
      </c>
      <c r="CL45" s="227">
        <f t="array" ref="CL45">IF($BU45=0, INDEX(LS_current!$D$4:$AY$138, MATCH('Staging Table'!$A45, LS_current!$B$4:$B$138, 0), MATCH(CL$4&amp;CL$5, LS_current!$D$2:$AY$2&amp;LS_current!$D$3:$AY$3, 0)),SUM(VLOOKUP($A45, LS_current!$B$4:$AY$138, LS_current!P$148, FALSE), VLOOKUP($A45, LS_current!$B$4:$AY$138,LS_current!P$148, FALSE))/2)</f>
        <v>2870</v>
      </c>
      <c r="CM45" s="227">
        <f t="array" ref="CM45">IF($BU45=0, INDEX(LS_current!$D$4:$AY$138, MATCH('Staging Table'!$A45, LS_current!$B$4:$B$138, 0), MATCH(CM$4&amp;CM$5, LS_current!$D$2:$AY$2&amp;LS_current!$D$3:$AY$3, 0)),SUM(VLOOKUP($A45, LS_current!$B$4:$AY$138, LS_current!Q$148, FALSE), VLOOKUP($A45, LS_current!$B$4:$AY$138,LS_current!Q$148, FALSE))/2)</f>
        <v>3926</v>
      </c>
      <c r="CN45" s="227">
        <f t="array" ref="CN45">IF($BU45=0, INDEX(LS_current!$D$4:$AY$138, MATCH('Staging Table'!$A45, LS_current!$B$4:$B$138, 0), MATCH(CN$4&amp;CN$5, LS_current!$D$2:$AY$2&amp;LS_current!$D$3:$AY$3, 0)),SUM(VLOOKUP($A45, LS_current!$B$4:$AY$138, LS_current!R$148, FALSE), VLOOKUP($A45, LS_current!$B$4:$AY$138,LS_current!R$148, FALSE))/2)</f>
        <v>-6517</v>
      </c>
      <c r="CO45" s="227">
        <f t="array" ref="CO45">IF($BU45=0, INDEX(LS_current!$D$4:$AY$138, MATCH('Staging Table'!$A45, LS_current!$B$4:$B$138, 0), MATCH(CO$4&amp;CO$5, LS_current!$D$2:$AY$2&amp;LS_current!$D$3:$AY$3, 0)),SUM(VLOOKUP($A45, LS_current!$B$4:$AY$138, LS_current!S$148, FALSE), VLOOKUP($A45, LS_current!$B$4:$AY$138,LS_current!S$148, FALSE))/2)</f>
        <v>124</v>
      </c>
      <c r="CP45" s="227">
        <f t="array" ref="CP45">IF($BU45=0, INDEX(LS_current!$D$4:$AY$138, MATCH('Staging Table'!$A45, LS_current!$B$4:$B$138, 0), MATCH(CP$4&amp;CP$5, LS_current!$D$2:$AY$2&amp;LS_current!$D$3:$AY$3, 0)),SUM(VLOOKUP($A45, LS_current!$B$4:$AY$138, LS_current!T$148, FALSE), VLOOKUP($A45, LS_current!$B$4:$AY$138,LS_current!T$148, FALSE))/2)</f>
        <v>-7501</v>
      </c>
      <c r="CQ45" s="227">
        <f t="array" ref="CQ45">IF($BU45=0, INDEX(LS_current!$D$4:$AY$138, MATCH('Staging Table'!$A45, LS_current!$B$4:$B$138, 0), MATCH(CQ$4&amp;CQ$5, LS_current!$D$2:$AY$2&amp;LS_current!$D$3:$AY$3, 0)),SUM(VLOOKUP($A45, LS_current!$B$4:$AY$138, LS_current!U$148, FALSE), VLOOKUP($A45, LS_current!$B$4:$AY$138,LS_current!U$148, FALSE))/2)</f>
        <v>-1129</v>
      </c>
      <c r="CR45" s="227">
        <f t="array" ref="CR45">IF($BU45=0, INDEX(LS_current!$D$4:$AY$138, MATCH('Staging Table'!$A45, LS_current!$B$4:$B$138, 0), MATCH(CR$4&amp;CR$5, LS_current!$D$2:$AY$2&amp;LS_current!$D$3:$AY$3, 0)),SUM(VLOOKUP($A45, LS_current!$B$4:$AY$138, LS_current!V$148, FALSE), VLOOKUP($A45, LS_current!$B$4:$AY$138,LS_current!V$148, FALSE))/2)</f>
        <v>-4849</v>
      </c>
      <c r="CS45" s="227">
        <f t="array" ref="CS45">IF($BU45=0, INDEX(LS_current!$D$4:$AY$138, MATCH('Staging Table'!$A45, LS_current!$B$4:$B$138, 0), MATCH(CS$4&amp;CS$5, LS_current!$D$2:$AY$2&amp;LS_current!$D$3:$AY$3, 0)),SUM(VLOOKUP($A45, LS_current!$B$4:$AY$138, LS_current!W$148, FALSE), VLOOKUP($A45, LS_current!$B$4:$AY$138,LS_current!W$148, FALSE))/2)</f>
        <v>2575</v>
      </c>
      <c r="CT45" s="227">
        <f t="array" ref="CT45">IF($BU45=0, INDEX(LS_current!$D$4:$AY$138, MATCH('Staging Table'!$A45, LS_current!$B$4:$B$138, 0), MATCH(CT$4&amp;CT$5, LS_current!$D$2:$AY$2&amp;LS_current!$D$3:$AY$3, 0)),SUM(VLOOKUP($A45, LS_current!$B$4:$AY$138, LS_current!X$148, FALSE), VLOOKUP($A45, LS_current!$B$4:$AY$138,LS_current!X$148, FALSE))/2)</f>
        <v>-4089</v>
      </c>
      <c r="CU45" s="227">
        <f t="array" ref="CU45">IF($BU45=0, INDEX(LS_current!$D$4:$AY$138, MATCH('Staging Table'!$A45, LS_current!$B$4:$B$138, 0), MATCH(CU$4&amp;CU$5, LS_current!$D$2:$AY$2&amp;LS_current!$D$3:$AY$3, 0)),SUM(VLOOKUP($A45, LS_current!$B$4:$AY$138, LS_current!Y$148, FALSE), VLOOKUP($A45, LS_current!$B$4:$AY$138,LS_current!Y$148, FALSE))/2)</f>
        <v>2858</v>
      </c>
      <c r="CV45" s="227">
        <f t="array" ref="CV45">IF($BU45=0, INDEX(LS_current!$D$4:$AY$138, MATCH('Staging Table'!$A45, LS_current!$B$4:$B$138, 0), MATCH(CV$4&amp;CV$5, LS_current!$D$2:$AY$2&amp;LS_current!$D$3:$AY$3, 0)),SUM(VLOOKUP($A45, LS_current!$B$4:$AY$138, LS_current!Z$148, FALSE), VLOOKUP($A45, LS_current!$B$4:$AY$138,LS_current!Z$148, FALSE))/2)</f>
        <v>-1384</v>
      </c>
      <c r="CW45" s="227">
        <f t="array" ref="CW45">IF($BU45=0, INDEX(LS_current!$D$4:$AY$138, MATCH('Staging Table'!$A45, LS_current!$B$4:$B$138, 0), MATCH(CW$4&amp;CW$5, LS_current!$D$2:$AY$2&amp;LS_current!$D$3:$AY$3, 0)),SUM(VLOOKUP($A45, LS_current!$B$4:$AY$138, LS_current!AA$148, FALSE), VLOOKUP($A45, LS_current!$B$4:$AY$138,LS_current!AA$148, FALSE))/2)</f>
        <v>2590</v>
      </c>
      <c r="CX45" s="229">
        <f t="array" ref="CX45">INDEX(Demand_current!$D$4:$AY$138, MATCH($A45, Demand_current!$B$4:$B$138, 0), MATCH(CX$4&amp;CX$5,Demand_current!$D$2:$AY$2&amp;Demand_current!$D$3:$AY$3, 0))/1000</f>
        <v>0</v>
      </c>
      <c r="CY45" s="229">
        <f t="array" ref="CY45">INDEX(Demand_current!$D$4:$AY$138, MATCH($A45, Demand_current!$B$4:$B$138, 0), MATCH(CY$4&amp;CY$5,Demand_current!$D$2:$AY$2&amp;Demand_current!$D$3:$AY$3, 0))/1000</f>
        <v>0</v>
      </c>
      <c r="CZ45" s="229">
        <f t="array" ref="CZ45">INDEX(Demand_current!$D$4:$AY$138, MATCH($A45, Demand_current!$B$4:$B$138, 0), MATCH(CZ$4&amp;CZ$5,Demand_current!$D$2:$AY$2&amp;Demand_current!$D$3:$AY$3, 0))/1000</f>
        <v>0</v>
      </c>
      <c r="DA45" s="229">
        <f t="array" ref="DA45">INDEX(Demand_current!$D$4:$AY$138, MATCH($A45, Demand_current!$B$4:$B$138, 0), MATCH(DA$4&amp;DA$5,Demand_current!$D$2:$AY$2&amp;Demand_current!$D$3:$AY$3, 0))/1000</f>
        <v>0</v>
      </c>
      <c r="DB45" s="229">
        <f t="array" ref="DB45">INDEX(Demand_current!$D$4:$AY$138, MATCH($A45, Demand_current!$B$4:$B$138, 0), MATCH(DB$4&amp;DB$5,Demand_current!$D$2:$AY$2&amp;Demand_current!$D$3:$AY$3, 0))/1000</f>
        <v>0</v>
      </c>
      <c r="DC45" s="229">
        <f t="array" ref="DC45">INDEX(Demand_current!$D$4:$AY$138, MATCH($A45, Demand_current!$B$4:$B$138, 0), MATCH(DC$4&amp;DC$5,Demand_current!$D$2:$AY$2&amp;Demand_current!$D$3:$AY$3, 0))/1000</f>
        <v>0</v>
      </c>
      <c r="DD45" s="229">
        <f t="array" ref="DD45">INDEX(Demand_current!$D$4:$AY$138, MATCH($A45, Demand_current!$B$4:$B$138, 0), MATCH(DD$4&amp;DD$5,Demand_current!$D$2:$AY$2&amp;Demand_current!$D$3:$AY$3, 0))/1000</f>
        <v>0</v>
      </c>
      <c r="DE45" s="229">
        <f t="array" ref="DE45">INDEX(Demand_current!$D$4:$AY$138, MATCH($A45, Demand_current!$B$4:$B$138, 0), MATCH(DE$4&amp;DE$5,Demand_current!$D$2:$AY$2&amp;Demand_current!$D$3:$AY$3, 0))/1000</f>
        <v>0</v>
      </c>
      <c r="DF45" s="229">
        <f t="array" ref="DF45">INDEX(Demand_current!$D$4:$AY$138, MATCH($A45, Demand_current!$B$4:$B$138, 0), MATCH(DF$4&amp;DF$5,Demand_current!$D$2:$AY$2&amp;Demand_current!$D$3:$AY$3, 0))/1000</f>
        <v>0</v>
      </c>
      <c r="DG45" s="229">
        <f t="array" ref="DG45">INDEX(Demand_current!$D$4:$AY$138, MATCH($A45, Demand_current!$B$4:$B$138, 0), MATCH(DG$4&amp;DG$5,Demand_current!$D$2:$AY$2&amp;Demand_current!$D$3:$AY$3, 0))/1000</f>
        <v>0</v>
      </c>
      <c r="DH45" s="229">
        <f t="array" ref="DH45">INDEX(Demand_current!$D$4:$AY$138, MATCH($A45, Demand_current!$B$4:$B$138, 0), MATCH(DH$4&amp;DH$5,Demand_current!$D$2:$AY$2&amp;Demand_current!$D$3:$AY$3, 0))/1000</f>
        <v>0</v>
      </c>
      <c r="DI45" s="229">
        <f t="array" ref="DI45">INDEX(Demand_current!$D$4:$AY$138, MATCH($A45, Demand_current!$B$4:$B$138, 0), MATCH(DI$4&amp;DI$5,Demand_current!$D$2:$AY$2&amp;Demand_current!$D$3:$AY$3, 0))/1000</f>
        <v>0</v>
      </c>
      <c r="DJ45" s="227">
        <f>$BT45*(VLOOKUP(DJ$4, Rates_current!$G$6:$Q$29, 10, FALSE)+VLOOKUP(DJ$4, Rates_current!$G$6:$Q$29, 11, FALSE))</f>
        <v>23908.930172607597</v>
      </c>
      <c r="DK45" s="227">
        <f>$BT45*(VLOOKUP(DK$4, Rates_current!$G$6:$Q$29, 10, FALSE)+VLOOKUP(DK$4, Rates_current!$G$6:$Q$29, 11, FALSE))</f>
        <v>30371.799854865898</v>
      </c>
      <c r="DL45" s="227">
        <f>$BT45*(VLOOKUP(DL$4, Rates_current!$G$6:$Q$29, 10, FALSE)+VLOOKUP(DL$4, Rates_current!$G$6:$Q$29, 11, FALSE))</f>
        <v>30005.019274907601</v>
      </c>
      <c r="DM45" s="227">
        <f>$BT45*(VLOOKUP(DM$4, Rates_current!$G$6:$Q$29, 10, FALSE)+VLOOKUP(DM$4, Rates_current!$G$6:$Q$29, 11, FALSE))</f>
        <v>25011.011086107603</v>
      </c>
      <c r="DN45" s="227">
        <f>$BT45*(VLOOKUP(DN$4, Rates_current!$G$6:$Q$29, 10, FALSE)+VLOOKUP(DN$4, Rates_current!$G$6:$Q$29, 11, FALSE))</f>
        <v>22657.381352079999</v>
      </c>
      <c r="DO45" s="227">
        <f>$BT45*(VLOOKUP(DO$4, Rates_current!$G$6:$Q$29, 10, FALSE)+VLOOKUP(DO$4, Rates_current!$G$6:$Q$29, 11, FALSE))</f>
        <v>25202.2059093797</v>
      </c>
      <c r="DP45" s="227">
        <f>$BT45*(VLOOKUP(DP$4, Rates_current!$G$6:$Q$29, 10, FALSE)+VLOOKUP(DP$4, Rates_current!$G$6:$Q$29, 11, FALSE))</f>
        <v>20519.663247287997</v>
      </c>
      <c r="DQ45" s="227">
        <f>$BT45*(VLOOKUP(DQ$4, Rates_current!$G$6:$Q$29, 10, FALSE)+VLOOKUP(DQ$4, Rates_current!$G$6:$Q$29, 11, FALSE))</f>
        <v>27673.825709657602</v>
      </c>
      <c r="DR45" s="227">
        <f>$BT45*(VLOOKUP(DR$4, Rates_current!$G$6:$Q$29, 10, FALSE)+VLOOKUP(DR$4, Rates_current!$G$6:$Q$29, 11, FALSE))</f>
        <v>35309.919469237997</v>
      </c>
      <c r="DS45" s="227">
        <f>$BT45*(VLOOKUP(DS$4, Rates_current!$G$6:$Q$29, 10, FALSE)+VLOOKUP(DS$4, Rates_current!$G$6:$Q$29, 11, FALSE))</f>
        <v>27684.0964710076</v>
      </c>
      <c r="DT45" s="227">
        <f>$BT45*(VLOOKUP(DT$4, Rates_current!$G$6:$Q$29, 10, FALSE)+VLOOKUP(DT$4, Rates_current!$G$6:$Q$29, 11, FALSE))</f>
        <v>26958.7974149576</v>
      </c>
      <c r="DU45" s="227">
        <f>$BT45*(VLOOKUP(DU$4, Rates_current!$G$6:$Q$29, 10, FALSE)+VLOOKUP(DU$4, Rates_current!$G$6:$Q$29, 11, FALSE))</f>
        <v>24203.265203388</v>
      </c>
      <c r="DV45" s="229">
        <f>IF(D45=0,IF(C45=0,MAX(0,DY45 - (VLOOKUP($A45,TOCA_current!$A$2:$AI$137,MATCH("RHWM 2020",TOCA_current!$A$2:$AI$2,0),FALSE)*$BT$2)), 0),0)</f>
        <v>0</v>
      </c>
      <c r="DW45" s="266">
        <f>VLOOKUP($A45,REP_current!$A$1:$D$135,MATCH("FY "&amp;$BT$1&amp; " Total Refund",REP_current!$A$1:$D$1,0),0)</f>
        <v>0</v>
      </c>
      <c r="DX45" s="295">
        <f>MIN(VLOOKUP($A45,TOCA_current!$A$2:$AI$137,MATCH("TRL - NLSL - Existing Resource "&amp;$BT$1,TOCA_current!$A$2:$AI$2,0),FALSE)*$BT$2, VLOOKUP($A45,TOCA_current!$A$2:$AI$137,MATCH("RHWM 2020",TOCA_current!$A$2:$AI$2,0),FALSE)*$BT$2)</f>
        <v>767062.8</v>
      </c>
      <c r="DY45" s="240">
        <f>SUM(BZ45:CW45)+(BT45*RT1SC!$C$4*$BT$2)</f>
        <v>317622.92715796479</v>
      </c>
      <c r="DZ45" s="271">
        <f>VLOOKUP($A45,TOCA_current!$A$2:$AI$137,MATCH("Above RHWM Not Served with LS "&amp;$BT$1,TOCA_current!$A$2:$AI$2,0),FALSE)*$BT$2</f>
        <v>0</v>
      </c>
      <c r="EA45" s="244">
        <f t="shared" si="13"/>
        <v>-449439.87284203526</v>
      </c>
      <c r="EB45" s="295">
        <f>(VLOOKUP($A45,TOCA_current!$A$2:$AI$137,MATCH("RHWM 2020",TOCA_current!$A$2:$AI$2,0),FALSE)*$BT$2) - $DX45</f>
        <v>44113.247999999905</v>
      </c>
      <c r="EC45" s="240">
        <f t="shared" si="14"/>
        <v>0</v>
      </c>
      <c r="ED45" s="240">
        <f t="shared" si="15"/>
        <v>449439.87284203526</v>
      </c>
      <c r="EE45" s="240">
        <f t="shared" si="16"/>
        <v>0</v>
      </c>
      <c r="EF45" s="240">
        <f t="shared" si="17"/>
        <v>0</v>
      </c>
    </row>
    <row r="46" spans="1:136">
      <c r="A46" s="166">
        <v>10106</v>
      </c>
      <c r="B46" s="167" t="s">
        <v>47</v>
      </c>
      <c r="C46" s="240">
        <v>1</v>
      </c>
      <c r="D46" s="240">
        <v>0</v>
      </c>
      <c r="E46" s="150">
        <f>VLOOKUP($A46,TOCA_previous!$A$2:$AI$137,MATCH(E$4,TOCA_previous!$A$2:$AI$2,0),FALSE)</f>
        <v>3.3831999999999998E-3</v>
      </c>
      <c r="F46" s="151">
        <f>VLOOKUP($A46,TOCA_previous!$A$2:$AI$137,MATCH(F$4,TOCA_previous!$A$2:$AI$2,0),FALSE)</f>
        <v>3.3831999999999998E-3</v>
      </c>
      <c r="G46" s="151">
        <f t="shared" si="2"/>
        <v>0</v>
      </c>
      <c r="H46" s="151">
        <f>VLOOKUP($A46,TOCA_previous!$A$2:$AI$137,MATCH(H$4,TOCA_previous!$A$2:$AI$2,0),FALSE)</f>
        <v>7.0217500000000002E-2</v>
      </c>
      <c r="I46" s="151">
        <f t="shared" si="3"/>
        <v>7.0217500000000002E-2</v>
      </c>
      <c r="J46" s="151">
        <f t="shared" si="4"/>
        <v>3.3831999999999998E-3</v>
      </c>
      <c r="K46" s="226">
        <f>VLOOKUP(A46, IRD!$A$5:$C$139, 3, FALSE)</f>
        <v>0</v>
      </c>
      <c r="L46" s="227">
        <f t="array" ref="L46">IF($G46=0, INDEX(LS_previous!$D$4:$AY$138, MATCH('Staging Table'!$A46, LS_previous!$B$4:$B$138, 0), MATCH(L$4&amp;L$5, LS_previous!$D$2:$AY$2&amp;LS_previous!$D$3:$AY$3, 0)),SUM(VLOOKUP($A46, LS_previous!$B$4:$AY$138, LS_previous!D$149, FALSE), VLOOKUP('Staging Table'!$A46, LS_previous!$B$4:$AY$138,LS_previous!AB$149, FALSE))/2)</f>
        <v>0</v>
      </c>
      <c r="M46" s="227">
        <f t="array" ref="M46">IF($G46=0, INDEX(LS_previous!$D$4:$AY$138, MATCH('Staging Table'!$A46, LS_previous!$B$4:$B$138, 0), MATCH(M$4&amp;M$5, LS_previous!$D$2:$AY$2&amp;LS_previous!$D$3:$AY$3, 0)),SUM(VLOOKUP($A46, LS_previous!$B$4:$AY$138, LS_previous!E$149, FALSE), VLOOKUP('Staging Table'!$A46, LS_previous!$B$4:$AY$138,LS_previous!AC$149, FALSE))/2)</f>
        <v>0</v>
      </c>
      <c r="N46" s="227">
        <f t="array" ref="N46">IF($G46=0, INDEX(LS_previous!$D$4:$AY$138, MATCH('Staging Table'!$A46, LS_previous!$B$4:$B$138, 0), MATCH(N$4&amp;N$5, LS_previous!$D$2:$AY$2&amp;LS_previous!$D$3:$AY$3, 0)),SUM(VLOOKUP($A46, LS_previous!$B$4:$AY$138, LS_previous!F$149, FALSE), VLOOKUP('Staging Table'!$A46, LS_previous!$B$4:$AY$138,LS_previous!AD$149, FALSE))/2)</f>
        <v>0</v>
      </c>
      <c r="O46" s="227">
        <f t="array" ref="O46">IF($G46=0, INDEX(LS_previous!$D$4:$AY$138, MATCH('Staging Table'!$A46, LS_previous!$B$4:$B$138, 0), MATCH(O$4&amp;O$5, LS_previous!$D$2:$AY$2&amp;LS_previous!$D$3:$AY$3, 0)),SUM(VLOOKUP($A46, LS_previous!$B$4:$AY$138, LS_previous!G$149, FALSE), VLOOKUP('Staging Table'!$A46, LS_previous!$B$4:$AY$138,LS_previous!AE$149, FALSE))/2)</f>
        <v>0</v>
      </c>
      <c r="P46" s="227">
        <f t="array" ref="P46">IF($G46=0, INDEX(LS_previous!$D$4:$AY$138, MATCH('Staging Table'!$A46, LS_previous!$B$4:$B$138, 0), MATCH(P$4&amp;P$5, LS_previous!$D$2:$AY$2&amp;LS_previous!$D$3:$AY$3, 0)),SUM(VLOOKUP($A46, LS_previous!$B$4:$AY$138, LS_previous!H$149, FALSE), VLOOKUP('Staging Table'!$A46, LS_previous!$B$4:$AY$138,LS_previous!AF$149, FALSE))/2)</f>
        <v>0</v>
      </c>
      <c r="Q46" s="227">
        <f t="array" ref="Q46">IF($G46=0, INDEX(LS_previous!$D$4:$AY$138, MATCH('Staging Table'!$A46, LS_previous!$B$4:$B$138, 0), MATCH(Q$4&amp;Q$5, LS_previous!$D$2:$AY$2&amp;LS_previous!$D$3:$AY$3, 0)),SUM(VLOOKUP($A46, LS_previous!$B$4:$AY$138, LS_previous!I$149, FALSE), VLOOKUP('Staging Table'!$A46, LS_previous!$B$4:$AY$138,LS_previous!AG$149, FALSE))/2)</f>
        <v>0</v>
      </c>
      <c r="R46" s="227">
        <f t="array" ref="R46">IF($G46=0, INDEX(LS_previous!$D$4:$AY$138, MATCH('Staging Table'!$A46, LS_previous!$B$4:$B$138, 0), MATCH(R$4&amp;R$5, LS_previous!$D$2:$AY$2&amp;LS_previous!$D$3:$AY$3, 0)),SUM(VLOOKUP($A46, LS_previous!$B$4:$AY$138, LS_previous!J$149, FALSE), VLOOKUP('Staging Table'!$A46, LS_previous!$B$4:$AY$138,LS_previous!AH$149, FALSE))/2)</f>
        <v>0</v>
      </c>
      <c r="S46" s="227">
        <f t="array" ref="S46">IF($G46=0, INDEX(LS_previous!$D$4:$AY$138, MATCH('Staging Table'!$A46, LS_previous!$B$4:$B$138, 0), MATCH(S$4&amp;S$5, LS_previous!$D$2:$AY$2&amp;LS_previous!$D$3:$AY$3, 0)),SUM(VLOOKUP($A46, LS_previous!$B$4:$AY$138, LS_previous!K$149, FALSE), VLOOKUP('Staging Table'!$A46, LS_previous!$B$4:$AY$138,LS_previous!AI$149, FALSE))/2)</f>
        <v>0</v>
      </c>
      <c r="T46" s="227">
        <f t="array" ref="T46">IF($G46=0, INDEX(LS_previous!$D$4:$AY$138, MATCH('Staging Table'!$A46, LS_previous!$B$4:$B$138, 0), MATCH(T$4&amp;T$5, LS_previous!$D$2:$AY$2&amp;LS_previous!$D$3:$AY$3, 0)),SUM(VLOOKUP($A46, LS_previous!$B$4:$AY$138, LS_previous!L$149, FALSE), VLOOKUP('Staging Table'!$A46, LS_previous!$B$4:$AY$138,LS_previous!AJ$149, FALSE))/2)</f>
        <v>0</v>
      </c>
      <c r="U46" s="227">
        <f t="array" ref="U46">IF($G46=0, INDEX(LS_previous!$D$4:$AY$138, MATCH('Staging Table'!$A46, LS_previous!$B$4:$B$138, 0), MATCH(U$4&amp;U$5, LS_previous!$D$2:$AY$2&amp;LS_previous!$D$3:$AY$3, 0)),SUM(VLOOKUP($A46, LS_previous!$B$4:$AY$138, LS_previous!M$149, FALSE), VLOOKUP('Staging Table'!$A46, LS_previous!$B$4:$AY$138,LS_previous!AK$149, FALSE))/2)</f>
        <v>0</v>
      </c>
      <c r="V46" s="227">
        <f t="array" ref="V46">IF($G46=0, INDEX(LS_previous!$D$4:$AY$138, MATCH('Staging Table'!$A46, LS_previous!$B$4:$B$138, 0), MATCH(V$4&amp;V$5, LS_previous!$D$2:$AY$2&amp;LS_previous!$D$3:$AY$3, 0)),SUM(VLOOKUP($A46, LS_previous!$B$4:$AY$138, LS_previous!N$149, FALSE), VLOOKUP('Staging Table'!$A46, LS_previous!$B$4:$AY$138,LS_previous!AL$149, FALSE))/2)</f>
        <v>0</v>
      </c>
      <c r="W46" s="227">
        <f t="array" ref="W46">IF($G46=0, INDEX(LS_previous!$D$4:$AY$138, MATCH('Staging Table'!$A46, LS_previous!$B$4:$B$138, 0), MATCH(W$4&amp;W$5, LS_previous!$D$2:$AY$2&amp;LS_previous!$D$3:$AY$3, 0)),SUM(VLOOKUP($A46, LS_previous!$B$4:$AY$138, LS_previous!O$149, FALSE), VLOOKUP('Staging Table'!$A46, LS_previous!$B$4:$AY$138,LS_previous!AM$149, FALSE))/2)</f>
        <v>0</v>
      </c>
      <c r="X46" s="227">
        <f t="array" ref="X46">IF($G46=0, INDEX(LS_previous!$D$4:$AY$138, MATCH('Staging Table'!$A46, LS_previous!$B$4:$B$138, 0), MATCH(X$4&amp;X$5, LS_previous!$D$2:$AY$2&amp;LS_previous!$D$3:$AY$3, 0)),SUM(VLOOKUP($A46, LS_previous!$B$4:$AY$138, LS_previous!P$149, FALSE), VLOOKUP('Staging Table'!$A46, LS_previous!$B$4:$AY$138,LS_previous!AN$149, FALSE))/2)</f>
        <v>0</v>
      </c>
      <c r="Y46" s="227">
        <f t="array" ref="Y46">IF($G46=0, INDEX(LS_previous!$D$4:$AY$138, MATCH('Staging Table'!$A46, LS_previous!$B$4:$B$138, 0), MATCH(Y$4&amp;Y$5, LS_previous!$D$2:$AY$2&amp;LS_previous!$D$3:$AY$3, 0)),SUM(VLOOKUP($A46, LS_previous!$B$4:$AY$138, LS_previous!Q$149, FALSE), VLOOKUP('Staging Table'!$A46, LS_previous!$B$4:$AY$138,LS_previous!AO$149, FALSE))/2)</f>
        <v>0</v>
      </c>
      <c r="Z46" s="227">
        <f t="array" ref="Z46">IF($G46=0, INDEX(LS_previous!$D$4:$AY$138, MATCH('Staging Table'!$A46, LS_previous!$B$4:$B$138, 0), MATCH(Z$4&amp;Z$5, LS_previous!$D$2:$AY$2&amp;LS_previous!$D$3:$AY$3, 0)),SUM(VLOOKUP($A46, LS_previous!$B$4:$AY$138, LS_previous!R$149, FALSE), VLOOKUP('Staging Table'!$A46, LS_previous!$B$4:$AY$138,LS_previous!AP$149, FALSE))/2)</f>
        <v>0</v>
      </c>
      <c r="AA46" s="227">
        <f t="array" ref="AA46">IF($G46=0, INDEX(LS_previous!$D$4:$AY$138, MATCH('Staging Table'!$A46, LS_previous!$B$4:$B$138, 0), MATCH(AA$4&amp;AA$5, LS_previous!$D$2:$AY$2&amp;LS_previous!$D$3:$AY$3, 0)),SUM(VLOOKUP($A46, LS_previous!$B$4:$AY$138, LS_previous!S$149, FALSE), VLOOKUP('Staging Table'!$A46, LS_previous!$B$4:$AY$138,LS_previous!AQ$149, FALSE))/2)</f>
        <v>0</v>
      </c>
      <c r="AB46" s="227">
        <f t="array" ref="AB46">IF($G46=0, INDEX(LS_previous!$D$4:$AY$138, MATCH('Staging Table'!$A46, LS_previous!$B$4:$B$138, 0), MATCH(AB$4&amp;AB$5, LS_previous!$D$2:$AY$2&amp;LS_previous!$D$3:$AY$3, 0)),SUM(VLOOKUP($A46, LS_previous!$B$4:$AY$138, LS_previous!T$149, FALSE), VLOOKUP('Staging Table'!$A46, LS_previous!$B$4:$AY$138,LS_previous!AR$149, FALSE))/2)</f>
        <v>0</v>
      </c>
      <c r="AC46" s="227">
        <f t="array" ref="AC46">IF($G46=0, INDEX(LS_previous!$D$4:$AY$138, MATCH('Staging Table'!$A46, LS_previous!$B$4:$B$138, 0), MATCH(AC$4&amp;AC$5, LS_previous!$D$2:$AY$2&amp;LS_previous!$D$3:$AY$3, 0)),SUM(VLOOKUP($A46, LS_previous!$B$4:$AY$138, LS_previous!U$149, FALSE), VLOOKUP('Staging Table'!$A46, LS_previous!$B$4:$AY$138,LS_previous!AS$149, FALSE))/2)</f>
        <v>0</v>
      </c>
      <c r="AD46" s="227">
        <f t="array" ref="AD46">IF($G46=0, INDEX(LS_previous!$D$4:$AY$138, MATCH('Staging Table'!$A46, LS_previous!$B$4:$B$138, 0), MATCH(AD$4&amp;AD$5, LS_previous!$D$2:$AY$2&amp;LS_previous!$D$3:$AY$3, 0)),SUM(VLOOKUP($A46, LS_previous!$B$4:$AY$138, LS_previous!V$149, FALSE), VLOOKUP('Staging Table'!$A46, LS_previous!$B$4:$AY$138,LS_previous!AT$149, FALSE))/2)</f>
        <v>0</v>
      </c>
      <c r="AE46" s="227">
        <f t="array" ref="AE46">IF($G46=0, INDEX(LS_previous!$D$4:$AY$138, MATCH('Staging Table'!$A46, LS_previous!$B$4:$B$138, 0), MATCH(AE$4&amp;AE$5, LS_previous!$D$2:$AY$2&amp;LS_previous!$D$3:$AY$3, 0)),SUM(VLOOKUP($A46, LS_previous!$B$4:$AY$138, LS_previous!W$149, FALSE), VLOOKUP('Staging Table'!$A46, LS_previous!$B$4:$AY$138,LS_previous!AU$149, FALSE))/2)</f>
        <v>0</v>
      </c>
      <c r="AF46" s="227">
        <f t="array" ref="AF46">IF($G46=0, INDEX(LS_previous!$D$4:$AY$138, MATCH('Staging Table'!$A46, LS_previous!$B$4:$B$138, 0), MATCH(AF$4&amp;AF$5, LS_previous!$D$2:$AY$2&amp;LS_previous!$D$3:$AY$3, 0)),SUM(VLOOKUP($A46, LS_previous!$B$4:$AY$138, LS_previous!X$149, FALSE), VLOOKUP('Staging Table'!$A46, LS_previous!$B$4:$AY$138,LS_previous!AV$149, FALSE))/2)</f>
        <v>0</v>
      </c>
      <c r="AG46" s="227">
        <f t="array" ref="AG46">IF($G46=0, INDEX(LS_previous!$D$4:$AY$138, MATCH('Staging Table'!$A46, LS_previous!$B$4:$B$138, 0), MATCH(AG$4&amp;AG$5, LS_previous!$D$2:$AY$2&amp;LS_previous!$D$3:$AY$3, 0)),SUM(VLOOKUP($A46, LS_previous!$B$4:$AY$138, LS_previous!Y$149, FALSE), VLOOKUP('Staging Table'!$A46, LS_previous!$B$4:$AY$138,LS_previous!AW$149, FALSE))/2)</f>
        <v>0</v>
      </c>
      <c r="AH46" s="227">
        <f t="array" ref="AH46">IF($G46=0, INDEX(LS_previous!$D$4:$AY$138, MATCH('Staging Table'!$A46, LS_previous!$B$4:$B$138, 0), MATCH(AH$4&amp;AH$5, LS_previous!$D$2:$AY$2&amp;LS_previous!$D$3:$AY$3, 0)),SUM(VLOOKUP($A46, LS_previous!$B$4:$AY$138, LS_previous!Z$149, FALSE), VLOOKUP('Staging Table'!$A46, LS_previous!$B$4:$AY$138,LS_previous!AX$149, FALSE))/2)</f>
        <v>0</v>
      </c>
      <c r="AI46" s="227">
        <f t="array" ref="AI46">IF($G46=0, INDEX(LS_previous!$D$4:$AY$138, MATCH('Staging Table'!$A46, LS_previous!$B$4:$B$138, 0), MATCH(AI$4&amp;AI$5, LS_previous!$D$2:$AY$2&amp;LS_previous!$D$3:$AY$3, 0)),SUM(VLOOKUP($A46, LS_previous!$B$4:$AY$138, LS_previous!AA$149, FALSE), VLOOKUP('Staging Table'!$A46, LS_previous!$B$4:$AY$138,LS_previous!AY$149, FALSE))/2)</f>
        <v>0</v>
      </c>
      <c r="AJ46" s="424">
        <f t="array" ref="AJ46">INDEX(Demand_previous!$D$4:$AY$138, MATCH('Staging Table'!$A46, Demand_previous!$B$4:$B$138, 0), MATCH(AJ$4&amp;AJ$5,Demand_previous!$D$2:$AY$2&amp;Demand_previous!$D$3:$AY$3, 0))/1000</f>
        <v>0</v>
      </c>
      <c r="AK46" s="424">
        <f t="array" ref="AK46">INDEX(Demand_previous!$D$4:$AY$138, MATCH('Staging Table'!$A46, Demand_previous!$B$4:$B$138, 0), MATCH(AK$4&amp;AK$5,Demand_previous!$D$2:$AY$2&amp;Demand_previous!$D$3:$AY$3, 0))/1000</f>
        <v>0</v>
      </c>
      <c r="AL46" s="424">
        <f t="array" ref="AL46">INDEX(Demand_previous!$D$4:$AY$138, MATCH('Staging Table'!$A46, Demand_previous!$B$4:$B$138, 0), MATCH(AL$4&amp;AL$5,Demand_previous!$D$2:$AY$2&amp;Demand_previous!$D$3:$AY$3, 0))/1000</f>
        <v>0</v>
      </c>
      <c r="AM46" s="424">
        <f t="array" ref="AM46">INDEX(Demand_previous!$D$4:$AY$138, MATCH('Staging Table'!$A46, Demand_previous!$B$4:$B$138, 0), MATCH(AM$4&amp;AM$5,Demand_previous!$D$2:$AY$2&amp;Demand_previous!$D$3:$AY$3, 0))/1000</f>
        <v>0</v>
      </c>
      <c r="AN46" s="424">
        <f t="array" ref="AN46">INDEX(Demand_previous!$D$4:$AY$138, MATCH('Staging Table'!$A46, Demand_previous!$B$4:$B$138, 0), MATCH(AN$4&amp;AN$5,Demand_previous!$D$2:$AY$2&amp;Demand_previous!$D$3:$AY$3, 0))/1000</f>
        <v>0</v>
      </c>
      <c r="AO46" s="424">
        <f t="array" ref="AO46">INDEX(Demand_previous!$D$4:$AY$138, MATCH('Staging Table'!$A46, Demand_previous!$B$4:$B$138, 0), MATCH(AO$4&amp;AO$5,Demand_previous!$D$2:$AY$2&amp;Demand_previous!$D$3:$AY$3, 0))/1000</f>
        <v>0</v>
      </c>
      <c r="AP46" s="424">
        <f t="array" ref="AP46">INDEX(Demand_previous!$D$4:$AY$138, MATCH('Staging Table'!$A46, Demand_previous!$B$4:$B$138, 0), MATCH(AP$4&amp;AP$5,Demand_previous!$D$2:$AY$2&amp;Demand_previous!$D$3:$AY$3, 0))/1000</f>
        <v>0</v>
      </c>
      <c r="AQ46" s="424">
        <f t="array" ref="AQ46">INDEX(Demand_previous!$D$4:$AY$138, MATCH('Staging Table'!$A46, Demand_previous!$B$4:$B$138, 0), MATCH(AQ$4&amp;AQ$5,Demand_previous!$D$2:$AY$2&amp;Demand_previous!$D$3:$AY$3, 0))/1000</f>
        <v>0</v>
      </c>
      <c r="AR46" s="424">
        <f t="array" ref="AR46">INDEX(Demand_previous!$D$4:$AY$138, MATCH('Staging Table'!$A46, Demand_previous!$B$4:$B$138, 0), MATCH(AR$4&amp;AR$5,Demand_previous!$D$2:$AY$2&amp;Demand_previous!$D$3:$AY$3, 0))/1000</f>
        <v>0</v>
      </c>
      <c r="AS46" s="424">
        <f t="array" ref="AS46">INDEX(Demand_previous!$D$4:$AY$138, MATCH('Staging Table'!$A46, Demand_previous!$B$4:$B$138, 0), MATCH(AS$4&amp;AS$5,Demand_previous!$D$2:$AY$2&amp;Demand_previous!$D$3:$AY$3, 0))/1000</f>
        <v>0</v>
      </c>
      <c r="AT46" s="424">
        <f t="array" ref="AT46">INDEX(Demand_previous!$D$4:$AY$138, MATCH('Staging Table'!$A46, Demand_previous!$B$4:$B$138, 0), MATCH(AT$4&amp;AT$5,Demand_previous!$D$2:$AY$2&amp;Demand_previous!$D$3:$AY$3, 0))/1000</f>
        <v>0</v>
      </c>
      <c r="AU46" s="424">
        <f t="array" ref="AU46">INDEX(Demand_previous!$D$4:$AY$138, MATCH('Staging Table'!$A46, Demand_previous!$B$4:$B$138, 0), MATCH(AU$4&amp;AU$5,Demand_previous!$D$2:$AY$2&amp;Demand_previous!$D$3:$AY$3, 0))/1000</f>
        <v>0</v>
      </c>
      <c r="AV46" s="227">
        <f>$F46*(VLOOKUP(AV$4, Rates_previous!$G$6:$Q$29, 10, FALSE)+VLOOKUP(AV$4, Rates_previous!$G$6:$Q$29, 11, FALSE))</f>
        <v>15863.275917716155</v>
      </c>
      <c r="AW46" s="227">
        <f>$F46*(VLOOKUP(AW$4, Rates_previous!$G$6:$Q$29, 10, FALSE)+VLOOKUP(AW$4, Rates_previous!$G$6:$Q$29, 11, FALSE))</f>
        <v>19605.803361432369</v>
      </c>
      <c r="AX46" s="227">
        <f>$F46*(VLOOKUP(AX$4, Rates_previous!$G$6:$Q$29, 10, FALSE)+VLOOKUP(AX$4, Rates_previous!$G$6:$Q$29, 11, FALSE))</f>
        <v>19370.361112735056</v>
      </c>
      <c r="AY46" s="227">
        <f>$F46*(VLOOKUP(AY$4, Rates_previous!$G$6:$Q$29, 10, FALSE)+VLOOKUP(AY$4, Rates_previous!$G$6:$Q$29, 11, FALSE))</f>
        <v>16550.127270489313</v>
      </c>
      <c r="AZ46" s="227">
        <f>$F46*(VLOOKUP(AZ$4, Rates_previous!$G$6:$Q$29, 10, FALSE)+VLOOKUP(AZ$4, Rates_previous!$G$6:$Q$29, 11, FALSE))</f>
        <v>13567.894114616423</v>
      </c>
      <c r="BA46" s="227">
        <f>$F46*(VLOOKUP(BA$4, Rates_previous!$G$6:$Q$29, 10, FALSE)+VLOOKUP(BA$4, Rates_previous!$G$6:$Q$29, 11, FALSE))</f>
        <v>16063.89380005404</v>
      </c>
      <c r="BB46" s="227">
        <f>$F46*(VLOOKUP(BB$4, Rates_previous!$G$6:$Q$29, 10, FALSE)+VLOOKUP(BB$4, Rates_previous!$G$6:$Q$29, 11, FALSE))</f>
        <v>15439.738577760714</v>
      </c>
      <c r="BC46" s="227">
        <f>$F46*(VLOOKUP(BC$4, Rates_previous!$G$6:$Q$29, 10, FALSE)+VLOOKUP(BC$4, Rates_previous!$G$6:$Q$29, 11, FALSE))</f>
        <v>22656.723804541198</v>
      </c>
      <c r="BD46" s="227">
        <f>$F46*(VLOOKUP(BD$4, Rates_previous!$G$6:$Q$29, 10, FALSE)+VLOOKUP(BD$4, Rates_previous!$G$6:$Q$29, 11, FALSE))</f>
        <v>17875.556257273474</v>
      </c>
      <c r="BE46" s="227">
        <f>$F46*(VLOOKUP(BE$4, Rates_previous!$G$6:$Q$29, 10, FALSE)+VLOOKUP(BE$4, Rates_previous!$G$6:$Q$29, 11, FALSE))</f>
        <v>15696.23878817924</v>
      </c>
      <c r="BF46" s="227">
        <f>$F46*(VLOOKUP(BF$4, Rates_previous!$G$6:$Q$29, 10, FALSE)+VLOOKUP(BF$4, Rates_previous!$G$6:$Q$29, 11, FALSE))</f>
        <v>17384.212742446933</v>
      </c>
      <c r="BG46" s="227">
        <f>$F46*(VLOOKUP(BG$4, Rates_previous!$G$6:$Q$29, 10, FALSE)+VLOOKUP(BG$4, Rates_previous!$G$6:$Q$29, 11, FALSE))</f>
        <v>15749.405417844226</v>
      </c>
      <c r="BH46" s="229">
        <f>IF($D46=0,IF(C46=0, MAX(BK46 - (VLOOKUP($A46,TOCA_previous!$A$2:$AI$137,MATCH("RHWM 2018",TOCA_previous!$A$2:$AI$2,0),FALSE)*$F$2*TOCA_previous!C43),0),0), 0)</f>
        <v>0</v>
      </c>
      <c r="BI46" s="266">
        <f>VLOOKUP($A46,REP_previous!$A$1:$D$135,MATCH("FY "&amp;$F$1&amp; " Total Refund",REP_previous!$A$1:$D$1,0),0)</f>
        <v>260035.52408878764</v>
      </c>
      <c r="BJ46" s="241">
        <f>MIN(VLOOKUP($A46,TOCA_previous!$A$2:$AI$137,MATCH("TRL - NLSL - Existing Resource "&amp;$F$1,TOCA_previous!$A$2:$AI$2,0),FALSE)*$F$2,(VLOOKUP($A46,TOCA_previous!$A$2:$AI$137,MATCH("RHWM 2018",TOCA_previous!$A$2:$AI$2,0),FALSE)*$F$2))</f>
        <v>205824.96</v>
      </c>
      <c r="BK46" s="229">
        <f>SUM(L46:AI46)+(F46*RT1SC!$C$3*$F$2)</f>
        <v>205823.23416787197</v>
      </c>
      <c r="BL46" s="241">
        <f>VLOOKUP($A46,TOCA_previous!$A$2:$AI$137,MATCH("Above RHWM Not Served with LS "&amp;$F$1,TOCA_previous!$A$2:$AI$2,0),FALSE)*$F$2</f>
        <v>639.4799999999999</v>
      </c>
      <c r="BM46" s="151">
        <f t="shared" si="5"/>
        <v>-1.7258321280241944</v>
      </c>
      <c r="BN46" s="242">
        <f>(VLOOKUP($A46,TOCA_previous!$A$2:$AI$137,MATCH("RHWM 2018",TOCA_previous!$A$2:$AI$2,0),FALSE)*$F$2) - $BJ46</f>
        <v>0</v>
      </c>
      <c r="BO46" s="151">
        <f t="shared" si="6"/>
        <v>0</v>
      </c>
      <c r="BP46" s="243">
        <f t="shared" si="7"/>
        <v>0</v>
      </c>
      <c r="BQ46" s="237">
        <f t="shared" si="8"/>
        <v>0</v>
      </c>
      <c r="BR46" s="242">
        <f t="shared" si="9"/>
        <v>0</v>
      </c>
      <c r="BS46" s="151">
        <f>VLOOKUP($A46,TOCA_current!$A$2:$AI$137,MATCH(BS$4,TOCA_current!$A$2:$AI$2,0),FALSE)</f>
        <v>3.3711000000000001E-3</v>
      </c>
      <c r="BT46" s="151">
        <f>VLOOKUP($A46,TOCA_current!$A$2:$AI$137,MATCH(BT$4,TOCA_current!$A$2:$AI$2,0),FALSE)</f>
        <v>3.3711000000000001E-3</v>
      </c>
      <c r="BU46" s="236">
        <f t="shared" si="10"/>
        <v>0</v>
      </c>
      <c r="BV46" s="151">
        <f>VLOOKUP($A46,TOCA_current!A42:BG177,MATCH(BV$4,TOCA_current!$A$2:$BG$2,0),FALSE)</f>
        <v>7.0000000000000007E-2</v>
      </c>
      <c r="BW46" s="151">
        <f t="shared" si="11"/>
        <v>7.0000000000000007E-2</v>
      </c>
      <c r="BX46" s="151">
        <f t="shared" si="12"/>
        <v>3.3711000000000001E-3</v>
      </c>
      <c r="BY46" s="226">
        <f>VLOOKUP($A46,IRD!$A$4:$G$139, 7, FALSE)</f>
        <v>0</v>
      </c>
      <c r="BZ46" s="227">
        <f t="array" ref="BZ46">IF($BU46=0, INDEX(LS_current!$D$4:$AY$138, MATCH('Staging Table'!$A46, LS_current!$B$4:$B$138, 0), MATCH(BZ$4&amp;BZ$5, LS_current!$D$2:$AY$2&amp;LS_current!$D$3:$AY$3, 0)),SUM(VLOOKUP($A46, LS_current!$B$4:$AY$138, LS_current!D$148, FALSE), VLOOKUP($A46, LS_current!$B$4:$AY$138,LS_current!D$148, FALSE))/2)</f>
        <v>0</v>
      </c>
      <c r="CA46" s="227">
        <f t="array" ref="CA46">IF($BU46=0, INDEX(LS_current!$D$4:$AY$138, MATCH('Staging Table'!$A46, LS_current!$B$4:$B$138, 0), MATCH(CA$4&amp;CA$5, LS_current!$D$2:$AY$2&amp;LS_current!$D$3:$AY$3, 0)),SUM(VLOOKUP($A46, LS_current!$B$4:$AY$138, LS_current!E$148, FALSE), VLOOKUP($A46, LS_current!$B$4:$AY$138,LS_current!E$148, FALSE))/2)</f>
        <v>0</v>
      </c>
      <c r="CB46" s="227">
        <f t="array" ref="CB46">IF($BU46=0, INDEX(LS_current!$D$4:$AY$138, MATCH('Staging Table'!$A46, LS_current!$B$4:$B$138, 0), MATCH(CB$4&amp;CB$5, LS_current!$D$2:$AY$2&amp;LS_current!$D$3:$AY$3, 0)),SUM(VLOOKUP($A46, LS_current!$B$4:$AY$138, LS_current!F$148, FALSE), VLOOKUP($A46, LS_current!$B$4:$AY$138,LS_current!F$148, FALSE))/2)</f>
        <v>0</v>
      </c>
      <c r="CC46" s="227">
        <f t="array" ref="CC46">IF($BU46=0, INDEX(LS_current!$D$4:$AY$138, MATCH('Staging Table'!$A46, LS_current!$B$4:$B$138, 0), MATCH(CC$4&amp;CC$5, LS_current!$D$2:$AY$2&amp;LS_current!$D$3:$AY$3, 0)),SUM(VLOOKUP($A46, LS_current!$B$4:$AY$138, LS_current!G$148, FALSE), VLOOKUP($A46, LS_current!$B$4:$AY$138,LS_current!G$148, FALSE))/2)</f>
        <v>0</v>
      </c>
      <c r="CD46" s="227">
        <f t="array" ref="CD46">IF($BU46=0, INDEX(LS_current!$D$4:$AY$138, MATCH('Staging Table'!$A46, LS_current!$B$4:$B$138, 0), MATCH(CD$4&amp;CD$5, LS_current!$D$2:$AY$2&amp;LS_current!$D$3:$AY$3, 0)),SUM(VLOOKUP($A46, LS_current!$B$4:$AY$138, LS_current!H$148, FALSE), VLOOKUP($A46, LS_current!$B$4:$AY$138,LS_current!H$148, FALSE))/2)</f>
        <v>0</v>
      </c>
      <c r="CE46" s="227">
        <f t="array" ref="CE46">IF($BU46=0, INDEX(LS_current!$D$4:$AY$138, MATCH('Staging Table'!$A46, LS_current!$B$4:$B$138, 0), MATCH(CE$4&amp;CE$5, LS_current!$D$2:$AY$2&amp;LS_current!$D$3:$AY$3, 0)),SUM(VLOOKUP($A46, LS_current!$B$4:$AY$138, LS_current!I$148, FALSE), VLOOKUP($A46, LS_current!$B$4:$AY$138,LS_current!I$148, FALSE))/2)</f>
        <v>0</v>
      </c>
      <c r="CF46" s="227">
        <f t="array" ref="CF46">IF($BU46=0, INDEX(LS_current!$D$4:$AY$138, MATCH('Staging Table'!$A46, LS_current!$B$4:$B$138, 0), MATCH(CF$4&amp;CF$5, LS_current!$D$2:$AY$2&amp;LS_current!$D$3:$AY$3, 0)),SUM(VLOOKUP($A46, LS_current!$B$4:$AY$138, LS_current!J$148, FALSE), VLOOKUP($A46, LS_current!$B$4:$AY$138,LS_current!J$148, FALSE))/2)</f>
        <v>0</v>
      </c>
      <c r="CG46" s="227">
        <f t="array" ref="CG46">IF($BU46=0, INDEX(LS_current!$D$4:$AY$138, MATCH('Staging Table'!$A46, LS_current!$B$4:$B$138, 0), MATCH(CG$4&amp;CG$5, LS_current!$D$2:$AY$2&amp;LS_current!$D$3:$AY$3, 0)),SUM(VLOOKUP($A46, LS_current!$B$4:$AY$138, LS_current!K$148, FALSE), VLOOKUP($A46, LS_current!$B$4:$AY$138,LS_current!K$148, FALSE))/2)</f>
        <v>0</v>
      </c>
      <c r="CH46" s="227">
        <f t="array" ref="CH46">IF($BU46=0, INDEX(LS_current!$D$4:$AY$138, MATCH('Staging Table'!$A46, LS_current!$B$4:$B$138, 0), MATCH(CH$4&amp;CH$5, LS_current!$D$2:$AY$2&amp;LS_current!$D$3:$AY$3, 0)),SUM(VLOOKUP($A46, LS_current!$B$4:$AY$138, LS_current!L$148, FALSE), VLOOKUP($A46, LS_current!$B$4:$AY$138,LS_current!L$148, FALSE))/2)</f>
        <v>0</v>
      </c>
      <c r="CI46" s="227">
        <f t="array" ref="CI46">IF($BU46=0, INDEX(LS_current!$D$4:$AY$138, MATCH('Staging Table'!$A46, LS_current!$B$4:$B$138, 0), MATCH(CI$4&amp;CI$5, LS_current!$D$2:$AY$2&amp;LS_current!$D$3:$AY$3, 0)),SUM(VLOOKUP($A46, LS_current!$B$4:$AY$138, LS_current!M$148, FALSE), VLOOKUP($A46, LS_current!$B$4:$AY$138,LS_current!M$148, FALSE))/2)</f>
        <v>0</v>
      </c>
      <c r="CJ46" s="227">
        <f t="array" ref="CJ46">IF($BU46=0, INDEX(LS_current!$D$4:$AY$138, MATCH('Staging Table'!$A46, LS_current!$B$4:$B$138, 0), MATCH(CJ$4&amp;CJ$5, LS_current!$D$2:$AY$2&amp;LS_current!$D$3:$AY$3, 0)),SUM(VLOOKUP($A46, LS_current!$B$4:$AY$138, LS_current!N$148, FALSE), VLOOKUP($A46, LS_current!$B$4:$AY$138,LS_current!N$148, FALSE))/2)</f>
        <v>0</v>
      </c>
      <c r="CK46" s="227">
        <f t="array" ref="CK46">IF($BU46=0, INDEX(LS_current!$D$4:$AY$138, MATCH('Staging Table'!$A46, LS_current!$B$4:$B$138, 0), MATCH(CK$4&amp;CK$5, LS_current!$D$2:$AY$2&amp;LS_current!$D$3:$AY$3, 0)),SUM(VLOOKUP($A46, LS_current!$B$4:$AY$138, LS_current!O$148, FALSE), VLOOKUP($A46, LS_current!$B$4:$AY$138,LS_current!O$148, FALSE))/2)</f>
        <v>0</v>
      </c>
      <c r="CL46" s="227">
        <f t="array" ref="CL46">IF($BU46=0, INDEX(LS_current!$D$4:$AY$138, MATCH('Staging Table'!$A46, LS_current!$B$4:$B$138, 0), MATCH(CL$4&amp;CL$5, LS_current!$D$2:$AY$2&amp;LS_current!$D$3:$AY$3, 0)),SUM(VLOOKUP($A46, LS_current!$B$4:$AY$138, LS_current!P$148, FALSE), VLOOKUP($A46, LS_current!$B$4:$AY$138,LS_current!P$148, FALSE))/2)</f>
        <v>0</v>
      </c>
      <c r="CM46" s="227">
        <f t="array" ref="CM46">IF($BU46=0, INDEX(LS_current!$D$4:$AY$138, MATCH('Staging Table'!$A46, LS_current!$B$4:$B$138, 0), MATCH(CM$4&amp;CM$5, LS_current!$D$2:$AY$2&amp;LS_current!$D$3:$AY$3, 0)),SUM(VLOOKUP($A46, LS_current!$B$4:$AY$138, LS_current!Q$148, FALSE), VLOOKUP($A46, LS_current!$B$4:$AY$138,LS_current!Q$148, FALSE))/2)</f>
        <v>0</v>
      </c>
      <c r="CN46" s="227">
        <f t="array" ref="CN46">IF($BU46=0, INDEX(LS_current!$D$4:$AY$138, MATCH('Staging Table'!$A46, LS_current!$B$4:$B$138, 0), MATCH(CN$4&amp;CN$5, LS_current!$D$2:$AY$2&amp;LS_current!$D$3:$AY$3, 0)),SUM(VLOOKUP($A46, LS_current!$B$4:$AY$138, LS_current!R$148, FALSE), VLOOKUP($A46, LS_current!$B$4:$AY$138,LS_current!R$148, FALSE))/2)</f>
        <v>0</v>
      </c>
      <c r="CO46" s="227">
        <f t="array" ref="CO46">IF($BU46=0, INDEX(LS_current!$D$4:$AY$138, MATCH('Staging Table'!$A46, LS_current!$B$4:$B$138, 0), MATCH(CO$4&amp;CO$5, LS_current!$D$2:$AY$2&amp;LS_current!$D$3:$AY$3, 0)),SUM(VLOOKUP($A46, LS_current!$B$4:$AY$138, LS_current!S$148, FALSE), VLOOKUP($A46, LS_current!$B$4:$AY$138,LS_current!S$148, FALSE))/2)</f>
        <v>0</v>
      </c>
      <c r="CP46" s="227">
        <f t="array" ref="CP46">IF($BU46=0, INDEX(LS_current!$D$4:$AY$138, MATCH('Staging Table'!$A46, LS_current!$B$4:$B$138, 0), MATCH(CP$4&amp;CP$5, LS_current!$D$2:$AY$2&amp;LS_current!$D$3:$AY$3, 0)),SUM(VLOOKUP($A46, LS_current!$B$4:$AY$138, LS_current!T$148, FALSE), VLOOKUP($A46, LS_current!$B$4:$AY$138,LS_current!T$148, FALSE))/2)</f>
        <v>0</v>
      </c>
      <c r="CQ46" s="227">
        <f t="array" ref="CQ46">IF($BU46=0, INDEX(LS_current!$D$4:$AY$138, MATCH('Staging Table'!$A46, LS_current!$B$4:$B$138, 0), MATCH(CQ$4&amp;CQ$5, LS_current!$D$2:$AY$2&amp;LS_current!$D$3:$AY$3, 0)),SUM(VLOOKUP($A46, LS_current!$B$4:$AY$138, LS_current!U$148, FALSE), VLOOKUP($A46, LS_current!$B$4:$AY$138,LS_current!U$148, FALSE))/2)</f>
        <v>0</v>
      </c>
      <c r="CR46" s="227">
        <f t="array" ref="CR46">IF($BU46=0, INDEX(LS_current!$D$4:$AY$138, MATCH('Staging Table'!$A46, LS_current!$B$4:$B$138, 0), MATCH(CR$4&amp;CR$5, LS_current!$D$2:$AY$2&amp;LS_current!$D$3:$AY$3, 0)),SUM(VLOOKUP($A46, LS_current!$B$4:$AY$138, LS_current!V$148, FALSE), VLOOKUP($A46, LS_current!$B$4:$AY$138,LS_current!V$148, FALSE))/2)</f>
        <v>0</v>
      </c>
      <c r="CS46" s="227">
        <f t="array" ref="CS46">IF($BU46=0, INDEX(LS_current!$D$4:$AY$138, MATCH('Staging Table'!$A46, LS_current!$B$4:$B$138, 0), MATCH(CS$4&amp;CS$5, LS_current!$D$2:$AY$2&amp;LS_current!$D$3:$AY$3, 0)),SUM(VLOOKUP($A46, LS_current!$B$4:$AY$138, LS_current!W$148, FALSE), VLOOKUP($A46, LS_current!$B$4:$AY$138,LS_current!W$148, FALSE))/2)</f>
        <v>0</v>
      </c>
      <c r="CT46" s="227">
        <f t="array" ref="CT46">IF($BU46=0, INDEX(LS_current!$D$4:$AY$138, MATCH('Staging Table'!$A46, LS_current!$B$4:$B$138, 0), MATCH(CT$4&amp;CT$5, LS_current!$D$2:$AY$2&amp;LS_current!$D$3:$AY$3, 0)),SUM(VLOOKUP($A46, LS_current!$B$4:$AY$138, LS_current!X$148, FALSE), VLOOKUP($A46, LS_current!$B$4:$AY$138,LS_current!X$148, FALSE))/2)</f>
        <v>0</v>
      </c>
      <c r="CU46" s="227">
        <f t="array" ref="CU46">IF($BU46=0, INDEX(LS_current!$D$4:$AY$138, MATCH('Staging Table'!$A46, LS_current!$B$4:$B$138, 0), MATCH(CU$4&amp;CU$5, LS_current!$D$2:$AY$2&amp;LS_current!$D$3:$AY$3, 0)),SUM(VLOOKUP($A46, LS_current!$B$4:$AY$138, LS_current!Y$148, FALSE), VLOOKUP($A46, LS_current!$B$4:$AY$138,LS_current!Y$148, FALSE))/2)</f>
        <v>0</v>
      </c>
      <c r="CV46" s="227">
        <f t="array" ref="CV46">IF($BU46=0, INDEX(LS_current!$D$4:$AY$138, MATCH('Staging Table'!$A46, LS_current!$B$4:$B$138, 0), MATCH(CV$4&amp;CV$5, LS_current!$D$2:$AY$2&amp;LS_current!$D$3:$AY$3, 0)),SUM(VLOOKUP($A46, LS_current!$B$4:$AY$138, LS_current!Z$148, FALSE), VLOOKUP($A46, LS_current!$B$4:$AY$138,LS_current!Z$148, FALSE))/2)</f>
        <v>0</v>
      </c>
      <c r="CW46" s="227">
        <f t="array" ref="CW46">IF($BU46=0, INDEX(LS_current!$D$4:$AY$138, MATCH('Staging Table'!$A46, LS_current!$B$4:$B$138, 0), MATCH(CW$4&amp;CW$5, LS_current!$D$2:$AY$2&amp;LS_current!$D$3:$AY$3, 0)),SUM(VLOOKUP($A46, LS_current!$B$4:$AY$138, LS_current!AA$148, FALSE), VLOOKUP($A46, LS_current!$B$4:$AY$138,LS_current!AA$148, FALSE))/2)</f>
        <v>0</v>
      </c>
      <c r="CX46" s="229">
        <f t="array" ref="CX46">INDEX(Demand_current!$D$4:$AY$138, MATCH($A46, Demand_current!$B$4:$B$138, 0), MATCH(CX$4&amp;CX$5,Demand_current!$D$2:$AY$2&amp;Demand_current!$D$3:$AY$3, 0))/1000</f>
        <v>0</v>
      </c>
      <c r="CY46" s="229">
        <f t="array" ref="CY46">INDEX(Demand_current!$D$4:$AY$138, MATCH($A46, Demand_current!$B$4:$B$138, 0), MATCH(CY$4&amp;CY$5,Demand_current!$D$2:$AY$2&amp;Demand_current!$D$3:$AY$3, 0))/1000</f>
        <v>0</v>
      </c>
      <c r="CZ46" s="229">
        <f t="array" ref="CZ46">INDEX(Demand_current!$D$4:$AY$138, MATCH($A46, Demand_current!$B$4:$B$138, 0), MATCH(CZ$4&amp;CZ$5,Demand_current!$D$2:$AY$2&amp;Demand_current!$D$3:$AY$3, 0))/1000</f>
        <v>0</v>
      </c>
      <c r="DA46" s="229">
        <f t="array" ref="DA46">INDEX(Demand_current!$D$4:$AY$138, MATCH($A46, Demand_current!$B$4:$B$138, 0), MATCH(DA$4&amp;DA$5,Demand_current!$D$2:$AY$2&amp;Demand_current!$D$3:$AY$3, 0))/1000</f>
        <v>0</v>
      </c>
      <c r="DB46" s="229">
        <f t="array" ref="DB46">INDEX(Demand_current!$D$4:$AY$138, MATCH($A46, Demand_current!$B$4:$B$138, 0), MATCH(DB$4&amp;DB$5,Demand_current!$D$2:$AY$2&amp;Demand_current!$D$3:$AY$3, 0))/1000</f>
        <v>0</v>
      </c>
      <c r="DC46" s="229">
        <f t="array" ref="DC46">INDEX(Demand_current!$D$4:$AY$138, MATCH($A46, Demand_current!$B$4:$B$138, 0), MATCH(DC$4&amp;DC$5,Demand_current!$D$2:$AY$2&amp;Demand_current!$D$3:$AY$3, 0))/1000</f>
        <v>0</v>
      </c>
      <c r="DD46" s="229">
        <f t="array" ref="DD46">INDEX(Demand_current!$D$4:$AY$138, MATCH($A46, Demand_current!$B$4:$B$138, 0), MATCH(DD$4&amp;DD$5,Demand_current!$D$2:$AY$2&amp;Demand_current!$D$3:$AY$3, 0))/1000</f>
        <v>0</v>
      </c>
      <c r="DE46" s="229">
        <f t="array" ref="DE46">INDEX(Demand_current!$D$4:$AY$138, MATCH($A46, Demand_current!$B$4:$B$138, 0), MATCH(DE$4&amp;DE$5,Demand_current!$D$2:$AY$2&amp;Demand_current!$D$3:$AY$3, 0))/1000</f>
        <v>0</v>
      </c>
      <c r="DF46" s="229">
        <f t="array" ref="DF46">INDEX(Demand_current!$D$4:$AY$138, MATCH($A46, Demand_current!$B$4:$B$138, 0), MATCH(DF$4&amp;DF$5,Demand_current!$D$2:$AY$2&amp;Demand_current!$D$3:$AY$3, 0))/1000</f>
        <v>0</v>
      </c>
      <c r="DG46" s="229">
        <f t="array" ref="DG46">INDEX(Demand_current!$D$4:$AY$138, MATCH($A46, Demand_current!$B$4:$B$138, 0), MATCH(DG$4&amp;DG$5,Demand_current!$D$2:$AY$2&amp;Demand_current!$D$3:$AY$3, 0))/1000</f>
        <v>0</v>
      </c>
      <c r="DH46" s="229">
        <f t="array" ref="DH46">INDEX(Demand_current!$D$4:$AY$138, MATCH($A46, Demand_current!$B$4:$B$138, 0), MATCH(DH$4&amp;DH$5,Demand_current!$D$2:$AY$2&amp;Demand_current!$D$3:$AY$3, 0))/1000</f>
        <v>0</v>
      </c>
      <c r="DI46" s="229">
        <f t="array" ref="DI46">INDEX(Demand_current!$D$4:$AY$138, MATCH($A46, Demand_current!$B$4:$B$138, 0), MATCH(DI$4&amp;DI$5,Demand_current!$D$2:$AY$2&amp;Demand_current!$D$3:$AY$3, 0))/1000</f>
        <v>0</v>
      </c>
      <c r="DJ46" s="227">
        <f>$BT46*(VLOOKUP(DJ$4, Rates_current!$G$6:$Q$29, 10, FALSE)+VLOOKUP(DJ$4, Rates_current!$G$6:$Q$29, 11, FALSE))</f>
        <v>15565.437999435599</v>
      </c>
      <c r="DK46" s="227">
        <f>$BT46*(VLOOKUP(DK$4, Rates_current!$G$6:$Q$29, 10, FALSE)+VLOOKUP(DK$4, Rates_current!$G$6:$Q$29, 11, FALSE))</f>
        <v>19772.961991992903</v>
      </c>
      <c r="DL46" s="227">
        <f>$BT46*(VLOOKUP(DL$4, Rates_current!$G$6:$Q$29, 10, FALSE)+VLOOKUP(DL$4, Rates_current!$G$6:$Q$29, 11, FALSE))</f>
        <v>19534.176720735602</v>
      </c>
      <c r="DM46" s="227">
        <f>$BT46*(VLOOKUP(DM$4, Rates_current!$G$6:$Q$29, 10, FALSE)+VLOOKUP(DM$4, Rates_current!$G$6:$Q$29, 11, FALSE))</f>
        <v>16282.926067935603</v>
      </c>
      <c r="DN46" s="227">
        <f>$BT46*(VLOOKUP(DN$4, Rates_current!$G$6:$Q$29, 10, FALSE)+VLOOKUP(DN$4, Rates_current!$G$6:$Q$29, 11, FALSE))</f>
        <v>14750.64179448</v>
      </c>
      <c r="DO46" s="227">
        <f>$BT46*(VLOOKUP(DO$4, Rates_current!$G$6:$Q$29, 10, FALSE)+VLOOKUP(DO$4, Rates_current!$G$6:$Q$29, 11, FALSE))</f>
        <v>16407.3996912207</v>
      </c>
      <c r="DP46" s="227">
        <f>$BT46*(VLOOKUP(DP$4, Rates_current!$G$6:$Q$29, 10, FALSE)+VLOOKUP(DP$4, Rates_current!$G$6:$Q$29, 11, FALSE))</f>
        <v>13358.922533928</v>
      </c>
      <c r="DQ46" s="227">
        <f>$BT46*(VLOOKUP(DQ$4, Rates_current!$G$6:$Q$29, 10, FALSE)+VLOOKUP(DQ$4, Rates_current!$G$6:$Q$29, 11, FALSE))</f>
        <v>18016.499072985604</v>
      </c>
      <c r="DR46" s="227">
        <f>$BT46*(VLOOKUP(DR$4, Rates_current!$G$6:$Q$29, 10, FALSE)+VLOOKUP(DR$4, Rates_current!$G$6:$Q$29, 11, FALSE))</f>
        <v>22987.827489378004</v>
      </c>
      <c r="DS46" s="227">
        <f>$BT46*(VLOOKUP(DS$4, Rates_current!$G$6:$Q$29, 10, FALSE)+VLOOKUP(DS$4, Rates_current!$G$6:$Q$29, 11, FALSE))</f>
        <v>18023.185649835603</v>
      </c>
      <c r="DT46" s="227">
        <f>$BT46*(VLOOKUP(DT$4, Rates_current!$G$6:$Q$29, 10, FALSE)+VLOOKUP(DT$4, Rates_current!$G$6:$Q$29, 11, FALSE))</f>
        <v>17550.993987285601</v>
      </c>
      <c r="DU46" s="227">
        <f>$BT46*(VLOOKUP(DU$4, Rates_current!$G$6:$Q$29, 10, FALSE)+VLOOKUP(DU$4, Rates_current!$G$6:$Q$29, 11, FALSE))</f>
        <v>15757.059023028001</v>
      </c>
      <c r="DV46" s="229">
        <f>IF(D46=0,IF(C46=0,MAX(0,DY46 - (VLOOKUP($A46,TOCA_current!$A$2:$AI$137,MATCH("RHWM 2020",TOCA_current!$A$2:$AI$2,0),FALSE)*$BT$2)), 0),0)</f>
        <v>0</v>
      </c>
      <c r="DW46" s="266">
        <f>VLOOKUP($A46,REP_current!$A$1:$D$135,MATCH("FY "&amp;$BT$1&amp; " Total Refund",REP_current!$A$1:$D$1,0),0)</f>
        <v>0</v>
      </c>
      <c r="DX46" s="295">
        <f>MIN(VLOOKUP($A46,TOCA_current!$A$2:$AI$137,MATCH("TRL - NLSL - Existing Resource "&amp;$BT$1,TOCA_current!$A$2:$AI$2,0),FALSE)*$BT$2, VLOOKUP($A46,TOCA_current!$A$2:$AI$137,MATCH("RHWM 2020",TOCA_current!$A$2:$AI$2,0),FALSE)*$BT$2)</f>
        <v>208005.12</v>
      </c>
      <c r="DY46" s="240">
        <f>SUM(BZ46:CW46)+(BT46*RT1SC!$C$4*$BT$2)</f>
        <v>208008.03982970881</v>
      </c>
      <c r="DZ46" s="271">
        <f>VLOOKUP($A46,TOCA_current!$A$2:$AI$137,MATCH("Above RHWM Not Served with LS "&amp;$BT$1,TOCA_current!$A$2:$AI$2,0),FALSE)*$BT$2</f>
        <v>0</v>
      </c>
      <c r="EA46" s="244">
        <f t="shared" si="13"/>
        <v>2.9198297088150866</v>
      </c>
      <c r="EB46" s="295">
        <f>(VLOOKUP($A46,TOCA_current!$A$2:$AI$137,MATCH("RHWM 2020",TOCA_current!$A$2:$AI$2,0),FALSE)*$BT$2) - $DX46</f>
        <v>632.44800000000396</v>
      </c>
      <c r="EC46" s="240">
        <f t="shared" si="14"/>
        <v>-2.9198297088150866</v>
      </c>
      <c r="ED46" s="240">
        <f t="shared" si="15"/>
        <v>0</v>
      </c>
      <c r="EE46" s="240">
        <f t="shared" si="16"/>
        <v>0</v>
      </c>
      <c r="EF46" s="240">
        <f t="shared" si="17"/>
        <v>-2.9198297088150866</v>
      </c>
    </row>
    <row r="47" spans="1:136">
      <c r="A47" s="166">
        <v>10109</v>
      </c>
      <c r="B47" s="167" t="s">
        <v>48</v>
      </c>
      <c r="C47" s="240">
        <v>0</v>
      </c>
      <c r="D47" s="240">
        <v>0</v>
      </c>
      <c r="E47" s="150">
        <f>VLOOKUP($A47,TOCA_previous!$A$2:$AI$137,MATCH(E$4,TOCA_previous!$A$2:$AI$2,0),FALSE)</f>
        <v>1.717E-3</v>
      </c>
      <c r="F47" s="151">
        <f>VLOOKUP($A47,TOCA_previous!$A$2:$AI$137,MATCH(F$4,TOCA_previous!$A$2:$AI$2,0),FALSE)</f>
        <v>1.717E-3</v>
      </c>
      <c r="G47" s="151">
        <f t="shared" si="2"/>
        <v>0</v>
      </c>
      <c r="H47" s="151">
        <f>VLOOKUP($A47,TOCA_previous!$A$2:$AI$137,MATCH(H$4,TOCA_previous!$A$2:$AI$2,0),FALSE)</f>
        <v>8.3126500000000006E-2</v>
      </c>
      <c r="I47" s="151">
        <f t="shared" si="3"/>
        <v>0</v>
      </c>
      <c r="J47" s="151">
        <f t="shared" si="4"/>
        <v>0</v>
      </c>
      <c r="K47" s="226">
        <f>VLOOKUP(A47, IRD!$A$5:$C$139, 3, FALSE)</f>
        <v>21100.335000000003</v>
      </c>
      <c r="L47" s="227">
        <f t="array" ref="L47">IF($G47=0, INDEX(LS_previous!$D$4:$AY$138, MATCH('Staging Table'!$A47, LS_previous!$B$4:$B$138, 0), MATCH(L$4&amp;L$5, LS_previous!$D$2:$AY$2&amp;LS_previous!$D$3:$AY$3, 0)),SUM(VLOOKUP($A47, LS_previous!$B$4:$AY$138, LS_previous!D$149, FALSE), VLOOKUP('Staging Table'!$A47, LS_previous!$B$4:$AY$138,LS_previous!AB$149, FALSE))/2)</f>
        <v>-1188</v>
      </c>
      <c r="M47" s="227">
        <f t="array" ref="M47">IF($G47=0, INDEX(LS_previous!$D$4:$AY$138, MATCH('Staging Table'!$A47, LS_previous!$B$4:$B$138, 0), MATCH(M$4&amp;M$5, LS_previous!$D$2:$AY$2&amp;LS_previous!$D$3:$AY$3, 0)),SUM(VLOOKUP($A47, LS_previous!$B$4:$AY$138, LS_previous!E$149, FALSE), VLOOKUP('Staging Table'!$A47, LS_previous!$B$4:$AY$138,LS_previous!AC$149, FALSE))/2)</f>
        <v>-397</v>
      </c>
      <c r="N47" s="227">
        <f t="array" ref="N47">IF($G47=0, INDEX(LS_previous!$D$4:$AY$138, MATCH('Staging Table'!$A47, LS_previous!$B$4:$B$138, 0), MATCH(N$4&amp;N$5, LS_previous!$D$2:$AY$2&amp;LS_previous!$D$3:$AY$3, 0)),SUM(VLOOKUP($A47, LS_previous!$B$4:$AY$138, LS_previous!F$149, FALSE), VLOOKUP('Staging Table'!$A47, LS_previous!$B$4:$AY$138,LS_previous!AD$149, FALSE))/2)</f>
        <v>-2596</v>
      </c>
      <c r="O47" s="227">
        <f t="array" ref="O47">IF($G47=0, INDEX(LS_previous!$D$4:$AY$138, MATCH('Staging Table'!$A47, LS_previous!$B$4:$B$138, 0), MATCH(O$4&amp;O$5, LS_previous!$D$2:$AY$2&amp;LS_previous!$D$3:$AY$3, 0)),SUM(VLOOKUP($A47, LS_previous!$B$4:$AY$138, LS_previous!G$149, FALSE), VLOOKUP('Staging Table'!$A47, LS_previous!$B$4:$AY$138,LS_previous!AE$149, FALSE))/2)</f>
        <v>-1158</v>
      </c>
      <c r="P47" s="227">
        <f t="array" ref="P47">IF($G47=0, INDEX(LS_previous!$D$4:$AY$138, MATCH('Staging Table'!$A47, LS_previous!$B$4:$B$138, 0), MATCH(P$4&amp;P$5, LS_previous!$D$2:$AY$2&amp;LS_previous!$D$3:$AY$3, 0)),SUM(VLOOKUP($A47, LS_previous!$B$4:$AY$138, LS_previous!H$149, FALSE), VLOOKUP('Staging Table'!$A47, LS_previous!$B$4:$AY$138,LS_previous!AF$149, FALSE))/2)</f>
        <v>-1455</v>
      </c>
      <c r="Q47" s="227">
        <f t="array" ref="Q47">IF($G47=0, INDEX(LS_previous!$D$4:$AY$138, MATCH('Staging Table'!$A47, LS_previous!$B$4:$B$138, 0), MATCH(Q$4&amp;Q$5, LS_previous!$D$2:$AY$2&amp;LS_previous!$D$3:$AY$3, 0)),SUM(VLOOKUP($A47, LS_previous!$B$4:$AY$138, LS_previous!I$149, FALSE), VLOOKUP('Staging Table'!$A47, LS_previous!$B$4:$AY$138,LS_previous!AG$149, FALSE))/2)</f>
        <v>-212</v>
      </c>
      <c r="R47" s="227">
        <f t="array" ref="R47">IF($G47=0, INDEX(LS_previous!$D$4:$AY$138, MATCH('Staging Table'!$A47, LS_previous!$B$4:$B$138, 0), MATCH(R$4&amp;R$5, LS_previous!$D$2:$AY$2&amp;LS_previous!$D$3:$AY$3, 0)),SUM(VLOOKUP($A47, LS_previous!$B$4:$AY$138, LS_previous!J$149, FALSE), VLOOKUP('Staging Table'!$A47, LS_previous!$B$4:$AY$138,LS_previous!AH$149, FALSE))/2)</f>
        <v>-811</v>
      </c>
      <c r="S47" s="227">
        <f t="array" ref="S47">IF($G47=0, INDEX(LS_previous!$D$4:$AY$138, MATCH('Staging Table'!$A47, LS_previous!$B$4:$B$138, 0), MATCH(S$4&amp;S$5, LS_previous!$D$2:$AY$2&amp;LS_previous!$D$3:$AY$3, 0)),SUM(VLOOKUP($A47, LS_previous!$B$4:$AY$138, LS_previous!K$149, FALSE), VLOOKUP('Staging Table'!$A47, LS_previous!$B$4:$AY$138,LS_previous!AI$149, FALSE))/2)</f>
        <v>-185</v>
      </c>
      <c r="T47" s="227">
        <f t="array" ref="T47">IF($G47=0, INDEX(LS_previous!$D$4:$AY$138, MATCH('Staging Table'!$A47, LS_previous!$B$4:$B$138, 0), MATCH(T$4&amp;T$5, LS_previous!$D$2:$AY$2&amp;LS_previous!$D$3:$AY$3, 0)),SUM(VLOOKUP($A47, LS_previous!$B$4:$AY$138, LS_previous!L$149, FALSE), VLOOKUP('Staging Table'!$A47, LS_previous!$B$4:$AY$138,LS_previous!AJ$149, FALSE))/2)</f>
        <v>-533</v>
      </c>
      <c r="U47" s="227">
        <f t="array" ref="U47">IF($G47=0, INDEX(LS_previous!$D$4:$AY$138, MATCH('Staging Table'!$A47, LS_previous!$B$4:$B$138, 0), MATCH(U$4&amp;U$5, LS_previous!$D$2:$AY$2&amp;LS_previous!$D$3:$AY$3, 0)),SUM(VLOOKUP($A47, LS_previous!$B$4:$AY$138, LS_previous!M$149, FALSE), VLOOKUP('Staging Table'!$A47, LS_previous!$B$4:$AY$138,LS_previous!AK$149, FALSE))/2)</f>
        <v>-97</v>
      </c>
      <c r="V47" s="227">
        <f t="array" ref="V47">IF($G47=0, INDEX(LS_previous!$D$4:$AY$138, MATCH('Staging Table'!$A47, LS_previous!$B$4:$B$138, 0), MATCH(V$4&amp;V$5, LS_previous!$D$2:$AY$2&amp;LS_previous!$D$3:$AY$3, 0)),SUM(VLOOKUP($A47, LS_previous!$B$4:$AY$138, LS_previous!N$149, FALSE), VLOOKUP('Staging Table'!$A47, LS_previous!$B$4:$AY$138,LS_previous!AL$149, FALSE))/2)</f>
        <v>-1476</v>
      </c>
      <c r="W47" s="227">
        <f t="array" ref="W47">IF($G47=0, INDEX(LS_previous!$D$4:$AY$138, MATCH('Staging Table'!$A47, LS_previous!$B$4:$B$138, 0), MATCH(W$4&amp;W$5, LS_previous!$D$2:$AY$2&amp;LS_previous!$D$3:$AY$3, 0)),SUM(VLOOKUP($A47, LS_previous!$B$4:$AY$138, LS_previous!O$149, FALSE), VLOOKUP('Staging Table'!$A47, LS_previous!$B$4:$AY$138,LS_previous!AM$149, FALSE))/2)</f>
        <v>-432</v>
      </c>
      <c r="X47" s="227">
        <f t="array" ref="X47">IF($G47=0, INDEX(LS_previous!$D$4:$AY$138, MATCH('Staging Table'!$A47, LS_previous!$B$4:$B$138, 0), MATCH(X$4&amp;X$5, LS_previous!$D$2:$AY$2&amp;LS_previous!$D$3:$AY$3, 0)),SUM(VLOOKUP($A47, LS_previous!$B$4:$AY$138, LS_previous!P$149, FALSE), VLOOKUP('Staging Table'!$A47, LS_previous!$B$4:$AY$138,LS_previous!AN$149, FALSE))/2)</f>
        <v>21</v>
      </c>
      <c r="Y47" s="227">
        <f t="array" ref="Y47">IF($G47=0, INDEX(LS_previous!$D$4:$AY$138, MATCH('Staging Table'!$A47, LS_previous!$B$4:$B$138, 0), MATCH(Y$4&amp;Y$5, LS_previous!$D$2:$AY$2&amp;LS_previous!$D$3:$AY$3, 0)),SUM(VLOOKUP($A47, LS_previous!$B$4:$AY$138, LS_previous!Q$149, FALSE), VLOOKUP('Staging Table'!$A47, LS_previous!$B$4:$AY$138,LS_previous!AO$149, FALSE))/2)</f>
        <v>376</v>
      </c>
      <c r="Z47" s="227">
        <f t="array" ref="Z47">IF($G47=0, INDEX(LS_previous!$D$4:$AY$138, MATCH('Staging Table'!$A47, LS_previous!$B$4:$B$138, 0), MATCH(Z$4&amp;Z$5, LS_previous!$D$2:$AY$2&amp;LS_previous!$D$3:$AY$3, 0)),SUM(VLOOKUP($A47, LS_previous!$B$4:$AY$138, LS_previous!R$149, FALSE), VLOOKUP('Staging Table'!$A47, LS_previous!$B$4:$AY$138,LS_previous!AP$149, FALSE))/2)</f>
        <v>-1690</v>
      </c>
      <c r="AA47" s="227">
        <f t="array" ref="AA47">IF($G47=0, INDEX(LS_previous!$D$4:$AY$138, MATCH('Staging Table'!$A47, LS_previous!$B$4:$B$138, 0), MATCH(AA$4&amp;AA$5, LS_previous!$D$2:$AY$2&amp;LS_previous!$D$3:$AY$3, 0)),SUM(VLOOKUP($A47, LS_previous!$B$4:$AY$138, LS_previous!S$149, FALSE), VLOOKUP('Staging Table'!$A47, LS_previous!$B$4:$AY$138,LS_previous!AQ$149, FALSE))/2)</f>
        <v>222</v>
      </c>
      <c r="AB47" s="227">
        <f t="array" ref="AB47">IF($G47=0, INDEX(LS_previous!$D$4:$AY$138, MATCH('Staging Table'!$A47, LS_previous!$B$4:$B$138, 0), MATCH(AB$4&amp;AB$5, LS_previous!$D$2:$AY$2&amp;LS_previous!$D$3:$AY$3, 0)),SUM(VLOOKUP($A47, LS_previous!$B$4:$AY$138, LS_previous!T$149, FALSE), VLOOKUP('Staging Table'!$A47, LS_previous!$B$4:$AY$138,LS_previous!AR$149, FALSE))/2)</f>
        <v>278</v>
      </c>
      <c r="AC47" s="227">
        <f t="array" ref="AC47">IF($G47=0, INDEX(LS_previous!$D$4:$AY$138, MATCH('Staging Table'!$A47, LS_previous!$B$4:$B$138, 0), MATCH(AC$4&amp;AC$5, LS_previous!$D$2:$AY$2&amp;LS_previous!$D$3:$AY$3, 0)),SUM(VLOOKUP($A47, LS_previous!$B$4:$AY$138, LS_previous!U$149, FALSE), VLOOKUP('Staging Table'!$A47, LS_previous!$B$4:$AY$138,LS_previous!AS$149, FALSE))/2)</f>
        <v>834</v>
      </c>
      <c r="AD47" s="227">
        <f t="array" ref="AD47">IF($G47=0, INDEX(LS_previous!$D$4:$AY$138, MATCH('Staging Table'!$A47, LS_previous!$B$4:$B$138, 0), MATCH(AD$4&amp;AD$5, LS_previous!$D$2:$AY$2&amp;LS_previous!$D$3:$AY$3, 0)),SUM(VLOOKUP($A47, LS_previous!$B$4:$AY$138, LS_previous!V$149, FALSE), VLOOKUP('Staging Table'!$A47, LS_previous!$B$4:$AY$138,LS_previous!AT$149, FALSE))/2)</f>
        <v>1133</v>
      </c>
      <c r="AE47" s="227">
        <f t="array" ref="AE47">IF($G47=0, INDEX(LS_previous!$D$4:$AY$138, MATCH('Staging Table'!$A47, LS_previous!$B$4:$B$138, 0), MATCH(AE$4&amp;AE$5, LS_previous!$D$2:$AY$2&amp;LS_previous!$D$3:$AY$3, 0)),SUM(VLOOKUP($A47, LS_previous!$B$4:$AY$138, LS_previous!W$149, FALSE), VLOOKUP('Staging Table'!$A47, LS_previous!$B$4:$AY$138,LS_previous!AU$149, FALSE))/2)</f>
        <v>1397</v>
      </c>
      <c r="AF47" s="227">
        <f t="array" ref="AF47">IF($G47=0, INDEX(LS_previous!$D$4:$AY$138, MATCH('Staging Table'!$A47, LS_previous!$B$4:$B$138, 0), MATCH(AF$4&amp;AF$5, LS_previous!$D$2:$AY$2&amp;LS_previous!$D$3:$AY$3, 0)),SUM(VLOOKUP($A47, LS_previous!$B$4:$AY$138, LS_previous!X$149, FALSE), VLOOKUP('Staging Table'!$A47, LS_previous!$B$4:$AY$138,LS_previous!AV$149, FALSE))/2)</f>
        <v>175</v>
      </c>
      <c r="AG47" s="227">
        <f t="array" ref="AG47">IF($G47=0, INDEX(LS_previous!$D$4:$AY$138, MATCH('Staging Table'!$A47, LS_previous!$B$4:$B$138, 0), MATCH(AG$4&amp;AG$5, LS_previous!$D$2:$AY$2&amp;LS_previous!$D$3:$AY$3, 0)),SUM(VLOOKUP($A47, LS_previous!$B$4:$AY$138, LS_previous!Y$149, FALSE), VLOOKUP('Staging Table'!$A47, LS_previous!$B$4:$AY$138,LS_previous!AW$149, FALSE))/2)</f>
        <v>1195</v>
      </c>
      <c r="AH47" s="227">
        <f t="array" ref="AH47">IF($G47=0, INDEX(LS_previous!$D$4:$AY$138, MATCH('Staging Table'!$A47, LS_previous!$B$4:$B$138, 0), MATCH(AH$4&amp;AH$5, LS_previous!$D$2:$AY$2&amp;LS_previous!$D$3:$AY$3, 0)),SUM(VLOOKUP($A47, LS_previous!$B$4:$AY$138, LS_previous!Z$149, FALSE), VLOOKUP('Staging Table'!$A47, LS_previous!$B$4:$AY$138,LS_previous!AX$149, FALSE))/2)</f>
        <v>-248</v>
      </c>
      <c r="AI47" s="227">
        <f t="array" ref="AI47">IF($G47=0, INDEX(LS_previous!$D$4:$AY$138, MATCH('Staging Table'!$A47, LS_previous!$B$4:$B$138, 0), MATCH(AI$4&amp;AI$5, LS_previous!$D$2:$AY$2&amp;LS_previous!$D$3:$AY$3, 0)),SUM(VLOOKUP($A47, LS_previous!$B$4:$AY$138, LS_previous!AA$149, FALSE), VLOOKUP('Staging Table'!$A47, LS_previous!$B$4:$AY$138,LS_previous!AY$149, FALSE))/2)</f>
        <v>462</v>
      </c>
      <c r="AJ47" s="424">
        <f t="array" ref="AJ47">INDEX(Demand_previous!$D$4:$AY$138, MATCH('Staging Table'!$A47, Demand_previous!$B$4:$B$138, 0), MATCH(AJ$4&amp;AJ$5,Demand_previous!$D$2:$AY$2&amp;Demand_previous!$D$3:$AY$3, 0))/1000</f>
        <v>3.6469999999999998</v>
      </c>
      <c r="AK47" s="424">
        <f t="array" ref="AK47">INDEX(Demand_previous!$D$4:$AY$138, MATCH('Staging Table'!$A47, Demand_previous!$B$4:$B$138, 0), MATCH(AK$4&amp;AK$5,Demand_previous!$D$2:$AY$2&amp;Demand_previous!$D$3:$AY$3, 0))/1000</f>
        <v>2.2250000000000001</v>
      </c>
      <c r="AL47" s="424">
        <f t="array" ref="AL47">INDEX(Demand_previous!$D$4:$AY$138, MATCH('Staging Table'!$A47, Demand_previous!$B$4:$B$138, 0), MATCH(AL$4&amp;AL$5,Demand_previous!$D$2:$AY$2&amp;Demand_previous!$D$3:$AY$3, 0))/1000</f>
        <v>3.8159999999999998</v>
      </c>
      <c r="AM47" s="424">
        <f t="array" ref="AM47">INDEX(Demand_previous!$D$4:$AY$138, MATCH('Staging Table'!$A47, Demand_previous!$B$4:$B$138, 0), MATCH(AM$4&amp;AM$5,Demand_previous!$D$2:$AY$2&amp;Demand_previous!$D$3:$AY$3, 0))/1000</f>
        <v>3.665</v>
      </c>
      <c r="AN47" s="424">
        <f t="array" ref="AN47">INDEX(Demand_previous!$D$4:$AY$138, MATCH('Staging Table'!$A47, Demand_previous!$B$4:$B$138, 0), MATCH(AN$4&amp;AN$5,Demand_previous!$D$2:$AY$2&amp;Demand_previous!$D$3:$AY$3, 0))/1000</f>
        <v>3.4750000000000001</v>
      </c>
      <c r="AO47" s="424">
        <f t="array" ref="AO47">INDEX(Demand_previous!$D$4:$AY$138, MATCH('Staging Table'!$A47, Demand_previous!$B$4:$B$138, 0), MATCH(AO$4&amp;AO$5,Demand_previous!$D$2:$AY$2&amp;Demand_previous!$D$3:$AY$3, 0))/1000</f>
        <v>3.3849999999999998</v>
      </c>
      <c r="AP47" s="424">
        <f t="array" ref="AP47">INDEX(Demand_previous!$D$4:$AY$138, MATCH('Staging Table'!$A47, Demand_previous!$B$4:$B$138, 0), MATCH(AP$4&amp;AP$5,Demand_previous!$D$2:$AY$2&amp;Demand_previous!$D$3:$AY$3, 0))/1000</f>
        <v>2.7749999999999999</v>
      </c>
      <c r="AQ47" s="424">
        <f t="array" ref="AQ47">INDEX(Demand_previous!$D$4:$AY$138, MATCH('Staging Table'!$A47, Demand_previous!$B$4:$B$138, 0), MATCH(AQ$4&amp;AQ$5,Demand_previous!$D$2:$AY$2&amp;Demand_previous!$D$3:$AY$3, 0))/1000</f>
        <v>2.38</v>
      </c>
      <c r="AR47" s="424">
        <f t="array" ref="AR47">INDEX(Demand_previous!$D$4:$AY$138, MATCH('Staging Table'!$A47, Demand_previous!$B$4:$B$138, 0), MATCH(AR$4&amp;AR$5,Demand_previous!$D$2:$AY$2&amp;Demand_previous!$D$3:$AY$3, 0))/1000</f>
        <v>2.7719999999999998</v>
      </c>
      <c r="AS47" s="424">
        <f t="array" ref="AS47">INDEX(Demand_previous!$D$4:$AY$138, MATCH('Staging Table'!$A47, Demand_previous!$B$4:$B$138, 0), MATCH(AS$4&amp;AS$5,Demand_previous!$D$2:$AY$2&amp;Demand_previous!$D$3:$AY$3, 0))/1000</f>
        <v>2.819</v>
      </c>
      <c r="AT47" s="424">
        <f t="array" ref="AT47">INDEX(Demand_previous!$D$4:$AY$138, MATCH('Staging Table'!$A47, Demand_previous!$B$4:$B$138, 0), MATCH(AT$4&amp;AT$5,Demand_previous!$D$2:$AY$2&amp;Demand_previous!$D$3:$AY$3, 0))/1000</f>
        <v>4.3460000000000001</v>
      </c>
      <c r="AU47" s="424">
        <f t="array" ref="AU47">INDEX(Demand_previous!$D$4:$AY$138, MATCH('Staging Table'!$A47, Demand_previous!$B$4:$B$138, 0), MATCH(AU$4&amp;AU$5,Demand_previous!$D$2:$AY$2&amp;Demand_previous!$D$3:$AY$3, 0))/1000</f>
        <v>3.5550000000000002</v>
      </c>
      <c r="AV47" s="227">
        <f>$F47*(VLOOKUP(AV$4, Rates_previous!$G$6:$Q$29, 10, FALSE)+VLOOKUP(AV$4, Rates_previous!$G$6:$Q$29, 11, FALSE))</f>
        <v>8050.7344380227705</v>
      </c>
      <c r="AW47" s="227">
        <f>$F47*(VLOOKUP(AW$4, Rates_previous!$G$6:$Q$29, 10, FALSE)+VLOOKUP(AW$4, Rates_previous!$G$6:$Q$29, 11, FALSE))</f>
        <v>9950.0958771516252</v>
      </c>
      <c r="AX47" s="227">
        <f>$F47*(VLOOKUP(AX$4, Rates_previous!$G$6:$Q$29, 10, FALSE)+VLOOKUP(AX$4, Rates_previous!$G$6:$Q$29, 11, FALSE))</f>
        <v>9830.6071265565424</v>
      </c>
      <c r="AY47" s="227">
        <f>$F47*(VLOOKUP(AY$4, Rates_previous!$G$6:$Q$29, 10, FALSE)+VLOOKUP(AY$4, Rates_previous!$G$6:$Q$29, 11, FALSE))</f>
        <v>8399.316778029719</v>
      </c>
      <c r="AZ47" s="227">
        <f>$F47*(VLOOKUP(AZ$4, Rates_previous!$G$6:$Q$29, 10, FALSE)+VLOOKUP(AZ$4, Rates_previous!$G$6:$Q$29, 11, FALSE))</f>
        <v>6885.8105328672264</v>
      </c>
      <c r="BA47" s="227">
        <f>$F47*(VLOOKUP(BA$4, Rates_previous!$G$6:$Q$29, 10, FALSE)+VLOOKUP(BA$4, Rates_previous!$G$6:$Q$29, 11, FALSE))</f>
        <v>8152.5495550640771</v>
      </c>
      <c r="BB47" s="227">
        <f>$F47*(VLOOKUP(BB$4, Rates_previous!$G$6:$Q$29, 10, FALSE)+VLOOKUP(BB$4, Rates_previous!$G$6:$Q$29, 11, FALSE))</f>
        <v>7835.7859830974076</v>
      </c>
      <c r="BC47" s="227">
        <f>$F47*(VLOOKUP(BC$4, Rates_previous!$G$6:$Q$29, 10, FALSE)+VLOOKUP(BC$4, Rates_previous!$G$6:$Q$29, 11, FALSE))</f>
        <v>11498.461448450355</v>
      </c>
      <c r="BD47" s="227">
        <f>$F47*(VLOOKUP(BD$4, Rates_previous!$G$6:$Q$29, 10, FALSE)+VLOOKUP(BD$4, Rates_previous!$G$6:$Q$29, 11, FALSE))</f>
        <v>9071.9821747867572</v>
      </c>
      <c r="BE47" s="227">
        <f>$F47*(VLOOKUP(BE$4, Rates_previous!$G$6:$Q$29, 10, FALSE)+VLOOKUP(BE$4, Rates_previous!$G$6:$Q$29, 11, FALSE))</f>
        <v>7965.9618110971142</v>
      </c>
      <c r="BF47" s="227">
        <f>$F47*(VLOOKUP(BF$4, Rates_previous!$G$6:$Q$29, 10, FALSE)+VLOOKUP(BF$4, Rates_previous!$G$6:$Q$29, 11, FALSE))</f>
        <v>8822.6215650216909</v>
      </c>
      <c r="BG47" s="227">
        <f>$F47*(VLOOKUP(BG$4, Rates_previous!$G$6:$Q$29, 10, FALSE)+VLOOKUP(BG$4, Rates_previous!$G$6:$Q$29, 11, FALSE))</f>
        <v>7992.944284239341</v>
      </c>
      <c r="BH47" s="229">
        <f>IF($D47=0,IF(C47=0, MAX(BK47 - (VLOOKUP($A47,TOCA_previous!$A$2:$AI$137,MATCH("RHWM 2018",TOCA_previous!$A$2:$AI$2,0),FALSE)*$F$2*TOCA_previous!C44),0),0), 0)</f>
        <v>0</v>
      </c>
      <c r="BI47" s="266">
        <f>VLOOKUP($A47,REP_previous!$A$1:$D$135,MATCH("FY "&amp;$F$1&amp; " Total Refund",REP_previous!$A$1:$D$1,0),0)</f>
        <v>68108.813897606262</v>
      </c>
      <c r="BJ47" s="241">
        <f>MIN(VLOOKUP($A47,TOCA_previous!$A$2:$AI$137,MATCH("TRL - NLSL - Existing Resource "&amp;$F$1,TOCA_previous!$A$2:$AI$2,0),FALSE)*$F$2,(VLOOKUP($A47,TOCA_previous!$A$2:$AI$137,MATCH("RHWM 2018",TOCA_previous!$A$2:$AI$2,0),FALSE)*$F$2))</f>
        <v>104454.23999999999</v>
      </c>
      <c r="BK47" s="229">
        <f>SUM(L47:AI47)+(F47*RT1SC!$C$3*$F$2)</f>
        <v>98071.873098319993</v>
      </c>
      <c r="BL47" s="241">
        <f>VLOOKUP($A47,TOCA_previous!$A$2:$AI$137,MATCH("Above RHWM Not Served with LS "&amp;$F$1,TOCA_previous!$A$2:$AI$2,0),FALSE)*$F$2</f>
        <v>19587.36</v>
      </c>
      <c r="BM47" s="151">
        <f t="shared" si="5"/>
        <v>-6382.3669016799977</v>
      </c>
      <c r="BN47" s="242">
        <f>(VLOOKUP($A47,TOCA_previous!$A$2:$AI$137,MATCH("RHWM 2018",TOCA_previous!$A$2:$AI$2,0),FALSE)*$F$2) - $BJ47</f>
        <v>0</v>
      </c>
      <c r="BO47" s="151">
        <f t="shared" si="6"/>
        <v>0</v>
      </c>
      <c r="BP47" s="243">
        <f t="shared" si="7"/>
        <v>0</v>
      </c>
      <c r="BQ47" s="237">
        <f t="shared" si="8"/>
        <v>0</v>
      </c>
      <c r="BR47" s="242">
        <f t="shared" si="9"/>
        <v>0</v>
      </c>
      <c r="BS47" s="151">
        <f>VLOOKUP($A47,TOCA_current!$A$2:$AI$137,MATCH(BS$4,TOCA_current!$A$2:$AI$2,0),FALSE)</f>
        <v>1.7160000000000001E-3</v>
      </c>
      <c r="BT47" s="151">
        <f>VLOOKUP($A47,TOCA_current!$A$2:$AI$137,MATCH(BT$4,TOCA_current!$A$2:$AI$2,0),FALSE)</f>
        <v>1.7160000000000001E-3</v>
      </c>
      <c r="BU47" s="236">
        <f t="shared" si="10"/>
        <v>0</v>
      </c>
      <c r="BV47" s="151">
        <f>VLOOKUP($A47,TOCA_current!A43:BG178,MATCH(BV$4,TOCA_current!$A$2:$BG$2,0),FALSE)</f>
        <v>7.9256699999999999E-2</v>
      </c>
      <c r="BW47" s="151">
        <f t="shared" si="11"/>
        <v>0</v>
      </c>
      <c r="BX47" s="151">
        <f t="shared" si="12"/>
        <v>0</v>
      </c>
      <c r="BY47" s="226">
        <f>VLOOKUP($A47,IRD!$A$4:$G$139, 7, FALSE)</f>
        <v>21100.335000000003</v>
      </c>
      <c r="BZ47" s="227">
        <f t="array" ref="BZ47">IF($BU47=0, INDEX(LS_current!$D$4:$AY$138, MATCH('Staging Table'!$A47, LS_current!$B$4:$B$138, 0), MATCH(BZ$4&amp;BZ$5, LS_current!$D$2:$AY$2&amp;LS_current!$D$3:$AY$3, 0)),SUM(VLOOKUP($A47, LS_current!$B$4:$AY$138, LS_current!D$148, FALSE), VLOOKUP($A47, LS_current!$B$4:$AY$138,LS_current!D$148, FALSE))/2)</f>
        <v>-873</v>
      </c>
      <c r="CA47" s="227">
        <f t="array" ref="CA47">IF($BU47=0, INDEX(LS_current!$D$4:$AY$138, MATCH('Staging Table'!$A47, LS_current!$B$4:$B$138, 0), MATCH(CA$4&amp;CA$5, LS_current!$D$2:$AY$2&amp;LS_current!$D$3:$AY$3, 0)),SUM(VLOOKUP($A47, LS_current!$B$4:$AY$138, LS_current!E$148, FALSE), VLOOKUP($A47, LS_current!$B$4:$AY$138,LS_current!E$148, FALSE))/2)</f>
        <v>-106</v>
      </c>
      <c r="CB47" s="227">
        <f t="array" ref="CB47">IF($BU47=0, INDEX(LS_current!$D$4:$AY$138, MATCH('Staging Table'!$A47, LS_current!$B$4:$B$138, 0), MATCH(CB$4&amp;CB$5, LS_current!$D$2:$AY$2&amp;LS_current!$D$3:$AY$3, 0)),SUM(VLOOKUP($A47, LS_current!$B$4:$AY$138, LS_current!F$148, FALSE), VLOOKUP($A47, LS_current!$B$4:$AY$138,LS_current!F$148, FALSE))/2)</f>
        <v>-2380</v>
      </c>
      <c r="CC47" s="227">
        <f t="array" ref="CC47">IF($BU47=0, INDEX(LS_current!$D$4:$AY$138, MATCH('Staging Table'!$A47, LS_current!$B$4:$B$138, 0), MATCH(CC$4&amp;CC$5, LS_current!$D$2:$AY$2&amp;LS_current!$D$3:$AY$3, 0)),SUM(VLOOKUP($A47, LS_current!$B$4:$AY$138, LS_current!G$148, FALSE), VLOOKUP($A47, LS_current!$B$4:$AY$138,LS_current!G$148, FALSE))/2)</f>
        <v>-1027</v>
      </c>
      <c r="CD47" s="227">
        <f t="array" ref="CD47">IF($BU47=0, INDEX(LS_current!$D$4:$AY$138, MATCH('Staging Table'!$A47, LS_current!$B$4:$B$138, 0), MATCH(CD$4&amp;CD$5, LS_current!$D$2:$AY$2&amp;LS_current!$D$3:$AY$3, 0)),SUM(VLOOKUP($A47, LS_current!$B$4:$AY$138, LS_current!H$148, FALSE), VLOOKUP($A47, LS_current!$B$4:$AY$138,LS_current!H$148, FALSE))/2)</f>
        <v>-1250</v>
      </c>
      <c r="CE47" s="227">
        <f t="array" ref="CE47">IF($BU47=0, INDEX(LS_current!$D$4:$AY$138, MATCH('Staging Table'!$A47, LS_current!$B$4:$B$138, 0), MATCH(CE$4&amp;CE$5, LS_current!$D$2:$AY$2&amp;LS_current!$D$3:$AY$3, 0)),SUM(VLOOKUP($A47, LS_current!$B$4:$AY$138, LS_current!I$148, FALSE), VLOOKUP($A47, LS_current!$B$4:$AY$138,LS_current!I$148, FALSE))/2)</f>
        <v>-53</v>
      </c>
      <c r="CF47" s="227">
        <f t="array" ref="CF47">IF($BU47=0, INDEX(LS_current!$D$4:$AY$138, MATCH('Staging Table'!$A47, LS_current!$B$4:$B$138, 0), MATCH(CF$4&amp;CF$5, LS_current!$D$2:$AY$2&amp;LS_current!$D$3:$AY$3, 0)),SUM(VLOOKUP($A47, LS_current!$B$4:$AY$138, LS_current!J$148, FALSE), VLOOKUP($A47, LS_current!$B$4:$AY$138,LS_current!J$148, FALSE))/2)</f>
        <v>-564</v>
      </c>
      <c r="CG47" s="227">
        <f t="array" ref="CG47">IF($BU47=0, INDEX(LS_current!$D$4:$AY$138, MATCH('Staging Table'!$A47, LS_current!$B$4:$B$138, 0), MATCH(CG$4&amp;CG$5, LS_current!$D$2:$AY$2&amp;LS_current!$D$3:$AY$3, 0)),SUM(VLOOKUP($A47, LS_current!$B$4:$AY$138, LS_current!K$148, FALSE), VLOOKUP($A47, LS_current!$B$4:$AY$138,LS_current!K$148, FALSE))/2)</f>
        <v>156</v>
      </c>
      <c r="CH47" s="227">
        <f t="array" ref="CH47">IF($BU47=0, INDEX(LS_current!$D$4:$AY$138, MATCH('Staging Table'!$A47, LS_current!$B$4:$B$138, 0), MATCH(CH$4&amp;CH$5, LS_current!$D$2:$AY$2&amp;LS_current!$D$3:$AY$3, 0)),SUM(VLOOKUP($A47, LS_current!$B$4:$AY$138, LS_current!L$148, FALSE), VLOOKUP($A47, LS_current!$B$4:$AY$138,LS_current!L$148, FALSE))/2)</f>
        <v>-699</v>
      </c>
      <c r="CI47" s="227">
        <f t="array" ref="CI47">IF($BU47=0, INDEX(LS_current!$D$4:$AY$138, MATCH('Staging Table'!$A47, LS_current!$B$4:$B$138, 0), MATCH(CI$4&amp;CI$5, LS_current!$D$2:$AY$2&amp;LS_current!$D$3:$AY$3, 0)),SUM(VLOOKUP($A47, LS_current!$B$4:$AY$138, LS_current!M$148, FALSE), VLOOKUP($A47, LS_current!$B$4:$AY$138,LS_current!M$148, FALSE))/2)</f>
        <v>-160</v>
      </c>
      <c r="CJ47" s="227">
        <f t="array" ref="CJ47">IF($BU47=0, INDEX(LS_current!$D$4:$AY$138, MATCH('Staging Table'!$A47, LS_current!$B$4:$B$138, 0), MATCH(CJ$4&amp;CJ$5, LS_current!$D$2:$AY$2&amp;LS_current!$D$3:$AY$3, 0)),SUM(VLOOKUP($A47, LS_current!$B$4:$AY$138, LS_current!N$148, FALSE), VLOOKUP($A47, LS_current!$B$4:$AY$138,LS_current!N$148, FALSE))/2)</f>
        <v>-1328</v>
      </c>
      <c r="CK47" s="227">
        <f t="array" ref="CK47">IF($BU47=0, INDEX(LS_current!$D$4:$AY$138, MATCH('Staging Table'!$A47, LS_current!$B$4:$B$138, 0), MATCH(CK$4&amp;CK$5, LS_current!$D$2:$AY$2&amp;LS_current!$D$3:$AY$3, 0)),SUM(VLOOKUP($A47, LS_current!$B$4:$AY$138, LS_current!O$148, FALSE), VLOOKUP($A47, LS_current!$B$4:$AY$138,LS_current!O$148, FALSE))/2)</f>
        <v>-302</v>
      </c>
      <c r="CL47" s="227">
        <f t="array" ref="CL47">IF($BU47=0, INDEX(LS_current!$D$4:$AY$138, MATCH('Staging Table'!$A47, LS_current!$B$4:$B$138, 0), MATCH(CL$4&amp;CL$5, LS_current!$D$2:$AY$2&amp;LS_current!$D$3:$AY$3, 0)),SUM(VLOOKUP($A47, LS_current!$B$4:$AY$138, LS_current!P$148, FALSE), VLOOKUP($A47, LS_current!$B$4:$AY$138,LS_current!P$148, FALSE))/2)</f>
        <v>1013</v>
      </c>
      <c r="CM47" s="227">
        <f t="array" ref="CM47">IF($BU47=0, INDEX(LS_current!$D$4:$AY$138, MATCH('Staging Table'!$A47, LS_current!$B$4:$B$138, 0), MATCH(CM$4&amp;CM$5, LS_current!$D$2:$AY$2&amp;LS_current!$D$3:$AY$3, 0)),SUM(VLOOKUP($A47, LS_current!$B$4:$AY$138, LS_current!Q$148, FALSE), VLOOKUP($A47, LS_current!$B$4:$AY$138,LS_current!Q$148, FALSE))/2)</f>
        <v>883</v>
      </c>
      <c r="CN47" s="227">
        <f t="array" ref="CN47">IF($BU47=0, INDEX(LS_current!$D$4:$AY$138, MATCH('Staging Table'!$A47, LS_current!$B$4:$B$138, 0), MATCH(CN$4&amp;CN$5, LS_current!$D$2:$AY$2&amp;LS_current!$D$3:$AY$3, 0)),SUM(VLOOKUP($A47, LS_current!$B$4:$AY$138, LS_current!R$148, FALSE), VLOOKUP($A47, LS_current!$B$4:$AY$138,LS_current!R$148, FALSE))/2)</f>
        <v>-20</v>
      </c>
      <c r="CO47" s="227">
        <f t="array" ref="CO47">IF($BU47=0, INDEX(LS_current!$D$4:$AY$138, MATCH('Staging Table'!$A47, LS_current!$B$4:$B$138, 0), MATCH(CO$4&amp;CO$5, LS_current!$D$2:$AY$2&amp;LS_current!$D$3:$AY$3, 0)),SUM(VLOOKUP($A47, LS_current!$B$4:$AY$138, LS_current!S$148, FALSE), VLOOKUP($A47, LS_current!$B$4:$AY$138,LS_current!S$148, FALSE))/2)</f>
        <v>1357</v>
      </c>
      <c r="CP47" s="227">
        <f t="array" ref="CP47">IF($BU47=0, INDEX(LS_current!$D$4:$AY$138, MATCH('Staging Table'!$A47, LS_current!$B$4:$B$138, 0), MATCH(CP$4&amp;CP$5, LS_current!$D$2:$AY$2&amp;LS_current!$D$3:$AY$3, 0)),SUM(VLOOKUP($A47, LS_current!$B$4:$AY$138, LS_current!T$148, FALSE), VLOOKUP($A47, LS_current!$B$4:$AY$138,LS_current!T$148, FALSE))/2)</f>
        <v>-1114</v>
      </c>
      <c r="CQ47" s="227">
        <f t="array" ref="CQ47">IF($BU47=0, INDEX(LS_current!$D$4:$AY$138, MATCH('Staging Table'!$A47, LS_current!$B$4:$B$138, 0), MATCH(CQ$4&amp;CQ$5, LS_current!$D$2:$AY$2&amp;LS_current!$D$3:$AY$3, 0)),SUM(VLOOKUP($A47, LS_current!$B$4:$AY$138, LS_current!U$148, FALSE), VLOOKUP($A47, LS_current!$B$4:$AY$138,LS_current!U$148, FALSE))/2)</f>
        <v>59</v>
      </c>
      <c r="CR47" s="227">
        <f t="array" ref="CR47">IF($BU47=0, INDEX(LS_current!$D$4:$AY$138, MATCH('Staging Table'!$A47, LS_current!$B$4:$B$138, 0), MATCH(CR$4&amp;CR$5, LS_current!$D$2:$AY$2&amp;LS_current!$D$3:$AY$3, 0)),SUM(VLOOKUP($A47, LS_current!$B$4:$AY$138, LS_current!V$148, FALSE), VLOOKUP($A47, LS_current!$B$4:$AY$138,LS_current!V$148, FALSE))/2)</f>
        <v>256</v>
      </c>
      <c r="CS47" s="227">
        <f t="array" ref="CS47">IF($BU47=0, INDEX(LS_current!$D$4:$AY$138, MATCH('Staging Table'!$A47, LS_current!$B$4:$B$138, 0), MATCH(CS$4&amp;CS$5, LS_current!$D$2:$AY$2&amp;LS_current!$D$3:$AY$3, 0)),SUM(VLOOKUP($A47, LS_current!$B$4:$AY$138, LS_current!W$148, FALSE), VLOOKUP($A47, LS_current!$B$4:$AY$138,LS_current!W$148, FALSE))/2)</f>
        <v>1543</v>
      </c>
      <c r="CT47" s="227">
        <f t="array" ref="CT47">IF($BU47=0, INDEX(LS_current!$D$4:$AY$138, MATCH('Staging Table'!$A47, LS_current!$B$4:$B$138, 0), MATCH(CT$4&amp;CT$5, LS_current!$D$2:$AY$2&amp;LS_current!$D$3:$AY$3, 0)),SUM(VLOOKUP($A47, LS_current!$B$4:$AY$138, LS_current!X$148, FALSE), VLOOKUP($A47, LS_current!$B$4:$AY$138,LS_current!X$148, FALSE))/2)</f>
        <v>258</v>
      </c>
      <c r="CU47" s="227">
        <f t="array" ref="CU47">IF($BU47=0, INDEX(LS_current!$D$4:$AY$138, MATCH('Staging Table'!$A47, LS_current!$B$4:$B$138, 0), MATCH(CU$4&amp;CU$5, LS_current!$D$2:$AY$2&amp;LS_current!$D$3:$AY$3, 0)),SUM(VLOOKUP($A47, LS_current!$B$4:$AY$138, LS_current!Y$148, FALSE), VLOOKUP($A47, LS_current!$B$4:$AY$138,LS_current!Y$148, FALSE))/2)</f>
        <v>1479</v>
      </c>
      <c r="CV47" s="227">
        <f t="array" ref="CV47">IF($BU47=0, INDEX(LS_current!$D$4:$AY$138, MATCH('Staging Table'!$A47, LS_current!$B$4:$B$138, 0), MATCH(CV$4&amp;CV$5, LS_current!$D$2:$AY$2&amp;LS_current!$D$3:$AY$3, 0)),SUM(VLOOKUP($A47, LS_current!$B$4:$AY$138, LS_current!Z$148, FALSE), VLOOKUP($A47, LS_current!$B$4:$AY$138,LS_current!Z$148, FALSE))/2)</f>
        <v>-54</v>
      </c>
      <c r="CW47" s="227">
        <f t="array" ref="CW47">IF($BU47=0, INDEX(LS_current!$D$4:$AY$138, MATCH('Staging Table'!$A47, LS_current!$B$4:$B$138, 0), MATCH(CW$4&amp;CW$5, LS_current!$D$2:$AY$2&amp;LS_current!$D$3:$AY$3, 0)),SUM(VLOOKUP($A47, LS_current!$B$4:$AY$138, LS_current!AA$148, FALSE), VLOOKUP($A47, LS_current!$B$4:$AY$138,LS_current!AA$148, FALSE))/2)</f>
        <v>703</v>
      </c>
      <c r="CX47" s="229">
        <f t="array" ref="CX47">INDEX(Demand_current!$D$4:$AY$138, MATCH($A47, Demand_current!$B$4:$B$138, 0), MATCH(CX$4&amp;CX$5,Demand_current!$D$2:$AY$2&amp;Demand_current!$D$3:$AY$3, 0))/1000</f>
        <v>4.0910000000000002</v>
      </c>
      <c r="CY47" s="229">
        <f t="array" ref="CY47">INDEX(Demand_current!$D$4:$AY$138, MATCH($A47, Demand_current!$B$4:$B$138, 0), MATCH(CY$4&amp;CY$5,Demand_current!$D$2:$AY$2&amp;Demand_current!$D$3:$AY$3, 0))/1000</f>
        <v>2.2250000000000001</v>
      </c>
      <c r="CZ47" s="229">
        <f t="array" ref="CZ47">INDEX(Demand_current!$D$4:$AY$138, MATCH($A47, Demand_current!$B$4:$B$138, 0), MATCH(CZ$4&amp;CZ$5,Demand_current!$D$2:$AY$2&amp;Demand_current!$D$3:$AY$3, 0))/1000</f>
        <v>3.8159999999999998</v>
      </c>
      <c r="DA47" s="229">
        <f t="array" ref="DA47">INDEX(Demand_current!$D$4:$AY$138, MATCH($A47, Demand_current!$B$4:$B$138, 0), MATCH(DA$4&amp;DA$5,Demand_current!$D$2:$AY$2&amp;Demand_current!$D$3:$AY$3, 0))/1000</f>
        <v>3.665</v>
      </c>
      <c r="DB47" s="229">
        <f t="array" ref="DB47">INDEX(Demand_current!$D$4:$AY$138, MATCH($A47, Demand_current!$B$4:$B$138, 0), MATCH(DB$4&amp;DB$5,Demand_current!$D$2:$AY$2&amp;Demand_current!$D$3:$AY$3, 0))/1000</f>
        <v>3.9620000000000002</v>
      </c>
      <c r="DC47" s="229">
        <f t="array" ref="DC47">INDEX(Demand_current!$D$4:$AY$138, MATCH($A47, Demand_current!$B$4:$B$138, 0), MATCH(DC$4&amp;DC$5,Demand_current!$D$2:$AY$2&amp;Demand_current!$D$3:$AY$3, 0))/1000</f>
        <v>2.972</v>
      </c>
      <c r="DD47" s="229">
        <f t="array" ref="DD47">INDEX(Demand_current!$D$4:$AY$138, MATCH($A47, Demand_current!$B$4:$B$138, 0), MATCH(DD$4&amp;DD$5,Demand_current!$D$2:$AY$2&amp;Demand_current!$D$3:$AY$3, 0))/1000</f>
        <v>3.3479999999999999</v>
      </c>
      <c r="DE47" s="229">
        <f t="array" ref="DE47">INDEX(Demand_current!$D$4:$AY$138, MATCH($A47, Demand_current!$B$4:$B$138, 0), MATCH(DE$4&amp;DE$5,Demand_current!$D$2:$AY$2&amp;Demand_current!$D$3:$AY$3, 0))/1000</f>
        <v>1.748</v>
      </c>
      <c r="DF47" s="229">
        <f t="array" ref="DF47">INDEX(Demand_current!$D$4:$AY$138, MATCH($A47, Demand_current!$B$4:$B$138, 0), MATCH(DF$4&amp;DF$5,Demand_current!$D$2:$AY$2&amp;Demand_current!$D$3:$AY$3, 0))/1000</f>
        <v>2.7719999999999998</v>
      </c>
      <c r="DG47" s="229">
        <f t="array" ref="DG47">INDEX(Demand_current!$D$4:$AY$138, MATCH($A47, Demand_current!$B$4:$B$138, 0), MATCH(DG$4&amp;DG$5,Demand_current!$D$2:$AY$2&amp;Demand_current!$D$3:$AY$3, 0))/1000</f>
        <v>3.5139999999999998</v>
      </c>
      <c r="DH47" s="229">
        <f t="array" ref="DH47">INDEX(Demand_current!$D$4:$AY$138, MATCH($A47, Demand_current!$B$4:$B$138, 0), MATCH(DH$4&amp;DH$5,Demand_current!$D$2:$AY$2&amp;Demand_current!$D$3:$AY$3, 0))/1000</f>
        <v>3.718</v>
      </c>
      <c r="DI47" s="229">
        <f t="array" ref="DI47">INDEX(Demand_current!$D$4:$AY$138, MATCH($A47, Demand_current!$B$4:$B$138, 0), MATCH(DI$4&amp;DI$5,Demand_current!$D$2:$AY$2&amp;Demand_current!$D$3:$AY$3, 0))/1000</f>
        <v>4.1509999999999998</v>
      </c>
      <c r="DJ47" s="227">
        <f>$BT47*(VLOOKUP(DJ$4, Rates_current!$G$6:$Q$29, 10, FALSE)+VLOOKUP(DJ$4, Rates_current!$G$6:$Q$29, 11, FALSE))</f>
        <v>7923.3163083359996</v>
      </c>
      <c r="DK47" s="227">
        <f>$BT47*(VLOOKUP(DK$4, Rates_current!$G$6:$Q$29, 10, FALSE)+VLOOKUP(DK$4, Rates_current!$G$6:$Q$29, 11, FALSE))</f>
        <v>10065.083438124</v>
      </c>
      <c r="DL47" s="227">
        <f>$BT47*(VLOOKUP(DL$4, Rates_current!$G$6:$Q$29, 10, FALSE)+VLOOKUP(DL$4, Rates_current!$G$6:$Q$29, 11, FALSE))</f>
        <v>9943.5339363360017</v>
      </c>
      <c r="DM47" s="227">
        <f>$BT47*(VLOOKUP(DM$4, Rates_current!$G$6:$Q$29, 10, FALSE)+VLOOKUP(DM$4, Rates_current!$G$6:$Q$29, 11, FALSE))</f>
        <v>8288.5411683360016</v>
      </c>
      <c r="DN47" s="227">
        <f>$BT47*(VLOOKUP(DN$4, Rates_current!$G$6:$Q$29, 10, FALSE)+VLOOKUP(DN$4, Rates_current!$G$6:$Q$29, 11, FALSE))</f>
        <v>7508.5584288</v>
      </c>
      <c r="DO47" s="227">
        <f>$BT47*(VLOOKUP(DO$4, Rates_current!$G$6:$Q$29, 10, FALSE)+VLOOKUP(DO$4, Rates_current!$G$6:$Q$29, 11, FALSE))</f>
        <v>8351.902307892</v>
      </c>
      <c r="DP47" s="227">
        <f>$BT47*(VLOOKUP(DP$4, Rates_current!$G$6:$Q$29, 10, FALSE)+VLOOKUP(DP$4, Rates_current!$G$6:$Q$29, 11, FALSE))</f>
        <v>6800.1278716800007</v>
      </c>
      <c r="DQ47" s="227">
        <f>$BT47*(VLOOKUP(DQ$4, Rates_current!$G$6:$Q$29, 10, FALSE)+VLOOKUP(DQ$4, Rates_current!$G$6:$Q$29, 11, FALSE))</f>
        <v>9170.9864463360009</v>
      </c>
      <c r="DR47" s="227">
        <f>$BT47*(VLOOKUP(DR$4, Rates_current!$G$6:$Q$29, 10, FALSE)+VLOOKUP(DR$4, Rates_current!$G$6:$Q$29, 11, FALSE))</f>
        <v>11701.554973680002</v>
      </c>
      <c r="DS47" s="227">
        <f>$BT47*(VLOOKUP(DS$4, Rates_current!$G$6:$Q$29, 10, FALSE)+VLOOKUP(DS$4, Rates_current!$G$6:$Q$29, 11, FALSE))</f>
        <v>9174.3901323360005</v>
      </c>
      <c r="DT47" s="227">
        <f>$BT47*(VLOOKUP(DT$4, Rates_current!$G$6:$Q$29, 10, FALSE)+VLOOKUP(DT$4, Rates_current!$G$6:$Q$29, 11, FALSE))</f>
        <v>8934.0291543360017</v>
      </c>
      <c r="DU47" s="227">
        <f>$BT47*(VLOOKUP(DU$4, Rates_current!$G$6:$Q$29, 10, FALSE)+VLOOKUP(DU$4, Rates_current!$G$6:$Q$29, 11, FALSE))</f>
        <v>8020.8576676800012</v>
      </c>
      <c r="DV47" s="229">
        <f>IF(D47=0,IF(C47=0,MAX(0,DY47 - (VLOOKUP($A47,TOCA_current!$A$2:$AI$137,MATCH("RHWM 2020",TOCA_current!$A$2:$AI$2,0),FALSE)*$BT$2)), 0),0)</f>
        <v>0</v>
      </c>
      <c r="DW47" s="266">
        <f>VLOOKUP($A47,REP_current!$A$1:$D$135,MATCH("FY "&amp;$BT$1&amp; " Total Refund",REP_current!$A$1:$D$1,0),0)</f>
        <v>0</v>
      </c>
      <c r="DX47" s="295">
        <f>MIN(VLOOKUP($A47,TOCA_current!$A$2:$AI$137,MATCH("TRL - NLSL - Existing Resource "&amp;$BT$1,TOCA_current!$A$2:$AI$2,0),FALSE)*$BT$2, VLOOKUP($A47,TOCA_current!$A$2:$AI$137,MATCH("RHWM 2020",TOCA_current!$A$2:$AI$2,0),FALSE)*$BT$2)</f>
        <v>105882.336</v>
      </c>
      <c r="DY47" s="240">
        <f>SUM(BZ47:CW47)+(BT47*RT1SC!$C$4*$BT$2)</f>
        <v>103659.88580812799</v>
      </c>
      <c r="DZ47" s="271">
        <f>VLOOKUP($A47,TOCA_current!$A$2:$AI$137,MATCH("Above RHWM Not Served with LS "&amp;$BT$1,TOCA_current!$A$2:$AI$2,0),FALSE)*$BT$2</f>
        <v>14001.696</v>
      </c>
      <c r="EA47" s="244">
        <f t="shared" si="13"/>
        <v>-2222.4501918720052</v>
      </c>
      <c r="EB47" s="295">
        <f>(VLOOKUP($A47,TOCA_current!$A$2:$AI$137,MATCH("RHWM 2020",TOCA_current!$A$2:$AI$2,0),FALSE)*$BT$2) - $DX47</f>
        <v>0</v>
      </c>
      <c r="EC47" s="240">
        <f t="shared" si="14"/>
        <v>0</v>
      </c>
      <c r="ED47" s="240">
        <f t="shared" si="15"/>
        <v>0</v>
      </c>
      <c r="EE47" s="240">
        <f t="shared" si="16"/>
        <v>0</v>
      </c>
      <c r="EF47" s="240">
        <f t="shared" si="17"/>
        <v>0</v>
      </c>
    </row>
    <row r="48" spans="1:136">
      <c r="A48" s="166">
        <v>10111</v>
      </c>
      <c r="B48" s="167" t="s">
        <v>49</v>
      </c>
      <c r="C48" s="240">
        <v>0</v>
      </c>
      <c r="D48" s="240">
        <v>0</v>
      </c>
      <c r="E48" s="150">
        <f>VLOOKUP($A48,TOCA_previous!$A$2:$AI$137,MATCH(E$4,TOCA_previous!$A$2:$AI$2,0),FALSE)</f>
        <v>4.2480000000000003E-4</v>
      </c>
      <c r="F48" s="151">
        <f>VLOOKUP($A48,TOCA_previous!$A$2:$AI$137,MATCH(F$4,TOCA_previous!$A$2:$AI$2,0),FALSE)</f>
        <v>4.2480000000000003E-4</v>
      </c>
      <c r="G48" s="151">
        <f t="shared" si="2"/>
        <v>0</v>
      </c>
      <c r="H48" s="151">
        <f>VLOOKUP($A48,TOCA_previous!$A$2:$AI$137,MATCH(H$4,TOCA_previous!$A$2:$AI$2,0),FALSE)</f>
        <v>7.0000000000000007E-2</v>
      </c>
      <c r="I48" s="151">
        <f t="shared" si="3"/>
        <v>0</v>
      </c>
      <c r="J48" s="151">
        <f t="shared" si="4"/>
        <v>0</v>
      </c>
      <c r="K48" s="226">
        <f>VLOOKUP(A48, IRD!$A$5:$C$139, 3, FALSE)</f>
        <v>5227.6489999999994</v>
      </c>
      <c r="L48" s="227">
        <f t="array" ref="L48">IF($G48=0, INDEX(LS_previous!$D$4:$AY$138, MATCH('Staging Table'!$A48, LS_previous!$B$4:$B$138, 0), MATCH(L$4&amp;L$5, LS_previous!$D$2:$AY$2&amp;LS_previous!$D$3:$AY$3, 0)),SUM(VLOOKUP($A48, LS_previous!$B$4:$AY$138, LS_previous!D$149, FALSE), VLOOKUP('Staging Table'!$A48, LS_previous!$B$4:$AY$138,LS_previous!AB$149, FALSE))/2)</f>
        <v>-328</v>
      </c>
      <c r="M48" s="227">
        <f t="array" ref="M48">IF($G48=0, INDEX(LS_previous!$D$4:$AY$138, MATCH('Staging Table'!$A48, LS_previous!$B$4:$B$138, 0), MATCH(M$4&amp;M$5, LS_previous!$D$2:$AY$2&amp;LS_previous!$D$3:$AY$3, 0)),SUM(VLOOKUP($A48, LS_previous!$B$4:$AY$138, LS_previous!E$149, FALSE), VLOOKUP('Staging Table'!$A48, LS_previous!$B$4:$AY$138,LS_previous!AC$149, FALSE))/2)</f>
        <v>-94</v>
      </c>
      <c r="N48" s="227">
        <f t="array" ref="N48">IF($G48=0, INDEX(LS_previous!$D$4:$AY$138, MATCH('Staging Table'!$A48, LS_previous!$B$4:$B$138, 0), MATCH(N$4&amp;N$5, LS_previous!$D$2:$AY$2&amp;LS_previous!$D$3:$AY$3, 0)),SUM(VLOOKUP($A48, LS_previous!$B$4:$AY$138, LS_previous!F$149, FALSE), VLOOKUP('Staging Table'!$A48, LS_previous!$B$4:$AY$138,LS_previous!AD$149, FALSE))/2)</f>
        <v>-345</v>
      </c>
      <c r="O48" s="227">
        <f t="array" ref="O48">IF($G48=0, INDEX(LS_previous!$D$4:$AY$138, MATCH('Staging Table'!$A48, LS_previous!$B$4:$B$138, 0), MATCH(O$4&amp;O$5, LS_previous!$D$2:$AY$2&amp;LS_previous!$D$3:$AY$3, 0)),SUM(VLOOKUP($A48, LS_previous!$B$4:$AY$138, LS_previous!G$149, FALSE), VLOOKUP('Staging Table'!$A48, LS_previous!$B$4:$AY$138,LS_previous!AE$149, FALSE))/2)</f>
        <v>-20</v>
      </c>
      <c r="P48" s="227">
        <f t="array" ref="P48">IF($G48=0, INDEX(LS_previous!$D$4:$AY$138, MATCH('Staging Table'!$A48, LS_previous!$B$4:$B$138, 0), MATCH(P$4&amp;P$5, LS_previous!$D$2:$AY$2&amp;LS_previous!$D$3:$AY$3, 0)),SUM(VLOOKUP($A48, LS_previous!$B$4:$AY$138, LS_previous!H$149, FALSE), VLOOKUP('Staging Table'!$A48, LS_previous!$B$4:$AY$138,LS_previous!AF$149, FALSE))/2)</f>
        <v>-22</v>
      </c>
      <c r="Q48" s="227">
        <f t="array" ref="Q48">IF($G48=0, INDEX(LS_previous!$D$4:$AY$138, MATCH('Staging Table'!$A48, LS_previous!$B$4:$B$138, 0), MATCH(Q$4&amp;Q$5, LS_previous!$D$2:$AY$2&amp;LS_previous!$D$3:$AY$3, 0)),SUM(VLOOKUP($A48, LS_previous!$B$4:$AY$138, LS_previous!I$149, FALSE), VLOOKUP('Staging Table'!$A48, LS_previous!$B$4:$AY$138,LS_previous!AG$149, FALSE))/2)</f>
        <v>297</v>
      </c>
      <c r="R48" s="227">
        <f t="array" ref="R48">IF($G48=0, INDEX(LS_previous!$D$4:$AY$138, MATCH('Staging Table'!$A48, LS_previous!$B$4:$B$138, 0), MATCH(R$4&amp;R$5, LS_previous!$D$2:$AY$2&amp;LS_previous!$D$3:$AY$3, 0)),SUM(VLOOKUP($A48, LS_previous!$B$4:$AY$138, LS_previous!J$149, FALSE), VLOOKUP('Staging Table'!$A48, LS_previous!$B$4:$AY$138,LS_previous!AH$149, FALSE))/2)</f>
        <v>153</v>
      </c>
      <c r="S48" s="227">
        <f t="array" ref="S48">IF($G48=0, INDEX(LS_previous!$D$4:$AY$138, MATCH('Staging Table'!$A48, LS_previous!$B$4:$B$138, 0), MATCH(S$4&amp;S$5, LS_previous!$D$2:$AY$2&amp;LS_previous!$D$3:$AY$3, 0)),SUM(VLOOKUP($A48, LS_previous!$B$4:$AY$138, LS_previous!K$149, FALSE), VLOOKUP('Staging Table'!$A48, LS_previous!$B$4:$AY$138,LS_previous!AI$149, FALSE))/2)</f>
        <v>288</v>
      </c>
      <c r="T48" s="227">
        <f t="array" ref="T48">IF($G48=0, INDEX(LS_previous!$D$4:$AY$138, MATCH('Staging Table'!$A48, LS_previous!$B$4:$B$138, 0), MATCH(T$4&amp;T$5, LS_previous!$D$2:$AY$2&amp;LS_previous!$D$3:$AY$3, 0)),SUM(VLOOKUP($A48, LS_previous!$B$4:$AY$138, LS_previous!L$149, FALSE), VLOOKUP('Staging Table'!$A48, LS_previous!$B$4:$AY$138,LS_previous!AJ$149, FALSE))/2)</f>
        <v>152</v>
      </c>
      <c r="U48" s="227">
        <f t="array" ref="U48">IF($G48=0, INDEX(LS_previous!$D$4:$AY$138, MATCH('Staging Table'!$A48, LS_previous!$B$4:$B$138, 0), MATCH(U$4&amp;U$5, LS_previous!$D$2:$AY$2&amp;LS_previous!$D$3:$AY$3, 0)),SUM(VLOOKUP($A48, LS_previous!$B$4:$AY$138, LS_previous!M$149, FALSE), VLOOKUP('Staging Table'!$A48, LS_previous!$B$4:$AY$138,LS_previous!AK$149, FALSE))/2)</f>
        <v>229</v>
      </c>
      <c r="V48" s="227">
        <f t="array" ref="V48">IF($G48=0, INDEX(LS_previous!$D$4:$AY$138, MATCH('Staging Table'!$A48, LS_previous!$B$4:$B$138, 0), MATCH(V$4&amp;V$5, LS_previous!$D$2:$AY$2&amp;LS_previous!$D$3:$AY$3, 0)),SUM(VLOOKUP($A48, LS_previous!$B$4:$AY$138, LS_previous!N$149, FALSE), VLOOKUP('Staging Table'!$A48, LS_previous!$B$4:$AY$138,LS_previous!AL$149, FALSE))/2)</f>
        <v>-206</v>
      </c>
      <c r="W48" s="227">
        <f t="array" ref="W48">IF($G48=0, INDEX(LS_previous!$D$4:$AY$138, MATCH('Staging Table'!$A48, LS_previous!$B$4:$B$138, 0), MATCH(W$4&amp;W$5, LS_previous!$D$2:$AY$2&amp;LS_previous!$D$3:$AY$3, 0)),SUM(VLOOKUP($A48, LS_previous!$B$4:$AY$138, LS_previous!O$149, FALSE), VLOOKUP('Staging Table'!$A48, LS_previous!$B$4:$AY$138,LS_previous!AM$149, FALSE))/2)</f>
        <v>56</v>
      </c>
      <c r="X48" s="227">
        <f t="array" ref="X48">IF($G48=0, INDEX(LS_previous!$D$4:$AY$138, MATCH('Staging Table'!$A48, LS_previous!$B$4:$B$138, 0), MATCH(X$4&amp;X$5, LS_previous!$D$2:$AY$2&amp;LS_previous!$D$3:$AY$3, 0)),SUM(VLOOKUP($A48, LS_previous!$B$4:$AY$138, LS_previous!P$149, FALSE), VLOOKUP('Staging Table'!$A48, LS_previous!$B$4:$AY$138,LS_previous!AN$149, FALSE))/2)</f>
        <v>-133</v>
      </c>
      <c r="Y48" s="227">
        <f t="array" ref="Y48">IF($G48=0, INDEX(LS_previous!$D$4:$AY$138, MATCH('Staging Table'!$A48, LS_previous!$B$4:$B$138, 0), MATCH(Y$4&amp;Y$5, LS_previous!$D$2:$AY$2&amp;LS_previous!$D$3:$AY$3, 0)),SUM(VLOOKUP($A48, LS_previous!$B$4:$AY$138, LS_previous!Q$149, FALSE), VLOOKUP('Staging Table'!$A48, LS_previous!$B$4:$AY$138,LS_previous!AO$149, FALSE))/2)</f>
        <v>50</v>
      </c>
      <c r="Z48" s="227">
        <f t="array" ref="Z48">IF($G48=0, INDEX(LS_previous!$D$4:$AY$138, MATCH('Staging Table'!$A48, LS_previous!$B$4:$B$138, 0), MATCH(Z$4&amp;Z$5, LS_previous!$D$2:$AY$2&amp;LS_previous!$D$3:$AY$3, 0)),SUM(VLOOKUP($A48, LS_previous!$B$4:$AY$138, LS_previous!R$149, FALSE), VLOOKUP('Staging Table'!$A48, LS_previous!$B$4:$AY$138,LS_previous!AP$149, FALSE))/2)</f>
        <v>-597</v>
      </c>
      <c r="AA48" s="227">
        <f t="array" ref="AA48">IF($G48=0, INDEX(LS_previous!$D$4:$AY$138, MATCH('Staging Table'!$A48, LS_previous!$B$4:$B$138, 0), MATCH(AA$4&amp;AA$5, LS_previous!$D$2:$AY$2&amp;LS_previous!$D$3:$AY$3, 0)),SUM(VLOOKUP($A48, LS_previous!$B$4:$AY$138, LS_previous!S$149, FALSE), VLOOKUP('Staging Table'!$A48, LS_previous!$B$4:$AY$138,LS_previous!AQ$149, FALSE))/2)</f>
        <v>-87</v>
      </c>
      <c r="AB48" s="227">
        <f t="array" ref="AB48">IF($G48=0, INDEX(LS_previous!$D$4:$AY$138, MATCH('Staging Table'!$A48, LS_previous!$B$4:$B$138, 0), MATCH(AB$4&amp;AB$5, LS_previous!$D$2:$AY$2&amp;LS_previous!$D$3:$AY$3, 0)),SUM(VLOOKUP($A48, LS_previous!$B$4:$AY$138, LS_previous!T$149, FALSE), VLOOKUP('Staging Table'!$A48, LS_previous!$B$4:$AY$138,LS_previous!AR$149, FALSE))/2)</f>
        <v>-191</v>
      </c>
      <c r="AC48" s="227">
        <f t="array" ref="AC48">IF($G48=0, INDEX(LS_previous!$D$4:$AY$138, MATCH('Staging Table'!$A48, LS_previous!$B$4:$B$138, 0), MATCH(AC$4&amp;AC$5, LS_previous!$D$2:$AY$2&amp;LS_previous!$D$3:$AY$3, 0)),SUM(VLOOKUP($A48, LS_previous!$B$4:$AY$138, LS_previous!U$149, FALSE), VLOOKUP('Staging Table'!$A48, LS_previous!$B$4:$AY$138,LS_previous!AS$149, FALSE))/2)</f>
        <v>32</v>
      </c>
      <c r="AD48" s="227">
        <f t="array" ref="AD48">IF($G48=0, INDEX(LS_previous!$D$4:$AY$138, MATCH('Staging Table'!$A48, LS_previous!$B$4:$B$138, 0), MATCH(AD$4&amp;AD$5, LS_previous!$D$2:$AY$2&amp;LS_previous!$D$3:$AY$3, 0)),SUM(VLOOKUP($A48, LS_previous!$B$4:$AY$138, LS_previous!V$149, FALSE), VLOOKUP('Staging Table'!$A48, LS_previous!$B$4:$AY$138,LS_previous!AT$149, FALSE))/2)</f>
        <v>415</v>
      </c>
      <c r="AE48" s="227">
        <f t="array" ref="AE48">IF($G48=0, INDEX(LS_previous!$D$4:$AY$138, MATCH('Staging Table'!$A48, LS_previous!$B$4:$B$138, 0), MATCH(AE$4&amp;AE$5, LS_previous!$D$2:$AY$2&amp;LS_previous!$D$3:$AY$3, 0)),SUM(VLOOKUP($A48, LS_previous!$B$4:$AY$138, LS_previous!W$149, FALSE), VLOOKUP('Staging Table'!$A48, LS_previous!$B$4:$AY$138,LS_previous!AU$149, FALSE))/2)</f>
        <v>477</v>
      </c>
      <c r="AF48" s="227">
        <f t="array" ref="AF48">IF($G48=0, INDEX(LS_previous!$D$4:$AY$138, MATCH('Staging Table'!$A48, LS_previous!$B$4:$B$138, 0), MATCH(AF$4&amp;AF$5, LS_previous!$D$2:$AY$2&amp;LS_previous!$D$3:$AY$3, 0)),SUM(VLOOKUP($A48, LS_previous!$B$4:$AY$138, LS_previous!X$149, FALSE), VLOOKUP('Staging Table'!$A48, LS_previous!$B$4:$AY$138,LS_previous!AV$149, FALSE))/2)</f>
        <v>191</v>
      </c>
      <c r="AG48" s="227">
        <f t="array" ref="AG48">IF($G48=0, INDEX(LS_previous!$D$4:$AY$138, MATCH('Staging Table'!$A48, LS_previous!$B$4:$B$138, 0), MATCH(AG$4&amp;AG$5, LS_previous!$D$2:$AY$2&amp;LS_previous!$D$3:$AY$3, 0)),SUM(VLOOKUP($A48, LS_previous!$B$4:$AY$138, LS_previous!Y$149, FALSE), VLOOKUP('Staging Table'!$A48, LS_previous!$B$4:$AY$138,LS_previous!AW$149, FALSE))/2)</f>
        <v>413</v>
      </c>
      <c r="AH48" s="227">
        <f t="array" ref="AH48">IF($G48=0, INDEX(LS_previous!$D$4:$AY$138, MATCH('Staging Table'!$A48, LS_previous!$B$4:$B$138, 0), MATCH(AH$4&amp;AH$5, LS_previous!$D$2:$AY$2&amp;LS_previous!$D$3:$AY$3, 0)),SUM(VLOOKUP($A48, LS_previous!$B$4:$AY$138, LS_previous!Z$149, FALSE), VLOOKUP('Staging Table'!$A48, LS_previous!$B$4:$AY$138,LS_previous!AX$149, FALSE))/2)</f>
        <v>3</v>
      </c>
      <c r="AI48" s="227">
        <f t="array" ref="AI48">IF($G48=0, INDEX(LS_previous!$D$4:$AY$138, MATCH('Staging Table'!$A48, LS_previous!$B$4:$B$138, 0), MATCH(AI$4&amp;AI$5, LS_previous!$D$2:$AY$2&amp;LS_previous!$D$3:$AY$3, 0)),SUM(VLOOKUP($A48, LS_previous!$B$4:$AY$138, LS_previous!AA$149, FALSE), VLOOKUP('Staging Table'!$A48, LS_previous!$B$4:$AY$138,LS_previous!AY$149, FALSE))/2)</f>
        <v>180</v>
      </c>
      <c r="AJ48" s="424">
        <f t="array" ref="AJ48">INDEX(Demand_previous!$D$4:$AY$138, MATCH('Staging Table'!$A48, Demand_previous!$B$4:$B$138, 0), MATCH(AJ$4&amp;AJ$5,Demand_previous!$D$2:$AY$2&amp;Demand_previous!$D$3:$AY$3, 0))/1000</f>
        <v>0.54800000000000004</v>
      </c>
      <c r="AK48" s="424">
        <f t="array" ref="AK48">INDEX(Demand_previous!$D$4:$AY$138, MATCH('Staging Table'!$A48, Demand_previous!$B$4:$B$138, 0), MATCH(AK$4&amp;AK$5,Demand_previous!$D$2:$AY$2&amp;Demand_previous!$D$3:$AY$3, 0))/1000</f>
        <v>0.47799999999999998</v>
      </c>
      <c r="AL48" s="424">
        <f t="array" ref="AL48">INDEX(Demand_previous!$D$4:$AY$138, MATCH('Staging Table'!$A48, Demand_previous!$B$4:$B$138, 0), MATCH(AL$4&amp;AL$5,Demand_previous!$D$2:$AY$2&amp;Demand_previous!$D$3:$AY$3, 0))/1000</f>
        <v>1.161</v>
      </c>
      <c r="AM48" s="424">
        <f t="array" ref="AM48">INDEX(Demand_previous!$D$4:$AY$138, MATCH('Staging Table'!$A48, Demand_previous!$B$4:$B$138, 0), MATCH(AM$4&amp;AM$5,Demand_previous!$D$2:$AY$2&amp;Demand_previous!$D$3:$AY$3, 0))/1000</f>
        <v>1.173</v>
      </c>
      <c r="AN48" s="424">
        <f t="array" ref="AN48">INDEX(Demand_previous!$D$4:$AY$138, MATCH('Staging Table'!$A48, Demand_previous!$B$4:$B$138, 0), MATCH(AN$4&amp;AN$5,Demand_previous!$D$2:$AY$2&amp;Demand_previous!$D$3:$AY$3, 0))/1000</f>
        <v>0.38600000000000001</v>
      </c>
      <c r="AO48" s="424">
        <f t="array" ref="AO48">INDEX(Demand_previous!$D$4:$AY$138, MATCH('Staging Table'!$A48, Demand_previous!$B$4:$B$138, 0), MATCH(AO$4&amp;AO$5,Demand_previous!$D$2:$AY$2&amp;Demand_previous!$D$3:$AY$3, 0))/1000</f>
        <v>0.92300000000000004</v>
      </c>
      <c r="AP48" s="424">
        <f t="array" ref="AP48">INDEX(Demand_previous!$D$4:$AY$138, MATCH('Staging Table'!$A48, Demand_previous!$B$4:$B$138, 0), MATCH(AP$4&amp;AP$5,Demand_previous!$D$2:$AY$2&amp;Demand_previous!$D$3:$AY$3, 0))/1000</f>
        <v>0.24199999999999999</v>
      </c>
      <c r="AQ48" s="424">
        <f t="array" ref="AQ48">INDEX(Demand_previous!$D$4:$AY$138, MATCH('Staging Table'!$A48, Demand_previous!$B$4:$B$138, 0), MATCH(AQ$4&amp;AQ$5,Demand_previous!$D$2:$AY$2&amp;Demand_previous!$D$3:$AY$3, 0))/1000</f>
        <v>2.4E-2</v>
      </c>
      <c r="AR48" s="424">
        <f t="array" ref="AR48">INDEX(Demand_previous!$D$4:$AY$138, MATCH('Staging Table'!$A48, Demand_previous!$B$4:$B$138, 0), MATCH(AR$4&amp;AR$5,Demand_previous!$D$2:$AY$2&amp;Demand_previous!$D$3:$AY$3, 0))/1000</f>
        <v>0.41699999999999998</v>
      </c>
      <c r="AS48" s="424">
        <f t="array" ref="AS48">INDEX(Demand_previous!$D$4:$AY$138, MATCH('Staging Table'!$A48, Demand_previous!$B$4:$B$138, 0), MATCH(AS$4&amp;AS$5,Demand_previous!$D$2:$AY$2&amp;Demand_previous!$D$3:$AY$3, 0))/1000</f>
        <v>0.65</v>
      </c>
      <c r="AT48" s="424">
        <f t="array" ref="AT48">INDEX(Demand_previous!$D$4:$AY$138, MATCH('Staging Table'!$A48, Demand_previous!$B$4:$B$138, 0), MATCH(AT$4&amp;AT$5,Demand_previous!$D$2:$AY$2&amp;Demand_previous!$D$3:$AY$3, 0))/1000</f>
        <v>0.98699999999999999</v>
      </c>
      <c r="AU48" s="424">
        <f t="array" ref="AU48">INDEX(Demand_previous!$D$4:$AY$138, MATCH('Staging Table'!$A48, Demand_previous!$B$4:$B$138, 0), MATCH(AU$4&amp;AU$5,Demand_previous!$D$2:$AY$2&amp;Demand_previous!$D$3:$AY$3, 0))/1000</f>
        <v>0.55600000000000005</v>
      </c>
      <c r="AV48" s="227">
        <f>$F48*(VLOOKUP(AV$4, Rates_previous!$G$6:$Q$29, 10, FALSE)+VLOOKUP(AV$4, Rates_previous!$G$6:$Q$29, 11, FALSE))</f>
        <v>1991.8182814630595</v>
      </c>
      <c r="AW48" s="227">
        <f>$F48*(VLOOKUP(AW$4, Rates_previous!$G$6:$Q$29, 10, FALSE)+VLOOKUP(AW$4, Rates_previous!$G$6:$Q$29, 11, FALSE))</f>
        <v>2461.7360096761859</v>
      </c>
      <c r="AX48" s="227">
        <f>$F48*(VLOOKUP(AX$4, Rates_previous!$G$6:$Q$29, 10, FALSE)+VLOOKUP(AX$4, Rates_previous!$G$6:$Q$29, 11, FALSE))</f>
        <v>2432.1735045784621</v>
      </c>
      <c r="AY48" s="227">
        <f>$F48*(VLOOKUP(AY$4, Rates_previous!$G$6:$Q$29, 10, FALSE)+VLOOKUP(AY$4, Rates_previous!$G$6:$Q$29, 11, FALSE))</f>
        <v>2078.0604352399682</v>
      </c>
      <c r="AZ48" s="227">
        <f>$F48*(VLOOKUP(AZ$4, Rates_previous!$G$6:$Q$29, 10, FALSE)+VLOOKUP(AZ$4, Rates_previous!$G$6:$Q$29, 11, FALSE))</f>
        <v>1703.6064731287117</v>
      </c>
      <c r="BA48" s="227">
        <f>$F48*(VLOOKUP(BA$4, Rates_previous!$G$6:$Q$29, 10, FALSE)+VLOOKUP(BA$4, Rates_previous!$G$6:$Q$29, 11, FALSE))</f>
        <v>2017.0081834544089</v>
      </c>
      <c r="BB48" s="227">
        <f>$F48*(VLOOKUP(BB$4, Rates_previous!$G$6:$Q$29, 10, FALSE)+VLOOKUP(BB$4, Rates_previous!$G$6:$Q$29, 11, FALSE))</f>
        <v>1938.6382560394752</v>
      </c>
      <c r="BC48" s="227">
        <f>$F48*(VLOOKUP(BC$4, Rates_previous!$G$6:$Q$29, 10, FALSE)+VLOOKUP(BC$4, Rates_previous!$G$6:$Q$29, 11, FALSE))</f>
        <v>2844.8144573684981</v>
      </c>
      <c r="BD48" s="227">
        <f>$F48*(VLOOKUP(BD$4, Rates_previous!$G$6:$Q$29, 10, FALSE)+VLOOKUP(BD$4, Rates_previous!$G$6:$Q$29, 11, FALSE))</f>
        <v>2244.4834175011151</v>
      </c>
      <c r="BE48" s="227">
        <f>$F48*(VLOOKUP(BE$4, Rates_previous!$G$6:$Q$29, 10, FALSE)+VLOOKUP(BE$4, Rates_previous!$G$6:$Q$29, 11, FALSE))</f>
        <v>1970.8448324717847</v>
      </c>
      <c r="BF48" s="227">
        <f>$F48*(VLOOKUP(BF$4, Rates_previous!$G$6:$Q$29, 10, FALSE)+VLOOKUP(BF$4, Rates_previous!$G$6:$Q$29, 11, FALSE))</f>
        <v>2182.7895403734506</v>
      </c>
      <c r="BG48" s="227">
        <f>$F48*(VLOOKUP(BG$4, Rates_previous!$G$6:$Q$29, 10, FALSE)+VLOOKUP(BG$4, Rates_previous!$G$6:$Q$29, 11, FALSE))</f>
        <v>1977.5205194786677</v>
      </c>
      <c r="BH48" s="229">
        <f>IF($D48=0,IF(C48=0, MAX(BK48 - (VLOOKUP($A48,TOCA_previous!$A$2:$AI$137,MATCH("RHWM 2018",TOCA_previous!$A$2:$AI$2,0),FALSE)*$F$2*TOCA_previous!C45),0),0), 0)</f>
        <v>0</v>
      </c>
      <c r="BI48" s="266">
        <f>VLOOKUP($A48,REP_previous!$A$1:$D$135,MATCH("FY "&amp;$F$1&amp; " Total Refund",REP_previous!$A$1:$D$1,0),0)</f>
        <v>16850.683834422329</v>
      </c>
      <c r="BJ48" s="241">
        <f>MIN(VLOOKUP($A48,TOCA_previous!$A$2:$AI$137,MATCH("TRL - NLSL - Existing Resource "&amp;$F$1,TOCA_previous!$A$2:$AI$2,0),FALSE)*$F$2,(VLOOKUP($A48,TOCA_previous!$A$2:$AI$137,MATCH("RHWM 2018",TOCA_previous!$A$2:$AI$2,0),FALSE)*$F$2))</f>
        <v>25842</v>
      </c>
      <c r="BK48" s="229">
        <f>SUM(L48:AI48)+(F48*RT1SC!$C$3*$F$2)</f>
        <v>26756.494287808</v>
      </c>
      <c r="BL48" s="241">
        <f>VLOOKUP($A48,TOCA_previous!$A$2:$AI$137,MATCH("Above RHWM Not Served with LS "&amp;$F$1,TOCA_previous!$A$2:$AI$2,0),FALSE)*$F$2</f>
        <v>0</v>
      </c>
      <c r="BM48" s="151">
        <f t="shared" si="5"/>
        <v>914.49428780800008</v>
      </c>
      <c r="BN48" s="242">
        <f>(VLOOKUP($A48,TOCA_previous!$A$2:$AI$137,MATCH("RHWM 2018",TOCA_previous!$A$2:$AI$2,0),FALSE)*$F$2) - $BJ48</f>
        <v>2041.0799999999981</v>
      </c>
      <c r="BO48" s="151">
        <f t="shared" si="6"/>
        <v>-914.49428780800008</v>
      </c>
      <c r="BP48" s="243">
        <f t="shared" si="7"/>
        <v>0</v>
      </c>
      <c r="BQ48" s="237">
        <f t="shared" si="8"/>
        <v>0</v>
      </c>
      <c r="BR48" s="242">
        <f t="shared" si="9"/>
        <v>-914.49428780800008</v>
      </c>
      <c r="BS48" s="151">
        <f>VLOOKUP($A48,TOCA_current!$A$2:$AI$137,MATCH(BS$4,TOCA_current!$A$2:$AI$2,0),FALSE)</f>
        <v>4.3360000000000002E-4</v>
      </c>
      <c r="BT48" s="151">
        <f>VLOOKUP($A48,TOCA_current!$A$2:$AI$137,MATCH(BT$4,TOCA_current!$A$2:$AI$2,0),FALSE)</f>
        <v>4.3360000000000002E-4</v>
      </c>
      <c r="BU48" s="236">
        <f t="shared" si="10"/>
        <v>0</v>
      </c>
      <c r="BV48" s="151">
        <f>VLOOKUP($A48,TOCA_current!A44:BG179,MATCH(BV$4,TOCA_current!$A$2:$BG$2,0),FALSE)</f>
        <v>7.0000000000000007E-2</v>
      </c>
      <c r="BW48" s="151">
        <f t="shared" si="11"/>
        <v>0</v>
      </c>
      <c r="BX48" s="151">
        <f t="shared" si="12"/>
        <v>0</v>
      </c>
      <c r="BY48" s="226">
        <f>VLOOKUP($A48,IRD!$A$4:$G$139, 7, FALSE)</f>
        <v>5227.6489999999994</v>
      </c>
      <c r="BZ48" s="227">
        <f t="array" ref="BZ48">IF($BU48=0, INDEX(LS_current!$D$4:$AY$138, MATCH('Staging Table'!$A48, LS_current!$B$4:$B$138, 0), MATCH(BZ$4&amp;BZ$5, LS_current!$D$2:$AY$2&amp;LS_current!$D$3:$AY$3, 0)),SUM(VLOOKUP($A48, LS_current!$B$4:$AY$138, LS_current!D$148, FALSE), VLOOKUP($A48, LS_current!$B$4:$AY$138,LS_current!D$148, FALSE))/2)</f>
        <v>-337</v>
      </c>
      <c r="CA48" s="227">
        <f t="array" ref="CA48">IF($BU48=0, INDEX(LS_current!$D$4:$AY$138, MATCH('Staging Table'!$A48, LS_current!$B$4:$B$138, 0), MATCH(CA$4&amp;CA$5, LS_current!$D$2:$AY$2&amp;LS_current!$D$3:$AY$3, 0)),SUM(VLOOKUP($A48, LS_current!$B$4:$AY$138, LS_current!E$148, FALSE), VLOOKUP($A48, LS_current!$B$4:$AY$138,LS_current!E$148, FALSE))/2)</f>
        <v>-95</v>
      </c>
      <c r="CB48" s="227">
        <f t="array" ref="CB48">IF($BU48=0, INDEX(LS_current!$D$4:$AY$138, MATCH('Staging Table'!$A48, LS_current!$B$4:$B$138, 0), MATCH(CB$4&amp;CB$5, LS_current!$D$2:$AY$2&amp;LS_current!$D$3:$AY$3, 0)),SUM(VLOOKUP($A48, LS_current!$B$4:$AY$138, LS_current!F$148, FALSE), VLOOKUP($A48, LS_current!$B$4:$AY$138,LS_current!F$148, FALSE))/2)</f>
        <v>-389</v>
      </c>
      <c r="CC48" s="227">
        <f t="array" ref="CC48">IF($BU48=0, INDEX(LS_current!$D$4:$AY$138, MATCH('Staging Table'!$A48, LS_current!$B$4:$B$138, 0), MATCH(CC$4&amp;CC$5, LS_current!$D$2:$AY$2&amp;LS_current!$D$3:$AY$3, 0)),SUM(VLOOKUP($A48, LS_current!$B$4:$AY$138, LS_current!G$148, FALSE), VLOOKUP($A48, LS_current!$B$4:$AY$138,LS_current!G$148, FALSE))/2)</f>
        <v>-58</v>
      </c>
      <c r="CD48" s="227">
        <f t="array" ref="CD48">IF($BU48=0, INDEX(LS_current!$D$4:$AY$138, MATCH('Staging Table'!$A48, LS_current!$B$4:$B$138, 0), MATCH(CD$4&amp;CD$5, LS_current!$D$2:$AY$2&amp;LS_current!$D$3:$AY$3, 0)),SUM(VLOOKUP($A48, LS_current!$B$4:$AY$138, LS_current!H$148, FALSE), VLOOKUP($A48, LS_current!$B$4:$AY$138,LS_current!H$148, FALSE))/2)</f>
        <v>-67</v>
      </c>
      <c r="CE48" s="227">
        <f t="array" ref="CE48">IF($BU48=0, INDEX(LS_current!$D$4:$AY$138, MATCH('Staging Table'!$A48, LS_current!$B$4:$B$138, 0), MATCH(CE$4&amp;CE$5, LS_current!$D$2:$AY$2&amp;LS_current!$D$3:$AY$3, 0)),SUM(VLOOKUP($A48, LS_current!$B$4:$AY$138, LS_current!I$148, FALSE), VLOOKUP($A48, LS_current!$B$4:$AY$138,LS_current!I$148, FALSE))/2)</f>
        <v>262</v>
      </c>
      <c r="CF48" s="227">
        <f t="array" ref="CF48">IF($BU48=0, INDEX(LS_current!$D$4:$AY$138, MATCH('Staging Table'!$A48, LS_current!$B$4:$B$138, 0), MATCH(CF$4&amp;CF$5, LS_current!$D$2:$AY$2&amp;LS_current!$D$3:$AY$3, 0)),SUM(VLOOKUP($A48, LS_current!$B$4:$AY$138, LS_current!J$148, FALSE), VLOOKUP($A48, LS_current!$B$4:$AY$138,LS_current!J$148, FALSE))/2)</f>
        <v>121</v>
      </c>
      <c r="CG48" s="227">
        <f t="array" ref="CG48">IF($BU48=0, INDEX(LS_current!$D$4:$AY$138, MATCH('Staging Table'!$A48, LS_current!$B$4:$B$138, 0), MATCH(CG$4&amp;CG$5, LS_current!$D$2:$AY$2&amp;LS_current!$D$3:$AY$3, 0)),SUM(VLOOKUP($A48, LS_current!$B$4:$AY$138, LS_current!K$148, FALSE), VLOOKUP($A48, LS_current!$B$4:$AY$138,LS_current!K$148, FALSE))/2)</f>
        <v>304</v>
      </c>
      <c r="CH48" s="227">
        <f t="array" ref="CH48">IF($BU48=0, INDEX(LS_current!$D$4:$AY$138, MATCH('Staging Table'!$A48, LS_current!$B$4:$B$138, 0), MATCH(CH$4&amp;CH$5, LS_current!$D$2:$AY$2&amp;LS_current!$D$3:$AY$3, 0)),SUM(VLOOKUP($A48, LS_current!$B$4:$AY$138, LS_current!L$148, FALSE), VLOOKUP($A48, LS_current!$B$4:$AY$138,LS_current!L$148, FALSE))/2)</f>
        <v>31</v>
      </c>
      <c r="CI48" s="227">
        <f t="array" ref="CI48">IF($BU48=0, INDEX(LS_current!$D$4:$AY$138, MATCH('Staging Table'!$A48, LS_current!$B$4:$B$138, 0), MATCH(CI$4&amp;CI$5, LS_current!$D$2:$AY$2&amp;LS_current!$D$3:$AY$3, 0)),SUM(VLOOKUP($A48, LS_current!$B$4:$AY$138, LS_current!M$148, FALSE), VLOOKUP($A48, LS_current!$B$4:$AY$138,LS_current!M$148, FALSE))/2)</f>
        <v>156</v>
      </c>
      <c r="CJ48" s="227">
        <f t="array" ref="CJ48">IF($BU48=0, INDEX(LS_current!$D$4:$AY$138, MATCH('Staging Table'!$A48, LS_current!$B$4:$B$138, 0), MATCH(CJ$4&amp;CJ$5, LS_current!$D$2:$AY$2&amp;LS_current!$D$3:$AY$3, 0)),SUM(VLOOKUP($A48, LS_current!$B$4:$AY$138, LS_current!N$148, FALSE), VLOOKUP($A48, LS_current!$B$4:$AY$138,LS_current!N$148, FALSE))/2)</f>
        <v>-272</v>
      </c>
      <c r="CK48" s="227">
        <f t="array" ref="CK48">IF($BU48=0, INDEX(LS_current!$D$4:$AY$138, MATCH('Staging Table'!$A48, LS_current!$B$4:$B$138, 0), MATCH(CK$4&amp;CK$5, LS_current!$D$2:$AY$2&amp;LS_current!$D$3:$AY$3, 0)),SUM(VLOOKUP($A48, LS_current!$B$4:$AY$138, LS_current!O$148, FALSE), VLOOKUP($A48, LS_current!$B$4:$AY$138,LS_current!O$148, FALSE))/2)</f>
        <v>29</v>
      </c>
      <c r="CL48" s="227">
        <f t="array" ref="CL48">IF($BU48=0, INDEX(LS_current!$D$4:$AY$138, MATCH('Staging Table'!$A48, LS_current!$B$4:$B$138, 0), MATCH(CL$4&amp;CL$5, LS_current!$D$2:$AY$2&amp;LS_current!$D$3:$AY$3, 0)),SUM(VLOOKUP($A48, LS_current!$B$4:$AY$138, LS_current!P$148, FALSE), VLOOKUP($A48, LS_current!$B$4:$AY$138,LS_current!P$148, FALSE))/2)</f>
        <v>32</v>
      </c>
      <c r="CM48" s="227">
        <f t="array" ref="CM48">IF($BU48=0, INDEX(LS_current!$D$4:$AY$138, MATCH('Staging Table'!$A48, LS_current!$B$4:$B$138, 0), MATCH(CM$4&amp;CM$5, LS_current!$D$2:$AY$2&amp;LS_current!$D$3:$AY$3, 0)),SUM(VLOOKUP($A48, LS_current!$B$4:$AY$138, LS_current!Q$148, FALSE), VLOOKUP($A48, LS_current!$B$4:$AY$138,LS_current!Q$148, FALSE))/2)</f>
        <v>104</v>
      </c>
      <c r="CN48" s="227">
        <f t="array" ref="CN48">IF($BU48=0, INDEX(LS_current!$D$4:$AY$138, MATCH('Staging Table'!$A48, LS_current!$B$4:$B$138, 0), MATCH(CN$4&amp;CN$5, LS_current!$D$2:$AY$2&amp;LS_current!$D$3:$AY$3, 0)),SUM(VLOOKUP($A48, LS_current!$B$4:$AY$138, LS_current!R$148, FALSE), VLOOKUP($A48, LS_current!$B$4:$AY$138,LS_current!R$148, FALSE))/2)</f>
        <v>-288</v>
      </c>
      <c r="CO48" s="227">
        <f t="array" ref="CO48">IF($BU48=0, INDEX(LS_current!$D$4:$AY$138, MATCH('Staging Table'!$A48, LS_current!$B$4:$B$138, 0), MATCH(CO$4&amp;CO$5, LS_current!$D$2:$AY$2&amp;LS_current!$D$3:$AY$3, 0)),SUM(VLOOKUP($A48, LS_current!$B$4:$AY$138, LS_current!S$148, FALSE), VLOOKUP($A48, LS_current!$B$4:$AY$138,LS_current!S$148, FALSE))/2)</f>
        <v>131</v>
      </c>
      <c r="CP48" s="227">
        <f t="array" ref="CP48">IF($BU48=0, INDEX(LS_current!$D$4:$AY$138, MATCH('Staging Table'!$A48, LS_current!$B$4:$B$138, 0), MATCH(CP$4&amp;CP$5, LS_current!$D$2:$AY$2&amp;LS_current!$D$3:$AY$3, 0)),SUM(VLOOKUP($A48, LS_current!$B$4:$AY$138, LS_current!T$148, FALSE), VLOOKUP($A48, LS_current!$B$4:$AY$138,LS_current!T$148, FALSE))/2)</f>
        <v>-642</v>
      </c>
      <c r="CQ48" s="227">
        <f t="array" ref="CQ48">IF($BU48=0, INDEX(LS_current!$D$4:$AY$138, MATCH('Staging Table'!$A48, LS_current!$B$4:$B$138, 0), MATCH(CQ$4&amp;CQ$5, LS_current!$D$2:$AY$2&amp;LS_current!$D$3:$AY$3, 0)),SUM(VLOOKUP($A48, LS_current!$B$4:$AY$138, LS_current!U$148, FALSE), VLOOKUP($A48, LS_current!$B$4:$AY$138,LS_current!U$148, FALSE))/2)</f>
        <v>-229</v>
      </c>
      <c r="CR48" s="227">
        <f t="array" ref="CR48">IF($BU48=0, INDEX(LS_current!$D$4:$AY$138, MATCH('Staging Table'!$A48, LS_current!$B$4:$B$138, 0), MATCH(CR$4&amp;CR$5, LS_current!$D$2:$AY$2&amp;LS_current!$D$3:$AY$3, 0)),SUM(VLOOKUP($A48, LS_current!$B$4:$AY$138, LS_current!V$148, FALSE), VLOOKUP($A48, LS_current!$B$4:$AY$138,LS_current!V$148, FALSE))/2)</f>
        <v>108</v>
      </c>
      <c r="CS48" s="227">
        <f t="array" ref="CS48">IF($BU48=0, INDEX(LS_current!$D$4:$AY$138, MATCH('Staging Table'!$A48, LS_current!$B$4:$B$138, 0), MATCH(CS$4&amp;CS$5, LS_current!$D$2:$AY$2&amp;LS_current!$D$3:$AY$3, 0)),SUM(VLOOKUP($A48, LS_current!$B$4:$AY$138, LS_current!W$148, FALSE), VLOOKUP($A48, LS_current!$B$4:$AY$138,LS_current!W$148, FALSE))/2)</f>
        <v>437</v>
      </c>
      <c r="CT48" s="227">
        <f t="array" ref="CT48">IF($BU48=0, INDEX(LS_current!$D$4:$AY$138, MATCH('Staging Table'!$A48, LS_current!$B$4:$B$138, 0), MATCH(CT$4&amp;CT$5, LS_current!$D$2:$AY$2&amp;LS_current!$D$3:$AY$3, 0)),SUM(VLOOKUP($A48, LS_current!$B$4:$AY$138, LS_current!X$148, FALSE), VLOOKUP($A48, LS_current!$B$4:$AY$138,LS_current!X$148, FALSE))/2)</f>
        <v>104</v>
      </c>
      <c r="CU48" s="227">
        <f t="array" ref="CU48">IF($BU48=0, INDEX(LS_current!$D$4:$AY$138, MATCH('Staging Table'!$A48, LS_current!$B$4:$B$138, 0), MATCH(CU$4&amp;CU$5, LS_current!$D$2:$AY$2&amp;LS_current!$D$3:$AY$3, 0)),SUM(VLOOKUP($A48, LS_current!$B$4:$AY$138, LS_current!Y$148, FALSE), VLOOKUP($A48, LS_current!$B$4:$AY$138,LS_current!Y$148, FALSE))/2)</f>
        <v>425</v>
      </c>
      <c r="CV48" s="227">
        <f t="array" ref="CV48">IF($BU48=0, INDEX(LS_current!$D$4:$AY$138, MATCH('Staging Table'!$A48, LS_current!$B$4:$B$138, 0), MATCH(CV$4&amp;CV$5, LS_current!$D$2:$AY$2&amp;LS_current!$D$3:$AY$3, 0)),SUM(VLOOKUP($A48, LS_current!$B$4:$AY$138, LS_current!Z$148, FALSE), VLOOKUP($A48, LS_current!$B$4:$AY$138,LS_current!Z$148, FALSE))/2)</f>
        <v>-30</v>
      </c>
      <c r="CW48" s="227">
        <f t="array" ref="CW48">IF($BU48=0, INDEX(LS_current!$D$4:$AY$138, MATCH('Staging Table'!$A48, LS_current!$B$4:$B$138, 0), MATCH(CW$4&amp;CW$5, LS_current!$D$2:$AY$2&amp;LS_current!$D$3:$AY$3, 0)),SUM(VLOOKUP($A48, LS_current!$B$4:$AY$138, LS_current!AA$148, FALSE), VLOOKUP($A48, LS_current!$B$4:$AY$138,LS_current!AA$148, FALSE))/2)</f>
        <v>164</v>
      </c>
      <c r="CX48" s="229">
        <f t="array" ref="CX48">INDEX(Demand_current!$D$4:$AY$138, MATCH($A48, Demand_current!$B$4:$B$138, 0), MATCH(CX$4&amp;CX$5,Demand_current!$D$2:$AY$2&amp;Demand_current!$D$3:$AY$3, 0))/1000</f>
        <v>0.63400000000000001</v>
      </c>
      <c r="CY48" s="229">
        <f t="array" ref="CY48">INDEX(Demand_current!$D$4:$AY$138, MATCH($A48, Demand_current!$B$4:$B$138, 0), MATCH(CY$4&amp;CY$5,Demand_current!$D$2:$AY$2&amp;Demand_current!$D$3:$AY$3, 0))/1000</f>
        <v>0.47799999999999998</v>
      </c>
      <c r="CZ48" s="229">
        <f t="array" ref="CZ48">INDEX(Demand_current!$D$4:$AY$138, MATCH($A48, Demand_current!$B$4:$B$138, 0), MATCH(CZ$4&amp;CZ$5,Demand_current!$D$2:$AY$2&amp;Demand_current!$D$3:$AY$3, 0))/1000</f>
        <v>1.161</v>
      </c>
      <c r="DA48" s="229">
        <f t="array" ref="DA48">INDEX(Demand_current!$D$4:$AY$138, MATCH($A48, Demand_current!$B$4:$B$138, 0), MATCH(DA$4&amp;DA$5,Demand_current!$D$2:$AY$2&amp;Demand_current!$D$3:$AY$3, 0))/1000</f>
        <v>1.173</v>
      </c>
      <c r="DB48" s="229">
        <f t="array" ref="DB48">INDEX(Demand_current!$D$4:$AY$138, MATCH($A48, Demand_current!$B$4:$B$138, 0), MATCH(DB$4&amp;DB$5,Demand_current!$D$2:$AY$2&amp;Demand_current!$D$3:$AY$3, 0))/1000</f>
        <v>0.51400000000000001</v>
      </c>
      <c r="DC48" s="229">
        <f t="array" ref="DC48">INDEX(Demand_current!$D$4:$AY$138, MATCH($A48, Demand_current!$B$4:$B$138, 0), MATCH(DC$4&amp;DC$5,Demand_current!$D$2:$AY$2&amp;Demand_current!$D$3:$AY$3, 0))/1000</f>
        <v>0.82799999999999996</v>
      </c>
      <c r="DD48" s="229">
        <f t="array" ref="DD48">INDEX(Demand_current!$D$4:$AY$138, MATCH($A48, Demand_current!$B$4:$B$138, 0), MATCH(DD$4&amp;DD$5,Demand_current!$D$2:$AY$2&amp;Demand_current!$D$3:$AY$3, 0))/1000</f>
        <v>0.34899999999999998</v>
      </c>
      <c r="DE48" s="229">
        <f t="array" ref="DE48">INDEX(Demand_current!$D$4:$AY$138, MATCH($A48, Demand_current!$B$4:$B$138, 0), MATCH(DE$4&amp;DE$5,Demand_current!$D$2:$AY$2&amp;Demand_current!$D$3:$AY$3, 0))/1000</f>
        <v>0</v>
      </c>
      <c r="DF48" s="229">
        <f t="array" ref="DF48">INDEX(Demand_current!$D$4:$AY$138, MATCH($A48, Demand_current!$B$4:$B$138, 0), MATCH(DF$4&amp;DF$5,Demand_current!$D$2:$AY$2&amp;Demand_current!$D$3:$AY$3, 0))/1000</f>
        <v>0.41699999999999998</v>
      </c>
      <c r="DG48" s="229">
        <f t="array" ref="DG48">INDEX(Demand_current!$D$4:$AY$138, MATCH($A48, Demand_current!$B$4:$B$138, 0), MATCH(DG$4&amp;DG$5,Demand_current!$D$2:$AY$2&amp;Demand_current!$D$3:$AY$3, 0))/1000</f>
        <v>0.81299999999999994</v>
      </c>
      <c r="DH48" s="229">
        <f t="array" ref="DH48">INDEX(Demand_current!$D$4:$AY$138, MATCH($A48, Demand_current!$B$4:$B$138, 0), MATCH(DH$4&amp;DH$5,Demand_current!$D$2:$AY$2&amp;Demand_current!$D$3:$AY$3, 0))/1000</f>
        <v>0.84</v>
      </c>
      <c r="DI48" s="229">
        <f t="array" ref="DI48">INDEX(Demand_current!$D$4:$AY$138, MATCH($A48, Demand_current!$B$4:$B$138, 0), MATCH(DI$4&amp;DI$5,Demand_current!$D$2:$AY$2&amp;Demand_current!$D$3:$AY$3, 0))/1000</f>
        <v>0.68799999999999994</v>
      </c>
      <c r="DJ48" s="227">
        <f>$BT48*(VLOOKUP(DJ$4, Rates_current!$G$6:$Q$29, 10, FALSE)+VLOOKUP(DJ$4, Rates_current!$G$6:$Q$29, 11, FALSE))</f>
        <v>2002.0687361855998</v>
      </c>
      <c r="DK48" s="227">
        <f>$BT48*(VLOOKUP(DK$4, Rates_current!$G$6:$Q$29, 10, FALSE)+VLOOKUP(DK$4, Rates_current!$G$6:$Q$29, 11, FALSE))</f>
        <v>2543.2518524304</v>
      </c>
      <c r="DL48" s="227">
        <f>$BT48*(VLOOKUP(DL$4, Rates_current!$G$6:$Q$29, 10, FALSE)+VLOOKUP(DL$4, Rates_current!$G$6:$Q$29, 11, FALSE))</f>
        <v>2512.5386449856005</v>
      </c>
      <c r="DM48" s="227">
        <f>$BT48*(VLOOKUP(DM$4, Rates_current!$G$6:$Q$29, 10, FALSE)+VLOOKUP(DM$4, Rates_current!$G$6:$Q$29, 11, FALSE))</f>
        <v>2094.3539921856004</v>
      </c>
      <c r="DN48" s="227">
        <f>$BT48*(VLOOKUP(DN$4, Rates_current!$G$6:$Q$29, 10, FALSE)+VLOOKUP(DN$4, Rates_current!$G$6:$Q$29, 11, FALSE))</f>
        <v>1897.26744448</v>
      </c>
      <c r="DO48" s="227">
        <f>$BT48*(VLOOKUP(DO$4, Rates_current!$G$6:$Q$29, 10, FALSE)+VLOOKUP(DO$4, Rates_current!$G$6:$Q$29, 11, FALSE))</f>
        <v>2110.3641262832002</v>
      </c>
      <c r="DP48" s="227">
        <f>$BT48*(VLOOKUP(DP$4, Rates_current!$G$6:$Q$29, 10, FALSE)+VLOOKUP(DP$4, Rates_current!$G$6:$Q$29, 11, FALSE))</f>
        <v>1718.2607489280001</v>
      </c>
      <c r="DQ48" s="227">
        <f>$BT48*(VLOOKUP(DQ$4, Rates_current!$G$6:$Q$29, 10, FALSE)+VLOOKUP(DQ$4, Rates_current!$G$6:$Q$29, 11, FALSE))</f>
        <v>2317.3308409856004</v>
      </c>
      <c r="DR48" s="227">
        <f>$BT48*(VLOOKUP(DR$4, Rates_current!$G$6:$Q$29, 10, FALSE)+VLOOKUP(DR$4, Rates_current!$G$6:$Q$29, 11, FALSE))</f>
        <v>2956.7565481280003</v>
      </c>
      <c r="DS48" s="227">
        <f>$BT48*(VLOOKUP(DS$4, Rates_current!$G$6:$Q$29, 10, FALSE)+VLOOKUP(DS$4, Rates_current!$G$6:$Q$29, 11, FALSE))</f>
        <v>2318.1908865856003</v>
      </c>
      <c r="DT48" s="227">
        <f>$BT48*(VLOOKUP(DT$4, Rates_current!$G$6:$Q$29, 10, FALSE)+VLOOKUP(DT$4, Rates_current!$G$6:$Q$29, 11, FALSE))</f>
        <v>2257.4563177856003</v>
      </c>
      <c r="DU48" s="227">
        <f>$BT48*(VLOOKUP(DU$4, Rates_current!$G$6:$Q$29, 10, FALSE)+VLOOKUP(DU$4, Rates_current!$G$6:$Q$29, 11, FALSE))</f>
        <v>2026.7155505280002</v>
      </c>
      <c r="DV48" s="229">
        <f>IF(D48=0,IF(C48=0,MAX(0,DY48 - (VLOOKUP($A48,TOCA_current!$A$2:$AI$137,MATCH("RHWM 2020",TOCA_current!$A$2:$AI$2,0),FALSE)*$BT$2)), 0),0)</f>
        <v>0</v>
      </c>
      <c r="DW48" s="266">
        <f>VLOOKUP($A48,REP_current!$A$1:$D$135,MATCH("FY "&amp;$BT$1&amp; " Total Refund",REP_current!$A$1:$D$1,0),0)</f>
        <v>0</v>
      </c>
      <c r="DX48" s="295">
        <f>MIN(VLOOKUP($A48,TOCA_current!$A$2:$AI$137,MATCH("TRL - NLSL - Existing Resource "&amp;$BT$1,TOCA_current!$A$2:$AI$2,0),FALSE)*$BT$2, VLOOKUP($A48,TOCA_current!$A$2:$AI$137,MATCH("RHWM 2020",TOCA_current!$A$2:$AI$2,0),FALSE)*$BT$2)</f>
        <v>26756.063999999998</v>
      </c>
      <c r="DY48" s="240">
        <f>SUM(BZ48:CW48)+(BT48*RT1SC!$C$4*$BT$2)</f>
        <v>26755.556693708801</v>
      </c>
      <c r="DZ48" s="271">
        <f>VLOOKUP($A48,TOCA_current!$A$2:$AI$137,MATCH("Above RHWM Not Served with LS "&amp;$BT$1,TOCA_current!$A$2:$AI$2,0),FALSE)*$BT$2</f>
        <v>0</v>
      </c>
      <c r="EA48" s="244">
        <f t="shared" si="13"/>
        <v>-0.50730629119789228</v>
      </c>
      <c r="EB48" s="295">
        <f>(VLOOKUP($A48,TOCA_current!$A$2:$AI$137,MATCH("RHWM 2020",TOCA_current!$A$2:$AI$2,0),FALSE)*$BT$2) - $DX48</f>
        <v>1510.8480000000018</v>
      </c>
      <c r="EC48" s="240">
        <f t="shared" si="14"/>
        <v>0</v>
      </c>
      <c r="ED48" s="240">
        <f t="shared" si="15"/>
        <v>0.50730629119789228</v>
      </c>
      <c r="EE48" s="240">
        <f t="shared" si="16"/>
        <v>0</v>
      </c>
      <c r="EF48" s="240">
        <f t="shared" si="17"/>
        <v>0.50730629119789228</v>
      </c>
    </row>
    <row r="49" spans="1:136">
      <c r="A49" s="166">
        <v>10112</v>
      </c>
      <c r="B49" s="167" t="s">
        <v>50</v>
      </c>
      <c r="C49" s="240">
        <v>0</v>
      </c>
      <c r="D49" s="240">
        <v>0</v>
      </c>
      <c r="E49" s="150">
        <f>VLOOKUP($A49,TOCA_previous!$A$2:$AI$137,MATCH(E$4,TOCA_previous!$A$2:$AI$2,0),FALSE)</f>
        <v>8.0683000000000005E-3</v>
      </c>
      <c r="F49" s="151">
        <f>VLOOKUP($A49,TOCA_previous!$A$2:$AI$137,MATCH(F$4,TOCA_previous!$A$2:$AI$2,0),FALSE)</f>
        <v>8.0683000000000005E-3</v>
      </c>
      <c r="G49" s="151">
        <f t="shared" si="2"/>
        <v>0</v>
      </c>
      <c r="H49" s="151">
        <f>VLOOKUP($A49,TOCA_previous!$A$2:$AI$137,MATCH(H$4,TOCA_previous!$A$2:$AI$2,0),FALSE)</f>
        <v>0</v>
      </c>
      <c r="I49" s="151">
        <f t="shared" si="3"/>
        <v>0</v>
      </c>
      <c r="J49" s="151">
        <f t="shared" si="4"/>
        <v>0</v>
      </c>
      <c r="K49" s="226">
        <f>VLOOKUP(A49, IRD!$A$5:$C$139, 3, FALSE)</f>
        <v>0</v>
      </c>
      <c r="L49" s="227">
        <f t="array" ref="L49">IF($G49=0, INDEX(LS_previous!$D$4:$AY$138, MATCH('Staging Table'!$A49, LS_previous!$B$4:$B$138, 0), MATCH(L$4&amp;L$5, LS_previous!$D$2:$AY$2&amp;LS_previous!$D$3:$AY$3, 0)),SUM(VLOOKUP($A49, LS_previous!$B$4:$AY$138, LS_previous!D$149, FALSE), VLOOKUP('Staging Table'!$A49, LS_previous!$B$4:$AY$138,LS_previous!AB$149, FALSE))/2)</f>
        <v>-895</v>
      </c>
      <c r="M49" s="227">
        <f t="array" ref="M49">IF($G49=0, INDEX(LS_previous!$D$4:$AY$138, MATCH('Staging Table'!$A49, LS_previous!$B$4:$B$138, 0), MATCH(M$4&amp;M$5, LS_previous!$D$2:$AY$2&amp;LS_previous!$D$3:$AY$3, 0)),SUM(VLOOKUP($A49, LS_previous!$B$4:$AY$138, LS_previous!E$149, FALSE), VLOOKUP('Staging Table'!$A49, LS_previous!$B$4:$AY$138,LS_previous!AC$149, FALSE))/2)</f>
        <v>1083</v>
      </c>
      <c r="N49" s="227">
        <f t="array" ref="N49">IF($G49=0, INDEX(LS_previous!$D$4:$AY$138, MATCH('Staging Table'!$A49, LS_previous!$B$4:$B$138, 0), MATCH(N$4&amp;N$5, LS_previous!$D$2:$AY$2&amp;LS_previous!$D$3:$AY$3, 0)),SUM(VLOOKUP($A49, LS_previous!$B$4:$AY$138, LS_previous!F$149, FALSE), VLOOKUP('Staging Table'!$A49, LS_previous!$B$4:$AY$138,LS_previous!AD$149, FALSE))/2)</f>
        <v>-3844</v>
      </c>
      <c r="O49" s="227">
        <f t="array" ref="O49">IF($G49=0, INDEX(LS_previous!$D$4:$AY$138, MATCH('Staging Table'!$A49, LS_previous!$B$4:$B$138, 0), MATCH(O$4&amp;O$5, LS_previous!$D$2:$AY$2&amp;LS_previous!$D$3:$AY$3, 0)),SUM(VLOOKUP($A49, LS_previous!$B$4:$AY$138, LS_previous!G$149, FALSE), VLOOKUP('Staging Table'!$A49, LS_previous!$B$4:$AY$138,LS_previous!AE$149, FALSE))/2)</f>
        <v>-163</v>
      </c>
      <c r="P49" s="227">
        <f t="array" ref="P49">IF($G49=0, INDEX(LS_previous!$D$4:$AY$138, MATCH('Staging Table'!$A49, LS_previous!$B$4:$B$138, 0), MATCH(P$4&amp;P$5, LS_previous!$D$2:$AY$2&amp;LS_previous!$D$3:$AY$3, 0)),SUM(VLOOKUP($A49, LS_previous!$B$4:$AY$138, LS_previous!H$149, FALSE), VLOOKUP('Staging Table'!$A49, LS_previous!$B$4:$AY$138,LS_previous!AF$149, FALSE))/2)</f>
        <v>480</v>
      </c>
      <c r="Q49" s="227">
        <f t="array" ref="Q49">IF($G49=0, INDEX(LS_previous!$D$4:$AY$138, MATCH('Staging Table'!$A49, LS_previous!$B$4:$B$138, 0), MATCH(Q$4&amp;Q$5, LS_previous!$D$2:$AY$2&amp;LS_previous!$D$3:$AY$3, 0)),SUM(VLOOKUP($A49, LS_previous!$B$4:$AY$138, LS_previous!I$149, FALSE), VLOOKUP('Staging Table'!$A49, LS_previous!$B$4:$AY$138,LS_previous!AG$149, FALSE))/2)</f>
        <v>2097</v>
      </c>
      <c r="R49" s="227">
        <f t="array" ref="R49">IF($G49=0, INDEX(LS_previous!$D$4:$AY$138, MATCH('Staging Table'!$A49, LS_previous!$B$4:$B$138, 0), MATCH(R$4&amp;R$5, LS_previous!$D$2:$AY$2&amp;LS_previous!$D$3:$AY$3, 0)),SUM(VLOOKUP($A49, LS_previous!$B$4:$AY$138, LS_previous!J$149, FALSE), VLOOKUP('Staging Table'!$A49, LS_previous!$B$4:$AY$138,LS_previous!AH$149, FALSE))/2)</f>
        <v>4362</v>
      </c>
      <c r="S49" s="227">
        <f t="array" ref="S49">IF($G49=0, INDEX(LS_previous!$D$4:$AY$138, MATCH('Staging Table'!$A49, LS_previous!$B$4:$B$138, 0), MATCH(S$4&amp;S$5, LS_previous!$D$2:$AY$2&amp;LS_previous!$D$3:$AY$3, 0)),SUM(VLOOKUP($A49, LS_previous!$B$4:$AY$138, LS_previous!K$149, FALSE), VLOOKUP('Staging Table'!$A49, LS_previous!$B$4:$AY$138,LS_previous!AI$149, FALSE))/2)</f>
        <v>4177</v>
      </c>
      <c r="T49" s="227">
        <f t="array" ref="T49">IF($G49=0, INDEX(LS_previous!$D$4:$AY$138, MATCH('Staging Table'!$A49, LS_previous!$B$4:$B$138, 0), MATCH(T$4&amp;T$5, LS_previous!$D$2:$AY$2&amp;LS_previous!$D$3:$AY$3, 0)),SUM(VLOOKUP($A49, LS_previous!$B$4:$AY$138, LS_previous!L$149, FALSE), VLOOKUP('Staging Table'!$A49, LS_previous!$B$4:$AY$138,LS_previous!AJ$149, FALSE))/2)</f>
        <v>5734</v>
      </c>
      <c r="U49" s="227">
        <f t="array" ref="U49">IF($G49=0, INDEX(LS_previous!$D$4:$AY$138, MATCH('Staging Table'!$A49, LS_previous!$B$4:$B$138, 0), MATCH(U$4&amp;U$5, LS_previous!$D$2:$AY$2&amp;LS_previous!$D$3:$AY$3, 0)),SUM(VLOOKUP($A49, LS_previous!$B$4:$AY$138, LS_previous!M$149, FALSE), VLOOKUP('Staging Table'!$A49, LS_previous!$B$4:$AY$138,LS_previous!AK$149, FALSE))/2)</f>
        <v>4288</v>
      </c>
      <c r="V49" s="227">
        <f t="array" ref="V49">IF($G49=0, INDEX(LS_previous!$D$4:$AY$138, MATCH('Staging Table'!$A49, LS_previous!$B$4:$B$138, 0), MATCH(V$4&amp;V$5, LS_previous!$D$2:$AY$2&amp;LS_previous!$D$3:$AY$3, 0)),SUM(VLOOKUP($A49, LS_previous!$B$4:$AY$138, LS_previous!N$149, FALSE), VLOOKUP('Staging Table'!$A49, LS_previous!$B$4:$AY$138,LS_previous!AL$149, FALSE))/2)</f>
        <v>1336</v>
      </c>
      <c r="W49" s="227">
        <f t="array" ref="W49">IF($G49=0, INDEX(LS_previous!$D$4:$AY$138, MATCH('Staging Table'!$A49, LS_previous!$B$4:$B$138, 0), MATCH(W$4&amp;W$5, LS_previous!$D$2:$AY$2&amp;LS_previous!$D$3:$AY$3, 0)),SUM(VLOOKUP($A49, LS_previous!$B$4:$AY$138, LS_previous!O$149, FALSE), VLOOKUP('Staging Table'!$A49, LS_previous!$B$4:$AY$138,LS_previous!AM$149, FALSE))/2)</f>
        <v>1571</v>
      </c>
      <c r="X49" s="227">
        <f t="array" ref="X49">IF($G49=0, INDEX(LS_previous!$D$4:$AY$138, MATCH('Staging Table'!$A49, LS_previous!$B$4:$B$138, 0), MATCH(X$4&amp;X$5, LS_previous!$D$2:$AY$2&amp;LS_previous!$D$3:$AY$3, 0)),SUM(VLOOKUP($A49, LS_previous!$B$4:$AY$138, LS_previous!P$149, FALSE), VLOOKUP('Staging Table'!$A49, LS_previous!$B$4:$AY$138,LS_previous!AN$149, FALSE))/2)</f>
        <v>-201</v>
      </c>
      <c r="Y49" s="227">
        <f t="array" ref="Y49">IF($G49=0, INDEX(LS_previous!$D$4:$AY$138, MATCH('Staging Table'!$A49, LS_previous!$B$4:$B$138, 0), MATCH(Y$4&amp;Y$5, LS_previous!$D$2:$AY$2&amp;LS_previous!$D$3:$AY$3, 0)),SUM(VLOOKUP($A49, LS_previous!$B$4:$AY$138, LS_previous!Q$149, FALSE), VLOOKUP('Staging Table'!$A49, LS_previous!$B$4:$AY$138,LS_previous!AO$149, FALSE))/2)</f>
        <v>1322</v>
      </c>
      <c r="Z49" s="227">
        <f t="array" ref="Z49">IF($G49=0, INDEX(LS_previous!$D$4:$AY$138, MATCH('Staging Table'!$A49, LS_previous!$B$4:$B$138, 0), MATCH(Z$4&amp;Z$5, LS_previous!$D$2:$AY$2&amp;LS_previous!$D$3:$AY$3, 0)),SUM(VLOOKUP($A49, LS_previous!$B$4:$AY$138, LS_previous!R$149, FALSE), VLOOKUP('Staging Table'!$A49, LS_previous!$B$4:$AY$138,LS_previous!AP$149, FALSE))/2)</f>
        <v>-12143</v>
      </c>
      <c r="AA49" s="227">
        <f t="array" ref="AA49">IF($G49=0, INDEX(LS_previous!$D$4:$AY$138, MATCH('Staging Table'!$A49, LS_previous!$B$4:$B$138, 0), MATCH(AA$4&amp;AA$5, LS_previous!$D$2:$AY$2&amp;LS_previous!$D$3:$AY$3, 0)),SUM(VLOOKUP($A49, LS_previous!$B$4:$AY$138, LS_previous!S$149, FALSE), VLOOKUP('Staging Table'!$A49, LS_previous!$B$4:$AY$138,LS_previous!AQ$149, FALSE))/2)</f>
        <v>-5010</v>
      </c>
      <c r="AB49" s="227">
        <f t="array" ref="AB49">IF($G49=0, INDEX(LS_previous!$D$4:$AY$138, MATCH('Staging Table'!$A49, LS_previous!$B$4:$B$138, 0), MATCH(AB$4&amp;AB$5, LS_previous!$D$2:$AY$2&amp;LS_previous!$D$3:$AY$3, 0)),SUM(VLOOKUP($A49, LS_previous!$B$4:$AY$138, LS_previous!T$149, FALSE), VLOOKUP('Staging Table'!$A49, LS_previous!$B$4:$AY$138,LS_previous!AR$149, FALSE))/2)</f>
        <v>-6507</v>
      </c>
      <c r="AC49" s="227">
        <f t="array" ref="AC49">IF($G49=0, INDEX(LS_previous!$D$4:$AY$138, MATCH('Staging Table'!$A49, LS_previous!$B$4:$B$138, 0), MATCH(AC$4&amp;AC$5, LS_previous!$D$2:$AY$2&amp;LS_previous!$D$3:$AY$3, 0)),SUM(VLOOKUP($A49, LS_previous!$B$4:$AY$138, LS_previous!U$149, FALSE), VLOOKUP('Staging Table'!$A49, LS_previous!$B$4:$AY$138,LS_previous!AS$149, FALSE))/2)</f>
        <v>-1905</v>
      </c>
      <c r="AD49" s="227">
        <f t="array" ref="AD49">IF($G49=0, INDEX(LS_previous!$D$4:$AY$138, MATCH('Staging Table'!$A49, LS_previous!$B$4:$B$138, 0), MATCH(AD$4&amp;AD$5, LS_previous!$D$2:$AY$2&amp;LS_previous!$D$3:$AY$3, 0)),SUM(VLOOKUP($A49, LS_previous!$B$4:$AY$138, LS_previous!V$149, FALSE), VLOOKUP('Staging Table'!$A49, LS_previous!$B$4:$AY$138,LS_previous!AT$149, FALSE))/2)</f>
        <v>-2315</v>
      </c>
      <c r="AE49" s="227">
        <f t="array" ref="AE49">IF($G49=0, INDEX(LS_previous!$D$4:$AY$138, MATCH('Staging Table'!$A49, LS_previous!$B$4:$B$138, 0), MATCH(AE$4&amp;AE$5, LS_previous!$D$2:$AY$2&amp;LS_previous!$D$3:$AY$3, 0)),SUM(VLOOKUP($A49, LS_previous!$B$4:$AY$138, LS_previous!W$149, FALSE), VLOOKUP('Staging Table'!$A49, LS_previous!$B$4:$AY$138,LS_previous!AU$149, FALSE))/2)</f>
        <v>1400</v>
      </c>
      <c r="AF49" s="227">
        <f t="array" ref="AF49">IF($G49=0, INDEX(LS_previous!$D$4:$AY$138, MATCH('Staging Table'!$A49, LS_previous!$B$4:$B$138, 0), MATCH(AF$4&amp;AF$5, LS_previous!$D$2:$AY$2&amp;LS_previous!$D$3:$AY$3, 0)),SUM(VLOOKUP($A49, LS_previous!$B$4:$AY$138, LS_previous!X$149, FALSE), VLOOKUP('Staging Table'!$A49, LS_previous!$B$4:$AY$138,LS_previous!AV$149, FALSE))/2)</f>
        <v>-4424</v>
      </c>
      <c r="AG49" s="227">
        <f t="array" ref="AG49">IF($G49=0, INDEX(LS_previous!$D$4:$AY$138, MATCH('Staging Table'!$A49, LS_previous!$B$4:$B$138, 0), MATCH(AG$4&amp;AG$5, LS_previous!$D$2:$AY$2&amp;LS_previous!$D$3:$AY$3, 0)),SUM(VLOOKUP($A49, LS_previous!$B$4:$AY$138, LS_previous!Y$149, FALSE), VLOOKUP('Staging Table'!$A49, LS_previous!$B$4:$AY$138,LS_previous!AW$149, FALSE))/2)</f>
        <v>-46</v>
      </c>
      <c r="AH49" s="227">
        <f t="array" ref="AH49">IF($G49=0, INDEX(LS_previous!$D$4:$AY$138, MATCH('Staging Table'!$A49, LS_previous!$B$4:$B$138, 0), MATCH(AH$4&amp;AH$5, LS_previous!$D$2:$AY$2&amp;LS_previous!$D$3:$AY$3, 0)),SUM(VLOOKUP($A49, LS_previous!$B$4:$AY$138, LS_previous!Z$149, FALSE), VLOOKUP('Staging Table'!$A49, LS_previous!$B$4:$AY$138,LS_previous!AX$149, FALSE))/2)</f>
        <v>-2821</v>
      </c>
      <c r="AI49" s="227">
        <f t="array" ref="AI49">IF($G49=0, INDEX(LS_previous!$D$4:$AY$138, MATCH('Staging Table'!$A49, LS_previous!$B$4:$B$138, 0), MATCH(AI$4&amp;AI$5, LS_previous!$D$2:$AY$2&amp;LS_previous!$D$3:$AY$3, 0)),SUM(VLOOKUP($A49, LS_previous!$B$4:$AY$138, LS_previous!AA$149, FALSE), VLOOKUP('Staging Table'!$A49, LS_previous!$B$4:$AY$138,LS_previous!AY$149, FALSE))/2)</f>
        <v>117</v>
      </c>
      <c r="AJ49" s="424">
        <f t="array" ref="AJ49">INDEX(Demand_previous!$D$4:$AY$138, MATCH('Staging Table'!$A49, Demand_previous!$B$4:$B$138, 0), MATCH(AJ$4&amp;AJ$5,Demand_previous!$D$2:$AY$2&amp;Demand_previous!$D$3:$AY$3, 0))/1000</f>
        <v>7.4539999999999997</v>
      </c>
      <c r="AK49" s="424">
        <f t="array" ref="AK49">INDEX(Demand_previous!$D$4:$AY$138, MATCH('Staging Table'!$A49, Demand_previous!$B$4:$B$138, 0), MATCH(AK$4&amp;AK$5,Demand_previous!$D$2:$AY$2&amp;Demand_previous!$D$3:$AY$3, 0))/1000</f>
        <v>7.4320000000000004</v>
      </c>
      <c r="AL49" s="424">
        <f t="array" ref="AL49">INDEX(Demand_previous!$D$4:$AY$138, MATCH('Staging Table'!$A49, Demand_previous!$B$4:$B$138, 0), MATCH(AL$4&amp;AL$5,Demand_previous!$D$2:$AY$2&amp;Demand_previous!$D$3:$AY$3, 0))/1000</f>
        <v>9.3320000000000007</v>
      </c>
      <c r="AM49" s="424">
        <f t="array" ref="AM49">INDEX(Demand_previous!$D$4:$AY$138, MATCH('Staging Table'!$A49, Demand_previous!$B$4:$B$138, 0), MATCH(AM$4&amp;AM$5,Demand_previous!$D$2:$AY$2&amp;Demand_previous!$D$3:$AY$3, 0))/1000</f>
        <v>11.257999999999999</v>
      </c>
      <c r="AN49" s="424">
        <f t="array" ref="AN49">INDEX(Demand_previous!$D$4:$AY$138, MATCH('Staging Table'!$A49, Demand_previous!$B$4:$B$138, 0), MATCH(AN$4&amp;AN$5,Demand_previous!$D$2:$AY$2&amp;Demand_previous!$D$3:$AY$3, 0))/1000</f>
        <v>4.6989999999999998</v>
      </c>
      <c r="AO49" s="424">
        <f t="array" ref="AO49">INDEX(Demand_previous!$D$4:$AY$138, MATCH('Staging Table'!$A49, Demand_previous!$B$4:$B$138, 0), MATCH(AO$4&amp;AO$5,Demand_previous!$D$2:$AY$2&amp;Demand_previous!$D$3:$AY$3, 0))/1000</f>
        <v>4.843</v>
      </c>
      <c r="AP49" s="424">
        <f t="array" ref="AP49">INDEX(Demand_previous!$D$4:$AY$138, MATCH('Staging Table'!$A49, Demand_previous!$B$4:$B$138, 0), MATCH(AP$4&amp;AP$5,Demand_previous!$D$2:$AY$2&amp;Demand_previous!$D$3:$AY$3, 0))/1000</f>
        <v>8.5890000000000004</v>
      </c>
      <c r="AQ49" s="424">
        <f t="array" ref="AQ49">INDEX(Demand_previous!$D$4:$AY$138, MATCH('Staging Table'!$A49, Demand_previous!$B$4:$B$138, 0), MATCH(AQ$4&amp;AQ$5,Demand_previous!$D$2:$AY$2&amp;Demand_previous!$D$3:$AY$3, 0))/1000</f>
        <v>7.3440000000000003</v>
      </c>
      <c r="AR49" s="424">
        <f t="array" ref="AR49">INDEX(Demand_previous!$D$4:$AY$138, MATCH('Staging Table'!$A49, Demand_previous!$B$4:$B$138, 0), MATCH(AR$4&amp;AR$5,Demand_previous!$D$2:$AY$2&amp;Demand_previous!$D$3:$AY$3, 0))/1000</f>
        <v>6.8140000000000001</v>
      </c>
      <c r="AS49" s="424">
        <f t="array" ref="AS49">INDEX(Demand_previous!$D$4:$AY$138, MATCH('Staging Table'!$A49, Demand_previous!$B$4:$B$138, 0), MATCH(AS$4&amp;AS$5,Demand_previous!$D$2:$AY$2&amp;Demand_previous!$D$3:$AY$3, 0))/1000</f>
        <v>8.0939999999999994</v>
      </c>
      <c r="AT49" s="424">
        <f t="array" ref="AT49">INDEX(Demand_previous!$D$4:$AY$138, MATCH('Staging Table'!$A49, Demand_previous!$B$4:$B$138, 0), MATCH(AT$4&amp;AT$5,Demand_previous!$D$2:$AY$2&amp;Demand_previous!$D$3:$AY$3, 0))/1000</f>
        <v>13.65</v>
      </c>
      <c r="AU49" s="424">
        <f t="array" ref="AU49">INDEX(Demand_previous!$D$4:$AY$138, MATCH('Staging Table'!$A49, Demand_previous!$B$4:$B$138, 0), MATCH(AU$4&amp;AU$5,Demand_previous!$D$2:$AY$2&amp;Demand_previous!$D$3:$AY$3, 0))/1000</f>
        <v>9.0120000000000005</v>
      </c>
      <c r="AV49" s="227">
        <f>$F49*(VLOOKUP(AV$4, Rates_previous!$G$6:$Q$29, 10, FALSE)+VLOOKUP(AV$4, Rates_previous!$G$6:$Q$29, 11, FALSE))</f>
        <v>37830.9497182872</v>
      </c>
      <c r="AW49" s="227">
        <f>$F49*(VLOOKUP(AW$4, Rates_previous!$G$6:$Q$29, 10, FALSE)+VLOOKUP(AW$4, Rates_previous!$G$6:$Q$29, 11, FALSE))</f>
        <v>46756.178547246629</v>
      </c>
      <c r="AX49" s="227">
        <f>$F49*(VLOOKUP(AX$4, Rates_previous!$G$6:$Q$29, 10, FALSE)+VLOOKUP(AX$4, Rates_previous!$G$6:$Q$29, 11, FALSE))</f>
        <v>46194.692765984946</v>
      </c>
      <c r="AY49" s="227">
        <f>$F49*(VLOOKUP(AY$4, Rates_previous!$G$6:$Q$29, 10, FALSE)+VLOOKUP(AY$4, Rates_previous!$G$6:$Q$29, 11, FALSE))</f>
        <v>39468.961887115431</v>
      </c>
      <c r="AZ49" s="227">
        <f>$F49*(VLOOKUP(AZ$4, Rates_previous!$G$6:$Q$29, 10, FALSE)+VLOOKUP(AZ$4, Rates_previous!$G$6:$Q$29, 11, FALSE))</f>
        <v>32356.892907590362</v>
      </c>
      <c r="BA49" s="227">
        <f>$F49*(VLOOKUP(BA$4, Rates_previous!$G$6:$Q$29, 10, FALSE)+VLOOKUP(BA$4, Rates_previous!$G$6:$Q$29, 11, FALSE))</f>
        <v>38309.385891161037</v>
      </c>
      <c r="BB49" s="227">
        <f>$F49*(VLOOKUP(BB$4, Rates_previous!$G$6:$Q$29, 10, FALSE)+VLOOKUP(BB$4, Rates_previous!$G$6:$Q$29, 11, FALSE))</f>
        <v>36820.89228155202</v>
      </c>
      <c r="BC49" s="227">
        <f>$F49*(VLOOKUP(BC$4, Rates_previous!$G$6:$Q$29, 10, FALSE)+VLOOKUP(BC$4, Rates_previous!$G$6:$Q$29, 11, FALSE))</f>
        <v>54032.053875673853</v>
      </c>
      <c r="BD49" s="227">
        <f>$F49*(VLOOKUP(BD$4, Rates_previous!$G$6:$Q$29, 10, FALSE)+VLOOKUP(BD$4, Rates_previous!$G$6:$Q$29, 11, FALSE))</f>
        <v>42629.862423315084</v>
      </c>
      <c r="BE49" s="227">
        <f>$F49*(VLOOKUP(BE$4, Rates_previous!$G$6:$Q$29, 10, FALSE)+VLOOKUP(BE$4, Rates_previous!$G$6:$Q$29, 11, FALSE))</f>
        <v>37432.597367778013</v>
      </c>
      <c r="BF49" s="227">
        <f>$F49*(VLOOKUP(BF$4, Rates_previous!$G$6:$Q$29, 10, FALSE)+VLOOKUP(BF$4, Rates_previous!$G$6:$Q$29, 11, FALSE))</f>
        <v>41458.099926071351</v>
      </c>
      <c r="BG49" s="227">
        <f>$F49*(VLOOKUP(BG$4, Rates_previous!$G$6:$Q$29, 10, FALSE)+VLOOKUP(BG$4, Rates_previous!$G$6:$Q$29, 11, FALSE))</f>
        <v>37559.389847715946</v>
      </c>
      <c r="BH49" s="229">
        <f>IF($D49=0,IF(C49=0, MAX(BK49 - (VLOOKUP($A49,TOCA_previous!$A$2:$AI$137,MATCH("RHWM 2018",TOCA_previous!$A$2:$AI$2,0),FALSE)*$F$2*TOCA_previous!C46),0),0), 0)</f>
        <v>0</v>
      </c>
      <c r="BI49" s="266">
        <f>VLOOKUP($A49,REP_previous!$A$1:$D$135,MATCH("FY "&amp;$F$1&amp; " Total Refund",REP_previous!$A$1:$D$1,0),0)</f>
        <v>585492.23640435282</v>
      </c>
      <c r="BJ49" s="241">
        <f>MIN(VLOOKUP($A49,TOCA_previous!$A$2:$AI$137,MATCH("TRL - NLSL - Existing Resource "&amp;$F$1,TOCA_previous!$A$2:$AI$2,0),FALSE)*$F$2,(VLOOKUP($A49,TOCA_previous!$A$2:$AI$137,MATCH("RHWM 2018",TOCA_previous!$A$2:$AI$2,0),FALSE)*$F$2))</f>
        <v>490849.08</v>
      </c>
      <c r="BK49" s="229">
        <f>SUM(L49:AI49)+(F49*RT1SC!$C$3*$F$2)</f>
        <v>478542.964600568</v>
      </c>
      <c r="BL49" s="241">
        <f>VLOOKUP($A49,TOCA_previous!$A$2:$AI$137,MATCH("Above RHWM Not Served with LS "&amp;$F$1,TOCA_previous!$A$2:$AI$2,0),FALSE)*$F$2</f>
        <v>0</v>
      </c>
      <c r="BM49" s="151">
        <f t="shared" si="5"/>
        <v>-12306.115399432019</v>
      </c>
      <c r="BN49" s="242">
        <f>(VLOOKUP($A49,TOCA_previous!$A$2:$AI$137,MATCH("RHWM 2018",TOCA_previous!$A$2:$AI$2,0),FALSE)*$F$2) - $BJ49</f>
        <v>11230.319999999949</v>
      </c>
      <c r="BO49" s="151">
        <f t="shared" si="6"/>
        <v>0</v>
      </c>
      <c r="BP49" s="243">
        <f t="shared" si="7"/>
        <v>12306.115399432019</v>
      </c>
      <c r="BQ49" s="237">
        <f t="shared" si="8"/>
        <v>0</v>
      </c>
      <c r="BR49" s="242">
        <f t="shared" si="9"/>
        <v>12306.115399432019</v>
      </c>
      <c r="BS49" s="151">
        <f>VLOOKUP($A49,TOCA_current!$A$2:$AI$137,MATCH(BS$4,TOCA_current!$A$2:$AI$2,0),FALSE)</f>
        <v>7.7555999999999996E-3</v>
      </c>
      <c r="BT49" s="151">
        <f>VLOOKUP($A49,TOCA_current!$A$2:$AI$137,MATCH(BT$4,TOCA_current!$A$2:$AI$2,0),FALSE)</f>
        <v>7.7555999999999996E-3</v>
      </c>
      <c r="BU49" s="236">
        <f t="shared" si="10"/>
        <v>0</v>
      </c>
      <c r="BV49" s="151">
        <f>VLOOKUP($A49,TOCA_current!A45:BG180,MATCH(BV$4,TOCA_current!$A$2:$BG$2,0),FALSE)</f>
        <v>0</v>
      </c>
      <c r="BW49" s="151">
        <f t="shared" si="11"/>
        <v>0</v>
      </c>
      <c r="BX49" s="151">
        <f t="shared" si="12"/>
        <v>0</v>
      </c>
      <c r="BY49" s="226">
        <f>VLOOKUP($A49,IRD!$A$4:$G$139, 7, FALSE)</f>
        <v>0</v>
      </c>
      <c r="BZ49" s="227">
        <f t="array" ref="BZ49">IF($BU49=0, INDEX(LS_current!$D$4:$AY$138, MATCH('Staging Table'!$A49, LS_current!$B$4:$B$138, 0), MATCH(BZ$4&amp;BZ$5, LS_current!$D$2:$AY$2&amp;LS_current!$D$3:$AY$3, 0)),SUM(VLOOKUP($A49, LS_current!$B$4:$AY$138, LS_current!D$148, FALSE), VLOOKUP($A49, LS_current!$B$4:$AY$138,LS_current!D$148, FALSE))/2)</f>
        <v>374</v>
      </c>
      <c r="CA49" s="227">
        <f t="array" ref="CA49">IF($BU49=0, INDEX(LS_current!$D$4:$AY$138, MATCH('Staging Table'!$A49, LS_current!$B$4:$B$138, 0), MATCH(CA$4&amp;CA$5, LS_current!$D$2:$AY$2&amp;LS_current!$D$3:$AY$3, 0)),SUM(VLOOKUP($A49, LS_current!$B$4:$AY$138, LS_current!E$148, FALSE), VLOOKUP($A49, LS_current!$B$4:$AY$138,LS_current!E$148, FALSE))/2)</f>
        <v>1835</v>
      </c>
      <c r="CB49" s="227">
        <f t="array" ref="CB49">IF($BU49=0, INDEX(LS_current!$D$4:$AY$138, MATCH('Staging Table'!$A49, LS_current!$B$4:$B$138, 0), MATCH(CB$4&amp;CB$5, LS_current!$D$2:$AY$2&amp;LS_current!$D$3:$AY$3, 0)),SUM(VLOOKUP($A49, LS_current!$B$4:$AY$138, LS_current!F$148, FALSE), VLOOKUP($A49, LS_current!$B$4:$AY$138,LS_current!F$148, FALSE))/2)</f>
        <v>-2902</v>
      </c>
      <c r="CC49" s="227">
        <f t="array" ref="CC49">IF($BU49=0, INDEX(LS_current!$D$4:$AY$138, MATCH('Staging Table'!$A49, LS_current!$B$4:$B$138, 0), MATCH(CC$4&amp;CC$5, LS_current!$D$2:$AY$2&amp;LS_current!$D$3:$AY$3, 0)),SUM(VLOOKUP($A49, LS_current!$B$4:$AY$138, LS_current!G$148, FALSE), VLOOKUP($A49, LS_current!$B$4:$AY$138,LS_current!G$148, FALSE))/2)</f>
        <v>162</v>
      </c>
      <c r="CD49" s="227">
        <f t="array" ref="CD49">IF($BU49=0, INDEX(LS_current!$D$4:$AY$138, MATCH('Staging Table'!$A49, LS_current!$B$4:$B$138, 0), MATCH(CD$4&amp;CD$5, LS_current!$D$2:$AY$2&amp;LS_current!$D$3:$AY$3, 0)),SUM(VLOOKUP($A49, LS_current!$B$4:$AY$138, LS_current!H$148, FALSE), VLOOKUP($A49, LS_current!$B$4:$AY$138,LS_current!H$148, FALSE))/2)</f>
        <v>1349</v>
      </c>
      <c r="CE49" s="227">
        <f t="array" ref="CE49">IF($BU49=0, INDEX(LS_current!$D$4:$AY$138, MATCH('Staging Table'!$A49, LS_current!$B$4:$B$138, 0), MATCH(CE$4&amp;CE$5, LS_current!$D$2:$AY$2&amp;LS_current!$D$3:$AY$3, 0)),SUM(VLOOKUP($A49, LS_current!$B$4:$AY$138, LS_current!I$148, FALSE), VLOOKUP($A49, LS_current!$B$4:$AY$138,LS_current!I$148, FALSE))/2)</f>
        <v>2482</v>
      </c>
      <c r="CF49" s="227">
        <f t="array" ref="CF49">IF($BU49=0, INDEX(LS_current!$D$4:$AY$138, MATCH('Staging Table'!$A49, LS_current!$B$4:$B$138, 0), MATCH(CF$4&amp;CF$5, LS_current!$D$2:$AY$2&amp;LS_current!$D$3:$AY$3, 0)),SUM(VLOOKUP($A49, LS_current!$B$4:$AY$138, LS_current!J$148, FALSE), VLOOKUP($A49, LS_current!$B$4:$AY$138,LS_current!J$148, FALSE))/2)</f>
        <v>5204</v>
      </c>
      <c r="CG49" s="227">
        <f t="array" ref="CG49">IF($BU49=0, INDEX(LS_current!$D$4:$AY$138, MATCH('Staging Table'!$A49, LS_current!$B$4:$B$138, 0), MATCH(CG$4&amp;CG$5, LS_current!$D$2:$AY$2&amp;LS_current!$D$3:$AY$3, 0)),SUM(VLOOKUP($A49, LS_current!$B$4:$AY$138, LS_current!K$148, FALSE), VLOOKUP($A49, LS_current!$B$4:$AY$138,LS_current!K$148, FALSE))/2)</f>
        <v>5343</v>
      </c>
      <c r="CH49" s="227">
        <f t="array" ref="CH49">IF($BU49=0, INDEX(LS_current!$D$4:$AY$138, MATCH('Staging Table'!$A49, LS_current!$B$4:$B$138, 0), MATCH(CH$4&amp;CH$5, LS_current!$D$2:$AY$2&amp;LS_current!$D$3:$AY$3, 0)),SUM(VLOOKUP($A49, LS_current!$B$4:$AY$138, LS_current!L$148, FALSE), VLOOKUP($A49, LS_current!$B$4:$AY$138,LS_current!L$148, FALSE))/2)</f>
        <v>4763</v>
      </c>
      <c r="CI49" s="227">
        <f t="array" ref="CI49">IF($BU49=0, INDEX(LS_current!$D$4:$AY$138, MATCH('Staging Table'!$A49, LS_current!$B$4:$B$138, 0), MATCH(CI$4&amp;CI$5, LS_current!$D$2:$AY$2&amp;LS_current!$D$3:$AY$3, 0)),SUM(VLOOKUP($A49, LS_current!$B$4:$AY$138, LS_current!M$148, FALSE), VLOOKUP($A49, LS_current!$B$4:$AY$138,LS_current!M$148, FALSE))/2)</f>
        <v>3680</v>
      </c>
      <c r="CJ49" s="227">
        <f t="array" ref="CJ49">IF($BU49=0, INDEX(LS_current!$D$4:$AY$138, MATCH('Staging Table'!$A49, LS_current!$B$4:$B$138, 0), MATCH(CJ$4&amp;CJ$5, LS_current!$D$2:$AY$2&amp;LS_current!$D$3:$AY$3, 0)),SUM(VLOOKUP($A49, LS_current!$B$4:$AY$138, LS_current!N$148, FALSE), VLOOKUP($A49, LS_current!$B$4:$AY$138,LS_current!N$148, FALSE))/2)</f>
        <v>1561</v>
      </c>
      <c r="CK49" s="227">
        <f t="array" ref="CK49">IF($BU49=0, INDEX(LS_current!$D$4:$AY$138, MATCH('Staging Table'!$A49, LS_current!$B$4:$B$138, 0), MATCH(CK$4&amp;CK$5, LS_current!$D$2:$AY$2&amp;LS_current!$D$3:$AY$3, 0)),SUM(VLOOKUP($A49, LS_current!$B$4:$AY$138, LS_current!O$148, FALSE), VLOOKUP($A49, LS_current!$B$4:$AY$138,LS_current!O$148, FALSE))/2)</f>
        <v>1908</v>
      </c>
      <c r="CL49" s="227">
        <f t="array" ref="CL49">IF($BU49=0, INDEX(LS_current!$D$4:$AY$138, MATCH('Staging Table'!$A49, LS_current!$B$4:$B$138, 0), MATCH(CL$4&amp;CL$5, LS_current!$D$2:$AY$2&amp;LS_current!$D$3:$AY$3, 0)),SUM(VLOOKUP($A49, LS_current!$B$4:$AY$138, LS_current!P$148, FALSE), VLOOKUP($A49, LS_current!$B$4:$AY$138,LS_current!P$148, FALSE))/2)</f>
        <v>4140</v>
      </c>
      <c r="CM49" s="227">
        <f t="array" ref="CM49">IF($BU49=0, INDEX(LS_current!$D$4:$AY$138, MATCH('Staging Table'!$A49, LS_current!$B$4:$B$138, 0), MATCH(CM$4&amp;CM$5, LS_current!$D$2:$AY$2&amp;LS_current!$D$3:$AY$3, 0)),SUM(VLOOKUP($A49, LS_current!$B$4:$AY$138, LS_current!Q$148, FALSE), VLOOKUP($A49, LS_current!$B$4:$AY$138,LS_current!Q$148, FALSE))/2)</f>
        <v>3069</v>
      </c>
      <c r="CN49" s="227">
        <f t="array" ref="CN49">IF($BU49=0, INDEX(LS_current!$D$4:$AY$138, MATCH('Staging Table'!$A49, LS_current!$B$4:$B$138, 0), MATCH(CN$4&amp;CN$5, LS_current!$D$2:$AY$2&amp;LS_current!$D$3:$AY$3, 0)),SUM(VLOOKUP($A49, LS_current!$B$4:$AY$138, LS_current!R$148, FALSE), VLOOKUP($A49, LS_current!$B$4:$AY$138,LS_current!R$148, FALSE))/2)</f>
        <v>-4602</v>
      </c>
      <c r="CO49" s="227">
        <f t="array" ref="CO49">IF($BU49=0, INDEX(LS_current!$D$4:$AY$138, MATCH('Staging Table'!$A49, LS_current!$B$4:$B$138, 0), MATCH(CO$4&amp;CO$5, LS_current!$D$2:$AY$2&amp;LS_current!$D$3:$AY$3, 0)),SUM(VLOOKUP($A49, LS_current!$B$4:$AY$138, LS_current!S$148, FALSE), VLOOKUP($A49, LS_current!$B$4:$AY$138,LS_current!S$148, FALSE))/2)</f>
        <v>32</v>
      </c>
      <c r="CP49" s="227">
        <f t="array" ref="CP49">IF($BU49=0, INDEX(LS_current!$D$4:$AY$138, MATCH('Staging Table'!$A49, LS_current!$B$4:$B$138, 0), MATCH(CP$4&amp;CP$5, LS_current!$D$2:$AY$2&amp;LS_current!$D$3:$AY$3, 0)),SUM(VLOOKUP($A49, LS_current!$B$4:$AY$138, LS_current!T$148, FALSE), VLOOKUP($A49, LS_current!$B$4:$AY$138,LS_current!T$148, FALSE))/2)</f>
        <v>-12942</v>
      </c>
      <c r="CQ49" s="227">
        <f t="array" ref="CQ49">IF($BU49=0, INDEX(LS_current!$D$4:$AY$138, MATCH('Staging Table'!$A49, LS_current!$B$4:$B$138, 0), MATCH(CQ$4&amp;CQ$5, LS_current!$D$2:$AY$2&amp;LS_current!$D$3:$AY$3, 0)),SUM(VLOOKUP($A49, LS_current!$B$4:$AY$138, LS_current!U$148, FALSE), VLOOKUP($A49, LS_current!$B$4:$AY$138,LS_current!U$148, FALSE))/2)</f>
        <v>-5726</v>
      </c>
      <c r="CR49" s="227">
        <f t="array" ref="CR49">IF($BU49=0, INDEX(LS_current!$D$4:$AY$138, MATCH('Staging Table'!$A49, LS_current!$B$4:$B$138, 0), MATCH(CR$4&amp;CR$5, LS_current!$D$2:$AY$2&amp;LS_current!$D$3:$AY$3, 0)),SUM(VLOOKUP($A49, LS_current!$B$4:$AY$138, LS_current!V$148, FALSE), VLOOKUP($A49, LS_current!$B$4:$AY$138,LS_current!V$148, FALSE))/2)</f>
        <v>-6385</v>
      </c>
      <c r="CS49" s="227">
        <f t="array" ref="CS49">IF($BU49=0, INDEX(LS_current!$D$4:$AY$138, MATCH('Staging Table'!$A49, LS_current!$B$4:$B$138, 0), MATCH(CS$4&amp;CS$5, LS_current!$D$2:$AY$2&amp;LS_current!$D$3:$AY$3, 0)),SUM(VLOOKUP($A49, LS_current!$B$4:$AY$138, LS_current!W$148, FALSE), VLOOKUP($A49, LS_current!$B$4:$AY$138,LS_current!W$148, FALSE))/2)</f>
        <v>1439</v>
      </c>
      <c r="CT49" s="227">
        <f t="array" ref="CT49">IF($BU49=0, INDEX(LS_current!$D$4:$AY$138, MATCH('Staging Table'!$A49, LS_current!$B$4:$B$138, 0), MATCH(CT$4&amp;CT$5, LS_current!$D$2:$AY$2&amp;LS_current!$D$3:$AY$3, 0)),SUM(VLOOKUP($A49, LS_current!$B$4:$AY$138, LS_current!X$148, FALSE), VLOOKUP($A49, LS_current!$B$4:$AY$138,LS_current!X$148, FALSE))/2)</f>
        <v>-4359</v>
      </c>
      <c r="CU49" s="227">
        <f t="array" ref="CU49">IF($BU49=0, INDEX(LS_current!$D$4:$AY$138, MATCH('Staging Table'!$A49, LS_current!$B$4:$B$138, 0), MATCH(CU$4&amp;CU$5, LS_current!$D$2:$AY$2&amp;LS_current!$D$3:$AY$3, 0)),SUM(VLOOKUP($A49, LS_current!$B$4:$AY$138, LS_current!Y$148, FALSE), VLOOKUP($A49, LS_current!$B$4:$AY$138,LS_current!Y$148, FALSE))/2)</f>
        <v>969</v>
      </c>
      <c r="CV49" s="227">
        <f t="array" ref="CV49">IF($BU49=0, INDEX(LS_current!$D$4:$AY$138, MATCH('Staging Table'!$A49, LS_current!$B$4:$B$138, 0), MATCH(CV$4&amp;CV$5, LS_current!$D$2:$AY$2&amp;LS_current!$D$3:$AY$3, 0)),SUM(VLOOKUP($A49, LS_current!$B$4:$AY$138, LS_current!Z$148, FALSE), VLOOKUP($A49, LS_current!$B$4:$AY$138,LS_current!Z$148, FALSE))/2)</f>
        <v>-2027</v>
      </c>
      <c r="CW49" s="227">
        <f t="array" ref="CW49">IF($BU49=0, INDEX(LS_current!$D$4:$AY$138, MATCH('Staging Table'!$A49, LS_current!$B$4:$B$138, 0), MATCH(CW$4&amp;CW$5, LS_current!$D$2:$AY$2&amp;LS_current!$D$3:$AY$3, 0)),SUM(VLOOKUP($A49, LS_current!$B$4:$AY$138, LS_current!AA$148, FALSE), VLOOKUP($A49, LS_current!$B$4:$AY$138,LS_current!AA$148, FALSE))/2)</f>
        <v>632</v>
      </c>
      <c r="CX49" s="229">
        <f t="array" ref="CX49">INDEX(Demand_current!$D$4:$AY$138, MATCH($A49, Demand_current!$B$4:$B$138, 0), MATCH(CX$4&amp;CX$5,Demand_current!$D$2:$AY$2&amp;Demand_current!$D$3:$AY$3, 0))/1000</f>
        <v>9.5649999999999995</v>
      </c>
      <c r="CY49" s="229">
        <f t="array" ref="CY49">INDEX(Demand_current!$D$4:$AY$138, MATCH($A49, Demand_current!$B$4:$B$138, 0), MATCH(CY$4&amp;CY$5,Demand_current!$D$2:$AY$2&amp;Demand_current!$D$3:$AY$3, 0))/1000</f>
        <v>7.4320000000000004</v>
      </c>
      <c r="CZ49" s="229">
        <f t="array" ref="CZ49">INDEX(Demand_current!$D$4:$AY$138, MATCH($A49, Demand_current!$B$4:$B$138, 0), MATCH(CZ$4&amp;CZ$5,Demand_current!$D$2:$AY$2&amp;Demand_current!$D$3:$AY$3, 0))/1000</f>
        <v>9.3320000000000007</v>
      </c>
      <c r="DA49" s="229">
        <f t="array" ref="DA49">INDEX(Demand_current!$D$4:$AY$138, MATCH($A49, Demand_current!$B$4:$B$138, 0), MATCH(DA$4&amp;DA$5,Demand_current!$D$2:$AY$2&amp;Demand_current!$D$3:$AY$3, 0))/1000</f>
        <v>11.257999999999999</v>
      </c>
      <c r="DB49" s="229">
        <f t="array" ref="DB49">INDEX(Demand_current!$D$4:$AY$138, MATCH($A49, Demand_current!$B$4:$B$138, 0), MATCH(DB$4&amp;DB$5,Demand_current!$D$2:$AY$2&amp;Demand_current!$D$3:$AY$3, 0))/1000</f>
        <v>7.4249999999999998</v>
      </c>
      <c r="DC49" s="229">
        <f t="array" ref="DC49">INDEX(Demand_current!$D$4:$AY$138, MATCH($A49, Demand_current!$B$4:$B$138, 0), MATCH(DC$4&amp;DC$5,Demand_current!$D$2:$AY$2&amp;Demand_current!$D$3:$AY$3, 0))/1000</f>
        <v>2.5670000000000002</v>
      </c>
      <c r="DD49" s="229">
        <f t="array" ref="DD49">INDEX(Demand_current!$D$4:$AY$138, MATCH($A49, Demand_current!$B$4:$B$138, 0), MATCH(DD$4&amp;DD$5,Demand_current!$D$2:$AY$2&amp;Demand_current!$D$3:$AY$3, 0))/1000</f>
        <v>10.846</v>
      </c>
      <c r="DE49" s="229">
        <f t="array" ref="DE49">INDEX(Demand_current!$D$4:$AY$138, MATCH($A49, Demand_current!$B$4:$B$138, 0), MATCH(DE$4&amp;DE$5,Demand_current!$D$2:$AY$2&amp;Demand_current!$D$3:$AY$3, 0))/1000</f>
        <v>5.2</v>
      </c>
      <c r="DF49" s="229">
        <f t="array" ref="DF49">INDEX(Demand_current!$D$4:$AY$138, MATCH($A49, Demand_current!$B$4:$B$138, 0), MATCH(DF$4&amp;DF$5,Demand_current!$D$2:$AY$2&amp;Demand_current!$D$3:$AY$3, 0))/1000</f>
        <v>6.8140000000000001</v>
      </c>
      <c r="DG49" s="229">
        <f t="array" ref="DG49">INDEX(Demand_current!$D$4:$AY$138, MATCH($A49, Demand_current!$B$4:$B$138, 0), MATCH(DG$4&amp;DG$5,Demand_current!$D$2:$AY$2&amp;Demand_current!$D$3:$AY$3, 0))/1000</f>
        <v>10.225</v>
      </c>
      <c r="DH49" s="229">
        <f t="array" ref="DH49">INDEX(Demand_current!$D$4:$AY$138, MATCH($A49, Demand_current!$B$4:$B$138, 0), MATCH(DH$4&amp;DH$5,Demand_current!$D$2:$AY$2&amp;Demand_current!$D$3:$AY$3, 0))/1000</f>
        <v>11.574</v>
      </c>
      <c r="DI49" s="229">
        <f t="array" ref="DI49">INDEX(Demand_current!$D$4:$AY$138, MATCH($A49, Demand_current!$B$4:$B$138, 0), MATCH(DI$4&amp;DI$5,Demand_current!$D$2:$AY$2&amp;Demand_current!$D$3:$AY$3, 0))/1000</f>
        <v>11.218999999999999</v>
      </c>
      <c r="DJ49" s="227">
        <f>$BT49*(VLOOKUP(DJ$4, Rates_current!$G$6:$Q$29, 10, FALSE)+VLOOKUP(DJ$4, Rates_current!$G$6:$Q$29, 11, FALSE))</f>
        <v>35810.065245297592</v>
      </c>
      <c r="DK49" s="227">
        <f>$BT49*(VLOOKUP(DK$4, Rates_current!$G$6:$Q$29, 10, FALSE)+VLOOKUP(DK$4, Rates_current!$G$6:$Q$29, 11, FALSE))</f>
        <v>45489.954028388398</v>
      </c>
      <c r="DL49" s="227">
        <f>$BT49*(VLOOKUP(DL$4, Rates_current!$G$6:$Q$29, 10, FALSE)+VLOOKUP(DL$4, Rates_current!$G$6:$Q$29, 11, FALSE))</f>
        <v>44940.601280097602</v>
      </c>
      <c r="DM49" s="227">
        <f>$BT49*(VLOOKUP(DM$4, Rates_current!$G$6:$Q$29, 10, FALSE)+VLOOKUP(DM$4, Rates_current!$G$6:$Q$29, 11, FALSE))</f>
        <v>37460.728371297599</v>
      </c>
      <c r="DN49" s="227">
        <f>$BT49*(VLOOKUP(DN$4, Rates_current!$G$6:$Q$29, 10, FALSE)+VLOOKUP(DN$4, Rates_current!$G$6:$Q$29, 11, FALSE))</f>
        <v>33935.533654079998</v>
      </c>
      <c r="DO49" s="227">
        <f>$BT49*(VLOOKUP(DO$4, Rates_current!$G$6:$Q$29, 10, FALSE)+VLOOKUP(DO$4, Rates_current!$G$6:$Q$29, 11, FALSE))</f>
        <v>37747.094136997199</v>
      </c>
      <c r="DP49" s="227">
        <f>$BT49*(VLOOKUP(DP$4, Rates_current!$G$6:$Q$29, 10, FALSE)+VLOOKUP(DP$4, Rates_current!$G$6:$Q$29, 11, FALSE))</f>
        <v>30733.724779487999</v>
      </c>
      <c r="DQ49" s="227">
        <f>$BT49*(VLOOKUP(DQ$4, Rates_current!$G$6:$Q$29, 10, FALSE)+VLOOKUP(DQ$4, Rates_current!$G$6:$Q$29, 11, FALSE))</f>
        <v>41449.010771097601</v>
      </c>
      <c r="DR49" s="227">
        <f>$BT49*(VLOOKUP(DR$4, Rates_current!$G$6:$Q$29, 10, FALSE)+VLOOKUP(DR$4, Rates_current!$G$6:$Q$29, 11, FALSE))</f>
        <v>52886.118737688004</v>
      </c>
      <c r="DS49" s="227">
        <f>$BT49*(VLOOKUP(DS$4, Rates_current!$G$6:$Q$29, 10, FALSE)+VLOOKUP(DS$4, Rates_current!$G$6:$Q$29, 11, FALSE))</f>
        <v>41464.394003697598</v>
      </c>
      <c r="DT49" s="227">
        <f>$BT49*(VLOOKUP(DT$4, Rates_current!$G$6:$Q$29, 10, FALSE)+VLOOKUP(DT$4, Rates_current!$G$6:$Q$29, 11, FALSE))</f>
        <v>40378.063233897599</v>
      </c>
      <c r="DU49" s="227">
        <f>$BT49*(VLOOKUP(DU$4, Rates_current!$G$6:$Q$29, 10, FALSE)+VLOOKUP(DU$4, Rates_current!$G$6:$Q$29, 11, FALSE))</f>
        <v>36250.911263088004</v>
      </c>
      <c r="DV49" s="229">
        <f>IF(D49=0,IF(C49=0,MAX(0,DY49 - (VLOOKUP($A49,TOCA_current!$A$2:$AI$137,MATCH("RHWM 2020",TOCA_current!$A$2:$AI$2,0),FALSE)*$BT$2)), 0),0)</f>
        <v>0</v>
      </c>
      <c r="DW49" s="266">
        <f>VLOOKUP($A49,REP_current!$A$1:$D$135,MATCH("FY "&amp;$BT$1&amp; " Total Refund",REP_current!$A$1:$D$1,0),0)</f>
        <v>0</v>
      </c>
      <c r="DX49" s="295">
        <f>MIN(VLOOKUP($A49,TOCA_current!$A$2:$AI$137,MATCH("TRL - NLSL - Existing Resource "&amp;$BT$1,TOCA_current!$A$2:$AI$2,0),FALSE)*$BT$2, VLOOKUP($A49,TOCA_current!$A$2:$AI$137,MATCH("RHWM 2020",TOCA_current!$A$2:$AI$2,0),FALSE)*$BT$2)</f>
        <v>478543.53600000002</v>
      </c>
      <c r="DY49" s="240">
        <f>SUM(BZ49:CW49)+(BT49*RT1SC!$C$4*$BT$2)</f>
        <v>478545.21746708476</v>
      </c>
      <c r="DZ49" s="271">
        <f>VLOOKUP($A49,TOCA_current!$A$2:$AI$137,MATCH("Above RHWM Not Served with LS "&amp;$BT$1,TOCA_current!$A$2:$AI$2,0),FALSE)*$BT$2</f>
        <v>0</v>
      </c>
      <c r="EA49" s="244">
        <f t="shared" si="13"/>
        <v>1.6814670847379602</v>
      </c>
      <c r="EB49" s="295">
        <f>(VLOOKUP($A49,TOCA_current!$A$2:$AI$137,MATCH("RHWM 2020",TOCA_current!$A$2:$AI$2,0),FALSE)*$BT$2) - $DX49</f>
        <v>30418.991999999969</v>
      </c>
      <c r="EC49" s="240">
        <f t="shared" si="14"/>
        <v>-1.6814670847379602</v>
      </c>
      <c r="ED49" s="240">
        <f t="shared" si="15"/>
        <v>0</v>
      </c>
      <c r="EE49" s="240">
        <f t="shared" si="16"/>
        <v>0</v>
      </c>
      <c r="EF49" s="240">
        <f t="shared" si="17"/>
        <v>-1.6814670847379602</v>
      </c>
    </row>
    <row r="50" spans="1:136">
      <c r="A50" s="166">
        <v>10113</v>
      </c>
      <c r="B50" s="167" t="s">
        <v>51</v>
      </c>
      <c r="C50" s="240">
        <v>0</v>
      </c>
      <c r="D50" s="240">
        <v>0</v>
      </c>
      <c r="E50" s="150">
        <f>VLOOKUP($A50,TOCA_previous!$A$2:$AI$137,MATCH(E$4,TOCA_previous!$A$2:$AI$2,0),FALSE)</f>
        <v>5.3404000000000004E-3</v>
      </c>
      <c r="F50" s="151">
        <f>VLOOKUP($A50,TOCA_previous!$A$2:$AI$137,MATCH(F$4,TOCA_previous!$A$2:$AI$2,0),FALSE)</f>
        <v>5.3404000000000004E-3</v>
      </c>
      <c r="G50" s="151">
        <f t="shared" si="2"/>
        <v>0</v>
      </c>
      <c r="H50" s="151">
        <f>VLOOKUP($A50,TOCA_previous!$A$2:$AI$137,MATCH(H$4,TOCA_previous!$A$2:$AI$2,0),FALSE)</f>
        <v>7.9993800000000004E-2</v>
      </c>
      <c r="I50" s="151">
        <f t="shared" si="3"/>
        <v>0</v>
      </c>
      <c r="J50" s="151">
        <f t="shared" si="4"/>
        <v>0</v>
      </c>
      <c r="K50" s="226">
        <f>VLOOKUP(A50, IRD!$A$5:$C$139, 3, FALSE)</f>
        <v>134655.962</v>
      </c>
      <c r="L50" s="227">
        <f t="array" ref="L50">IF($G50=0, INDEX(LS_previous!$D$4:$AY$138, MATCH('Staging Table'!$A50, LS_previous!$B$4:$B$138, 0), MATCH(L$4&amp;L$5, LS_previous!$D$2:$AY$2&amp;LS_previous!$D$3:$AY$3, 0)),SUM(VLOOKUP($A50, LS_previous!$B$4:$AY$138, LS_previous!D$149, FALSE), VLOOKUP('Staging Table'!$A50, LS_previous!$B$4:$AY$138,LS_previous!AB$149, FALSE))/2)</f>
        <v>-2867</v>
      </c>
      <c r="M50" s="227">
        <f t="array" ref="M50">IF($G50=0, INDEX(LS_previous!$D$4:$AY$138, MATCH('Staging Table'!$A50, LS_previous!$B$4:$B$138, 0), MATCH(M$4&amp;M$5, LS_previous!$D$2:$AY$2&amp;LS_previous!$D$3:$AY$3, 0)),SUM(VLOOKUP($A50, LS_previous!$B$4:$AY$138, LS_previous!E$149, FALSE), VLOOKUP('Staging Table'!$A50, LS_previous!$B$4:$AY$138,LS_previous!AC$149, FALSE))/2)</f>
        <v>-1126</v>
      </c>
      <c r="N50" s="227">
        <f t="array" ref="N50">IF($G50=0, INDEX(LS_previous!$D$4:$AY$138, MATCH('Staging Table'!$A50, LS_previous!$B$4:$B$138, 0), MATCH(N$4&amp;N$5, LS_previous!$D$2:$AY$2&amp;LS_previous!$D$3:$AY$3, 0)),SUM(VLOOKUP($A50, LS_previous!$B$4:$AY$138, LS_previous!F$149, FALSE), VLOOKUP('Staging Table'!$A50, LS_previous!$B$4:$AY$138,LS_previous!AD$149, FALSE))/2)</f>
        <v>-10665</v>
      </c>
      <c r="O50" s="227">
        <f t="array" ref="O50">IF($G50=0, INDEX(LS_previous!$D$4:$AY$138, MATCH('Staging Table'!$A50, LS_previous!$B$4:$B$138, 0), MATCH(O$4&amp;O$5, LS_previous!$D$2:$AY$2&amp;LS_previous!$D$3:$AY$3, 0)),SUM(VLOOKUP($A50, LS_previous!$B$4:$AY$138, LS_previous!G$149, FALSE), VLOOKUP('Staging Table'!$A50, LS_previous!$B$4:$AY$138,LS_previous!AE$149, FALSE))/2)</f>
        <v>-5500</v>
      </c>
      <c r="P50" s="227">
        <f t="array" ref="P50">IF($G50=0, INDEX(LS_previous!$D$4:$AY$138, MATCH('Staging Table'!$A50, LS_previous!$B$4:$B$138, 0), MATCH(P$4&amp;P$5, LS_previous!$D$2:$AY$2&amp;LS_previous!$D$3:$AY$3, 0)),SUM(VLOOKUP($A50, LS_previous!$B$4:$AY$138, LS_previous!H$149, FALSE), VLOOKUP('Staging Table'!$A50, LS_previous!$B$4:$AY$138,LS_previous!AF$149, FALSE))/2)</f>
        <v>-10451</v>
      </c>
      <c r="Q50" s="227">
        <f t="array" ref="Q50">IF($G50=0, INDEX(LS_previous!$D$4:$AY$138, MATCH('Staging Table'!$A50, LS_previous!$B$4:$B$138, 0), MATCH(Q$4&amp;Q$5, LS_previous!$D$2:$AY$2&amp;LS_previous!$D$3:$AY$3, 0)),SUM(VLOOKUP($A50, LS_previous!$B$4:$AY$138, LS_previous!I$149, FALSE), VLOOKUP('Staging Table'!$A50, LS_previous!$B$4:$AY$138,LS_previous!AG$149, FALSE))/2)</f>
        <v>-5319</v>
      </c>
      <c r="R50" s="227">
        <f t="array" ref="R50">IF($G50=0, INDEX(LS_previous!$D$4:$AY$138, MATCH('Staging Table'!$A50, LS_previous!$B$4:$B$138, 0), MATCH(R$4&amp;R$5, LS_previous!$D$2:$AY$2&amp;LS_previous!$D$3:$AY$3, 0)),SUM(VLOOKUP($A50, LS_previous!$B$4:$AY$138, LS_previous!J$149, FALSE), VLOOKUP('Staging Table'!$A50, LS_previous!$B$4:$AY$138,LS_previous!AH$149, FALSE))/2)</f>
        <v>-7540</v>
      </c>
      <c r="S50" s="227">
        <f t="array" ref="S50">IF($G50=0, INDEX(LS_previous!$D$4:$AY$138, MATCH('Staging Table'!$A50, LS_previous!$B$4:$B$138, 0), MATCH(S$4&amp;S$5, LS_previous!$D$2:$AY$2&amp;LS_previous!$D$3:$AY$3, 0)),SUM(VLOOKUP($A50, LS_previous!$B$4:$AY$138, LS_previous!K$149, FALSE), VLOOKUP('Staging Table'!$A50, LS_previous!$B$4:$AY$138,LS_previous!AI$149, FALSE))/2)</f>
        <v>-4290</v>
      </c>
      <c r="T50" s="227">
        <f t="array" ref="T50">IF($G50=0, INDEX(LS_previous!$D$4:$AY$138, MATCH('Staging Table'!$A50, LS_previous!$B$4:$B$138, 0), MATCH(T$4&amp;T$5, LS_previous!$D$2:$AY$2&amp;LS_previous!$D$3:$AY$3, 0)),SUM(VLOOKUP($A50, LS_previous!$B$4:$AY$138, LS_previous!L$149, FALSE), VLOOKUP('Staging Table'!$A50, LS_previous!$B$4:$AY$138,LS_previous!AJ$149, FALSE))/2)</f>
        <v>-5914</v>
      </c>
      <c r="U50" s="227">
        <f t="array" ref="U50">IF($G50=0, INDEX(LS_previous!$D$4:$AY$138, MATCH('Staging Table'!$A50, LS_previous!$B$4:$B$138, 0), MATCH(U$4&amp;U$5, LS_previous!$D$2:$AY$2&amp;LS_previous!$D$3:$AY$3, 0)),SUM(VLOOKUP($A50, LS_previous!$B$4:$AY$138, LS_previous!M$149, FALSE), VLOOKUP('Staging Table'!$A50, LS_previous!$B$4:$AY$138,LS_previous!AK$149, FALSE))/2)</f>
        <v>-3246</v>
      </c>
      <c r="V50" s="227">
        <f t="array" ref="V50">IF($G50=0, INDEX(LS_previous!$D$4:$AY$138, MATCH('Staging Table'!$A50, LS_previous!$B$4:$B$138, 0), MATCH(V$4&amp;V$5, LS_previous!$D$2:$AY$2&amp;LS_previous!$D$3:$AY$3, 0)),SUM(VLOOKUP($A50, LS_previous!$B$4:$AY$138, LS_previous!N$149, FALSE), VLOOKUP('Staging Table'!$A50, LS_previous!$B$4:$AY$138,LS_previous!AL$149, FALSE))/2)</f>
        <v>-6991</v>
      </c>
      <c r="W50" s="227">
        <f t="array" ref="W50">IF($G50=0, INDEX(LS_previous!$D$4:$AY$138, MATCH('Staging Table'!$A50, LS_previous!$B$4:$B$138, 0), MATCH(W$4&amp;W$5, LS_previous!$D$2:$AY$2&amp;LS_previous!$D$3:$AY$3, 0)),SUM(VLOOKUP($A50, LS_previous!$B$4:$AY$138, LS_previous!O$149, FALSE), VLOOKUP('Staging Table'!$A50, LS_previous!$B$4:$AY$138,LS_previous!AM$149, FALSE))/2)</f>
        <v>-3418</v>
      </c>
      <c r="X50" s="227">
        <f t="array" ref="X50">IF($G50=0, INDEX(LS_previous!$D$4:$AY$138, MATCH('Staging Table'!$A50, LS_previous!$B$4:$B$138, 0), MATCH(X$4&amp;X$5, LS_previous!$D$2:$AY$2&amp;LS_previous!$D$3:$AY$3, 0)),SUM(VLOOKUP($A50, LS_previous!$B$4:$AY$138, LS_previous!P$149, FALSE), VLOOKUP('Staging Table'!$A50, LS_previous!$B$4:$AY$138,LS_previous!AN$149, FALSE))/2)</f>
        <v>-1657</v>
      </c>
      <c r="Y50" s="227">
        <f t="array" ref="Y50">IF($G50=0, INDEX(LS_previous!$D$4:$AY$138, MATCH('Staging Table'!$A50, LS_previous!$B$4:$B$138, 0), MATCH(Y$4&amp;Y$5, LS_previous!$D$2:$AY$2&amp;LS_previous!$D$3:$AY$3, 0)),SUM(VLOOKUP($A50, LS_previous!$B$4:$AY$138, LS_previous!Q$149, FALSE), VLOOKUP('Staging Table'!$A50, LS_previous!$B$4:$AY$138,LS_previous!AO$149, FALSE))/2)</f>
        <v>-675</v>
      </c>
      <c r="Z50" s="227">
        <f t="array" ref="Z50">IF($G50=0, INDEX(LS_previous!$D$4:$AY$138, MATCH('Staging Table'!$A50, LS_previous!$B$4:$B$138, 0), MATCH(Z$4&amp;Z$5, LS_previous!$D$2:$AY$2&amp;LS_previous!$D$3:$AY$3, 0)),SUM(VLOOKUP($A50, LS_previous!$B$4:$AY$138, LS_previous!R$149, FALSE), VLOOKUP('Staging Table'!$A50, LS_previous!$B$4:$AY$138,LS_previous!AP$149, FALSE))/2)</f>
        <v>-2274</v>
      </c>
      <c r="AA50" s="227">
        <f t="array" ref="AA50">IF($G50=0, INDEX(LS_previous!$D$4:$AY$138, MATCH('Staging Table'!$A50, LS_previous!$B$4:$B$138, 0), MATCH(AA$4&amp;AA$5, LS_previous!$D$2:$AY$2&amp;LS_previous!$D$3:$AY$3, 0)),SUM(VLOOKUP($A50, LS_previous!$B$4:$AY$138, LS_previous!S$149, FALSE), VLOOKUP('Staging Table'!$A50, LS_previous!$B$4:$AY$138,LS_previous!AQ$149, FALSE))/2)</f>
        <v>2019</v>
      </c>
      <c r="AB50" s="227">
        <f t="array" ref="AB50">IF($G50=0, INDEX(LS_previous!$D$4:$AY$138, MATCH('Staging Table'!$A50, LS_previous!$B$4:$B$138, 0), MATCH(AB$4&amp;AB$5, LS_previous!$D$2:$AY$2&amp;LS_previous!$D$3:$AY$3, 0)),SUM(VLOOKUP($A50, LS_previous!$B$4:$AY$138, LS_previous!T$149, FALSE), VLOOKUP('Staging Table'!$A50, LS_previous!$B$4:$AY$138,LS_previous!AR$149, FALSE))/2)</f>
        <v>7931</v>
      </c>
      <c r="AC50" s="227">
        <f t="array" ref="AC50">IF($G50=0, INDEX(LS_previous!$D$4:$AY$138, MATCH('Staging Table'!$A50, LS_previous!$B$4:$B$138, 0), MATCH(AC$4&amp;AC$5, LS_previous!$D$2:$AY$2&amp;LS_previous!$D$3:$AY$3, 0)),SUM(VLOOKUP($A50, LS_previous!$B$4:$AY$138, LS_previous!U$149, FALSE), VLOOKUP('Staging Table'!$A50, LS_previous!$B$4:$AY$138,LS_previous!AS$149, FALSE))/2)</f>
        <v>6824</v>
      </c>
      <c r="AD50" s="227">
        <f t="array" ref="AD50">IF($G50=0, INDEX(LS_previous!$D$4:$AY$138, MATCH('Staging Table'!$A50, LS_previous!$B$4:$B$138, 0), MATCH(AD$4&amp;AD$5, LS_previous!$D$2:$AY$2&amp;LS_previous!$D$3:$AY$3, 0)),SUM(VLOOKUP($A50, LS_previous!$B$4:$AY$138, LS_previous!V$149, FALSE), VLOOKUP('Staging Table'!$A50, LS_previous!$B$4:$AY$138,LS_previous!AT$149, FALSE))/2)</f>
        <v>14559</v>
      </c>
      <c r="AE50" s="227">
        <f t="array" ref="AE50">IF($G50=0, INDEX(LS_previous!$D$4:$AY$138, MATCH('Staging Table'!$A50, LS_previous!$B$4:$B$138, 0), MATCH(AE$4&amp;AE$5, LS_previous!$D$2:$AY$2&amp;LS_previous!$D$3:$AY$3, 0)),SUM(VLOOKUP($A50, LS_previous!$B$4:$AY$138, LS_previous!W$149, FALSE), VLOOKUP('Staging Table'!$A50, LS_previous!$B$4:$AY$138,LS_previous!AU$149, FALSE))/2)</f>
        <v>12471</v>
      </c>
      <c r="AF50" s="227">
        <f t="array" ref="AF50">IF($G50=0, INDEX(LS_previous!$D$4:$AY$138, MATCH('Staging Table'!$A50, LS_previous!$B$4:$B$138, 0), MATCH(AF$4&amp;AF$5, LS_previous!$D$2:$AY$2&amp;LS_previous!$D$3:$AY$3, 0)),SUM(VLOOKUP($A50, LS_previous!$B$4:$AY$138, LS_previous!X$149, FALSE), VLOOKUP('Staging Table'!$A50, LS_previous!$B$4:$AY$138,LS_previous!AV$149, FALSE))/2)</f>
        <v>9177</v>
      </c>
      <c r="AG50" s="227">
        <f t="array" ref="AG50">IF($G50=0, INDEX(LS_previous!$D$4:$AY$138, MATCH('Staging Table'!$A50, LS_previous!$B$4:$B$138, 0), MATCH(AG$4&amp;AG$5, LS_previous!$D$2:$AY$2&amp;LS_previous!$D$3:$AY$3, 0)),SUM(VLOOKUP($A50, LS_previous!$B$4:$AY$138, LS_previous!Y$149, FALSE), VLOOKUP('Staging Table'!$A50, LS_previous!$B$4:$AY$138,LS_previous!AW$149, FALSE))/2)</f>
        <v>9573</v>
      </c>
      <c r="AH50" s="227">
        <f t="array" ref="AH50">IF($G50=0, INDEX(LS_previous!$D$4:$AY$138, MATCH('Staging Table'!$A50, LS_previous!$B$4:$B$138, 0), MATCH(AH$4&amp;AH$5, LS_previous!$D$2:$AY$2&amp;LS_previous!$D$3:$AY$3, 0)),SUM(VLOOKUP($A50, LS_previous!$B$4:$AY$138, LS_previous!Z$149, FALSE), VLOOKUP('Staging Table'!$A50, LS_previous!$B$4:$AY$138,LS_previous!AX$149, FALSE))/2)</f>
        <v>1478</v>
      </c>
      <c r="AI50" s="227">
        <f t="array" ref="AI50">IF($G50=0, INDEX(LS_previous!$D$4:$AY$138, MATCH('Staging Table'!$A50, LS_previous!$B$4:$B$138, 0), MATCH(AI$4&amp;AI$5, LS_previous!$D$2:$AY$2&amp;LS_previous!$D$3:$AY$3, 0)),SUM(VLOOKUP($A50, LS_previous!$B$4:$AY$138, LS_previous!AA$149, FALSE), VLOOKUP('Staging Table'!$A50, LS_previous!$B$4:$AY$138,LS_previous!AY$149, FALSE))/2)</f>
        <v>1934</v>
      </c>
      <c r="AJ50" s="424">
        <f t="array" ref="AJ50">INDEX(Demand_previous!$D$4:$AY$138, MATCH('Staging Table'!$A50, Demand_previous!$B$4:$B$138, 0), MATCH(AJ$4&amp;AJ$5,Demand_previous!$D$2:$AY$2&amp;Demand_previous!$D$3:$AY$3, 0))/1000</f>
        <v>3.7919999999999998</v>
      </c>
      <c r="AK50" s="424">
        <f t="array" ref="AK50">INDEX(Demand_previous!$D$4:$AY$138, MATCH('Staging Table'!$A50, Demand_previous!$B$4:$B$138, 0), MATCH(AK$4&amp;AK$5,Demand_previous!$D$2:$AY$2&amp;Demand_previous!$D$3:$AY$3, 0))/1000</f>
        <v>2.419</v>
      </c>
      <c r="AL50" s="424">
        <f t="array" ref="AL50">INDEX(Demand_previous!$D$4:$AY$138, MATCH('Staging Table'!$A50, Demand_previous!$B$4:$B$138, 0), MATCH(AL$4&amp;AL$5,Demand_previous!$D$2:$AY$2&amp;Demand_previous!$D$3:$AY$3, 0))/1000</f>
        <v>3.81</v>
      </c>
      <c r="AM50" s="424">
        <f t="array" ref="AM50">INDEX(Demand_previous!$D$4:$AY$138, MATCH('Staging Table'!$A50, Demand_previous!$B$4:$B$138, 0), MATCH(AM$4&amp;AM$5,Demand_previous!$D$2:$AY$2&amp;Demand_previous!$D$3:$AY$3, 0))/1000</f>
        <v>3.7970000000000002</v>
      </c>
      <c r="AN50" s="424">
        <f t="array" ref="AN50">INDEX(Demand_previous!$D$4:$AY$138, MATCH('Staging Table'!$A50, Demand_previous!$B$4:$B$138, 0), MATCH(AN$4&amp;AN$5,Demand_previous!$D$2:$AY$2&amp;Demand_previous!$D$3:$AY$3, 0))/1000</f>
        <v>1.5620000000000001</v>
      </c>
      <c r="AO50" s="424">
        <f t="array" ref="AO50">INDEX(Demand_previous!$D$4:$AY$138, MATCH('Staging Table'!$A50, Demand_previous!$B$4:$B$138, 0), MATCH(AO$4&amp;AO$5,Demand_previous!$D$2:$AY$2&amp;Demand_previous!$D$3:$AY$3, 0))/1000</f>
        <v>5.1130000000000004</v>
      </c>
      <c r="AP50" s="424">
        <f t="array" ref="AP50">INDEX(Demand_previous!$D$4:$AY$138, MATCH('Staging Table'!$A50, Demand_previous!$B$4:$B$138, 0), MATCH(AP$4&amp;AP$5,Demand_previous!$D$2:$AY$2&amp;Demand_previous!$D$3:$AY$3, 0))/1000</f>
        <v>1.415</v>
      </c>
      <c r="AQ50" s="424">
        <f t="array" ref="AQ50">INDEX(Demand_previous!$D$4:$AY$138, MATCH('Staging Table'!$A50, Demand_previous!$B$4:$B$138, 0), MATCH(AQ$4&amp;AQ$5,Demand_previous!$D$2:$AY$2&amp;Demand_previous!$D$3:$AY$3, 0))/1000</f>
        <v>8.1370000000000005</v>
      </c>
      <c r="AR50" s="424">
        <f t="array" ref="AR50">INDEX(Demand_previous!$D$4:$AY$138, MATCH('Staging Table'!$A50, Demand_previous!$B$4:$B$138, 0), MATCH(AR$4&amp;AR$5,Demand_previous!$D$2:$AY$2&amp;Demand_previous!$D$3:$AY$3, 0))/1000</f>
        <v>15.635999999999999</v>
      </c>
      <c r="AS50" s="424">
        <f t="array" ref="AS50">INDEX(Demand_previous!$D$4:$AY$138, MATCH('Staging Table'!$A50, Demand_previous!$B$4:$B$138, 0), MATCH(AS$4&amp;AS$5,Demand_previous!$D$2:$AY$2&amp;Demand_previous!$D$3:$AY$3, 0))/1000</f>
        <v>13.497</v>
      </c>
      <c r="AT50" s="424">
        <f t="array" ref="AT50">INDEX(Demand_previous!$D$4:$AY$138, MATCH('Staging Table'!$A50, Demand_previous!$B$4:$B$138, 0), MATCH(AT$4&amp;AT$5,Demand_previous!$D$2:$AY$2&amp;Demand_previous!$D$3:$AY$3, 0))/1000</f>
        <v>17.981999999999999</v>
      </c>
      <c r="AU50" s="424">
        <f t="array" ref="AU50">INDEX(Demand_previous!$D$4:$AY$138, MATCH('Staging Table'!$A50, Demand_previous!$B$4:$B$138, 0), MATCH(AU$4&amp;AU$5,Demand_previous!$D$2:$AY$2&amp;Demand_previous!$D$3:$AY$3, 0))/1000</f>
        <v>13.855</v>
      </c>
      <c r="AV50" s="227">
        <f>$F50*(VLOOKUP(AV$4, Rates_previous!$G$6:$Q$29, 10, FALSE)+VLOOKUP(AV$4, Rates_previous!$G$6:$Q$29, 11, FALSE))</f>
        <v>25040.269186264886</v>
      </c>
      <c r="AW50" s="227">
        <f>$F50*(VLOOKUP(AW$4, Rates_previous!$G$6:$Q$29, 10, FALSE)+VLOOKUP(AW$4, Rates_previous!$G$6:$Q$29, 11, FALSE))</f>
        <v>30947.869552906548</v>
      </c>
      <c r="AX50" s="227">
        <f>$F50*(VLOOKUP(AX$4, Rates_previous!$G$6:$Q$29, 10, FALSE)+VLOOKUP(AX$4, Rates_previous!$G$6:$Q$29, 11, FALSE))</f>
        <v>30576.222655016052</v>
      </c>
      <c r="AY50" s="227">
        <f>$F50*(VLOOKUP(AY$4, Rates_previous!$G$6:$Q$29, 10, FALSE)+VLOOKUP(AY$4, Rates_previous!$G$6:$Q$29, 11, FALSE))</f>
        <v>26124.467863360467</v>
      </c>
      <c r="AZ50" s="227">
        <f>$F50*(VLOOKUP(AZ$4, Rates_previous!$G$6:$Q$29, 10, FALSE)+VLOOKUP(AZ$4, Rates_previous!$G$6:$Q$29, 11, FALSE))</f>
        <v>21416.996254935435</v>
      </c>
      <c r="BA50" s="227">
        <f>$F50*(VLOOKUP(BA$4, Rates_previous!$G$6:$Q$29, 10, FALSE)+VLOOKUP(BA$4, Rates_previous!$G$6:$Q$29, 11, FALSE))</f>
        <v>25356.945628342575</v>
      </c>
      <c r="BB50" s="227">
        <f>$F50*(VLOOKUP(BB$4, Rates_previous!$G$6:$Q$29, 10, FALSE)+VLOOKUP(BB$4, Rates_previous!$G$6:$Q$29, 11, FALSE))</f>
        <v>24371.71314160361</v>
      </c>
      <c r="BC50" s="227">
        <f>$F50*(VLOOKUP(BC$4, Rates_previous!$G$6:$Q$29, 10, FALSE)+VLOOKUP(BC$4, Rates_previous!$G$6:$Q$29, 11, FALSE))</f>
        <v>35763.764425919791</v>
      </c>
      <c r="BD50" s="227">
        <f>$F50*(VLOOKUP(BD$4, Rates_previous!$G$6:$Q$29, 10, FALSE)+VLOOKUP(BD$4, Rates_previous!$G$6:$Q$29, 11, FALSE))</f>
        <v>28216.664884234833</v>
      </c>
      <c r="BE50" s="227">
        <f>$F50*(VLOOKUP(BE$4, Rates_previous!$G$6:$Q$29, 10, FALSE)+VLOOKUP(BE$4, Rates_previous!$G$6:$Q$29, 11, FALSE))</f>
        <v>24776.600149087382</v>
      </c>
      <c r="BF50" s="227">
        <f>$F50*(VLOOKUP(BF$4, Rates_previous!$G$6:$Q$29, 10, FALSE)+VLOOKUP(BF$4, Rates_previous!$G$6:$Q$29, 11, FALSE))</f>
        <v>27441.07641574947</v>
      </c>
      <c r="BG50" s="227">
        <f>$F50*(VLOOKUP(BG$4, Rates_previous!$G$6:$Q$29, 10, FALSE)+VLOOKUP(BG$4, Rates_previous!$G$6:$Q$29, 11, FALSE))</f>
        <v>24860.52396945357</v>
      </c>
      <c r="BH50" s="229">
        <f>IF($D50=0,IF(C50=0, MAX(BK50 - (VLOOKUP($A50,TOCA_previous!$A$2:$AI$137,MATCH("RHWM 2018",TOCA_previous!$A$2:$AI$2,0),FALSE)*$F$2*TOCA_previous!C47),0),0), 0)</f>
        <v>0</v>
      </c>
      <c r="BI50" s="266">
        <f>VLOOKUP($A50,REP_previous!$A$1:$D$135,MATCH("FY "&amp;$F$1&amp; " Total Refund",REP_previous!$A$1:$D$1,0),0)</f>
        <v>211839.43490901371</v>
      </c>
      <c r="BJ50" s="241">
        <f>MIN(VLOOKUP($A50,TOCA_previous!$A$2:$AI$137,MATCH("TRL - NLSL - Existing Resource "&amp;$F$1,TOCA_previous!$A$2:$AI$2,0),FALSE)*$F$2,(VLOOKUP($A50,TOCA_previous!$A$2:$AI$137,MATCH("RHWM 2018",TOCA_previous!$A$2:$AI$2,0),FALSE)*$F$2))</f>
        <v>324890.88</v>
      </c>
      <c r="BK50" s="229">
        <f>SUM(L50:AI50)+(F50*RT1SC!$C$3*$F$2)</f>
        <v>318926.11886678403</v>
      </c>
      <c r="BL50" s="241">
        <f>VLOOKUP($A50,TOCA_previous!$A$2:$AI$137,MATCH("Above RHWM Not Served with LS "&amp;$F$1,TOCA_previous!$A$2:$AI$2,0),FALSE)*$F$2</f>
        <v>46384.2</v>
      </c>
      <c r="BM50" s="151">
        <f t="shared" si="5"/>
        <v>-5964.7611332159722</v>
      </c>
      <c r="BN50" s="242">
        <f>(VLOOKUP($A50,TOCA_previous!$A$2:$AI$137,MATCH("RHWM 2018",TOCA_previous!$A$2:$AI$2,0),FALSE)*$F$2) - $BJ50</f>
        <v>0</v>
      </c>
      <c r="BO50" s="151">
        <f t="shared" si="6"/>
        <v>0</v>
      </c>
      <c r="BP50" s="243">
        <f t="shared" si="7"/>
        <v>0</v>
      </c>
      <c r="BQ50" s="237">
        <f t="shared" si="8"/>
        <v>0</v>
      </c>
      <c r="BR50" s="242">
        <f t="shared" si="9"/>
        <v>0</v>
      </c>
      <c r="BS50" s="151">
        <f>VLOOKUP($A50,TOCA_current!$A$2:$AI$137,MATCH(BS$4,TOCA_current!$A$2:$AI$2,0),FALSE)</f>
        <v>5.3375000000000002E-3</v>
      </c>
      <c r="BT50" s="151">
        <f>VLOOKUP($A50,TOCA_current!$A$2:$AI$137,MATCH(BT$4,TOCA_current!$A$2:$AI$2,0),FALSE)</f>
        <v>5.3375000000000002E-3</v>
      </c>
      <c r="BU50" s="236">
        <f t="shared" si="10"/>
        <v>0</v>
      </c>
      <c r="BV50" s="151">
        <f>VLOOKUP($A50,TOCA_current!A46:BG181,MATCH(BV$4,TOCA_current!$A$2:$BG$2,0),FALSE)</f>
        <v>8.1709900000000002E-2</v>
      </c>
      <c r="BW50" s="151">
        <f t="shared" si="11"/>
        <v>0</v>
      </c>
      <c r="BX50" s="151">
        <f t="shared" si="12"/>
        <v>0</v>
      </c>
      <c r="BY50" s="226">
        <f>VLOOKUP($A50,IRD!$A$4:$G$139, 7, FALSE)</f>
        <v>134655.962</v>
      </c>
      <c r="BZ50" s="227">
        <f t="array" ref="BZ50">IF($BU50=0, INDEX(LS_current!$D$4:$AY$138, MATCH('Staging Table'!$A50, LS_current!$B$4:$B$138, 0), MATCH(BZ$4&amp;BZ$5, LS_current!$D$2:$AY$2&amp;LS_current!$D$3:$AY$3, 0)),SUM(VLOOKUP($A50, LS_current!$B$4:$AY$138, LS_current!D$148, FALSE), VLOOKUP($A50, LS_current!$B$4:$AY$138,LS_current!D$148, FALSE))/2)</f>
        <v>-3149</v>
      </c>
      <c r="CA50" s="227">
        <f t="array" ref="CA50">IF($BU50=0, INDEX(LS_current!$D$4:$AY$138, MATCH('Staging Table'!$A50, LS_current!$B$4:$B$138, 0), MATCH(CA$4&amp;CA$5, LS_current!$D$2:$AY$2&amp;LS_current!$D$3:$AY$3, 0)),SUM(VLOOKUP($A50, LS_current!$B$4:$AY$138, LS_current!E$148, FALSE), VLOOKUP($A50, LS_current!$B$4:$AY$138,LS_current!E$148, FALSE))/2)</f>
        <v>-1177</v>
      </c>
      <c r="CB50" s="227">
        <f t="array" ref="CB50">IF($BU50=0, INDEX(LS_current!$D$4:$AY$138, MATCH('Staging Table'!$A50, LS_current!$B$4:$B$138, 0), MATCH(CB$4&amp;CB$5, LS_current!$D$2:$AY$2&amp;LS_current!$D$3:$AY$3, 0)),SUM(VLOOKUP($A50, LS_current!$B$4:$AY$138, LS_current!F$148, FALSE), VLOOKUP($A50, LS_current!$B$4:$AY$138,LS_current!F$148, FALSE))/2)</f>
        <v>-11183</v>
      </c>
      <c r="CC50" s="227">
        <f t="array" ref="CC50">IF($BU50=0, INDEX(LS_current!$D$4:$AY$138, MATCH('Staging Table'!$A50, LS_current!$B$4:$B$138, 0), MATCH(CC$4&amp;CC$5, LS_current!$D$2:$AY$2&amp;LS_current!$D$3:$AY$3, 0)),SUM(VLOOKUP($A50, LS_current!$B$4:$AY$138, LS_current!G$148, FALSE), VLOOKUP($A50, LS_current!$B$4:$AY$138,LS_current!G$148, FALSE))/2)</f>
        <v>-6045</v>
      </c>
      <c r="CD50" s="227">
        <f t="array" ref="CD50">IF($BU50=0, INDEX(LS_current!$D$4:$AY$138, MATCH('Staging Table'!$A50, LS_current!$B$4:$B$138, 0), MATCH(CD$4&amp;CD$5, LS_current!$D$2:$AY$2&amp;LS_current!$D$3:$AY$3, 0)),SUM(VLOOKUP($A50, LS_current!$B$4:$AY$138, LS_current!H$148, FALSE), VLOOKUP($A50, LS_current!$B$4:$AY$138,LS_current!H$148, FALSE))/2)</f>
        <v>-11001</v>
      </c>
      <c r="CE50" s="227">
        <f t="array" ref="CE50">IF($BU50=0, INDEX(LS_current!$D$4:$AY$138, MATCH('Staging Table'!$A50, LS_current!$B$4:$B$138, 0), MATCH(CE$4&amp;CE$5, LS_current!$D$2:$AY$2&amp;LS_current!$D$3:$AY$3, 0)),SUM(VLOOKUP($A50, LS_current!$B$4:$AY$138, LS_current!I$148, FALSE), VLOOKUP($A50, LS_current!$B$4:$AY$138,LS_current!I$148, FALSE))/2)</f>
        <v>-5849</v>
      </c>
      <c r="CF50" s="227">
        <f t="array" ref="CF50">IF($BU50=0, INDEX(LS_current!$D$4:$AY$138, MATCH('Staging Table'!$A50, LS_current!$B$4:$B$138, 0), MATCH(CF$4&amp;CF$5, LS_current!$D$2:$AY$2&amp;LS_current!$D$3:$AY$3, 0)),SUM(VLOOKUP($A50, LS_current!$B$4:$AY$138, LS_current!J$148, FALSE), VLOOKUP($A50, LS_current!$B$4:$AY$138,LS_current!J$148, FALSE))/2)</f>
        <v>-8009</v>
      </c>
      <c r="CG50" s="227">
        <f t="array" ref="CG50">IF($BU50=0, INDEX(LS_current!$D$4:$AY$138, MATCH('Staging Table'!$A50, LS_current!$B$4:$B$138, 0), MATCH(CG$4&amp;CG$5, LS_current!$D$2:$AY$2&amp;LS_current!$D$3:$AY$3, 0)),SUM(VLOOKUP($A50, LS_current!$B$4:$AY$138, LS_current!K$148, FALSE), VLOOKUP($A50, LS_current!$B$4:$AY$138,LS_current!K$148, FALSE))/2)</f>
        <v>-4205</v>
      </c>
      <c r="CH50" s="227">
        <f t="array" ref="CH50">IF($BU50=0, INDEX(LS_current!$D$4:$AY$138, MATCH('Staging Table'!$A50, LS_current!$B$4:$B$138, 0), MATCH(CH$4&amp;CH$5, LS_current!$D$2:$AY$2&amp;LS_current!$D$3:$AY$3, 0)),SUM(VLOOKUP($A50, LS_current!$B$4:$AY$138, LS_current!L$148, FALSE), VLOOKUP($A50, LS_current!$B$4:$AY$138,LS_current!L$148, FALSE))/2)</f>
        <v>-7595</v>
      </c>
      <c r="CI50" s="227">
        <f t="array" ref="CI50">IF($BU50=0, INDEX(LS_current!$D$4:$AY$138, MATCH('Staging Table'!$A50, LS_current!$B$4:$B$138, 0), MATCH(CI$4&amp;CI$5, LS_current!$D$2:$AY$2&amp;LS_current!$D$3:$AY$3, 0)),SUM(VLOOKUP($A50, LS_current!$B$4:$AY$138, LS_current!M$148, FALSE), VLOOKUP($A50, LS_current!$B$4:$AY$138,LS_current!M$148, FALSE))/2)</f>
        <v>-4309</v>
      </c>
      <c r="CJ50" s="227">
        <f t="array" ref="CJ50">IF($BU50=0, INDEX(LS_current!$D$4:$AY$138, MATCH('Staging Table'!$A50, LS_current!$B$4:$B$138, 0), MATCH(CJ$4&amp;CJ$5, LS_current!$D$2:$AY$2&amp;LS_current!$D$3:$AY$3, 0)),SUM(VLOOKUP($A50, LS_current!$B$4:$AY$138, LS_current!N$148, FALSE), VLOOKUP($A50, LS_current!$B$4:$AY$138,LS_current!N$148, FALSE))/2)</f>
        <v>-7795</v>
      </c>
      <c r="CK50" s="227">
        <f t="array" ref="CK50">IF($BU50=0, INDEX(LS_current!$D$4:$AY$138, MATCH('Staging Table'!$A50, LS_current!$B$4:$B$138, 0), MATCH(CK$4&amp;CK$5, LS_current!$D$2:$AY$2&amp;LS_current!$D$3:$AY$3, 0)),SUM(VLOOKUP($A50, LS_current!$B$4:$AY$138, LS_current!O$148, FALSE), VLOOKUP($A50, LS_current!$B$4:$AY$138,LS_current!O$148, FALSE))/2)</f>
        <v>-3961</v>
      </c>
      <c r="CL50" s="227">
        <f t="array" ref="CL50">IF($BU50=0, INDEX(LS_current!$D$4:$AY$138, MATCH('Staging Table'!$A50, LS_current!$B$4:$B$138, 0), MATCH(CL$4&amp;CL$5, LS_current!$D$2:$AY$2&amp;LS_current!$D$3:$AY$3, 0)),SUM(VLOOKUP($A50, LS_current!$B$4:$AY$138, LS_current!P$148, FALSE), VLOOKUP($A50, LS_current!$B$4:$AY$138,LS_current!P$148, FALSE))/2)</f>
        <v>216</v>
      </c>
      <c r="CM50" s="227">
        <f t="array" ref="CM50">IF($BU50=0, INDEX(LS_current!$D$4:$AY$138, MATCH('Staging Table'!$A50, LS_current!$B$4:$B$138, 0), MATCH(CM$4&amp;CM$5, LS_current!$D$2:$AY$2&amp;LS_current!$D$3:$AY$3, 0)),SUM(VLOOKUP($A50, LS_current!$B$4:$AY$138, LS_current!Q$148, FALSE), VLOOKUP($A50, LS_current!$B$4:$AY$138,LS_current!Q$148, FALSE))/2)</f>
        <v>-31</v>
      </c>
      <c r="CN50" s="227">
        <f t="array" ref="CN50">IF($BU50=0, INDEX(LS_current!$D$4:$AY$138, MATCH('Staging Table'!$A50, LS_current!$B$4:$B$138, 0), MATCH(CN$4&amp;CN$5, LS_current!$D$2:$AY$2&amp;LS_current!$D$3:$AY$3, 0)),SUM(VLOOKUP($A50, LS_current!$B$4:$AY$138, LS_current!R$148, FALSE), VLOOKUP($A50, LS_current!$B$4:$AY$138,LS_current!R$148, FALSE))/2)</f>
        <v>1703</v>
      </c>
      <c r="CO50" s="227">
        <f t="array" ref="CO50">IF($BU50=0, INDEX(LS_current!$D$4:$AY$138, MATCH('Staging Table'!$A50, LS_current!$B$4:$B$138, 0), MATCH(CO$4&amp;CO$5, LS_current!$D$2:$AY$2&amp;LS_current!$D$3:$AY$3, 0)),SUM(VLOOKUP($A50, LS_current!$B$4:$AY$138, LS_current!S$148, FALSE), VLOOKUP($A50, LS_current!$B$4:$AY$138,LS_current!S$148, FALSE))/2)</f>
        <v>4553</v>
      </c>
      <c r="CP50" s="227">
        <f t="array" ref="CP50">IF($BU50=0, INDEX(LS_current!$D$4:$AY$138, MATCH('Staging Table'!$A50, LS_current!$B$4:$B$138, 0), MATCH(CP$4&amp;CP$5, LS_current!$D$2:$AY$2&amp;LS_current!$D$3:$AY$3, 0)),SUM(VLOOKUP($A50, LS_current!$B$4:$AY$138, LS_current!T$148, FALSE), VLOOKUP($A50, LS_current!$B$4:$AY$138,LS_current!T$148, FALSE))/2)</f>
        <v>2362</v>
      </c>
      <c r="CQ50" s="227">
        <f t="array" ref="CQ50">IF($BU50=0, INDEX(LS_current!$D$4:$AY$138, MATCH('Staging Table'!$A50, LS_current!$B$4:$B$138, 0), MATCH(CQ$4&amp;CQ$5, LS_current!$D$2:$AY$2&amp;LS_current!$D$3:$AY$3, 0)),SUM(VLOOKUP($A50, LS_current!$B$4:$AY$138, LS_current!U$148, FALSE), VLOOKUP($A50, LS_current!$B$4:$AY$138,LS_current!U$148, FALSE))/2)</f>
        <v>3509</v>
      </c>
      <c r="CR50" s="227">
        <f t="array" ref="CR50">IF($BU50=0, INDEX(LS_current!$D$4:$AY$138, MATCH('Staging Table'!$A50, LS_current!$B$4:$B$138, 0), MATCH(CR$4&amp;CR$5, LS_current!$D$2:$AY$2&amp;LS_current!$D$3:$AY$3, 0)),SUM(VLOOKUP($A50, LS_current!$B$4:$AY$138, LS_current!V$148, FALSE), VLOOKUP($A50, LS_current!$B$4:$AY$138,LS_current!V$148, FALSE))/2)</f>
        <v>10623</v>
      </c>
      <c r="CS50" s="227">
        <f t="array" ref="CS50">IF($BU50=0, INDEX(LS_current!$D$4:$AY$138, MATCH('Staging Table'!$A50, LS_current!$B$4:$B$138, 0), MATCH(CS$4&amp;CS$5, LS_current!$D$2:$AY$2&amp;LS_current!$D$3:$AY$3, 0)),SUM(VLOOKUP($A50, LS_current!$B$4:$AY$138, LS_current!W$148, FALSE), VLOOKUP($A50, LS_current!$B$4:$AY$138,LS_current!W$148, FALSE))/2)</f>
        <v>11921</v>
      </c>
      <c r="CT50" s="227">
        <f t="array" ref="CT50">IF($BU50=0, INDEX(LS_current!$D$4:$AY$138, MATCH('Staging Table'!$A50, LS_current!$B$4:$B$138, 0), MATCH(CT$4&amp;CT$5, LS_current!$D$2:$AY$2&amp;LS_current!$D$3:$AY$3, 0)),SUM(VLOOKUP($A50, LS_current!$B$4:$AY$138, LS_current!X$148, FALSE), VLOOKUP($A50, LS_current!$B$4:$AY$138,LS_current!X$148, FALSE))/2)</f>
        <v>8171</v>
      </c>
      <c r="CU50" s="227">
        <f t="array" ref="CU50">IF($BU50=0, INDEX(LS_current!$D$4:$AY$138, MATCH('Staging Table'!$A50, LS_current!$B$4:$B$138, 0), MATCH(CU$4&amp;CU$5, LS_current!$D$2:$AY$2&amp;LS_current!$D$3:$AY$3, 0)),SUM(VLOOKUP($A50, LS_current!$B$4:$AY$138, LS_current!Y$148, FALSE), VLOOKUP($A50, LS_current!$B$4:$AY$138,LS_current!Y$148, FALSE))/2)</f>
        <v>9505</v>
      </c>
      <c r="CV50" s="227">
        <f t="array" ref="CV50">IF($BU50=0, INDEX(LS_current!$D$4:$AY$138, MATCH('Staging Table'!$A50, LS_current!$B$4:$B$138, 0), MATCH(CV$4&amp;CV$5, LS_current!$D$2:$AY$2&amp;LS_current!$D$3:$AY$3, 0)),SUM(VLOOKUP($A50, LS_current!$B$4:$AY$138, LS_current!Z$148, FALSE), VLOOKUP($A50, LS_current!$B$4:$AY$138,LS_current!Z$148, FALSE))/2)</f>
        <v>917</v>
      </c>
      <c r="CW50" s="227">
        <f t="array" ref="CW50">IF($BU50=0, INDEX(LS_current!$D$4:$AY$138, MATCH('Staging Table'!$A50, LS_current!$B$4:$B$138, 0), MATCH(CW$4&amp;CW$5, LS_current!$D$2:$AY$2&amp;LS_current!$D$3:$AY$3, 0)),SUM(VLOOKUP($A50, LS_current!$B$4:$AY$138, LS_current!AA$148, FALSE), VLOOKUP($A50, LS_current!$B$4:$AY$138,LS_current!AA$148, FALSE))/2)</f>
        <v>1703</v>
      </c>
      <c r="CX50" s="229">
        <f t="array" ref="CX50">INDEX(Demand_current!$D$4:$AY$138, MATCH($A50, Demand_current!$B$4:$B$138, 0), MATCH(CX$4&amp;CX$5,Demand_current!$D$2:$AY$2&amp;Demand_current!$D$3:$AY$3, 0))/1000</f>
        <v>5.1820000000000004</v>
      </c>
      <c r="CY50" s="229">
        <f t="array" ref="CY50">INDEX(Demand_current!$D$4:$AY$138, MATCH($A50, Demand_current!$B$4:$B$138, 0), MATCH(CY$4&amp;CY$5,Demand_current!$D$2:$AY$2&amp;Demand_current!$D$3:$AY$3, 0))/1000</f>
        <v>2.419</v>
      </c>
      <c r="CZ50" s="229">
        <f t="array" ref="CZ50">INDEX(Demand_current!$D$4:$AY$138, MATCH($A50, Demand_current!$B$4:$B$138, 0), MATCH(CZ$4&amp;CZ$5,Demand_current!$D$2:$AY$2&amp;Demand_current!$D$3:$AY$3, 0))/1000</f>
        <v>3.81</v>
      </c>
      <c r="DA50" s="229">
        <f t="array" ref="DA50">INDEX(Demand_current!$D$4:$AY$138, MATCH($A50, Demand_current!$B$4:$B$138, 0), MATCH(DA$4&amp;DA$5,Demand_current!$D$2:$AY$2&amp;Demand_current!$D$3:$AY$3, 0))/1000</f>
        <v>3.7970000000000002</v>
      </c>
      <c r="DB50" s="229">
        <f t="array" ref="DB50">INDEX(Demand_current!$D$4:$AY$138, MATCH($A50, Demand_current!$B$4:$B$138, 0), MATCH(DB$4&amp;DB$5,Demand_current!$D$2:$AY$2&amp;Demand_current!$D$3:$AY$3, 0))/1000</f>
        <v>2.5670000000000002</v>
      </c>
      <c r="DC50" s="229">
        <f t="array" ref="DC50">INDEX(Demand_current!$D$4:$AY$138, MATCH($A50, Demand_current!$B$4:$B$138, 0), MATCH(DC$4&amp;DC$5,Demand_current!$D$2:$AY$2&amp;Demand_current!$D$3:$AY$3, 0))/1000</f>
        <v>4.1040000000000001</v>
      </c>
      <c r="DD50" s="229">
        <f t="array" ref="DD50">INDEX(Demand_current!$D$4:$AY$138, MATCH($A50, Demand_current!$B$4:$B$138, 0), MATCH(DD$4&amp;DD$5,Demand_current!$D$2:$AY$2&amp;Demand_current!$D$3:$AY$3, 0))/1000</f>
        <v>2.9670000000000001</v>
      </c>
      <c r="DE50" s="229">
        <f t="array" ref="DE50">INDEX(Demand_current!$D$4:$AY$138, MATCH($A50, Demand_current!$B$4:$B$138, 0), MATCH(DE$4&amp;DE$5,Demand_current!$D$2:$AY$2&amp;Demand_current!$D$3:$AY$3, 0))/1000</f>
        <v>5.952</v>
      </c>
      <c r="DF50" s="229">
        <f t="array" ref="DF50">INDEX(Demand_current!$D$4:$AY$138, MATCH($A50, Demand_current!$B$4:$B$138, 0), MATCH(DF$4&amp;DF$5,Demand_current!$D$2:$AY$2&amp;Demand_current!$D$3:$AY$3, 0))/1000</f>
        <v>15.635999999999999</v>
      </c>
      <c r="DG50" s="229">
        <f t="array" ref="DG50">INDEX(Demand_current!$D$4:$AY$138, MATCH($A50, Demand_current!$B$4:$B$138, 0), MATCH(DG$4&amp;DG$5,Demand_current!$D$2:$AY$2&amp;Demand_current!$D$3:$AY$3, 0))/1000</f>
        <v>16.658000000000001</v>
      </c>
      <c r="DH50" s="229">
        <f t="array" ref="DH50">INDEX(Demand_current!$D$4:$AY$138, MATCH($A50, Demand_current!$B$4:$B$138, 0), MATCH(DH$4&amp;DH$5,Demand_current!$D$2:$AY$2&amp;Demand_current!$D$3:$AY$3, 0))/1000</f>
        <v>15.327</v>
      </c>
      <c r="DI50" s="229">
        <f t="array" ref="DI50">INDEX(Demand_current!$D$4:$AY$138, MATCH($A50, Demand_current!$B$4:$B$138, 0), MATCH(DI$4&amp;DI$5,Demand_current!$D$2:$AY$2&amp;Demand_current!$D$3:$AY$3, 0))/1000</f>
        <v>15.875999999999999</v>
      </c>
      <c r="DJ50" s="227">
        <f>$BT50*(VLOOKUP(DJ$4, Rates_current!$G$6:$Q$29, 10, FALSE)+VLOOKUP(DJ$4, Rates_current!$G$6:$Q$29, 11, FALSE))</f>
        <v>24644.93053365</v>
      </c>
      <c r="DK50" s="227">
        <f>$BT50*(VLOOKUP(DK$4, Rates_current!$G$6:$Q$29, 10, FALSE)+VLOOKUP(DK$4, Rates_current!$G$6:$Q$29, 11, FALSE))</f>
        <v>31306.749913162501</v>
      </c>
      <c r="DL50" s="227">
        <f>$BT50*(VLOOKUP(DL$4, Rates_current!$G$6:$Q$29, 10, FALSE)+VLOOKUP(DL$4, Rates_current!$G$6:$Q$29, 11, FALSE))</f>
        <v>30928.678546150004</v>
      </c>
      <c r="DM50" s="227">
        <f>$BT50*(VLOOKUP(DM$4, Rates_current!$G$6:$Q$29, 10, FALSE)+VLOOKUP(DM$4, Rates_current!$G$6:$Q$29, 11, FALSE))</f>
        <v>25780.937346150004</v>
      </c>
      <c r="DN50" s="227">
        <f>$BT50*(VLOOKUP(DN$4, Rates_current!$G$6:$Q$29, 10, FALSE)+VLOOKUP(DN$4, Rates_current!$G$6:$Q$29, 11, FALSE))</f>
        <v>23354.854670000001</v>
      </c>
      <c r="DO50" s="227">
        <f>$BT50*(VLOOKUP(DO$4, Rates_current!$G$6:$Q$29, 10, FALSE)+VLOOKUP(DO$4, Rates_current!$G$6:$Q$29, 11, FALSE))</f>
        <v>25978.017813737501</v>
      </c>
      <c r="DP50" s="227">
        <f>$BT50*(VLOOKUP(DP$4, Rates_current!$G$6:$Q$29, 10, FALSE)+VLOOKUP(DP$4, Rates_current!$G$6:$Q$29, 11, FALSE))</f>
        <v>21151.330137000001</v>
      </c>
      <c r="DQ50" s="227">
        <f>$BT50*(VLOOKUP(DQ$4, Rates_current!$G$6:$Q$29, 10, FALSE)+VLOOKUP(DQ$4, Rates_current!$G$6:$Q$29, 11, FALSE))</f>
        <v>28525.722702400002</v>
      </c>
      <c r="DR50" s="227">
        <f>$BT50*(VLOOKUP(DR$4, Rates_current!$G$6:$Q$29, 10, FALSE)+VLOOKUP(DR$4, Rates_current!$G$6:$Q$29, 11, FALSE))</f>
        <v>36396.882093250002</v>
      </c>
      <c r="DS50" s="227">
        <f>$BT50*(VLOOKUP(DS$4, Rates_current!$G$6:$Q$29, 10, FALSE)+VLOOKUP(DS$4, Rates_current!$G$6:$Q$29, 11, FALSE))</f>
        <v>28536.309633650002</v>
      </c>
      <c r="DT50" s="227">
        <f>$BT50*(VLOOKUP(DT$4, Rates_current!$G$6:$Q$29, 10, FALSE)+VLOOKUP(DT$4, Rates_current!$G$6:$Q$29, 11, FALSE))</f>
        <v>27788.683339900002</v>
      </c>
      <c r="DU50" s="227">
        <f>$BT50*(VLOOKUP(DU$4, Rates_current!$G$6:$Q$29, 10, FALSE)+VLOOKUP(DU$4, Rates_current!$G$6:$Q$29, 11, FALSE))</f>
        <v>24948.326224500004</v>
      </c>
      <c r="DV50" s="229">
        <f>IF(D50=0,IF(C50=0,MAX(0,DY50 - (VLOOKUP($A50,TOCA_current!$A$2:$AI$137,MATCH("RHWM 2020",TOCA_current!$A$2:$AI$2,0),FALSE)*$BT$2)), 0),0)</f>
        <v>0</v>
      </c>
      <c r="DW50" s="266">
        <f>VLOOKUP($A50,REP_current!$A$1:$D$135,MATCH("FY "&amp;$BT$1&amp; " Total Refund",REP_current!$A$1:$D$1,0),0)</f>
        <v>0</v>
      </c>
      <c r="DX50" s="295">
        <f>MIN(VLOOKUP($A50,TOCA_current!$A$2:$AI$137,MATCH("TRL - NLSL - Existing Resource "&amp;$BT$1,TOCA_current!$A$2:$AI$2,0),FALSE)*$BT$2, VLOOKUP($A50,TOCA_current!$A$2:$AI$137,MATCH("RHWM 2020",TOCA_current!$A$2:$AI$2,0),FALSE)*$BT$2)</f>
        <v>329338.51200000005</v>
      </c>
      <c r="DY50" s="240">
        <f>SUM(BZ50:CW50)+(BT50*RT1SC!$C$4*$BT$2)</f>
        <v>310215.43531519995</v>
      </c>
      <c r="DZ50" s="271">
        <f>VLOOKUP($A50,TOCA_current!$A$2:$AI$137,MATCH("Above RHWM Not Served with LS "&amp;$BT$1,TOCA_current!$A$2:$AI$2,0),FALSE)*$BT$2</f>
        <v>55093.248</v>
      </c>
      <c r="EA50" s="244">
        <f t="shared" si="13"/>
        <v>-19123.076684800093</v>
      </c>
      <c r="EB50" s="295">
        <f>(VLOOKUP($A50,TOCA_current!$A$2:$AI$137,MATCH("RHWM 2020",TOCA_current!$A$2:$AI$2,0),FALSE)*$BT$2) - $DX50</f>
        <v>0</v>
      </c>
      <c r="EC50" s="240">
        <f t="shared" si="14"/>
        <v>0</v>
      </c>
      <c r="ED50" s="240">
        <f t="shared" si="15"/>
        <v>0</v>
      </c>
      <c r="EE50" s="240">
        <f t="shared" si="16"/>
        <v>0</v>
      </c>
      <c r="EF50" s="240">
        <f t="shared" si="17"/>
        <v>0</v>
      </c>
    </row>
    <row r="51" spans="1:136">
      <c r="A51" s="166">
        <v>10116</v>
      </c>
      <c r="B51" s="167" t="s">
        <v>52</v>
      </c>
      <c r="C51" s="240">
        <v>0</v>
      </c>
      <c r="D51" s="240">
        <v>0</v>
      </c>
      <c r="E51" s="150">
        <f>VLOOKUP($A51,TOCA_previous!$A$2:$AI$137,MATCH(E$4,TOCA_previous!$A$2:$AI$2,0),FALSE)</f>
        <v>3.2299999999999999E-5</v>
      </c>
      <c r="F51" s="151">
        <f>VLOOKUP($A51,TOCA_previous!$A$2:$AI$137,MATCH(F$4,TOCA_previous!$A$2:$AI$2,0),FALSE)</f>
        <v>3.2299999999999999E-5</v>
      </c>
      <c r="G51" s="151">
        <f t="shared" si="2"/>
        <v>0</v>
      </c>
      <c r="H51" s="151">
        <f>VLOOKUP($A51,TOCA_previous!$A$2:$AI$137,MATCH(H$4,TOCA_previous!$A$2:$AI$2,0),FALSE)</f>
        <v>0</v>
      </c>
      <c r="I51" s="151">
        <f t="shared" si="3"/>
        <v>0</v>
      </c>
      <c r="J51" s="151">
        <f t="shared" si="4"/>
        <v>0</v>
      </c>
      <c r="K51" s="226">
        <f>VLOOKUP(A51, IRD!$A$5:$C$139, 3, FALSE)</f>
        <v>0</v>
      </c>
      <c r="L51" s="227">
        <f t="array" ref="L51">IF($G51=0, INDEX(LS_previous!$D$4:$AY$138, MATCH('Staging Table'!$A51, LS_previous!$B$4:$B$138, 0), MATCH(L$4&amp;L$5, LS_previous!$D$2:$AY$2&amp;LS_previous!$D$3:$AY$3, 0)),SUM(VLOOKUP($A51, LS_previous!$B$4:$AY$138, LS_previous!D$149, FALSE), VLOOKUP('Staging Table'!$A51, LS_previous!$B$4:$AY$138,LS_previous!AB$149, FALSE))/2)</f>
        <v>8.3036922425344528</v>
      </c>
      <c r="M51" s="227">
        <f t="array" ref="M51">IF($G51=0, INDEX(LS_previous!$D$4:$AY$138, MATCH('Staging Table'!$A51, LS_previous!$B$4:$B$138, 0), MATCH(M$4&amp;M$5, LS_previous!$D$2:$AY$2&amp;LS_previous!$D$3:$AY$3, 0)),SUM(VLOOKUP($A51, LS_previous!$B$4:$AY$138, LS_previous!E$149, FALSE), VLOOKUP('Staging Table'!$A51, LS_previous!$B$4:$AY$138,LS_previous!AC$149, FALSE))/2)</f>
        <v>27.829855844784689</v>
      </c>
      <c r="N51" s="227">
        <f t="array" ref="N51">IF($G51=0, INDEX(LS_previous!$D$4:$AY$138, MATCH('Staging Table'!$A51, LS_previous!$B$4:$B$138, 0), MATCH(N$4&amp;N$5, LS_previous!$D$2:$AY$2&amp;LS_previous!$D$3:$AY$3, 0)),SUM(VLOOKUP($A51, LS_previous!$B$4:$AY$138, LS_previous!F$149, FALSE), VLOOKUP('Staging Table'!$A51, LS_previous!$B$4:$AY$138,LS_previous!AD$149, FALSE))/2)</f>
        <v>-16.169303507441668</v>
      </c>
      <c r="O51" s="227">
        <f t="array" ref="O51">IF($G51=0, INDEX(LS_previous!$D$4:$AY$138, MATCH('Staging Table'!$A51, LS_previous!$B$4:$B$138, 0), MATCH(O$4&amp;O$5, LS_previous!$D$2:$AY$2&amp;LS_previous!$D$3:$AY$3, 0)),SUM(VLOOKUP($A51, LS_previous!$B$4:$AY$138, LS_previous!G$149, FALSE), VLOOKUP('Staging Table'!$A51, LS_previous!$B$4:$AY$138,LS_previous!AE$149, FALSE))/2)</f>
        <v>12.946282056074466</v>
      </c>
      <c r="P51" s="227">
        <f t="array" ref="P51">IF($G51=0, INDEX(LS_previous!$D$4:$AY$138, MATCH('Staging Table'!$A51, LS_previous!$B$4:$B$138, 0), MATCH(P$4&amp;P$5, LS_previous!$D$2:$AY$2&amp;LS_previous!$D$3:$AY$3, 0)),SUM(VLOOKUP($A51, LS_previous!$B$4:$AY$138, LS_previous!H$149, FALSE), VLOOKUP('Staging Table'!$A51, LS_previous!$B$4:$AY$138,LS_previous!AF$149, FALSE))/2)</f>
        <v>-5.8925996032390913</v>
      </c>
      <c r="Q51" s="227">
        <f t="array" ref="Q51">IF($G51=0, INDEX(LS_previous!$D$4:$AY$138, MATCH('Staging Table'!$A51, LS_previous!$B$4:$B$138, 0), MATCH(Q$4&amp;Q$5, LS_previous!$D$2:$AY$2&amp;LS_previous!$D$3:$AY$3, 0)),SUM(VLOOKUP($A51, LS_previous!$B$4:$AY$138, LS_previous!I$149, FALSE), VLOOKUP('Staging Table'!$A51, LS_previous!$B$4:$AY$138,LS_previous!AG$149, FALSE))/2)</f>
        <v>16.661386331383369</v>
      </c>
      <c r="R51" s="227">
        <f t="array" ref="R51">IF($G51=0, INDEX(LS_previous!$D$4:$AY$138, MATCH('Staging Table'!$A51, LS_previous!$B$4:$B$138, 0), MATCH(R$4&amp;R$5, LS_previous!$D$2:$AY$2&amp;LS_previous!$D$3:$AY$3, 0)),SUM(VLOOKUP($A51, LS_previous!$B$4:$AY$138, LS_previous!J$149, FALSE), VLOOKUP('Staging Table'!$A51, LS_previous!$B$4:$AY$138,LS_previous!AH$149, FALSE))/2)</f>
        <v>13.826676033309596</v>
      </c>
      <c r="S51" s="227">
        <f t="array" ref="S51">IF($G51=0, INDEX(LS_previous!$D$4:$AY$138, MATCH('Staging Table'!$A51, LS_previous!$B$4:$B$138, 0), MATCH(S$4&amp;S$5, LS_previous!$D$2:$AY$2&amp;LS_previous!$D$3:$AY$3, 0)),SUM(VLOOKUP($A51, LS_previous!$B$4:$AY$138, LS_previous!K$149, FALSE), VLOOKUP('Staging Table'!$A51, LS_previous!$B$4:$AY$138,LS_previous!AI$149, FALSE))/2)</f>
        <v>24.249374677022402</v>
      </c>
      <c r="T51" s="227">
        <f t="array" ref="T51">IF($G51=0, INDEX(LS_previous!$D$4:$AY$138, MATCH('Staging Table'!$A51, LS_previous!$B$4:$B$138, 0), MATCH(T$4&amp;T$5, LS_previous!$D$2:$AY$2&amp;LS_previous!$D$3:$AY$3, 0)),SUM(VLOOKUP($A51, LS_previous!$B$4:$AY$138, LS_previous!L$149, FALSE), VLOOKUP('Staging Table'!$A51, LS_previous!$B$4:$AY$138,LS_previous!AJ$149, FALSE))/2)</f>
        <v>18.221371293882157</v>
      </c>
      <c r="U51" s="227">
        <f t="array" ref="U51">IF($G51=0, INDEX(LS_previous!$D$4:$AY$138, MATCH('Staging Table'!$A51, LS_previous!$B$4:$B$138, 0), MATCH(U$4&amp;U$5, LS_previous!$D$2:$AY$2&amp;LS_previous!$D$3:$AY$3, 0)),SUM(VLOOKUP($A51, LS_previous!$B$4:$AY$138, LS_previous!M$149, FALSE), VLOOKUP('Staging Table'!$A51, LS_previous!$B$4:$AY$138,LS_previous!AK$149, FALSE))/2)</f>
        <v>25.363579077922495</v>
      </c>
      <c r="V51" s="227">
        <f t="array" ref="V51">IF($G51=0, INDEX(LS_previous!$D$4:$AY$138, MATCH('Staging Table'!$A51, LS_previous!$B$4:$B$138, 0), MATCH(V$4&amp;V$5, LS_previous!$D$2:$AY$2&amp;LS_previous!$D$3:$AY$3, 0)),SUM(VLOOKUP($A51, LS_previous!$B$4:$AY$138, LS_previous!N$149, FALSE), VLOOKUP('Staging Table'!$A51, LS_previous!$B$4:$AY$138,LS_previous!AL$149, FALSE))/2)</f>
        <v>9.4906680578814502</v>
      </c>
      <c r="W51" s="227">
        <f t="array" ref="W51">IF($G51=0, INDEX(LS_previous!$D$4:$AY$138, MATCH('Staging Table'!$A51, LS_previous!$B$4:$B$138, 0), MATCH(W$4&amp;W$5, LS_previous!$D$2:$AY$2&amp;LS_previous!$D$3:$AY$3, 0)),SUM(VLOOKUP($A51, LS_previous!$B$4:$AY$138, LS_previous!O$149, FALSE), VLOOKUP('Staging Table'!$A51, LS_previous!$B$4:$AY$138,LS_previous!AM$149, FALSE))/2)</f>
        <v>21.532538332002254</v>
      </c>
      <c r="X51" s="227">
        <f t="array" ref="X51">IF($G51=0, INDEX(LS_previous!$D$4:$AY$138, MATCH('Staging Table'!$A51, LS_previous!$B$4:$B$138, 0), MATCH(X$4&amp;X$5, LS_previous!$D$2:$AY$2&amp;LS_previous!$D$3:$AY$3, 0)),SUM(VLOOKUP($A51, LS_previous!$B$4:$AY$138, LS_previous!P$149, FALSE), VLOOKUP('Staging Table'!$A51, LS_previous!$B$4:$AY$138,LS_previous!AN$149, FALSE))/2)</f>
        <v>11.012907082615897</v>
      </c>
      <c r="Y51" s="227">
        <f t="array" ref="Y51">IF($G51=0, INDEX(LS_previous!$D$4:$AY$138, MATCH('Staging Table'!$A51, LS_previous!$B$4:$B$138, 0), MATCH(Y$4&amp;Y$5, LS_previous!$D$2:$AY$2&amp;LS_previous!$D$3:$AY$3, 0)),SUM(VLOOKUP($A51, LS_previous!$B$4:$AY$138, LS_previous!Q$149, FALSE), VLOOKUP('Staging Table'!$A51, LS_previous!$B$4:$AY$138,LS_previous!AO$149, FALSE))/2)</f>
        <v>28.231017987828899</v>
      </c>
      <c r="Z51" s="227">
        <f t="array" ref="Z51">IF($G51=0, INDEX(LS_previous!$D$4:$AY$138, MATCH('Staging Table'!$A51, LS_previous!$B$4:$B$138, 0), MATCH(Z$4&amp;Z$5, LS_previous!$D$2:$AY$2&amp;LS_previous!$D$3:$AY$3, 0)),SUM(VLOOKUP($A51, LS_previous!$B$4:$AY$138, LS_previous!R$149, FALSE), VLOOKUP('Staging Table'!$A51, LS_previous!$B$4:$AY$138,LS_previous!AP$149, FALSE))/2)</f>
        <v>-32.054214659030706</v>
      </c>
      <c r="AA51" s="227">
        <f t="array" ref="AA51">IF($G51=0, INDEX(LS_previous!$D$4:$AY$138, MATCH('Staging Table'!$A51, LS_previous!$B$4:$B$138, 0), MATCH(AA$4&amp;AA$5, LS_previous!$D$2:$AY$2&amp;LS_previous!$D$3:$AY$3, 0)),SUM(VLOOKUP($A51, LS_previous!$B$4:$AY$138, LS_previous!S$149, FALSE), VLOOKUP('Staging Table'!$A51, LS_previous!$B$4:$AY$138,LS_previous!AQ$149, FALSE))/2)</f>
        <v>2.3963240446181118</v>
      </c>
      <c r="AB51" s="227">
        <f t="array" ref="AB51">IF($G51=0, INDEX(LS_previous!$D$4:$AY$138, MATCH('Staging Table'!$A51, LS_previous!$B$4:$B$138, 0), MATCH(AB$4&amp;AB$5, LS_previous!$D$2:$AY$2&amp;LS_previous!$D$3:$AY$3, 0)),SUM(VLOOKUP($A51, LS_previous!$B$4:$AY$138, LS_previous!T$149, FALSE), VLOOKUP('Staging Table'!$A51, LS_previous!$B$4:$AY$138,LS_previous!AR$149, FALSE))/2)</f>
        <v>7.3912992508191024</v>
      </c>
      <c r="AC51" s="227">
        <f t="array" ref="AC51">IF($G51=0, INDEX(LS_previous!$D$4:$AY$138, MATCH('Staging Table'!$A51, LS_previous!$B$4:$B$138, 0), MATCH(AC$4&amp;AC$5, LS_previous!$D$2:$AY$2&amp;LS_previous!$D$3:$AY$3, 0)),SUM(VLOOKUP($A51, LS_previous!$B$4:$AY$138, LS_previous!U$149, FALSE), VLOOKUP('Staging Table'!$A51, LS_previous!$B$4:$AY$138,LS_previous!AS$149, FALSE))/2)</f>
        <v>31.928674936360693</v>
      </c>
      <c r="AD51" s="227">
        <f t="array" ref="AD51">IF($G51=0, INDEX(LS_previous!$D$4:$AY$138, MATCH('Staging Table'!$A51, LS_previous!$B$4:$B$138, 0), MATCH(AD$4&amp;AD$5, LS_previous!$D$2:$AY$2&amp;LS_previous!$D$3:$AY$3, 0)),SUM(VLOOKUP($A51, LS_previous!$B$4:$AY$138, LS_previous!V$149, FALSE), VLOOKUP('Staging Table'!$A51, LS_previous!$B$4:$AY$138,LS_previous!AT$149, FALSE))/2)</f>
        <v>34.291026178234745</v>
      </c>
      <c r="AE51" s="227">
        <f t="array" ref="AE51">IF($G51=0, INDEX(LS_previous!$D$4:$AY$138, MATCH('Staging Table'!$A51, LS_previous!$B$4:$B$138, 0), MATCH(AE$4&amp;AE$5, LS_previous!$D$2:$AY$2&amp;LS_previous!$D$3:$AY$3, 0)),SUM(VLOOKUP($A51, LS_previous!$B$4:$AY$138, LS_previous!W$149, FALSE), VLOOKUP('Staging Table'!$A51, LS_previous!$B$4:$AY$138,LS_previous!AU$149, FALSE))/2)</f>
        <v>49.166496682314602</v>
      </c>
      <c r="AF51" s="227">
        <f t="array" ref="AF51">IF($G51=0, INDEX(LS_previous!$D$4:$AY$138, MATCH('Staging Table'!$A51, LS_previous!$B$4:$B$138, 0), MATCH(AF$4&amp;AF$5, LS_previous!$D$2:$AY$2&amp;LS_previous!$D$3:$AY$3, 0)),SUM(VLOOKUP($A51, LS_previous!$B$4:$AY$138, LS_previous!X$149, FALSE), VLOOKUP('Staging Table'!$A51, LS_previous!$B$4:$AY$138,LS_previous!AV$149, FALSE))/2)</f>
        <v>8.0017014037646845</v>
      </c>
      <c r="AG51" s="227">
        <f t="array" ref="AG51">IF($G51=0, INDEX(LS_previous!$D$4:$AY$138, MATCH('Staging Table'!$A51, LS_previous!$B$4:$B$138, 0), MATCH(AG$4&amp;AG$5, LS_previous!$D$2:$AY$2&amp;LS_previous!$D$3:$AY$3, 0)),SUM(VLOOKUP($A51, LS_previous!$B$4:$AY$138, LS_previous!Y$149, FALSE), VLOOKUP('Staging Table'!$A51, LS_previous!$B$4:$AY$138,LS_previous!AW$149, FALSE))/2)</f>
        <v>36.009214947312394</v>
      </c>
      <c r="AH51" s="227">
        <f t="array" ref="AH51">IF($G51=0, INDEX(LS_previous!$D$4:$AY$138, MATCH('Staging Table'!$A51, LS_previous!$B$4:$B$138, 0), MATCH(AH$4&amp;AH$5, LS_previous!$D$2:$AY$2&amp;LS_previous!$D$3:$AY$3, 0)),SUM(VLOOKUP($A51, LS_previous!$B$4:$AY$138, LS_previous!Z$149, FALSE), VLOOKUP('Staging Table'!$A51, LS_previous!$B$4:$AY$138,LS_previous!AX$149, FALSE))/2)</f>
        <v>9.6929828764236561</v>
      </c>
      <c r="AI51" s="227">
        <f t="array" ref="AI51">IF($G51=0, INDEX(LS_previous!$D$4:$AY$138, MATCH('Staging Table'!$A51, LS_previous!$B$4:$B$138, 0), MATCH(AI$4&amp;AI$5, LS_previous!$D$2:$AY$2&amp;LS_previous!$D$3:$AY$3, 0)),SUM(VLOOKUP($A51, LS_previous!$B$4:$AY$138, LS_previous!AA$149, FALSE), VLOOKUP('Staging Table'!$A51, LS_previous!$B$4:$AY$138,LS_previous!AY$149, FALSE))/2)</f>
        <v>26.594498905212504</v>
      </c>
      <c r="AJ51" s="424">
        <f t="array" ref="AJ51">INDEX(Demand_previous!$D$4:$AY$138, MATCH('Staging Table'!$A51, Demand_previous!$B$4:$B$138, 0), MATCH(AJ$4&amp;AJ$5,Demand_previous!$D$2:$AY$2&amp;Demand_previous!$D$3:$AY$3, 0))/1000</f>
        <v>5.1248862486619251E-2</v>
      </c>
      <c r="AK51" s="424">
        <f t="array" ref="AK51">INDEX(Demand_previous!$D$4:$AY$138, MATCH('Staging Table'!$A51, Demand_previous!$B$4:$B$138, 0), MATCH(AK$4&amp;AK$5,Demand_previous!$D$2:$AY$2&amp;Demand_previous!$D$3:$AY$3, 0))/1000</f>
        <v>0</v>
      </c>
      <c r="AL51" s="424">
        <f t="array" ref="AL51">INDEX(Demand_previous!$D$4:$AY$138, MATCH('Staging Table'!$A51, Demand_previous!$B$4:$B$138, 0), MATCH(AL$4&amp;AL$5,Demand_previous!$D$2:$AY$2&amp;Demand_previous!$D$3:$AY$3, 0))/1000</f>
        <v>4.7722500000000001E-2</v>
      </c>
      <c r="AM51" s="424">
        <f t="array" ref="AM51">INDEX(Demand_previous!$D$4:$AY$138, MATCH('Staging Table'!$A51, Demand_previous!$B$4:$B$138, 0), MATCH(AM$4&amp;AM$5,Demand_previous!$D$2:$AY$2&amp;Demand_previous!$D$3:$AY$3, 0))/1000</f>
        <v>3.6100961538461568E-2</v>
      </c>
      <c r="AN51" s="424">
        <f t="array" ref="AN51">INDEX(Demand_previous!$D$4:$AY$138, MATCH('Staging Table'!$A51, Demand_previous!$B$4:$B$138, 0), MATCH(AN$4&amp;AN$5,Demand_previous!$D$2:$AY$2&amp;Demand_previous!$D$3:$AY$3, 0))/1000</f>
        <v>7.6463541666666676E-2</v>
      </c>
      <c r="AO51" s="424">
        <f t="array" ref="AO51">INDEX(Demand_previous!$D$4:$AY$138, MATCH('Staging Table'!$A51, Demand_previous!$B$4:$B$138, 0), MATCH(AO$4&amp;AO$5,Demand_previous!$D$2:$AY$2&amp;Demand_previous!$D$3:$AY$3, 0))/1000</f>
        <v>8.9532407407407408E-2</v>
      </c>
      <c r="AP51" s="424">
        <f t="array" ref="AP51">INDEX(Demand_previous!$D$4:$AY$138, MATCH('Staging Table'!$A51, Demand_previous!$B$4:$B$138, 0), MATCH(AP$4&amp;AP$5,Demand_previous!$D$2:$AY$2&amp;Demand_previous!$D$3:$AY$3, 0))/1000</f>
        <v>4.7474000000000016E-2</v>
      </c>
      <c r="AQ51" s="424">
        <f t="array" ref="AQ51">INDEX(Demand_previous!$D$4:$AY$138, MATCH('Staging Table'!$A51, Demand_previous!$B$4:$B$138, 0), MATCH(AQ$4&amp;AQ$5,Demand_previous!$D$2:$AY$2&amp;Demand_previous!$D$3:$AY$3, 0))/1000</f>
        <v>3.7648076923076951E-2</v>
      </c>
      <c r="AR51" s="424">
        <f t="array" ref="AR51">INDEX(Demand_previous!$D$4:$AY$138, MATCH('Staging Table'!$A51, Demand_previous!$B$4:$B$138, 0), MATCH(AR$4&amp;AR$5,Demand_previous!$D$2:$AY$2&amp;Demand_previous!$D$3:$AY$3, 0))/1000</f>
        <v>4.3854086538461554E-2</v>
      </c>
      <c r="AS51" s="424">
        <f t="array" ref="AS51">INDEX(Demand_previous!$D$4:$AY$138, MATCH('Staging Table'!$A51, Demand_previous!$B$4:$B$138, 0), MATCH(AS$4&amp;AS$5,Demand_previous!$D$2:$AY$2&amp;Demand_previous!$D$3:$AY$3, 0))/1000</f>
        <v>3.234250000000001E-2</v>
      </c>
      <c r="AT51" s="424">
        <f t="array" ref="AT51">INDEX(Demand_previous!$D$4:$AY$138, MATCH('Staging Table'!$A51, Demand_previous!$B$4:$B$138, 0), MATCH(AT$4&amp;AT$5,Demand_previous!$D$2:$AY$2&amp;Demand_previous!$D$3:$AY$3, 0))/1000</f>
        <v>4.0452083333333333E-2</v>
      </c>
      <c r="AU51" s="424">
        <f t="array" ref="AU51">INDEX(Demand_previous!$D$4:$AY$138, MATCH('Staging Table'!$A51, Demand_previous!$B$4:$B$138, 0), MATCH(AU$4&amp;AU$5,Demand_previous!$D$2:$AY$2&amp;Demand_previous!$D$3:$AY$3, 0))/1000</f>
        <v>3.1452083333333325E-2</v>
      </c>
      <c r="AV51" s="227">
        <f>$F51*(VLOOKUP(AV$4, Rates_previous!$G$6:$Q$29, 10, FALSE)+VLOOKUP(AV$4, Rates_previous!$G$6:$Q$29, 11, FALSE))</f>
        <v>151.44945972518084</v>
      </c>
      <c r="AW51" s="227">
        <f>$F51*(VLOOKUP(AW$4, Rates_previous!$G$6:$Q$29, 10, FALSE)+VLOOKUP(AW$4, Rates_previous!$G$6:$Q$29, 11, FALSE))</f>
        <v>187.1800214513672</v>
      </c>
      <c r="AX51" s="227">
        <f>$F51*(VLOOKUP(AX$4, Rates_previous!$G$6:$Q$29, 10, FALSE)+VLOOKUP(AX$4, Rates_previous!$G$6:$Q$29, 11, FALSE))</f>
        <v>184.93221327185574</v>
      </c>
      <c r="AY51" s="227">
        <f>$F51*(VLOOKUP(AY$4, Rates_previous!$G$6:$Q$29, 10, FALSE)+VLOOKUP(AY$4, Rates_previous!$G$6:$Q$29, 11, FALSE))</f>
        <v>158.006949289668</v>
      </c>
      <c r="AZ51" s="227">
        <f>$F51*(VLOOKUP(AZ$4, Rates_previous!$G$6:$Q$29, 10, FALSE)+VLOOKUP(AZ$4, Rates_previous!$G$6:$Q$29, 11, FALSE))</f>
        <v>129.53504962819534</v>
      </c>
      <c r="BA51" s="227">
        <f>$F51*(VLOOKUP(BA$4, Rates_previous!$G$6:$Q$29, 10, FALSE)+VLOOKUP(BA$4, Rates_previous!$G$6:$Q$29, 11, FALSE))</f>
        <v>153.36479361011629</v>
      </c>
      <c r="BB51" s="227">
        <f>$F51*(VLOOKUP(BB$4, Rates_previous!$G$6:$Q$29, 10, FALSE)+VLOOKUP(BB$4, Rates_previous!$G$6:$Q$29, 11, FALSE))</f>
        <v>147.40587492955518</v>
      </c>
      <c r="BC51" s="227">
        <f>$F51*(VLOOKUP(BC$4, Rates_previous!$G$6:$Q$29, 10, FALSE)+VLOOKUP(BC$4, Rates_previous!$G$6:$Q$29, 11, FALSE))</f>
        <v>216.30769061441259</v>
      </c>
      <c r="BD51" s="227">
        <f>$F51*(VLOOKUP(BD$4, Rates_previous!$G$6:$Q$29, 10, FALSE)+VLOOKUP(BD$4, Rates_previous!$G$6:$Q$29, 11, FALSE))</f>
        <v>170.66105081282021</v>
      </c>
      <c r="BE51" s="227">
        <f>$F51*(VLOOKUP(BE$4, Rates_previous!$G$6:$Q$29, 10, FALSE)+VLOOKUP(BE$4, Rates_previous!$G$6:$Q$29, 11, FALSE))</f>
        <v>149.85472713945066</v>
      </c>
      <c r="BF51" s="227">
        <f>$F51*(VLOOKUP(BF$4, Rates_previous!$G$6:$Q$29, 10, FALSE)+VLOOKUP(BF$4, Rates_previous!$G$6:$Q$29, 11, FALSE))</f>
        <v>165.97010864892289</v>
      </c>
      <c r="BG51" s="227">
        <f>$F51*(VLOOKUP(BG$4, Rates_previous!$G$6:$Q$29, 10, FALSE)+VLOOKUP(BG$4, Rates_previous!$G$6:$Q$29, 11, FALSE))</f>
        <v>150.36231821836384</v>
      </c>
      <c r="BH51" s="229">
        <f>IF($D51=0,IF(C51=0, MAX(BK51 - (VLOOKUP($A51,TOCA_previous!$A$2:$AI$137,MATCH("RHWM 2018",TOCA_previous!$A$2:$AI$2,0),FALSE)*$F$2*TOCA_previous!C48),0),0), 0)</f>
        <v>371.81573648059089</v>
      </c>
      <c r="BI51" s="266">
        <f>VLOOKUP($A51,REP_previous!$A$1:$D$135,MATCH("FY "&amp;$F$1&amp; " Total Refund",REP_previous!$A$1:$D$1,0),0)</f>
        <v>3106.5164304322193</v>
      </c>
      <c r="BJ51" s="241">
        <f>MIN(VLOOKUP($A51,TOCA_previous!$A$2:$AI$137,MATCH("TRL - NLSL - Existing Resource "&amp;$F$1,TOCA_previous!$A$2:$AI$2,0),FALSE)*$F$2,(VLOOKUP($A51,TOCA_previous!$A$2:$AI$137,MATCH("RHWM 2018",TOCA_previous!$A$2:$AI$2,0),FALSE)*$F$2))</f>
        <v>1962.24</v>
      </c>
      <c r="BK51" s="229">
        <f>SUM(L51:AI51)+(F51*RT1SC!$C$3*$F$2)</f>
        <v>2334.0557364805909</v>
      </c>
      <c r="BL51" s="241">
        <f>VLOOKUP($A51,TOCA_previous!$A$2:$AI$137,MATCH("Above RHWM Not Served with LS "&amp;$F$1,TOCA_previous!$A$2:$AI$2,0),FALSE)*$F$2</f>
        <v>0</v>
      </c>
      <c r="BM51" s="151">
        <f t="shared" si="5"/>
        <v>371.81573648059089</v>
      </c>
      <c r="BN51" s="242">
        <f>(VLOOKUP($A51,TOCA_previous!$A$2:$AI$137,MATCH("RHWM 2018",TOCA_previous!$A$2:$AI$2,0),FALSE)*$F$2) - $BJ51</f>
        <v>0</v>
      </c>
      <c r="BO51" s="151">
        <f t="shared" si="6"/>
        <v>0</v>
      </c>
      <c r="BP51" s="243">
        <f t="shared" si="7"/>
        <v>0</v>
      </c>
      <c r="BQ51" s="237">
        <f t="shared" si="8"/>
        <v>0</v>
      </c>
      <c r="BR51" s="242">
        <f t="shared" si="9"/>
        <v>0</v>
      </c>
      <c r="BS51" s="151">
        <f>VLOOKUP($A51,TOCA_current!$A$2:$AI$137,MATCH(BS$4,TOCA_current!$A$2:$AI$2,0),FALSE)</f>
        <v>3.2199999999999997E-5</v>
      </c>
      <c r="BT51" s="151">
        <f>VLOOKUP($A51,TOCA_current!$A$2:$AI$137,MATCH(BT$4,TOCA_current!$A$2:$AI$2,0),FALSE)</f>
        <v>3.2199999999999997E-5</v>
      </c>
      <c r="BU51" s="236">
        <f t="shared" si="10"/>
        <v>0</v>
      </c>
      <c r="BV51" s="151">
        <f>VLOOKUP($A51,TOCA_current!A47:BG182,MATCH(BV$4,TOCA_current!$A$2:$BG$2,0),FALSE)</f>
        <v>0</v>
      </c>
      <c r="BW51" s="151">
        <f t="shared" si="11"/>
        <v>0</v>
      </c>
      <c r="BX51" s="151">
        <f t="shared" si="12"/>
        <v>0</v>
      </c>
      <c r="BY51" s="226">
        <f>VLOOKUP($A51,IRD!$A$4:$G$139, 7, FALSE)</f>
        <v>0</v>
      </c>
      <c r="BZ51" s="227">
        <f t="array" ref="BZ51">IF($BU51=0, INDEX(LS_current!$D$4:$AY$138, MATCH('Staging Table'!$A51, LS_current!$B$4:$B$138, 0), MATCH(BZ$4&amp;BZ$5, LS_current!$D$2:$AY$2&amp;LS_current!$D$3:$AY$3, 0)),SUM(VLOOKUP($A51, LS_current!$B$4:$AY$138, LS_current!D$148, FALSE), VLOOKUP($A51, LS_current!$B$4:$AY$138,LS_current!D$148, FALSE))/2)</f>
        <v>9.9165677119664224</v>
      </c>
      <c r="CA51" s="227">
        <f t="array" ref="CA51">IF($BU51=0, INDEX(LS_current!$D$4:$AY$138, MATCH('Staging Table'!$A51, LS_current!$B$4:$B$138, 0), MATCH(CA$4&amp;CA$5, LS_current!$D$2:$AY$2&amp;LS_current!$D$3:$AY$3, 0)),SUM(VLOOKUP($A51, LS_current!$B$4:$AY$138, LS_current!E$148, FALSE), VLOOKUP($A51, LS_current!$B$4:$AY$138,LS_current!E$148, FALSE))/2)</f>
        <v>28.988826389333589</v>
      </c>
      <c r="CB51" s="227">
        <f t="array" ref="CB51">IF($BU51=0, INDEX(LS_current!$D$4:$AY$138, MATCH('Staging Table'!$A51, LS_current!$B$4:$B$138, 0), MATCH(CB$4&amp;CB$5, LS_current!$D$2:$AY$2&amp;LS_current!$D$3:$AY$3, 0)),SUM(VLOOKUP($A51, LS_current!$B$4:$AY$138, LS_current!F$148, FALSE), VLOOKUP($A51, LS_current!$B$4:$AY$138,LS_current!F$148, FALSE))/2)</f>
        <v>-16.636234401599978</v>
      </c>
      <c r="CC51" s="227">
        <f t="array" ref="CC51">IF($BU51=0, INDEX(LS_current!$D$4:$AY$138, MATCH('Staging Table'!$A51, LS_current!$B$4:$B$138, 0), MATCH(CC$4&amp;CC$5, LS_current!$D$2:$AY$2&amp;LS_current!$D$3:$AY$3, 0)),SUM(VLOOKUP($A51, LS_current!$B$4:$AY$138, LS_current!G$148, FALSE), VLOOKUP($A51, LS_current!$B$4:$AY$138,LS_current!G$148, FALSE))/2)</f>
        <v>11.726284105800005</v>
      </c>
      <c r="CD51" s="227">
        <f t="array" ref="CD51">IF($BU51=0, INDEX(LS_current!$D$4:$AY$138, MATCH('Staging Table'!$A51, LS_current!$B$4:$B$138, 0), MATCH(CD$4&amp;CD$5, LS_current!$D$2:$AY$2&amp;LS_current!$D$3:$AY$3, 0)),SUM(VLOOKUP($A51, LS_current!$B$4:$AY$138, LS_current!H$148, FALSE), VLOOKUP($A51, LS_current!$B$4:$AY$138,LS_current!H$148, FALSE))/2)</f>
        <v>-6.5593048383999957</v>
      </c>
      <c r="CE51" s="227">
        <f t="array" ref="CE51">IF($BU51=0, INDEX(LS_current!$D$4:$AY$138, MATCH('Staging Table'!$A51, LS_current!$B$4:$B$138, 0), MATCH(CE$4&amp;CE$5, LS_current!$D$2:$AY$2&amp;LS_current!$D$3:$AY$3, 0)),SUM(VLOOKUP($A51, LS_current!$B$4:$AY$138, LS_current!I$148, FALSE), VLOOKUP($A51, LS_current!$B$4:$AY$138,LS_current!I$148, FALSE))/2)</f>
        <v>15.674178527199999</v>
      </c>
      <c r="CF51" s="227">
        <f t="array" ref="CF51">IF($BU51=0, INDEX(LS_current!$D$4:$AY$138, MATCH('Staging Table'!$A51, LS_current!$B$4:$B$138, 0), MATCH(CF$4&amp;CF$5, LS_current!$D$2:$AY$2&amp;LS_current!$D$3:$AY$3, 0)),SUM(VLOOKUP($A51, LS_current!$B$4:$AY$138, LS_current!J$148, FALSE), VLOOKUP($A51, LS_current!$B$4:$AY$138,LS_current!J$148, FALSE))/2)</f>
        <v>13.700302361599995</v>
      </c>
      <c r="CG51" s="227">
        <f t="array" ref="CG51">IF($BU51=0, INDEX(LS_current!$D$4:$AY$138, MATCH('Staging Table'!$A51, LS_current!$B$4:$B$138, 0), MATCH(CG$4&amp;CG$5, LS_current!$D$2:$AY$2&amp;LS_current!$D$3:$AY$3, 0)),SUM(VLOOKUP($A51, LS_current!$B$4:$AY$138, LS_current!K$148, FALSE), VLOOKUP($A51, LS_current!$B$4:$AY$138,LS_current!K$148, FALSE))/2)</f>
        <v>26.851796927200006</v>
      </c>
      <c r="CH51" s="227">
        <f t="array" ref="CH51">IF($BU51=0, INDEX(LS_current!$D$4:$AY$138, MATCH('Staging Table'!$A51, LS_current!$B$4:$B$138, 0), MATCH(CH$4&amp;CH$5, LS_current!$D$2:$AY$2&amp;LS_current!$D$3:$AY$3, 0)),SUM(VLOOKUP($A51, LS_current!$B$4:$AY$138, LS_current!L$148, FALSE), VLOOKUP($A51, LS_current!$B$4:$AY$138,LS_current!L$148, FALSE))/2)</f>
        <v>11.154772607200016</v>
      </c>
      <c r="CI51" s="227">
        <f t="array" ref="CI51">IF($BU51=0, INDEX(LS_current!$D$4:$AY$138, MATCH('Staging Table'!$A51, LS_current!$B$4:$B$138, 0), MATCH(CI$4&amp;CI$5, LS_current!$D$2:$AY$2&amp;LS_current!$D$3:$AY$3, 0)),SUM(VLOOKUP($A51, LS_current!$B$4:$AY$138, LS_current!M$148, FALSE), VLOOKUP($A51, LS_current!$B$4:$AY$138,LS_current!M$148, FALSE))/2)</f>
        <v>21.070366432800007</v>
      </c>
      <c r="CJ51" s="227">
        <f t="array" ref="CJ51">IF($BU51=0, INDEX(LS_current!$D$4:$AY$138, MATCH('Staging Table'!$A51, LS_current!$B$4:$B$138, 0), MATCH(CJ$4&amp;CJ$5, LS_current!$D$2:$AY$2&amp;LS_current!$D$3:$AY$3, 0)),SUM(VLOOKUP($A51, LS_current!$B$4:$AY$138, LS_current!N$148, FALSE), VLOOKUP($A51, LS_current!$B$4:$AY$138,LS_current!N$148, FALSE))/2)</f>
        <v>6.828079124800027</v>
      </c>
      <c r="CK51" s="227">
        <f t="array" ref="CK51">IF($BU51=0, INDEX(LS_current!$D$4:$AY$138, MATCH('Staging Table'!$A51, LS_current!$B$4:$B$138, 0), MATCH(CK$4&amp;CK$5, LS_current!$D$2:$AY$2&amp;LS_current!$D$3:$AY$3, 0)),SUM(VLOOKUP($A51, LS_current!$B$4:$AY$138, LS_current!O$148, FALSE), VLOOKUP($A51, LS_current!$B$4:$AY$138,LS_current!O$148, FALSE))/2)</f>
        <v>20.840075703800004</v>
      </c>
      <c r="CL51" s="227">
        <f t="array" ref="CL51">IF($BU51=0, INDEX(LS_current!$D$4:$AY$138, MATCH('Staging Table'!$A51, LS_current!$B$4:$B$138, 0), MATCH(CL$4&amp;CL$5, LS_current!$D$2:$AY$2&amp;LS_current!$D$3:$AY$3, 0)),SUM(VLOOKUP($A51, LS_current!$B$4:$AY$138, LS_current!P$148, FALSE), VLOOKUP($A51, LS_current!$B$4:$AY$138,LS_current!P$148, FALSE))/2)</f>
        <v>25.516971243200018</v>
      </c>
      <c r="CM51" s="227">
        <f t="array" ref="CM51">IF($BU51=0, INDEX(LS_current!$D$4:$AY$138, MATCH('Staging Table'!$A51, LS_current!$B$4:$B$138, 0), MATCH(CM$4&amp;CM$5, LS_current!$D$2:$AY$2&amp;LS_current!$D$3:$AY$3, 0)),SUM(VLOOKUP($A51, LS_current!$B$4:$AY$138, LS_current!Q$148, FALSE), VLOOKUP($A51, LS_current!$B$4:$AY$138,LS_current!Q$148, FALSE))/2)</f>
        <v>33.531361700800005</v>
      </c>
      <c r="CN51" s="227">
        <f t="array" ref="CN51">IF($BU51=0, INDEX(LS_current!$D$4:$AY$138, MATCH('Staging Table'!$A51, LS_current!$B$4:$B$138, 0), MATCH(CN$4&amp;CN$5, LS_current!$D$2:$AY$2&amp;LS_current!$D$3:$AY$3, 0)),SUM(VLOOKUP($A51, LS_current!$B$4:$AY$138, LS_current!R$148, FALSE), VLOOKUP($A51, LS_current!$B$4:$AY$138,LS_current!R$148, FALSE))/2)</f>
        <v>-5.8620046199999933</v>
      </c>
      <c r="CO51" s="227">
        <f t="array" ref="CO51">IF($BU51=0, INDEX(LS_current!$D$4:$AY$138, MATCH('Staging Table'!$A51, LS_current!$B$4:$B$138, 0), MATCH(CO$4&amp;CO$5, LS_current!$D$2:$AY$2&amp;LS_current!$D$3:$AY$3, 0)),SUM(VLOOKUP($A51, LS_current!$B$4:$AY$138, LS_current!S$148, FALSE), VLOOKUP($A51, LS_current!$B$4:$AY$138,LS_current!S$148, FALSE))/2)</f>
        <v>20.422198808800005</v>
      </c>
      <c r="CP51" s="227">
        <f t="array" ref="CP51">IF($BU51=0, INDEX(LS_current!$D$4:$AY$138, MATCH('Staging Table'!$A51, LS_current!$B$4:$B$138, 0), MATCH(CP$4&amp;CP$5, LS_current!$D$2:$AY$2&amp;LS_current!$D$3:$AY$3, 0)),SUM(VLOOKUP($A51, LS_current!$B$4:$AY$138, LS_current!T$148, FALSE), VLOOKUP($A51, LS_current!$B$4:$AY$138,LS_current!T$148, FALSE))/2)</f>
        <v>-23.467885456799991</v>
      </c>
      <c r="CQ51" s="227">
        <f t="array" ref="CQ51">IF($BU51=0, INDEX(LS_current!$D$4:$AY$138, MATCH('Staging Table'!$A51, LS_current!$B$4:$B$138, 0), MATCH(CQ$4&amp;CQ$5, LS_current!$D$2:$AY$2&amp;LS_current!$D$3:$AY$3, 0)),SUM(VLOOKUP($A51, LS_current!$B$4:$AY$138, LS_current!U$148, FALSE), VLOOKUP($A51, LS_current!$B$4:$AY$138,LS_current!U$148, FALSE))/2)</f>
        <v>13.874277500800005</v>
      </c>
      <c r="CR51" s="227">
        <f t="array" ref="CR51">IF($BU51=0, INDEX(LS_current!$D$4:$AY$138, MATCH('Staging Table'!$A51, LS_current!$B$4:$B$138, 0), MATCH(CR$4&amp;CR$5, LS_current!$D$2:$AY$2&amp;LS_current!$D$3:$AY$3, 0)),SUM(VLOOKUP($A51, LS_current!$B$4:$AY$138, LS_current!V$148, FALSE), VLOOKUP($A51, LS_current!$B$4:$AY$138,LS_current!V$148, FALSE))/2)</f>
        <v>13.756913543200014</v>
      </c>
      <c r="CS51" s="227">
        <f t="array" ref="CS51">IF($BU51=0, INDEX(LS_current!$D$4:$AY$138, MATCH('Staging Table'!$A51, LS_current!$B$4:$B$138, 0), MATCH(CS$4&amp;CS$5, LS_current!$D$2:$AY$2&amp;LS_current!$D$3:$AY$3, 0)),SUM(VLOOKUP($A51, LS_current!$B$4:$AY$138, LS_current!W$148, FALSE), VLOOKUP($A51, LS_current!$B$4:$AY$138,LS_current!W$148, FALSE))/2)</f>
        <v>47.401861945600004</v>
      </c>
      <c r="CT51" s="227">
        <f t="array" ref="CT51">IF($BU51=0, INDEX(LS_current!$D$4:$AY$138, MATCH('Staging Table'!$A51, LS_current!$B$4:$B$138, 0), MATCH(CT$4&amp;CT$5, LS_current!$D$2:$AY$2&amp;LS_current!$D$3:$AY$3, 0)),SUM(VLOOKUP($A51, LS_current!$B$4:$AY$138, LS_current!X$148, FALSE), VLOOKUP($A51, LS_current!$B$4:$AY$138,LS_current!X$148, FALSE))/2)</f>
        <v>4.1547396432000028</v>
      </c>
      <c r="CU51" s="227">
        <f t="array" ref="CU51">IF($BU51=0, INDEX(LS_current!$D$4:$AY$138, MATCH('Staging Table'!$A51, LS_current!$B$4:$B$138, 0), MATCH(CU$4&amp;CU$5, LS_current!$D$2:$AY$2&amp;LS_current!$D$3:$AY$3, 0)),SUM(VLOOKUP($A51, LS_current!$B$4:$AY$138, LS_current!Y$148, FALSE), VLOOKUP($A51, LS_current!$B$4:$AY$138,LS_current!Y$148, FALSE))/2)</f>
        <v>38.183080945599997</v>
      </c>
      <c r="CV51" s="227">
        <f t="array" ref="CV51">IF($BU51=0, INDEX(LS_current!$D$4:$AY$138, MATCH('Staging Table'!$A51, LS_current!$B$4:$B$138, 0), MATCH(CV$4&amp;CV$5, LS_current!$D$2:$AY$2&amp;LS_current!$D$3:$AY$3, 0)),SUM(VLOOKUP($A51, LS_current!$B$4:$AY$138, LS_current!Z$148, FALSE), VLOOKUP($A51, LS_current!$B$4:$AY$138,LS_current!Z$148, FALSE))/2)</f>
        <v>9.4233836800000148</v>
      </c>
      <c r="CW51" s="227">
        <f t="array" ref="CW51">IF($BU51=0, INDEX(LS_current!$D$4:$AY$138, MATCH('Staging Table'!$A51, LS_current!$B$4:$B$138, 0), MATCH(CW$4&amp;CW$5, LS_current!$D$2:$AY$2&amp;LS_current!$D$3:$AY$3, 0)),SUM(VLOOKUP($A51, LS_current!$B$4:$AY$138, LS_current!AA$148, FALSE), VLOOKUP($A51, LS_current!$B$4:$AY$138,LS_current!AA$148, FALSE))/2)</f>
        <v>26.718481064000009</v>
      </c>
      <c r="CX51" s="229">
        <f t="array" ref="CX51">INDEX(Demand_current!$D$4:$AY$138, MATCH($A51, Demand_current!$B$4:$B$138, 0), MATCH(CX$4&amp;CX$5,Demand_current!$D$2:$AY$2&amp;Demand_current!$D$3:$AY$3, 0))/1000</f>
        <v>6.075816387600369E-2</v>
      </c>
      <c r="CY51" s="229">
        <f t="array" ref="CY51">INDEX(Demand_current!$D$4:$AY$138, MATCH($A51, Demand_current!$B$4:$B$138, 0), MATCH(CY$4&amp;CY$5,Demand_current!$D$2:$AY$2&amp;Demand_current!$D$3:$AY$3, 0))/1000</f>
        <v>0</v>
      </c>
      <c r="CZ51" s="229">
        <f t="array" ref="CZ51">INDEX(Demand_current!$D$4:$AY$138, MATCH($A51, Demand_current!$B$4:$B$138, 0), MATCH(CZ$4&amp;CZ$5,Demand_current!$D$2:$AY$2&amp;Demand_current!$D$3:$AY$3, 0))/1000</f>
        <v>4.7722500000000001E-2</v>
      </c>
      <c r="DA51" s="229">
        <f t="array" ref="DA51">INDEX(Demand_current!$D$4:$AY$138, MATCH($A51, Demand_current!$B$4:$B$138, 0), MATCH(DA$4&amp;DA$5,Demand_current!$D$2:$AY$2&amp;Demand_current!$D$3:$AY$3, 0))/1000</f>
        <v>3.6100961538461568E-2</v>
      </c>
      <c r="DB51" s="229">
        <f t="array" ref="DB51">INDEX(Demand_current!$D$4:$AY$138, MATCH($A51, Demand_current!$B$4:$B$138, 0), MATCH(DB$4&amp;DB$5,Demand_current!$D$2:$AY$2&amp;Demand_current!$D$3:$AY$3, 0))/1000</f>
        <v>8.6884999999999976E-2</v>
      </c>
      <c r="DC51" s="229">
        <f t="array" ref="DC51">INDEX(Demand_current!$D$4:$AY$138, MATCH($A51, Demand_current!$B$4:$B$138, 0), MATCH(DC$4&amp;DC$5,Demand_current!$D$2:$AY$2&amp;Demand_current!$D$3:$AY$3, 0))/1000</f>
        <v>8.0052884615384609E-2</v>
      </c>
      <c r="DD51" s="229">
        <f t="array" ref="DD51">INDEX(Demand_current!$D$4:$AY$138, MATCH($A51, Demand_current!$B$4:$B$138, 0), MATCH(DD$4&amp;DD$5,Demand_current!$D$2:$AY$2&amp;Demand_current!$D$3:$AY$3, 0))/1000</f>
        <v>5.7648076923076941E-2</v>
      </c>
      <c r="DE51" s="229">
        <f t="array" ref="DE51">INDEX(Demand_current!$D$4:$AY$138, MATCH($A51, Demand_current!$B$4:$B$138, 0), MATCH(DE$4&amp;DE$5,Demand_current!$D$2:$AY$2&amp;Demand_current!$D$3:$AY$3, 0))/1000</f>
        <v>2.7474000000000026E-2</v>
      </c>
      <c r="DF51" s="229">
        <f t="array" ref="DF51">INDEX(Demand_current!$D$4:$AY$138, MATCH($A51, Demand_current!$B$4:$B$138, 0), MATCH(DF$4&amp;DF$5,Demand_current!$D$2:$AY$2&amp;Demand_current!$D$3:$AY$3, 0))/1000</f>
        <v>4.3854086538461554E-2</v>
      </c>
      <c r="DG51" s="229">
        <f t="array" ref="DG51">INDEX(Demand_current!$D$4:$AY$138, MATCH($A51, Demand_current!$B$4:$B$138, 0), MATCH(DG$4&amp;DG$5,Demand_current!$D$2:$AY$2&amp;Demand_current!$D$3:$AY$3, 0))/1000</f>
        <v>4.5060096153846166E-2</v>
      </c>
      <c r="DH51" s="229">
        <f t="array" ref="DH51">INDEX(Demand_current!$D$4:$AY$138, MATCH($A51, Demand_current!$B$4:$B$138, 0), MATCH(DH$4&amp;DH$5,Demand_current!$D$2:$AY$2&amp;Demand_current!$D$3:$AY$3, 0))/1000</f>
        <v>2.9854086538461555E-2</v>
      </c>
      <c r="DI51" s="229">
        <f t="array" ref="DI51">INDEX(Demand_current!$D$4:$AY$138, MATCH($A51, Demand_current!$B$4:$B$138, 0), MATCH(DI$4&amp;DI$5,Demand_current!$D$2:$AY$2&amp;Demand_current!$D$3:$AY$3, 0))/1000</f>
        <v>4.2474000000000012E-2</v>
      </c>
      <c r="DJ51" s="227">
        <f>$BT51*(VLOOKUP(DJ$4, Rates_current!$G$6:$Q$29, 10, FALSE)+VLOOKUP(DJ$4, Rates_current!$G$6:$Q$29, 11, FALSE))</f>
        <v>148.67761371119997</v>
      </c>
      <c r="DK51" s="227">
        <f>$BT51*(VLOOKUP(DK$4, Rates_current!$G$6:$Q$29, 10, FALSE)+VLOOKUP(DK$4, Rates_current!$G$6:$Q$29, 11, FALSE))</f>
        <v>188.8669502958</v>
      </c>
      <c r="DL51" s="227">
        <f>$BT51*(VLOOKUP(DL$4, Rates_current!$G$6:$Q$29, 10, FALSE)+VLOOKUP(DL$4, Rates_current!$G$6:$Q$29, 11, FALSE))</f>
        <v>186.58612631119999</v>
      </c>
      <c r="DM51" s="227">
        <f>$BT51*(VLOOKUP(DM$4, Rates_current!$G$6:$Q$29, 10, FALSE)+VLOOKUP(DM$4, Rates_current!$G$6:$Q$29, 11, FALSE))</f>
        <v>155.53090071119999</v>
      </c>
      <c r="DN51" s="227">
        <f>$BT51*(VLOOKUP(DN$4, Rates_current!$G$6:$Q$29, 10, FALSE)+VLOOKUP(DN$4, Rates_current!$G$6:$Q$29, 11, FALSE))</f>
        <v>140.89486095999999</v>
      </c>
      <c r="DO51" s="227">
        <f>$BT51*(VLOOKUP(DO$4, Rates_current!$G$6:$Q$29, 10, FALSE)+VLOOKUP(DO$4, Rates_current!$G$6:$Q$29, 11, FALSE))</f>
        <v>156.71984517139998</v>
      </c>
      <c r="DP51" s="227">
        <f>$BT51*(VLOOKUP(DP$4, Rates_current!$G$6:$Q$29, 10, FALSE)+VLOOKUP(DP$4, Rates_current!$G$6:$Q$29, 11, FALSE))</f>
        <v>127.60146705599999</v>
      </c>
      <c r="DQ51" s="227">
        <f>$BT51*(VLOOKUP(DQ$4, Rates_current!$G$6:$Q$29, 10, FALSE)+VLOOKUP(DQ$4, Rates_current!$G$6:$Q$29, 11, FALSE))</f>
        <v>172.08960581119999</v>
      </c>
      <c r="DR51" s="227">
        <f>$BT51*(VLOOKUP(DR$4, Rates_current!$G$6:$Q$29, 10, FALSE)+VLOOKUP(DR$4, Rates_current!$G$6:$Q$29, 11, FALSE))</f>
        <v>219.57463295599999</v>
      </c>
      <c r="DS51" s="227">
        <f>$BT51*(VLOOKUP(DS$4, Rates_current!$G$6:$Q$29, 10, FALSE)+VLOOKUP(DS$4, Rates_current!$G$6:$Q$29, 11, FALSE))</f>
        <v>172.15347451119999</v>
      </c>
      <c r="DT51" s="227">
        <f>$BT51*(VLOOKUP(DT$4, Rates_current!$G$6:$Q$29, 10, FALSE)+VLOOKUP(DT$4, Rates_current!$G$6:$Q$29, 11, FALSE))</f>
        <v>167.6432044112</v>
      </c>
      <c r="DU51" s="227">
        <f>$BT51*(VLOOKUP(DU$4, Rates_current!$G$6:$Q$29, 10, FALSE)+VLOOKUP(DU$4, Rates_current!$G$6:$Q$29, 11, FALSE))</f>
        <v>150.507935256</v>
      </c>
      <c r="DV51" s="229">
        <f>IF(D51=0,IF(C51=0,MAX(0,DY51 - (VLOOKUP($A51,TOCA_current!$A$2:$AI$137,MATCH("RHWM 2020",TOCA_current!$A$2:$AI$2,0),FALSE)*$BT$2)), 0),0)</f>
        <v>348.8717823876998</v>
      </c>
      <c r="DW51" s="266">
        <f>VLOOKUP($A51,REP_current!$A$1:$D$135,MATCH("FY "&amp;$BT$1&amp; " Total Refund",REP_current!$A$1:$D$1,0),0)</f>
        <v>0</v>
      </c>
      <c r="DX51" s="295">
        <f>MIN(VLOOKUP($A51,TOCA_current!$A$2:$AI$137,MATCH("TRL - NLSL - Existing Resource "&amp;$BT$1,TOCA_current!$A$2:$AI$2,0),FALSE)*$BT$2, VLOOKUP($A51,TOCA_current!$A$2:$AI$137,MATCH("RHWM 2020",TOCA_current!$A$2:$AI$2,0),FALSE)*$BT$2)</f>
        <v>1985.184</v>
      </c>
      <c r="DY51" s="240">
        <f>SUM(BZ51:CW51)+(BT51*RT1SC!$C$4*$BT$2)</f>
        <v>2334.0557823876998</v>
      </c>
      <c r="DZ51" s="271">
        <f>VLOOKUP($A51,TOCA_current!$A$2:$AI$137,MATCH("Above RHWM Not Served with LS "&amp;$BT$1,TOCA_current!$A$2:$AI$2,0),FALSE)*$BT$2</f>
        <v>0</v>
      </c>
      <c r="EA51" s="244">
        <f t="shared" si="13"/>
        <v>348.8717823876998</v>
      </c>
      <c r="EB51" s="295">
        <f>(VLOOKUP($A51,TOCA_current!$A$2:$AI$137,MATCH("RHWM 2020",TOCA_current!$A$2:$AI$2,0),FALSE)*$BT$2) - $DX51</f>
        <v>0</v>
      </c>
      <c r="EC51" s="240">
        <f t="shared" si="14"/>
        <v>0</v>
      </c>
      <c r="ED51" s="240">
        <f t="shared" si="15"/>
        <v>0</v>
      </c>
      <c r="EE51" s="240">
        <f t="shared" si="16"/>
        <v>0</v>
      </c>
      <c r="EF51" s="240">
        <f t="shared" si="17"/>
        <v>0</v>
      </c>
    </row>
    <row r="52" spans="1:136">
      <c r="A52" s="166">
        <v>10118</v>
      </c>
      <c r="B52" s="167" t="s">
        <v>53</v>
      </c>
      <c r="C52" s="240">
        <v>1</v>
      </c>
      <c r="D52" s="240">
        <v>0</v>
      </c>
      <c r="E52" s="150">
        <f>VLOOKUP($A52,TOCA_previous!$A$2:$AI$137,MATCH(E$4,TOCA_previous!$A$2:$AI$2,0),FALSE)</f>
        <v>6.4710999999999996E-3</v>
      </c>
      <c r="F52" s="151">
        <f>VLOOKUP($A52,TOCA_previous!$A$2:$AI$137,MATCH(F$4,TOCA_previous!$A$2:$AI$2,0),FALSE)</f>
        <v>6.4710999999999996E-3</v>
      </c>
      <c r="G52" s="151">
        <f t="shared" si="2"/>
        <v>0</v>
      </c>
      <c r="H52" s="151">
        <f>VLOOKUP($A52,TOCA_previous!$A$2:$AI$137,MATCH(H$4,TOCA_previous!$A$2:$AI$2,0),FALSE)</f>
        <v>6.69352E-2</v>
      </c>
      <c r="I52" s="151">
        <f t="shared" si="3"/>
        <v>6.69352E-2</v>
      </c>
      <c r="J52" s="151">
        <f t="shared" si="4"/>
        <v>6.4710999999999996E-3</v>
      </c>
      <c r="K52" s="226">
        <f>VLOOKUP(A52, IRD!$A$5:$C$139, 3, FALSE)</f>
        <v>0</v>
      </c>
      <c r="L52" s="227">
        <f t="array" ref="L52">IF($G52=0, INDEX(LS_previous!$D$4:$AY$138, MATCH('Staging Table'!$A52, LS_previous!$B$4:$B$138, 0), MATCH(L$4&amp;L$5, LS_previous!$D$2:$AY$2&amp;LS_previous!$D$3:$AY$3, 0)),SUM(VLOOKUP($A52, LS_previous!$B$4:$AY$138, LS_previous!D$149, FALSE), VLOOKUP('Staging Table'!$A52, LS_previous!$B$4:$AY$138,LS_previous!AB$149, FALSE))/2)</f>
        <v>0</v>
      </c>
      <c r="M52" s="227">
        <f t="array" ref="M52">IF($G52=0, INDEX(LS_previous!$D$4:$AY$138, MATCH('Staging Table'!$A52, LS_previous!$B$4:$B$138, 0), MATCH(M$4&amp;M$5, LS_previous!$D$2:$AY$2&amp;LS_previous!$D$3:$AY$3, 0)),SUM(VLOOKUP($A52, LS_previous!$B$4:$AY$138, LS_previous!E$149, FALSE), VLOOKUP('Staging Table'!$A52, LS_previous!$B$4:$AY$138,LS_previous!AC$149, FALSE))/2)</f>
        <v>0</v>
      </c>
      <c r="N52" s="227">
        <f t="array" ref="N52">IF($G52=0, INDEX(LS_previous!$D$4:$AY$138, MATCH('Staging Table'!$A52, LS_previous!$B$4:$B$138, 0), MATCH(N$4&amp;N$5, LS_previous!$D$2:$AY$2&amp;LS_previous!$D$3:$AY$3, 0)),SUM(VLOOKUP($A52, LS_previous!$B$4:$AY$138, LS_previous!F$149, FALSE), VLOOKUP('Staging Table'!$A52, LS_previous!$B$4:$AY$138,LS_previous!AD$149, FALSE))/2)</f>
        <v>0</v>
      </c>
      <c r="O52" s="227">
        <f t="array" ref="O52">IF($G52=0, INDEX(LS_previous!$D$4:$AY$138, MATCH('Staging Table'!$A52, LS_previous!$B$4:$B$138, 0), MATCH(O$4&amp;O$5, LS_previous!$D$2:$AY$2&amp;LS_previous!$D$3:$AY$3, 0)),SUM(VLOOKUP($A52, LS_previous!$B$4:$AY$138, LS_previous!G$149, FALSE), VLOOKUP('Staging Table'!$A52, LS_previous!$B$4:$AY$138,LS_previous!AE$149, FALSE))/2)</f>
        <v>0</v>
      </c>
      <c r="P52" s="227">
        <f t="array" ref="P52">IF($G52=0, INDEX(LS_previous!$D$4:$AY$138, MATCH('Staging Table'!$A52, LS_previous!$B$4:$B$138, 0), MATCH(P$4&amp;P$5, LS_previous!$D$2:$AY$2&amp;LS_previous!$D$3:$AY$3, 0)),SUM(VLOOKUP($A52, LS_previous!$B$4:$AY$138, LS_previous!H$149, FALSE), VLOOKUP('Staging Table'!$A52, LS_previous!$B$4:$AY$138,LS_previous!AF$149, FALSE))/2)</f>
        <v>0</v>
      </c>
      <c r="Q52" s="227">
        <f t="array" ref="Q52">IF($G52=0, INDEX(LS_previous!$D$4:$AY$138, MATCH('Staging Table'!$A52, LS_previous!$B$4:$B$138, 0), MATCH(Q$4&amp;Q$5, LS_previous!$D$2:$AY$2&amp;LS_previous!$D$3:$AY$3, 0)),SUM(VLOOKUP($A52, LS_previous!$B$4:$AY$138, LS_previous!I$149, FALSE), VLOOKUP('Staging Table'!$A52, LS_previous!$B$4:$AY$138,LS_previous!AG$149, FALSE))/2)</f>
        <v>0</v>
      </c>
      <c r="R52" s="227">
        <f t="array" ref="R52">IF($G52=0, INDEX(LS_previous!$D$4:$AY$138, MATCH('Staging Table'!$A52, LS_previous!$B$4:$B$138, 0), MATCH(R$4&amp;R$5, LS_previous!$D$2:$AY$2&amp;LS_previous!$D$3:$AY$3, 0)),SUM(VLOOKUP($A52, LS_previous!$B$4:$AY$138, LS_previous!J$149, FALSE), VLOOKUP('Staging Table'!$A52, LS_previous!$B$4:$AY$138,LS_previous!AH$149, FALSE))/2)</f>
        <v>0</v>
      </c>
      <c r="S52" s="227">
        <f t="array" ref="S52">IF($G52=0, INDEX(LS_previous!$D$4:$AY$138, MATCH('Staging Table'!$A52, LS_previous!$B$4:$B$138, 0), MATCH(S$4&amp;S$5, LS_previous!$D$2:$AY$2&amp;LS_previous!$D$3:$AY$3, 0)),SUM(VLOOKUP($A52, LS_previous!$B$4:$AY$138, LS_previous!K$149, FALSE), VLOOKUP('Staging Table'!$A52, LS_previous!$B$4:$AY$138,LS_previous!AI$149, FALSE))/2)</f>
        <v>0</v>
      </c>
      <c r="T52" s="227">
        <f t="array" ref="T52">IF($G52=0, INDEX(LS_previous!$D$4:$AY$138, MATCH('Staging Table'!$A52, LS_previous!$B$4:$B$138, 0), MATCH(T$4&amp;T$5, LS_previous!$D$2:$AY$2&amp;LS_previous!$D$3:$AY$3, 0)),SUM(VLOOKUP($A52, LS_previous!$B$4:$AY$138, LS_previous!L$149, FALSE), VLOOKUP('Staging Table'!$A52, LS_previous!$B$4:$AY$138,LS_previous!AJ$149, FALSE))/2)</f>
        <v>0</v>
      </c>
      <c r="U52" s="227">
        <f t="array" ref="U52">IF($G52=0, INDEX(LS_previous!$D$4:$AY$138, MATCH('Staging Table'!$A52, LS_previous!$B$4:$B$138, 0), MATCH(U$4&amp;U$5, LS_previous!$D$2:$AY$2&amp;LS_previous!$D$3:$AY$3, 0)),SUM(VLOOKUP($A52, LS_previous!$B$4:$AY$138, LS_previous!M$149, FALSE), VLOOKUP('Staging Table'!$A52, LS_previous!$B$4:$AY$138,LS_previous!AK$149, FALSE))/2)</f>
        <v>0</v>
      </c>
      <c r="V52" s="227">
        <f t="array" ref="V52">IF($G52=0, INDEX(LS_previous!$D$4:$AY$138, MATCH('Staging Table'!$A52, LS_previous!$B$4:$B$138, 0), MATCH(V$4&amp;V$5, LS_previous!$D$2:$AY$2&amp;LS_previous!$D$3:$AY$3, 0)),SUM(VLOOKUP($A52, LS_previous!$B$4:$AY$138, LS_previous!N$149, FALSE), VLOOKUP('Staging Table'!$A52, LS_previous!$B$4:$AY$138,LS_previous!AL$149, FALSE))/2)</f>
        <v>0</v>
      </c>
      <c r="W52" s="227">
        <f t="array" ref="W52">IF($G52=0, INDEX(LS_previous!$D$4:$AY$138, MATCH('Staging Table'!$A52, LS_previous!$B$4:$B$138, 0), MATCH(W$4&amp;W$5, LS_previous!$D$2:$AY$2&amp;LS_previous!$D$3:$AY$3, 0)),SUM(VLOOKUP($A52, LS_previous!$B$4:$AY$138, LS_previous!O$149, FALSE), VLOOKUP('Staging Table'!$A52, LS_previous!$B$4:$AY$138,LS_previous!AM$149, FALSE))/2)</f>
        <v>0</v>
      </c>
      <c r="X52" s="227">
        <f t="array" ref="X52">IF($G52=0, INDEX(LS_previous!$D$4:$AY$138, MATCH('Staging Table'!$A52, LS_previous!$B$4:$B$138, 0), MATCH(X$4&amp;X$5, LS_previous!$D$2:$AY$2&amp;LS_previous!$D$3:$AY$3, 0)),SUM(VLOOKUP($A52, LS_previous!$B$4:$AY$138, LS_previous!P$149, FALSE), VLOOKUP('Staging Table'!$A52, LS_previous!$B$4:$AY$138,LS_previous!AN$149, FALSE))/2)</f>
        <v>0</v>
      </c>
      <c r="Y52" s="227">
        <f t="array" ref="Y52">IF($G52=0, INDEX(LS_previous!$D$4:$AY$138, MATCH('Staging Table'!$A52, LS_previous!$B$4:$B$138, 0), MATCH(Y$4&amp;Y$5, LS_previous!$D$2:$AY$2&amp;LS_previous!$D$3:$AY$3, 0)),SUM(VLOOKUP($A52, LS_previous!$B$4:$AY$138, LS_previous!Q$149, FALSE), VLOOKUP('Staging Table'!$A52, LS_previous!$B$4:$AY$138,LS_previous!AO$149, FALSE))/2)</f>
        <v>0</v>
      </c>
      <c r="Z52" s="227">
        <f t="array" ref="Z52">IF($G52=0, INDEX(LS_previous!$D$4:$AY$138, MATCH('Staging Table'!$A52, LS_previous!$B$4:$B$138, 0), MATCH(Z$4&amp;Z$5, LS_previous!$D$2:$AY$2&amp;LS_previous!$D$3:$AY$3, 0)),SUM(VLOOKUP($A52, LS_previous!$B$4:$AY$138, LS_previous!R$149, FALSE), VLOOKUP('Staging Table'!$A52, LS_previous!$B$4:$AY$138,LS_previous!AP$149, FALSE))/2)</f>
        <v>0</v>
      </c>
      <c r="AA52" s="227">
        <f t="array" ref="AA52">IF($G52=0, INDEX(LS_previous!$D$4:$AY$138, MATCH('Staging Table'!$A52, LS_previous!$B$4:$B$138, 0), MATCH(AA$4&amp;AA$5, LS_previous!$D$2:$AY$2&amp;LS_previous!$D$3:$AY$3, 0)),SUM(VLOOKUP($A52, LS_previous!$B$4:$AY$138, LS_previous!S$149, FALSE), VLOOKUP('Staging Table'!$A52, LS_previous!$B$4:$AY$138,LS_previous!AQ$149, FALSE))/2)</f>
        <v>0</v>
      </c>
      <c r="AB52" s="227">
        <f t="array" ref="AB52">IF($G52=0, INDEX(LS_previous!$D$4:$AY$138, MATCH('Staging Table'!$A52, LS_previous!$B$4:$B$138, 0), MATCH(AB$4&amp;AB$5, LS_previous!$D$2:$AY$2&amp;LS_previous!$D$3:$AY$3, 0)),SUM(VLOOKUP($A52, LS_previous!$B$4:$AY$138, LS_previous!T$149, FALSE), VLOOKUP('Staging Table'!$A52, LS_previous!$B$4:$AY$138,LS_previous!AR$149, FALSE))/2)</f>
        <v>0</v>
      </c>
      <c r="AC52" s="227">
        <f t="array" ref="AC52">IF($G52=0, INDEX(LS_previous!$D$4:$AY$138, MATCH('Staging Table'!$A52, LS_previous!$B$4:$B$138, 0), MATCH(AC$4&amp;AC$5, LS_previous!$D$2:$AY$2&amp;LS_previous!$D$3:$AY$3, 0)),SUM(VLOOKUP($A52, LS_previous!$B$4:$AY$138, LS_previous!U$149, FALSE), VLOOKUP('Staging Table'!$A52, LS_previous!$B$4:$AY$138,LS_previous!AS$149, FALSE))/2)</f>
        <v>0</v>
      </c>
      <c r="AD52" s="227">
        <f t="array" ref="AD52">IF($G52=0, INDEX(LS_previous!$D$4:$AY$138, MATCH('Staging Table'!$A52, LS_previous!$B$4:$B$138, 0), MATCH(AD$4&amp;AD$5, LS_previous!$D$2:$AY$2&amp;LS_previous!$D$3:$AY$3, 0)),SUM(VLOOKUP($A52, LS_previous!$B$4:$AY$138, LS_previous!V$149, FALSE), VLOOKUP('Staging Table'!$A52, LS_previous!$B$4:$AY$138,LS_previous!AT$149, FALSE))/2)</f>
        <v>0</v>
      </c>
      <c r="AE52" s="227">
        <f t="array" ref="AE52">IF($G52=0, INDEX(LS_previous!$D$4:$AY$138, MATCH('Staging Table'!$A52, LS_previous!$B$4:$B$138, 0), MATCH(AE$4&amp;AE$5, LS_previous!$D$2:$AY$2&amp;LS_previous!$D$3:$AY$3, 0)),SUM(VLOOKUP($A52, LS_previous!$B$4:$AY$138, LS_previous!W$149, FALSE), VLOOKUP('Staging Table'!$A52, LS_previous!$B$4:$AY$138,LS_previous!AU$149, FALSE))/2)</f>
        <v>0</v>
      </c>
      <c r="AF52" s="227">
        <f t="array" ref="AF52">IF($G52=0, INDEX(LS_previous!$D$4:$AY$138, MATCH('Staging Table'!$A52, LS_previous!$B$4:$B$138, 0), MATCH(AF$4&amp;AF$5, LS_previous!$D$2:$AY$2&amp;LS_previous!$D$3:$AY$3, 0)),SUM(VLOOKUP($A52, LS_previous!$B$4:$AY$138, LS_previous!X$149, FALSE), VLOOKUP('Staging Table'!$A52, LS_previous!$B$4:$AY$138,LS_previous!AV$149, FALSE))/2)</f>
        <v>0</v>
      </c>
      <c r="AG52" s="227">
        <f t="array" ref="AG52">IF($G52=0, INDEX(LS_previous!$D$4:$AY$138, MATCH('Staging Table'!$A52, LS_previous!$B$4:$B$138, 0), MATCH(AG$4&amp;AG$5, LS_previous!$D$2:$AY$2&amp;LS_previous!$D$3:$AY$3, 0)),SUM(VLOOKUP($A52, LS_previous!$B$4:$AY$138, LS_previous!Y$149, FALSE), VLOOKUP('Staging Table'!$A52, LS_previous!$B$4:$AY$138,LS_previous!AW$149, FALSE))/2)</f>
        <v>0</v>
      </c>
      <c r="AH52" s="227">
        <f t="array" ref="AH52">IF($G52=0, INDEX(LS_previous!$D$4:$AY$138, MATCH('Staging Table'!$A52, LS_previous!$B$4:$B$138, 0), MATCH(AH$4&amp;AH$5, LS_previous!$D$2:$AY$2&amp;LS_previous!$D$3:$AY$3, 0)),SUM(VLOOKUP($A52, LS_previous!$B$4:$AY$138, LS_previous!Z$149, FALSE), VLOOKUP('Staging Table'!$A52, LS_previous!$B$4:$AY$138,LS_previous!AX$149, FALSE))/2)</f>
        <v>0</v>
      </c>
      <c r="AI52" s="227">
        <f t="array" ref="AI52">IF($G52=0, INDEX(LS_previous!$D$4:$AY$138, MATCH('Staging Table'!$A52, LS_previous!$B$4:$B$138, 0), MATCH(AI$4&amp;AI$5, LS_previous!$D$2:$AY$2&amp;LS_previous!$D$3:$AY$3, 0)),SUM(VLOOKUP($A52, LS_previous!$B$4:$AY$138, LS_previous!AA$149, FALSE), VLOOKUP('Staging Table'!$A52, LS_previous!$B$4:$AY$138,LS_previous!AY$149, FALSE))/2)</f>
        <v>0</v>
      </c>
      <c r="AJ52" s="424">
        <f t="array" ref="AJ52">INDEX(Demand_previous!$D$4:$AY$138, MATCH('Staging Table'!$A52, Demand_previous!$B$4:$B$138, 0), MATCH(AJ$4&amp;AJ$5,Demand_previous!$D$2:$AY$2&amp;Demand_previous!$D$3:$AY$3, 0))/1000</f>
        <v>0</v>
      </c>
      <c r="AK52" s="424">
        <f t="array" ref="AK52">INDEX(Demand_previous!$D$4:$AY$138, MATCH('Staging Table'!$A52, Demand_previous!$B$4:$B$138, 0), MATCH(AK$4&amp;AK$5,Demand_previous!$D$2:$AY$2&amp;Demand_previous!$D$3:$AY$3, 0))/1000</f>
        <v>0</v>
      </c>
      <c r="AL52" s="424">
        <f t="array" ref="AL52">INDEX(Demand_previous!$D$4:$AY$138, MATCH('Staging Table'!$A52, Demand_previous!$B$4:$B$138, 0), MATCH(AL$4&amp;AL$5,Demand_previous!$D$2:$AY$2&amp;Demand_previous!$D$3:$AY$3, 0))/1000</f>
        <v>0</v>
      </c>
      <c r="AM52" s="424">
        <f t="array" ref="AM52">INDEX(Demand_previous!$D$4:$AY$138, MATCH('Staging Table'!$A52, Demand_previous!$B$4:$B$138, 0), MATCH(AM$4&amp;AM$5,Demand_previous!$D$2:$AY$2&amp;Demand_previous!$D$3:$AY$3, 0))/1000</f>
        <v>0</v>
      </c>
      <c r="AN52" s="424">
        <f t="array" ref="AN52">INDEX(Demand_previous!$D$4:$AY$138, MATCH('Staging Table'!$A52, Demand_previous!$B$4:$B$138, 0), MATCH(AN$4&amp;AN$5,Demand_previous!$D$2:$AY$2&amp;Demand_previous!$D$3:$AY$3, 0))/1000</f>
        <v>0</v>
      </c>
      <c r="AO52" s="424">
        <f t="array" ref="AO52">INDEX(Demand_previous!$D$4:$AY$138, MATCH('Staging Table'!$A52, Demand_previous!$B$4:$B$138, 0), MATCH(AO$4&amp;AO$5,Demand_previous!$D$2:$AY$2&amp;Demand_previous!$D$3:$AY$3, 0))/1000</f>
        <v>0</v>
      </c>
      <c r="AP52" s="424">
        <f t="array" ref="AP52">INDEX(Demand_previous!$D$4:$AY$138, MATCH('Staging Table'!$A52, Demand_previous!$B$4:$B$138, 0), MATCH(AP$4&amp;AP$5,Demand_previous!$D$2:$AY$2&amp;Demand_previous!$D$3:$AY$3, 0))/1000</f>
        <v>0</v>
      </c>
      <c r="AQ52" s="424">
        <f t="array" ref="AQ52">INDEX(Demand_previous!$D$4:$AY$138, MATCH('Staging Table'!$A52, Demand_previous!$B$4:$B$138, 0), MATCH(AQ$4&amp;AQ$5,Demand_previous!$D$2:$AY$2&amp;Demand_previous!$D$3:$AY$3, 0))/1000</f>
        <v>0</v>
      </c>
      <c r="AR52" s="424">
        <f t="array" ref="AR52">INDEX(Demand_previous!$D$4:$AY$138, MATCH('Staging Table'!$A52, Demand_previous!$B$4:$B$138, 0), MATCH(AR$4&amp;AR$5,Demand_previous!$D$2:$AY$2&amp;Demand_previous!$D$3:$AY$3, 0))/1000</f>
        <v>0</v>
      </c>
      <c r="AS52" s="424">
        <f t="array" ref="AS52">INDEX(Demand_previous!$D$4:$AY$138, MATCH('Staging Table'!$A52, Demand_previous!$B$4:$B$138, 0), MATCH(AS$4&amp;AS$5,Demand_previous!$D$2:$AY$2&amp;Demand_previous!$D$3:$AY$3, 0))/1000</f>
        <v>0</v>
      </c>
      <c r="AT52" s="424">
        <f t="array" ref="AT52">INDEX(Demand_previous!$D$4:$AY$138, MATCH('Staging Table'!$A52, Demand_previous!$B$4:$B$138, 0), MATCH(AT$4&amp;AT$5,Demand_previous!$D$2:$AY$2&amp;Demand_previous!$D$3:$AY$3, 0))/1000</f>
        <v>0</v>
      </c>
      <c r="AU52" s="424">
        <f t="array" ref="AU52">INDEX(Demand_previous!$D$4:$AY$138, MATCH('Staging Table'!$A52, Demand_previous!$B$4:$B$138, 0), MATCH(AU$4&amp;AU$5,Demand_previous!$D$2:$AY$2&amp;Demand_previous!$D$3:$AY$3, 0))/1000</f>
        <v>0</v>
      </c>
      <c r="AV52" s="227">
        <f>$F52*(VLOOKUP(AV$4, Rates_previous!$G$6:$Q$29, 10, FALSE)+VLOOKUP(AV$4, Rates_previous!$G$6:$Q$29, 11, FALSE))</f>
        <v>30341.93804419869</v>
      </c>
      <c r="AW52" s="227">
        <f>$F52*(VLOOKUP(AW$4, Rates_previous!$G$6:$Q$29, 10, FALSE)+VLOOKUP(AW$4, Rates_previous!$G$6:$Q$29, 11, FALSE))</f>
        <v>37500.329313125148</v>
      </c>
      <c r="AX52" s="227">
        <f>$F52*(VLOOKUP(AX$4, Rates_previous!$G$6:$Q$29, 10, FALSE)+VLOOKUP(AX$4, Rates_previous!$G$6:$Q$29, 11, FALSE))</f>
        <v>37049.99521063485</v>
      </c>
      <c r="AY52" s="227">
        <f>$F52*(VLOOKUP(AY$4, Rates_previous!$G$6:$Q$29, 10, FALSE)+VLOOKUP(AY$4, Rates_previous!$G$6:$Q$29, 11, FALSE))</f>
        <v>31655.689459701873</v>
      </c>
      <c r="AZ52" s="227">
        <f>$F52*(VLOOKUP(AZ$4, Rates_previous!$G$6:$Q$29, 10, FALSE)+VLOOKUP(AZ$4, Rates_previous!$G$6:$Q$29, 11, FALSE))</f>
        <v>25951.52506653297</v>
      </c>
      <c r="BA52" s="227">
        <f>$F52*(VLOOKUP(BA$4, Rates_previous!$G$6:$Q$29, 10, FALSE)+VLOOKUP(BA$4, Rates_previous!$G$6:$Q$29, 11, FALSE))</f>
        <v>30725.663031901659</v>
      </c>
      <c r="BB52" s="227">
        <f>$F52*(VLOOKUP(BB$4, Rates_previous!$G$6:$Q$29, 10, FALSE)+VLOOKUP(BB$4, Rates_previous!$G$6:$Q$29, 11, FALSE))</f>
        <v>29531.831494013761</v>
      </c>
      <c r="BC52" s="227">
        <f>$F52*(VLOOKUP(BC$4, Rates_previous!$G$6:$Q$29, 10, FALSE)+VLOOKUP(BC$4, Rates_previous!$G$6:$Q$29, 11, FALSE))</f>
        <v>43335.872963929578</v>
      </c>
      <c r="BD52" s="227">
        <f>$F52*(VLOOKUP(BD$4, Rates_previous!$G$6:$Q$29, 10, FALSE)+VLOOKUP(BD$4, Rates_previous!$G$6:$Q$29, 11, FALSE))</f>
        <v>34190.85838745637</v>
      </c>
      <c r="BE52" s="227">
        <f>$F52*(VLOOKUP(BE$4, Rates_previous!$G$6:$Q$29, 10, FALSE)+VLOOKUP(BE$4, Rates_previous!$G$6:$Q$29, 11, FALSE))</f>
        <v>30022.443492015453</v>
      </c>
      <c r="BF52" s="227">
        <f>$F52*(VLOOKUP(BF$4, Rates_previous!$G$6:$Q$29, 10, FALSE)+VLOOKUP(BF$4, Rates_previous!$G$6:$Q$29, 11, FALSE))</f>
        <v>33251.057897153092</v>
      </c>
      <c r="BG52" s="227">
        <f>$F52*(VLOOKUP(BG$4, Rates_previous!$G$6:$Q$29, 10, FALSE)+VLOOKUP(BG$4, Rates_previous!$G$6:$Q$29, 11, FALSE))</f>
        <v>30124.136143122421</v>
      </c>
      <c r="BH52" s="229">
        <f>IF($D52=0,IF(C52=0, MAX(BK52 - (VLOOKUP($A52,TOCA_previous!$A$2:$AI$137,MATCH("RHWM 2018",TOCA_previous!$A$2:$AI$2,0),FALSE)*$F$2*TOCA_previous!C49),0),0), 0)</f>
        <v>0</v>
      </c>
      <c r="BI52" s="266">
        <f>VLOOKUP($A52,REP_previous!$A$1:$D$135,MATCH("FY "&amp;$F$1&amp; " Total Refund",REP_previous!$A$1:$D$1,0),0)</f>
        <v>502767.38362718758</v>
      </c>
      <c r="BJ52" s="241">
        <f>MIN(VLOOKUP($A52,TOCA_previous!$A$2:$AI$137,MATCH("TRL - NLSL - Existing Resource "&amp;$F$1,TOCA_previous!$A$2:$AI$2,0),FALSE)*$F$2,(VLOOKUP($A52,TOCA_previous!$A$2:$AI$137,MATCH("RHWM 2018",TOCA_previous!$A$2:$AI$2,0),FALSE)*$F$2))</f>
        <v>393683.16000000003</v>
      </c>
      <c r="BK52" s="229">
        <f>SUM(L52:AI52)+(F52*RT1SC!$C$3*$F$2)</f>
        <v>393681.34624725592</v>
      </c>
      <c r="BL52" s="241">
        <f>VLOOKUP($A52,TOCA_previous!$A$2:$AI$137,MATCH("Above RHWM Not Served with LS "&amp;$F$1,TOCA_previous!$A$2:$AI$2,0),FALSE)*$F$2</f>
        <v>11720.880000000001</v>
      </c>
      <c r="BM52" s="151">
        <f t="shared" si="5"/>
        <v>-1.8137527441140264</v>
      </c>
      <c r="BN52" s="242">
        <f>(VLOOKUP($A52,TOCA_previous!$A$2:$AI$137,MATCH("RHWM 2018",TOCA_previous!$A$2:$AI$2,0),FALSE)*$F$2) - $BJ52</f>
        <v>0</v>
      </c>
      <c r="BO52" s="151">
        <f t="shared" si="6"/>
        <v>0</v>
      </c>
      <c r="BP52" s="243">
        <f t="shared" si="7"/>
        <v>0</v>
      </c>
      <c r="BQ52" s="237">
        <f t="shared" si="8"/>
        <v>0</v>
      </c>
      <c r="BR52" s="242">
        <f t="shared" si="9"/>
        <v>0</v>
      </c>
      <c r="BS52" s="151">
        <f>VLOOKUP($A52,TOCA_current!$A$2:$AI$137,MATCH(BS$4,TOCA_current!$A$2:$AI$2,0),FALSE)</f>
        <v>6.4676000000000004E-3</v>
      </c>
      <c r="BT52" s="151">
        <f>VLOOKUP($A52,TOCA_current!$A$2:$AI$137,MATCH(BT$4,TOCA_current!$A$2:$AI$2,0),FALSE)</f>
        <v>6.4676000000000004E-3</v>
      </c>
      <c r="BU52" s="236">
        <f t="shared" si="10"/>
        <v>0</v>
      </c>
      <c r="BV52" s="151">
        <f>VLOOKUP($A52,TOCA_current!A48:BG183,MATCH(BV$4,TOCA_current!$A$2:$BG$2,0),FALSE)</f>
        <v>6.7254800000000003E-2</v>
      </c>
      <c r="BW52" s="151">
        <f t="shared" si="11"/>
        <v>6.7254800000000003E-2</v>
      </c>
      <c r="BX52" s="151">
        <f t="shared" si="12"/>
        <v>6.4676000000000004E-3</v>
      </c>
      <c r="BY52" s="226">
        <f>VLOOKUP($A52,IRD!$A$4:$G$139, 7, FALSE)</f>
        <v>0</v>
      </c>
      <c r="BZ52" s="227">
        <f t="array" ref="BZ52">IF($BU52=0, INDEX(LS_current!$D$4:$AY$138, MATCH('Staging Table'!$A52, LS_current!$B$4:$B$138, 0), MATCH(BZ$4&amp;BZ$5, LS_current!$D$2:$AY$2&amp;LS_current!$D$3:$AY$3, 0)),SUM(VLOOKUP($A52, LS_current!$B$4:$AY$138, LS_current!D$148, FALSE), VLOOKUP($A52, LS_current!$B$4:$AY$138,LS_current!D$148, FALSE))/2)</f>
        <v>0</v>
      </c>
      <c r="CA52" s="227">
        <f t="array" ref="CA52">IF($BU52=0, INDEX(LS_current!$D$4:$AY$138, MATCH('Staging Table'!$A52, LS_current!$B$4:$B$138, 0), MATCH(CA$4&amp;CA$5, LS_current!$D$2:$AY$2&amp;LS_current!$D$3:$AY$3, 0)),SUM(VLOOKUP($A52, LS_current!$B$4:$AY$138, LS_current!E$148, FALSE), VLOOKUP($A52, LS_current!$B$4:$AY$138,LS_current!E$148, FALSE))/2)</f>
        <v>0</v>
      </c>
      <c r="CB52" s="227">
        <f t="array" ref="CB52">IF($BU52=0, INDEX(LS_current!$D$4:$AY$138, MATCH('Staging Table'!$A52, LS_current!$B$4:$B$138, 0), MATCH(CB$4&amp;CB$5, LS_current!$D$2:$AY$2&amp;LS_current!$D$3:$AY$3, 0)),SUM(VLOOKUP($A52, LS_current!$B$4:$AY$138, LS_current!F$148, FALSE), VLOOKUP($A52, LS_current!$B$4:$AY$138,LS_current!F$148, FALSE))/2)</f>
        <v>0</v>
      </c>
      <c r="CC52" s="227">
        <f t="array" ref="CC52">IF($BU52=0, INDEX(LS_current!$D$4:$AY$138, MATCH('Staging Table'!$A52, LS_current!$B$4:$B$138, 0), MATCH(CC$4&amp;CC$5, LS_current!$D$2:$AY$2&amp;LS_current!$D$3:$AY$3, 0)),SUM(VLOOKUP($A52, LS_current!$B$4:$AY$138, LS_current!G$148, FALSE), VLOOKUP($A52, LS_current!$B$4:$AY$138,LS_current!G$148, FALSE))/2)</f>
        <v>0</v>
      </c>
      <c r="CD52" s="227">
        <f t="array" ref="CD52">IF($BU52=0, INDEX(LS_current!$D$4:$AY$138, MATCH('Staging Table'!$A52, LS_current!$B$4:$B$138, 0), MATCH(CD$4&amp;CD$5, LS_current!$D$2:$AY$2&amp;LS_current!$D$3:$AY$3, 0)),SUM(VLOOKUP($A52, LS_current!$B$4:$AY$138, LS_current!H$148, FALSE), VLOOKUP($A52, LS_current!$B$4:$AY$138,LS_current!H$148, FALSE))/2)</f>
        <v>0</v>
      </c>
      <c r="CE52" s="227">
        <f t="array" ref="CE52">IF($BU52=0, INDEX(LS_current!$D$4:$AY$138, MATCH('Staging Table'!$A52, LS_current!$B$4:$B$138, 0), MATCH(CE$4&amp;CE$5, LS_current!$D$2:$AY$2&amp;LS_current!$D$3:$AY$3, 0)),SUM(VLOOKUP($A52, LS_current!$B$4:$AY$138, LS_current!I$148, FALSE), VLOOKUP($A52, LS_current!$B$4:$AY$138,LS_current!I$148, FALSE))/2)</f>
        <v>0</v>
      </c>
      <c r="CF52" s="227">
        <f t="array" ref="CF52">IF($BU52=0, INDEX(LS_current!$D$4:$AY$138, MATCH('Staging Table'!$A52, LS_current!$B$4:$B$138, 0), MATCH(CF$4&amp;CF$5, LS_current!$D$2:$AY$2&amp;LS_current!$D$3:$AY$3, 0)),SUM(VLOOKUP($A52, LS_current!$B$4:$AY$138, LS_current!J$148, FALSE), VLOOKUP($A52, LS_current!$B$4:$AY$138,LS_current!J$148, FALSE))/2)</f>
        <v>0</v>
      </c>
      <c r="CG52" s="227">
        <f t="array" ref="CG52">IF($BU52=0, INDEX(LS_current!$D$4:$AY$138, MATCH('Staging Table'!$A52, LS_current!$B$4:$B$138, 0), MATCH(CG$4&amp;CG$5, LS_current!$D$2:$AY$2&amp;LS_current!$D$3:$AY$3, 0)),SUM(VLOOKUP($A52, LS_current!$B$4:$AY$138, LS_current!K$148, FALSE), VLOOKUP($A52, LS_current!$B$4:$AY$138,LS_current!K$148, FALSE))/2)</f>
        <v>0</v>
      </c>
      <c r="CH52" s="227">
        <f t="array" ref="CH52">IF($BU52=0, INDEX(LS_current!$D$4:$AY$138, MATCH('Staging Table'!$A52, LS_current!$B$4:$B$138, 0), MATCH(CH$4&amp;CH$5, LS_current!$D$2:$AY$2&amp;LS_current!$D$3:$AY$3, 0)),SUM(VLOOKUP($A52, LS_current!$B$4:$AY$138, LS_current!L$148, FALSE), VLOOKUP($A52, LS_current!$B$4:$AY$138,LS_current!L$148, FALSE))/2)</f>
        <v>0</v>
      </c>
      <c r="CI52" s="227">
        <f t="array" ref="CI52">IF($BU52=0, INDEX(LS_current!$D$4:$AY$138, MATCH('Staging Table'!$A52, LS_current!$B$4:$B$138, 0), MATCH(CI$4&amp;CI$5, LS_current!$D$2:$AY$2&amp;LS_current!$D$3:$AY$3, 0)),SUM(VLOOKUP($A52, LS_current!$B$4:$AY$138, LS_current!M$148, FALSE), VLOOKUP($A52, LS_current!$B$4:$AY$138,LS_current!M$148, FALSE))/2)</f>
        <v>0</v>
      </c>
      <c r="CJ52" s="227">
        <f t="array" ref="CJ52">IF($BU52=0, INDEX(LS_current!$D$4:$AY$138, MATCH('Staging Table'!$A52, LS_current!$B$4:$B$138, 0), MATCH(CJ$4&amp;CJ$5, LS_current!$D$2:$AY$2&amp;LS_current!$D$3:$AY$3, 0)),SUM(VLOOKUP($A52, LS_current!$B$4:$AY$138, LS_current!N$148, FALSE), VLOOKUP($A52, LS_current!$B$4:$AY$138,LS_current!N$148, FALSE))/2)</f>
        <v>0</v>
      </c>
      <c r="CK52" s="227">
        <f t="array" ref="CK52">IF($BU52=0, INDEX(LS_current!$D$4:$AY$138, MATCH('Staging Table'!$A52, LS_current!$B$4:$B$138, 0), MATCH(CK$4&amp;CK$5, LS_current!$D$2:$AY$2&amp;LS_current!$D$3:$AY$3, 0)),SUM(VLOOKUP($A52, LS_current!$B$4:$AY$138, LS_current!O$148, FALSE), VLOOKUP($A52, LS_current!$B$4:$AY$138,LS_current!O$148, FALSE))/2)</f>
        <v>0</v>
      </c>
      <c r="CL52" s="227">
        <f t="array" ref="CL52">IF($BU52=0, INDEX(LS_current!$D$4:$AY$138, MATCH('Staging Table'!$A52, LS_current!$B$4:$B$138, 0), MATCH(CL$4&amp;CL$5, LS_current!$D$2:$AY$2&amp;LS_current!$D$3:$AY$3, 0)),SUM(VLOOKUP($A52, LS_current!$B$4:$AY$138, LS_current!P$148, FALSE), VLOOKUP($A52, LS_current!$B$4:$AY$138,LS_current!P$148, FALSE))/2)</f>
        <v>0</v>
      </c>
      <c r="CM52" s="227">
        <f t="array" ref="CM52">IF($BU52=0, INDEX(LS_current!$D$4:$AY$138, MATCH('Staging Table'!$A52, LS_current!$B$4:$B$138, 0), MATCH(CM$4&amp;CM$5, LS_current!$D$2:$AY$2&amp;LS_current!$D$3:$AY$3, 0)),SUM(VLOOKUP($A52, LS_current!$B$4:$AY$138, LS_current!Q$148, FALSE), VLOOKUP($A52, LS_current!$B$4:$AY$138,LS_current!Q$148, FALSE))/2)</f>
        <v>0</v>
      </c>
      <c r="CN52" s="227">
        <f t="array" ref="CN52">IF($BU52=0, INDEX(LS_current!$D$4:$AY$138, MATCH('Staging Table'!$A52, LS_current!$B$4:$B$138, 0), MATCH(CN$4&amp;CN$5, LS_current!$D$2:$AY$2&amp;LS_current!$D$3:$AY$3, 0)),SUM(VLOOKUP($A52, LS_current!$B$4:$AY$138, LS_current!R$148, FALSE), VLOOKUP($A52, LS_current!$B$4:$AY$138,LS_current!R$148, FALSE))/2)</f>
        <v>0</v>
      </c>
      <c r="CO52" s="227">
        <f t="array" ref="CO52">IF($BU52=0, INDEX(LS_current!$D$4:$AY$138, MATCH('Staging Table'!$A52, LS_current!$B$4:$B$138, 0), MATCH(CO$4&amp;CO$5, LS_current!$D$2:$AY$2&amp;LS_current!$D$3:$AY$3, 0)),SUM(VLOOKUP($A52, LS_current!$B$4:$AY$138, LS_current!S$148, FALSE), VLOOKUP($A52, LS_current!$B$4:$AY$138,LS_current!S$148, FALSE))/2)</f>
        <v>0</v>
      </c>
      <c r="CP52" s="227">
        <f t="array" ref="CP52">IF($BU52=0, INDEX(LS_current!$D$4:$AY$138, MATCH('Staging Table'!$A52, LS_current!$B$4:$B$138, 0), MATCH(CP$4&amp;CP$5, LS_current!$D$2:$AY$2&amp;LS_current!$D$3:$AY$3, 0)),SUM(VLOOKUP($A52, LS_current!$B$4:$AY$138, LS_current!T$148, FALSE), VLOOKUP($A52, LS_current!$B$4:$AY$138,LS_current!T$148, FALSE))/2)</f>
        <v>0</v>
      </c>
      <c r="CQ52" s="227">
        <f t="array" ref="CQ52">IF($BU52=0, INDEX(LS_current!$D$4:$AY$138, MATCH('Staging Table'!$A52, LS_current!$B$4:$B$138, 0), MATCH(CQ$4&amp;CQ$5, LS_current!$D$2:$AY$2&amp;LS_current!$D$3:$AY$3, 0)),SUM(VLOOKUP($A52, LS_current!$B$4:$AY$138, LS_current!U$148, FALSE), VLOOKUP($A52, LS_current!$B$4:$AY$138,LS_current!U$148, FALSE))/2)</f>
        <v>0</v>
      </c>
      <c r="CR52" s="227">
        <f t="array" ref="CR52">IF($BU52=0, INDEX(LS_current!$D$4:$AY$138, MATCH('Staging Table'!$A52, LS_current!$B$4:$B$138, 0), MATCH(CR$4&amp;CR$5, LS_current!$D$2:$AY$2&amp;LS_current!$D$3:$AY$3, 0)),SUM(VLOOKUP($A52, LS_current!$B$4:$AY$138, LS_current!V$148, FALSE), VLOOKUP($A52, LS_current!$B$4:$AY$138,LS_current!V$148, FALSE))/2)</f>
        <v>0</v>
      </c>
      <c r="CS52" s="227">
        <f t="array" ref="CS52">IF($BU52=0, INDEX(LS_current!$D$4:$AY$138, MATCH('Staging Table'!$A52, LS_current!$B$4:$B$138, 0), MATCH(CS$4&amp;CS$5, LS_current!$D$2:$AY$2&amp;LS_current!$D$3:$AY$3, 0)),SUM(VLOOKUP($A52, LS_current!$B$4:$AY$138, LS_current!W$148, FALSE), VLOOKUP($A52, LS_current!$B$4:$AY$138,LS_current!W$148, FALSE))/2)</f>
        <v>0</v>
      </c>
      <c r="CT52" s="227">
        <f t="array" ref="CT52">IF($BU52=0, INDEX(LS_current!$D$4:$AY$138, MATCH('Staging Table'!$A52, LS_current!$B$4:$B$138, 0), MATCH(CT$4&amp;CT$5, LS_current!$D$2:$AY$2&amp;LS_current!$D$3:$AY$3, 0)),SUM(VLOOKUP($A52, LS_current!$B$4:$AY$138, LS_current!X$148, FALSE), VLOOKUP($A52, LS_current!$B$4:$AY$138,LS_current!X$148, FALSE))/2)</f>
        <v>0</v>
      </c>
      <c r="CU52" s="227">
        <f t="array" ref="CU52">IF($BU52=0, INDEX(LS_current!$D$4:$AY$138, MATCH('Staging Table'!$A52, LS_current!$B$4:$B$138, 0), MATCH(CU$4&amp;CU$5, LS_current!$D$2:$AY$2&amp;LS_current!$D$3:$AY$3, 0)),SUM(VLOOKUP($A52, LS_current!$B$4:$AY$138, LS_current!Y$148, FALSE), VLOOKUP($A52, LS_current!$B$4:$AY$138,LS_current!Y$148, FALSE))/2)</f>
        <v>0</v>
      </c>
      <c r="CV52" s="227">
        <f t="array" ref="CV52">IF($BU52=0, INDEX(LS_current!$D$4:$AY$138, MATCH('Staging Table'!$A52, LS_current!$B$4:$B$138, 0), MATCH(CV$4&amp;CV$5, LS_current!$D$2:$AY$2&amp;LS_current!$D$3:$AY$3, 0)),SUM(VLOOKUP($A52, LS_current!$B$4:$AY$138, LS_current!Z$148, FALSE), VLOOKUP($A52, LS_current!$B$4:$AY$138,LS_current!Z$148, FALSE))/2)</f>
        <v>0</v>
      </c>
      <c r="CW52" s="227">
        <f t="array" ref="CW52">IF($BU52=0, INDEX(LS_current!$D$4:$AY$138, MATCH('Staging Table'!$A52, LS_current!$B$4:$B$138, 0), MATCH(CW$4&amp;CW$5, LS_current!$D$2:$AY$2&amp;LS_current!$D$3:$AY$3, 0)),SUM(VLOOKUP($A52, LS_current!$B$4:$AY$138, LS_current!AA$148, FALSE), VLOOKUP($A52, LS_current!$B$4:$AY$138,LS_current!AA$148, FALSE))/2)</f>
        <v>0</v>
      </c>
      <c r="CX52" s="229">
        <f t="array" ref="CX52">INDEX(Demand_current!$D$4:$AY$138, MATCH($A52, Demand_current!$B$4:$B$138, 0), MATCH(CX$4&amp;CX$5,Demand_current!$D$2:$AY$2&amp;Demand_current!$D$3:$AY$3, 0))/1000</f>
        <v>0</v>
      </c>
      <c r="CY52" s="229">
        <f t="array" ref="CY52">INDEX(Demand_current!$D$4:$AY$138, MATCH($A52, Demand_current!$B$4:$B$138, 0), MATCH(CY$4&amp;CY$5,Demand_current!$D$2:$AY$2&amp;Demand_current!$D$3:$AY$3, 0))/1000</f>
        <v>0</v>
      </c>
      <c r="CZ52" s="229">
        <f t="array" ref="CZ52">INDEX(Demand_current!$D$4:$AY$138, MATCH($A52, Demand_current!$B$4:$B$138, 0), MATCH(CZ$4&amp;CZ$5,Demand_current!$D$2:$AY$2&amp;Demand_current!$D$3:$AY$3, 0))/1000</f>
        <v>0</v>
      </c>
      <c r="DA52" s="229">
        <f t="array" ref="DA52">INDEX(Demand_current!$D$4:$AY$138, MATCH($A52, Demand_current!$B$4:$B$138, 0), MATCH(DA$4&amp;DA$5,Demand_current!$D$2:$AY$2&amp;Demand_current!$D$3:$AY$3, 0))/1000</f>
        <v>0</v>
      </c>
      <c r="DB52" s="229">
        <f t="array" ref="DB52">INDEX(Demand_current!$D$4:$AY$138, MATCH($A52, Demand_current!$B$4:$B$138, 0), MATCH(DB$4&amp;DB$5,Demand_current!$D$2:$AY$2&amp;Demand_current!$D$3:$AY$3, 0))/1000</f>
        <v>0</v>
      </c>
      <c r="DC52" s="229">
        <f t="array" ref="DC52">INDEX(Demand_current!$D$4:$AY$138, MATCH($A52, Demand_current!$B$4:$B$138, 0), MATCH(DC$4&amp;DC$5,Demand_current!$D$2:$AY$2&amp;Demand_current!$D$3:$AY$3, 0))/1000</f>
        <v>0</v>
      </c>
      <c r="DD52" s="229">
        <f t="array" ref="DD52">INDEX(Demand_current!$D$4:$AY$138, MATCH($A52, Demand_current!$B$4:$B$138, 0), MATCH(DD$4&amp;DD$5,Demand_current!$D$2:$AY$2&amp;Demand_current!$D$3:$AY$3, 0))/1000</f>
        <v>0</v>
      </c>
      <c r="DE52" s="229">
        <f t="array" ref="DE52">INDEX(Demand_current!$D$4:$AY$138, MATCH($A52, Demand_current!$B$4:$B$138, 0), MATCH(DE$4&amp;DE$5,Demand_current!$D$2:$AY$2&amp;Demand_current!$D$3:$AY$3, 0))/1000</f>
        <v>0</v>
      </c>
      <c r="DF52" s="229">
        <f t="array" ref="DF52">INDEX(Demand_current!$D$4:$AY$138, MATCH($A52, Demand_current!$B$4:$B$138, 0), MATCH(DF$4&amp;DF$5,Demand_current!$D$2:$AY$2&amp;Demand_current!$D$3:$AY$3, 0))/1000</f>
        <v>0</v>
      </c>
      <c r="DG52" s="229">
        <f t="array" ref="DG52">INDEX(Demand_current!$D$4:$AY$138, MATCH($A52, Demand_current!$B$4:$B$138, 0), MATCH(DG$4&amp;DG$5,Demand_current!$D$2:$AY$2&amp;Demand_current!$D$3:$AY$3, 0))/1000</f>
        <v>0</v>
      </c>
      <c r="DH52" s="229">
        <f t="array" ref="DH52">INDEX(Demand_current!$D$4:$AY$138, MATCH($A52, Demand_current!$B$4:$B$138, 0), MATCH(DH$4&amp;DH$5,Demand_current!$D$2:$AY$2&amp;Demand_current!$D$3:$AY$3, 0))/1000</f>
        <v>0</v>
      </c>
      <c r="DI52" s="229">
        <f t="array" ref="DI52">INDEX(Demand_current!$D$4:$AY$138, MATCH($A52, Demand_current!$B$4:$B$138, 0), MATCH(DI$4&amp;DI$5,Demand_current!$D$2:$AY$2&amp;Demand_current!$D$3:$AY$3, 0))/1000</f>
        <v>0</v>
      </c>
      <c r="DJ52" s="227">
        <f>$BT52*(VLOOKUP(DJ$4, Rates_current!$G$6:$Q$29, 10, FALSE)+VLOOKUP(DJ$4, Rates_current!$G$6:$Q$29, 11, FALSE))</f>
        <v>29862.960696849597</v>
      </c>
      <c r="DK52" s="227">
        <f>$BT52*(VLOOKUP(DK$4, Rates_current!$G$6:$Q$29, 10, FALSE)+VLOOKUP(DK$4, Rates_current!$G$6:$Q$29, 11, FALSE))</f>
        <v>37935.276016556403</v>
      </c>
      <c r="DL52" s="227">
        <f>$BT52*(VLOOKUP(DL$4, Rates_current!$G$6:$Q$29, 10, FALSE)+VLOOKUP(DL$4, Rates_current!$G$6:$Q$29, 11, FALSE))</f>
        <v>37477.156227649604</v>
      </c>
      <c r="DM52" s="227">
        <f>$BT52*(VLOOKUP(DM$4, Rates_current!$G$6:$Q$29, 10, FALSE)+VLOOKUP(DM$4, Rates_current!$G$6:$Q$29, 11, FALSE))</f>
        <v>31239.492342849604</v>
      </c>
      <c r="DN52" s="227">
        <f>$BT52*(VLOOKUP(DN$4, Rates_current!$G$6:$Q$29, 10, FALSE)+VLOOKUP(DN$4, Rates_current!$G$6:$Q$29, 11, FALSE))</f>
        <v>28299.739215680002</v>
      </c>
      <c r="DO52" s="227">
        <f>$BT52*(VLOOKUP(DO$4, Rates_current!$G$6:$Q$29, 10, FALSE)+VLOOKUP(DO$4, Rates_current!$G$6:$Q$29, 11, FALSE))</f>
        <v>31478.300330141203</v>
      </c>
      <c r="DP52" s="227">
        <f>$BT52*(VLOOKUP(DP$4, Rates_current!$G$6:$Q$29, 10, FALSE)+VLOOKUP(DP$4, Rates_current!$G$6:$Q$29, 11, FALSE))</f>
        <v>25629.666097248002</v>
      </c>
      <c r="DQ52" s="227">
        <f>$BT52*(VLOOKUP(DQ$4, Rates_current!$G$6:$Q$29, 10, FALSE)+VLOOKUP(DQ$4, Rates_current!$G$6:$Q$29, 11, FALSE))</f>
        <v>34565.426538649604</v>
      </c>
      <c r="DR52" s="227">
        <f>$BT52*(VLOOKUP(DR$4, Rates_current!$G$6:$Q$29, 10, FALSE)+VLOOKUP(DR$4, Rates_current!$G$6:$Q$29, 11, FALSE))</f>
        <v>44103.133419448008</v>
      </c>
      <c r="DS52" s="227">
        <f>$BT52*(VLOOKUP(DS$4, Rates_current!$G$6:$Q$29, 10, FALSE)+VLOOKUP(DS$4, Rates_current!$G$6:$Q$29, 11, FALSE))</f>
        <v>34578.255023249607</v>
      </c>
      <c r="DT52" s="227">
        <f>$BT52*(VLOOKUP(DT$4, Rates_current!$G$6:$Q$29, 10, FALSE)+VLOOKUP(DT$4, Rates_current!$G$6:$Q$29, 11, FALSE))</f>
        <v>33672.335057449607</v>
      </c>
      <c r="DU52" s="227">
        <f>$BT52*(VLOOKUP(DU$4, Rates_current!$G$6:$Q$29, 10, FALSE)+VLOOKUP(DU$4, Rates_current!$G$6:$Q$29, 11, FALSE))</f>
        <v>30230.593852848004</v>
      </c>
      <c r="DV52" s="229">
        <f>IF(D52=0,IF(C52=0,MAX(0,DY52 - (VLOOKUP($A52,TOCA_current!$A$2:$AI$137,MATCH("RHWM 2020",TOCA_current!$A$2:$AI$2,0),FALSE)*$BT$2)), 0),0)</f>
        <v>0</v>
      </c>
      <c r="DW52" s="266">
        <f>VLOOKUP($A52,REP_current!$A$1:$D$135,MATCH("FY "&amp;$BT$1&amp; " Total Refund",REP_current!$A$1:$D$1,0),0)</f>
        <v>0</v>
      </c>
      <c r="DX52" s="295">
        <f>MIN(VLOOKUP($A52,TOCA_current!$A$2:$AI$137,MATCH("TRL - NLSL - Existing Resource "&amp;$BT$1,TOCA_current!$A$2:$AI$2,0),FALSE)*$BT$2, VLOOKUP($A52,TOCA_current!$A$2:$AI$137,MATCH("RHWM 2020",TOCA_current!$A$2:$AI$2,0),FALSE)*$BT$2)</f>
        <v>399074.68800000002</v>
      </c>
      <c r="DY52" s="240">
        <f>SUM(BZ52:CW52)+(BT52*RT1SC!$C$4*$BT$2)</f>
        <v>399072.34979758086</v>
      </c>
      <c r="DZ52" s="271">
        <f>VLOOKUP($A52,TOCA_current!$A$2:$AI$137,MATCH("Above RHWM Not Served with LS "&amp;$BT$1,TOCA_current!$A$2:$AI$2,0),FALSE)*$BT$2</f>
        <v>13843.584000000001</v>
      </c>
      <c r="EA52" s="244">
        <f t="shared" si="13"/>
        <v>-2.3382024191669188</v>
      </c>
      <c r="EB52" s="295">
        <f>(VLOOKUP($A52,TOCA_current!$A$2:$AI$137,MATCH("RHWM 2020",TOCA_current!$A$2:$AI$2,0),FALSE)*$BT$2) - $DX52</f>
        <v>0</v>
      </c>
      <c r="EC52" s="240">
        <f t="shared" si="14"/>
        <v>0</v>
      </c>
      <c r="ED52" s="240">
        <f t="shared" si="15"/>
        <v>0</v>
      </c>
      <c r="EE52" s="240">
        <f t="shared" si="16"/>
        <v>0</v>
      </c>
      <c r="EF52" s="240">
        <f t="shared" si="17"/>
        <v>0</v>
      </c>
    </row>
    <row r="53" spans="1:136">
      <c r="A53" s="166">
        <v>10121</v>
      </c>
      <c r="B53" s="167" t="s">
        <v>54</v>
      </c>
      <c r="C53" s="240">
        <v>1</v>
      </c>
      <c r="D53" s="240">
        <v>0</v>
      </c>
      <c r="E53" s="150">
        <f>VLOOKUP($A53,TOCA_previous!$A$2:$AI$137,MATCH(E$4,TOCA_previous!$A$2:$AI$2,0),FALSE)</f>
        <v>5.5944000000000002E-3</v>
      </c>
      <c r="F53" s="151">
        <f>VLOOKUP($A53,TOCA_previous!$A$2:$AI$137,MATCH(F$4,TOCA_previous!$A$2:$AI$2,0),FALSE)</f>
        <v>5.5944000000000002E-3</v>
      </c>
      <c r="G53" s="151">
        <f t="shared" si="2"/>
        <v>0</v>
      </c>
      <c r="H53" s="151">
        <f>VLOOKUP($A53,TOCA_previous!$A$2:$AI$137,MATCH(H$4,TOCA_previous!$A$2:$AI$2,0),FALSE)</f>
        <v>0.06</v>
      </c>
      <c r="I53" s="151">
        <f t="shared" si="3"/>
        <v>0.06</v>
      </c>
      <c r="J53" s="151">
        <f t="shared" si="4"/>
        <v>5.5944000000000002E-3</v>
      </c>
      <c r="K53" s="226">
        <f>VLOOKUP(A53, IRD!$A$5:$C$139, 3, FALSE)</f>
        <v>0</v>
      </c>
      <c r="L53" s="227">
        <f t="array" ref="L53">IF($G53=0, INDEX(LS_previous!$D$4:$AY$138, MATCH('Staging Table'!$A53, LS_previous!$B$4:$B$138, 0), MATCH(L$4&amp;L$5, LS_previous!$D$2:$AY$2&amp;LS_previous!$D$3:$AY$3, 0)),SUM(VLOOKUP($A53, LS_previous!$B$4:$AY$138, LS_previous!D$149, FALSE), VLOOKUP('Staging Table'!$A53, LS_previous!$B$4:$AY$138,LS_previous!AB$149, FALSE))/2)</f>
        <v>0</v>
      </c>
      <c r="M53" s="227">
        <f t="array" ref="M53">IF($G53=0, INDEX(LS_previous!$D$4:$AY$138, MATCH('Staging Table'!$A53, LS_previous!$B$4:$B$138, 0), MATCH(M$4&amp;M$5, LS_previous!$D$2:$AY$2&amp;LS_previous!$D$3:$AY$3, 0)),SUM(VLOOKUP($A53, LS_previous!$B$4:$AY$138, LS_previous!E$149, FALSE), VLOOKUP('Staging Table'!$A53, LS_previous!$B$4:$AY$138,LS_previous!AC$149, FALSE))/2)</f>
        <v>0</v>
      </c>
      <c r="N53" s="227">
        <f t="array" ref="N53">IF($G53=0, INDEX(LS_previous!$D$4:$AY$138, MATCH('Staging Table'!$A53, LS_previous!$B$4:$B$138, 0), MATCH(N$4&amp;N$5, LS_previous!$D$2:$AY$2&amp;LS_previous!$D$3:$AY$3, 0)),SUM(VLOOKUP($A53, LS_previous!$B$4:$AY$138, LS_previous!F$149, FALSE), VLOOKUP('Staging Table'!$A53, LS_previous!$B$4:$AY$138,LS_previous!AD$149, FALSE))/2)</f>
        <v>0</v>
      </c>
      <c r="O53" s="227">
        <f t="array" ref="O53">IF($G53=0, INDEX(LS_previous!$D$4:$AY$138, MATCH('Staging Table'!$A53, LS_previous!$B$4:$B$138, 0), MATCH(O$4&amp;O$5, LS_previous!$D$2:$AY$2&amp;LS_previous!$D$3:$AY$3, 0)),SUM(VLOOKUP($A53, LS_previous!$B$4:$AY$138, LS_previous!G$149, FALSE), VLOOKUP('Staging Table'!$A53, LS_previous!$B$4:$AY$138,LS_previous!AE$149, FALSE))/2)</f>
        <v>0</v>
      </c>
      <c r="P53" s="227">
        <f t="array" ref="P53">IF($G53=0, INDEX(LS_previous!$D$4:$AY$138, MATCH('Staging Table'!$A53, LS_previous!$B$4:$B$138, 0), MATCH(P$4&amp;P$5, LS_previous!$D$2:$AY$2&amp;LS_previous!$D$3:$AY$3, 0)),SUM(VLOOKUP($A53, LS_previous!$B$4:$AY$138, LS_previous!H$149, FALSE), VLOOKUP('Staging Table'!$A53, LS_previous!$B$4:$AY$138,LS_previous!AF$149, FALSE))/2)</f>
        <v>0</v>
      </c>
      <c r="Q53" s="227">
        <f t="array" ref="Q53">IF($G53=0, INDEX(LS_previous!$D$4:$AY$138, MATCH('Staging Table'!$A53, LS_previous!$B$4:$B$138, 0), MATCH(Q$4&amp;Q$5, LS_previous!$D$2:$AY$2&amp;LS_previous!$D$3:$AY$3, 0)),SUM(VLOOKUP($A53, LS_previous!$B$4:$AY$138, LS_previous!I$149, FALSE), VLOOKUP('Staging Table'!$A53, LS_previous!$B$4:$AY$138,LS_previous!AG$149, FALSE))/2)</f>
        <v>0</v>
      </c>
      <c r="R53" s="227">
        <f t="array" ref="R53">IF($G53=0, INDEX(LS_previous!$D$4:$AY$138, MATCH('Staging Table'!$A53, LS_previous!$B$4:$B$138, 0), MATCH(R$4&amp;R$5, LS_previous!$D$2:$AY$2&amp;LS_previous!$D$3:$AY$3, 0)),SUM(VLOOKUP($A53, LS_previous!$B$4:$AY$138, LS_previous!J$149, FALSE), VLOOKUP('Staging Table'!$A53, LS_previous!$B$4:$AY$138,LS_previous!AH$149, FALSE))/2)</f>
        <v>0</v>
      </c>
      <c r="S53" s="227">
        <f t="array" ref="S53">IF($G53=0, INDEX(LS_previous!$D$4:$AY$138, MATCH('Staging Table'!$A53, LS_previous!$B$4:$B$138, 0), MATCH(S$4&amp;S$5, LS_previous!$D$2:$AY$2&amp;LS_previous!$D$3:$AY$3, 0)),SUM(VLOOKUP($A53, LS_previous!$B$4:$AY$138, LS_previous!K$149, FALSE), VLOOKUP('Staging Table'!$A53, LS_previous!$B$4:$AY$138,LS_previous!AI$149, FALSE))/2)</f>
        <v>0</v>
      </c>
      <c r="T53" s="227">
        <f t="array" ref="T53">IF($G53=0, INDEX(LS_previous!$D$4:$AY$138, MATCH('Staging Table'!$A53, LS_previous!$B$4:$B$138, 0), MATCH(T$4&amp;T$5, LS_previous!$D$2:$AY$2&amp;LS_previous!$D$3:$AY$3, 0)),SUM(VLOOKUP($A53, LS_previous!$B$4:$AY$138, LS_previous!L$149, FALSE), VLOOKUP('Staging Table'!$A53, LS_previous!$B$4:$AY$138,LS_previous!AJ$149, FALSE))/2)</f>
        <v>0</v>
      </c>
      <c r="U53" s="227">
        <f t="array" ref="U53">IF($G53=0, INDEX(LS_previous!$D$4:$AY$138, MATCH('Staging Table'!$A53, LS_previous!$B$4:$B$138, 0), MATCH(U$4&amp;U$5, LS_previous!$D$2:$AY$2&amp;LS_previous!$D$3:$AY$3, 0)),SUM(VLOOKUP($A53, LS_previous!$B$4:$AY$138, LS_previous!M$149, FALSE), VLOOKUP('Staging Table'!$A53, LS_previous!$B$4:$AY$138,LS_previous!AK$149, FALSE))/2)</f>
        <v>0</v>
      </c>
      <c r="V53" s="227">
        <f t="array" ref="V53">IF($G53=0, INDEX(LS_previous!$D$4:$AY$138, MATCH('Staging Table'!$A53, LS_previous!$B$4:$B$138, 0), MATCH(V$4&amp;V$5, LS_previous!$D$2:$AY$2&amp;LS_previous!$D$3:$AY$3, 0)),SUM(VLOOKUP($A53, LS_previous!$B$4:$AY$138, LS_previous!N$149, FALSE), VLOOKUP('Staging Table'!$A53, LS_previous!$B$4:$AY$138,LS_previous!AL$149, FALSE))/2)</f>
        <v>0</v>
      </c>
      <c r="W53" s="227">
        <f t="array" ref="W53">IF($G53=0, INDEX(LS_previous!$D$4:$AY$138, MATCH('Staging Table'!$A53, LS_previous!$B$4:$B$138, 0), MATCH(W$4&amp;W$5, LS_previous!$D$2:$AY$2&amp;LS_previous!$D$3:$AY$3, 0)),SUM(VLOOKUP($A53, LS_previous!$B$4:$AY$138, LS_previous!O$149, FALSE), VLOOKUP('Staging Table'!$A53, LS_previous!$B$4:$AY$138,LS_previous!AM$149, FALSE))/2)</f>
        <v>0</v>
      </c>
      <c r="X53" s="227">
        <f t="array" ref="X53">IF($G53=0, INDEX(LS_previous!$D$4:$AY$138, MATCH('Staging Table'!$A53, LS_previous!$B$4:$B$138, 0), MATCH(X$4&amp;X$5, LS_previous!$D$2:$AY$2&amp;LS_previous!$D$3:$AY$3, 0)),SUM(VLOOKUP($A53, LS_previous!$B$4:$AY$138, LS_previous!P$149, FALSE), VLOOKUP('Staging Table'!$A53, LS_previous!$B$4:$AY$138,LS_previous!AN$149, FALSE))/2)</f>
        <v>0</v>
      </c>
      <c r="Y53" s="227">
        <f t="array" ref="Y53">IF($G53=0, INDEX(LS_previous!$D$4:$AY$138, MATCH('Staging Table'!$A53, LS_previous!$B$4:$B$138, 0), MATCH(Y$4&amp;Y$5, LS_previous!$D$2:$AY$2&amp;LS_previous!$D$3:$AY$3, 0)),SUM(VLOOKUP($A53, LS_previous!$B$4:$AY$138, LS_previous!Q$149, FALSE), VLOOKUP('Staging Table'!$A53, LS_previous!$B$4:$AY$138,LS_previous!AO$149, FALSE))/2)</f>
        <v>0</v>
      </c>
      <c r="Z53" s="227">
        <f t="array" ref="Z53">IF($G53=0, INDEX(LS_previous!$D$4:$AY$138, MATCH('Staging Table'!$A53, LS_previous!$B$4:$B$138, 0), MATCH(Z$4&amp;Z$5, LS_previous!$D$2:$AY$2&amp;LS_previous!$D$3:$AY$3, 0)),SUM(VLOOKUP($A53, LS_previous!$B$4:$AY$138, LS_previous!R$149, FALSE), VLOOKUP('Staging Table'!$A53, LS_previous!$B$4:$AY$138,LS_previous!AP$149, FALSE))/2)</f>
        <v>0</v>
      </c>
      <c r="AA53" s="227">
        <f t="array" ref="AA53">IF($G53=0, INDEX(LS_previous!$D$4:$AY$138, MATCH('Staging Table'!$A53, LS_previous!$B$4:$B$138, 0), MATCH(AA$4&amp;AA$5, LS_previous!$D$2:$AY$2&amp;LS_previous!$D$3:$AY$3, 0)),SUM(VLOOKUP($A53, LS_previous!$B$4:$AY$138, LS_previous!S$149, FALSE), VLOOKUP('Staging Table'!$A53, LS_previous!$B$4:$AY$138,LS_previous!AQ$149, FALSE))/2)</f>
        <v>0</v>
      </c>
      <c r="AB53" s="227">
        <f t="array" ref="AB53">IF($G53=0, INDEX(LS_previous!$D$4:$AY$138, MATCH('Staging Table'!$A53, LS_previous!$B$4:$B$138, 0), MATCH(AB$4&amp;AB$5, LS_previous!$D$2:$AY$2&amp;LS_previous!$D$3:$AY$3, 0)),SUM(VLOOKUP($A53, LS_previous!$B$4:$AY$138, LS_previous!T$149, FALSE), VLOOKUP('Staging Table'!$A53, LS_previous!$B$4:$AY$138,LS_previous!AR$149, FALSE))/2)</f>
        <v>0</v>
      </c>
      <c r="AC53" s="227">
        <f t="array" ref="AC53">IF($G53=0, INDEX(LS_previous!$D$4:$AY$138, MATCH('Staging Table'!$A53, LS_previous!$B$4:$B$138, 0), MATCH(AC$4&amp;AC$5, LS_previous!$D$2:$AY$2&amp;LS_previous!$D$3:$AY$3, 0)),SUM(VLOOKUP($A53, LS_previous!$B$4:$AY$138, LS_previous!U$149, FALSE), VLOOKUP('Staging Table'!$A53, LS_previous!$B$4:$AY$138,LS_previous!AS$149, FALSE))/2)</f>
        <v>0</v>
      </c>
      <c r="AD53" s="227">
        <f t="array" ref="AD53">IF($G53=0, INDEX(LS_previous!$D$4:$AY$138, MATCH('Staging Table'!$A53, LS_previous!$B$4:$B$138, 0), MATCH(AD$4&amp;AD$5, LS_previous!$D$2:$AY$2&amp;LS_previous!$D$3:$AY$3, 0)),SUM(VLOOKUP($A53, LS_previous!$B$4:$AY$138, LS_previous!V$149, FALSE), VLOOKUP('Staging Table'!$A53, LS_previous!$B$4:$AY$138,LS_previous!AT$149, FALSE))/2)</f>
        <v>0</v>
      </c>
      <c r="AE53" s="227">
        <f t="array" ref="AE53">IF($G53=0, INDEX(LS_previous!$D$4:$AY$138, MATCH('Staging Table'!$A53, LS_previous!$B$4:$B$138, 0), MATCH(AE$4&amp;AE$5, LS_previous!$D$2:$AY$2&amp;LS_previous!$D$3:$AY$3, 0)),SUM(VLOOKUP($A53, LS_previous!$B$4:$AY$138, LS_previous!W$149, FALSE), VLOOKUP('Staging Table'!$A53, LS_previous!$B$4:$AY$138,LS_previous!AU$149, FALSE))/2)</f>
        <v>0</v>
      </c>
      <c r="AF53" s="227">
        <f t="array" ref="AF53">IF($G53=0, INDEX(LS_previous!$D$4:$AY$138, MATCH('Staging Table'!$A53, LS_previous!$B$4:$B$138, 0), MATCH(AF$4&amp;AF$5, LS_previous!$D$2:$AY$2&amp;LS_previous!$D$3:$AY$3, 0)),SUM(VLOOKUP($A53, LS_previous!$B$4:$AY$138, LS_previous!X$149, FALSE), VLOOKUP('Staging Table'!$A53, LS_previous!$B$4:$AY$138,LS_previous!AV$149, FALSE))/2)</f>
        <v>0</v>
      </c>
      <c r="AG53" s="227">
        <f t="array" ref="AG53">IF($G53=0, INDEX(LS_previous!$D$4:$AY$138, MATCH('Staging Table'!$A53, LS_previous!$B$4:$B$138, 0), MATCH(AG$4&amp;AG$5, LS_previous!$D$2:$AY$2&amp;LS_previous!$D$3:$AY$3, 0)),SUM(VLOOKUP($A53, LS_previous!$B$4:$AY$138, LS_previous!Y$149, FALSE), VLOOKUP('Staging Table'!$A53, LS_previous!$B$4:$AY$138,LS_previous!AW$149, FALSE))/2)</f>
        <v>0</v>
      </c>
      <c r="AH53" s="227">
        <f t="array" ref="AH53">IF($G53=0, INDEX(LS_previous!$D$4:$AY$138, MATCH('Staging Table'!$A53, LS_previous!$B$4:$B$138, 0), MATCH(AH$4&amp;AH$5, LS_previous!$D$2:$AY$2&amp;LS_previous!$D$3:$AY$3, 0)),SUM(VLOOKUP($A53, LS_previous!$B$4:$AY$138, LS_previous!Z$149, FALSE), VLOOKUP('Staging Table'!$A53, LS_previous!$B$4:$AY$138,LS_previous!AX$149, FALSE))/2)</f>
        <v>0</v>
      </c>
      <c r="AI53" s="227">
        <f t="array" ref="AI53">IF($G53=0, INDEX(LS_previous!$D$4:$AY$138, MATCH('Staging Table'!$A53, LS_previous!$B$4:$B$138, 0), MATCH(AI$4&amp;AI$5, LS_previous!$D$2:$AY$2&amp;LS_previous!$D$3:$AY$3, 0)),SUM(VLOOKUP($A53, LS_previous!$B$4:$AY$138, LS_previous!AA$149, FALSE), VLOOKUP('Staging Table'!$A53, LS_previous!$B$4:$AY$138,LS_previous!AY$149, FALSE))/2)</f>
        <v>0</v>
      </c>
      <c r="AJ53" s="424">
        <f t="array" ref="AJ53">INDEX(Demand_previous!$D$4:$AY$138, MATCH('Staging Table'!$A53, Demand_previous!$B$4:$B$138, 0), MATCH(AJ$4&amp;AJ$5,Demand_previous!$D$2:$AY$2&amp;Demand_previous!$D$3:$AY$3, 0))/1000</f>
        <v>0</v>
      </c>
      <c r="AK53" s="424">
        <f t="array" ref="AK53">INDEX(Demand_previous!$D$4:$AY$138, MATCH('Staging Table'!$A53, Demand_previous!$B$4:$B$138, 0), MATCH(AK$4&amp;AK$5,Demand_previous!$D$2:$AY$2&amp;Demand_previous!$D$3:$AY$3, 0))/1000</f>
        <v>0</v>
      </c>
      <c r="AL53" s="424">
        <f t="array" ref="AL53">INDEX(Demand_previous!$D$4:$AY$138, MATCH('Staging Table'!$A53, Demand_previous!$B$4:$B$138, 0), MATCH(AL$4&amp;AL$5,Demand_previous!$D$2:$AY$2&amp;Demand_previous!$D$3:$AY$3, 0))/1000</f>
        <v>0</v>
      </c>
      <c r="AM53" s="424">
        <f t="array" ref="AM53">INDEX(Demand_previous!$D$4:$AY$138, MATCH('Staging Table'!$A53, Demand_previous!$B$4:$B$138, 0), MATCH(AM$4&amp;AM$5,Demand_previous!$D$2:$AY$2&amp;Demand_previous!$D$3:$AY$3, 0))/1000</f>
        <v>0</v>
      </c>
      <c r="AN53" s="424">
        <f t="array" ref="AN53">INDEX(Demand_previous!$D$4:$AY$138, MATCH('Staging Table'!$A53, Demand_previous!$B$4:$B$138, 0), MATCH(AN$4&amp;AN$5,Demand_previous!$D$2:$AY$2&amp;Demand_previous!$D$3:$AY$3, 0))/1000</f>
        <v>0</v>
      </c>
      <c r="AO53" s="424">
        <f t="array" ref="AO53">INDEX(Demand_previous!$D$4:$AY$138, MATCH('Staging Table'!$A53, Demand_previous!$B$4:$B$138, 0), MATCH(AO$4&amp;AO$5,Demand_previous!$D$2:$AY$2&amp;Demand_previous!$D$3:$AY$3, 0))/1000</f>
        <v>0</v>
      </c>
      <c r="AP53" s="424">
        <f t="array" ref="AP53">INDEX(Demand_previous!$D$4:$AY$138, MATCH('Staging Table'!$A53, Demand_previous!$B$4:$B$138, 0), MATCH(AP$4&amp;AP$5,Demand_previous!$D$2:$AY$2&amp;Demand_previous!$D$3:$AY$3, 0))/1000</f>
        <v>0</v>
      </c>
      <c r="AQ53" s="424">
        <f t="array" ref="AQ53">INDEX(Demand_previous!$D$4:$AY$138, MATCH('Staging Table'!$A53, Demand_previous!$B$4:$B$138, 0), MATCH(AQ$4&amp;AQ$5,Demand_previous!$D$2:$AY$2&amp;Demand_previous!$D$3:$AY$3, 0))/1000</f>
        <v>0</v>
      </c>
      <c r="AR53" s="424">
        <f t="array" ref="AR53">INDEX(Demand_previous!$D$4:$AY$138, MATCH('Staging Table'!$A53, Demand_previous!$B$4:$B$138, 0), MATCH(AR$4&amp;AR$5,Demand_previous!$D$2:$AY$2&amp;Demand_previous!$D$3:$AY$3, 0))/1000</f>
        <v>0</v>
      </c>
      <c r="AS53" s="424">
        <f t="array" ref="AS53">INDEX(Demand_previous!$D$4:$AY$138, MATCH('Staging Table'!$A53, Demand_previous!$B$4:$B$138, 0), MATCH(AS$4&amp;AS$5,Demand_previous!$D$2:$AY$2&amp;Demand_previous!$D$3:$AY$3, 0))/1000</f>
        <v>0</v>
      </c>
      <c r="AT53" s="424">
        <f t="array" ref="AT53">INDEX(Demand_previous!$D$4:$AY$138, MATCH('Staging Table'!$A53, Demand_previous!$B$4:$B$138, 0), MATCH(AT$4&amp;AT$5,Demand_previous!$D$2:$AY$2&amp;Demand_previous!$D$3:$AY$3, 0))/1000</f>
        <v>0</v>
      </c>
      <c r="AU53" s="424">
        <f t="array" ref="AU53">INDEX(Demand_previous!$D$4:$AY$138, MATCH('Staging Table'!$A53, Demand_previous!$B$4:$B$138, 0), MATCH(AU$4&amp;AU$5,Demand_previous!$D$2:$AY$2&amp;Demand_previous!$D$3:$AY$3, 0))/1000</f>
        <v>0</v>
      </c>
      <c r="AV53" s="227">
        <f>$F53*(VLOOKUP(AV$4, Rates_previous!$G$6:$Q$29, 10, FALSE)+VLOOKUP(AV$4, Rates_previous!$G$6:$Q$29, 11, FALSE))</f>
        <v>26231.233977911819</v>
      </c>
      <c r="AW53" s="227">
        <f>$F53*(VLOOKUP(AW$4, Rates_previous!$G$6:$Q$29, 10, FALSE)+VLOOKUP(AW$4, Rates_previous!$G$6:$Q$29, 11, FALSE))</f>
        <v>32419.811517260954</v>
      </c>
      <c r="AX53" s="227">
        <f>$F53*(VLOOKUP(AX$4, Rates_previous!$G$6:$Q$29, 10, FALSE)+VLOOKUP(AX$4, Rates_previous!$G$6:$Q$29, 11, FALSE))</f>
        <v>32030.488356906186</v>
      </c>
      <c r="AY53" s="227">
        <f>$F53*(VLOOKUP(AY$4, Rates_previous!$G$6:$Q$29, 10, FALSE)+VLOOKUP(AY$4, Rates_previous!$G$6:$Q$29, 11, FALSE))</f>
        <v>27366.999291211105</v>
      </c>
      <c r="AZ53" s="227">
        <f>$F53*(VLOOKUP(AZ$4, Rates_previous!$G$6:$Q$29, 10, FALSE)+VLOOKUP(AZ$4, Rates_previous!$G$6:$Q$29, 11, FALSE))</f>
        <v>22435.631010525576</v>
      </c>
      <c r="BA53" s="227">
        <f>$F53*(VLOOKUP(BA$4, Rates_previous!$G$6:$Q$29, 10, FALSE)+VLOOKUP(BA$4, Rates_previous!$G$6:$Q$29, 11, FALSE))</f>
        <v>26562.972178713149</v>
      </c>
      <c r="BB53" s="227">
        <f>$F53*(VLOOKUP(BB$4, Rates_previous!$G$6:$Q$29, 10, FALSE)+VLOOKUP(BB$4, Rates_previous!$G$6:$Q$29, 11, FALSE))</f>
        <v>25530.880083774104</v>
      </c>
      <c r="BC53" s="227">
        <f>$F53*(VLOOKUP(BC$4, Rates_previous!$G$6:$Q$29, 10, FALSE)+VLOOKUP(BC$4, Rates_previous!$G$6:$Q$29, 11, FALSE))</f>
        <v>37464.759887717337</v>
      </c>
      <c r="BD53" s="227">
        <f>$F53*(VLOOKUP(BD$4, Rates_previous!$G$6:$Q$29, 10, FALSE)+VLOOKUP(BD$4, Rates_previous!$G$6:$Q$29, 11, FALSE))</f>
        <v>29558.705345735027</v>
      </c>
      <c r="BE53" s="227">
        <f>$F53*(VLOOKUP(BE$4, Rates_previous!$G$6:$Q$29, 10, FALSE)+VLOOKUP(BE$4, Rates_previous!$G$6:$Q$29, 11, FALSE))</f>
        <v>25955.024319162316</v>
      </c>
      <c r="BF53" s="227">
        <f>$F53*(VLOOKUP(BF$4, Rates_previous!$G$6:$Q$29, 10, FALSE)+VLOOKUP(BF$4, Rates_previous!$G$6:$Q$29, 11, FALSE))</f>
        <v>28746.228353731713</v>
      </c>
      <c r="BG53" s="227">
        <f>$F53*(VLOOKUP(BG$4, Rates_previous!$G$6:$Q$29, 10, FALSE)+VLOOKUP(BG$4, Rates_previous!$G$6:$Q$29, 11, FALSE))</f>
        <v>26042.939722625841</v>
      </c>
      <c r="BH53" s="229">
        <f>IF($D53=0,IF(C53=0, MAX(BK53 - (VLOOKUP($A53,TOCA_previous!$A$2:$AI$137,MATCH("RHWM 2018",TOCA_previous!$A$2:$AI$2,0),FALSE)*$F$2*TOCA_previous!C50),0),0), 0)</f>
        <v>0</v>
      </c>
      <c r="BI53" s="266">
        <f>VLOOKUP($A53,REP_previous!$A$1:$D$135,MATCH("FY "&amp;$F$1&amp; " Total Refund",REP_previous!$A$1:$D$1,0),0)</f>
        <v>451182.23210318614</v>
      </c>
      <c r="BJ53" s="241">
        <f>MIN(VLOOKUP($A53,TOCA_previous!$A$2:$AI$137,MATCH("TRL - NLSL - Existing Resource "&amp;$F$1,TOCA_previous!$A$2:$AI$2,0),FALSE)*$F$2,(VLOOKUP($A53,TOCA_previous!$A$2:$AI$137,MATCH("RHWM 2018",TOCA_previous!$A$2:$AI$2,0),FALSE)*$F$2))</f>
        <v>340343.51999999996</v>
      </c>
      <c r="BK53" s="229">
        <f>SUM(L53:AI53)+(F53*RT1SC!$C$3*$F$2)</f>
        <v>340345.67901062395</v>
      </c>
      <c r="BL53" s="241">
        <f>VLOOKUP($A53,TOCA_previous!$A$2:$AI$137,MATCH("Above RHWM Not Served with LS "&amp;$F$1,TOCA_previous!$A$2:$AI$2,0),FALSE)*$F$2</f>
        <v>0</v>
      </c>
      <c r="BM53" s="151">
        <f t="shared" si="5"/>
        <v>2.1590106239891611</v>
      </c>
      <c r="BN53" s="242">
        <f>(VLOOKUP($A53,TOCA_previous!$A$2:$AI$137,MATCH("RHWM 2018",TOCA_previous!$A$2:$AI$2,0),FALSE)*$F$2) - $BJ53</f>
        <v>11974.920000000042</v>
      </c>
      <c r="BO53" s="151">
        <f t="shared" si="6"/>
        <v>-2.1590106239891611</v>
      </c>
      <c r="BP53" s="243">
        <f t="shared" si="7"/>
        <v>0</v>
      </c>
      <c r="BQ53" s="237">
        <f t="shared" si="8"/>
        <v>0</v>
      </c>
      <c r="BR53" s="242">
        <f t="shared" si="9"/>
        <v>-2.1590106239891611</v>
      </c>
      <c r="BS53" s="151">
        <f>VLOOKUP($A53,TOCA_current!$A$2:$AI$137,MATCH(BS$4,TOCA_current!$A$2:$AI$2,0),FALSE)</f>
        <v>5.5415000000000004E-3</v>
      </c>
      <c r="BT53" s="151">
        <f>VLOOKUP($A53,TOCA_current!$A$2:$AI$137,MATCH(BT$4,TOCA_current!$A$2:$AI$2,0),FALSE)</f>
        <v>5.5415000000000004E-3</v>
      </c>
      <c r="BU53" s="236">
        <f t="shared" si="10"/>
        <v>0</v>
      </c>
      <c r="BV53" s="151">
        <f>VLOOKUP($A53,TOCA_current!A49:BG184,MATCH(BV$4,TOCA_current!$A$2:$BG$2,0),FALSE)</f>
        <v>0.06</v>
      </c>
      <c r="BW53" s="151">
        <f t="shared" si="11"/>
        <v>0.06</v>
      </c>
      <c r="BX53" s="151">
        <f t="shared" si="12"/>
        <v>5.5415000000000004E-3</v>
      </c>
      <c r="BY53" s="226">
        <f>VLOOKUP($A53,IRD!$A$4:$G$139, 7, FALSE)</f>
        <v>0</v>
      </c>
      <c r="BZ53" s="227">
        <f t="array" ref="BZ53">IF($BU53=0, INDEX(LS_current!$D$4:$AY$138, MATCH('Staging Table'!$A53, LS_current!$B$4:$B$138, 0), MATCH(BZ$4&amp;BZ$5, LS_current!$D$2:$AY$2&amp;LS_current!$D$3:$AY$3, 0)),SUM(VLOOKUP($A53, LS_current!$B$4:$AY$138, LS_current!D$148, FALSE), VLOOKUP($A53, LS_current!$B$4:$AY$138,LS_current!D$148, FALSE))/2)</f>
        <v>0</v>
      </c>
      <c r="CA53" s="227">
        <f t="array" ref="CA53">IF($BU53=0, INDEX(LS_current!$D$4:$AY$138, MATCH('Staging Table'!$A53, LS_current!$B$4:$B$138, 0), MATCH(CA$4&amp;CA$5, LS_current!$D$2:$AY$2&amp;LS_current!$D$3:$AY$3, 0)),SUM(VLOOKUP($A53, LS_current!$B$4:$AY$138, LS_current!E$148, FALSE), VLOOKUP($A53, LS_current!$B$4:$AY$138,LS_current!E$148, FALSE))/2)</f>
        <v>0</v>
      </c>
      <c r="CB53" s="227">
        <f t="array" ref="CB53">IF($BU53=0, INDEX(LS_current!$D$4:$AY$138, MATCH('Staging Table'!$A53, LS_current!$B$4:$B$138, 0), MATCH(CB$4&amp;CB$5, LS_current!$D$2:$AY$2&amp;LS_current!$D$3:$AY$3, 0)),SUM(VLOOKUP($A53, LS_current!$B$4:$AY$138, LS_current!F$148, FALSE), VLOOKUP($A53, LS_current!$B$4:$AY$138,LS_current!F$148, FALSE))/2)</f>
        <v>0</v>
      </c>
      <c r="CC53" s="227">
        <f t="array" ref="CC53">IF($BU53=0, INDEX(LS_current!$D$4:$AY$138, MATCH('Staging Table'!$A53, LS_current!$B$4:$B$138, 0), MATCH(CC$4&amp;CC$5, LS_current!$D$2:$AY$2&amp;LS_current!$D$3:$AY$3, 0)),SUM(VLOOKUP($A53, LS_current!$B$4:$AY$138, LS_current!G$148, FALSE), VLOOKUP($A53, LS_current!$B$4:$AY$138,LS_current!G$148, FALSE))/2)</f>
        <v>0</v>
      </c>
      <c r="CD53" s="227">
        <f t="array" ref="CD53">IF($BU53=0, INDEX(LS_current!$D$4:$AY$138, MATCH('Staging Table'!$A53, LS_current!$B$4:$B$138, 0), MATCH(CD$4&amp;CD$5, LS_current!$D$2:$AY$2&amp;LS_current!$D$3:$AY$3, 0)),SUM(VLOOKUP($A53, LS_current!$B$4:$AY$138, LS_current!H$148, FALSE), VLOOKUP($A53, LS_current!$B$4:$AY$138,LS_current!H$148, FALSE))/2)</f>
        <v>0</v>
      </c>
      <c r="CE53" s="227">
        <f t="array" ref="CE53">IF($BU53=0, INDEX(LS_current!$D$4:$AY$138, MATCH('Staging Table'!$A53, LS_current!$B$4:$B$138, 0), MATCH(CE$4&amp;CE$5, LS_current!$D$2:$AY$2&amp;LS_current!$D$3:$AY$3, 0)),SUM(VLOOKUP($A53, LS_current!$B$4:$AY$138, LS_current!I$148, FALSE), VLOOKUP($A53, LS_current!$B$4:$AY$138,LS_current!I$148, FALSE))/2)</f>
        <v>0</v>
      </c>
      <c r="CF53" s="227">
        <f t="array" ref="CF53">IF($BU53=0, INDEX(LS_current!$D$4:$AY$138, MATCH('Staging Table'!$A53, LS_current!$B$4:$B$138, 0), MATCH(CF$4&amp;CF$5, LS_current!$D$2:$AY$2&amp;LS_current!$D$3:$AY$3, 0)),SUM(VLOOKUP($A53, LS_current!$B$4:$AY$138, LS_current!J$148, FALSE), VLOOKUP($A53, LS_current!$B$4:$AY$138,LS_current!J$148, FALSE))/2)</f>
        <v>0</v>
      </c>
      <c r="CG53" s="227">
        <f t="array" ref="CG53">IF($BU53=0, INDEX(LS_current!$D$4:$AY$138, MATCH('Staging Table'!$A53, LS_current!$B$4:$B$138, 0), MATCH(CG$4&amp;CG$5, LS_current!$D$2:$AY$2&amp;LS_current!$D$3:$AY$3, 0)),SUM(VLOOKUP($A53, LS_current!$B$4:$AY$138, LS_current!K$148, FALSE), VLOOKUP($A53, LS_current!$B$4:$AY$138,LS_current!K$148, FALSE))/2)</f>
        <v>0</v>
      </c>
      <c r="CH53" s="227">
        <f t="array" ref="CH53">IF($BU53=0, INDEX(LS_current!$D$4:$AY$138, MATCH('Staging Table'!$A53, LS_current!$B$4:$B$138, 0), MATCH(CH$4&amp;CH$5, LS_current!$D$2:$AY$2&amp;LS_current!$D$3:$AY$3, 0)),SUM(VLOOKUP($A53, LS_current!$B$4:$AY$138, LS_current!L$148, FALSE), VLOOKUP($A53, LS_current!$B$4:$AY$138,LS_current!L$148, FALSE))/2)</f>
        <v>0</v>
      </c>
      <c r="CI53" s="227">
        <f t="array" ref="CI53">IF($BU53=0, INDEX(LS_current!$D$4:$AY$138, MATCH('Staging Table'!$A53, LS_current!$B$4:$B$138, 0), MATCH(CI$4&amp;CI$5, LS_current!$D$2:$AY$2&amp;LS_current!$D$3:$AY$3, 0)),SUM(VLOOKUP($A53, LS_current!$B$4:$AY$138, LS_current!M$148, FALSE), VLOOKUP($A53, LS_current!$B$4:$AY$138,LS_current!M$148, FALSE))/2)</f>
        <v>0</v>
      </c>
      <c r="CJ53" s="227">
        <f t="array" ref="CJ53">IF($BU53=0, INDEX(LS_current!$D$4:$AY$138, MATCH('Staging Table'!$A53, LS_current!$B$4:$B$138, 0), MATCH(CJ$4&amp;CJ$5, LS_current!$D$2:$AY$2&amp;LS_current!$D$3:$AY$3, 0)),SUM(VLOOKUP($A53, LS_current!$B$4:$AY$138, LS_current!N$148, FALSE), VLOOKUP($A53, LS_current!$B$4:$AY$138,LS_current!N$148, FALSE))/2)</f>
        <v>0</v>
      </c>
      <c r="CK53" s="227">
        <f t="array" ref="CK53">IF($BU53=0, INDEX(LS_current!$D$4:$AY$138, MATCH('Staging Table'!$A53, LS_current!$B$4:$B$138, 0), MATCH(CK$4&amp;CK$5, LS_current!$D$2:$AY$2&amp;LS_current!$D$3:$AY$3, 0)),SUM(VLOOKUP($A53, LS_current!$B$4:$AY$138, LS_current!O$148, FALSE), VLOOKUP($A53, LS_current!$B$4:$AY$138,LS_current!O$148, FALSE))/2)</f>
        <v>0</v>
      </c>
      <c r="CL53" s="227">
        <f t="array" ref="CL53">IF($BU53=0, INDEX(LS_current!$D$4:$AY$138, MATCH('Staging Table'!$A53, LS_current!$B$4:$B$138, 0), MATCH(CL$4&amp;CL$5, LS_current!$D$2:$AY$2&amp;LS_current!$D$3:$AY$3, 0)),SUM(VLOOKUP($A53, LS_current!$B$4:$AY$138, LS_current!P$148, FALSE), VLOOKUP($A53, LS_current!$B$4:$AY$138,LS_current!P$148, FALSE))/2)</f>
        <v>0</v>
      </c>
      <c r="CM53" s="227">
        <f t="array" ref="CM53">IF($BU53=0, INDEX(LS_current!$D$4:$AY$138, MATCH('Staging Table'!$A53, LS_current!$B$4:$B$138, 0), MATCH(CM$4&amp;CM$5, LS_current!$D$2:$AY$2&amp;LS_current!$D$3:$AY$3, 0)),SUM(VLOOKUP($A53, LS_current!$B$4:$AY$138, LS_current!Q$148, FALSE), VLOOKUP($A53, LS_current!$B$4:$AY$138,LS_current!Q$148, FALSE))/2)</f>
        <v>0</v>
      </c>
      <c r="CN53" s="227">
        <f t="array" ref="CN53">IF($BU53=0, INDEX(LS_current!$D$4:$AY$138, MATCH('Staging Table'!$A53, LS_current!$B$4:$B$138, 0), MATCH(CN$4&amp;CN$5, LS_current!$D$2:$AY$2&amp;LS_current!$D$3:$AY$3, 0)),SUM(VLOOKUP($A53, LS_current!$B$4:$AY$138, LS_current!R$148, FALSE), VLOOKUP($A53, LS_current!$B$4:$AY$138,LS_current!R$148, FALSE))/2)</f>
        <v>0</v>
      </c>
      <c r="CO53" s="227">
        <f t="array" ref="CO53">IF($BU53=0, INDEX(LS_current!$D$4:$AY$138, MATCH('Staging Table'!$A53, LS_current!$B$4:$B$138, 0), MATCH(CO$4&amp;CO$5, LS_current!$D$2:$AY$2&amp;LS_current!$D$3:$AY$3, 0)),SUM(VLOOKUP($A53, LS_current!$B$4:$AY$138, LS_current!S$148, FALSE), VLOOKUP($A53, LS_current!$B$4:$AY$138,LS_current!S$148, FALSE))/2)</f>
        <v>0</v>
      </c>
      <c r="CP53" s="227">
        <f t="array" ref="CP53">IF($BU53=0, INDEX(LS_current!$D$4:$AY$138, MATCH('Staging Table'!$A53, LS_current!$B$4:$B$138, 0), MATCH(CP$4&amp;CP$5, LS_current!$D$2:$AY$2&amp;LS_current!$D$3:$AY$3, 0)),SUM(VLOOKUP($A53, LS_current!$B$4:$AY$138, LS_current!T$148, FALSE), VLOOKUP($A53, LS_current!$B$4:$AY$138,LS_current!T$148, FALSE))/2)</f>
        <v>0</v>
      </c>
      <c r="CQ53" s="227">
        <f t="array" ref="CQ53">IF($BU53=0, INDEX(LS_current!$D$4:$AY$138, MATCH('Staging Table'!$A53, LS_current!$B$4:$B$138, 0), MATCH(CQ$4&amp;CQ$5, LS_current!$D$2:$AY$2&amp;LS_current!$D$3:$AY$3, 0)),SUM(VLOOKUP($A53, LS_current!$B$4:$AY$138, LS_current!U$148, FALSE), VLOOKUP($A53, LS_current!$B$4:$AY$138,LS_current!U$148, FALSE))/2)</f>
        <v>0</v>
      </c>
      <c r="CR53" s="227">
        <f t="array" ref="CR53">IF($BU53=0, INDEX(LS_current!$D$4:$AY$138, MATCH('Staging Table'!$A53, LS_current!$B$4:$B$138, 0), MATCH(CR$4&amp;CR$5, LS_current!$D$2:$AY$2&amp;LS_current!$D$3:$AY$3, 0)),SUM(VLOOKUP($A53, LS_current!$B$4:$AY$138, LS_current!V$148, FALSE), VLOOKUP($A53, LS_current!$B$4:$AY$138,LS_current!V$148, FALSE))/2)</f>
        <v>0</v>
      </c>
      <c r="CS53" s="227">
        <f t="array" ref="CS53">IF($BU53=0, INDEX(LS_current!$D$4:$AY$138, MATCH('Staging Table'!$A53, LS_current!$B$4:$B$138, 0), MATCH(CS$4&amp;CS$5, LS_current!$D$2:$AY$2&amp;LS_current!$D$3:$AY$3, 0)),SUM(VLOOKUP($A53, LS_current!$B$4:$AY$138, LS_current!W$148, FALSE), VLOOKUP($A53, LS_current!$B$4:$AY$138,LS_current!W$148, FALSE))/2)</f>
        <v>0</v>
      </c>
      <c r="CT53" s="227">
        <f t="array" ref="CT53">IF($BU53=0, INDEX(LS_current!$D$4:$AY$138, MATCH('Staging Table'!$A53, LS_current!$B$4:$B$138, 0), MATCH(CT$4&amp;CT$5, LS_current!$D$2:$AY$2&amp;LS_current!$D$3:$AY$3, 0)),SUM(VLOOKUP($A53, LS_current!$B$4:$AY$138, LS_current!X$148, FALSE), VLOOKUP($A53, LS_current!$B$4:$AY$138,LS_current!X$148, FALSE))/2)</f>
        <v>0</v>
      </c>
      <c r="CU53" s="227">
        <f t="array" ref="CU53">IF($BU53=0, INDEX(LS_current!$D$4:$AY$138, MATCH('Staging Table'!$A53, LS_current!$B$4:$B$138, 0), MATCH(CU$4&amp;CU$5, LS_current!$D$2:$AY$2&amp;LS_current!$D$3:$AY$3, 0)),SUM(VLOOKUP($A53, LS_current!$B$4:$AY$138, LS_current!Y$148, FALSE), VLOOKUP($A53, LS_current!$B$4:$AY$138,LS_current!Y$148, FALSE))/2)</f>
        <v>0</v>
      </c>
      <c r="CV53" s="227">
        <f t="array" ref="CV53">IF($BU53=0, INDEX(LS_current!$D$4:$AY$138, MATCH('Staging Table'!$A53, LS_current!$B$4:$B$138, 0), MATCH(CV$4&amp;CV$5, LS_current!$D$2:$AY$2&amp;LS_current!$D$3:$AY$3, 0)),SUM(VLOOKUP($A53, LS_current!$B$4:$AY$138, LS_current!Z$148, FALSE), VLOOKUP($A53, LS_current!$B$4:$AY$138,LS_current!Z$148, FALSE))/2)</f>
        <v>0</v>
      </c>
      <c r="CW53" s="227">
        <f t="array" ref="CW53">IF($BU53=0, INDEX(LS_current!$D$4:$AY$138, MATCH('Staging Table'!$A53, LS_current!$B$4:$B$138, 0), MATCH(CW$4&amp;CW$5, LS_current!$D$2:$AY$2&amp;LS_current!$D$3:$AY$3, 0)),SUM(VLOOKUP($A53, LS_current!$B$4:$AY$138, LS_current!AA$148, FALSE), VLOOKUP($A53, LS_current!$B$4:$AY$138,LS_current!AA$148, FALSE))/2)</f>
        <v>0</v>
      </c>
      <c r="CX53" s="229">
        <f t="array" ref="CX53">INDEX(Demand_current!$D$4:$AY$138, MATCH($A53, Demand_current!$B$4:$B$138, 0), MATCH(CX$4&amp;CX$5,Demand_current!$D$2:$AY$2&amp;Demand_current!$D$3:$AY$3, 0))/1000</f>
        <v>0</v>
      </c>
      <c r="CY53" s="229">
        <f t="array" ref="CY53">INDEX(Demand_current!$D$4:$AY$138, MATCH($A53, Demand_current!$B$4:$B$138, 0), MATCH(CY$4&amp;CY$5,Demand_current!$D$2:$AY$2&amp;Demand_current!$D$3:$AY$3, 0))/1000</f>
        <v>0</v>
      </c>
      <c r="CZ53" s="229">
        <f t="array" ref="CZ53">INDEX(Demand_current!$D$4:$AY$138, MATCH($A53, Demand_current!$B$4:$B$138, 0), MATCH(CZ$4&amp;CZ$5,Demand_current!$D$2:$AY$2&amp;Demand_current!$D$3:$AY$3, 0))/1000</f>
        <v>0</v>
      </c>
      <c r="DA53" s="229">
        <f t="array" ref="DA53">INDEX(Demand_current!$D$4:$AY$138, MATCH($A53, Demand_current!$B$4:$B$138, 0), MATCH(DA$4&amp;DA$5,Demand_current!$D$2:$AY$2&amp;Demand_current!$D$3:$AY$3, 0))/1000</f>
        <v>0</v>
      </c>
      <c r="DB53" s="229">
        <f t="array" ref="DB53">INDEX(Demand_current!$D$4:$AY$138, MATCH($A53, Demand_current!$B$4:$B$138, 0), MATCH(DB$4&amp;DB$5,Demand_current!$D$2:$AY$2&amp;Demand_current!$D$3:$AY$3, 0))/1000</f>
        <v>0</v>
      </c>
      <c r="DC53" s="229">
        <f t="array" ref="DC53">INDEX(Demand_current!$D$4:$AY$138, MATCH($A53, Demand_current!$B$4:$B$138, 0), MATCH(DC$4&amp;DC$5,Demand_current!$D$2:$AY$2&amp;Demand_current!$D$3:$AY$3, 0))/1000</f>
        <v>0</v>
      </c>
      <c r="DD53" s="229">
        <f t="array" ref="DD53">INDEX(Demand_current!$D$4:$AY$138, MATCH($A53, Demand_current!$B$4:$B$138, 0), MATCH(DD$4&amp;DD$5,Demand_current!$D$2:$AY$2&amp;Demand_current!$D$3:$AY$3, 0))/1000</f>
        <v>0</v>
      </c>
      <c r="DE53" s="229">
        <f t="array" ref="DE53">INDEX(Demand_current!$D$4:$AY$138, MATCH($A53, Demand_current!$B$4:$B$138, 0), MATCH(DE$4&amp;DE$5,Demand_current!$D$2:$AY$2&amp;Demand_current!$D$3:$AY$3, 0))/1000</f>
        <v>0</v>
      </c>
      <c r="DF53" s="229">
        <f t="array" ref="DF53">INDEX(Demand_current!$D$4:$AY$138, MATCH($A53, Demand_current!$B$4:$B$138, 0), MATCH(DF$4&amp;DF$5,Demand_current!$D$2:$AY$2&amp;Demand_current!$D$3:$AY$3, 0))/1000</f>
        <v>0</v>
      </c>
      <c r="DG53" s="229">
        <f t="array" ref="DG53">INDEX(Demand_current!$D$4:$AY$138, MATCH($A53, Demand_current!$B$4:$B$138, 0), MATCH(DG$4&amp;DG$5,Demand_current!$D$2:$AY$2&amp;Demand_current!$D$3:$AY$3, 0))/1000</f>
        <v>0</v>
      </c>
      <c r="DH53" s="229">
        <f t="array" ref="DH53">INDEX(Demand_current!$D$4:$AY$138, MATCH($A53, Demand_current!$B$4:$B$138, 0), MATCH(DH$4&amp;DH$5,Demand_current!$D$2:$AY$2&amp;Demand_current!$D$3:$AY$3, 0))/1000</f>
        <v>0</v>
      </c>
      <c r="DI53" s="229">
        <f t="array" ref="DI53">INDEX(Demand_current!$D$4:$AY$138, MATCH($A53, Demand_current!$B$4:$B$138, 0), MATCH(DI$4&amp;DI$5,Demand_current!$D$2:$AY$2&amp;Demand_current!$D$3:$AY$3, 0))/1000</f>
        <v>0</v>
      </c>
      <c r="DJ53" s="227">
        <f>$BT53*(VLOOKUP(DJ$4, Rates_current!$G$6:$Q$29, 10, FALSE)+VLOOKUP(DJ$4, Rates_current!$G$6:$Q$29, 11, FALSE))</f>
        <v>25586.863241634001</v>
      </c>
      <c r="DK53" s="227">
        <f>$BT53*(VLOOKUP(DK$4, Rates_current!$G$6:$Q$29, 10, FALSE)+VLOOKUP(DK$4, Rates_current!$G$6:$Q$29, 11, FALSE))</f>
        <v>32503.298293918502</v>
      </c>
      <c r="DL53" s="227">
        <f>$BT53*(VLOOKUP(DL$4, Rates_current!$G$6:$Q$29, 10, FALSE)+VLOOKUP(DL$4, Rates_current!$G$6:$Q$29, 11, FALSE))</f>
        <v>32110.776986134006</v>
      </c>
      <c r="DM53" s="227">
        <f>$BT53*(VLOOKUP(DM$4, Rates_current!$G$6:$Q$29, 10, FALSE)+VLOOKUP(DM$4, Rates_current!$G$6:$Q$29, 11, FALSE))</f>
        <v>26766.288394134004</v>
      </c>
      <c r="DN53" s="227">
        <f>$BT53*(VLOOKUP(DN$4, Rates_current!$G$6:$Q$29, 10, FALSE)+VLOOKUP(DN$4, Rates_current!$G$6:$Q$29, 11, FALSE))</f>
        <v>24247.480497200002</v>
      </c>
      <c r="DO53" s="227">
        <f>$BT53*(VLOOKUP(DO$4, Rates_current!$G$6:$Q$29, 10, FALSE)+VLOOKUP(DO$4, Rates_current!$G$6:$Q$29, 11, FALSE))</f>
        <v>26970.901304885501</v>
      </c>
      <c r="DP53" s="227">
        <f>$BT53*(VLOOKUP(DP$4, Rates_current!$G$6:$Q$29, 10, FALSE)+VLOOKUP(DP$4, Rates_current!$G$6:$Q$29, 11, FALSE))</f>
        <v>21959.736946920002</v>
      </c>
      <c r="DQ53" s="227">
        <f>$BT53*(VLOOKUP(DQ$4, Rates_current!$G$6:$Q$29, 10, FALSE)+VLOOKUP(DQ$4, Rates_current!$G$6:$Q$29, 11, FALSE))</f>
        <v>29615.979832384004</v>
      </c>
      <c r="DR53" s="227">
        <f>$BT53*(VLOOKUP(DR$4, Rates_current!$G$6:$Q$29, 10, FALSE)+VLOOKUP(DR$4, Rates_current!$G$6:$Q$29, 11, FALSE))</f>
        <v>37787.976041170004</v>
      </c>
      <c r="DS53" s="227">
        <f>$BT53*(VLOOKUP(DS$4, Rates_current!$G$6:$Q$29, 10, FALSE)+VLOOKUP(DS$4, Rates_current!$G$6:$Q$29, 11, FALSE))</f>
        <v>29626.971397634006</v>
      </c>
      <c r="DT53" s="227">
        <f>$BT53*(VLOOKUP(DT$4, Rates_current!$G$6:$Q$29, 10, FALSE)+VLOOKUP(DT$4, Rates_current!$G$6:$Q$29, 11, FALSE))</f>
        <v>28850.770721884004</v>
      </c>
      <c r="DU53" s="227">
        <f>$BT53*(VLOOKUP(DU$4, Rates_current!$G$6:$Q$29, 10, FALSE)+VLOOKUP(DU$4, Rates_current!$G$6:$Q$29, 11, FALSE))</f>
        <v>25901.854758420006</v>
      </c>
      <c r="DV53" s="229">
        <f>IF(D53=0,IF(C53=0,MAX(0,DY53 - (VLOOKUP($A53,TOCA_current!$A$2:$AI$137,MATCH("RHWM 2020",TOCA_current!$A$2:$AI$2,0),FALSE)*$BT$2)), 0),0)</f>
        <v>0</v>
      </c>
      <c r="DW53" s="266">
        <f>VLOOKUP($A53,REP_current!$A$1:$D$135,MATCH("FY "&amp;$BT$1&amp; " Total Refund",REP_current!$A$1:$D$1,0),0)</f>
        <v>0</v>
      </c>
      <c r="DX53" s="295">
        <f>MIN(VLOOKUP($A53,TOCA_current!$A$2:$AI$137,MATCH("TRL - NLSL - Existing Resource "&amp;$BT$1,TOCA_current!$A$2:$AI$2,0),FALSE)*$BT$2, VLOOKUP($A53,TOCA_current!$A$2:$AI$137,MATCH("RHWM 2020",TOCA_current!$A$2:$AI$2,0),FALSE)*$BT$2)</f>
        <v>341925.984</v>
      </c>
      <c r="DY53" s="240">
        <f>SUM(BZ53:CW53)+(BT53*RT1SC!$C$4*$BT$2)</f>
        <v>341928.91125043196</v>
      </c>
      <c r="DZ53" s="271">
        <f>VLOOKUP($A53,TOCA_current!$A$2:$AI$137,MATCH("Above RHWM Not Served with LS "&amp;$BT$1,TOCA_current!$A$2:$AI$2,0),FALSE)*$BT$2</f>
        <v>0</v>
      </c>
      <c r="EA53" s="244">
        <f t="shared" si="13"/>
        <v>2.9272504319669679</v>
      </c>
      <c r="EB53" s="295">
        <f>(VLOOKUP($A53,TOCA_current!$A$2:$AI$137,MATCH("RHWM 2020",TOCA_current!$A$2:$AI$2,0),FALSE)*$BT$2) - $DX53</f>
        <v>15222.67200000002</v>
      </c>
      <c r="EC53" s="240">
        <f t="shared" si="14"/>
        <v>-2.9272504319669679</v>
      </c>
      <c r="ED53" s="240">
        <f t="shared" si="15"/>
        <v>0</v>
      </c>
      <c r="EE53" s="240">
        <f t="shared" si="16"/>
        <v>0</v>
      </c>
      <c r="EF53" s="240">
        <f t="shared" si="17"/>
        <v>-2.9272504319669679</v>
      </c>
    </row>
    <row r="54" spans="1:136">
      <c r="A54" s="166">
        <v>10123</v>
      </c>
      <c r="B54" s="167" t="s">
        <v>55</v>
      </c>
      <c r="C54" s="240">
        <v>0</v>
      </c>
      <c r="D54" s="240">
        <v>1</v>
      </c>
      <c r="E54" s="150">
        <f>VLOOKUP($A54,TOCA_previous!$A$2:$AI$137,MATCH(E$4,TOCA_previous!$A$2:$AI$2,0),FALSE)</f>
        <v>6.0430900000000003E-2</v>
      </c>
      <c r="F54" s="151">
        <f>VLOOKUP($A54,TOCA_previous!$A$2:$AI$137,MATCH(F$4,TOCA_previous!$A$2:$AI$2,0),FALSE)</f>
        <v>2.0525600000000001E-2</v>
      </c>
      <c r="G54" s="151">
        <f t="shared" si="2"/>
        <v>3.9905300000000005E-2</v>
      </c>
      <c r="H54" s="151">
        <f>VLOOKUP($A54,TOCA_previous!$A$2:$AI$137,MATCH(H$4,TOCA_previous!$A$2:$AI$2,0),FALSE)</f>
        <v>0</v>
      </c>
      <c r="I54" s="151">
        <f t="shared" si="3"/>
        <v>0</v>
      </c>
      <c r="J54" s="151">
        <f t="shared" si="4"/>
        <v>0</v>
      </c>
      <c r="K54" s="226">
        <f>VLOOKUP(A54, IRD!$A$5:$C$139, 3, FALSE)</f>
        <v>0</v>
      </c>
      <c r="L54" s="227">
        <f t="array" ref="L54">IF($G54=0, INDEX(LS_previous!$D$4:$AY$138, MATCH('Staging Table'!$A54, LS_previous!$B$4:$B$138, 0), MATCH(L$4&amp;L$5, LS_previous!$D$2:$AY$2&amp;LS_previous!$D$3:$AY$3, 0)),SUM(VLOOKUP($A54, LS_previous!$B$4:$AY$138, LS_previous!D$149, FALSE), VLOOKUP('Staging Table'!$A54, LS_previous!$B$4:$AY$138,LS_previous!AB$149, FALSE))/2)</f>
        <v>-3679</v>
      </c>
      <c r="M54" s="227">
        <f t="array" ref="M54">IF($G54=0, INDEX(LS_previous!$D$4:$AY$138, MATCH('Staging Table'!$A54, LS_previous!$B$4:$B$138, 0), MATCH(M$4&amp;M$5, LS_previous!$D$2:$AY$2&amp;LS_previous!$D$3:$AY$3, 0)),SUM(VLOOKUP($A54, LS_previous!$B$4:$AY$138, LS_previous!E$149, FALSE), VLOOKUP('Staging Table'!$A54, LS_previous!$B$4:$AY$138,LS_previous!AC$149, FALSE))/2)</f>
        <v>11467</v>
      </c>
      <c r="N54" s="227">
        <f t="array" ref="N54">IF($G54=0, INDEX(LS_previous!$D$4:$AY$138, MATCH('Staging Table'!$A54, LS_previous!$B$4:$B$138, 0), MATCH(N$4&amp;N$5, LS_previous!$D$2:$AY$2&amp;LS_previous!$D$3:$AY$3, 0)),SUM(VLOOKUP($A54, LS_previous!$B$4:$AY$138, LS_previous!F$149, FALSE), VLOOKUP('Staging Table'!$A54, LS_previous!$B$4:$AY$138,LS_previous!AD$149, FALSE))/2)</f>
        <v>-16197</v>
      </c>
      <c r="O54" s="227">
        <f t="array" ref="O54">IF($G54=0, INDEX(LS_previous!$D$4:$AY$138, MATCH('Staging Table'!$A54, LS_previous!$B$4:$B$138, 0), MATCH(O$4&amp;O$5, LS_previous!$D$2:$AY$2&amp;LS_previous!$D$3:$AY$3, 0)),SUM(VLOOKUP($A54, LS_previous!$B$4:$AY$138, LS_previous!G$149, FALSE), VLOOKUP('Staging Table'!$A54, LS_previous!$B$4:$AY$138,LS_previous!AE$149, FALSE))/2)</f>
        <v>4110.5</v>
      </c>
      <c r="P54" s="227">
        <f t="array" ref="P54">IF($G54=0, INDEX(LS_previous!$D$4:$AY$138, MATCH('Staging Table'!$A54, LS_previous!$B$4:$B$138, 0), MATCH(P$4&amp;P$5, LS_previous!$D$2:$AY$2&amp;LS_previous!$D$3:$AY$3, 0)),SUM(VLOOKUP($A54, LS_previous!$B$4:$AY$138, LS_previous!H$149, FALSE), VLOOKUP('Staging Table'!$A54, LS_previous!$B$4:$AY$138,LS_previous!AF$149, FALSE))/2)</f>
        <v>-12151.5</v>
      </c>
      <c r="Q54" s="227">
        <f t="array" ref="Q54">IF($G54=0, INDEX(LS_previous!$D$4:$AY$138, MATCH('Staging Table'!$A54, LS_previous!$B$4:$B$138, 0), MATCH(Q$4&amp;Q$5, LS_previous!$D$2:$AY$2&amp;LS_previous!$D$3:$AY$3, 0)),SUM(VLOOKUP($A54, LS_previous!$B$4:$AY$138, LS_previous!I$149, FALSE), VLOOKUP('Staging Table'!$A54, LS_previous!$B$4:$AY$138,LS_previous!AG$149, FALSE))/2)</f>
        <v>9305</v>
      </c>
      <c r="R54" s="227">
        <f t="array" ref="R54">IF($G54=0, INDEX(LS_previous!$D$4:$AY$138, MATCH('Staging Table'!$A54, LS_previous!$B$4:$B$138, 0), MATCH(R$4&amp;R$5, LS_previous!$D$2:$AY$2&amp;LS_previous!$D$3:$AY$3, 0)),SUM(VLOOKUP($A54, LS_previous!$B$4:$AY$138, LS_previous!J$149, FALSE), VLOOKUP('Staging Table'!$A54, LS_previous!$B$4:$AY$138,LS_previous!AH$149, FALSE))/2)</f>
        <v>1469.5</v>
      </c>
      <c r="S54" s="227">
        <f t="array" ref="S54">IF($G54=0, INDEX(LS_previous!$D$4:$AY$138, MATCH('Staging Table'!$A54, LS_previous!$B$4:$B$138, 0), MATCH(S$4&amp;S$5, LS_previous!$D$2:$AY$2&amp;LS_previous!$D$3:$AY$3, 0)),SUM(VLOOKUP($A54, LS_previous!$B$4:$AY$138, LS_previous!K$149, FALSE), VLOOKUP('Staging Table'!$A54, LS_previous!$B$4:$AY$138,LS_previous!AI$149, FALSE))/2)</f>
        <v>12321</v>
      </c>
      <c r="T54" s="227">
        <f t="array" ref="T54">IF($G54=0, INDEX(LS_previous!$D$4:$AY$138, MATCH('Staging Table'!$A54, LS_previous!$B$4:$B$138, 0), MATCH(T$4&amp;T$5, LS_previous!$D$2:$AY$2&amp;LS_previous!$D$3:$AY$3, 0)),SUM(VLOOKUP($A54, LS_previous!$B$4:$AY$138, LS_previous!L$149, FALSE), VLOOKUP('Staging Table'!$A54, LS_previous!$B$4:$AY$138,LS_previous!AJ$149, FALSE))/2)</f>
        <v>4630</v>
      </c>
      <c r="U54" s="227">
        <f t="array" ref="U54">IF($G54=0, INDEX(LS_previous!$D$4:$AY$138, MATCH('Staging Table'!$A54, LS_previous!$B$4:$B$138, 0), MATCH(U$4&amp;U$5, LS_previous!$D$2:$AY$2&amp;LS_previous!$D$3:$AY$3, 0)),SUM(VLOOKUP($A54, LS_previous!$B$4:$AY$138, LS_previous!M$149, FALSE), VLOOKUP('Staging Table'!$A54, LS_previous!$B$4:$AY$138,LS_previous!AK$149, FALSE))/2)</f>
        <v>12667</v>
      </c>
      <c r="V54" s="227">
        <f t="array" ref="V54">IF($G54=0, INDEX(LS_previous!$D$4:$AY$138, MATCH('Staging Table'!$A54, LS_previous!$B$4:$B$138, 0), MATCH(V$4&amp;V$5, LS_previous!$D$2:$AY$2&amp;LS_previous!$D$3:$AY$3, 0)),SUM(VLOOKUP($A54, LS_previous!$B$4:$AY$138, LS_previous!N$149, FALSE), VLOOKUP('Staging Table'!$A54, LS_previous!$B$4:$AY$138,LS_previous!AL$149, FALSE))/2)</f>
        <v>-1990.5</v>
      </c>
      <c r="W54" s="227">
        <f t="array" ref="W54">IF($G54=0, INDEX(LS_previous!$D$4:$AY$138, MATCH('Staging Table'!$A54, LS_previous!$B$4:$B$138, 0), MATCH(W$4&amp;W$5, LS_previous!$D$2:$AY$2&amp;LS_previous!$D$3:$AY$3, 0)),SUM(VLOOKUP($A54, LS_previous!$B$4:$AY$138, LS_previous!O$149, FALSE), VLOOKUP('Staging Table'!$A54, LS_previous!$B$4:$AY$138,LS_previous!AM$149, FALSE))/2)</f>
        <v>9828</v>
      </c>
      <c r="X54" s="227">
        <f t="array" ref="X54">IF($G54=0, INDEX(LS_previous!$D$4:$AY$138, MATCH('Staging Table'!$A54, LS_previous!$B$4:$B$138, 0), MATCH(X$4&amp;X$5, LS_previous!$D$2:$AY$2&amp;LS_previous!$D$3:$AY$3, 0)),SUM(VLOOKUP($A54, LS_previous!$B$4:$AY$138, LS_previous!P$149, FALSE), VLOOKUP('Staging Table'!$A54, LS_previous!$B$4:$AY$138,LS_previous!AN$149, FALSE))/2)</f>
        <v>-2319</v>
      </c>
      <c r="Y54" s="227">
        <f t="array" ref="Y54">IF($G54=0, INDEX(LS_previous!$D$4:$AY$138, MATCH('Staging Table'!$A54, LS_previous!$B$4:$B$138, 0), MATCH(Y$4&amp;Y$5, LS_previous!$D$2:$AY$2&amp;LS_previous!$D$3:$AY$3, 0)),SUM(VLOOKUP($A54, LS_previous!$B$4:$AY$138, LS_previous!Q$149, FALSE), VLOOKUP('Staging Table'!$A54, LS_previous!$B$4:$AY$138,LS_previous!AO$149, FALSE))/2)</f>
        <v>11449.5</v>
      </c>
      <c r="Z54" s="227">
        <f t="array" ref="Z54">IF($G54=0, INDEX(LS_previous!$D$4:$AY$138, MATCH('Staging Table'!$A54, LS_previous!$B$4:$B$138, 0), MATCH(Z$4&amp;Z$5, LS_previous!$D$2:$AY$2&amp;LS_previous!$D$3:$AY$3, 0)),SUM(VLOOKUP($A54, LS_previous!$B$4:$AY$138, LS_previous!R$149, FALSE), VLOOKUP('Staging Table'!$A54, LS_previous!$B$4:$AY$138,LS_previous!AP$149, FALSE))/2)</f>
        <v>-32902.5</v>
      </c>
      <c r="AA54" s="227">
        <f t="array" ref="AA54">IF($G54=0, INDEX(LS_previous!$D$4:$AY$138, MATCH('Staging Table'!$A54, LS_previous!$B$4:$B$138, 0), MATCH(AA$4&amp;AA$5, LS_previous!$D$2:$AY$2&amp;LS_previous!$D$3:$AY$3, 0)),SUM(VLOOKUP($A54, LS_previous!$B$4:$AY$138, LS_previous!S$149, FALSE), VLOOKUP('Staging Table'!$A54, LS_previous!$B$4:$AY$138,LS_previous!AQ$149, FALSE))/2)</f>
        <v>-5573.5</v>
      </c>
      <c r="AB54" s="227">
        <f t="array" ref="AB54">IF($G54=0, INDEX(LS_previous!$D$4:$AY$138, MATCH('Staging Table'!$A54, LS_previous!$B$4:$B$138, 0), MATCH(AB$4&amp;AB$5, LS_previous!$D$2:$AY$2&amp;LS_previous!$D$3:$AY$3, 0)),SUM(VLOOKUP($A54, LS_previous!$B$4:$AY$138, LS_previous!T$149, FALSE), VLOOKUP('Staging Table'!$A54, LS_previous!$B$4:$AY$138,LS_previous!AR$149, FALSE))/2)</f>
        <v>-16900.5</v>
      </c>
      <c r="AC54" s="227">
        <f t="array" ref="AC54">IF($G54=0, INDEX(LS_previous!$D$4:$AY$138, MATCH('Staging Table'!$A54, LS_previous!$B$4:$B$138, 0), MATCH(AC$4&amp;AC$5, LS_previous!$D$2:$AY$2&amp;LS_previous!$D$3:$AY$3, 0)),SUM(VLOOKUP($A54, LS_previous!$B$4:$AY$138, LS_previous!U$149, FALSE), VLOOKUP('Staging Table'!$A54, LS_previous!$B$4:$AY$138,LS_previous!AS$149, FALSE))/2)</f>
        <v>4976</v>
      </c>
      <c r="AD54" s="227">
        <f t="array" ref="AD54">IF($G54=0, INDEX(LS_previous!$D$4:$AY$138, MATCH('Staging Table'!$A54, LS_previous!$B$4:$B$138, 0), MATCH(AD$4&amp;AD$5, LS_previous!$D$2:$AY$2&amp;LS_previous!$D$3:$AY$3, 0)),SUM(VLOOKUP($A54, LS_previous!$B$4:$AY$138, LS_previous!V$149, FALSE), VLOOKUP('Staging Table'!$A54, LS_previous!$B$4:$AY$138,LS_previous!AT$149, FALSE))/2)</f>
        <v>-6296</v>
      </c>
      <c r="AE54" s="227">
        <f t="array" ref="AE54">IF($G54=0, INDEX(LS_previous!$D$4:$AY$138, MATCH('Staging Table'!$A54, LS_previous!$B$4:$B$138, 0), MATCH(AE$4&amp;AE$5, LS_previous!$D$2:$AY$2&amp;LS_previous!$D$3:$AY$3, 0)),SUM(VLOOKUP($A54, LS_previous!$B$4:$AY$138, LS_previous!W$149, FALSE), VLOOKUP('Staging Table'!$A54, LS_previous!$B$4:$AY$138,LS_previous!AU$149, FALSE))/2)</f>
        <v>14042</v>
      </c>
      <c r="AF54" s="227">
        <f t="array" ref="AF54">IF($G54=0, INDEX(LS_previous!$D$4:$AY$138, MATCH('Staging Table'!$A54, LS_previous!$B$4:$B$138, 0), MATCH(AF$4&amp;AF$5, LS_previous!$D$2:$AY$2&amp;LS_previous!$D$3:$AY$3, 0)),SUM(VLOOKUP($A54, LS_previous!$B$4:$AY$138, LS_previous!X$149, FALSE), VLOOKUP('Staging Table'!$A54, LS_previous!$B$4:$AY$138,LS_previous!AV$149, FALSE))/2)</f>
        <v>-11673.5</v>
      </c>
      <c r="AG54" s="227">
        <f t="array" ref="AG54">IF($G54=0, INDEX(LS_previous!$D$4:$AY$138, MATCH('Staging Table'!$A54, LS_previous!$B$4:$B$138, 0), MATCH(AG$4&amp;AG$5, LS_previous!$D$2:$AY$2&amp;LS_previous!$D$3:$AY$3, 0)),SUM(VLOOKUP($A54, LS_previous!$B$4:$AY$138, LS_previous!Y$149, FALSE), VLOOKUP('Staging Table'!$A54, LS_previous!$B$4:$AY$138,LS_previous!AW$149, FALSE))/2)</f>
        <v>8571.5</v>
      </c>
      <c r="AH54" s="227">
        <f t="array" ref="AH54">IF($G54=0, INDEX(LS_previous!$D$4:$AY$138, MATCH('Staging Table'!$A54, LS_previous!$B$4:$B$138, 0), MATCH(AH$4&amp;AH$5, LS_previous!$D$2:$AY$2&amp;LS_previous!$D$3:$AY$3, 0)),SUM(VLOOKUP($A54, LS_previous!$B$4:$AY$138, LS_previous!Z$149, FALSE), VLOOKUP('Staging Table'!$A54, LS_previous!$B$4:$AY$138,LS_previous!AX$149, FALSE))/2)</f>
        <v>-8255.5</v>
      </c>
      <c r="AI54" s="227">
        <f t="array" ref="AI54">IF($G54=0, INDEX(LS_previous!$D$4:$AY$138, MATCH('Staging Table'!$A54, LS_previous!$B$4:$B$138, 0), MATCH(AI$4&amp;AI$5, LS_previous!$D$2:$AY$2&amp;LS_previous!$D$3:$AY$3, 0)),SUM(VLOOKUP($A54, LS_previous!$B$4:$AY$138, LS_previous!AA$149, FALSE), VLOOKUP('Staging Table'!$A54, LS_previous!$B$4:$AY$138,LS_previous!AY$149, FALSE))/2)</f>
        <v>12876</v>
      </c>
      <c r="AJ54" s="424">
        <f t="array" ref="AJ54">INDEX(Demand_previous!$D$4:$AY$138, MATCH('Staging Table'!$A54, Demand_previous!$B$4:$B$138, 0), MATCH(AJ$4&amp;AJ$5,Demand_previous!$D$2:$AY$2&amp;Demand_previous!$D$3:$AY$3, 0))/1000</f>
        <v>0</v>
      </c>
      <c r="AK54" s="424">
        <f t="array" ref="AK54">INDEX(Demand_previous!$D$4:$AY$138, MATCH('Staging Table'!$A54, Demand_previous!$B$4:$B$138, 0), MATCH(AK$4&amp;AK$5,Demand_previous!$D$2:$AY$2&amp;Demand_previous!$D$3:$AY$3, 0))/1000</f>
        <v>0</v>
      </c>
      <c r="AL54" s="424">
        <f t="array" ref="AL54">INDEX(Demand_previous!$D$4:$AY$138, MATCH('Staging Table'!$A54, Demand_previous!$B$4:$B$138, 0), MATCH(AL$4&amp;AL$5,Demand_previous!$D$2:$AY$2&amp;Demand_previous!$D$3:$AY$3, 0))/1000</f>
        <v>0</v>
      </c>
      <c r="AM54" s="424">
        <f t="array" ref="AM54">INDEX(Demand_previous!$D$4:$AY$138, MATCH('Staging Table'!$A54, Demand_previous!$B$4:$B$138, 0), MATCH(AM$4&amp;AM$5,Demand_previous!$D$2:$AY$2&amp;Demand_previous!$D$3:$AY$3, 0))/1000</f>
        <v>0</v>
      </c>
      <c r="AN54" s="424">
        <f t="array" ref="AN54">INDEX(Demand_previous!$D$4:$AY$138, MATCH('Staging Table'!$A54, Demand_previous!$B$4:$B$138, 0), MATCH(AN$4&amp;AN$5,Demand_previous!$D$2:$AY$2&amp;Demand_previous!$D$3:$AY$3, 0))/1000</f>
        <v>0</v>
      </c>
      <c r="AO54" s="424">
        <f t="array" ref="AO54">INDEX(Demand_previous!$D$4:$AY$138, MATCH('Staging Table'!$A54, Demand_previous!$B$4:$B$138, 0), MATCH(AO$4&amp;AO$5,Demand_previous!$D$2:$AY$2&amp;Demand_previous!$D$3:$AY$3, 0))/1000</f>
        <v>0</v>
      </c>
      <c r="AP54" s="424">
        <f t="array" ref="AP54">INDEX(Demand_previous!$D$4:$AY$138, MATCH('Staging Table'!$A54, Demand_previous!$B$4:$B$138, 0), MATCH(AP$4&amp;AP$5,Demand_previous!$D$2:$AY$2&amp;Demand_previous!$D$3:$AY$3, 0))/1000</f>
        <v>0</v>
      </c>
      <c r="AQ54" s="424">
        <f t="array" ref="AQ54">INDEX(Demand_previous!$D$4:$AY$138, MATCH('Staging Table'!$A54, Demand_previous!$B$4:$B$138, 0), MATCH(AQ$4&amp;AQ$5,Demand_previous!$D$2:$AY$2&amp;Demand_previous!$D$3:$AY$3, 0))/1000</f>
        <v>0</v>
      </c>
      <c r="AR54" s="424">
        <f t="array" ref="AR54">INDEX(Demand_previous!$D$4:$AY$138, MATCH('Staging Table'!$A54, Demand_previous!$B$4:$B$138, 0), MATCH(AR$4&amp;AR$5,Demand_previous!$D$2:$AY$2&amp;Demand_previous!$D$3:$AY$3, 0))/1000</f>
        <v>0</v>
      </c>
      <c r="AS54" s="424">
        <f t="array" ref="AS54">INDEX(Demand_previous!$D$4:$AY$138, MATCH('Staging Table'!$A54, Demand_previous!$B$4:$B$138, 0), MATCH(AS$4&amp;AS$5,Demand_previous!$D$2:$AY$2&amp;Demand_previous!$D$3:$AY$3, 0))/1000</f>
        <v>0</v>
      </c>
      <c r="AT54" s="424">
        <f t="array" ref="AT54">INDEX(Demand_previous!$D$4:$AY$138, MATCH('Staging Table'!$A54, Demand_previous!$B$4:$B$138, 0), MATCH(AT$4&amp;AT$5,Demand_previous!$D$2:$AY$2&amp;Demand_previous!$D$3:$AY$3, 0))/1000</f>
        <v>0</v>
      </c>
      <c r="AU54" s="424">
        <f t="array" ref="AU54">INDEX(Demand_previous!$D$4:$AY$138, MATCH('Staging Table'!$A54, Demand_previous!$B$4:$B$138, 0), MATCH(AU$4&amp;AU$5,Demand_previous!$D$2:$AY$2&amp;Demand_previous!$D$3:$AY$3, 0))/1000</f>
        <v>0</v>
      </c>
      <c r="AV54" s="227">
        <f>$F54*(VLOOKUP(AV$4, Rates_previous!$G$6:$Q$29, 10, FALSE)+VLOOKUP(AV$4, Rates_previous!$G$6:$Q$29, 11, FALSE))</f>
        <v>96241.208375701928</v>
      </c>
      <c r="AW54" s="227">
        <f>$F54*(VLOOKUP(AW$4, Rates_previous!$G$6:$Q$29, 10, FALSE)+VLOOKUP(AW$4, Rates_previous!$G$6:$Q$29, 11, FALSE))</f>
        <v>118946.81883288492</v>
      </c>
      <c r="AX54" s="227">
        <f>$F54*(VLOOKUP(AX$4, Rates_previous!$G$6:$Q$29, 10, FALSE)+VLOOKUP(AX$4, Rates_previous!$G$6:$Q$29, 11, FALSE))</f>
        <v>117518.40980596912</v>
      </c>
      <c r="AY54" s="227">
        <f>$F54*(VLOOKUP(AY$4, Rates_previous!$G$6:$Q$29, 10, FALSE)+VLOOKUP(AY$4, Rates_previous!$G$6:$Q$29, 11, FALSE))</f>
        <v>100408.27982476811</v>
      </c>
      <c r="AZ54" s="227">
        <f>$F54*(VLOOKUP(AZ$4, Rates_previous!$G$6:$Q$29, 10, FALSE)+VLOOKUP(AZ$4, Rates_previous!$G$6:$Q$29, 11, FALSE))</f>
        <v>82315.31314701197</v>
      </c>
      <c r="BA54" s="227">
        <f>$F54*(VLOOKUP(BA$4, Rates_previous!$G$6:$Q$29, 10, FALSE)+VLOOKUP(BA$4, Rates_previous!$G$6:$Q$29, 11, FALSE))</f>
        <v>97458.340796402583</v>
      </c>
      <c r="BB54" s="227">
        <f>$F54*(VLOOKUP(BB$4, Rates_previous!$G$6:$Q$29, 10, FALSE)+VLOOKUP(BB$4, Rates_previous!$G$6:$Q$29, 11, FALSE))</f>
        <v>93671.641685884781</v>
      </c>
      <c r="BC54" s="227">
        <f>$F54*(VLOOKUP(BC$4, Rates_previous!$G$6:$Q$29, 10, FALSE)+VLOOKUP(BC$4, Rates_previous!$G$6:$Q$29, 11, FALSE))</f>
        <v>137456.50571130612</v>
      </c>
      <c r="BD54" s="227">
        <f>$F54*(VLOOKUP(BD$4, Rates_previous!$G$6:$Q$29, 10, FALSE)+VLOOKUP(BD$4, Rates_previous!$G$6:$Q$29, 11, FALSE))</f>
        <v>108449.54998648986</v>
      </c>
      <c r="BE54" s="227">
        <f>$F54*(VLOOKUP(BE$4, Rates_previous!$G$6:$Q$29, 10, FALSE)+VLOOKUP(BE$4, Rates_previous!$G$6:$Q$29, 11, FALSE))</f>
        <v>95227.807658622565</v>
      </c>
      <c r="BF54" s="227">
        <f>$F54*(VLOOKUP(BF$4, Rates_previous!$G$6:$Q$29, 10, FALSE)+VLOOKUP(BF$4, Rates_previous!$G$6:$Q$29, 11, FALSE))</f>
        <v>105468.60873326106</v>
      </c>
      <c r="BG54" s="227">
        <f>$F54*(VLOOKUP(BG$4, Rates_previous!$G$6:$Q$29, 10, FALSE)+VLOOKUP(BG$4, Rates_previous!$G$6:$Q$29, 11, FALSE))</f>
        <v>95550.365288633096</v>
      </c>
      <c r="BH54" s="229">
        <f>IF($D54=0,IF(C54=0, MAX(BK54 - (VLOOKUP($A54,TOCA_previous!$A$2:$AI$137,MATCH("RHWM 2018",TOCA_previous!$A$2:$AI$2,0),FALSE)*$F$2*TOCA_previous!C51),0),0), 0)</f>
        <v>0</v>
      </c>
      <c r="BI54" s="266">
        <f>VLOOKUP($A54,REP_previous!$A$1:$D$135,MATCH("FY "&amp;$F$1&amp; " Total Refund",REP_previous!$A$1:$D$1,0),0)</f>
        <v>6533371.8532547178</v>
      </c>
      <c r="BJ54" s="241">
        <f>MIN(VLOOKUP($A54,TOCA_previous!$A$2:$AI$137,MATCH("TRL - NLSL - Existing Resource "&amp;$F$1,TOCA_previous!$A$2:$AI$2,0),FALSE)*$F$2,(VLOOKUP($A54,TOCA_previous!$A$2:$AI$137,MATCH("RHWM 2018",TOCA_previous!$A$2:$AI$2,0),FALSE)*$F$2))</f>
        <v>3676423.08</v>
      </c>
      <c r="BK54" s="229">
        <f>SUM(L54:AI54)+(F54*RT1SC!$C$3*$F$2)</f>
        <v>1248487.3680645761</v>
      </c>
      <c r="BL54" s="241">
        <f>VLOOKUP($A54,TOCA_previous!$A$2:$AI$137,MATCH("Above RHWM Not Served with LS "&amp;$F$1,TOCA_previous!$A$2:$AI$2,0),FALSE)*$F$2</f>
        <v>379579.56000000006</v>
      </c>
      <c r="BM54" s="151">
        <f t="shared" si="5"/>
        <v>-2427935.7119354242</v>
      </c>
      <c r="BN54" s="242">
        <f>(VLOOKUP($A54,TOCA_previous!$A$2:$AI$137,MATCH("RHWM 2018",TOCA_previous!$A$2:$AI$2,0),FALSE)*$F$2) - $BJ54</f>
        <v>1057349.5199999996</v>
      </c>
      <c r="BO54" s="151">
        <f t="shared" si="6"/>
        <v>0</v>
      </c>
      <c r="BP54" s="243">
        <f t="shared" si="7"/>
        <v>2048356.1519354242</v>
      </c>
      <c r="BQ54" s="237">
        <f t="shared" si="8"/>
        <v>0</v>
      </c>
      <c r="BR54" s="242">
        <f t="shared" si="9"/>
        <v>0</v>
      </c>
      <c r="BS54" s="151">
        <f>VLOOKUP($A54,TOCA_current!$A$2:$AI$137,MATCH(BS$4,TOCA_current!$A$2:$AI$2,0),FALSE)</f>
        <v>5.9582200000000002E-2</v>
      </c>
      <c r="BT54" s="151">
        <f>VLOOKUP($A54,TOCA_current!$A$2:$AI$137,MATCH(BT$4,TOCA_current!$A$2:$AI$2,0),FALSE)</f>
        <v>1.9698199999999999E-2</v>
      </c>
      <c r="BU54" s="236">
        <f t="shared" si="10"/>
        <v>3.9884000000000003E-2</v>
      </c>
      <c r="BV54" s="151">
        <f>VLOOKUP($A54,TOCA_current!A50:BG185,MATCH(BV$4,TOCA_current!$A$2:$BG$2,0),FALSE)</f>
        <v>0</v>
      </c>
      <c r="BW54" s="151">
        <f t="shared" si="11"/>
        <v>0</v>
      </c>
      <c r="BX54" s="151">
        <f t="shared" si="12"/>
        <v>0</v>
      </c>
      <c r="BY54" s="226">
        <f>VLOOKUP($A54,IRD!$A$4:$G$139, 7, FALSE)</f>
        <v>0</v>
      </c>
      <c r="BZ54" s="227">
        <f t="array" ref="BZ54">IF($BU54=0, INDEX(LS_current!$D$4:$AY$138, MATCH('Staging Table'!$A54, LS_current!$B$4:$B$138, 0), MATCH(BZ$4&amp;BZ$5, LS_current!$D$2:$AY$2&amp;LS_current!$D$3:$AY$3, 0)),SUM(VLOOKUP($A54, LS_current!$B$4:$AY$138, LS_current!D$148, FALSE), VLOOKUP($A54, LS_current!$B$4:$AY$138,LS_current!D$148, FALSE))/2)</f>
        <v>-1196</v>
      </c>
      <c r="CA54" s="227">
        <f t="array" ref="CA54">IF($BU54=0, INDEX(LS_current!$D$4:$AY$138, MATCH('Staging Table'!$A54, LS_current!$B$4:$B$138, 0), MATCH(CA$4&amp;CA$5, LS_current!$D$2:$AY$2&amp;LS_current!$D$3:$AY$3, 0)),SUM(VLOOKUP($A54, LS_current!$B$4:$AY$138, LS_current!E$148, FALSE), VLOOKUP($A54, LS_current!$B$4:$AY$138,LS_current!E$148, FALSE))/2)</f>
        <v>10265</v>
      </c>
      <c r="CB54" s="227">
        <f t="array" ref="CB54">IF($BU54=0, INDEX(LS_current!$D$4:$AY$138, MATCH('Staging Table'!$A54, LS_current!$B$4:$B$138, 0), MATCH(CB$4&amp;CB$5, LS_current!$D$2:$AY$2&amp;LS_current!$D$3:$AY$3, 0)),SUM(VLOOKUP($A54, LS_current!$B$4:$AY$138, LS_current!F$148, FALSE), VLOOKUP($A54, LS_current!$B$4:$AY$138,LS_current!F$148, FALSE))/2)</f>
        <v>-14941</v>
      </c>
      <c r="CC54" s="227">
        <f t="array" ref="CC54">IF($BU54=0, INDEX(LS_current!$D$4:$AY$138, MATCH('Staging Table'!$A54, LS_current!$B$4:$B$138, 0), MATCH(CC$4&amp;CC$5, LS_current!$D$2:$AY$2&amp;LS_current!$D$3:$AY$3, 0)),SUM(VLOOKUP($A54, LS_current!$B$4:$AY$138, LS_current!G$148, FALSE), VLOOKUP($A54, LS_current!$B$4:$AY$138,LS_current!G$148, FALSE))/2)</f>
        <v>3040</v>
      </c>
      <c r="CD54" s="227">
        <f t="array" ref="CD54">IF($BU54=0, INDEX(LS_current!$D$4:$AY$138, MATCH('Staging Table'!$A54, LS_current!$B$4:$B$138, 0), MATCH(CD$4&amp;CD$5, LS_current!$D$2:$AY$2&amp;LS_current!$D$3:$AY$3, 0)),SUM(VLOOKUP($A54, LS_current!$B$4:$AY$138, LS_current!H$148, FALSE), VLOOKUP($A54, LS_current!$B$4:$AY$138,LS_current!H$148, FALSE))/2)</f>
        <v>-11277</v>
      </c>
      <c r="CE54" s="227">
        <f t="array" ref="CE54">IF($BU54=0, INDEX(LS_current!$D$4:$AY$138, MATCH('Staging Table'!$A54, LS_current!$B$4:$B$138, 0), MATCH(CE$4&amp;CE$5, LS_current!$D$2:$AY$2&amp;LS_current!$D$3:$AY$3, 0)),SUM(VLOOKUP($A54, LS_current!$B$4:$AY$138, LS_current!I$148, FALSE), VLOOKUP($A54, LS_current!$B$4:$AY$138,LS_current!I$148, FALSE))/2)</f>
        <v>8002</v>
      </c>
      <c r="CF54" s="227">
        <f t="array" ref="CF54">IF($BU54=0, INDEX(LS_current!$D$4:$AY$138, MATCH('Staging Table'!$A54, LS_current!$B$4:$B$138, 0), MATCH(CF$4&amp;CF$5, LS_current!$D$2:$AY$2&amp;LS_current!$D$3:$AY$3, 0)),SUM(VLOOKUP($A54, LS_current!$B$4:$AY$138, LS_current!J$148, FALSE), VLOOKUP($A54, LS_current!$B$4:$AY$138,LS_current!J$148, FALSE))/2)</f>
        <v>1522</v>
      </c>
      <c r="CG54" s="227">
        <f t="array" ref="CG54">IF($BU54=0, INDEX(LS_current!$D$4:$AY$138, MATCH('Staging Table'!$A54, LS_current!$B$4:$B$138, 0), MATCH(CG$4&amp;CG$5, LS_current!$D$2:$AY$2&amp;LS_current!$D$3:$AY$3, 0)),SUM(VLOOKUP($A54, LS_current!$B$4:$AY$138, LS_current!K$148, FALSE), VLOOKUP($A54, LS_current!$B$4:$AY$138,LS_current!K$148, FALSE))/2)</f>
        <v>12996</v>
      </c>
      <c r="CH54" s="227">
        <f t="array" ref="CH54">IF($BU54=0, INDEX(LS_current!$D$4:$AY$138, MATCH('Staging Table'!$A54, LS_current!$B$4:$B$138, 0), MATCH(CH$4&amp;CH$5, LS_current!$D$2:$AY$2&amp;LS_current!$D$3:$AY$3, 0)),SUM(VLOOKUP($A54, LS_current!$B$4:$AY$138, LS_current!L$148, FALSE), VLOOKUP($A54, LS_current!$B$4:$AY$138,LS_current!L$148, FALSE))/2)</f>
        <v>335</v>
      </c>
      <c r="CI54" s="227">
        <f t="array" ref="CI54">IF($BU54=0, INDEX(LS_current!$D$4:$AY$138, MATCH('Staging Table'!$A54, LS_current!$B$4:$B$138, 0), MATCH(CI$4&amp;CI$5, LS_current!$D$2:$AY$2&amp;LS_current!$D$3:$AY$3, 0)),SUM(VLOOKUP($A54, LS_current!$B$4:$AY$138, LS_current!M$148, FALSE), VLOOKUP($A54, LS_current!$B$4:$AY$138,LS_current!M$148, FALSE))/2)</f>
        <v>8675</v>
      </c>
      <c r="CJ54" s="227">
        <f t="array" ref="CJ54">IF($BU54=0, INDEX(LS_current!$D$4:$AY$138, MATCH('Staging Table'!$A54, LS_current!$B$4:$B$138, 0), MATCH(CJ$4&amp;CJ$5, LS_current!$D$2:$AY$2&amp;LS_current!$D$3:$AY$3, 0)),SUM(VLOOKUP($A54, LS_current!$B$4:$AY$138, LS_current!N$148, FALSE), VLOOKUP($A54, LS_current!$B$4:$AY$138,LS_current!N$148, FALSE))/2)</f>
        <v>-4281</v>
      </c>
      <c r="CK54" s="227">
        <f t="array" ref="CK54">IF($BU54=0, INDEX(LS_current!$D$4:$AY$138, MATCH('Staging Table'!$A54, LS_current!$B$4:$B$138, 0), MATCH(CK$4&amp;CK$5, LS_current!$D$2:$AY$2&amp;LS_current!$D$3:$AY$3, 0)),SUM(VLOOKUP($A54, LS_current!$B$4:$AY$138, LS_current!O$148, FALSE), VLOOKUP($A54, LS_current!$B$4:$AY$138,LS_current!O$148, FALSE))/2)</f>
        <v>9636</v>
      </c>
      <c r="CL54" s="227">
        <f t="array" ref="CL54">IF($BU54=0, INDEX(LS_current!$D$4:$AY$138, MATCH('Staging Table'!$A54, LS_current!$B$4:$B$138, 0), MATCH(CL$4&amp;CL$5, LS_current!$D$2:$AY$2&amp;LS_current!$D$3:$AY$3, 0)),SUM(VLOOKUP($A54, LS_current!$B$4:$AY$138, LS_current!P$148, FALSE), VLOOKUP($A54, LS_current!$B$4:$AY$138,LS_current!P$148, FALSE))/2)</f>
        <v>7975</v>
      </c>
      <c r="CM54" s="227">
        <f t="array" ref="CM54">IF($BU54=0, INDEX(LS_current!$D$4:$AY$138, MATCH('Staging Table'!$A54, LS_current!$B$4:$B$138, 0), MATCH(CM$4&amp;CM$5, LS_current!$D$2:$AY$2&amp;LS_current!$D$3:$AY$3, 0)),SUM(VLOOKUP($A54, LS_current!$B$4:$AY$138, LS_current!Q$148, FALSE), VLOOKUP($A54, LS_current!$B$4:$AY$138,LS_current!Q$148, FALSE))/2)</f>
        <v>12782</v>
      </c>
      <c r="CN54" s="227">
        <f t="array" ref="CN54">IF($BU54=0, INDEX(LS_current!$D$4:$AY$138, MATCH('Staging Table'!$A54, LS_current!$B$4:$B$138, 0), MATCH(CN$4&amp;CN$5, LS_current!$D$2:$AY$2&amp;LS_current!$D$3:$AY$3, 0)),SUM(VLOOKUP($A54, LS_current!$B$4:$AY$138, LS_current!R$148, FALSE), VLOOKUP($A54, LS_current!$B$4:$AY$138,LS_current!R$148, FALSE))/2)</f>
        <v>-15835</v>
      </c>
      <c r="CO54" s="227">
        <f t="array" ref="CO54">IF($BU54=0, INDEX(LS_current!$D$4:$AY$138, MATCH('Staging Table'!$A54, LS_current!$B$4:$B$138, 0), MATCH(CO$4&amp;CO$5, LS_current!$D$2:$AY$2&amp;LS_current!$D$3:$AY$3, 0)),SUM(VLOOKUP($A54, LS_current!$B$4:$AY$138, LS_current!S$148, FALSE), VLOOKUP($A54, LS_current!$B$4:$AY$138,LS_current!S$148, FALSE))/2)</f>
        <v>8173</v>
      </c>
      <c r="CP54" s="227">
        <f t="array" ref="CP54">IF($BU54=0, INDEX(LS_current!$D$4:$AY$138, MATCH('Staging Table'!$A54, LS_current!$B$4:$B$138, 0), MATCH(CP$4&amp;CP$5, LS_current!$D$2:$AY$2&amp;LS_current!$D$3:$AY$3, 0)),SUM(VLOOKUP($A54, LS_current!$B$4:$AY$138, LS_current!T$148, FALSE), VLOOKUP($A54, LS_current!$B$4:$AY$138,LS_current!T$148, FALSE))/2)</f>
        <v>-32867</v>
      </c>
      <c r="CQ54" s="227">
        <f t="array" ref="CQ54">IF($BU54=0, INDEX(LS_current!$D$4:$AY$138, MATCH('Staging Table'!$A54, LS_current!$B$4:$B$138, 0), MATCH(CQ$4&amp;CQ$5, LS_current!$D$2:$AY$2&amp;LS_current!$D$3:$AY$3, 0)),SUM(VLOOKUP($A54, LS_current!$B$4:$AY$138, LS_current!U$148, FALSE), VLOOKUP($A54, LS_current!$B$4:$AY$138,LS_current!U$148, FALSE))/2)</f>
        <v>-7460</v>
      </c>
      <c r="CR54" s="227">
        <f t="array" ref="CR54">IF($BU54=0, INDEX(LS_current!$D$4:$AY$138, MATCH('Staging Table'!$A54, LS_current!$B$4:$B$138, 0), MATCH(CR$4&amp;CR$5, LS_current!$D$2:$AY$2&amp;LS_current!$D$3:$AY$3, 0)),SUM(VLOOKUP($A54, LS_current!$B$4:$AY$138, LS_current!V$148, FALSE), VLOOKUP($A54, LS_current!$B$4:$AY$138,LS_current!V$148, FALSE))/2)</f>
        <v>-17243</v>
      </c>
      <c r="CS54" s="227">
        <f t="array" ref="CS54">IF($BU54=0, INDEX(LS_current!$D$4:$AY$138, MATCH('Staging Table'!$A54, LS_current!$B$4:$B$138, 0), MATCH(CS$4&amp;CS$5, LS_current!$D$2:$AY$2&amp;LS_current!$D$3:$AY$3, 0)),SUM(VLOOKUP($A54, LS_current!$B$4:$AY$138, LS_current!W$148, FALSE), VLOOKUP($A54, LS_current!$B$4:$AY$138,LS_current!W$148, FALSE))/2)</f>
        <v>10746</v>
      </c>
      <c r="CT54" s="227">
        <f t="array" ref="CT54">IF($BU54=0, INDEX(LS_current!$D$4:$AY$138, MATCH('Staging Table'!$A54, LS_current!$B$4:$B$138, 0), MATCH(CT$4&amp;CT$5, LS_current!$D$2:$AY$2&amp;LS_current!$D$3:$AY$3, 0)),SUM(VLOOKUP($A54, LS_current!$B$4:$AY$138, LS_current!X$148, FALSE), VLOOKUP($A54, LS_current!$B$4:$AY$138,LS_current!X$148, FALSE))/2)</f>
        <v>-15026</v>
      </c>
      <c r="CU54" s="227">
        <f t="array" ref="CU54">IF($BU54=0, INDEX(LS_current!$D$4:$AY$138, MATCH('Staging Table'!$A54, LS_current!$B$4:$B$138, 0), MATCH(CU$4&amp;CU$5, LS_current!$D$2:$AY$2&amp;LS_current!$D$3:$AY$3, 0)),SUM(VLOOKUP($A54, LS_current!$B$4:$AY$138, LS_current!Y$148, FALSE), VLOOKUP($A54, LS_current!$B$4:$AY$138,LS_current!Y$148, FALSE))/2)</f>
        <v>11288</v>
      </c>
      <c r="CV54" s="227">
        <f t="array" ref="CV54">IF($BU54=0, INDEX(LS_current!$D$4:$AY$138, MATCH('Staging Table'!$A54, LS_current!$B$4:$B$138, 0), MATCH(CV$4&amp;CV$5, LS_current!$D$2:$AY$2&amp;LS_current!$D$3:$AY$3, 0)),SUM(VLOOKUP($A54, LS_current!$B$4:$AY$138, LS_current!Z$148, FALSE), VLOOKUP($A54, LS_current!$B$4:$AY$138,LS_current!Z$148, FALSE))/2)</f>
        <v>-5405</v>
      </c>
      <c r="CW54" s="227">
        <f t="array" ref="CW54">IF($BU54=0, INDEX(LS_current!$D$4:$AY$138, MATCH('Staging Table'!$A54, LS_current!$B$4:$B$138, 0), MATCH(CW$4&amp;CW$5, LS_current!$D$2:$AY$2&amp;LS_current!$D$3:$AY$3, 0)),SUM(VLOOKUP($A54, LS_current!$B$4:$AY$138, LS_current!AA$148, FALSE), VLOOKUP($A54, LS_current!$B$4:$AY$138,LS_current!AA$148, FALSE))/2)</f>
        <v>9739</v>
      </c>
      <c r="CX54" s="229">
        <f t="array" ref="CX54">INDEX(Demand_current!$D$4:$AY$138, MATCH($A54, Demand_current!$B$4:$B$138, 0), MATCH(CX$4&amp;CX$5,Demand_current!$D$2:$AY$2&amp;Demand_current!$D$3:$AY$3, 0))/1000</f>
        <v>0</v>
      </c>
      <c r="CY54" s="229">
        <f t="array" ref="CY54">INDEX(Demand_current!$D$4:$AY$138, MATCH($A54, Demand_current!$B$4:$B$138, 0), MATCH(CY$4&amp;CY$5,Demand_current!$D$2:$AY$2&amp;Demand_current!$D$3:$AY$3, 0))/1000</f>
        <v>0</v>
      </c>
      <c r="CZ54" s="229">
        <f t="array" ref="CZ54">INDEX(Demand_current!$D$4:$AY$138, MATCH($A54, Demand_current!$B$4:$B$138, 0), MATCH(CZ$4&amp;CZ$5,Demand_current!$D$2:$AY$2&amp;Demand_current!$D$3:$AY$3, 0))/1000</f>
        <v>0</v>
      </c>
      <c r="DA54" s="229">
        <f t="array" ref="DA54">INDEX(Demand_current!$D$4:$AY$138, MATCH($A54, Demand_current!$B$4:$B$138, 0), MATCH(DA$4&amp;DA$5,Demand_current!$D$2:$AY$2&amp;Demand_current!$D$3:$AY$3, 0))/1000</f>
        <v>0</v>
      </c>
      <c r="DB54" s="229">
        <f t="array" ref="DB54">INDEX(Demand_current!$D$4:$AY$138, MATCH($A54, Demand_current!$B$4:$B$138, 0), MATCH(DB$4&amp;DB$5,Demand_current!$D$2:$AY$2&amp;Demand_current!$D$3:$AY$3, 0))/1000</f>
        <v>0</v>
      </c>
      <c r="DC54" s="229">
        <f t="array" ref="DC54">INDEX(Demand_current!$D$4:$AY$138, MATCH($A54, Demand_current!$B$4:$B$138, 0), MATCH(DC$4&amp;DC$5,Demand_current!$D$2:$AY$2&amp;Demand_current!$D$3:$AY$3, 0))/1000</f>
        <v>0</v>
      </c>
      <c r="DD54" s="229">
        <f t="array" ref="DD54">INDEX(Demand_current!$D$4:$AY$138, MATCH($A54, Demand_current!$B$4:$B$138, 0), MATCH(DD$4&amp;DD$5,Demand_current!$D$2:$AY$2&amp;Demand_current!$D$3:$AY$3, 0))/1000</f>
        <v>0</v>
      </c>
      <c r="DE54" s="229">
        <f t="array" ref="DE54">INDEX(Demand_current!$D$4:$AY$138, MATCH($A54, Demand_current!$B$4:$B$138, 0), MATCH(DE$4&amp;DE$5,Demand_current!$D$2:$AY$2&amp;Demand_current!$D$3:$AY$3, 0))/1000</f>
        <v>0</v>
      </c>
      <c r="DF54" s="229">
        <f t="array" ref="DF54">INDEX(Demand_current!$D$4:$AY$138, MATCH($A54, Demand_current!$B$4:$B$138, 0), MATCH(DF$4&amp;DF$5,Demand_current!$D$2:$AY$2&amp;Demand_current!$D$3:$AY$3, 0))/1000</f>
        <v>0</v>
      </c>
      <c r="DG54" s="229">
        <f t="array" ref="DG54">INDEX(Demand_current!$D$4:$AY$138, MATCH($A54, Demand_current!$B$4:$B$138, 0), MATCH(DG$4&amp;DG$5,Demand_current!$D$2:$AY$2&amp;Demand_current!$D$3:$AY$3, 0))/1000</f>
        <v>0</v>
      </c>
      <c r="DH54" s="229">
        <f t="array" ref="DH54">INDEX(Demand_current!$D$4:$AY$138, MATCH($A54, Demand_current!$B$4:$B$138, 0), MATCH(DH$4&amp;DH$5,Demand_current!$D$2:$AY$2&amp;Demand_current!$D$3:$AY$3, 0))/1000</f>
        <v>0</v>
      </c>
      <c r="DI54" s="229">
        <f t="array" ref="DI54">INDEX(Demand_current!$D$4:$AY$138, MATCH($A54, Demand_current!$B$4:$B$138, 0), MATCH(DI$4&amp;DI$5,Demand_current!$D$2:$AY$2&amp;Demand_current!$D$3:$AY$3, 0))/1000</f>
        <v>0</v>
      </c>
      <c r="DJ54" s="227">
        <f>$BT54*(VLOOKUP(DJ$4, Rates_current!$G$6:$Q$29, 10, FALSE)+VLOOKUP(DJ$4, Rates_current!$G$6:$Q$29, 11, FALSE))</f>
        <v>90952.837590247189</v>
      </c>
      <c r="DK54" s="227">
        <f>$BT54*(VLOOKUP(DK$4, Rates_current!$G$6:$Q$29, 10, FALSE)+VLOOKUP(DK$4, Rates_current!$G$6:$Q$29, 11, FALSE))</f>
        <v>115538.4770284698</v>
      </c>
      <c r="DL54" s="227">
        <f>$BT54*(VLOOKUP(DL$4, Rates_current!$G$6:$Q$29, 10, FALSE)+VLOOKUP(DL$4, Rates_current!$G$6:$Q$29, 11, FALSE))</f>
        <v>114143.1935808472</v>
      </c>
      <c r="DM54" s="227">
        <f>$BT54*(VLOOKUP(DM$4, Rates_current!$G$6:$Q$29, 10, FALSE)+VLOOKUP(DM$4, Rates_current!$G$6:$Q$29, 11, FALSE))</f>
        <v>95145.3039872472</v>
      </c>
      <c r="DN54" s="227">
        <f>$BT54*(VLOOKUP(DN$4, Rates_current!$G$6:$Q$29, 10, FALSE)+VLOOKUP(DN$4, Rates_current!$G$6:$Q$29, 11, FALSE))</f>
        <v>86191.774849759997</v>
      </c>
      <c r="DO54" s="227">
        <f>$BT54*(VLOOKUP(DO$4, Rates_current!$G$6:$Q$29, 10, FALSE)+VLOOKUP(DO$4, Rates_current!$G$6:$Q$29, 11, FALSE))</f>
        <v>95872.635222213401</v>
      </c>
      <c r="DP54" s="227">
        <f>$BT54*(VLOOKUP(DP$4, Rates_current!$G$6:$Q$29, 10, FALSE)+VLOOKUP(DP$4, Rates_current!$G$6:$Q$29, 11, FALSE))</f>
        <v>78059.603054735999</v>
      </c>
      <c r="DQ54" s="227">
        <f>$BT54*(VLOOKUP(DQ$4, Rates_current!$G$6:$Q$29, 10, FALSE)+VLOOKUP(DQ$4, Rates_current!$G$6:$Q$29, 11, FALSE))</f>
        <v>105275.0146953472</v>
      </c>
      <c r="DR54" s="227">
        <f>$BT54*(VLOOKUP(DR$4, Rates_current!$G$6:$Q$29, 10, FALSE)+VLOOKUP(DR$4, Rates_current!$G$6:$Q$29, 11, FALSE))</f>
        <v>134323.758847636</v>
      </c>
      <c r="DS54" s="227">
        <f>$BT54*(VLOOKUP(DS$4, Rates_current!$G$6:$Q$29, 10, FALSE)+VLOOKUP(DS$4, Rates_current!$G$6:$Q$29, 11, FALSE))</f>
        <v>105314.08607504721</v>
      </c>
      <c r="DT54" s="227">
        <f>$BT54*(VLOOKUP(DT$4, Rates_current!$G$6:$Q$29, 10, FALSE)+VLOOKUP(DT$4, Rates_current!$G$6:$Q$29, 11, FALSE))</f>
        <v>102554.9493519472</v>
      </c>
      <c r="DU54" s="227">
        <f>$BT54*(VLOOKUP(DU$4, Rates_current!$G$6:$Q$29, 10, FALSE)+VLOOKUP(DU$4, Rates_current!$G$6:$Q$29, 11, FALSE))</f>
        <v>92072.528268936003</v>
      </c>
      <c r="DV54" s="229">
        <f>IF(D54=0,IF(C54=0,MAX(0,DY54 - (VLOOKUP($A54,TOCA_current!$A$2:$AI$137,MATCH("RHWM 2020",TOCA_current!$A$2:$AI$2,0),FALSE)*$BT$2)), 0),0)</f>
        <v>0</v>
      </c>
      <c r="DW54" s="266">
        <f>VLOOKUP($A54,REP_current!$A$1:$D$135,MATCH("FY "&amp;$BT$1&amp; " Total Refund",REP_current!$A$1:$D$1,0),0)</f>
        <v>0</v>
      </c>
      <c r="DX54" s="295">
        <f>MIN(VLOOKUP($A54,TOCA_current!$A$2:$AI$137,MATCH("TRL - NLSL - Existing Resource "&amp;$BT$1,TOCA_current!$A$2:$AI$2,0),FALSE)*$BT$2, VLOOKUP($A54,TOCA_current!$A$2:$AI$137,MATCH("RHWM 2020",TOCA_current!$A$2:$AI$2,0),FALSE)*$BT$2)</f>
        <v>3676420.2239999999</v>
      </c>
      <c r="DY54" s="240">
        <f>SUM(BZ54:CW54)+(BT54*RT1SC!$C$4*$BT$2)</f>
        <v>1205087.2081734654</v>
      </c>
      <c r="DZ54" s="271">
        <f>VLOOKUP($A54,TOCA_current!$A$2:$AI$137,MATCH("Above RHWM Not Served with LS "&amp;$BT$1,TOCA_current!$A$2:$AI$2,0),FALSE)*$BT$2</f>
        <v>0</v>
      </c>
      <c r="EA54" s="244">
        <f t="shared" si="13"/>
        <v>-2471333.0158265345</v>
      </c>
      <c r="EB54" s="295">
        <f>(VLOOKUP($A54,TOCA_current!$A$2:$AI$137,MATCH("RHWM 2020",TOCA_current!$A$2:$AI$2,0),FALSE)*$BT$2) - $DX54</f>
        <v>1122208.7040000004</v>
      </c>
      <c r="EC54" s="240">
        <f t="shared" si="14"/>
        <v>0</v>
      </c>
      <c r="ED54" s="240">
        <f t="shared" si="15"/>
        <v>2471333.0158265345</v>
      </c>
      <c r="EE54" s="240">
        <f t="shared" si="16"/>
        <v>0</v>
      </c>
      <c r="EF54" s="240">
        <f t="shared" si="17"/>
        <v>0</v>
      </c>
    </row>
    <row r="55" spans="1:136">
      <c r="A55" s="166">
        <v>10136</v>
      </c>
      <c r="B55" s="167" t="s">
        <v>56</v>
      </c>
      <c r="C55" s="240">
        <v>1</v>
      </c>
      <c r="D55" s="240">
        <v>0</v>
      </c>
      <c r="E55" s="150">
        <f>VLOOKUP($A55,TOCA_previous!$A$2:$AI$137,MATCH(E$4,TOCA_previous!$A$2:$AI$2,0),FALSE)</f>
        <v>2.6083E-3</v>
      </c>
      <c r="F55" s="151">
        <f>VLOOKUP($A55,TOCA_previous!$A$2:$AI$137,MATCH(F$4,TOCA_previous!$A$2:$AI$2,0),FALSE)</f>
        <v>2.6083E-3</v>
      </c>
      <c r="G55" s="151">
        <f t="shared" si="2"/>
        <v>0</v>
      </c>
      <c r="H55" s="151">
        <f>VLOOKUP($A55,TOCA_previous!$A$2:$AI$137,MATCH(H$4,TOCA_previous!$A$2:$AI$2,0),FALSE)</f>
        <v>7.0000000000000007E-2</v>
      </c>
      <c r="I55" s="151">
        <f t="shared" si="3"/>
        <v>7.0000000000000007E-2</v>
      </c>
      <c r="J55" s="151">
        <f t="shared" si="4"/>
        <v>2.6083E-3</v>
      </c>
      <c r="K55" s="226">
        <f>VLOOKUP(A55, IRD!$A$5:$C$139, 3, FALSE)</f>
        <v>0</v>
      </c>
      <c r="L55" s="227">
        <f t="array" ref="L55">IF($G55=0, INDEX(LS_previous!$D$4:$AY$138, MATCH('Staging Table'!$A55, LS_previous!$B$4:$B$138, 0), MATCH(L$4&amp;L$5, LS_previous!$D$2:$AY$2&amp;LS_previous!$D$3:$AY$3, 0)),SUM(VLOOKUP($A55, LS_previous!$B$4:$AY$138, LS_previous!D$149, FALSE), VLOOKUP('Staging Table'!$A55, LS_previous!$B$4:$AY$138,LS_previous!AB$149, FALSE))/2)</f>
        <v>0</v>
      </c>
      <c r="M55" s="227">
        <f t="array" ref="M55">IF($G55=0, INDEX(LS_previous!$D$4:$AY$138, MATCH('Staging Table'!$A55, LS_previous!$B$4:$B$138, 0), MATCH(M$4&amp;M$5, LS_previous!$D$2:$AY$2&amp;LS_previous!$D$3:$AY$3, 0)),SUM(VLOOKUP($A55, LS_previous!$B$4:$AY$138, LS_previous!E$149, FALSE), VLOOKUP('Staging Table'!$A55, LS_previous!$B$4:$AY$138,LS_previous!AC$149, FALSE))/2)</f>
        <v>0</v>
      </c>
      <c r="N55" s="227">
        <f t="array" ref="N55">IF($G55=0, INDEX(LS_previous!$D$4:$AY$138, MATCH('Staging Table'!$A55, LS_previous!$B$4:$B$138, 0), MATCH(N$4&amp;N$5, LS_previous!$D$2:$AY$2&amp;LS_previous!$D$3:$AY$3, 0)),SUM(VLOOKUP($A55, LS_previous!$B$4:$AY$138, LS_previous!F$149, FALSE), VLOOKUP('Staging Table'!$A55, LS_previous!$B$4:$AY$138,LS_previous!AD$149, FALSE))/2)</f>
        <v>0</v>
      </c>
      <c r="O55" s="227">
        <f t="array" ref="O55">IF($G55=0, INDEX(LS_previous!$D$4:$AY$138, MATCH('Staging Table'!$A55, LS_previous!$B$4:$B$138, 0), MATCH(O$4&amp;O$5, LS_previous!$D$2:$AY$2&amp;LS_previous!$D$3:$AY$3, 0)),SUM(VLOOKUP($A55, LS_previous!$B$4:$AY$138, LS_previous!G$149, FALSE), VLOOKUP('Staging Table'!$A55, LS_previous!$B$4:$AY$138,LS_previous!AE$149, FALSE))/2)</f>
        <v>0</v>
      </c>
      <c r="P55" s="227">
        <f t="array" ref="P55">IF($G55=0, INDEX(LS_previous!$D$4:$AY$138, MATCH('Staging Table'!$A55, LS_previous!$B$4:$B$138, 0), MATCH(P$4&amp;P$5, LS_previous!$D$2:$AY$2&amp;LS_previous!$D$3:$AY$3, 0)),SUM(VLOOKUP($A55, LS_previous!$B$4:$AY$138, LS_previous!H$149, FALSE), VLOOKUP('Staging Table'!$A55, LS_previous!$B$4:$AY$138,LS_previous!AF$149, FALSE))/2)</f>
        <v>0</v>
      </c>
      <c r="Q55" s="227">
        <f t="array" ref="Q55">IF($G55=0, INDEX(LS_previous!$D$4:$AY$138, MATCH('Staging Table'!$A55, LS_previous!$B$4:$B$138, 0), MATCH(Q$4&amp;Q$5, LS_previous!$D$2:$AY$2&amp;LS_previous!$D$3:$AY$3, 0)),SUM(VLOOKUP($A55, LS_previous!$B$4:$AY$138, LS_previous!I$149, FALSE), VLOOKUP('Staging Table'!$A55, LS_previous!$B$4:$AY$138,LS_previous!AG$149, FALSE))/2)</f>
        <v>0</v>
      </c>
      <c r="R55" s="227">
        <f t="array" ref="R55">IF($G55=0, INDEX(LS_previous!$D$4:$AY$138, MATCH('Staging Table'!$A55, LS_previous!$B$4:$B$138, 0), MATCH(R$4&amp;R$5, LS_previous!$D$2:$AY$2&amp;LS_previous!$D$3:$AY$3, 0)),SUM(VLOOKUP($A55, LS_previous!$B$4:$AY$138, LS_previous!J$149, FALSE), VLOOKUP('Staging Table'!$A55, LS_previous!$B$4:$AY$138,LS_previous!AH$149, FALSE))/2)</f>
        <v>0</v>
      </c>
      <c r="S55" s="227">
        <f t="array" ref="S55">IF($G55=0, INDEX(LS_previous!$D$4:$AY$138, MATCH('Staging Table'!$A55, LS_previous!$B$4:$B$138, 0), MATCH(S$4&amp;S$5, LS_previous!$D$2:$AY$2&amp;LS_previous!$D$3:$AY$3, 0)),SUM(VLOOKUP($A55, LS_previous!$B$4:$AY$138, LS_previous!K$149, FALSE), VLOOKUP('Staging Table'!$A55, LS_previous!$B$4:$AY$138,LS_previous!AI$149, FALSE))/2)</f>
        <v>0</v>
      </c>
      <c r="T55" s="227">
        <f t="array" ref="T55">IF($G55=0, INDEX(LS_previous!$D$4:$AY$138, MATCH('Staging Table'!$A55, LS_previous!$B$4:$B$138, 0), MATCH(T$4&amp;T$5, LS_previous!$D$2:$AY$2&amp;LS_previous!$D$3:$AY$3, 0)),SUM(VLOOKUP($A55, LS_previous!$B$4:$AY$138, LS_previous!L$149, FALSE), VLOOKUP('Staging Table'!$A55, LS_previous!$B$4:$AY$138,LS_previous!AJ$149, FALSE))/2)</f>
        <v>0</v>
      </c>
      <c r="U55" s="227">
        <f t="array" ref="U55">IF($G55=0, INDEX(LS_previous!$D$4:$AY$138, MATCH('Staging Table'!$A55, LS_previous!$B$4:$B$138, 0), MATCH(U$4&amp;U$5, LS_previous!$D$2:$AY$2&amp;LS_previous!$D$3:$AY$3, 0)),SUM(VLOOKUP($A55, LS_previous!$B$4:$AY$138, LS_previous!M$149, FALSE), VLOOKUP('Staging Table'!$A55, LS_previous!$B$4:$AY$138,LS_previous!AK$149, FALSE))/2)</f>
        <v>0</v>
      </c>
      <c r="V55" s="227">
        <f t="array" ref="V55">IF($G55=0, INDEX(LS_previous!$D$4:$AY$138, MATCH('Staging Table'!$A55, LS_previous!$B$4:$B$138, 0), MATCH(V$4&amp;V$5, LS_previous!$D$2:$AY$2&amp;LS_previous!$D$3:$AY$3, 0)),SUM(VLOOKUP($A55, LS_previous!$B$4:$AY$138, LS_previous!N$149, FALSE), VLOOKUP('Staging Table'!$A55, LS_previous!$B$4:$AY$138,LS_previous!AL$149, FALSE))/2)</f>
        <v>0</v>
      </c>
      <c r="W55" s="227">
        <f t="array" ref="W55">IF($G55=0, INDEX(LS_previous!$D$4:$AY$138, MATCH('Staging Table'!$A55, LS_previous!$B$4:$B$138, 0), MATCH(W$4&amp;W$5, LS_previous!$D$2:$AY$2&amp;LS_previous!$D$3:$AY$3, 0)),SUM(VLOOKUP($A55, LS_previous!$B$4:$AY$138, LS_previous!O$149, FALSE), VLOOKUP('Staging Table'!$A55, LS_previous!$B$4:$AY$138,LS_previous!AM$149, FALSE))/2)</f>
        <v>0</v>
      </c>
      <c r="X55" s="227">
        <f t="array" ref="X55">IF($G55=0, INDEX(LS_previous!$D$4:$AY$138, MATCH('Staging Table'!$A55, LS_previous!$B$4:$B$138, 0), MATCH(X$4&amp;X$5, LS_previous!$D$2:$AY$2&amp;LS_previous!$D$3:$AY$3, 0)),SUM(VLOOKUP($A55, LS_previous!$B$4:$AY$138, LS_previous!P$149, FALSE), VLOOKUP('Staging Table'!$A55, LS_previous!$B$4:$AY$138,LS_previous!AN$149, FALSE))/2)</f>
        <v>0</v>
      </c>
      <c r="Y55" s="227">
        <f t="array" ref="Y55">IF($G55=0, INDEX(LS_previous!$D$4:$AY$138, MATCH('Staging Table'!$A55, LS_previous!$B$4:$B$138, 0), MATCH(Y$4&amp;Y$5, LS_previous!$D$2:$AY$2&amp;LS_previous!$D$3:$AY$3, 0)),SUM(VLOOKUP($A55, LS_previous!$B$4:$AY$138, LS_previous!Q$149, FALSE), VLOOKUP('Staging Table'!$A55, LS_previous!$B$4:$AY$138,LS_previous!AO$149, FALSE))/2)</f>
        <v>0</v>
      </c>
      <c r="Z55" s="227">
        <f t="array" ref="Z55">IF($G55=0, INDEX(LS_previous!$D$4:$AY$138, MATCH('Staging Table'!$A55, LS_previous!$B$4:$B$138, 0), MATCH(Z$4&amp;Z$5, LS_previous!$D$2:$AY$2&amp;LS_previous!$D$3:$AY$3, 0)),SUM(VLOOKUP($A55, LS_previous!$B$4:$AY$138, LS_previous!R$149, FALSE), VLOOKUP('Staging Table'!$A55, LS_previous!$B$4:$AY$138,LS_previous!AP$149, FALSE))/2)</f>
        <v>0</v>
      </c>
      <c r="AA55" s="227">
        <f t="array" ref="AA55">IF($G55=0, INDEX(LS_previous!$D$4:$AY$138, MATCH('Staging Table'!$A55, LS_previous!$B$4:$B$138, 0), MATCH(AA$4&amp;AA$5, LS_previous!$D$2:$AY$2&amp;LS_previous!$D$3:$AY$3, 0)),SUM(VLOOKUP($A55, LS_previous!$B$4:$AY$138, LS_previous!S$149, FALSE), VLOOKUP('Staging Table'!$A55, LS_previous!$B$4:$AY$138,LS_previous!AQ$149, FALSE))/2)</f>
        <v>0</v>
      </c>
      <c r="AB55" s="227">
        <f t="array" ref="AB55">IF($G55=0, INDEX(LS_previous!$D$4:$AY$138, MATCH('Staging Table'!$A55, LS_previous!$B$4:$B$138, 0), MATCH(AB$4&amp;AB$5, LS_previous!$D$2:$AY$2&amp;LS_previous!$D$3:$AY$3, 0)),SUM(VLOOKUP($A55, LS_previous!$B$4:$AY$138, LS_previous!T$149, FALSE), VLOOKUP('Staging Table'!$A55, LS_previous!$B$4:$AY$138,LS_previous!AR$149, FALSE))/2)</f>
        <v>0</v>
      </c>
      <c r="AC55" s="227">
        <f t="array" ref="AC55">IF($G55=0, INDEX(LS_previous!$D$4:$AY$138, MATCH('Staging Table'!$A55, LS_previous!$B$4:$B$138, 0), MATCH(AC$4&amp;AC$5, LS_previous!$D$2:$AY$2&amp;LS_previous!$D$3:$AY$3, 0)),SUM(VLOOKUP($A55, LS_previous!$B$4:$AY$138, LS_previous!U$149, FALSE), VLOOKUP('Staging Table'!$A55, LS_previous!$B$4:$AY$138,LS_previous!AS$149, FALSE))/2)</f>
        <v>0</v>
      </c>
      <c r="AD55" s="227">
        <f t="array" ref="AD55">IF($G55=0, INDEX(LS_previous!$D$4:$AY$138, MATCH('Staging Table'!$A55, LS_previous!$B$4:$B$138, 0), MATCH(AD$4&amp;AD$5, LS_previous!$D$2:$AY$2&amp;LS_previous!$D$3:$AY$3, 0)),SUM(VLOOKUP($A55, LS_previous!$B$4:$AY$138, LS_previous!V$149, FALSE), VLOOKUP('Staging Table'!$A55, LS_previous!$B$4:$AY$138,LS_previous!AT$149, FALSE))/2)</f>
        <v>0</v>
      </c>
      <c r="AE55" s="227">
        <f t="array" ref="AE55">IF($G55=0, INDEX(LS_previous!$D$4:$AY$138, MATCH('Staging Table'!$A55, LS_previous!$B$4:$B$138, 0), MATCH(AE$4&amp;AE$5, LS_previous!$D$2:$AY$2&amp;LS_previous!$D$3:$AY$3, 0)),SUM(VLOOKUP($A55, LS_previous!$B$4:$AY$138, LS_previous!W$149, FALSE), VLOOKUP('Staging Table'!$A55, LS_previous!$B$4:$AY$138,LS_previous!AU$149, FALSE))/2)</f>
        <v>0</v>
      </c>
      <c r="AF55" s="227">
        <f t="array" ref="AF55">IF($G55=0, INDEX(LS_previous!$D$4:$AY$138, MATCH('Staging Table'!$A55, LS_previous!$B$4:$B$138, 0), MATCH(AF$4&amp;AF$5, LS_previous!$D$2:$AY$2&amp;LS_previous!$D$3:$AY$3, 0)),SUM(VLOOKUP($A55, LS_previous!$B$4:$AY$138, LS_previous!X$149, FALSE), VLOOKUP('Staging Table'!$A55, LS_previous!$B$4:$AY$138,LS_previous!AV$149, FALSE))/2)</f>
        <v>0</v>
      </c>
      <c r="AG55" s="227">
        <f t="array" ref="AG55">IF($G55=0, INDEX(LS_previous!$D$4:$AY$138, MATCH('Staging Table'!$A55, LS_previous!$B$4:$B$138, 0), MATCH(AG$4&amp;AG$5, LS_previous!$D$2:$AY$2&amp;LS_previous!$D$3:$AY$3, 0)),SUM(VLOOKUP($A55, LS_previous!$B$4:$AY$138, LS_previous!Y$149, FALSE), VLOOKUP('Staging Table'!$A55, LS_previous!$B$4:$AY$138,LS_previous!AW$149, FALSE))/2)</f>
        <v>0</v>
      </c>
      <c r="AH55" s="227">
        <f t="array" ref="AH55">IF($G55=0, INDEX(LS_previous!$D$4:$AY$138, MATCH('Staging Table'!$A55, LS_previous!$B$4:$B$138, 0), MATCH(AH$4&amp;AH$5, LS_previous!$D$2:$AY$2&amp;LS_previous!$D$3:$AY$3, 0)),SUM(VLOOKUP($A55, LS_previous!$B$4:$AY$138, LS_previous!Z$149, FALSE), VLOOKUP('Staging Table'!$A55, LS_previous!$B$4:$AY$138,LS_previous!AX$149, FALSE))/2)</f>
        <v>0</v>
      </c>
      <c r="AI55" s="227">
        <f t="array" ref="AI55">IF($G55=0, INDEX(LS_previous!$D$4:$AY$138, MATCH('Staging Table'!$A55, LS_previous!$B$4:$B$138, 0), MATCH(AI$4&amp;AI$5, LS_previous!$D$2:$AY$2&amp;LS_previous!$D$3:$AY$3, 0)),SUM(VLOOKUP($A55, LS_previous!$B$4:$AY$138, LS_previous!AA$149, FALSE), VLOOKUP('Staging Table'!$A55, LS_previous!$B$4:$AY$138,LS_previous!AY$149, FALSE))/2)</f>
        <v>0</v>
      </c>
      <c r="AJ55" s="424">
        <f t="array" ref="AJ55">INDEX(Demand_previous!$D$4:$AY$138, MATCH('Staging Table'!$A55, Demand_previous!$B$4:$B$138, 0), MATCH(AJ$4&amp;AJ$5,Demand_previous!$D$2:$AY$2&amp;Demand_previous!$D$3:$AY$3, 0))/1000</f>
        <v>0</v>
      </c>
      <c r="AK55" s="424">
        <f t="array" ref="AK55">INDEX(Demand_previous!$D$4:$AY$138, MATCH('Staging Table'!$A55, Demand_previous!$B$4:$B$138, 0), MATCH(AK$4&amp;AK$5,Demand_previous!$D$2:$AY$2&amp;Demand_previous!$D$3:$AY$3, 0))/1000</f>
        <v>0</v>
      </c>
      <c r="AL55" s="424">
        <f t="array" ref="AL55">INDEX(Demand_previous!$D$4:$AY$138, MATCH('Staging Table'!$A55, Demand_previous!$B$4:$B$138, 0), MATCH(AL$4&amp;AL$5,Demand_previous!$D$2:$AY$2&amp;Demand_previous!$D$3:$AY$3, 0))/1000</f>
        <v>0</v>
      </c>
      <c r="AM55" s="424">
        <f t="array" ref="AM55">INDEX(Demand_previous!$D$4:$AY$138, MATCH('Staging Table'!$A55, Demand_previous!$B$4:$B$138, 0), MATCH(AM$4&amp;AM$5,Demand_previous!$D$2:$AY$2&amp;Demand_previous!$D$3:$AY$3, 0))/1000</f>
        <v>0</v>
      </c>
      <c r="AN55" s="424">
        <f t="array" ref="AN55">INDEX(Demand_previous!$D$4:$AY$138, MATCH('Staging Table'!$A55, Demand_previous!$B$4:$B$138, 0), MATCH(AN$4&amp;AN$5,Demand_previous!$D$2:$AY$2&amp;Demand_previous!$D$3:$AY$3, 0))/1000</f>
        <v>0</v>
      </c>
      <c r="AO55" s="424">
        <f t="array" ref="AO55">INDEX(Demand_previous!$D$4:$AY$138, MATCH('Staging Table'!$A55, Demand_previous!$B$4:$B$138, 0), MATCH(AO$4&amp;AO$5,Demand_previous!$D$2:$AY$2&amp;Demand_previous!$D$3:$AY$3, 0))/1000</f>
        <v>0</v>
      </c>
      <c r="AP55" s="424">
        <f t="array" ref="AP55">INDEX(Demand_previous!$D$4:$AY$138, MATCH('Staging Table'!$A55, Demand_previous!$B$4:$B$138, 0), MATCH(AP$4&amp;AP$5,Demand_previous!$D$2:$AY$2&amp;Demand_previous!$D$3:$AY$3, 0))/1000</f>
        <v>0</v>
      </c>
      <c r="AQ55" s="424">
        <f t="array" ref="AQ55">INDEX(Demand_previous!$D$4:$AY$138, MATCH('Staging Table'!$A55, Demand_previous!$B$4:$B$138, 0), MATCH(AQ$4&amp;AQ$5,Demand_previous!$D$2:$AY$2&amp;Demand_previous!$D$3:$AY$3, 0))/1000</f>
        <v>0</v>
      </c>
      <c r="AR55" s="424">
        <f t="array" ref="AR55">INDEX(Demand_previous!$D$4:$AY$138, MATCH('Staging Table'!$A55, Demand_previous!$B$4:$B$138, 0), MATCH(AR$4&amp;AR$5,Demand_previous!$D$2:$AY$2&amp;Demand_previous!$D$3:$AY$3, 0))/1000</f>
        <v>0</v>
      </c>
      <c r="AS55" s="424">
        <f t="array" ref="AS55">INDEX(Demand_previous!$D$4:$AY$138, MATCH('Staging Table'!$A55, Demand_previous!$B$4:$B$138, 0), MATCH(AS$4&amp;AS$5,Demand_previous!$D$2:$AY$2&amp;Demand_previous!$D$3:$AY$3, 0))/1000</f>
        <v>0</v>
      </c>
      <c r="AT55" s="424">
        <f t="array" ref="AT55">INDEX(Demand_previous!$D$4:$AY$138, MATCH('Staging Table'!$A55, Demand_previous!$B$4:$B$138, 0), MATCH(AT$4&amp;AT$5,Demand_previous!$D$2:$AY$2&amp;Demand_previous!$D$3:$AY$3, 0))/1000</f>
        <v>0</v>
      </c>
      <c r="AU55" s="424">
        <f t="array" ref="AU55">INDEX(Demand_previous!$D$4:$AY$138, MATCH('Staging Table'!$A55, Demand_previous!$B$4:$B$138, 0), MATCH(AU$4&amp;AU$5,Demand_previous!$D$2:$AY$2&amp;Demand_previous!$D$3:$AY$3, 0))/1000</f>
        <v>0</v>
      </c>
      <c r="AV55" s="227">
        <f>$F55*(VLOOKUP(AV$4, Rates_previous!$G$6:$Q$29, 10, FALSE)+VLOOKUP(AV$4, Rates_previous!$G$6:$Q$29, 11, FALSE))</f>
        <v>12229.895535640531</v>
      </c>
      <c r="AW55" s="227">
        <f>$F55*(VLOOKUP(AW$4, Rates_previous!$G$6:$Q$29, 10, FALSE)+VLOOKUP(AW$4, Rates_previous!$G$6:$Q$29, 11, FALSE))</f>
        <v>15115.221360730684</v>
      </c>
      <c r="AX55" s="227">
        <f>$F55*(VLOOKUP(AX$4, Rates_previous!$G$6:$Q$29, 10, FALSE)+VLOOKUP(AX$4, Rates_previous!$G$6:$Q$29, 11, FALSE))</f>
        <v>14933.705630866294</v>
      </c>
      <c r="AY55" s="227">
        <f>$F55*(VLOOKUP(AY$4, Rates_previous!$G$6:$Q$29, 10, FALSE)+VLOOKUP(AY$4, Rates_previous!$G$6:$Q$29, 11, FALSE))</f>
        <v>12759.428044341828</v>
      </c>
      <c r="AZ55" s="227">
        <f>$F55*(VLOOKUP(AZ$4, Rates_previous!$G$6:$Q$29, 10, FALSE)+VLOOKUP(AZ$4, Rates_previous!$G$6:$Q$29, 11, FALSE))</f>
        <v>10460.256035455788</v>
      </c>
      <c r="BA55" s="227">
        <f>$F55*(VLOOKUP(BA$4, Rates_previous!$G$6:$Q$29, 10, FALSE)+VLOOKUP(BA$4, Rates_previous!$G$6:$Q$29, 11, FALSE))</f>
        <v>12384.563194218774</v>
      </c>
      <c r="BB55" s="227">
        <f>$F55*(VLOOKUP(BB$4, Rates_previous!$G$6:$Q$29, 10, FALSE)+VLOOKUP(BB$4, Rates_previous!$G$6:$Q$29, 11, FALSE))</f>
        <v>11903.366674264978</v>
      </c>
      <c r="BC55" s="227">
        <f>$F55*(VLOOKUP(BC$4, Rates_previous!$G$6:$Q$29, 10, FALSE)+VLOOKUP(BC$4, Rates_previous!$G$6:$Q$29, 11, FALSE))</f>
        <v>17467.348279553327</v>
      </c>
      <c r="BD55" s="227">
        <f>$F55*(VLOOKUP(BD$4, Rates_previous!$G$6:$Q$29, 10, FALSE)+VLOOKUP(BD$4, Rates_previous!$G$6:$Q$29, 11, FALSE))</f>
        <v>13781.276124925045</v>
      </c>
      <c r="BE55" s="227">
        <f>$F55*(VLOOKUP(BE$4, Rates_previous!$G$6:$Q$29, 10, FALSE)+VLOOKUP(BE$4, Rates_previous!$G$6:$Q$29, 11, FALSE))</f>
        <v>12101.117176403381</v>
      </c>
      <c r="BF55" s="227">
        <f>$F55*(VLOOKUP(BF$4, Rates_previous!$G$6:$Q$29, 10, FALSE)+VLOOKUP(BF$4, Rates_previous!$G$6:$Q$29, 11, FALSE))</f>
        <v>13402.471652909771</v>
      </c>
      <c r="BG55" s="227">
        <f>$F55*(VLOOKUP(BG$4, Rates_previous!$G$6:$Q$29, 10, FALSE)+VLOOKUP(BG$4, Rates_previous!$G$6:$Q$29, 11, FALSE))</f>
        <v>12142.106334642674</v>
      </c>
      <c r="BH55" s="229">
        <f>IF($D55=0,IF(C55=0, MAX(BK55 - (VLOOKUP($A55,TOCA_previous!$A$2:$AI$137,MATCH("RHWM 2018",TOCA_previous!$A$2:$AI$2,0),FALSE)*$F$2*TOCA_previous!C52),0),0), 0)</f>
        <v>0</v>
      </c>
      <c r="BI55" s="266">
        <f>VLOOKUP($A55,REP_previous!$A$1:$D$135,MATCH("FY "&amp;$F$1&amp; " Total Refund",REP_previous!$A$1:$D$1,0),0)</f>
        <v>208802.48375921027</v>
      </c>
      <c r="BJ55" s="241">
        <f>MIN(VLOOKUP($A55,TOCA_previous!$A$2:$AI$137,MATCH("TRL - NLSL - Existing Resource "&amp;$F$1,TOCA_previous!$A$2:$AI$2,0),FALSE)*$F$2,(VLOOKUP($A55,TOCA_previous!$A$2:$AI$137,MATCH("RHWM 2018",TOCA_previous!$A$2:$AI$2,0),FALSE)*$F$2))</f>
        <v>158678.64000000001</v>
      </c>
      <c r="BK55" s="229">
        <f>SUM(L55:AI55)+(F55*RT1SC!$C$3*$F$2)</f>
        <v>158680.75835896801</v>
      </c>
      <c r="BL55" s="241">
        <f>VLOOKUP($A55,TOCA_previous!$A$2:$AI$137,MATCH("Above RHWM Not Served with LS "&amp;$F$1,TOCA_previous!$A$2:$AI$2,0),FALSE)*$F$2</f>
        <v>0</v>
      </c>
      <c r="BM55" s="151">
        <f t="shared" si="5"/>
        <v>2.1183589680003934</v>
      </c>
      <c r="BN55" s="242">
        <f>(VLOOKUP($A55,TOCA_previous!$A$2:$AI$137,MATCH("RHWM 2018",TOCA_previous!$A$2:$AI$2,0),FALSE)*$F$2) - $BJ55</f>
        <v>1103.7599999999802</v>
      </c>
      <c r="BO55" s="151">
        <f t="shared" si="6"/>
        <v>-2.1183589680003934</v>
      </c>
      <c r="BP55" s="243">
        <f t="shared" si="7"/>
        <v>0</v>
      </c>
      <c r="BQ55" s="237">
        <f t="shared" si="8"/>
        <v>0</v>
      </c>
      <c r="BR55" s="242">
        <f t="shared" si="9"/>
        <v>-2.1183589680003934</v>
      </c>
      <c r="BS55" s="151">
        <f>VLOOKUP($A55,TOCA_current!$A$2:$AI$137,MATCH(BS$4,TOCA_current!$A$2:$AI$2,0),FALSE)</f>
        <v>2.5791E-3</v>
      </c>
      <c r="BT55" s="151">
        <f>VLOOKUP($A55,TOCA_current!$A$2:$AI$137,MATCH(BT$4,TOCA_current!$A$2:$AI$2,0),FALSE)</f>
        <v>2.5791E-3</v>
      </c>
      <c r="BU55" s="236">
        <f t="shared" si="10"/>
        <v>0</v>
      </c>
      <c r="BV55" s="151">
        <f>VLOOKUP($A55,TOCA_current!A51:BG186,MATCH(BV$4,TOCA_current!$A$2:$BG$2,0),FALSE)</f>
        <v>7.0000000000000007E-2</v>
      </c>
      <c r="BW55" s="151">
        <f t="shared" si="11"/>
        <v>7.0000000000000007E-2</v>
      </c>
      <c r="BX55" s="151">
        <f t="shared" si="12"/>
        <v>2.5791E-3</v>
      </c>
      <c r="BY55" s="226">
        <f>VLOOKUP($A55,IRD!$A$4:$G$139, 7, FALSE)</f>
        <v>0</v>
      </c>
      <c r="BZ55" s="227">
        <f t="array" ref="BZ55">IF($BU55=0, INDEX(LS_current!$D$4:$AY$138, MATCH('Staging Table'!$A55, LS_current!$B$4:$B$138, 0), MATCH(BZ$4&amp;BZ$5, LS_current!$D$2:$AY$2&amp;LS_current!$D$3:$AY$3, 0)),SUM(VLOOKUP($A55, LS_current!$B$4:$AY$138, LS_current!D$148, FALSE), VLOOKUP($A55, LS_current!$B$4:$AY$138,LS_current!D$148, FALSE))/2)</f>
        <v>0</v>
      </c>
      <c r="CA55" s="227">
        <f t="array" ref="CA55">IF($BU55=0, INDEX(LS_current!$D$4:$AY$138, MATCH('Staging Table'!$A55, LS_current!$B$4:$B$138, 0), MATCH(CA$4&amp;CA$5, LS_current!$D$2:$AY$2&amp;LS_current!$D$3:$AY$3, 0)),SUM(VLOOKUP($A55, LS_current!$B$4:$AY$138, LS_current!E$148, FALSE), VLOOKUP($A55, LS_current!$B$4:$AY$138,LS_current!E$148, FALSE))/2)</f>
        <v>0</v>
      </c>
      <c r="CB55" s="227">
        <f t="array" ref="CB55">IF($BU55=0, INDEX(LS_current!$D$4:$AY$138, MATCH('Staging Table'!$A55, LS_current!$B$4:$B$138, 0), MATCH(CB$4&amp;CB$5, LS_current!$D$2:$AY$2&amp;LS_current!$D$3:$AY$3, 0)),SUM(VLOOKUP($A55, LS_current!$B$4:$AY$138, LS_current!F$148, FALSE), VLOOKUP($A55, LS_current!$B$4:$AY$138,LS_current!F$148, FALSE))/2)</f>
        <v>0</v>
      </c>
      <c r="CC55" s="227">
        <f t="array" ref="CC55">IF($BU55=0, INDEX(LS_current!$D$4:$AY$138, MATCH('Staging Table'!$A55, LS_current!$B$4:$B$138, 0), MATCH(CC$4&amp;CC$5, LS_current!$D$2:$AY$2&amp;LS_current!$D$3:$AY$3, 0)),SUM(VLOOKUP($A55, LS_current!$B$4:$AY$138, LS_current!G$148, FALSE), VLOOKUP($A55, LS_current!$B$4:$AY$138,LS_current!G$148, FALSE))/2)</f>
        <v>0</v>
      </c>
      <c r="CD55" s="227">
        <f t="array" ref="CD55">IF($BU55=0, INDEX(LS_current!$D$4:$AY$138, MATCH('Staging Table'!$A55, LS_current!$B$4:$B$138, 0), MATCH(CD$4&amp;CD$5, LS_current!$D$2:$AY$2&amp;LS_current!$D$3:$AY$3, 0)),SUM(VLOOKUP($A55, LS_current!$B$4:$AY$138, LS_current!H$148, FALSE), VLOOKUP($A55, LS_current!$B$4:$AY$138,LS_current!H$148, FALSE))/2)</f>
        <v>0</v>
      </c>
      <c r="CE55" s="227">
        <f t="array" ref="CE55">IF($BU55=0, INDEX(LS_current!$D$4:$AY$138, MATCH('Staging Table'!$A55, LS_current!$B$4:$B$138, 0), MATCH(CE$4&amp;CE$5, LS_current!$D$2:$AY$2&amp;LS_current!$D$3:$AY$3, 0)),SUM(VLOOKUP($A55, LS_current!$B$4:$AY$138, LS_current!I$148, FALSE), VLOOKUP($A55, LS_current!$B$4:$AY$138,LS_current!I$148, FALSE))/2)</f>
        <v>0</v>
      </c>
      <c r="CF55" s="227">
        <f t="array" ref="CF55">IF($BU55=0, INDEX(LS_current!$D$4:$AY$138, MATCH('Staging Table'!$A55, LS_current!$B$4:$B$138, 0), MATCH(CF$4&amp;CF$5, LS_current!$D$2:$AY$2&amp;LS_current!$D$3:$AY$3, 0)),SUM(VLOOKUP($A55, LS_current!$B$4:$AY$138, LS_current!J$148, FALSE), VLOOKUP($A55, LS_current!$B$4:$AY$138,LS_current!J$148, FALSE))/2)</f>
        <v>0</v>
      </c>
      <c r="CG55" s="227">
        <f t="array" ref="CG55">IF($BU55=0, INDEX(LS_current!$D$4:$AY$138, MATCH('Staging Table'!$A55, LS_current!$B$4:$B$138, 0), MATCH(CG$4&amp;CG$5, LS_current!$D$2:$AY$2&amp;LS_current!$D$3:$AY$3, 0)),SUM(VLOOKUP($A55, LS_current!$B$4:$AY$138, LS_current!K$148, FALSE), VLOOKUP($A55, LS_current!$B$4:$AY$138,LS_current!K$148, FALSE))/2)</f>
        <v>0</v>
      </c>
      <c r="CH55" s="227">
        <f t="array" ref="CH55">IF($BU55=0, INDEX(LS_current!$D$4:$AY$138, MATCH('Staging Table'!$A55, LS_current!$B$4:$B$138, 0), MATCH(CH$4&amp;CH$5, LS_current!$D$2:$AY$2&amp;LS_current!$D$3:$AY$3, 0)),SUM(VLOOKUP($A55, LS_current!$B$4:$AY$138, LS_current!L$148, FALSE), VLOOKUP($A55, LS_current!$B$4:$AY$138,LS_current!L$148, FALSE))/2)</f>
        <v>0</v>
      </c>
      <c r="CI55" s="227">
        <f t="array" ref="CI55">IF($BU55=0, INDEX(LS_current!$D$4:$AY$138, MATCH('Staging Table'!$A55, LS_current!$B$4:$B$138, 0), MATCH(CI$4&amp;CI$5, LS_current!$D$2:$AY$2&amp;LS_current!$D$3:$AY$3, 0)),SUM(VLOOKUP($A55, LS_current!$B$4:$AY$138, LS_current!M$148, FALSE), VLOOKUP($A55, LS_current!$B$4:$AY$138,LS_current!M$148, FALSE))/2)</f>
        <v>0</v>
      </c>
      <c r="CJ55" s="227">
        <f t="array" ref="CJ55">IF($BU55=0, INDEX(LS_current!$D$4:$AY$138, MATCH('Staging Table'!$A55, LS_current!$B$4:$B$138, 0), MATCH(CJ$4&amp;CJ$5, LS_current!$D$2:$AY$2&amp;LS_current!$D$3:$AY$3, 0)),SUM(VLOOKUP($A55, LS_current!$B$4:$AY$138, LS_current!N$148, FALSE), VLOOKUP($A55, LS_current!$B$4:$AY$138,LS_current!N$148, FALSE))/2)</f>
        <v>0</v>
      </c>
      <c r="CK55" s="227">
        <f t="array" ref="CK55">IF($BU55=0, INDEX(LS_current!$D$4:$AY$138, MATCH('Staging Table'!$A55, LS_current!$B$4:$B$138, 0), MATCH(CK$4&amp;CK$5, LS_current!$D$2:$AY$2&amp;LS_current!$D$3:$AY$3, 0)),SUM(VLOOKUP($A55, LS_current!$B$4:$AY$138, LS_current!O$148, FALSE), VLOOKUP($A55, LS_current!$B$4:$AY$138,LS_current!O$148, FALSE))/2)</f>
        <v>0</v>
      </c>
      <c r="CL55" s="227">
        <f t="array" ref="CL55">IF($BU55=0, INDEX(LS_current!$D$4:$AY$138, MATCH('Staging Table'!$A55, LS_current!$B$4:$B$138, 0), MATCH(CL$4&amp;CL$5, LS_current!$D$2:$AY$2&amp;LS_current!$D$3:$AY$3, 0)),SUM(VLOOKUP($A55, LS_current!$B$4:$AY$138, LS_current!P$148, FALSE), VLOOKUP($A55, LS_current!$B$4:$AY$138,LS_current!P$148, FALSE))/2)</f>
        <v>0</v>
      </c>
      <c r="CM55" s="227">
        <f t="array" ref="CM55">IF($BU55=0, INDEX(LS_current!$D$4:$AY$138, MATCH('Staging Table'!$A55, LS_current!$B$4:$B$138, 0), MATCH(CM$4&amp;CM$5, LS_current!$D$2:$AY$2&amp;LS_current!$D$3:$AY$3, 0)),SUM(VLOOKUP($A55, LS_current!$B$4:$AY$138, LS_current!Q$148, FALSE), VLOOKUP($A55, LS_current!$B$4:$AY$138,LS_current!Q$148, FALSE))/2)</f>
        <v>0</v>
      </c>
      <c r="CN55" s="227">
        <f t="array" ref="CN55">IF($BU55=0, INDEX(LS_current!$D$4:$AY$138, MATCH('Staging Table'!$A55, LS_current!$B$4:$B$138, 0), MATCH(CN$4&amp;CN$5, LS_current!$D$2:$AY$2&amp;LS_current!$D$3:$AY$3, 0)),SUM(VLOOKUP($A55, LS_current!$B$4:$AY$138, LS_current!R$148, FALSE), VLOOKUP($A55, LS_current!$B$4:$AY$138,LS_current!R$148, FALSE))/2)</f>
        <v>0</v>
      </c>
      <c r="CO55" s="227">
        <f t="array" ref="CO55">IF($BU55=0, INDEX(LS_current!$D$4:$AY$138, MATCH('Staging Table'!$A55, LS_current!$B$4:$B$138, 0), MATCH(CO$4&amp;CO$5, LS_current!$D$2:$AY$2&amp;LS_current!$D$3:$AY$3, 0)),SUM(VLOOKUP($A55, LS_current!$B$4:$AY$138, LS_current!S$148, FALSE), VLOOKUP($A55, LS_current!$B$4:$AY$138,LS_current!S$148, FALSE))/2)</f>
        <v>0</v>
      </c>
      <c r="CP55" s="227">
        <f t="array" ref="CP55">IF($BU55=0, INDEX(LS_current!$D$4:$AY$138, MATCH('Staging Table'!$A55, LS_current!$B$4:$B$138, 0), MATCH(CP$4&amp;CP$5, LS_current!$D$2:$AY$2&amp;LS_current!$D$3:$AY$3, 0)),SUM(VLOOKUP($A55, LS_current!$B$4:$AY$138, LS_current!T$148, FALSE), VLOOKUP($A55, LS_current!$B$4:$AY$138,LS_current!T$148, FALSE))/2)</f>
        <v>0</v>
      </c>
      <c r="CQ55" s="227">
        <f t="array" ref="CQ55">IF($BU55=0, INDEX(LS_current!$D$4:$AY$138, MATCH('Staging Table'!$A55, LS_current!$B$4:$B$138, 0), MATCH(CQ$4&amp;CQ$5, LS_current!$D$2:$AY$2&amp;LS_current!$D$3:$AY$3, 0)),SUM(VLOOKUP($A55, LS_current!$B$4:$AY$138, LS_current!U$148, FALSE), VLOOKUP($A55, LS_current!$B$4:$AY$138,LS_current!U$148, FALSE))/2)</f>
        <v>0</v>
      </c>
      <c r="CR55" s="227">
        <f t="array" ref="CR55">IF($BU55=0, INDEX(LS_current!$D$4:$AY$138, MATCH('Staging Table'!$A55, LS_current!$B$4:$B$138, 0), MATCH(CR$4&amp;CR$5, LS_current!$D$2:$AY$2&amp;LS_current!$D$3:$AY$3, 0)),SUM(VLOOKUP($A55, LS_current!$B$4:$AY$138, LS_current!V$148, FALSE), VLOOKUP($A55, LS_current!$B$4:$AY$138,LS_current!V$148, FALSE))/2)</f>
        <v>0</v>
      </c>
      <c r="CS55" s="227">
        <f t="array" ref="CS55">IF($BU55=0, INDEX(LS_current!$D$4:$AY$138, MATCH('Staging Table'!$A55, LS_current!$B$4:$B$138, 0), MATCH(CS$4&amp;CS$5, LS_current!$D$2:$AY$2&amp;LS_current!$D$3:$AY$3, 0)),SUM(VLOOKUP($A55, LS_current!$B$4:$AY$138, LS_current!W$148, FALSE), VLOOKUP($A55, LS_current!$B$4:$AY$138,LS_current!W$148, FALSE))/2)</f>
        <v>0</v>
      </c>
      <c r="CT55" s="227">
        <f t="array" ref="CT55">IF($BU55=0, INDEX(LS_current!$D$4:$AY$138, MATCH('Staging Table'!$A55, LS_current!$B$4:$B$138, 0), MATCH(CT$4&amp;CT$5, LS_current!$D$2:$AY$2&amp;LS_current!$D$3:$AY$3, 0)),SUM(VLOOKUP($A55, LS_current!$B$4:$AY$138, LS_current!X$148, FALSE), VLOOKUP($A55, LS_current!$B$4:$AY$138,LS_current!X$148, FALSE))/2)</f>
        <v>0</v>
      </c>
      <c r="CU55" s="227">
        <f t="array" ref="CU55">IF($BU55=0, INDEX(LS_current!$D$4:$AY$138, MATCH('Staging Table'!$A55, LS_current!$B$4:$B$138, 0), MATCH(CU$4&amp;CU$5, LS_current!$D$2:$AY$2&amp;LS_current!$D$3:$AY$3, 0)),SUM(VLOOKUP($A55, LS_current!$B$4:$AY$138, LS_current!Y$148, FALSE), VLOOKUP($A55, LS_current!$B$4:$AY$138,LS_current!Y$148, FALSE))/2)</f>
        <v>0</v>
      </c>
      <c r="CV55" s="227">
        <f t="array" ref="CV55">IF($BU55=0, INDEX(LS_current!$D$4:$AY$138, MATCH('Staging Table'!$A55, LS_current!$B$4:$B$138, 0), MATCH(CV$4&amp;CV$5, LS_current!$D$2:$AY$2&amp;LS_current!$D$3:$AY$3, 0)),SUM(VLOOKUP($A55, LS_current!$B$4:$AY$138, LS_current!Z$148, FALSE), VLOOKUP($A55, LS_current!$B$4:$AY$138,LS_current!Z$148, FALSE))/2)</f>
        <v>0</v>
      </c>
      <c r="CW55" s="227">
        <f t="array" ref="CW55">IF($BU55=0, INDEX(LS_current!$D$4:$AY$138, MATCH('Staging Table'!$A55, LS_current!$B$4:$B$138, 0), MATCH(CW$4&amp;CW$5, LS_current!$D$2:$AY$2&amp;LS_current!$D$3:$AY$3, 0)),SUM(VLOOKUP($A55, LS_current!$B$4:$AY$138, LS_current!AA$148, FALSE), VLOOKUP($A55, LS_current!$B$4:$AY$138,LS_current!AA$148, FALSE))/2)</f>
        <v>0</v>
      </c>
      <c r="CX55" s="229">
        <f t="array" ref="CX55">INDEX(Demand_current!$D$4:$AY$138, MATCH($A55, Demand_current!$B$4:$B$138, 0), MATCH(CX$4&amp;CX$5,Demand_current!$D$2:$AY$2&amp;Demand_current!$D$3:$AY$3, 0))/1000</f>
        <v>0</v>
      </c>
      <c r="CY55" s="229">
        <f t="array" ref="CY55">INDEX(Demand_current!$D$4:$AY$138, MATCH($A55, Demand_current!$B$4:$B$138, 0), MATCH(CY$4&amp;CY$5,Demand_current!$D$2:$AY$2&amp;Demand_current!$D$3:$AY$3, 0))/1000</f>
        <v>0</v>
      </c>
      <c r="CZ55" s="229">
        <f t="array" ref="CZ55">INDEX(Demand_current!$D$4:$AY$138, MATCH($A55, Demand_current!$B$4:$B$138, 0), MATCH(CZ$4&amp;CZ$5,Demand_current!$D$2:$AY$2&amp;Demand_current!$D$3:$AY$3, 0))/1000</f>
        <v>0</v>
      </c>
      <c r="DA55" s="229">
        <f t="array" ref="DA55">INDEX(Demand_current!$D$4:$AY$138, MATCH($A55, Demand_current!$B$4:$B$138, 0), MATCH(DA$4&amp;DA$5,Demand_current!$D$2:$AY$2&amp;Demand_current!$D$3:$AY$3, 0))/1000</f>
        <v>0</v>
      </c>
      <c r="DB55" s="229">
        <f t="array" ref="DB55">INDEX(Demand_current!$D$4:$AY$138, MATCH($A55, Demand_current!$B$4:$B$138, 0), MATCH(DB$4&amp;DB$5,Demand_current!$D$2:$AY$2&amp;Demand_current!$D$3:$AY$3, 0))/1000</f>
        <v>0</v>
      </c>
      <c r="DC55" s="229">
        <f t="array" ref="DC55">INDEX(Demand_current!$D$4:$AY$138, MATCH($A55, Demand_current!$B$4:$B$138, 0), MATCH(DC$4&amp;DC$5,Demand_current!$D$2:$AY$2&amp;Demand_current!$D$3:$AY$3, 0))/1000</f>
        <v>0</v>
      </c>
      <c r="DD55" s="229">
        <f t="array" ref="DD55">INDEX(Demand_current!$D$4:$AY$138, MATCH($A55, Demand_current!$B$4:$B$138, 0), MATCH(DD$4&amp;DD$5,Demand_current!$D$2:$AY$2&amp;Demand_current!$D$3:$AY$3, 0))/1000</f>
        <v>0</v>
      </c>
      <c r="DE55" s="229">
        <f t="array" ref="DE55">INDEX(Demand_current!$D$4:$AY$138, MATCH($A55, Demand_current!$B$4:$B$138, 0), MATCH(DE$4&amp;DE$5,Demand_current!$D$2:$AY$2&amp;Demand_current!$D$3:$AY$3, 0))/1000</f>
        <v>0</v>
      </c>
      <c r="DF55" s="229">
        <f t="array" ref="DF55">INDEX(Demand_current!$D$4:$AY$138, MATCH($A55, Demand_current!$B$4:$B$138, 0), MATCH(DF$4&amp;DF$5,Demand_current!$D$2:$AY$2&amp;Demand_current!$D$3:$AY$3, 0))/1000</f>
        <v>0</v>
      </c>
      <c r="DG55" s="229">
        <f t="array" ref="DG55">INDEX(Demand_current!$D$4:$AY$138, MATCH($A55, Demand_current!$B$4:$B$138, 0), MATCH(DG$4&amp;DG$5,Demand_current!$D$2:$AY$2&amp;Demand_current!$D$3:$AY$3, 0))/1000</f>
        <v>0</v>
      </c>
      <c r="DH55" s="229">
        <f t="array" ref="DH55">INDEX(Demand_current!$D$4:$AY$138, MATCH($A55, Demand_current!$B$4:$B$138, 0), MATCH(DH$4&amp;DH$5,Demand_current!$D$2:$AY$2&amp;Demand_current!$D$3:$AY$3, 0))/1000</f>
        <v>0</v>
      </c>
      <c r="DI55" s="229">
        <f t="array" ref="DI55">INDEX(Demand_current!$D$4:$AY$138, MATCH($A55, Demand_current!$B$4:$B$138, 0), MATCH(DI$4&amp;DI$5,Demand_current!$D$2:$AY$2&amp;Demand_current!$D$3:$AY$3, 0))/1000</f>
        <v>0</v>
      </c>
      <c r="DJ55" s="227">
        <f>$BT55*(VLOOKUP(DJ$4, Rates_current!$G$6:$Q$29, 10, FALSE)+VLOOKUP(DJ$4, Rates_current!$G$6:$Q$29, 11, FALSE))</f>
        <v>11908.522780203599</v>
      </c>
      <c r="DK55" s="227">
        <f>$BT55*(VLOOKUP(DK$4, Rates_current!$G$6:$Q$29, 10, FALSE)+VLOOKUP(DK$4, Rates_current!$G$6:$Q$29, 11, FALSE))</f>
        <v>15127.538866704899</v>
      </c>
      <c r="DL55" s="227">
        <f>$BT55*(VLOOKUP(DL$4, Rates_current!$G$6:$Q$29, 10, FALSE)+VLOOKUP(DL$4, Rates_current!$G$6:$Q$29, 11, FALSE))</f>
        <v>14944.853365503601</v>
      </c>
      <c r="DM55" s="227">
        <f>$BT55*(VLOOKUP(DM$4, Rates_current!$G$6:$Q$29, 10, FALSE)+VLOOKUP(DM$4, Rates_current!$G$6:$Q$29, 11, FALSE))</f>
        <v>12457.445528703602</v>
      </c>
      <c r="DN55" s="227">
        <f>$BT55*(VLOOKUP(DN$4, Rates_current!$G$6:$Q$29, 10, FALSE)+VLOOKUP(DN$4, Rates_current!$G$6:$Q$29, 11, FALSE))</f>
        <v>11285.153288879999</v>
      </c>
      <c r="DO55" s="227">
        <f>$BT55*(VLOOKUP(DO$4, Rates_current!$G$6:$Q$29, 10, FALSE)+VLOOKUP(DO$4, Rates_current!$G$6:$Q$29, 11, FALSE))</f>
        <v>12552.6755491167</v>
      </c>
      <c r="DP55" s="227">
        <f>$BT55*(VLOOKUP(DP$4, Rates_current!$G$6:$Q$29, 10, FALSE)+VLOOKUP(DP$4, Rates_current!$G$6:$Q$29, 11, FALSE))</f>
        <v>10220.401977768001</v>
      </c>
      <c r="DQ55" s="227">
        <f>$BT55*(VLOOKUP(DQ$4, Rates_current!$G$6:$Q$29, 10, FALSE)+VLOOKUP(DQ$4, Rates_current!$G$6:$Q$29, 11, FALSE))</f>
        <v>13783.736097753601</v>
      </c>
      <c r="DR55" s="227">
        <f>$BT55*(VLOOKUP(DR$4, Rates_current!$G$6:$Q$29, 10, FALSE)+VLOOKUP(DR$4, Rates_current!$G$6:$Q$29, 11, FALSE))</f>
        <v>17587.109809218</v>
      </c>
      <c r="DS55" s="227">
        <f>$BT55*(VLOOKUP(DS$4, Rates_current!$G$6:$Q$29, 10, FALSE)+VLOOKUP(DS$4, Rates_current!$G$6:$Q$29, 11, FALSE))</f>
        <v>13788.851742603601</v>
      </c>
      <c r="DT55" s="227">
        <f>$BT55*(VLOOKUP(DT$4, Rates_current!$G$6:$Q$29, 10, FALSE)+VLOOKUP(DT$4, Rates_current!$G$6:$Q$29, 11, FALSE))</f>
        <v>13427.5959160536</v>
      </c>
      <c r="DU55" s="227">
        <f>$BT55*(VLOOKUP(DU$4, Rates_current!$G$6:$Q$29, 10, FALSE)+VLOOKUP(DU$4, Rates_current!$G$6:$Q$29, 11, FALSE))</f>
        <v>12055.124714868001</v>
      </c>
      <c r="DV55" s="229">
        <f>IF(D55=0,IF(C55=0,MAX(0,DY55 - (VLOOKUP($A55,TOCA_current!$A$2:$AI$137,MATCH("RHWM 2020",TOCA_current!$A$2:$AI$2,0),FALSE)*$BT$2)), 0),0)</f>
        <v>0</v>
      </c>
      <c r="DW55" s="266">
        <f>VLOOKUP($A55,REP_current!$A$1:$D$135,MATCH("FY "&amp;$BT$1&amp; " Total Refund",REP_current!$A$1:$D$1,0),0)</f>
        <v>0</v>
      </c>
      <c r="DX55" s="295">
        <f>MIN(VLOOKUP($A55,TOCA_current!$A$2:$AI$137,MATCH("TRL - NLSL - Existing Resource "&amp;$BT$1,TOCA_current!$A$2:$AI$2,0),FALSE)*$BT$2, VLOOKUP($A55,TOCA_current!$A$2:$AI$137,MATCH("RHWM 2020",TOCA_current!$A$2:$AI$2,0),FALSE)*$BT$2)</f>
        <v>159139.728</v>
      </c>
      <c r="DY55" s="240">
        <f>SUM(BZ55:CW55)+(BT55*RT1SC!$C$4*$BT$2)</f>
        <v>159139.01561057279</v>
      </c>
      <c r="DZ55" s="271">
        <f>VLOOKUP($A55,TOCA_current!$A$2:$AI$137,MATCH("Above RHWM Not Served with LS "&amp;$BT$1,TOCA_current!$A$2:$AI$2,0),FALSE)*$BT$2</f>
        <v>0</v>
      </c>
      <c r="EA55" s="244">
        <f t="shared" si="13"/>
        <v>-0.71238942720810883</v>
      </c>
      <c r="EB55" s="295">
        <f>(VLOOKUP($A55,TOCA_current!$A$2:$AI$137,MATCH("RHWM 2020",TOCA_current!$A$2:$AI$2,0),FALSE)*$BT$2) - $DX55</f>
        <v>2828.448000000004</v>
      </c>
      <c r="EC55" s="240">
        <f t="shared" si="14"/>
        <v>0</v>
      </c>
      <c r="ED55" s="240">
        <f t="shared" si="15"/>
        <v>0.71238942720810883</v>
      </c>
      <c r="EE55" s="240">
        <f t="shared" si="16"/>
        <v>0</v>
      </c>
      <c r="EF55" s="240">
        <f t="shared" si="17"/>
        <v>0.71238942720810883</v>
      </c>
    </row>
    <row r="56" spans="1:136">
      <c r="A56" s="166">
        <v>10142</v>
      </c>
      <c r="B56" s="167" t="s">
        <v>57</v>
      </c>
      <c r="C56" s="240">
        <v>0</v>
      </c>
      <c r="D56" s="240">
        <v>0</v>
      </c>
      <c r="E56" s="150">
        <f>VLOOKUP($A56,TOCA_previous!$A$2:$AI$137,MATCH(E$4,TOCA_previous!$A$2:$AI$2,0),FALSE)</f>
        <v>3.8069999999999998E-4</v>
      </c>
      <c r="F56" s="151">
        <f>VLOOKUP($A56,TOCA_previous!$A$2:$AI$137,MATCH(F$4,TOCA_previous!$A$2:$AI$2,0),FALSE)</f>
        <v>3.8069999999999998E-4</v>
      </c>
      <c r="G56" s="151">
        <f t="shared" si="2"/>
        <v>0</v>
      </c>
      <c r="H56" s="151">
        <f>VLOOKUP($A56,TOCA_previous!$A$2:$AI$137,MATCH(H$4,TOCA_previous!$A$2:$AI$2,0),FALSE)</f>
        <v>3.2496200000000003E-2</v>
      </c>
      <c r="I56" s="151">
        <f t="shared" si="3"/>
        <v>0</v>
      </c>
      <c r="J56" s="151">
        <f t="shared" si="4"/>
        <v>0</v>
      </c>
      <c r="K56" s="226">
        <f>VLOOKUP(A56, IRD!$A$5:$C$139, 3, FALSE)</f>
        <v>5769.4840000000004</v>
      </c>
      <c r="L56" s="227">
        <f t="array" ref="L56">IF($G56=0, INDEX(LS_previous!$D$4:$AY$138, MATCH('Staging Table'!$A56, LS_previous!$B$4:$B$138, 0), MATCH(L$4&amp;L$5, LS_previous!$D$2:$AY$2&amp;LS_previous!$D$3:$AY$3, 0)),SUM(VLOOKUP($A56, LS_previous!$B$4:$AY$138, LS_previous!D$149, FALSE), VLOOKUP('Staging Table'!$A56, LS_previous!$B$4:$AY$138,LS_previous!AB$149, FALSE))/2)</f>
        <v>-212</v>
      </c>
      <c r="M56" s="227">
        <f t="array" ref="M56">IF($G56=0, INDEX(LS_previous!$D$4:$AY$138, MATCH('Staging Table'!$A56, LS_previous!$B$4:$B$138, 0), MATCH(M$4&amp;M$5, LS_previous!$D$2:$AY$2&amp;LS_previous!$D$3:$AY$3, 0)),SUM(VLOOKUP($A56, LS_previous!$B$4:$AY$138, LS_previous!E$149, FALSE), VLOOKUP('Staging Table'!$A56, LS_previous!$B$4:$AY$138,LS_previous!AC$149, FALSE))/2)</f>
        <v>-27</v>
      </c>
      <c r="N56" s="227">
        <f t="array" ref="N56">IF($G56=0, INDEX(LS_previous!$D$4:$AY$138, MATCH('Staging Table'!$A56, LS_previous!$B$4:$B$138, 0), MATCH(N$4&amp;N$5, LS_previous!$D$2:$AY$2&amp;LS_previous!$D$3:$AY$3, 0)),SUM(VLOOKUP($A56, LS_previous!$B$4:$AY$138, LS_previous!F$149, FALSE), VLOOKUP('Staging Table'!$A56, LS_previous!$B$4:$AY$138,LS_previous!AD$149, FALSE))/2)</f>
        <v>-481</v>
      </c>
      <c r="O56" s="227">
        <f t="array" ref="O56">IF($G56=0, INDEX(LS_previous!$D$4:$AY$138, MATCH('Staging Table'!$A56, LS_previous!$B$4:$B$138, 0), MATCH(O$4&amp;O$5, LS_previous!$D$2:$AY$2&amp;LS_previous!$D$3:$AY$3, 0)),SUM(VLOOKUP($A56, LS_previous!$B$4:$AY$138, LS_previous!G$149, FALSE), VLOOKUP('Staging Table'!$A56, LS_previous!$B$4:$AY$138,LS_previous!AE$149, FALSE))/2)</f>
        <v>-144</v>
      </c>
      <c r="P56" s="227">
        <f t="array" ref="P56">IF($G56=0, INDEX(LS_previous!$D$4:$AY$138, MATCH('Staging Table'!$A56, LS_previous!$B$4:$B$138, 0), MATCH(P$4&amp;P$5, LS_previous!$D$2:$AY$2&amp;LS_previous!$D$3:$AY$3, 0)),SUM(VLOOKUP($A56, LS_previous!$B$4:$AY$138, LS_previous!H$149, FALSE), VLOOKUP('Staging Table'!$A56, LS_previous!$B$4:$AY$138,LS_previous!AF$149, FALSE))/2)</f>
        <v>-218</v>
      </c>
      <c r="Q56" s="227">
        <f t="array" ref="Q56">IF($G56=0, INDEX(LS_previous!$D$4:$AY$138, MATCH('Staging Table'!$A56, LS_previous!$B$4:$B$138, 0), MATCH(Q$4&amp;Q$5, LS_previous!$D$2:$AY$2&amp;LS_previous!$D$3:$AY$3, 0)),SUM(VLOOKUP($A56, LS_previous!$B$4:$AY$138, LS_previous!I$149, FALSE), VLOOKUP('Staging Table'!$A56, LS_previous!$B$4:$AY$138,LS_previous!AG$149, FALSE))/2)</f>
        <v>77</v>
      </c>
      <c r="R56" s="227">
        <f t="array" ref="R56">IF($G56=0, INDEX(LS_previous!$D$4:$AY$138, MATCH('Staging Table'!$A56, LS_previous!$B$4:$B$138, 0), MATCH(R$4&amp;R$5, LS_previous!$D$2:$AY$2&amp;LS_previous!$D$3:$AY$3, 0)),SUM(VLOOKUP($A56, LS_previous!$B$4:$AY$138, LS_previous!J$149, FALSE), VLOOKUP('Staging Table'!$A56, LS_previous!$B$4:$AY$138,LS_previous!AH$149, FALSE))/2)</f>
        <v>17</v>
      </c>
      <c r="S56" s="227">
        <f t="array" ref="S56">IF($G56=0, INDEX(LS_previous!$D$4:$AY$138, MATCH('Staging Table'!$A56, LS_previous!$B$4:$B$138, 0), MATCH(S$4&amp;S$5, LS_previous!$D$2:$AY$2&amp;LS_previous!$D$3:$AY$3, 0)),SUM(VLOOKUP($A56, LS_previous!$B$4:$AY$138, LS_previous!K$149, FALSE), VLOOKUP('Staging Table'!$A56, LS_previous!$B$4:$AY$138,LS_previous!AI$149, FALSE))/2)</f>
        <v>146</v>
      </c>
      <c r="T56" s="227">
        <f t="array" ref="T56">IF($G56=0, INDEX(LS_previous!$D$4:$AY$138, MATCH('Staging Table'!$A56, LS_previous!$B$4:$B$138, 0), MATCH(T$4&amp;T$5, LS_previous!$D$2:$AY$2&amp;LS_previous!$D$3:$AY$3, 0)),SUM(VLOOKUP($A56, LS_previous!$B$4:$AY$138, LS_previous!L$149, FALSE), VLOOKUP('Staging Table'!$A56, LS_previous!$B$4:$AY$138,LS_previous!AJ$149, FALSE))/2)</f>
        <v>24</v>
      </c>
      <c r="U56" s="227">
        <f t="array" ref="U56">IF($G56=0, INDEX(LS_previous!$D$4:$AY$138, MATCH('Staging Table'!$A56, LS_previous!$B$4:$B$138, 0), MATCH(U$4&amp;U$5, LS_previous!$D$2:$AY$2&amp;LS_previous!$D$3:$AY$3, 0)),SUM(VLOOKUP($A56, LS_previous!$B$4:$AY$138, LS_previous!M$149, FALSE), VLOOKUP('Staging Table'!$A56, LS_previous!$B$4:$AY$138,LS_previous!AK$149, FALSE))/2)</f>
        <v>110</v>
      </c>
      <c r="V56" s="227">
        <f t="array" ref="V56">IF($G56=0, INDEX(LS_previous!$D$4:$AY$138, MATCH('Staging Table'!$A56, LS_previous!$B$4:$B$138, 0), MATCH(V$4&amp;V$5, LS_previous!$D$2:$AY$2&amp;LS_previous!$D$3:$AY$3, 0)),SUM(VLOOKUP($A56, LS_previous!$B$4:$AY$138, LS_previous!N$149, FALSE), VLOOKUP('Staging Table'!$A56, LS_previous!$B$4:$AY$138,LS_previous!AL$149, FALSE))/2)</f>
        <v>-339</v>
      </c>
      <c r="W56" s="227">
        <f t="array" ref="W56">IF($G56=0, INDEX(LS_previous!$D$4:$AY$138, MATCH('Staging Table'!$A56, LS_previous!$B$4:$B$138, 0), MATCH(W$4&amp;W$5, LS_previous!$D$2:$AY$2&amp;LS_previous!$D$3:$AY$3, 0)),SUM(VLOOKUP($A56, LS_previous!$B$4:$AY$138, LS_previous!O$149, FALSE), VLOOKUP('Staging Table'!$A56, LS_previous!$B$4:$AY$138,LS_previous!AM$149, FALSE))/2)</f>
        <v>-88</v>
      </c>
      <c r="X56" s="227">
        <f t="array" ref="X56">IF($G56=0, INDEX(LS_previous!$D$4:$AY$138, MATCH('Staging Table'!$A56, LS_previous!$B$4:$B$138, 0), MATCH(X$4&amp;X$5, LS_previous!$D$2:$AY$2&amp;LS_previous!$D$3:$AY$3, 0)),SUM(VLOOKUP($A56, LS_previous!$B$4:$AY$138, LS_previous!P$149, FALSE), VLOOKUP('Staging Table'!$A56, LS_previous!$B$4:$AY$138,LS_previous!AN$149, FALSE))/2)</f>
        <v>-161</v>
      </c>
      <c r="Y56" s="227">
        <f t="array" ref="Y56">IF($G56=0, INDEX(LS_previous!$D$4:$AY$138, MATCH('Staging Table'!$A56, LS_previous!$B$4:$B$138, 0), MATCH(Y$4&amp;Y$5, LS_previous!$D$2:$AY$2&amp;LS_previous!$D$3:$AY$3, 0)),SUM(VLOOKUP($A56, LS_previous!$B$4:$AY$138, LS_previous!Q$149, FALSE), VLOOKUP('Staging Table'!$A56, LS_previous!$B$4:$AY$138,LS_previous!AO$149, FALSE))/2)</f>
        <v>-24</v>
      </c>
      <c r="Z56" s="227">
        <f t="array" ref="Z56">IF($G56=0, INDEX(LS_previous!$D$4:$AY$138, MATCH('Staging Table'!$A56, LS_previous!$B$4:$B$138, 0), MATCH(Z$4&amp;Z$5, LS_previous!$D$2:$AY$2&amp;LS_previous!$D$3:$AY$3, 0)),SUM(VLOOKUP($A56, LS_previous!$B$4:$AY$138, LS_previous!R$149, FALSE), VLOOKUP('Staging Table'!$A56, LS_previous!$B$4:$AY$138,LS_previous!AP$149, FALSE))/2)</f>
        <v>-176</v>
      </c>
      <c r="AA56" s="227">
        <f t="array" ref="AA56">IF($G56=0, INDEX(LS_previous!$D$4:$AY$138, MATCH('Staging Table'!$A56, LS_previous!$B$4:$B$138, 0), MATCH(AA$4&amp;AA$5, LS_previous!$D$2:$AY$2&amp;LS_previous!$D$3:$AY$3, 0)),SUM(VLOOKUP($A56, LS_previous!$B$4:$AY$138, LS_previous!S$149, FALSE), VLOOKUP('Staging Table'!$A56, LS_previous!$B$4:$AY$138,LS_previous!AQ$149, FALSE))/2)</f>
        <v>62</v>
      </c>
      <c r="AB56" s="227">
        <f t="array" ref="AB56">IF($G56=0, INDEX(LS_previous!$D$4:$AY$138, MATCH('Staging Table'!$A56, LS_previous!$B$4:$B$138, 0), MATCH(AB$4&amp;AB$5, LS_previous!$D$2:$AY$2&amp;LS_previous!$D$3:$AY$3, 0)),SUM(VLOOKUP($A56, LS_previous!$B$4:$AY$138, LS_previous!T$149, FALSE), VLOOKUP('Staging Table'!$A56, LS_previous!$B$4:$AY$138,LS_previous!AR$149, FALSE))/2)</f>
        <v>730</v>
      </c>
      <c r="AC56" s="227">
        <f t="array" ref="AC56">IF($G56=0, INDEX(LS_previous!$D$4:$AY$138, MATCH('Staging Table'!$A56, LS_previous!$B$4:$B$138, 0), MATCH(AC$4&amp;AC$5, LS_previous!$D$2:$AY$2&amp;LS_previous!$D$3:$AY$3, 0)),SUM(VLOOKUP($A56, LS_previous!$B$4:$AY$138, LS_previous!U$149, FALSE), VLOOKUP('Staging Table'!$A56, LS_previous!$B$4:$AY$138,LS_previous!AS$149, FALSE))/2)</f>
        <v>492</v>
      </c>
      <c r="AD56" s="227">
        <f t="array" ref="AD56">IF($G56=0, INDEX(LS_previous!$D$4:$AY$138, MATCH('Staging Table'!$A56, LS_previous!$B$4:$B$138, 0), MATCH(AD$4&amp;AD$5, LS_previous!$D$2:$AY$2&amp;LS_previous!$D$3:$AY$3, 0)),SUM(VLOOKUP($A56, LS_previous!$B$4:$AY$138, LS_previous!V$149, FALSE), VLOOKUP('Staging Table'!$A56, LS_previous!$B$4:$AY$138,LS_previous!AT$149, FALSE))/2)</f>
        <v>965</v>
      </c>
      <c r="AE56" s="227">
        <f t="array" ref="AE56">IF($G56=0, INDEX(LS_previous!$D$4:$AY$138, MATCH('Staging Table'!$A56, LS_previous!$B$4:$B$138, 0), MATCH(AE$4&amp;AE$5, LS_previous!$D$2:$AY$2&amp;LS_previous!$D$3:$AY$3, 0)),SUM(VLOOKUP($A56, LS_previous!$B$4:$AY$138, LS_previous!W$149, FALSE), VLOOKUP('Staging Table'!$A56, LS_previous!$B$4:$AY$138,LS_previous!AU$149, FALSE))/2)</f>
        <v>752</v>
      </c>
      <c r="AF56" s="227">
        <f t="array" ref="AF56">IF($G56=0, INDEX(LS_previous!$D$4:$AY$138, MATCH('Staging Table'!$A56, LS_previous!$B$4:$B$138, 0), MATCH(AF$4&amp;AF$5, LS_previous!$D$2:$AY$2&amp;LS_previous!$D$3:$AY$3, 0)),SUM(VLOOKUP($A56, LS_previous!$B$4:$AY$138, LS_previous!X$149, FALSE), VLOOKUP('Staging Table'!$A56, LS_previous!$B$4:$AY$138,LS_previous!AV$149, FALSE))/2)</f>
        <v>536</v>
      </c>
      <c r="AG56" s="227">
        <f t="array" ref="AG56">IF($G56=0, INDEX(LS_previous!$D$4:$AY$138, MATCH('Staging Table'!$A56, LS_previous!$B$4:$B$138, 0), MATCH(AG$4&amp;AG$5, LS_previous!$D$2:$AY$2&amp;LS_previous!$D$3:$AY$3, 0)),SUM(VLOOKUP($A56, LS_previous!$B$4:$AY$138, LS_previous!Y$149, FALSE), VLOOKUP('Staging Table'!$A56, LS_previous!$B$4:$AY$138,LS_previous!AW$149, FALSE))/2)</f>
        <v>463</v>
      </c>
      <c r="AH56" s="227">
        <f t="array" ref="AH56">IF($G56=0, INDEX(LS_previous!$D$4:$AY$138, MATCH('Staging Table'!$A56, LS_previous!$B$4:$B$138, 0), MATCH(AH$4&amp;AH$5, LS_previous!$D$2:$AY$2&amp;LS_previous!$D$3:$AY$3, 0)),SUM(VLOOKUP($A56, LS_previous!$B$4:$AY$138, LS_previous!Z$149, FALSE), VLOOKUP('Staging Table'!$A56, LS_previous!$B$4:$AY$138,LS_previous!AX$149, FALSE))/2)</f>
        <v>142</v>
      </c>
      <c r="AI56" s="227">
        <f t="array" ref="AI56">IF($G56=0, INDEX(LS_previous!$D$4:$AY$138, MATCH('Staging Table'!$A56, LS_previous!$B$4:$B$138, 0), MATCH(AI$4&amp;AI$5, LS_previous!$D$2:$AY$2&amp;LS_previous!$D$3:$AY$3, 0)),SUM(VLOOKUP($A56, LS_previous!$B$4:$AY$138, LS_previous!AA$149, FALSE), VLOOKUP('Staging Table'!$A56, LS_previous!$B$4:$AY$138,LS_previous!AY$149, FALSE))/2)</f>
        <v>160</v>
      </c>
      <c r="AJ56" s="424">
        <f t="array" ref="AJ56">INDEX(Demand_previous!$D$4:$AY$138, MATCH('Staging Table'!$A56, Demand_previous!$B$4:$B$138, 0), MATCH(AJ$4&amp;AJ$5,Demand_previous!$D$2:$AY$2&amp;Demand_previous!$D$3:$AY$3, 0))/1000</f>
        <v>0.625</v>
      </c>
      <c r="AK56" s="424">
        <f t="array" ref="AK56">INDEX(Demand_previous!$D$4:$AY$138, MATCH('Staging Table'!$A56, Demand_previous!$B$4:$B$138, 0), MATCH(AK$4&amp;AK$5,Demand_previous!$D$2:$AY$2&amp;Demand_previous!$D$3:$AY$3, 0))/1000</f>
        <v>0.42199999999999999</v>
      </c>
      <c r="AL56" s="424">
        <f t="array" ref="AL56">INDEX(Demand_previous!$D$4:$AY$138, MATCH('Staging Table'!$A56, Demand_previous!$B$4:$B$138, 0), MATCH(AL$4&amp;AL$5,Demand_previous!$D$2:$AY$2&amp;Demand_previous!$D$3:$AY$3, 0))/1000</f>
        <v>0.94699999999999995</v>
      </c>
      <c r="AM56" s="424">
        <f t="array" ref="AM56">INDEX(Demand_previous!$D$4:$AY$138, MATCH('Staging Table'!$A56, Demand_previous!$B$4:$B$138, 0), MATCH(AM$4&amp;AM$5,Demand_previous!$D$2:$AY$2&amp;Demand_previous!$D$3:$AY$3, 0))/1000</f>
        <v>0.43</v>
      </c>
      <c r="AN56" s="424">
        <f t="array" ref="AN56">INDEX(Demand_previous!$D$4:$AY$138, MATCH('Staging Table'!$A56, Demand_previous!$B$4:$B$138, 0), MATCH(AN$4&amp;AN$5,Demand_previous!$D$2:$AY$2&amp;Demand_previous!$D$3:$AY$3, 0))/1000</f>
        <v>0.22500000000000001</v>
      </c>
      <c r="AO56" s="424">
        <f t="array" ref="AO56">INDEX(Demand_previous!$D$4:$AY$138, MATCH('Staging Table'!$A56, Demand_previous!$B$4:$B$138, 0), MATCH(AO$4&amp;AO$5,Demand_previous!$D$2:$AY$2&amp;Demand_previous!$D$3:$AY$3, 0))/1000</f>
        <v>0.48299999999999998</v>
      </c>
      <c r="AP56" s="424">
        <f t="array" ref="AP56">INDEX(Demand_previous!$D$4:$AY$138, MATCH('Staging Table'!$A56, Demand_previous!$B$4:$B$138, 0), MATCH(AP$4&amp;AP$5,Demand_previous!$D$2:$AY$2&amp;Demand_previous!$D$3:$AY$3, 0))/1000</f>
        <v>0.26200000000000001</v>
      </c>
      <c r="AQ56" s="424">
        <f t="array" ref="AQ56">INDEX(Demand_previous!$D$4:$AY$138, MATCH('Staging Table'!$A56, Demand_previous!$B$4:$B$138, 0), MATCH(AQ$4&amp;AQ$5,Demand_previous!$D$2:$AY$2&amp;Demand_previous!$D$3:$AY$3, 0))/1000</f>
        <v>0.32900000000000001</v>
      </c>
      <c r="AR56" s="424">
        <f t="array" ref="AR56">INDEX(Demand_previous!$D$4:$AY$138, MATCH('Staging Table'!$A56, Demand_previous!$B$4:$B$138, 0), MATCH(AR$4&amp;AR$5,Demand_previous!$D$2:$AY$2&amp;Demand_previous!$D$3:$AY$3, 0))/1000</f>
        <v>0.74099999999999999</v>
      </c>
      <c r="AS56" s="424">
        <f t="array" ref="AS56">INDEX(Demand_previous!$D$4:$AY$138, MATCH('Staging Table'!$A56, Demand_previous!$B$4:$B$138, 0), MATCH(AS$4&amp;AS$5,Demand_previous!$D$2:$AY$2&amp;Demand_previous!$D$3:$AY$3, 0))/1000</f>
        <v>0.81100000000000005</v>
      </c>
      <c r="AT56" s="424">
        <f t="array" ref="AT56">INDEX(Demand_previous!$D$4:$AY$138, MATCH('Staging Table'!$A56, Demand_previous!$B$4:$B$138, 0), MATCH(AT$4&amp;AT$5,Demand_previous!$D$2:$AY$2&amp;Demand_previous!$D$3:$AY$3, 0))/1000</f>
        <v>0.89900000000000002</v>
      </c>
      <c r="AU56" s="424">
        <f t="array" ref="AU56">INDEX(Demand_previous!$D$4:$AY$138, MATCH('Staging Table'!$A56, Demand_previous!$B$4:$B$138, 0), MATCH(AU$4&amp;AU$5,Demand_previous!$D$2:$AY$2&amp;Demand_previous!$D$3:$AY$3, 0))/1000</f>
        <v>0.19900000000000001</v>
      </c>
      <c r="AV56" s="227">
        <f>$F56*(VLOOKUP(AV$4, Rates_previous!$G$6:$Q$29, 10, FALSE)+VLOOKUP(AV$4, Rates_previous!$G$6:$Q$29, 11, FALSE))</f>
        <v>1785.0405361416824</v>
      </c>
      <c r="AW56" s="227">
        <f>$F56*(VLOOKUP(AW$4, Rates_previous!$G$6:$Q$29, 10, FALSE)+VLOOKUP(AW$4, Rates_previous!$G$6:$Q$29, 11, FALSE))</f>
        <v>2206.1744324004799</v>
      </c>
      <c r="AX56" s="227">
        <f>$F56*(VLOOKUP(AX$4, Rates_previous!$G$6:$Q$29, 10, FALSE)+VLOOKUP(AX$4, Rates_previous!$G$6:$Q$29, 11, FALSE))</f>
        <v>2179.6809161794263</v>
      </c>
      <c r="AY56" s="227">
        <f>$F56*(VLOOKUP(AY$4, Rates_previous!$G$6:$Q$29, 10, FALSE)+VLOOKUP(AY$4, Rates_previous!$G$6:$Q$29, 11, FALSE))</f>
        <v>1862.3295849714118</v>
      </c>
      <c r="AZ56" s="227">
        <f>$F56*(VLOOKUP(AZ$4, Rates_previous!$G$6:$Q$29, 10, FALSE)+VLOOKUP(AZ$4, Rates_previous!$G$6:$Q$29, 11, FALSE))</f>
        <v>1526.7490214691632</v>
      </c>
      <c r="BA56" s="227">
        <f>$F56*(VLOOKUP(BA$4, Rates_previous!$G$6:$Q$29, 10, FALSE)+VLOOKUP(BA$4, Rates_previous!$G$6:$Q$29, 11, FALSE))</f>
        <v>1807.6153847483367</v>
      </c>
      <c r="BB56" s="227">
        <f>$F56*(VLOOKUP(BB$4, Rates_previous!$G$6:$Q$29, 10, FALSE)+VLOOKUP(BB$4, Rates_previous!$G$6:$Q$29, 11, FALSE))</f>
        <v>1737.3813184421565</v>
      </c>
      <c r="BC56" s="227">
        <f>$F56*(VLOOKUP(BC$4, Rates_previous!$G$6:$Q$29, 10, FALSE)+VLOOKUP(BC$4, Rates_previous!$G$6:$Q$29, 11, FALSE))</f>
        <v>2549.4841429382932</v>
      </c>
      <c r="BD56" s="227">
        <f>$F56*(VLOOKUP(BD$4, Rates_previous!$G$6:$Q$29, 10, FALSE)+VLOOKUP(BD$4, Rates_previous!$G$6:$Q$29, 11, FALSE))</f>
        <v>2011.4756050910416</v>
      </c>
      <c r="BE56" s="227">
        <f>$F56*(VLOOKUP(BE$4, Rates_previous!$G$6:$Q$29, 10, FALSE)+VLOOKUP(BE$4, Rates_previous!$G$6:$Q$29, 11, FALSE))</f>
        <v>1766.244415541451</v>
      </c>
      <c r="BF56" s="227">
        <f>$F56*(VLOOKUP(BF$4, Rates_previous!$G$6:$Q$29, 10, FALSE)+VLOOKUP(BF$4, Rates_previous!$G$6:$Q$29, 11, FALSE))</f>
        <v>1956.186388936376</v>
      </c>
      <c r="BG56" s="227">
        <f>$F56*(VLOOKUP(BG$4, Rates_previous!$G$6:$Q$29, 10, FALSE)+VLOOKUP(BG$4, Rates_previous!$G$6:$Q$29, 11, FALSE))</f>
        <v>1772.2270757192296</v>
      </c>
      <c r="BH56" s="229">
        <f>IF($D56=0,IF(C56=0, MAX(BK56 - (VLOOKUP($A56,TOCA_previous!$A$2:$AI$137,MATCH("RHWM 2018",TOCA_previous!$A$2:$AI$2,0),FALSE)*$F$2*TOCA_previous!C53),0),0), 0)</f>
        <v>2805.1491604719922</v>
      </c>
      <c r="BI56" s="266">
        <f>VLOOKUP($A56,REP_previous!$A$1:$D$135,MATCH("FY "&amp;$F$1&amp; " Total Refund",REP_previous!$A$1:$D$1,0),0)</f>
        <v>15101.354368560689</v>
      </c>
      <c r="BJ56" s="241">
        <f>MIN(VLOOKUP($A56,TOCA_previous!$A$2:$AI$137,MATCH("TRL - NLSL - Existing Resource "&amp;$F$1,TOCA_previous!$A$2:$AI$2,0),FALSE)*$F$2,(VLOOKUP($A56,TOCA_previous!$A$2:$AI$137,MATCH("RHWM 2018",TOCA_previous!$A$2:$AI$2,0),FALSE)*$F$2))</f>
        <v>23161.440000000002</v>
      </c>
      <c r="BK56" s="229">
        <f>SUM(L56:AI56)+(F56*RT1SC!$C$3*$F$2)</f>
        <v>25966.589160471995</v>
      </c>
      <c r="BL56" s="241">
        <f>VLOOKUP($A56,TOCA_previous!$A$2:$AI$137,MATCH("Above RHWM Not Served with LS "&amp;$F$1,TOCA_previous!$A$2:$AI$2,0),FALSE)*$F$2</f>
        <v>0</v>
      </c>
      <c r="BM56" s="151">
        <f t="shared" si="5"/>
        <v>2805.1491604719922</v>
      </c>
      <c r="BN56" s="242">
        <f>(VLOOKUP($A56,TOCA_previous!$A$2:$AI$137,MATCH("RHWM 2018",TOCA_previous!$A$2:$AI$2,0),FALSE)*$F$2) - $BJ56</f>
        <v>0</v>
      </c>
      <c r="BO56" s="151">
        <f t="shared" si="6"/>
        <v>0</v>
      </c>
      <c r="BP56" s="243">
        <f t="shared" si="7"/>
        <v>0</v>
      </c>
      <c r="BQ56" s="237">
        <f t="shared" si="8"/>
        <v>0</v>
      </c>
      <c r="BR56" s="242">
        <f t="shared" si="9"/>
        <v>0</v>
      </c>
      <c r="BS56" s="151">
        <f>VLOOKUP($A56,TOCA_current!$A$2:$AI$137,MATCH(BS$4,TOCA_current!$A$2:$AI$2,0),FALSE)</f>
        <v>3.8049999999999998E-4</v>
      </c>
      <c r="BT56" s="151">
        <f>VLOOKUP($A56,TOCA_current!$A$2:$AI$137,MATCH(BT$4,TOCA_current!$A$2:$AI$2,0),FALSE)</f>
        <v>3.8049999999999998E-4</v>
      </c>
      <c r="BU56" s="236">
        <f t="shared" si="10"/>
        <v>0</v>
      </c>
      <c r="BV56" s="151">
        <f>VLOOKUP($A56,TOCA_current!A52:BG187,MATCH(BV$4,TOCA_current!$A$2:$BG$2,0),FALSE)</f>
        <v>3.2962999999999999E-2</v>
      </c>
      <c r="BW56" s="151">
        <f t="shared" si="11"/>
        <v>0</v>
      </c>
      <c r="BX56" s="151">
        <f t="shared" si="12"/>
        <v>0</v>
      </c>
      <c r="BY56" s="226">
        <f>VLOOKUP($A56,IRD!$A$4:$G$139, 7, FALSE)</f>
        <v>5769.4840000000004</v>
      </c>
      <c r="BZ56" s="227">
        <f t="array" ref="BZ56">IF($BU56=0, INDEX(LS_current!$D$4:$AY$138, MATCH('Staging Table'!$A56, LS_current!$B$4:$B$138, 0), MATCH(BZ$4&amp;BZ$5, LS_current!$D$2:$AY$2&amp;LS_current!$D$3:$AY$3, 0)),SUM(VLOOKUP($A56, LS_current!$B$4:$AY$138, LS_current!D$148, FALSE), VLOOKUP($A56, LS_current!$B$4:$AY$138,LS_current!D$148, FALSE))/2)</f>
        <v>-196</v>
      </c>
      <c r="CA56" s="227">
        <f t="array" ref="CA56">IF($BU56=0, INDEX(LS_current!$D$4:$AY$138, MATCH('Staging Table'!$A56, LS_current!$B$4:$B$138, 0), MATCH(CA$4&amp;CA$5, LS_current!$D$2:$AY$2&amp;LS_current!$D$3:$AY$3, 0)),SUM(VLOOKUP($A56, LS_current!$B$4:$AY$138, LS_current!E$148, FALSE), VLOOKUP($A56, LS_current!$B$4:$AY$138,LS_current!E$148, FALSE))/2)</f>
        <v>-15</v>
      </c>
      <c r="CB56" s="227">
        <f t="array" ref="CB56">IF($BU56=0, INDEX(LS_current!$D$4:$AY$138, MATCH('Staging Table'!$A56, LS_current!$B$4:$B$138, 0), MATCH(CB$4&amp;CB$5, LS_current!$D$2:$AY$2&amp;LS_current!$D$3:$AY$3, 0)),SUM(VLOOKUP($A56, LS_current!$B$4:$AY$138, LS_current!F$148, FALSE), VLOOKUP($A56, LS_current!$B$4:$AY$138,LS_current!F$148, FALSE))/2)</f>
        <v>-490</v>
      </c>
      <c r="CC56" s="227">
        <f t="array" ref="CC56">IF($BU56=0, INDEX(LS_current!$D$4:$AY$138, MATCH('Staging Table'!$A56, LS_current!$B$4:$B$138, 0), MATCH(CC$4&amp;CC$5, LS_current!$D$2:$AY$2&amp;LS_current!$D$3:$AY$3, 0)),SUM(VLOOKUP($A56, LS_current!$B$4:$AY$138, LS_current!G$148, FALSE), VLOOKUP($A56, LS_current!$B$4:$AY$138,LS_current!G$148, FALSE))/2)</f>
        <v>-161</v>
      </c>
      <c r="CD56" s="227">
        <f t="array" ref="CD56">IF($BU56=0, INDEX(LS_current!$D$4:$AY$138, MATCH('Staging Table'!$A56, LS_current!$B$4:$B$138, 0), MATCH(CD$4&amp;CD$5, LS_current!$D$2:$AY$2&amp;LS_current!$D$3:$AY$3, 0)),SUM(VLOOKUP($A56, LS_current!$B$4:$AY$138, LS_current!H$148, FALSE), VLOOKUP($A56, LS_current!$B$4:$AY$138,LS_current!H$148, FALSE))/2)</f>
        <v>-229</v>
      </c>
      <c r="CE56" s="227">
        <f t="array" ref="CE56">IF($BU56=0, INDEX(LS_current!$D$4:$AY$138, MATCH('Staging Table'!$A56, LS_current!$B$4:$B$138, 0), MATCH(CE$4&amp;CE$5, LS_current!$D$2:$AY$2&amp;LS_current!$D$3:$AY$3, 0)),SUM(VLOOKUP($A56, LS_current!$B$4:$AY$138, LS_current!I$148, FALSE), VLOOKUP($A56, LS_current!$B$4:$AY$138,LS_current!I$148, FALSE))/2)</f>
        <v>63</v>
      </c>
      <c r="CF56" s="227">
        <f t="array" ref="CF56">IF($BU56=0, INDEX(LS_current!$D$4:$AY$138, MATCH('Staging Table'!$A56, LS_current!$B$4:$B$138, 0), MATCH(CF$4&amp;CF$5, LS_current!$D$2:$AY$2&amp;LS_current!$D$3:$AY$3, 0)),SUM(VLOOKUP($A56, LS_current!$B$4:$AY$138, LS_current!J$148, FALSE), VLOOKUP($A56, LS_current!$B$4:$AY$138,LS_current!J$148, FALSE))/2)</f>
        <v>12</v>
      </c>
      <c r="CG56" s="227">
        <f t="array" ref="CG56">IF($BU56=0, INDEX(LS_current!$D$4:$AY$138, MATCH('Staging Table'!$A56, LS_current!$B$4:$B$138, 0), MATCH(CG$4&amp;CG$5, LS_current!$D$2:$AY$2&amp;LS_current!$D$3:$AY$3, 0)),SUM(VLOOKUP($A56, LS_current!$B$4:$AY$138, LS_current!K$148, FALSE), VLOOKUP($A56, LS_current!$B$4:$AY$138,LS_current!K$148, FALSE))/2)</f>
        <v>175</v>
      </c>
      <c r="CH56" s="227">
        <f t="array" ref="CH56">IF($BU56=0, INDEX(LS_current!$D$4:$AY$138, MATCH('Staging Table'!$A56, LS_current!$B$4:$B$138, 0), MATCH(CH$4&amp;CH$5, LS_current!$D$2:$AY$2&amp;LS_current!$D$3:$AY$3, 0)),SUM(VLOOKUP($A56, LS_current!$B$4:$AY$138, LS_current!L$148, FALSE), VLOOKUP($A56, LS_current!$B$4:$AY$138,LS_current!L$148, FALSE))/2)</f>
        <v>-62</v>
      </c>
      <c r="CI56" s="227">
        <f t="array" ref="CI56">IF($BU56=0, INDEX(LS_current!$D$4:$AY$138, MATCH('Staging Table'!$A56, LS_current!$B$4:$B$138, 0), MATCH(CI$4&amp;CI$5, LS_current!$D$2:$AY$2&amp;LS_current!$D$3:$AY$3, 0)),SUM(VLOOKUP($A56, LS_current!$B$4:$AY$138, LS_current!M$148, FALSE), VLOOKUP($A56, LS_current!$B$4:$AY$138,LS_current!M$148, FALSE))/2)</f>
        <v>58</v>
      </c>
      <c r="CJ56" s="227">
        <f t="array" ref="CJ56">IF($BU56=0, INDEX(LS_current!$D$4:$AY$138, MATCH('Staging Table'!$A56, LS_current!$B$4:$B$138, 0), MATCH(CJ$4&amp;CJ$5, LS_current!$D$2:$AY$2&amp;LS_current!$D$3:$AY$3, 0)),SUM(VLOOKUP($A56, LS_current!$B$4:$AY$138, LS_current!N$148, FALSE), VLOOKUP($A56, LS_current!$B$4:$AY$138,LS_current!N$148, FALSE))/2)</f>
        <v>-373</v>
      </c>
      <c r="CK56" s="227">
        <f t="array" ref="CK56">IF($BU56=0, INDEX(LS_current!$D$4:$AY$138, MATCH('Staging Table'!$A56, LS_current!$B$4:$B$138, 0), MATCH(CK$4&amp;CK$5, LS_current!$D$2:$AY$2&amp;LS_current!$D$3:$AY$3, 0)),SUM(VLOOKUP($A56, LS_current!$B$4:$AY$138, LS_current!O$148, FALSE), VLOOKUP($A56, LS_current!$B$4:$AY$138,LS_current!O$148, FALSE))/2)</f>
        <v>-98</v>
      </c>
      <c r="CL56" s="227">
        <f t="array" ref="CL56">IF($BU56=0, INDEX(LS_current!$D$4:$AY$138, MATCH('Staging Table'!$A56, LS_current!$B$4:$B$138, 0), MATCH(CL$4&amp;CL$5, LS_current!$D$2:$AY$2&amp;LS_current!$D$3:$AY$3, 0)),SUM(VLOOKUP($A56, LS_current!$B$4:$AY$138, LS_current!P$148, FALSE), VLOOKUP($A56, LS_current!$B$4:$AY$138,LS_current!P$148, FALSE))/2)</f>
        <v>7</v>
      </c>
      <c r="CM56" s="227">
        <f t="array" ref="CM56">IF($BU56=0, INDEX(LS_current!$D$4:$AY$138, MATCH('Staging Table'!$A56, LS_current!$B$4:$B$138, 0), MATCH(CM$4&amp;CM$5, LS_current!$D$2:$AY$2&amp;LS_current!$D$3:$AY$3, 0)),SUM(VLOOKUP($A56, LS_current!$B$4:$AY$138, LS_current!Q$148, FALSE), VLOOKUP($A56, LS_current!$B$4:$AY$138,LS_current!Q$148, FALSE))/2)</f>
        <v>37</v>
      </c>
      <c r="CN56" s="227">
        <f t="array" ref="CN56">IF($BU56=0, INDEX(LS_current!$D$4:$AY$138, MATCH('Staging Table'!$A56, LS_current!$B$4:$B$138, 0), MATCH(CN$4&amp;CN$5, LS_current!$D$2:$AY$2&amp;LS_current!$D$3:$AY$3, 0)),SUM(VLOOKUP($A56, LS_current!$B$4:$AY$138, LS_current!R$148, FALSE), VLOOKUP($A56, LS_current!$B$4:$AY$138,LS_current!R$148, FALSE))/2)</f>
        <v>129</v>
      </c>
      <c r="CO56" s="227">
        <f t="array" ref="CO56">IF($BU56=0, INDEX(LS_current!$D$4:$AY$138, MATCH('Staging Table'!$A56, LS_current!$B$4:$B$138, 0), MATCH(CO$4&amp;CO$5, LS_current!$D$2:$AY$2&amp;LS_current!$D$3:$AY$3, 0)),SUM(VLOOKUP($A56, LS_current!$B$4:$AY$138, LS_current!S$148, FALSE), VLOOKUP($A56, LS_current!$B$4:$AY$138,LS_current!S$148, FALSE))/2)</f>
        <v>273</v>
      </c>
      <c r="CP56" s="227">
        <f t="array" ref="CP56">IF($BU56=0, INDEX(LS_current!$D$4:$AY$138, MATCH('Staging Table'!$A56, LS_current!$B$4:$B$138, 0), MATCH(CP$4&amp;CP$5, LS_current!$D$2:$AY$2&amp;LS_current!$D$3:$AY$3, 0)),SUM(VLOOKUP($A56, LS_current!$B$4:$AY$138, LS_current!T$148, FALSE), VLOOKUP($A56, LS_current!$B$4:$AY$138,LS_current!T$148, FALSE))/2)</f>
        <v>362</v>
      </c>
      <c r="CQ56" s="227">
        <f t="array" ref="CQ56">IF($BU56=0, INDEX(LS_current!$D$4:$AY$138, MATCH('Staging Table'!$A56, LS_current!$B$4:$B$138, 0), MATCH(CQ$4&amp;CQ$5, LS_current!$D$2:$AY$2&amp;LS_current!$D$3:$AY$3, 0)),SUM(VLOOKUP($A56, LS_current!$B$4:$AY$138, LS_current!U$148, FALSE), VLOOKUP($A56, LS_current!$B$4:$AY$138,LS_current!U$148, FALSE))/2)</f>
        <v>277</v>
      </c>
      <c r="CR56" s="227">
        <f t="array" ref="CR56">IF($BU56=0, INDEX(LS_current!$D$4:$AY$138, MATCH('Staging Table'!$A56, LS_current!$B$4:$B$138, 0), MATCH(CR$4&amp;CR$5, LS_current!$D$2:$AY$2&amp;LS_current!$D$3:$AY$3, 0)),SUM(VLOOKUP($A56, LS_current!$B$4:$AY$138, LS_current!V$148, FALSE), VLOOKUP($A56, LS_current!$B$4:$AY$138,LS_current!V$148, FALSE))/2)</f>
        <v>719</v>
      </c>
      <c r="CS56" s="227">
        <f t="array" ref="CS56">IF($BU56=0, INDEX(LS_current!$D$4:$AY$138, MATCH('Staging Table'!$A56, LS_current!$B$4:$B$138, 0), MATCH(CS$4&amp;CS$5, LS_current!$D$2:$AY$2&amp;LS_current!$D$3:$AY$3, 0)),SUM(VLOOKUP($A56, LS_current!$B$4:$AY$138, LS_current!W$148, FALSE), VLOOKUP($A56, LS_current!$B$4:$AY$138,LS_current!W$148, FALSE))/2)</f>
        <v>730</v>
      </c>
      <c r="CT56" s="227">
        <f t="array" ref="CT56">IF($BU56=0, INDEX(LS_current!$D$4:$AY$138, MATCH('Staging Table'!$A56, LS_current!$B$4:$B$138, 0), MATCH(CT$4&amp;CT$5, LS_current!$D$2:$AY$2&amp;LS_current!$D$3:$AY$3, 0)),SUM(VLOOKUP($A56, LS_current!$B$4:$AY$138, LS_current!X$148, FALSE), VLOOKUP($A56, LS_current!$B$4:$AY$138,LS_current!X$148, FALSE))/2)</f>
        <v>487</v>
      </c>
      <c r="CU56" s="227">
        <f t="array" ref="CU56">IF($BU56=0, INDEX(LS_current!$D$4:$AY$138, MATCH('Staging Table'!$A56, LS_current!$B$4:$B$138, 0), MATCH(CU$4&amp;CU$5, LS_current!$D$2:$AY$2&amp;LS_current!$D$3:$AY$3, 0)),SUM(VLOOKUP($A56, LS_current!$B$4:$AY$138, LS_current!Y$148, FALSE), VLOOKUP($A56, LS_current!$B$4:$AY$138,LS_current!Y$148, FALSE))/2)</f>
        <v>487</v>
      </c>
      <c r="CV56" s="227">
        <f t="array" ref="CV56">IF($BU56=0, INDEX(LS_current!$D$4:$AY$138, MATCH('Staging Table'!$A56, LS_current!$B$4:$B$138, 0), MATCH(CV$4&amp;CV$5, LS_current!$D$2:$AY$2&amp;LS_current!$D$3:$AY$3, 0)),SUM(VLOOKUP($A56, LS_current!$B$4:$AY$138, LS_current!Z$148, FALSE), VLOOKUP($A56, LS_current!$B$4:$AY$138,LS_current!Z$148, FALSE))/2)</f>
        <v>136</v>
      </c>
      <c r="CW56" s="227">
        <f t="array" ref="CW56">IF($BU56=0, INDEX(LS_current!$D$4:$AY$138, MATCH('Staging Table'!$A56, LS_current!$B$4:$B$138, 0), MATCH(CW$4&amp;CW$5, LS_current!$D$2:$AY$2&amp;LS_current!$D$3:$AY$3, 0)),SUM(VLOOKUP($A56, LS_current!$B$4:$AY$138, LS_current!AA$148, FALSE), VLOOKUP($A56, LS_current!$B$4:$AY$138,LS_current!AA$148, FALSE))/2)</f>
        <v>160</v>
      </c>
      <c r="CX56" s="229">
        <f t="array" ref="CX56">INDEX(Demand_current!$D$4:$AY$138, MATCH($A56, Demand_current!$B$4:$B$138, 0), MATCH(CX$4&amp;CX$5,Demand_current!$D$2:$AY$2&amp;Demand_current!$D$3:$AY$3, 0))/1000</f>
        <v>0.70899999999999996</v>
      </c>
      <c r="CY56" s="229">
        <f t="array" ref="CY56">INDEX(Demand_current!$D$4:$AY$138, MATCH($A56, Demand_current!$B$4:$B$138, 0), MATCH(CY$4&amp;CY$5,Demand_current!$D$2:$AY$2&amp;Demand_current!$D$3:$AY$3, 0))/1000</f>
        <v>0.42199999999999999</v>
      </c>
      <c r="CZ56" s="229">
        <f t="array" ref="CZ56">INDEX(Demand_current!$D$4:$AY$138, MATCH($A56, Demand_current!$B$4:$B$138, 0), MATCH(CZ$4&amp;CZ$5,Demand_current!$D$2:$AY$2&amp;Demand_current!$D$3:$AY$3, 0))/1000</f>
        <v>0.94699999999999995</v>
      </c>
      <c r="DA56" s="229">
        <f t="array" ref="DA56">INDEX(Demand_current!$D$4:$AY$138, MATCH($A56, Demand_current!$B$4:$B$138, 0), MATCH(DA$4&amp;DA$5,Demand_current!$D$2:$AY$2&amp;Demand_current!$D$3:$AY$3, 0))/1000</f>
        <v>0.43</v>
      </c>
      <c r="DB56" s="229">
        <f t="array" ref="DB56">INDEX(Demand_current!$D$4:$AY$138, MATCH($A56, Demand_current!$B$4:$B$138, 0), MATCH(DB$4&amp;DB$5,Demand_current!$D$2:$AY$2&amp;Demand_current!$D$3:$AY$3, 0))/1000</f>
        <v>0.32800000000000001</v>
      </c>
      <c r="DC56" s="229">
        <f t="array" ref="DC56">INDEX(Demand_current!$D$4:$AY$138, MATCH($A56, Demand_current!$B$4:$B$138, 0), MATCH(DC$4&amp;DC$5,Demand_current!$D$2:$AY$2&amp;Demand_current!$D$3:$AY$3, 0))/1000</f>
        <v>0.41099999999999998</v>
      </c>
      <c r="DD56" s="229">
        <f t="array" ref="DD56">INDEX(Demand_current!$D$4:$AY$138, MATCH($A56, Demand_current!$B$4:$B$138, 0), MATCH(DD$4&amp;DD$5,Demand_current!$D$2:$AY$2&amp;Demand_current!$D$3:$AY$3, 0))/1000</f>
        <v>0.35399999999999998</v>
      </c>
      <c r="DE56" s="229">
        <f t="array" ref="DE56">INDEX(Demand_current!$D$4:$AY$138, MATCH($A56, Demand_current!$B$4:$B$138, 0), MATCH(DE$4&amp;DE$5,Demand_current!$D$2:$AY$2&amp;Demand_current!$D$3:$AY$3, 0))/1000</f>
        <v>0.19</v>
      </c>
      <c r="DF56" s="229">
        <f t="array" ref="DF56">INDEX(Demand_current!$D$4:$AY$138, MATCH($A56, Demand_current!$B$4:$B$138, 0), MATCH(DF$4&amp;DF$5,Demand_current!$D$2:$AY$2&amp;Demand_current!$D$3:$AY$3, 0))/1000</f>
        <v>0.74099999999999999</v>
      </c>
      <c r="DG56" s="229">
        <f t="array" ref="DG56">INDEX(Demand_current!$D$4:$AY$138, MATCH($A56, Demand_current!$B$4:$B$138, 0), MATCH(DG$4&amp;DG$5,Demand_current!$D$2:$AY$2&amp;Demand_current!$D$3:$AY$3, 0))/1000</f>
        <v>1.0149999999999999</v>
      </c>
      <c r="DH56" s="229">
        <f t="array" ref="DH56">INDEX(Demand_current!$D$4:$AY$138, MATCH($A56, Demand_current!$B$4:$B$138, 0), MATCH(DH$4&amp;DH$5,Demand_current!$D$2:$AY$2&amp;Demand_current!$D$3:$AY$3, 0))/1000</f>
        <v>0.73499999999999999</v>
      </c>
      <c r="DI56" s="229">
        <f t="array" ref="DI56">INDEX(Demand_current!$D$4:$AY$138, MATCH($A56, Demand_current!$B$4:$B$138, 0), MATCH(DI$4&amp;DI$5,Demand_current!$D$2:$AY$2&amp;Demand_current!$D$3:$AY$3, 0))/1000</f>
        <v>0.33200000000000002</v>
      </c>
      <c r="DJ56" s="227">
        <f>$BT56*(VLOOKUP(DJ$4, Rates_current!$G$6:$Q$29, 10, FALSE)+VLOOKUP(DJ$4, Rates_current!$G$6:$Q$29, 11, FALSE))</f>
        <v>1756.8891930779998</v>
      </c>
      <c r="DK56" s="227">
        <f>$BT56*(VLOOKUP(DK$4, Rates_current!$G$6:$Q$29, 10, FALSE)+VLOOKUP(DK$4, Rates_current!$G$6:$Q$29, 11, FALSE))</f>
        <v>2231.7973474394998</v>
      </c>
      <c r="DL56" s="227">
        <f>$BT56*(VLOOKUP(DL$4, Rates_current!$G$6:$Q$29, 10, FALSE)+VLOOKUP(DL$4, Rates_current!$G$6:$Q$29, 11, FALSE))</f>
        <v>2204.8453745780002</v>
      </c>
      <c r="DM56" s="227">
        <f>$BT56*(VLOOKUP(DM$4, Rates_current!$G$6:$Q$29, 10, FALSE)+VLOOKUP(DM$4, Rates_current!$G$6:$Q$29, 11, FALSE))</f>
        <v>1837.8729105780001</v>
      </c>
      <c r="DN56" s="227">
        <f>$BT56*(VLOOKUP(DN$4, Rates_current!$G$6:$Q$29, 10, FALSE)+VLOOKUP(DN$4, Rates_current!$G$6:$Q$29, 11, FALSE))</f>
        <v>1664.9221923999999</v>
      </c>
      <c r="DO56" s="227">
        <f>$BT56*(VLOOKUP(DO$4, Rates_current!$G$6:$Q$29, 10, FALSE)+VLOOKUP(DO$4, Rates_current!$G$6:$Q$29, 11, FALSE))</f>
        <v>1851.9223940284999</v>
      </c>
      <c r="DP56" s="227">
        <f>$BT56*(VLOOKUP(DP$4, Rates_current!$G$6:$Q$29, 10, FALSE)+VLOOKUP(DP$4, Rates_current!$G$6:$Q$29, 11, FALSE))</f>
        <v>1507.8372116399999</v>
      </c>
      <c r="DQ56" s="227">
        <f>$BT56*(VLOOKUP(DQ$4, Rates_current!$G$6:$Q$29, 10, FALSE)+VLOOKUP(DQ$4, Rates_current!$G$6:$Q$29, 11, FALSE))</f>
        <v>2033.543323328</v>
      </c>
      <c r="DR56" s="227">
        <f>$BT56*(VLOOKUP(DR$4, Rates_current!$G$6:$Q$29, 10, FALSE)+VLOOKUP(DR$4, Rates_current!$G$6:$Q$29, 11, FALSE))</f>
        <v>2594.66297639</v>
      </c>
      <c r="DS56" s="227">
        <f>$BT56*(VLOOKUP(DS$4, Rates_current!$G$6:$Q$29, 10, FALSE)+VLOOKUP(DS$4, Rates_current!$G$6:$Q$29, 11, FALSE))</f>
        <v>2034.2980450780001</v>
      </c>
      <c r="DT56" s="227">
        <f>$BT56*(VLOOKUP(DT$4, Rates_current!$G$6:$Q$29, 10, FALSE)+VLOOKUP(DT$4, Rates_current!$G$6:$Q$29, 11, FALSE))</f>
        <v>1981.0012198280001</v>
      </c>
      <c r="DU56" s="227">
        <f>$BT56*(VLOOKUP(DU$4, Rates_current!$G$6:$Q$29, 10, FALSE)+VLOOKUP(DU$4, Rates_current!$G$6:$Q$29, 11, FALSE))</f>
        <v>1778.51768214</v>
      </c>
      <c r="DV56" s="229">
        <f>IF(D56=0,IF(C56=0,MAX(0,DY56 - (VLOOKUP($A56,TOCA_current!$A$2:$AI$137,MATCH("RHWM 2020",TOCA_current!$A$2:$AI$2,0),FALSE)*$BT$2)), 0),0)</f>
        <v>2486.4787517439945</v>
      </c>
      <c r="DW56" s="266">
        <f>VLOOKUP($A56,REP_current!$A$1:$D$135,MATCH("FY "&amp;$BT$1&amp; " Total Refund",REP_current!$A$1:$D$1,0),0)</f>
        <v>0</v>
      </c>
      <c r="DX56" s="295">
        <f>MIN(VLOOKUP($A56,TOCA_current!$A$2:$AI$137,MATCH("TRL - NLSL - Existing Resource "&amp;$BT$1,TOCA_current!$A$2:$AI$2,0),FALSE)*$BT$2, VLOOKUP($A56,TOCA_current!$A$2:$AI$137,MATCH("RHWM 2020",TOCA_current!$A$2:$AI$2,0),FALSE)*$BT$2)</f>
        <v>23479.632000000001</v>
      </c>
      <c r="DY56" s="240">
        <f>SUM(BZ56:CW56)+(BT56*RT1SC!$C$4*$BT$2)</f>
        <v>25966.110751743996</v>
      </c>
      <c r="DZ56" s="271">
        <f>VLOOKUP($A56,TOCA_current!$A$2:$AI$137,MATCH("Above RHWM Not Served with LS "&amp;$BT$1,TOCA_current!$A$2:$AI$2,0),FALSE)*$BT$2</f>
        <v>0</v>
      </c>
      <c r="EA56" s="244">
        <f t="shared" si="13"/>
        <v>2486.4787517439945</v>
      </c>
      <c r="EB56" s="295">
        <f>(VLOOKUP($A56,TOCA_current!$A$2:$AI$137,MATCH("RHWM 2020",TOCA_current!$A$2:$AI$2,0),FALSE)*$BT$2) - $DX56</f>
        <v>0</v>
      </c>
      <c r="EC56" s="240">
        <f t="shared" si="14"/>
        <v>0</v>
      </c>
      <c r="ED56" s="240">
        <f t="shared" si="15"/>
        <v>0</v>
      </c>
      <c r="EE56" s="240">
        <f t="shared" si="16"/>
        <v>0</v>
      </c>
      <c r="EF56" s="240">
        <f t="shared" si="17"/>
        <v>0</v>
      </c>
    </row>
    <row r="57" spans="1:136">
      <c r="A57" s="166">
        <v>10144</v>
      </c>
      <c r="B57" s="167" t="s">
        <v>58</v>
      </c>
      <c r="C57" s="240">
        <v>0</v>
      </c>
      <c r="D57" s="240">
        <v>0</v>
      </c>
      <c r="E57" s="150">
        <f>VLOOKUP($A57,TOCA_previous!$A$2:$AI$137,MATCH(E$4,TOCA_previous!$A$2:$AI$2,0),FALSE)</f>
        <v>4.6979999999999998E-4</v>
      </c>
      <c r="F57" s="151">
        <f>VLOOKUP($A57,TOCA_previous!$A$2:$AI$137,MATCH(F$4,TOCA_previous!$A$2:$AI$2,0),FALSE)</f>
        <v>4.6979999999999998E-4</v>
      </c>
      <c r="G57" s="151">
        <f t="shared" si="2"/>
        <v>0</v>
      </c>
      <c r="H57" s="151">
        <f>VLOOKUP($A57,TOCA_previous!$A$2:$AI$137,MATCH(H$4,TOCA_previous!$A$2:$AI$2,0),FALSE)</f>
        <v>0</v>
      </c>
      <c r="I57" s="151">
        <f t="shared" si="3"/>
        <v>0</v>
      </c>
      <c r="J57" s="151">
        <f t="shared" si="4"/>
        <v>0</v>
      </c>
      <c r="K57" s="226">
        <f>VLOOKUP(A57, IRD!$A$5:$C$139, 3, FALSE)</f>
        <v>0</v>
      </c>
      <c r="L57" s="227">
        <f t="array" ref="L57">IF($G57=0, INDEX(LS_previous!$D$4:$AY$138, MATCH('Staging Table'!$A57, LS_previous!$B$4:$B$138, 0), MATCH(L$4&amp;L$5, LS_previous!$D$2:$AY$2&amp;LS_previous!$D$3:$AY$3, 0)),SUM(VLOOKUP($A57, LS_previous!$B$4:$AY$138, LS_previous!D$149, FALSE), VLOOKUP('Staging Table'!$A57, LS_previous!$B$4:$AY$138,LS_previous!AB$149, FALSE))/2)</f>
        <v>0</v>
      </c>
      <c r="M57" s="227">
        <f t="array" ref="M57">IF($G57=0, INDEX(LS_previous!$D$4:$AY$138, MATCH('Staging Table'!$A57, LS_previous!$B$4:$B$138, 0), MATCH(M$4&amp;M$5, LS_previous!$D$2:$AY$2&amp;LS_previous!$D$3:$AY$3, 0)),SUM(VLOOKUP($A57, LS_previous!$B$4:$AY$138, LS_previous!E$149, FALSE), VLOOKUP('Staging Table'!$A57, LS_previous!$B$4:$AY$138,LS_previous!AC$149, FALSE))/2)</f>
        <v>20</v>
      </c>
      <c r="N57" s="227">
        <f t="array" ref="N57">IF($G57=0, INDEX(LS_previous!$D$4:$AY$138, MATCH('Staging Table'!$A57, LS_previous!$B$4:$B$138, 0), MATCH(N$4&amp;N$5, LS_previous!$D$2:$AY$2&amp;LS_previous!$D$3:$AY$3, 0)),SUM(VLOOKUP($A57, LS_previous!$B$4:$AY$138, LS_previous!F$149, FALSE), VLOOKUP('Staging Table'!$A57, LS_previous!$B$4:$AY$138,LS_previous!AD$149, FALSE))/2)</f>
        <v>141</v>
      </c>
      <c r="O57" s="227">
        <f t="array" ref="O57">IF($G57=0, INDEX(LS_previous!$D$4:$AY$138, MATCH('Staging Table'!$A57, LS_previous!$B$4:$B$138, 0), MATCH(O$4&amp;O$5, LS_previous!$D$2:$AY$2&amp;LS_previous!$D$3:$AY$3, 0)),SUM(VLOOKUP($A57, LS_previous!$B$4:$AY$138, LS_previous!G$149, FALSE), VLOOKUP('Staging Table'!$A57, LS_previous!$B$4:$AY$138,LS_previous!AE$149, FALSE))/2)</f>
        <v>214</v>
      </c>
      <c r="P57" s="227">
        <f t="array" ref="P57">IF($G57=0, INDEX(LS_previous!$D$4:$AY$138, MATCH('Staging Table'!$A57, LS_previous!$B$4:$B$138, 0), MATCH(P$4&amp;P$5, LS_previous!$D$2:$AY$2&amp;LS_previous!$D$3:$AY$3, 0)),SUM(VLOOKUP($A57, LS_previous!$B$4:$AY$138, LS_previous!H$149, FALSE), VLOOKUP('Staging Table'!$A57, LS_previous!$B$4:$AY$138,LS_previous!AF$149, FALSE))/2)</f>
        <v>232</v>
      </c>
      <c r="Q57" s="227">
        <f t="array" ref="Q57">IF($G57=0, INDEX(LS_previous!$D$4:$AY$138, MATCH('Staging Table'!$A57, LS_previous!$B$4:$B$138, 0), MATCH(Q$4&amp;Q$5, LS_previous!$D$2:$AY$2&amp;LS_previous!$D$3:$AY$3, 0)),SUM(VLOOKUP($A57, LS_previous!$B$4:$AY$138, LS_previous!I$149, FALSE), VLOOKUP('Staging Table'!$A57, LS_previous!$B$4:$AY$138,LS_previous!AG$149, FALSE))/2)</f>
        <v>362</v>
      </c>
      <c r="R57" s="227">
        <f t="array" ref="R57">IF($G57=0, INDEX(LS_previous!$D$4:$AY$138, MATCH('Staging Table'!$A57, LS_previous!$B$4:$B$138, 0), MATCH(R$4&amp;R$5, LS_previous!$D$2:$AY$2&amp;LS_previous!$D$3:$AY$3, 0)),SUM(VLOOKUP($A57, LS_previous!$B$4:$AY$138, LS_previous!J$149, FALSE), VLOOKUP('Staging Table'!$A57, LS_previous!$B$4:$AY$138,LS_previous!AH$149, FALSE))/2)</f>
        <v>666</v>
      </c>
      <c r="S57" s="227">
        <f t="array" ref="S57">IF($G57=0, INDEX(LS_previous!$D$4:$AY$138, MATCH('Staging Table'!$A57, LS_previous!$B$4:$B$138, 0), MATCH(S$4&amp;S$5, LS_previous!$D$2:$AY$2&amp;LS_previous!$D$3:$AY$3, 0)),SUM(VLOOKUP($A57, LS_previous!$B$4:$AY$138, LS_previous!K$149, FALSE), VLOOKUP('Staging Table'!$A57, LS_previous!$B$4:$AY$138,LS_previous!AI$149, FALSE))/2)</f>
        <v>505</v>
      </c>
      <c r="T57" s="227">
        <f t="array" ref="T57">IF($G57=0, INDEX(LS_previous!$D$4:$AY$138, MATCH('Staging Table'!$A57, LS_previous!$B$4:$B$138, 0), MATCH(T$4&amp;T$5, LS_previous!$D$2:$AY$2&amp;LS_previous!$D$3:$AY$3, 0)),SUM(VLOOKUP($A57, LS_previous!$B$4:$AY$138, LS_previous!L$149, FALSE), VLOOKUP('Staging Table'!$A57, LS_previous!$B$4:$AY$138,LS_previous!AJ$149, FALSE))/2)</f>
        <v>695</v>
      </c>
      <c r="U57" s="227">
        <f t="array" ref="U57">IF($G57=0, INDEX(LS_previous!$D$4:$AY$138, MATCH('Staging Table'!$A57, LS_previous!$B$4:$B$138, 0), MATCH(U$4&amp;U$5, LS_previous!$D$2:$AY$2&amp;LS_previous!$D$3:$AY$3, 0)),SUM(VLOOKUP($A57, LS_previous!$B$4:$AY$138, LS_previous!M$149, FALSE), VLOOKUP('Staging Table'!$A57, LS_previous!$B$4:$AY$138,LS_previous!AK$149, FALSE))/2)</f>
        <v>475</v>
      </c>
      <c r="V57" s="227">
        <f t="array" ref="V57">IF($G57=0, INDEX(LS_previous!$D$4:$AY$138, MATCH('Staging Table'!$A57, LS_previous!$B$4:$B$138, 0), MATCH(V$4&amp;V$5, LS_previous!$D$2:$AY$2&amp;LS_previous!$D$3:$AY$3, 0)),SUM(VLOOKUP($A57, LS_previous!$B$4:$AY$138, LS_previous!N$149, FALSE), VLOOKUP('Staging Table'!$A57, LS_previous!$B$4:$AY$138,LS_previous!AL$149, FALSE))/2)</f>
        <v>191</v>
      </c>
      <c r="W57" s="227">
        <f t="array" ref="W57">IF($G57=0, INDEX(LS_previous!$D$4:$AY$138, MATCH('Staging Table'!$A57, LS_previous!$B$4:$B$138, 0), MATCH(W$4&amp;W$5, LS_previous!$D$2:$AY$2&amp;LS_previous!$D$3:$AY$3, 0)),SUM(VLOOKUP($A57, LS_previous!$B$4:$AY$138, LS_previous!O$149, FALSE), VLOOKUP('Staging Table'!$A57, LS_previous!$B$4:$AY$138,LS_previous!AM$149, FALSE))/2)</f>
        <v>236</v>
      </c>
      <c r="X57" s="227">
        <f t="array" ref="X57">IF($G57=0, INDEX(LS_previous!$D$4:$AY$138, MATCH('Staging Table'!$A57, LS_previous!$B$4:$B$138, 0), MATCH(X$4&amp;X$5, LS_previous!$D$2:$AY$2&amp;LS_previous!$D$3:$AY$3, 0)),SUM(VLOOKUP($A57, LS_previous!$B$4:$AY$138, LS_previous!P$149, FALSE), VLOOKUP('Staging Table'!$A57, LS_previous!$B$4:$AY$138,LS_previous!AN$149, FALSE))/2)</f>
        <v>82</v>
      </c>
      <c r="Y57" s="227">
        <f t="array" ref="Y57">IF($G57=0, INDEX(LS_previous!$D$4:$AY$138, MATCH('Staging Table'!$A57, LS_previous!$B$4:$B$138, 0), MATCH(Y$4&amp;Y$5, LS_previous!$D$2:$AY$2&amp;LS_previous!$D$3:$AY$3, 0)),SUM(VLOOKUP($A57, LS_previous!$B$4:$AY$138, LS_previous!Q$149, FALSE), VLOOKUP('Staging Table'!$A57, LS_previous!$B$4:$AY$138,LS_previous!AO$149, FALSE))/2)</f>
        <v>104</v>
      </c>
      <c r="Z57" s="227">
        <f t="array" ref="Z57">IF($G57=0, INDEX(LS_previous!$D$4:$AY$138, MATCH('Staging Table'!$A57, LS_previous!$B$4:$B$138, 0), MATCH(Z$4&amp;Z$5, LS_previous!$D$2:$AY$2&amp;LS_previous!$D$3:$AY$3, 0)),SUM(VLOOKUP($A57, LS_previous!$B$4:$AY$138, LS_previous!R$149, FALSE), VLOOKUP('Staging Table'!$A57, LS_previous!$B$4:$AY$138,LS_previous!AP$149, FALSE))/2)</f>
        <v>-845</v>
      </c>
      <c r="AA57" s="227">
        <f t="array" ref="AA57">IF($G57=0, INDEX(LS_previous!$D$4:$AY$138, MATCH('Staging Table'!$A57, LS_previous!$B$4:$B$138, 0), MATCH(AA$4&amp;AA$5, LS_previous!$D$2:$AY$2&amp;LS_previous!$D$3:$AY$3, 0)),SUM(VLOOKUP($A57, LS_previous!$B$4:$AY$138, LS_previous!S$149, FALSE), VLOOKUP('Staging Table'!$A57, LS_previous!$B$4:$AY$138,LS_previous!AQ$149, FALSE))/2)</f>
        <v>-357</v>
      </c>
      <c r="AB57" s="227">
        <f t="array" ref="AB57">IF($G57=0, INDEX(LS_previous!$D$4:$AY$138, MATCH('Staging Table'!$A57, LS_previous!$B$4:$B$138, 0), MATCH(AB$4&amp;AB$5, LS_previous!$D$2:$AY$2&amp;LS_previous!$D$3:$AY$3, 0)),SUM(VLOOKUP($A57, LS_previous!$B$4:$AY$138, LS_previous!T$149, FALSE), VLOOKUP('Staging Table'!$A57, LS_previous!$B$4:$AY$138,LS_previous!AR$149, FALSE))/2)</f>
        <v>-506</v>
      </c>
      <c r="AC57" s="227">
        <f t="array" ref="AC57">IF($G57=0, INDEX(LS_previous!$D$4:$AY$138, MATCH('Staging Table'!$A57, LS_previous!$B$4:$B$138, 0), MATCH(AC$4&amp;AC$5, LS_previous!$D$2:$AY$2&amp;LS_previous!$D$3:$AY$3, 0)),SUM(VLOOKUP($A57, LS_previous!$B$4:$AY$138, LS_previous!U$149, FALSE), VLOOKUP('Staging Table'!$A57, LS_previous!$B$4:$AY$138,LS_previous!AS$149, FALSE))/2)</f>
        <v>-240</v>
      </c>
      <c r="AD57" s="227">
        <f t="array" ref="AD57">IF($G57=0, INDEX(LS_previous!$D$4:$AY$138, MATCH('Staging Table'!$A57, LS_previous!$B$4:$B$138, 0), MATCH(AD$4&amp;AD$5, LS_previous!$D$2:$AY$2&amp;LS_previous!$D$3:$AY$3, 0)),SUM(VLOOKUP($A57, LS_previous!$B$4:$AY$138, LS_previous!V$149, FALSE), VLOOKUP('Staging Table'!$A57, LS_previous!$B$4:$AY$138,LS_previous!AT$149, FALSE))/2)</f>
        <v>-376</v>
      </c>
      <c r="AE57" s="227">
        <f t="array" ref="AE57">IF($G57=0, INDEX(LS_previous!$D$4:$AY$138, MATCH('Staging Table'!$A57, LS_previous!$B$4:$B$138, 0), MATCH(AE$4&amp;AE$5, LS_previous!$D$2:$AY$2&amp;LS_previous!$D$3:$AY$3, 0)),SUM(VLOOKUP($A57, LS_previous!$B$4:$AY$138, LS_previous!W$149, FALSE), VLOOKUP('Staging Table'!$A57, LS_previous!$B$4:$AY$138,LS_previous!AU$149, FALSE))/2)</f>
        <v>-121</v>
      </c>
      <c r="AF57" s="227">
        <f t="array" ref="AF57">IF($G57=0, INDEX(LS_previous!$D$4:$AY$138, MATCH('Staging Table'!$A57, LS_previous!$B$4:$B$138, 0), MATCH(AF$4&amp;AF$5, LS_previous!$D$2:$AY$2&amp;LS_previous!$D$3:$AY$3, 0)),SUM(VLOOKUP($A57, LS_previous!$B$4:$AY$138, LS_previous!X$149, FALSE), VLOOKUP('Staging Table'!$A57, LS_previous!$B$4:$AY$138,LS_previous!AV$149, FALSE))/2)</f>
        <v>-541</v>
      </c>
      <c r="AG57" s="227">
        <f t="array" ref="AG57">IF($G57=0, INDEX(LS_previous!$D$4:$AY$138, MATCH('Staging Table'!$A57, LS_previous!$B$4:$B$138, 0), MATCH(AG$4&amp;AG$5, LS_previous!$D$2:$AY$2&amp;LS_previous!$D$3:$AY$3, 0)),SUM(VLOOKUP($A57, LS_previous!$B$4:$AY$138, LS_previous!Y$149, FALSE), VLOOKUP('Staging Table'!$A57, LS_previous!$B$4:$AY$138,LS_previous!AW$149, FALSE))/2)</f>
        <v>-158</v>
      </c>
      <c r="AH57" s="227">
        <f t="array" ref="AH57">IF($G57=0, INDEX(LS_previous!$D$4:$AY$138, MATCH('Staging Table'!$A57, LS_previous!$B$4:$B$138, 0), MATCH(AH$4&amp;AH$5, LS_previous!$D$2:$AY$2&amp;LS_previous!$D$3:$AY$3, 0)),SUM(VLOOKUP($A57, LS_previous!$B$4:$AY$138, LS_previous!Z$149, FALSE), VLOOKUP('Staging Table'!$A57, LS_previous!$B$4:$AY$138,LS_previous!AX$149, FALSE))/2)</f>
        <v>-318</v>
      </c>
      <c r="AI57" s="227">
        <f t="array" ref="AI57">IF($G57=0, INDEX(LS_previous!$D$4:$AY$138, MATCH('Staging Table'!$A57, LS_previous!$B$4:$B$138, 0), MATCH(AI$4&amp;AI$5, LS_previous!$D$2:$AY$2&amp;LS_previous!$D$3:$AY$3, 0)),SUM(VLOOKUP($A57, LS_previous!$B$4:$AY$138, LS_previous!AA$149, FALSE), VLOOKUP('Staging Table'!$A57, LS_previous!$B$4:$AY$138,LS_previous!AY$149, FALSE))/2)</f>
        <v>-152</v>
      </c>
      <c r="AJ57" s="424">
        <f t="array" ref="AJ57">INDEX(Demand_previous!$D$4:$AY$138, MATCH('Staging Table'!$A57, Demand_previous!$B$4:$B$138, 0), MATCH(AJ$4&amp;AJ$5,Demand_previous!$D$2:$AY$2&amp;Demand_previous!$D$3:$AY$3, 0))/1000</f>
        <v>0.42899999999999999</v>
      </c>
      <c r="AK57" s="424">
        <f t="array" ref="AK57">INDEX(Demand_previous!$D$4:$AY$138, MATCH('Staging Table'!$A57, Demand_previous!$B$4:$B$138, 0), MATCH(AK$4&amp;AK$5,Demand_previous!$D$2:$AY$2&amp;Demand_previous!$D$3:$AY$3, 0))/1000</f>
        <v>0.69</v>
      </c>
      <c r="AL57" s="424">
        <f t="array" ref="AL57">INDEX(Demand_previous!$D$4:$AY$138, MATCH('Staging Table'!$A57, Demand_previous!$B$4:$B$138, 0), MATCH(AL$4&amp;AL$5,Demand_previous!$D$2:$AY$2&amp;Demand_previous!$D$3:$AY$3, 0))/1000</f>
        <v>1.421</v>
      </c>
      <c r="AM57" s="424">
        <f t="array" ref="AM57">INDEX(Demand_previous!$D$4:$AY$138, MATCH('Staging Table'!$A57, Demand_previous!$B$4:$B$138, 0), MATCH(AM$4&amp;AM$5,Demand_previous!$D$2:$AY$2&amp;Demand_previous!$D$3:$AY$3, 0))/1000</f>
        <v>1.387</v>
      </c>
      <c r="AN57" s="424">
        <f t="array" ref="AN57">INDEX(Demand_previous!$D$4:$AY$138, MATCH('Staging Table'!$A57, Demand_previous!$B$4:$B$138, 0), MATCH(AN$4&amp;AN$5,Demand_previous!$D$2:$AY$2&amp;Demand_previous!$D$3:$AY$3, 0))/1000</f>
        <v>0.93799999999999994</v>
      </c>
      <c r="AO57" s="424">
        <f t="array" ref="AO57">INDEX(Demand_previous!$D$4:$AY$138, MATCH('Staging Table'!$A57, Demand_previous!$B$4:$B$138, 0), MATCH(AO$4&amp;AO$5,Demand_previous!$D$2:$AY$2&amp;Demand_previous!$D$3:$AY$3, 0))/1000</f>
        <v>1.46</v>
      </c>
      <c r="AP57" s="424">
        <f t="array" ref="AP57">INDEX(Demand_previous!$D$4:$AY$138, MATCH('Staging Table'!$A57, Demand_previous!$B$4:$B$138, 0), MATCH(AP$4&amp;AP$5,Demand_previous!$D$2:$AY$2&amp;Demand_previous!$D$3:$AY$3, 0))/1000</f>
        <v>0.54200000000000004</v>
      </c>
      <c r="AQ57" s="424">
        <f t="array" ref="AQ57">INDEX(Demand_previous!$D$4:$AY$138, MATCH('Staging Table'!$A57, Demand_previous!$B$4:$B$138, 0), MATCH(AQ$4&amp;AQ$5,Demand_previous!$D$2:$AY$2&amp;Demand_previous!$D$3:$AY$3, 0))/1000</f>
        <v>0.56899999999999995</v>
      </c>
      <c r="AR57" s="424">
        <f t="array" ref="AR57">INDEX(Demand_previous!$D$4:$AY$138, MATCH('Staging Table'!$A57, Demand_previous!$B$4:$B$138, 0), MATCH(AR$4&amp;AR$5,Demand_previous!$D$2:$AY$2&amp;Demand_previous!$D$3:$AY$3, 0))/1000</f>
        <v>0.55800000000000005</v>
      </c>
      <c r="AS57" s="424">
        <f t="array" ref="AS57">INDEX(Demand_previous!$D$4:$AY$138, MATCH('Staging Table'!$A57, Demand_previous!$B$4:$B$138, 0), MATCH(AS$4&amp;AS$5,Demand_previous!$D$2:$AY$2&amp;Demand_previous!$D$3:$AY$3, 0))/1000</f>
        <v>0.43099999999999999</v>
      </c>
      <c r="AT57" s="424">
        <f t="array" ref="AT57">INDEX(Demand_previous!$D$4:$AY$138, MATCH('Staging Table'!$A57, Demand_previous!$B$4:$B$138, 0), MATCH(AT$4&amp;AT$5,Demand_previous!$D$2:$AY$2&amp;Demand_previous!$D$3:$AY$3, 0))/1000</f>
        <v>0.71299999999999997</v>
      </c>
      <c r="AU57" s="424">
        <f t="array" ref="AU57">INDEX(Demand_previous!$D$4:$AY$138, MATCH('Staging Table'!$A57, Demand_previous!$B$4:$B$138, 0), MATCH(AU$4&amp;AU$5,Demand_previous!$D$2:$AY$2&amp;Demand_previous!$D$3:$AY$3, 0))/1000</f>
        <v>0.375</v>
      </c>
      <c r="AV57" s="227">
        <f>$F57*(VLOOKUP(AV$4, Rates_previous!$G$6:$Q$29, 10, FALSE)+VLOOKUP(AV$4, Rates_previous!$G$6:$Q$29, 11, FALSE))</f>
        <v>2202.815980770587</v>
      </c>
      <c r="AW57" s="227">
        <f>$F57*(VLOOKUP(AW$4, Rates_previous!$G$6:$Q$29, 10, FALSE)+VLOOKUP(AW$4, Rates_previous!$G$6:$Q$29, 11, FALSE))</f>
        <v>2722.5131293452728</v>
      </c>
      <c r="AX57" s="227">
        <f>$F57*(VLOOKUP(AX$4, Rates_previous!$G$6:$Q$29, 10, FALSE)+VLOOKUP(AX$4, Rates_previous!$G$6:$Q$29, 11, FALSE))</f>
        <v>2689.8190029448242</v>
      </c>
      <c r="AY57" s="227">
        <f>$F57*(VLOOKUP(AY$4, Rates_previous!$G$6:$Q$29, 10, FALSE)+VLOOKUP(AY$4, Rates_previous!$G$6:$Q$29, 11, FALSE))</f>
        <v>2298.1939559221678</v>
      </c>
      <c r="AZ57" s="227">
        <f>$F57*(VLOOKUP(AZ$4, Rates_previous!$G$6:$Q$29, 10, FALSE)+VLOOKUP(AZ$4, Rates_previous!$G$6:$Q$29, 11, FALSE))</f>
        <v>1884.073260536414</v>
      </c>
      <c r="BA57" s="227">
        <f>$F57*(VLOOKUP(BA$4, Rates_previous!$G$6:$Q$29, 10, FALSE)+VLOOKUP(BA$4, Rates_previous!$G$6:$Q$29, 11, FALSE))</f>
        <v>2230.674304583054</v>
      </c>
      <c r="BB57" s="227">
        <f>$F57*(VLOOKUP(BB$4, Rates_previous!$G$6:$Q$29, 10, FALSE)+VLOOKUP(BB$4, Rates_previous!$G$6:$Q$29, 11, FALSE))</f>
        <v>2144.0024780775548</v>
      </c>
      <c r="BC57" s="227">
        <f>$F57*(VLOOKUP(BC$4, Rates_previous!$G$6:$Q$29, 10, FALSE)+VLOOKUP(BC$4, Rates_previous!$G$6:$Q$29, 11, FALSE))</f>
        <v>3146.1719210727874</v>
      </c>
      <c r="BD57" s="227">
        <f>$F57*(VLOOKUP(BD$4, Rates_previous!$G$6:$Q$29, 10, FALSE)+VLOOKUP(BD$4, Rates_previous!$G$6:$Q$29, 11, FALSE))</f>
        <v>2482.2464913889453</v>
      </c>
      <c r="BE57" s="227">
        <f>$F57*(VLOOKUP(BE$4, Rates_previous!$G$6:$Q$29, 10, FALSE)+VLOOKUP(BE$4, Rates_previous!$G$6:$Q$29, 11, FALSE))</f>
        <v>2179.6207681149822</v>
      </c>
      <c r="BF57" s="227">
        <f>$F57*(VLOOKUP(BF$4, Rates_previous!$G$6:$Q$29, 10, FALSE)+VLOOKUP(BF$4, Rates_previous!$G$6:$Q$29, 11, FALSE))</f>
        <v>2414.0172459214855</v>
      </c>
      <c r="BG57" s="227">
        <f>$F57*(VLOOKUP(BG$4, Rates_previous!$G$6:$Q$29, 10, FALSE)+VLOOKUP(BG$4, Rates_previous!$G$6:$Q$29, 11, FALSE))</f>
        <v>2187.003625355645</v>
      </c>
      <c r="BH57" s="229">
        <f>IF($D57=0,IF(C57=0, MAX(BK57 - (VLOOKUP($A57,TOCA_previous!$A$2:$AI$137,MATCH("RHWM 2018",TOCA_previous!$A$2:$AI$2,0),FALSE)*$F$2*TOCA_previous!C54),0),0), 0)</f>
        <v>0</v>
      </c>
      <c r="BI57" s="266">
        <f>VLOOKUP($A57,REP_previous!$A$1:$D$135,MATCH("FY "&amp;$F$1&amp; " Total Refund",REP_previous!$A$1:$D$1,0),0)</f>
        <v>41873.892466229881</v>
      </c>
      <c r="BJ57" s="241">
        <f>MIN(VLOOKUP($A57,TOCA_previous!$A$2:$AI$137,MATCH("TRL - NLSL - Existing Resource "&amp;$F$1,TOCA_previous!$A$2:$AI$2,0),FALSE)*$F$2,(VLOOKUP($A57,TOCA_previous!$A$2:$AI$137,MATCH("RHWM 2018",TOCA_previous!$A$2:$AI$2,0),FALSE)*$F$2))</f>
        <v>28583.879999999997</v>
      </c>
      <c r="BK57" s="229">
        <f>SUM(L57:AI57)+(F57*RT1SC!$C$3*$F$2)</f>
        <v>28890.152581007995</v>
      </c>
      <c r="BL57" s="241">
        <f>VLOOKUP($A57,TOCA_previous!$A$2:$AI$137,MATCH("Above RHWM Not Served with LS "&amp;$F$1,TOCA_previous!$A$2:$AI$2,0),FALSE)*$F$2</f>
        <v>0</v>
      </c>
      <c r="BM57" s="151">
        <f t="shared" si="5"/>
        <v>306.27258100799736</v>
      </c>
      <c r="BN57" s="242">
        <f>(VLOOKUP($A57,TOCA_previous!$A$2:$AI$137,MATCH("RHWM 2018",TOCA_previous!$A$2:$AI$2,0),FALSE)*$F$2) - $BJ57</f>
        <v>446.76000000000204</v>
      </c>
      <c r="BO57" s="151">
        <f t="shared" si="6"/>
        <v>-306.27258100799736</v>
      </c>
      <c r="BP57" s="243">
        <f t="shared" si="7"/>
        <v>0</v>
      </c>
      <c r="BQ57" s="237">
        <f t="shared" si="8"/>
        <v>0</v>
      </c>
      <c r="BR57" s="242">
        <f t="shared" si="9"/>
        <v>-306.27258100799736</v>
      </c>
      <c r="BS57" s="151">
        <f>VLOOKUP($A57,TOCA_current!$A$2:$AI$137,MATCH(BS$4,TOCA_current!$A$2:$AI$2,0),FALSE)</f>
        <v>4.7689999999999999E-4</v>
      </c>
      <c r="BT57" s="151">
        <f>VLOOKUP($A57,TOCA_current!$A$2:$AI$137,MATCH(BT$4,TOCA_current!$A$2:$AI$2,0),FALSE)</f>
        <v>4.7689999999999999E-4</v>
      </c>
      <c r="BU57" s="236">
        <f t="shared" si="10"/>
        <v>0</v>
      </c>
      <c r="BV57" s="151">
        <f>VLOOKUP($A57,TOCA_current!A53:BG188,MATCH(BV$4,TOCA_current!$A$2:$BG$2,0),FALSE)</f>
        <v>0</v>
      </c>
      <c r="BW57" s="151">
        <f t="shared" si="11"/>
        <v>0</v>
      </c>
      <c r="BX57" s="151">
        <f t="shared" si="12"/>
        <v>0</v>
      </c>
      <c r="BY57" s="226">
        <f>VLOOKUP($A57,IRD!$A$4:$G$139, 7, FALSE)</f>
        <v>0</v>
      </c>
      <c r="BZ57" s="227">
        <f t="array" ref="BZ57">IF($BU57=0, INDEX(LS_current!$D$4:$AY$138, MATCH('Staging Table'!$A57, LS_current!$B$4:$B$138, 0), MATCH(BZ$4&amp;BZ$5, LS_current!$D$2:$AY$2&amp;LS_current!$D$3:$AY$3, 0)),SUM(VLOOKUP($A57, LS_current!$B$4:$AY$138, LS_current!D$148, FALSE), VLOOKUP($A57, LS_current!$B$4:$AY$138,LS_current!D$148, FALSE))/2)</f>
        <v>-2</v>
      </c>
      <c r="CA57" s="227">
        <f t="array" ref="CA57">IF($BU57=0, INDEX(LS_current!$D$4:$AY$138, MATCH('Staging Table'!$A57, LS_current!$B$4:$B$138, 0), MATCH(CA$4&amp;CA$5, LS_current!$D$2:$AY$2&amp;LS_current!$D$3:$AY$3, 0)),SUM(VLOOKUP($A57, LS_current!$B$4:$AY$138, LS_current!E$148, FALSE), VLOOKUP($A57, LS_current!$B$4:$AY$138,LS_current!E$148, FALSE))/2)</f>
        <v>23</v>
      </c>
      <c r="CB57" s="227">
        <f t="array" ref="CB57">IF($BU57=0, INDEX(LS_current!$D$4:$AY$138, MATCH('Staging Table'!$A57, LS_current!$B$4:$B$138, 0), MATCH(CB$4&amp;CB$5, LS_current!$D$2:$AY$2&amp;LS_current!$D$3:$AY$3, 0)),SUM(VLOOKUP($A57, LS_current!$B$4:$AY$138, LS_current!F$148, FALSE), VLOOKUP($A57, LS_current!$B$4:$AY$138,LS_current!F$148, FALSE))/2)</f>
        <v>103</v>
      </c>
      <c r="CC57" s="227">
        <f t="array" ref="CC57">IF($BU57=0, INDEX(LS_current!$D$4:$AY$138, MATCH('Staging Table'!$A57, LS_current!$B$4:$B$138, 0), MATCH(CC$4&amp;CC$5, LS_current!$D$2:$AY$2&amp;LS_current!$D$3:$AY$3, 0)),SUM(VLOOKUP($A57, LS_current!$B$4:$AY$138, LS_current!G$148, FALSE), VLOOKUP($A57, LS_current!$B$4:$AY$138,LS_current!G$148, FALSE))/2)</f>
        <v>178</v>
      </c>
      <c r="CD57" s="227">
        <f t="array" ref="CD57">IF($BU57=0, INDEX(LS_current!$D$4:$AY$138, MATCH('Staging Table'!$A57, LS_current!$B$4:$B$138, 0), MATCH(CD$4&amp;CD$5, LS_current!$D$2:$AY$2&amp;LS_current!$D$3:$AY$3, 0)),SUM(VLOOKUP($A57, LS_current!$B$4:$AY$138, LS_current!H$148, FALSE), VLOOKUP($A57, LS_current!$B$4:$AY$138,LS_current!H$148, FALSE))/2)</f>
        <v>191</v>
      </c>
      <c r="CE57" s="227">
        <f t="array" ref="CE57">IF($BU57=0, INDEX(LS_current!$D$4:$AY$138, MATCH('Staging Table'!$A57, LS_current!$B$4:$B$138, 0), MATCH(CE$4&amp;CE$5, LS_current!$D$2:$AY$2&amp;LS_current!$D$3:$AY$3, 0)),SUM(VLOOKUP($A57, LS_current!$B$4:$AY$138, LS_current!I$148, FALSE), VLOOKUP($A57, LS_current!$B$4:$AY$138,LS_current!I$148, FALSE))/2)</f>
        <v>329</v>
      </c>
      <c r="CF57" s="227">
        <f t="array" ref="CF57">IF($BU57=0, INDEX(LS_current!$D$4:$AY$138, MATCH('Staging Table'!$A57, LS_current!$B$4:$B$138, 0), MATCH(CF$4&amp;CF$5, LS_current!$D$2:$AY$2&amp;LS_current!$D$3:$AY$3, 0)),SUM(VLOOKUP($A57, LS_current!$B$4:$AY$138, LS_current!J$148, FALSE), VLOOKUP($A57, LS_current!$B$4:$AY$138,LS_current!J$148, FALSE))/2)</f>
        <v>638</v>
      </c>
      <c r="CG57" s="227">
        <f t="array" ref="CG57">IF($BU57=0, INDEX(LS_current!$D$4:$AY$138, MATCH('Staging Table'!$A57, LS_current!$B$4:$B$138, 0), MATCH(CG$4&amp;CG$5, LS_current!$D$2:$AY$2&amp;LS_current!$D$3:$AY$3, 0)),SUM(VLOOKUP($A57, LS_current!$B$4:$AY$138, LS_current!K$148, FALSE), VLOOKUP($A57, LS_current!$B$4:$AY$138,LS_current!K$148, FALSE))/2)</f>
        <v>527</v>
      </c>
      <c r="CH57" s="227">
        <f t="array" ref="CH57">IF($BU57=0, INDEX(LS_current!$D$4:$AY$138, MATCH('Staging Table'!$A57, LS_current!$B$4:$B$138, 0), MATCH(CH$4&amp;CH$5, LS_current!$D$2:$AY$2&amp;LS_current!$D$3:$AY$3, 0)),SUM(VLOOKUP($A57, LS_current!$B$4:$AY$138, LS_current!L$148, FALSE), VLOOKUP($A57, LS_current!$B$4:$AY$138,LS_current!L$148, FALSE))/2)</f>
        <v>568</v>
      </c>
      <c r="CI57" s="227">
        <f t="array" ref="CI57">IF($BU57=0, INDEX(LS_current!$D$4:$AY$138, MATCH('Staging Table'!$A57, LS_current!$B$4:$B$138, 0), MATCH(CI$4&amp;CI$5, LS_current!$D$2:$AY$2&amp;LS_current!$D$3:$AY$3, 0)),SUM(VLOOKUP($A57, LS_current!$B$4:$AY$138, LS_current!M$148, FALSE), VLOOKUP($A57, LS_current!$B$4:$AY$138,LS_current!M$148, FALSE))/2)</f>
        <v>399</v>
      </c>
      <c r="CJ57" s="227">
        <f t="array" ref="CJ57">IF($BU57=0, INDEX(LS_current!$D$4:$AY$138, MATCH('Staging Table'!$A57, LS_current!$B$4:$B$138, 0), MATCH(CJ$4&amp;CJ$5, LS_current!$D$2:$AY$2&amp;LS_current!$D$3:$AY$3, 0)),SUM(VLOOKUP($A57, LS_current!$B$4:$AY$138, LS_current!N$148, FALSE), VLOOKUP($A57, LS_current!$B$4:$AY$138,LS_current!N$148, FALSE))/2)</f>
        <v>126</v>
      </c>
      <c r="CK57" s="227">
        <f t="array" ref="CK57">IF($BU57=0, INDEX(LS_current!$D$4:$AY$138, MATCH('Staging Table'!$A57, LS_current!$B$4:$B$138, 0), MATCH(CK$4&amp;CK$5, LS_current!$D$2:$AY$2&amp;LS_current!$D$3:$AY$3, 0)),SUM(VLOOKUP($A57, LS_current!$B$4:$AY$138, LS_current!O$148, FALSE), VLOOKUP($A57, LS_current!$B$4:$AY$138,LS_current!O$148, FALSE))/2)</f>
        <v>211</v>
      </c>
      <c r="CL57" s="227">
        <f t="array" ref="CL57">IF($BU57=0, INDEX(LS_current!$D$4:$AY$138, MATCH('Staging Table'!$A57, LS_current!$B$4:$B$138, 0), MATCH(CL$4&amp;CL$5, LS_current!$D$2:$AY$2&amp;LS_current!$D$3:$AY$3, 0)),SUM(VLOOKUP($A57, LS_current!$B$4:$AY$138, LS_current!P$148, FALSE), VLOOKUP($A57, LS_current!$B$4:$AY$138,LS_current!P$148, FALSE))/2)</f>
        <v>271</v>
      </c>
      <c r="CM57" s="227">
        <f t="array" ref="CM57">IF($BU57=0, INDEX(LS_current!$D$4:$AY$138, MATCH('Staging Table'!$A57, LS_current!$B$4:$B$138, 0), MATCH(CM$4&amp;CM$5, LS_current!$D$2:$AY$2&amp;LS_current!$D$3:$AY$3, 0)),SUM(VLOOKUP($A57, LS_current!$B$4:$AY$138, LS_current!Q$148, FALSE), VLOOKUP($A57, LS_current!$B$4:$AY$138,LS_current!Q$148, FALSE))/2)</f>
        <v>168</v>
      </c>
      <c r="CN57" s="227">
        <f t="array" ref="CN57">IF($BU57=0, INDEX(LS_current!$D$4:$AY$138, MATCH('Staging Table'!$A57, LS_current!$B$4:$B$138, 0), MATCH(CN$4&amp;CN$5, LS_current!$D$2:$AY$2&amp;LS_current!$D$3:$AY$3, 0)),SUM(VLOOKUP($A57, LS_current!$B$4:$AY$138, LS_current!R$148, FALSE), VLOOKUP($A57, LS_current!$B$4:$AY$138,LS_current!R$148, FALSE))/2)</f>
        <v>-494</v>
      </c>
      <c r="CO57" s="227">
        <f t="array" ref="CO57">IF($BU57=0, INDEX(LS_current!$D$4:$AY$138, MATCH('Staging Table'!$A57, LS_current!$B$4:$B$138, 0), MATCH(CO$4&amp;CO$5, LS_current!$D$2:$AY$2&amp;LS_current!$D$3:$AY$3, 0)),SUM(VLOOKUP($A57, LS_current!$B$4:$AY$138, LS_current!S$148, FALSE), VLOOKUP($A57, LS_current!$B$4:$AY$138,LS_current!S$148, FALSE))/2)</f>
        <v>-111</v>
      </c>
      <c r="CP57" s="227">
        <f t="array" ref="CP57">IF($BU57=0, INDEX(LS_current!$D$4:$AY$138, MATCH('Staging Table'!$A57, LS_current!$B$4:$B$138, 0), MATCH(CP$4&amp;CP$5, LS_current!$D$2:$AY$2&amp;LS_current!$D$3:$AY$3, 0)),SUM(VLOOKUP($A57, LS_current!$B$4:$AY$138, LS_current!T$148, FALSE), VLOOKUP($A57, LS_current!$B$4:$AY$138,LS_current!T$148, FALSE))/2)</f>
        <v>-993</v>
      </c>
      <c r="CQ57" s="227">
        <f t="array" ref="CQ57">IF($BU57=0, INDEX(LS_current!$D$4:$AY$138, MATCH('Staging Table'!$A57, LS_current!$B$4:$B$138, 0), MATCH(CQ$4&amp;CQ$5, LS_current!$D$2:$AY$2&amp;LS_current!$D$3:$AY$3, 0)),SUM(VLOOKUP($A57, LS_current!$B$4:$AY$138, LS_current!U$148, FALSE), VLOOKUP($A57, LS_current!$B$4:$AY$138,LS_current!U$148, FALSE))/2)</f>
        <v>-524</v>
      </c>
      <c r="CR57" s="227">
        <f t="array" ref="CR57">IF($BU57=0, INDEX(LS_current!$D$4:$AY$138, MATCH('Staging Table'!$A57, LS_current!$B$4:$B$138, 0), MATCH(CR$4&amp;CR$5, LS_current!$D$2:$AY$2&amp;LS_current!$D$3:$AY$3, 0)),SUM(VLOOKUP($A57, LS_current!$B$4:$AY$138, LS_current!V$148, FALSE), VLOOKUP($A57, LS_current!$B$4:$AY$138,LS_current!V$148, FALSE))/2)</f>
        <v>-707</v>
      </c>
      <c r="CS57" s="227">
        <f t="array" ref="CS57">IF($BU57=0, INDEX(LS_current!$D$4:$AY$138, MATCH('Staging Table'!$A57, LS_current!$B$4:$B$138, 0), MATCH(CS$4&amp;CS$5, LS_current!$D$2:$AY$2&amp;LS_current!$D$3:$AY$3, 0)),SUM(VLOOKUP($A57, LS_current!$B$4:$AY$138, LS_current!W$148, FALSE), VLOOKUP($A57, LS_current!$B$4:$AY$138,LS_current!W$148, FALSE))/2)</f>
        <v>-161</v>
      </c>
      <c r="CT57" s="227">
        <f t="array" ref="CT57">IF($BU57=0, INDEX(LS_current!$D$4:$AY$138, MATCH('Staging Table'!$A57, LS_current!$B$4:$B$138, 0), MATCH(CT$4&amp;CT$5, LS_current!$D$2:$AY$2&amp;LS_current!$D$3:$AY$3, 0)),SUM(VLOOKUP($A57, LS_current!$B$4:$AY$138, LS_current!X$148, FALSE), VLOOKUP($A57, LS_current!$B$4:$AY$138,LS_current!X$148, FALSE))/2)</f>
        <v>-627</v>
      </c>
      <c r="CU57" s="227">
        <f t="array" ref="CU57">IF($BU57=0, INDEX(LS_current!$D$4:$AY$138, MATCH('Staging Table'!$A57, LS_current!$B$4:$B$138, 0), MATCH(CU$4&amp;CU$5, LS_current!$D$2:$AY$2&amp;LS_current!$D$3:$AY$3, 0)),SUM(VLOOKUP($A57, LS_current!$B$4:$AY$138, LS_current!Y$148, FALSE), VLOOKUP($A57, LS_current!$B$4:$AY$138,LS_current!Y$148, FALSE))/2)</f>
        <v>-141</v>
      </c>
      <c r="CV57" s="227">
        <f t="array" ref="CV57">IF($BU57=0, INDEX(LS_current!$D$4:$AY$138, MATCH('Staging Table'!$A57, LS_current!$B$4:$B$138, 0), MATCH(CV$4&amp;CV$5, LS_current!$D$2:$AY$2&amp;LS_current!$D$3:$AY$3, 0)),SUM(VLOOKUP($A57, LS_current!$B$4:$AY$138, LS_current!Z$148, FALSE), VLOOKUP($A57, LS_current!$B$4:$AY$138,LS_current!Z$148, FALSE))/2)</f>
        <v>-348</v>
      </c>
      <c r="CW57" s="227">
        <f t="array" ref="CW57">IF($BU57=0, INDEX(LS_current!$D$4:$AY$138, MATCH('Staging Table'!$A57, LS_current!$B$4:$B$138, 0), MATCH(CW$4&amp;CW$5, LS_current!$D$2:$AY$2&amp;LS_current!$D$3:$AY$3, 0)),SUM(VLOOKUP($A57, LS_current!$B$4:$AY$138, LS_current!AA$148, FALSE), VLOOKUP($A57, LS_current!$B$4:$AY$138,LS_current!AA$148, FALSE))/2)</f>
        <v>-164</v>
      </c>
      <c r="CX57" s="229">
        <f t="array" ref="CX57">INDEX(Demand_current!$D$4:$AY$138, MATCH($A57, Demand_current!$B$4:$B$138, 0), MATCH(CX$4&amp;CX$5,Demand_current!$D$2:$AY$2&amp;Demand_current!$D$3:$AY$3, 0))/1000</f>
        <v>0.55700000000000005</v>
      </c>
      <c r="CY57" s="229">
        <f t="array" ref="CY57">INDEX(Demand_current!$D$4:$AY$138, MATCH($A57, Demand_current!$B$4:$B$138, 0), MATCH(CY$4&amp;CY$5,Demand_current!$D$2:$AY$2&amp;Demand_current!$D$3:$AY$3, 0))/1000</f>
        <v>0.69</v>
      </c>
      <c r="CZ57" s="229">
        <f t="array" ref="CZ57">INDEX(Demand_current!$D$4:$AY$138, MATCH($A57, Demand_current!$B$4:$B$138, 0), MATCH(CZ$4&amp;CZ$5,Demand_current!$D$2:$AY$2&amp;Demand_current!$D$3:$AY$3, 0))/1000</f>
        <v>1.421</v>
      </c>
      <c r="DA57" s="229">
        <f t="array" ref="DA57">INDEX(Demand_current!$D$4:$AY$138, MATCH($A57, Demand_current!$B$4:$B$138, 0), MATCH(DA$4&amp;DA$5,Demand_current!$D$2:$AY$2&amp;Demand_current!$D$3:$AY$3, 0))/1000</f>
        <v>1.387</v>
      </c>
      <c r="DB57" s="229">
        <f t="array" ref="DB57">INDEX(Demand_current!$D$4:$AY$138, MATCH($A57, Demand_current!$B$4:$B$138, 0), MATCH(DB$4&amp;DB$5,Demand_current!$D$2:$AY$2&amp;Demand_current!$D$3:$AY$3, 0))/1000</f>
        <v>1.135</v>
      </c>
      <c r="DC57" s="229">
        <f t="array" ref="DC57">INDEX(Demand_current!$D$4:$AY$138, MATCH($A57, Demand_current!$B$4:$B$138, 0), MATCH(DC$4&amp;DC$5,Demand_current!$D$2:$AY$2&amp;Demand_current!$D$3:$AY$3, 0))/1000</f>
        <v>1.3169999999999999</v>
      </c>
      <c r="DD57" s="229">
        <f t="array" ref="DD57">INDEX(Demand_current!$D$4:$AY$138, MATCH($A57, Demand_current!$B$4:$B$138, 0), MATCH(DD$4&amp;DD$5,Demand_current!$D$2:$AY$2&amp;Demand_current!$D$3:$AY$3, 0))/1000</f>
        <v>0.68200000000000005</v>
      </c>
      <c r="DE57" s="229">
        <f t="array" ref="DE57">INDEX(Demand_current!$D$4:$AY$138, MATCH($A57, Demand_current!$B$4:$B$138, 0), MATCH(DE$4&amp;DE$5,Demand_current!$D$2:$AY$2&amp;Demand_current!$D$3:$AY$3, 0))/1000</f>
        <v>0.45800000000000002</v>
      </c>
      <c r="DF57" s="229">
        <f t="array" ref="DF57">INDEX(Demand_current!$D$4:$AY$138, MATCH($A57, Demand_current!$B$4:$B$138, 0), MATCH(DF$4&amp;DF$5,Demand_current!$D$2:$AY$2&amp;Demand_current!$D$3:$AY$3, 0))/1000</f>
        <v>0.55800000000000005</v>
      </c>
      <c r="DG57" s="229">
        <f t="array" ref="DG57">INDEX(Demand_current!$D$4:$AY$138, MATCH($A57, Demand_current!$B$4:$B$138, 0), MATCH(DG$4&amp;DG$5,Demand_current!$D$2:$AY$2&amp;Demand_current!$D$3:$AY$3, 0))/1000</f>
        <v>0.53100000000000003</v>
      </c>
      <c r="DH57" s="229">
        <f t="array" ref="DH57">INDEX(Demand_current!$D$4:$AY$138, MATCH($A57, Demand_current!$B$4:$B$138, 0), MATCH(DH$4&amp;DH$5,Demand_current!$D$2:$AY$2&amp;Demand_current!$D$3:$AY$3, 0))/1000</f>
        <v>0.61699999999999999</v>
      </c>
      <c r="DI57" s="229">
        <f t="array" ref="DI57">INDEX(Demand_current!$D$4:$AY$138, MATCH($A57, Demand_current!$B$4:$B$138, 0), MATCH(DI$4&amp;DI$5,Demand_current!$D$2:$AY$2&amp;Demand_current!$D$3:$AY$3, 0))/1000</f>
        <v>0.48699999999999999</v>
      </c>
      <c r="DJ57" s="227">
        <f>$BT57*(VLOOKUP(DJ$4, Rates_current!$G$6:$Q$29, 10, FALSE)+VLOOKUP(DJ$4, Rates_current!$G$6:$Q$29, 11, FALSE))</f>
        <v>2201.9985707723999</v>
      </c>
      <c r="DK57" s="227">
        <f>$BT57*(VLOOKUP(DK$4, Rates_current!$G$6:$Q$29, 10, FALSE)+VLOOKUP(DK$4, Rates_current!$G$6:$Q$29, 11, FALSE))</f>
        <v>2797.2251116790999</v>
      </c>
      <c r="DL57" s="227">
        <f>$BT57*(VLOOKUP(DL$4, Rates_current!$G$6:$Q$29, 10, FALSE)+VLOOKUP(DL$4, Rates_current!$G$6:$Q$29, 11, FALSE))</f>
        <v>2763.4448334724002</v>
      </c>
      <c r="DM57" s="227">
        <f>$BT57*(VLOOKUP(DM$4, Rates_current!$G$6:$Q$29, 10, FALSE)+VLOOKUP(DM$4, Rates_current!$G$6:$Q$29, 11, FALSE))</f>
        <v>2303.4995822724004</v>
      </c>
      <c r="DN57" s="227">
        <f>$BT57*(VLOOKUP(DN$4, Rates_current!$G$6:$Q$29, 10, FALSE)+VLOOKUP(DN$4, Rates_current!$G$6:$Q$29, 11, FALSE))</f>
        <v>2086.7316519199999</v>
      </c>
      <c r="DO57" s="227">
        <f>$BT57*(VLOOKUP(DO$4, Rates_current!$G$6:$Q$29, 10, FALSE)+VLOOKUP(DO$4, Rates_current!$G$6:$Q$29, 11, FALSE))</f>
        <v>2321.1085143553</v>
      </c>
      <c r="DP57" s="227">
        <f>$BT57*(VLOOKUP(DP$4, Rates_current!$G$6:$Q$29, 10, FALSE)+VLOOKUP(DP$4, Rates_current!$G$6:$Q$29, 11, FALSE))</f>
        <v>1889.8490571119999</v>
      </c>
      <c r="DQ57" s="227">
        <f>$BT57*(VLOOKUP(DQ$4, Rates_current!$G$6:$Q$29, 10, FALSE)+VLOOKUP(DQ$4, Rates_current!$G$6:$Q$29, 11, FALSE))</f>
        <v>2548.7432612224002</v>
      </c>
      <c r="DR57" s="227">
        <f>$BT57*(VLOOKUP(DR$4, Rates_current!$G$6:$Q$29, 10, FALSE)+VLOOKUP(DR$4, Rates_current!$G$6:$Q$29, 11, FALSE))</f>
        <v>3252.0230576620002</v>
      </c>
      <c r="DS57" s="227">
        <f>$BT57*(VLOOKUP(DS$4, Rates_current!$G$6:$Q$29, 10, FALSE)+VLOOKUP(DS$4, Rates_current!$G$6:$Q$29, 11, FALSE))</f>
        <v>2549.6891923724002</v>
      </c>
      <c r="DT57" s="227">
        <f>$BT57*(VLOOKUP(DT$4, Rates_current!$G$6:$Q$29, 10, FALSE)+VLOOKUP(DT$4, Rates_current!$G$6:$Q$29, 11, FALSE))</f>
        <v>2482.8895709224003</v>
      </c>
      <c r="DU57" s="227">
        <f>$BT57*(VLOOKUP(DU$4, Rates_current!$G$6:$Q$29, 10, FALSE)+VLOOKUP(DU$4, Rates_current!$G$6:$Q$29, 11, FALSE))</f>
        <v>2229.1066560120003</v>
      </c>
      <c r="DV57" s="229">
        <f>IF(D57=0,IF(C57=0,MAX(0,DY57 - (VLOOKUP($A57,TOCA_current!$A$2:$AI$137,MATCH("RHWM 2020",TOCA_current!$A$2:$AI$2,0),FALSE)*$BT$2)), 0),0)</f>
        <v>0</v>
      </c>
      <c r="DW57" s="266">
        <f>VLOOKUP($A57,REP_current!$A$1:$D$135,MATCH("FY "&amp;$BT$1&amp; " Total Refund",REP_current!$A$1:$D$1,0),0)</f>
        <v>0</v>
      </c>
      <c r="DX57" s="295">
        <f>MIN(VLOOKUP($A57,TOCA_current!$A$2:$AI$137,MATCH("TRL - NLSL - Existing Resource "&amp;$BT$1,TOCA_current!$A$2:$AI$2,0),FALSE)*$BT$2, VLOOKUP($A57,TOCA_current!$A$2:$AI$137,MATCH("RHWM 2020",TOCA_current!$A$2:$AI$2,0),FALSE)*$BT$2)</f>
        <v>29426.400000000001</v>
      </c>
      <c r="DY57" s="240">
        <f>SUM(BZ57:CW57)+(BT57*RT1SC!$C$4*$BT$2)</f>
        <v>28886.310164275197</v>
      </c>
      <c r="DZ57" s="271">
        <f>VLOOKUP($A57,TOCA_current!$A$2:$AI$137,MATCH("Above RHWM Not Served with LS "&amp;$BT$1,TOCA_current!$A$2:$AI$2,0),FALSE)*$BT$2</f>
        <v>0</v>
      </c>
      <c r="EA57" s="244">
        <f t="shared" si="13"/>
        <v>-540.08983572480429</v>
      </c>
      <c r="EB57" s="295">
        <f>(VLOOKUP($A57,TOCA_current!$A$2:$AI$137,MATCH("RHWM 2020",TOCA_current!$A$2:$AI$2,0),FALSE)*$BT$2) - $DX57</f>
        <v>0</v>
      </c>
      <c r="EC57" s="240">
        <f t="shared" si="14"/>
        <v>0</v>
      </c>
      <c r="ED57" s="240">
        <f t="shared" si="15"/>
        <v>540.08983572480429</v>
      </c>
      <c r="EE57" s="240">
        <f t="shared" si="16"/>
        <v>0</v>
      </c>
      <c r="EF57" s="240">
        <f t="shared" si="17"/>
        <v>540.08983572480429</v>
      </c>
    </row>
    <row r="58" spans="1:136">
      <c r="A58" s="166">
        <v>10156</v>
      </c>
      <c r="B58" s="167" t="s">
        <v>59</v>
      </c>
      <c r="C58" s="240">
        <v>0</v>
      </c>
      <c r="D58" s="240">
        <v>0</v>
      </c>
      <c r="E58" s="150">
        <f>VLOOKUP($A58,TOCA_previous!$A$2:$AI$137,MATCH(E$4,TOCA_previous!$A$2:$AI$2,0),FALSE)</f>
        <v>4.5534E-3</v>
      </c>
      <c r="F58" s="151">
        <f>VLOOKUP($A58,TOCA_previous!$A$2:$AI$137,MATCH(F$4,TOCA_previous!$A$2:$AI$2,0),FALSE)</f>
        <v>4.5534E-3</v>
      </c>
      <c r="G58" s="151">
        <f t="shared" si="2"/>
        <v>0</v>
      </c>
      <c r="H58" s="151">
        <f>VLOOKUP($A58,TOCA_previous!$A$2:$AI$137,MATCH(H$4,TOCA_previous!$A$2:$AI$2,0),FALSE)</f>
        <v>0</v>
      </c>
      <c r="I58" s="151">
        <f t="shared" si="3"/>
        <v>0</v>
      </c>
      <c r="J58" s="151">
        <f t="shared" si="4"/>
        <v>0</v>
      </c>
      <c r="K58" s="226">
        <f>VLOOKUP(A58, IRD!$A$5:$C$139, 3, FALSE)</f>
        <v>0</v>
      </c>
      <c r="L58" s="227">
        <f t="array" ref="L58">IF($G58=0, INDEX(LS_previous!$D$4:$AY$138, MATCH('Staging Table'!$A58, LS_previous!$B$4:$B$138, 0), MATCH(L$4&amp;L$5, LS_previous!$D$2:$AY$2&amp;LS_previous!$D$3:$AY$3, 0)),SUM(VLOOKUP($A58, LS_previous!$B$4:$AY$138, LS_previous!D$149, FALSE), VLOOKUP('Staging Table'!$A58, LS_previous!$B$4:$AY$138,LS_previous!AB$149, FALSE))/2)</f>
        <v>-159</v>
      </c>
      <c r="M58" s="227">
        <f t="array" ref="M58">IF($G58=0, INDEX(LS_previous!$D$4:$AY$138, MATCH('Staging Table'!$A58, LS_previous!$B$4:$B$138, 0), MATCH(M$4&amp;M$5, LS_previous!$D$2:$AY$2&amp;LS_previous!$D$3:$AY$3, 0)),SUM(VLOOKUP($A58, LS_previous!$B$4:$AY$138, LS_previous!E$149, FALSE), VLOOKUP('Staging Table'!$A58, LS_previous!$B$4:$AY$138,LS_previous!AC$149, FALSE))/2)</f>
        <v>1128</v>
      </c>
      <c r="N58" s="227">
        <f t="array" ref="N58">IF($G58=0, INDEX(LS_previous!$D$4:$AY$138, MATCH('Staging Table'!$A58, LS_previous!$B$4:$B$138, 0), MATCH(N$4&amp;N$5, LS_previous!$D$2:$AY$2&amp;LS_previous!$D$3:$AY$3, 0)),SUM(VLOOKUP($A58, LS_previous!$B$4:$AY$138, LS_previous!F$149, FALSE), VLOOKUP('Staging Table'!$A58, LS_previous!$B$4:$AY$138,LS_previous!AD$149, FALSE))/2)</f>
        <v>658</v>
      </c>
      <c r="O58" s="227">
        <f t="array" ref="O58">IF($G58=0, INDEX(LS_previous!$D$4:$AY$138, MATCH('Staging Table'!$A58, LS_previous!$B$4:$B$138, 0), MATCH(O$4&amp;O$5, LS_previous!$D$2:$AY$2&amp;LS_previous!$D$3:$AY$3, 0)),SUM(VLOOKUP($A58, LS_previous!$B$4:$AY$138, LS_previous!G$149, FALSE), VLOOKUP('Staging Table'!$A58, LS_previous!$B$4:$AY$138,LS_previous!AE$149, FALSE))/2)</f>
        <v>2794</v>
      </c>
      <c r="P58" s="227">
        <f t="array" ref="P58">IF($G58=0, INDEX(LS_previous!$D$4:$AY$138, MATCH('Staging Table'!$A58, LS_previous!$B$4:$B$138, 0), MATCH(P$4&amp;P$5, LS_previous!$D$2:$AY$2&amp;LS_previous!$D$3:$AY$3, 0)),SUM(VLOOKUP($A58, LS_previous!$B$4:$AY$138, LS_previous!H$149, FALSE), VLOOKUP('Staging Table'!$A58, LS_previous!$B$4:$AY$138,LS_previous!AF$149, FALSE))/2)</f>
        <v>3308</v>
      </c>
      <c r="Q58" s="227">
        <f t="array" ref="Q58">IF($G58=0, INDEX(LS_previous!$D$4:$AY$138, MATCH('Staging Table'!$A58, LS_previous!$B$4:$B$138, 0), MATCH(Q$4&amp;Q$5, LS_previous!$D$2:$AY$2&amp;LS_previous!$D$3:$AY$3, 0)),SUM(VLOOKUP($A58, LS_previous!$B$4:$AY$138, LS_previous!I$149, FALSE), VLOOKUP('Staging Table'!$A58, LS_previous!$B$4:$AY$138,LS_previous!AG$149, FALSE))/2)</f>
        <v>4111</v>
      </c>
      <c r="R58" s="227">
        <f t="array" ref="R58">IF($G58=0, INDEX(LS_previous!$D$4:$AY$138, MATCH('Staging Table'!$A58, LS_previous!$B$4:$B$138, 0), MATCH(R$4&amp;R$5, LS_previous!$D$2:$AY$2&amp;LS_previous!$D$3:$AY$3, 0)),SUM(VLOOKUP($A58, LS_previous!$B$4:$AY$138, LS_previous!J$149, FALSE), VLOOKUP('Staging Table'!$A58, LS_previous!$B$4:$AY$138,LS_previous!AH$149, FALSE))/2)</f>
        <v>6121</v>
      </c>
      <c r="S58" s="227">
        <f t="array" ref="S58">IF($G58=0, INDEX(LS_previous!$D$4:$AY$138, MATCH('Staging Table'!$A58, LS_previous!$B$4:$B$138, 0), MATCH(S$4&amp;S$5, LS_previous!$D$2:$AY$2&amp;LS_previous!$D$3:$AY$3, 0)),SUM(VLOOKUP($A58, LS_previous!$B$4:$AY$138, LS_previous!K$149, FALSE), VLOOKUP('Staging Table'!$A58, LS_previous!$B$4:$AY$138,LS_previous!AI$149, FALSE))/2)</f>
        <v>5427</v>
      </c>
      <c r="T58" s="227">
        <f t="array" ref="T58">IF($G58=0, INDEX(LS_previous!$D$4:$AY$138, MATCH('Staging Table'!$A58, LS_previous!$B$4:$B$138, 0), MATCH(T$4&amp;T$5, LS_previous!$D$2:$AY$2&amp;LS_previous!$D$3:$AY$3, 0)),SUM(VLOOKUP($A58, LS_previous!$B$4:$AY$138, LS_previous!L$149, FALSE), VLOOKUP('Staging Table'!$A58, LS_previous!$B$4:$AY$138,LS_previous!AJ$149, FALSE))/2)</f>
        <v>6382</v>
      </c>
      <c r="U58" s="227">
        <f t="array" ref="U58">IF($G58=0, INDEX(LS_previous!$D$4:$AY$138, MATCH('Staging Table'!$A58, LS_previous!$B$4:$B$138, 0), MATCH(U$4&amp;U$5, LS_previous!$D$2:$AY$2&amp;LS_previous!$D$3:$AY$3, 0)),SUM(VLOOKUP($A58, LS_previous!$B$4:$AY$138, LS_previous!M$149, FALSE), VLOOKUP('Staging Table'!$A58, LS_previous!$B$4:$AY$138,LS_previous!AK$149, FALSE))/2)</f>
        <v>5301</v>
      </c>
      <c r="V58" s="227">
        <f t="array" ref="V58">IF($G58=0, INDEX(LS_previous!$D$4:$AY$138, MATCH('Staging Table'!$A58, LS_previous!$B$4:$B$138, 0), MATCH(V$4&amp;V$5, LS_previous!$D$2:$AY$2&amp;LS_previous!$D$3:$AY$3, 0)),SUM(VLOOKUP($A58, LS_previous!$B$4:$AY$138, LS_previous!N$149, FALSE), VLOOKUP('Staging Table'!$A58, LS_previous!$B$4:$AY$138,LS_previous!AL$149, FALSE))/2)</f>
        <v>2810</v>
      </c>
      <c r="W58" s="227">
        <f t="array" ref="W58">IF($G58=0, INDEX(LS_previous!$D$4:$AY$138, MATCH('Staging Table'!$A58, LS_previous!$B$4:$B$138, 0), MATCH(W$4&amp;W$5, LS_previous!$D$2:$AY$2&amp;LS_previous!$D$3:$AY$3, 0)),SUM(VLOOKUP($A58, LS_previous!$B$4:$AY$138, LS_previous!O$149, FALSE), VLOOKUP('Staging Table'!$A58, LS_previous!$B$4:$AY$138,LS_previous!AM$149, FALSE))/2)</f>
        <v>2963</v>
      </c>
      <c r="X58" s="227">
        <f t="array" ref="X58">IF($G58=0, INDEX(LS_previous!$D$4:$AY$138, MATCH('Staging Table'!$A58, LS_previous!$B$4:$B$138, 0), MATCH(X$4&amp;X$5, LS_previous!$D$2:$AY$2&amp;LS_previous!$D$3:$AY$3, 0)),SUM(VLOOKUP($A58, LS_previous!$B$4:$AY$138, LS_previous!P$149, FALSE), VLOOKUP('Staging Table'!$A58, LS_previous!$B$4:$AY$138,LS_previous!AN$149, FALSE))/2)</f>
        <v>684</v>
      </c>
      <c r="Y58" s="227">
        <f t="array" ref="Y58">IF($G58=0, INDEX(LS_previous!$D$4:$AY$138, MATCH('Staging Table'!$A58, LS_previous!$B$4:$B$138, 0), MATCH(Y$4&amp;Y$5, LS_previous!$D$2:$AY$2&amp;LS_previous!$D$3:$AY$3, 0)),SUM(VLOOKUP($A58, LS_previous!$B$4:$AY$138, LS_previous!Q$149, FALSE), VLOOKUP('Staging Table'!$A58, LS_previous!$B$4:$AY$138,LS_previous!AO$149, FALSE))/2)</f>
        <v>1859</v>
      </c>
      <c r="Z58" s="227">
        <f t="array" ref="Z58">IF($G58=0, INDEX(LS_previous!$D$4:$AY$138, MATCH('Staging Table'!$A58, LS_previous!$B$4:$B$138, 0), MATCH(Z$4&amp;Z$5, LS_previous!$D$2:$AY$2&amp;LS_previous!$D$3:$AY$3, 0)),SUM(VLOOKUP($A58, LS_previous!$B$4:$AY$138, LS_previous!R$149, FALSE), VLOOKUP('Staging Table'!$A58, LS_previous!$B$4:$AY$138,LS_previous!AP$149, FALSE))/2)</f>
        <v>-8066</v>
      </c>
      <c r="AA58" s="227">
        <f t="array" ref="AA58">IF($G58=0, INDEX(LS_previous!$D$4:$AY$138, MATCH('Staging Table'!$A58, LS_previous!$B$4:$B$138, 0), MATCH(AA$4&amp;AA$5, LS_previous!$D$2:$AY$2&amp;LS_previous!$D$3:$AY$3, 0)),SUM(VLOOKUP($A58, LS_previous!$B$4:$AY$138, LS_previous!S$149, FALSE), VLOOKUP('Staging Table'!$A58, LS_previous!$B$4:$AY$138,LS_previous!AQ$149, FALSE))/2)</f>
        <v>-3005</v>
      </c>
      <c r="AB58" s="227">
        <f t="array" ref="AB58">IF($G58=0, INDEX(LS_previous!$D$4:$AY$138, MATCH('Staging Table'!$A58, LS_previous!$B$4:$B$138, 0), MATCH(AB$4&amp;AB$5, LS_previous!$D$2:$AY$2&amp;LS_previous!$D$3:$AY$3, 0)),SUM(VLOOKUP($A58, LS_previous!$B$4:$AY$138, LS_previous!T$149, FALSE), VLOOKUP('Staging Table'!$A58, LS_previous!$B$4:$AY$138,LS_previous!AR$149, FALSE))/2)</f>
        <v>-4964</v>
      </c>
      <c r="AC58" s="227">
        <f t="array" ref="AC58">IF($G58=0, INDEX(LS_previous!$D$4:$AY$138, MATCH('Staging Table'!$A58, LS_previous!$B$4:$B$138, 0), MATCH(AC$4&amp;AC$5, LS_previous!$D$2:$AY$2&amp;LS_previous!$D$3:$AY$3, 0)),SUM(VLOOKUP($A58, LS_previous!$B$4:$AY$138, LS_previous!U$149, FALSE), VLOOKUP('Staging Table'!$A58, LS_previous!$B$4:$AY$138,LS_previous!AS$149, FALSE))/2)</f>
        <v>-1570</v>
      </c>
      <c r="AD58" s="227">
        <f t="array" ref="AD58">IF($G58=0, INDEX(LS_previous!$D$4:$AY$138, MATCH('Staging Table'!$A58, LS_previous!$B$4:$B$138, 0), MATCH(AD$4&amp;AD$5, LS_previous!$D$2:$AY$2&amp;LS_previous!$D$3:$AY$3, 0)),SUM(VLOOKUP($A58, LS_previous!$B$4:$AY$138, LS_previous!V$149, FALSE), VLOOKUP('Staging Table'!$A58, LS_previous!$B$4:$AY$138,LS_previous!AT$149, FALSE))/2)</f>
        <v>-2943</v>
      </c>
      <c r="AE58" s="227">
        <f t="array" ref="AE58">IF($G58=0, INDEX(LS_previous!$D$4:$AY$138, MATCH('Staging Table'!$A58, LS_previous!$B$4:$B$138, 0), MATCH(AE$4&amp;AE$5, LS_previous!$D$2:$AY$2&amp;LS_previous!$D$3:$AY$3, 0)),SUM(VLOOKUP($A58, LS_previous!$B$4:$AY$138, LS_previous!W$149, FALSE), VLOOKUP('Staging Table'!$A58, LS_previous!$B$4:$AY$138,LS_previous!AU$149, FALSE))/2)</f>
        <v>24</v>
      </c>
      <c r="AF58" s="227">
        <f t="array" ref="AF58">IF($G58=0, INDEX(LS_previous!$D$4:$AY$138, MATCH('Staging Table'!$A58, LS_previous!$B$4:$B$138, 0), MATCH(AF$4&amp;AF$5, LS_previous!$D$2:$AY$2&amp;LS_previous!$D$3:$AY$3, 0)),SUM(VLOOKUP($A58, LS_previous!$B$4:$AY$138, LS_previous!X$149, FALSE), VLOOKUP('Staging Table'!$A58, LS_previous!$B$4:$AY$138,LS_previous!AV$149, FALSE))/2)</f>
        <v>-4498</v>
      </c>
      <c r="AG58" s="227">
        <f t="array" ref="AG58">IF($G58=0, INDEX(LS_previous!$D$4:$AY$138, MATCH('Staging Table'!$A58, LS_previous!$B$4:$B$138, 0), MATCH(AG$4&amp;AG$5, LS_previous!$D$2:$AY$2&amp;LS_previous!$D$3:$AY$3, 0)),SUM(VLOOKUP($A58, LS_previous!$B$4:$AY$138, LS_previous!Y$149, FALSE), VLOOKUP('Staging Table'!$A58, LS_previous!$B$4:$AY$138,LS_previous!AW$149, FALSE))/2)</f>
        <v>-753</v>
      </c>
      <c r="AH58" s="227">
        <f t="array" ref="AH58">IF($G58=0, INDEX(LS_previous!$D$4:$AY$138, MATCH('Staging Table'!$A58, LS_previous!$B$4:$B$138, 0), MATCH(AH$4&amp;AH$5, LS_previous!$D$2:$AY$2&amp;LS_previous!$D$3:$AY$3, 0)),SUM(VLOOKUP($A58, LS_previous!$B$4:$AY$138, LS_previous!Z$149, FALSE), VLOOKUP('Staging Table'!$A58, LS_previous!$B$4:$AY$138,LS_previous!AX$149, FALSE))/2)</f>
        <v>-2818</v>
      </c>
      <c r="AI58" s="227">
        <f t="array" ref="AI58">IF($G58=0, INDEX(LS_previous!$D$4:$AY$138, MATCH('Staging Table'!$A58, LS_previous!$B$4:$B$138, 0), MATCH(AI$4&amp;AI$5, LS_previous!$D$2:$AY$2&amp;LS_previous!$D$3:$AY$3, 0)),SUM(VLOOKUP($A58, LS_previous!$B$4:$AY$138, LS_previous!AA$149, FALSE), VLOOKUP('Staging Table'!$A58, LS_previous!$B$4:$AY$138,LS_previous!AY$149, FALSE))/2)</f>
        <v>-468</v>
      </c>
      <c r="AJ58" s="424">
        <f t="array" ref="AJ58">INDEX(Demand_previous!$D$4:$AY$138, MATCH('Staging Table'!$A58, Demand_previous!$B$4:$B$138, 0), MATCH(AJ$4&amp;AJ$5,Demand_previous!$D$2:$AY$2&amp;Demand_previous!$D$3:$AY$3, 0))/1000</f>
        <v>2.3620000000000001</v>
      </c>
      <c r="AK58" s="424">
        <f t="array" ref="AK58">INDEX(Demand_previous!$D$4:$AY$138, MATCH('Staging Table'!$A58, Demand_previous!$B$4:$B$138, 0), MATCH(AK$4&amp;AK$5,Demand_previous!$D$2:$AY$2&amp;Demand_previous!$D$3:$AY$3, 0))/1000</f>
        <v>3.4630000000000001</v>
      </c>
      <c r="AL58" s="424">
        <f t="array" ref="AL58">INDEX(Demand_previous!$D$4:$AY$138, MATCH('Staging Table'!$A58, Demand_previous!$B$4:$B$138, 0), MATCH(AL$4&amp;AL$5,Demand_previous!$D$2:$AY$2&amp;Demand_previous!$D$3:$AY$3, 0))/1000</f>
        <v>12.257</v>
      </c>
      <c r="AM58" s="424">
        <f t="array" ref="AM58">INDEX(Demand_previous!$D$4:$AY$138, MATCH('Staging Table'!$A58, Demand_previous!$B$4:$B$138, 0), MATCH(AM$4&amp;AM$5,Demand_previous!$D$2:$AY$2&amp;Demand_previous!$D$3:$AY$3, 0))/1000</f>
        <v>12.015000000000001</v>
      </c>
      <c r="AN58" s="424">
        <f t="array" ref="AN58">INDEX(Demand_previous!$D$4:$AY$138, MATCH('Staging Table'!$A58, Demand_previous!$B$4:$B$138, 0), MATCH(AN$4&amp;AN$5,Demand_previous!$D$2:$AY$2&amp;Demand_previous!$D$3:$AY$3, 0))/1000</f>
        <v>6.4470000000000001</v>
      </c>
      <c r="AO58" s="424">
        <f t="array" ref="AO58">INDEX(Demand_previous!$D$4:$AY$138, MATCH('Staging Table'!$A58, Demand_previous!$B$4:$B$138, 0), MATCH(AO$4&amp;AO$5,Demand_previous!$D$2:$AY$2&amp;Demand_previous!$D$3:$AY$3, 0))/1000</f>
        <v>5.4550000000000001</v>
      </c>
      <c r="AP58" s="424">
        <f t="array" ref="AP58">INDEX(Demand_previous!$D$4:$AY$138, MATCH('Staging Table'!$A58, Demand_previous!$B$4:$B$138, 0), MATCH(AP$4&amp;AP$5,Demand_previous!$D$2:$AY$2&amp;Demand_previous!$D$3:$AY$3, 0))/1000</f>
        <v>2.9180000000000001</v>
      </c>
      <c r="AQ58" s="424">
        <f t="array" ref="AQ58">INDEX(Demand_previous!$D$4:$AY$138, MATCH('Staging Table'!$A58, Demand_previous!$B$4:$B$138, 0), MATCH(AQ$4&amp;AQ$5,Demand_previous!$D$2:$AY$2&amp;Demand_previous!$D$3:$AY$3, 0))/1000</f>
        <v>0</v>
      </c>
      <c r="AR58" s="424">
        <f t="array" ref="AR58">INDEX(Demand_previous!$D$4:$AY$138, MATCH('Staging Table'!$A58, Demand_previous!$B$4:$B$138, 0), MATCH(AR$4&amp;AR$5,Demand_previous!$D$2:$AY$2&amp;Demand_previous!$D$3:$AY$3, 0))/1000</f>
        <v>7.6840000000000002</v>
      </c>
      <c r="AS58" s="424">
        <f t="array" ref="AS58">INDEX(Demand_previous!$D$4:$AY$138, MATCH('Staging Table'!$A58, Demand_previous!$B$4:$B$138, 0), MATCH(AS$4&amp;AS$5,Demand_previous!$D$2:$AY$2&amp;Demand_previous!$D$3:$AY$3, 0))/1000</f>
        <v>6.6820000000000004</v>
      </c>
      <c r="AT58" s="424">
        <f t="array" ref="AT58">INDEX(Demand_previous!$D$4:$AY$138, MATCH('Staging Table'!$A58, Demand_previous!$B$4:$B$138, 0), MATCH(AT$4&amp;AT$5,Demand_previous!$D$2:$AY$2&amp;Demand_previous!$D$3:$AY$3, 0))/1000</f>
        <v>9.6129999999999995</v>
      </c>
      <c r="AU58" s="424">
        <f t="array" ref="AU58">INDEX(Demand_previous!$D$4:$AY$138, MATCH('Staging Table'!$A58, Demand_previous!$B$4:$B$138, 0), MATCH(AU$4&amp;AU$5,Demand_previous!$D$2:$AY$2&amp;Demand_previous!$D$3:$AY$3, 0))/1000</f>
        <v>2.456</v>
      </c>
      <c r="AV58" s="227">
        <f>$F58*(VLOOKUP(AV$4, Rates_previous!$G$6:$Q$29, 10, FALSE)+VLOOKUP(AV$4, Rates_previous!$G$6:$Q$29, 11, FALSE))</f>
        <v>21350.153867264347</v>
      </c>
      <c r="AW58" s="227">
        <f>$F58*(VLOOKUP(AW$4, Rates_previous!$G$6:$Q$29, 10, FALSE)+VLOOKUP(AW$4, Rates_previous!$G$6:$Q$29, 11, FALSE))</f>
        <v>26387.167482249395</v>
      </c>
      <c r="AX58" s="227">
        <f>$F58*(VLOOKUP(AX$4, Rates_previous!$G$6:$Q$29, 10, FALSE)+VLOOKUP(AX$4, Rates_previous!$G$6:$Q$29, 11, FALSE))</f>
        <v>26070.28916136433</v>
      </c>
      <c r="AY58" s="227">
        <f>$F58*(VLOOKUP(AY$4, Rates_previous!$G$6:$Q$29, 10, FALSE)+VLOOKUP(AY$4, Rates_previous!$G$6:$Q$29, 11, FALSE))</f>
        <v>22274.577179429543</v>
      </c>
      <c r="AZ58" s="227">
        <f>$F58*(VLOOKUP(AZ$4, Rates_previous!$G$6:$Q$29, 10, FALSE)+VLOOKUP(AZ$4, Rates_previous!$G$6:$Q$29, 11, FALSE))</f>
        <v>18260.83266182739</v>
      </c>
      <c r="BA58" s="227">
        <f>$F58*(VLOOKUP(BA$4, Rates_previous!$G$6:$Q$29, 10, FALSE)+VLOOKUP(BA$4, Rates_previous!$G$6:$Q$29, 11, FALSE))</f>
        <v>21620.162576603827</v>
      </c>
      <c r="BB58" s="227">
        <f>$F58*(VLOOKUP(BB$4, Rates_previous!$G$6:$Q$29, 10, FALSE)+VLOOKUP(BB$4, Rates_previous!$G$6:$Q$29, 11, FALSE))</f>
        <v>20780.121080626519</v>
      </c>
      <c r="BC58" s="227">
        <f>$F58*(VLOOKUP(BC$4, Rates_previous!$G$6:$Q$29, 10, FALSE)+VLOOKUP(BC$4, Rates_previous!$G$6:$Q$29, 11, FALSE))</f>
        <v>30493.35722735809</v>
      </c>
      <c r="BD58" s="227">
        <f>$F58*(VLOOKUP(BD$4, Rates_previous!$G$6:$Q$29, 10, FALSE)+VLOOKUP(BD$4, Rates_previous!$G$6:$Q$29, 11, FALSE))</f>
        <v>24058.452903129892</v>
      </c>
      <c r="BE58" s="227">
        <f>$F58*(VLOOKUP(BE$4, Rates_previous!$G$6:$Q$29, 10, FALSE)+VLOOKUP(BE$4, Rates_previous!$G$6:$Q$29, 11, FALSE))</f>
        <v>21125.341007949679</v>
      </c>
      <c r="BF58" s="227">
        <f>$F58*(VLOOKUP(BF$4, Rates_previous!$G$6:$Q$29, 10, FALSE)+VLOOKUP(BF$4, Rates_previous!$G$6:$Q$29, 11, FALSE))</f>
        <v>23397.160765387169</v>
      </c>
      <c r="BG58" s="227">
        <f>$F58*(VLOOKUP(BG$4, Rates_previous!$G$6:$Q$29, 10, FALSE)+VLOOKUP(BG$4, Rates_previous!$G$6:$Q$29, 11, FALSE))</f>
        <v>21196.897206671762</v>
      </c>
      <c r="BH58" s="229">
        <f>IF($D58=0,IF(C58=0, MAX(BK58 - (VLOOKUP($A58,TOCA_previous!$A$2:$AI$137,MATCH("RHWM 2018",TOCA_previous!$A$2:$AI$2,0),FALSE)*$F$2*TOCA_previous!C55),0),0), 0)</f>
        <v>13464.557161263947</v>
      </c>
      <c r="BI58" s="266">
        <f>VLOOKUP($A58,REP_previous!$A$1:$D$135,MATCH("FY "&amp;$F$1&amp; " Total Refund",REP_previous!$A$1:$D$1,0),0)</f>
        <v>180621.24240032636</v>
      </c>
      <c r="BJ58" s="241">
        <f>MIN(VLOOKUP($A58,TOCA_previous!$A$2:$AI$137,MATCH("TRL - NLSL - Existing Resource "&amp;$F$1,TOCA_previous!$A$2:$AI$2,0),FALSE)*$F$2,(VLOOKUP($A58,TOCA_previous!$A$2:$AI$137,MATCH("RHWM 2018",TOCA_previous!$A$2:$AI$2,0),FALSE)*$F$2))</f>
        <v>277017.48</v>
      </c>
      <c r="BK58" s="229">
        <f>SUM(L58:AI58)+(F58*RT1SC!$C$3*$F$2)</f>
        <v>291340.51716126397</v>
      </c>
      <c r="BL58" s="241">
        <f>VLOOKUP($A58,TOCA_previous!$A$2:$AI$137,MATCH("Above RHWM Not Served with LS "&amp;$F$1,TOCA_previous!$A$2:$AI$2,0),FALSE)*$F$2</f>
        <v>0</v>
      </c>
      <c r="BM58" s="151">
        <f t="shared" si="5"/>
        <v>14323.037161263986</v>
      </c>
      <c r="BN58" s="242">
        <f>(VLOOKUP($A58,TOCA_previous!$A$2:$AI$137,MATCH("RHWM 2018",TOCA_previous!$A$2:$AI$2,0),FALSE)*$F$2) - $BJ58</f>
        <v>858.48000000003958</v>
      </c>
      <c r="BO58" s="151">
        <f t="shared" si="6"/>
        <v>-858.48000000003958</v>
      </c>
      <c r="BP58" s="243">
        <f t="shared" si="7"/>
        <v>0</v>
      </c>
      <c r="BQ58" s="237">
        <f t="shared" si="8"/>
        <v>0</v>
      </c>
      <c r="BR58" s="242">
        <f t="shared" si="9"/>
        <v>-858.48000000003958</v>
      </c>
      <c r="BS58" s="151">
        <f>VLOOKUP($A58,TOCA_current!$A$2:$AI$137,MATCH(BS$4,TOCA_current!$A$2:$AI$2,0),FALSE)</f>
        <v>4.5649999999999996E-3</v>
      </c>
      <c r="BT58" s="151">
        <f>VLOOKUP($A58,TOCA_current!$A$2:$AI$137,MATCH(BT$4,TOCA_current!$A$2:$AI$2,0),FALSE)</f>
        <v>4.5649999999999996E-3</v>
      </c>
      <c r="BU58" s="236">
        <f t="shared" si="10"/>
        <v>0</v>
      </c>
      <c r="BV58" s="151">
        <f>VLOOKUP($A58,TOCA_current!A54:BG189,MATCH(BV$4,TOCA_current!$A$2:$BG$2,0),FALSE)</f>
        <v>0</v>
      </c>
      <c r="BW58" s="151">
        <f t="shared" si="11"/>
        <v>0</v>
      </c>
      <c r="BX58" s="151">
        <f t="shared" si="12"/>
        <v>0</v>
      </c>
      <c r="BY58" s="226">
        <f>VLOOKUP($A58,IRD!$A$4:$G$139, 7, FALSE)</f>
        <v>0</v>
      </c>
      <c r="BZ58" s="227">
        <f t="array" ref="BZ58">IF($BU58=0, INDEX(LS_current!$D$4:$AY$138, MATCH('Staging Table'!$A58, LS_current!$B$4:$B$138, 0), MATCH(BZ$4&amp;BZ$5, LS_current!$D$2:$AY$2&amp;LS_current!$D$3:$AY$3, 0)),SUM(VLOOKUP($A58, LS_current!$B$4:$AY$138, LS_current!D$148, FALSE), VLOOKUP($A58, LS_current!$B$4:$AY$138,LS_current!D$148, FALSE))/2)</f>
        <v>-9</v>
      </c>
      <c r="CA58" s="227">
        <f t="array" ref="CA58">IF($BU58=0, INDEX(LS_current!$D$4:$AY$138, MATCH('Staging Table'!$A58, LS_current!$B$4:$B$138, 0), MATCH(CA$4&amp;CA$5, LS_current!$D$2:$AY$2&amp;LS_current!$D$3:$AY$3, 0)),SUM(VLOOKUP($A58, LS_current!$B$4:$AY$138, LS_current!E$148, FALSE), VLOOKUP($A58, LS_current!$B$4:$AY$138,LS_current!E$148, FALSE))/2)</f>
        <v>1250</v>
      </c>
      <c r="CB58" s="227">
        <f t="array" ref="CB58">IF($BU58=0, INDEX(LS_current!$D$4:$AY$138, MATCH('Staging Table'!$A58, LS_current!$B$4:$B$138, 0), MATCH(CB$4&amp;CB$5, LS_current!$D$2:$AY$2&amp;LS_current!$D$3:$AY$3, 0)),SUM(VLOOKUP($A58, LS_current!$B$4:$AY$138, LS_current!F$148, FALSE), VLOOKUP($A58, LS_current!$B$4:$AY$138,LS_current!F$148, FALSE))/2)</f>
        <v>497</v>
      </c>
      <c r="CC58" s="227">
        <f t="array" ref="CC58">IF($BU58=0, INDEX(LS_current!$D$4:$AY$138, MATCH('Staging Table'!$A58, LS_current!$B$4:$B$138, 0), MATCH(CC$4&amp;CC$5, LS_current!$D$2:$AY$2&amp;LS_current!$D$3:$AY$3, 0)),SUM(VLOOKUP($A58, LS_current!$B$4:$AY$138, LS_current!G$148, FALSE), VLOOKUP($A58, LS_current!$B$4:$AY$138,LS_current!G$148, FALSE))/2)</f>
        <v>2566</v>
      </c>
      <c r="CD58" s="227">
        <f t="array" ref="CD58">IF($BU58=0, INDEX(LS_current!$D$4:$AY$138, MATCH('Staging Table'!$A58, LS_current!$B$4:$B$138, 0), MATCH(CD$4&amp;CD$5, LS_current!$D$2:$AY$2&amp;LS_current!$D$3:$AY$3, 0)),SUM(VLOOKUP($A58, LS_current!$B$4:$AY$138, LS_current!H$148, FALSE), VLOOKUP($A58, LS_current!$B$4:$AY$138,LS_current!H$148, FALSE))/2)</f>
        <v>3121</v>
      </c>
      <c r="CE58" s="227">
        <f t="array" ref="CE58">IF($BU58=0, INDEX(LS_current!$D$4:$AY$138, MATCH('Staging Table'!$A58, LS_current!$B$4:$B$138, 0), MATCH(CE$4&amp;CE$5, LS_current!$D$2:$AY$2&amp;LS_current!$D$3:$AY$3, 0)),SUM(VLOOKUP($A58, LS_current!$B$4:$AY$138, LS_current!I$148, FALSE), VLOOKUP($A58, LS_current!$B$4:$AY$138,LS_current!I$148, FALSE))/2)</f>
        <v>3916</v>
      </c>
      <c r="CF58" s="227">
        <f t="array" ref="CF58">IF($BU58=0, INDEX(LS_current!$D$4:$AY$138, MATCH('Staging Table'!$A58, LS_current!$B$4:$B$138, 0), MATCH(CF$4&amp;CF$5, LS_current!$D$2:$AY$2&amp;LS_current!$D$3:$AY$3, 0)),SUM(VLOOKUP($A58, LS_current!$B$4:$AY$138, LS_current!J$148, FALSE), VLOOKUP($A58, LS_current!$B$4:$AY$138,LS_current!J$148, FALSE))/2)</f>
        <v>6026</v>
      </c>
      <c r="CG58" s="227">
        <f t="array" ref="CG58">IF($BU58=0, INDEX(LS_current!$D$4:$AY$138, MATCH('Staging Table'!$A58, LS_current!$B$4:$B$138, 0), MATCH(CG$4&amp;CG$5, LS_current!$D$2:$AY$2&amp;LS_current!$D$3:$AY$3, 0)),SUM(VLOOKUP($A58, LS_current!$B$4:$AY$138, LS_current!K$148, FALSE), VLOOKUP($A58, LS_current!$B$4:$AY$138,LS_current!K$148, FALSE))/2)</f>
        <v>5747</v>
      </c>
      <c r="CH58" s="227">
        <f t="array" ref="CH58">IF($BU58=0, INDEX(LS_current!$D$4:$AY$138, MATCH('Staging Table'!$A58, LS_current!$B$4:$B$138, 0), MATCH(CH$4&amp;CH$5, LS_current!$D$2:$AY$2&amp;LS_current!$D$3:$AY$3, 0)),SUM(VLOOKUP($A58, LS_current!$B$4:$AY$138, LS_current!L$148, FALSE), VLOOKUP($A58, LS_current!$B$4:$AY$138,LS_current!L$148, FALSE))/2)</f>
        <v>5315</v>
      </c>
      <c r="CI58" s="227">
        <f t="array" ref="CI58">IF($BU58=0, INDEX(LS_current!$D$4:$AY$138, MATCH('Staging Table'!$A58, LS_current!$B$4:$B$138, 0), MATCH(CI$4&amp;CI$5, LS_current!$D$2:$AY$2&amp;LS_current!$D$3:$AY$3, 0)),SUM(VLOOKUP($A58, LS_current!$B$4:$AY$138, LS_current!M$148, FALSE), VLOOKUP($A58, LS_current!$B$4:$AY$138,LS_current!M$148, FALSE))/2)</f>
        <v>4654</v>
      </c>
      <c r="CJ58" s="227">
        <f t="array" ref="CJ58">IF($BU58=0, INDEX(LS_current!$D$4:$AY$138, MATCH('Staging Table'!$A58, LS_current!$B$4:$B$138, 0), MATCH(CJ$4&amp;CJ$5, LS_current!$D$2:$AY$2&amp;LS_current!$D$3:$AY$3, 0)),SUM(VLOOKUP($A58, LS_current!$B$4:$AY$138, LS_current!N$148, FALSE), VLOOKUP($A58, LS_current!$B$4:$AY$138,LS_current!N$148, FALSE))/2)</f>
        <v>2355</v>
      </c>
      <c r="CK58" s="227">
        <f t="array" ref="CK58">IF($BU58=0, INDEX(LS_current!$D$4:$AY$138, MATCH('Staging Table'!$A58, LS_current!$B$4:$B$138, 0), MATCH(CK$4&amp;CK$5, LS_current!$D$2:$AY$2&amp;LS_current!$D$3:$AY$3, 0)),SUM(VLOOKUP($A58, LS_current!$B$4:$AY$138, LS_current!O$148, FALSE), VLOOKUP($A58, LS_current!$B$4:$AY$138,LS_current!O$148, FALSE))/2)</f>
        <v>2819</v>
      </c>
      <c r="CL58" s="227">
        <f t="array" ref="CL58">IF($BU58=0, INDEX(LS_current!$D$4:$AY$138, MATCH('Staging Table'!$A58, LS_current!$B$4:$B$138, 0), MATCH(CL$4&amp;CL$5, LS_current!$D$2:$AY$2&amp;LS_current!$D$3:$AY$3, 0)),SUM(VLOOKUP($A58, LS_current!$B$4:$AY$138, LS_current!P$148, FALSE), VLOOKUP($A58, LS_current!$B$4:$AY$138,LS_current!P$148, FALSE))/2)</f>
        <v>2664</v>
      </c>
      <c r="CM58" s="227">
        <f t="array" ref="CM58">IF($BU58=0, INDEX(LS_current!$D$4:$AY$138, MATCH('Staging Table'!$A58, LS_current!$B$4:$B$138, 0), MATCH(CM$4&amp;CM$5, LS_current!$D$2:$AY$2&amp;LS_current!$D$3:$AY$3, 0)),SUM(VLOOKUP($A58, LS_current!$B$4:$AY$138, LS_current!Q$148, FALSE), VLOOKUP($A58, LS_current!$B$4:$AY$138,LS_current!Q$148, FALSE))/2)</f>
        <v>2569</v>
      </c>
      <c r="CN58" s="227">
        <f t="array" ref="CN58">IF($BU58=0, INDEX(LS_current!$D$4:$AY$138, MATCH('Staging Table'!$A58, LS_current!$B$4:$B$138, 0), MATCH(CN$4&amp;CN$5, LS_current!$D$2:$AY$2&amp;LS_current!$D$3:$AY$3, 0)),SUM(VLOOKUP($A58, LS_current!$B$4:$AY$138, LS_current!R$148, FALSE), VLOOKUP($A58, LS_current!$B$4:$AY$138,LS_current!R$148, FALSE))/2)</f>
        <v>-4463</v>
      </c>
      <c r="CO58" s="227">
        <f t="array" ref="CO58">IF($BU58=0, INDEX(LS_current!$D$4:$AY$138, MATCH('Staging Table'!$A58, LS_current!$B$4:$B$138, 0), MATCH(CO$4&amp;CO$5, LS_current!$D$2:$AY$2&amp;LS_current!$D$3:$AY$3, 0)),SUM(VLOOKUP($A58, LS_current!$B$4:$AY$138, LS_current!S$148, FALSE), VLOOKUP($A58, LS_current!$B$4:$AY$138,LS_current!S$148, FALSE))/2)</f>
        <v>-512</v>
      </c>
      <c r="CP58" s="227">
        <f t="array" ref="CP58">IF($BU58=0, INDEX(LS_current!$D$4:$AY$138, MATCH('Staging Table'!$A58, LS_current!$B$4:$B$138, 0), MATCH(CP$4&amp;CP$5, LS_current!$D$2:$AY$2&amp;LS_current!$D$3:$AY$3, 0)),SUM(VLOOKUP($A58, LS_current!$B$4:$AY$138, LS_current!T$148, FALSE), VLOOKUP($A58, LS_current!$B$4:$AY$138,LS_current!T$148, FALSE))/2)</f>
        <v>-9428</v>
      </c>
      <c r="CQ58" s="227">
        <f t="array" ref="CQ58">IF($BU58=0, INDEX(LS_current!$D$4:$AY$138, MATCH('Staging Table'!$A58, LS_current!$B$4:$B$138, 0), MATCH(CQ$4&amp;CQ$5, LS_current!$D$2:$AY$2&amp;LS_current!$D$3:$AY$3, 0)),SUM(VLOOKUP($A58, LS_current!$B$4:$AY$138, LS_current!U$148, FALSE), VLOOKUP($A58, LS_current!$B$4:$AY$138,LS_current!U$148, FALSE))/2)</f>
        <v>-4177</v>
      </c>
      <c r="CR58" s="227">
        <f t="array" ref="CR58">IF($BU58=0, INDEX(LS_current!$D$4:$AY$138, MATCH('Staging Table'!$A58, LS_current!$B$4:$B$138, 0), MATCH(CR$4&amp;CR$5, LS_current!$D$2:$AY$2&amp;LS_current!$D$3:$AY$3, 0)),SUM(VLOOKUP($A58, LS_current!$B$4:$AY$138, LS_current!V$148, FALSE), VLOOKUP($A58, LS_current!$B$4:$AY$138,LS_current!V$148, FALSE))/2)</f>
        <v>-5932</v>
      </c>
      <c r="CS58" s="227">
        <f t="array" ref="CS58">IF($BU58=0, INDEX(LS_current!$D$4:$AY$138, MATCH('Staging Table'!$A58, LS_current!$B$4:$B$138, 0), MATCH(CS$4&amp;CS$5, LS_current!$D$2:$AY$2&amp;LS_current!$D$3:$AY$3, 0)),SUM(VLOOKUP($A58, LS_current!$B$4:$AY$138, LS_current!W$148, FALSE), VLOOKUP($A58, LS_current!$B$4:$AY$138,LS_current!W$148, FALSE))/2)</f>
        <v>-268</v>
      </c>
      <c r="CT58" s="227">
        <f t="array" ref="CT58">IF($BU58=0, INDEX(LS_current!$D$4:$AY$138, MATCH('Staging Table'!$A58, LS_current!$B$4:$B$138, 0), MATCH(CT$4&amp;CT$5, LS_current!$D$2:$AY$2&amp;LS_current!$D$3:$AY$3, 0)),SUM(VLOOKUP($A58, LS_current!$B$4:$AY$138, LS_current!X$148, FALSE), VLOOKUP($A58, LS_current!$B$4:$AY$138,LS_current!X$148, FALSE))/2)</f>
        <v>-5132</v>
      </c>
      <c r="CU58" s="227">
        <f t="array" ref="CU58">IF($BU58=0, INDEX(LS_current!$D$4:$AY$138, MATCH('Staging Table'!$A58, LS_current!$B$4:$B$138, 0), MATCH(CU$4&amp;CU$5, LS_current!$D$2:$AY$2&amp;LS_current!$D$3:$AY$3, 0)),SUM(VLOOKUP($A58, LS_current!$B$4:$AY$138, LS_current!Y$148, FALSE), VLOOKUP($A58, LS_current!$B$4:$AY$138,LS_current!Y$148, FALSE))/2)</f>
        <v>-489</v>
      </c>
      <c r="CV58" s="227">
        <f t="array" ref="CV58">IF($BU58=0, INDEX(LS_current!$D$4:$AY$138, MATCH('Staging Table'!$A58, LS_current!$B$4:$B$138, 0), MATCH(CV$4&amp;CV$5, LS_current!$D$2:$AY$2&amp;LS_current!$D$3:$AY$3, 0)),SUM(VLOOKUP($A58, LS_current!$B$4:$AY$138, LS_current!Z$148, FALSE), VLOOKUP($A58, LS_current!$B$4:$AY$138,LS_current!Z$148, FALSE))/2)</f>
        <v>-2933</v>
      </c>
      <c r="CW58" s="227">
        <f t="array" ref="CW58">IF($BU58=0, INDEX(LS_current!$D$4:$AY$138, MATCH('Staging Table'!$A58, LS_current!$B$4:$B$138, 0), MATCH(CW$4&amp;CW$5, LS_current!$D$2:$AY$2&amp;LS_current!$D$3:$AY$3, 0)),SUM(VLOOKUP($A58, LS_current!$B$4:$AY$138, LS_current!AA$148, FALSE), VLOOKUP($A58, LS_current!$B$4:$AY$138,LS_current!AA$148, FALSE))/2)</f>
        <v>-494</v>
      </c>
      <c r="CX58" s="229">
        <f t="array" ref="CX58">INDEX(Demand_current!$D$4:$AY$138, MATCH($A58, Demand_current!$B$4:$B$138, 0), MATCH(CX$4&amp;CX$5,Demand_current!$D$2:$AY$2&amp;Demand_current!$D$3:$AY$3, 0))/1000</f>
        <v>3.5840000000000001</v>
      </c>
      <c r="CY58" s="229">
        <f t="array" ref="CY58">INDEX(Demand_current!$D$4:$AY$138, MATCH($A58, Demand_current!$B$4:$B$138, 0), MATCH(CY$4&amp;CY$5,Demand_current!$D$2:$AY$2&amp;Demand_current!$D$3:$AY$3, 0))/1000</f>
        <v>3.4630000000000001</v>
      </c>
      <c r="CZ58" s="229">
        <f t="array" ref="CZ58">INDEX(Demand_current!$D$4:$AY$138, MATCH($A58, Demand_current!$B$4:$B$138, 0), MATCH(CZ$4&amp;CZ$5,Demand_current!$D$2:$AY$2&amp;Demand_current!$D$3:$AY$3, 0))/1000</f>
        <v>12.257</v>
      </c>
      <c r="DA58" s="229">
        <f t="array" ref="DA58">INDEX(Demand_current!$D$4:$AY$138, MATCH($A58, Demand_current!$B$4:$B$138, 0), MATCH(DA$4&amp;DA$5,Demand_current!$D$2:$AY$2&amp;Demand_current!$D$3:$AY$3, 0))/1000</f>
        <v>12.015000000000001</v>
      </c>
      <c r="DB58" s="229">
        <f t="array" ref="DB58">INDEX(Demand_current!$D$4:$AY$138, MATCH($A58, Demand_current!$B$4:$B$138, 0), MATCH(DB$4&amp;DB$5,Demand_current!$D$2:$AY$2&amp;Demand_current!$D$3:$AY$3, 0))/1000</f>
        <v>8.3140000000000001</v>
      </c>
      <c r="DC58" s="229">
        <f t="array" ref="DC58">INDEX(Demand_current!$D$4:$AY$138, MATCH($A58, Demand_current!$B$4:$B$138, 0), MATCH(DC$4&amp;DC$5,Demand_current!$D$2:$AY$2&amp;Demand_current!$D$3:$AY$3, 0))/1000</f>
        <v>3.988</v>
      </c>
      <c r="DD58" s="229">
        <f t="array" ref="DD58">INDEX(Demand_current!$D$4:$AY$138, MATCH($A58, Demand_current!$B$4:$B$138, 0), MATCH(DD$4&amp;DD$5,Demand_current!$D$2:$AY$2&amp;Demand_current!$D$3:$AY$3, 0))/1000</f>
        <v>4.2679999999999998</v>
      </c>
      <c r="DE58" s="229">
        <f t="array" ref="DE58">INDEX(Demand_current!$D$4:$AY$138, MATCH($A58, Demand_current!$B$4:$B$138, 0), MATCH(DE$4&amp;DE$5,Demand_current!$D$2:$AY$2&amp;Demand_current!$D$3:$AY$3, 0))/1000</f>
        <v>0</v>
      </c>
      <c r="DF58" s="229">
        <f t="array" ref="DF58">INDEX(Demand_current!$D$4:$AY$138, MATCH($A58, Demand_current!$B$4:$B$138, 0), MATCH(DF$4&amp;DF$5,Demand_current!$D$2:$AY$2&amp;Demand_current!$D$3:$AY$3, 0))/1000</f>
        <v>7.6840000000000002</v>
      </c>
      <c r="DG58" s="229">
        <f t="array" ref="DG58">INDEX(Demand_current!$D$4:$AY$138, MATCH($A58, Demand_current!$B$4:$B$138, 0), MATCH(DG$4&amp;DG$5,Demand_current!$D$2:$AY$2&amp;Demand_current!$D$3:$AY$3, 0))/1000</f>
        <v>7.7270000000000003</v>
      </c>
      <c r="DH58" s="229">
        <f t="array" ref="DH58">INDEX(Demand_current!$D$4:$AY$138, MATCH($A58, Demand_current!$B$4:$B$138, 0), MATCH(DH$4&amp;DH$5,Demand_current!$D$2:$AY$2&amp;Demand_current!$D$3:$AY$3, 0))/1000</f>
        <v>8.6189999999999998</v>
      </c>
      <c r="DI58" s="229">
        <f t="array" ref="DI58">INDEX(Demand_current!$D$4:$AY$138, MATCH($A58, Demand_current!$B$4:$B$138, 0), MATCH(DI$4&amp;DI$5,Demand_current!$D$2:$AY$2&amp;Demand_current!$D$3:$AY$3, 0))/1000</f>
        <v>3.5739999999999998</v>
      </c>
      <c r="DJ58" s="227">
        <f>$BT58*(VLOOKUP(DJ$4, Rates_current!$G$6:$Q$29, 10, FALSE)+VLOOKUP(DJ$4, Rates_current!$G$6:$Q$29, 11, FALSE))</f>
        <v>21078.052999739997</v>
      </c>
      <c r="DK58" s="227">
        <f>$BT58*(VLOOKUP(DK$4, Rates_current!$G$6:$Q$29, 10, FALSE)+VLOOKUP(DK$4, Rates_current!$G$6:$Q$29, 11, FALSE))</f>
        <v>26775.702736034997</v>
      </c>
      <c r="DL58" s="227">
        <f>$BT58*(VLOOKUP(DL$4, Rates_current!$G$6:$Q$29, 10, FALSE)+VLOOKUP(DL$4, Rates_current!$G$6:$Q$29, 11, FALSE))</f>
        <v>26452.34989474</v>
      </c>
      <c r="DM58" s="227">
        <f>$BT58*(VLOOKUP(DM$4, Rates_current!$G$6:$Q$29, 10, FALSE)+VLOOKUP(DM$4, Rates_current!$G$6:$Q$29, 11, FALSE))</f>
        <v>22049.644774740002</v>
      </c>
      <c r="DN58" s="227">
        <f>$BT58*(VLOOKUP(DN$4, Rates_current!$G$6:$Q$29, 10, FALSE)+VLOOKUP(DN$4, Rates_current!$G$6:$Q$29, 11, FALSE))</f>
        <v>19974.690691999996</v>
      </c>
      <c r="DO58" s="227">
        <f>$BT58*(VLOOKUP(DO$4, Rates_current!$G$6:$Q$29, 10, FALSE)+VLOOKUP(DO$4, Rates_current!$G$6:$Q$29, 11, FALSE))</f>
        <v>22218.201652404998</v>
      </c>
      <c r="DP58" s="227">
        <f>$BT58*(VLOOKUP(DP$4, Rates_current!$G$6:$Q$29, 10, FALSE)+VLOOKUP(DP$4, Rates_current!$G$6:$Q$29, 11, FALSE))</f>
        <v>18090.0837612</v>
      </c>
      <c r="DQ58" s="227">
        <f>$BT58*(VLOOKUP(DQ$4, Rates_current!$G$6:$Q$29, 10, FALSE)+VLOOKUP(DQ$4, Rates_current!$G$6:$Q$29, 11, FALSE))</f>
        <v>24397.17548224</v>
      </c>
      <c r="DR58" s="227">
        <f>$BT58*(VLOOKUP(DR$4, Rates_current!$G$6:$Q$29, 10, FALSE)+VLOOKUP(DR$4, Rates_current!$G$6:$Q$29, 11, FALSE))</f>
        <v>31129.136628699998</v>
      </c>
      <c r="DS58" s="227">
        <f>$BT58*(VLOOKUP(DS$4, Rates_current!$G$6:$Q$29, 10, FALSE)+VLOOKUP(DS$4, Rates_current!$G$6:$Q$29, 11, FALSE))</f>
        <v>24406.23015974</v>
      </c>
      <c r="DT58" s="227">
        <f>$BT58*(VLOOKUP(DT$4, Rates_current!$G$6:$Q$29, 10, FALSE)+VLOOKUP(DT$4, Rates_current!$G$6:$Q$29, 11, FALSE))</f>
        <v>23766.80832724</v>
      </c>
      <c r="DU58" s="227">
        <f>$BT58*(VLOOKUP(DU$4, Rates_current!$G$6:$Q$29, 10, FALSE)+VLOOKUP(DU$4, Rates_current!$G$6:$Q$29, 11, FALSE))</f>
        <v>21337.5380262</v>
      </c>
      <c r="DV58" s="229">
        <f>IF(D58=0,IF(C58=0,MAX(0,DY58 - (VLOOKUP($A58,TOCA_current!$A$2:$AI$137,MATCH("RHWM 2020",TOCA_current!$A$2:$AI$2,0),FALSE)*$BT$2)), 0),0)</f>
        <v>9661.0977075200062</v>
      </c>
      <c r="DW58" s="266">
        <f>VLOOKUP($A58,REP_current!$A$1:$D$135,MATCH("FY "&amp;$BT$1&amp; " Total Refund",REP_current!$A$1:$D$1,0),0)</f>
        <v>0</v>
      </c>
      <c r="DX58" s="295">
        <f>MIN(VLOOKUP($A58,TOCA_current!$A$2:$AI$137,MATCH("TRL - NLSL - Existing Resource "&amp;$BT$1,TOCA_current!$A$2:$AI$2,0),FALSE)*$BT$2, VLOOKUP($A58,TOCA_current!$A$2:$AI$137,MATCH("RHWM 2020",TOCA_current!$A$2:$AI$2,0),FALSE)*$BT$2)</f>
        <v>281676.52799999999</v>
      </c>
      <c r="DY58" s="240">
        <f>SUM(BZ58:CW58)+(BT58*RT1SC!$C$4*$BT$2)</f>
        <v>291337.62570752</v>
      </c>
      <c r="DZ58" s="271">
        <f>VLOOKUP($A58,TOCA_current!$A$2:$AI$137,MATCH("Above RHWM Not Served with LS "&amp;$BT$1,TOCA_current!$A$2:$AI$2,0),FALSE)*$BT$2</f>
        <v>0</v>
      </c>
      <c r="EA58" s="244">
        <f t="shared" si="13"/>
        <v>9661.0977075200062</v>
      </c>
      <c r="EB58" s="295">
        <f>(VLOOKUP($A58,TOCA_current!$A$2:$AI$137,MATCH("RHWM 2020",TOCA_current!$A$2:$AI$2,0),FALSE)*$BT$2) - $DX58</f>
        <v>0</v>
      </c>
      <c r="EC58" s="240">
        <f t="shared" si="14"/>
        <v>0</v>
      </c>
      <c r="ED58" s="240">
        <f t="shared" si="15"/>
        <v>0</v>
      </c>
      <c r="EE58" s="240">
        <f t="shared" si="16"/>
        <v>0</v>
      </c>
      <c r="EF58" s="240">
        <f t="shared" si="17"/>
        <v>0</v>
      </c>
    </row>
    <row r="59" spans="1:136">
      <c r="A59" s="166">
        <v>10157</v>
      </c>
      <c r="B59" s="167" t="s">
        <v>60</v>
      </c>
      <c r="C59" s="240">
        <v>0</v>
      </c>
      <c r="D59" s="240">
        <v>1</v>
      </c>
      <c r="E59" s="150">
        <f>VLOOKUP($A59,TOCA_previous!$A$2:$AI$137,MATCH(E$4,TOCA_previous!$A$2:$AI$2,0),FALSE)</f>
        <v>7.0781000000000004E-3</v>
      </c>
      <c r="F59" s="151">
        <f>VLOOKUP($A59,TOCA_previous!$A$2:$AI$137,MATCH(F$4,TOCA_previous!$A$2:$AI$2,0),FALSE)</f>
        <v>3.3781000000000002E-3</v>
      </c>
      <c r="G59" s="151">
        <f t="shared" si="2"/>
        <v>3.7000000000000002E-3</v>
      </c>
      <c r="H59" s="419">
        <f>80000*12</f>
        <v>960000</v>
      </c>
      <c r="I59" s="151">
        <f t="shared" si="3"/>
        <v>0</v>
      </c>
      <c r="J59" s="151">
        <f t="shared" si="4"/>
        <v>0</v>
      </c>
      <c r="K59" s="226">
        <f>VLOOKUP(A59, IRD!$A$5:$C$139, 3, FALSE)</f>
        <v>0</v>
      </c>
      <c r="L59" s="227">
        <f t="array" ref="L59">IF($G59=0, INDEX(LS_previous!$D$4:$AY$138, MATCH('Staging Table'!$A59, LS_previous!$B$4:$B$138, 0), MATCH(L$4&amp;L$5, LS_previous!$D$2:$AY$2&amp;LS_previous!$D$3:$AY$3, 0)),SUM(VLOOKUP($A59, LS_previous!$B$4:$AY$138, LS_previous!D$149, FALSE), VLOOKUP('Staging Table'!$A59, LS_previous!$B$4:$AY$138,LS_previous!AB$149, FALSE))/2)</f>
        <v>-1398</v>
      </c>
      <c r="M59" s="227">
        <f t="array" ref="M59">IF($G59=0, INDEX(LS_previous!$D$4:$AY$138, MATCH('Staging Table'!$A59, LS_previous!$B$4:$B$138, 0), MATCH(M$4&amp;M$5, LS_previous!$D$2:$AY$2&amp;LS_previous!$D$3:$AY$3, 0)),SUM(VLOOKUP($A59, LS_previous!$B$4:$AY$138, LS_previous!E$149, FALSE), VLOOKUP('Staging Table'!$A59, LS_previous!$B$4:$AY$138,LS_previous!AC$149, FALSE))/2)</f>
        <v>1183</v>
      </c>
      <c r="N59" s="227">
        <f t="array" ref="N59">IF($G59=0, INDEX(LS_previous!$D$4:$AY$138, MATCH('Staging Table'!$A59, LS_previous!$B$4:$B$138, 0), MATCH(N$4&amp;N$5, LS_previous!$D$2:$AY$2&amp;LS_previous!$D$3:$AY$3, 0)),SUM(VLOOKUP($A59, LS_previous!$B$4:$AY$138, LS_previous!F$149, FALSE), VLOOKUP('Staging Table'!$A59, LS_previous!$B$4:$AY$138,LS_previous!AD$149, FALSE))/2)</f>
        <v>-1735</v>
      </c>
      <c r="O59" s="227">
        <f t="array" ref="O59">IF($G59=0, INDEX(LS_previous!$D$4:$AY$138, MATCH('Staging Table'!$A59, LS_previous!$B$4:$B$138, 0), MATCH(O$4&amp;O$5, LS_previous!$D$2:$AY$2&amp;LS_previous!$D$3:$AY$3, 0)),SUM(VLOOKUP($A59, LS_previous!$B$4:$AY$138, LS_previous!G$149, FALSE), VLOOKUP('Staging Table'!$A59, LS_previous!$B$4:$AY$138,LS_previous!AE$149, FALSE))/2)</f>
        <v>1265.5</v>
      </c>
      <c r="P59" s="227">
        <f t="array" ref="P59">IF($G59=0, INDEX(LS_previous!$D$4:$AY$138, MATCH('Staging Table'!$A59, LS_previous!$B$4:$B$138, 0), MATCH(P$4&amp;P$5, LS_previous!$D$2:$AY$2&amp;LS_previous!$D$3:$AY$3, 0)),SUM(VLOOKUP($A59, LS_previous!$B$4:$AY$138, LS_previous!H$149, FALSE), VLOOKUP('Staging Table'!$A59, LS_previous!$B$4:$AY$138,LS_previous!AF$149, FALSE))/2)</f>
        <v>551</v>
      </c>
      <c r="Q59" s="227">
        <f t="array" ref="Q59">IF($G59=0, INDEX(LS_previous!$D$4:$AY$138, MATCH('Staging Table'!$A59, LS_previous!$B$4:$B$138, 0), MATCH(Q$4&amp;Q$5, LS_previous!$D$2:$AY$2&amp;LS_previous!$D$3:$AY$3, 0)),SUM(VLOOKUP($A59, LS_previous!$B$4:$AY$138, LS_previous!I$149, FALSE), VLOOKUP('Staging Table'!$A59, LS_previous!$B$4:$AY$138,LS_previous!AG$149, FALSE))/2)</f>
        <v>3543</v>
      </c>
      <c r="R59" s="227">
        <f t="array" ref="R59">IF($G59=0, INDEX(LS_previous!$D$4:$AY$138, MATCH('Staging Table'!$A59, LS_previous!$B$4:$B$138, 0), MATCH(R$4&amp;R$5, LS_previous!$D$2:$AY$2&amp;LS_previous!$D$3:$AY$3, 0)),SUM(VLOOKUP($A59, LS_previous!$B$4:$AY$138, LS_previous!J$149, FALSE), VLOOKUP('Staging Table'!$A59, LS_previous!$B$4:$AY$138,LS_previous!AH$149, FALSE))/2)</f>
        <v>1854</v>
      </c>
      <c r="S59" s="227">
        <f t="array" ref="S59">IF($G59=0, INDEX(LS_previous!$D$4:$AY$138, MATCH('Staging Table'!$A59, LS_previous!$B$4:$B$138, 0), MATCH(S$4&amp;S$5, LS_previous!$D$2:$AY$2&amp;LS_previous!$D$3:$AY$3, 0)),SUM(VLOOKUP($A59, LS_previous!$B$4:$AY$138, LS_previous!K$149, FALSE), VLOOKUP('Staging Table'!$A59, LS_previous!$B$4:$AY$138,LS_previous!AI$149, FALSE))/2)</f>
        <v>3196</v>
      </c>
      <c r="T59" s="227">
        <f t="array" ref="T59">IF($G59=0, INDEX(LS_previous!$D$4:$AY$138, MATCH('Staging Table'!$A59, LS_previous!$B$4:$B$138, 0), MATCH(T$4&amp;T$5, LS_previous!$D$2:$AY$2&amp;LS_previous!$D$3:$AY$3, 0)),SUM(VLOOKUP($A59, LS_previous!$B$4:$AY$138, LS_previous!L$149, FALSE), VLOOKUP('Staging Table'!$A59, LS_previous!$B$4:$AY$138,LS_previous!AJ$149, FALSE))/2)</f>
        <v>2002</v>
      </c>
      <c r="U59" s="227">
        <f t="array" ref="U59">IF($G59=0, INDEX(LS_previous!$D$4:$AY$138, MATCH('Staging Table'!$A59, LS_previous!$B$4:$B$138, 0), MATCH(U$4&amp;U$5, LS_previous!$D$2:$AY$2&amp;LS_previous!$D$3:$AY$3, 0)),SUM(VLOOKUP($A59, LS_previous!$B$4:$AY$138, LS_previous!M$149, FALSE), VLOOKUP('Staging Table'!$A59, LS_previous!$B$4:$AY$138,LS_previous!AK$149, FALSE))/2)</f>
        <v>2930</v>
      </c>
      <c r="V59" s="227">
        <f t="array" ref="V59">IF($G59=0, INDEX(LS_previous!$D$4:$AY$138, MATCH('Staging Table'!$A59, LS_previous!$B$4:$B$138, 0), MATCH(V$4&amp;V$5, LS_previous!$D$2:$AY$2&amp;LS_previous!$D$3:$AY$3, 0)),SUM(VLOOKUP($A59, LS_previous!$B$4:$AY$138, LS_previous!N$149, FALSE), VLOOKUP('Staging Table'!$A59, LS_previous!$B$4:$AY$138,LS_previous!AL$149, FALSE))/2)</f>
        <v>33</v>
      </c>
      <c r="W59" s="227">
        <f t="array" ref="W59">IF($G59=0, INDEX(LS_previous!$D$4:$AY$138, MATCH('Staging Table'!$A59, LS_previous!$B$4:$B$138, 0), MATCH(W$4&amp;W$5, LS_previous!$D$2:$AY$2&amp;LS_previous!$D$3:$AY$3, 0)),SUM(VLOOKUP($A59, LS_previous!$B$4:$AY$138, LS_previous!O$149, FALSE), VLOOKUP('Staging Table'!$A59, LS_previous!$B$4:$AY$138,LS_previous!AM$149, FALSE))/2)</f>
        <v>1759</v>
      </c>
      <c r="X59" s="227">
        <f t="array" ref="X59">IF($G59=0, INDEX(LS_previous!$D$4:$AY$138, MATCH('Staging Table'!$A59, LS_previous!$B$4:$B$138, 0), MATCH(X$4&amp;X$5, LS_previous!$D$2:$AY$2&amp;LS_previous!$D$3:$AY$3, 0)),SUM(VLOOKUP($A59, LS_previous!$B$4:$AY$138, LS_previous!P$149, FALSE), VLOOKUP('Staging Table'!$A59, LS_previous!$B$4:$AY$138,LS_previous!AN$149, FALSE))/2)</f>
        <v>-730</v>
      </c>
      <c r="Y59" s="227">
        <f t="array" ref="Y59">IF($G59=0, INDEX(LS_previous!$D$4:$AY$138, MATCH('Staging Table'!$A59, LS_previous!$B$4:$B$138, 0), MATCH(Y$4&amp;Y$5, LS_previous!$D$2:$AY$2&amp;LS_previous!$D$3:$AY$3, 0)),SUM(VLOOKUP($A59, LS_previous!$B$4:$AY$138, LS_previous!Q$149, FALSE), VLOOKUP('Staging Table'!$A59, LS_previous!$B$4:$AY$138,LS_previous!AO$149, FALSE))/2)</f>
        <v>1514</v>
      </c>
      <c r="Z59" s="227">
        <f t="array" ref="Z59">IF($G59=0, INDEX(LS_previous!$D$4:$AY$138, MATCH('Staging Table'!$A59, LS_previous!$B$4:$B$138, 0), MATCH(Z$4&amp;Z$5, LS_previous!$D$2:$AY$2&amp;LS_previous!$D$3:$AY$3, 0)),SUM(VLOOKUP($A59, LS_previous!$B$4:$AY$138, LS_previous!R$149, FALSE), VLOOKUP('Staging Table'!$A59, LS_previous!$B$4:$AY$138,LS_previous!AP$149, FALSE))/2)</f>
        <v>-6307</v>
      </c>
      <c r="AA59" s="227">
        <f t="array" ref="AA59">IF($G59=0, INDEX(LS_previous!$D$4:$AY$138, MATCH('Staging Table'!$A59, LS_previous!$B$4:$B$138, 0), MATCH(AA$4&amp;AA$5, LS_previous!$D$2:$AY$2&amp;LS_previous!$D$3:$AY$3, 0)),SUM(VLOOKUP($A59, LS_previous!$B$4:$AY$138, LS_previous!S$149, FALSE), VLOOKUP('Staging Table'!$A59, LS_previous!$B$4:$AY$138,LS_previous!AQ$149, FALSE))/2)</f>
        <v>-1808</v>
      </c>
      <c r="AB59" s="227">
        <f t="array" ref="AB59">IF($G59=0, INDEX(LS_previous!$D$4:$AY$138, MATCH('Staging Table'!$A59, LS_previous!$B$4:$B$138, 0), MATCH(AB$4&amp;AB$5, LS_previous!$D$2:$AY$2&amp;LS_previous!$D$3:$AY$3, 0)),SUM(VLOOKUP($A59, LS_previous!$B$4:$AY$138, LS_previous!T$149, FALSE), VLOOKUP('Staging Table'!$A59, LS_previous!$B$4:$AY$138,LS_previous!AR$149, FALSE))/2)</f>
        <v>-3924</v>
      </c>
      <c r="AC59" s="227">
        <f t="array" ref="AC59">IF($G59=0, INDEX(LS_previous!$D$4:$AY$138, MATCH('Staging Table'!$A59, LS_previous!$B$4:$B$138, 0), MATCH(AC$4&amp;AC$5, LS_previous!$D$2:$AY$2&amp;LS_previous!$D$3:$AY$3, 0)),SUM(VLOOKUP($A59, LS_previous!$B$4:$AY$138, LS_previous!U$149, FALSE), VLOOKUP('Staging Table'!$A59, LS_previous!$B$4:$AY$138,LS_previous!AS$149, FALSE))/2)</f>
        <v>-244</v>
      </c>
      <c r="AD59" s="227">
        <f t="array" ref="AD59">IF($G59=0, INDEX(LS_previous!$D$4:$AY$138, MATCH('Staging Table'!$A59, LS_previous!$B$4:$B$138, 0), MATCH(AD$4&amp;AD$5, LS_previous!$D$2:$AY$2&amp;LS_previous!$D$3:$AY$3, 0)),SUM(VLOOKUP($A59, LS_previous!$B$4:$AY$138, LS_previous!V$149, FALSE), VLOOKUP('Staging Table'!$A59, LS_previous!$B$4:$AY$138,LS_previous!AT$149, FALSE))/2)</f>
        <v>-1678</v>
      </c>
      <c r="AE59" s="227">
        <f t="array" ref="AE59">IF($G59=0, INDEX(LS_previous!$D$4:$AY$138, MATCH('Staging Table'!$A59, LS_previous!$B$4:$B$138, 0), MATCH(AE$4&amp;AE$5, LS_previous!$D$2:$AY$2&amp;LS_previous!$D$3:$AY$3, 0)),SUM(VLOOKUP($A59, LS_previous!$B$4:$AY$138, LS_previous!W$149, FALSE), VLOOKUP('Staging Table'!$A59, LS_previous!$B$4:$AY$138,LS_previous!AU$149, FALSE))/2)</f>
        <v>1630</v>
      </c>
      <c r="AF59" s="227">
        <f t="array" ref="AF59">IF($G59=0, INDEX(LS_previous!$D$4:$AY$138, MATCH('Staging Table'!$A59, LS_previous!$B$4:$B$138, 0), MATCH(AF$4&amp;AF$5, LS_previous!$D$2:$AY$2&amp;LS_previous!$D$3:$AY$3, 0)),SUM(VLOOKUP($A59, LS_previous!$B$4:$AY$138, LS_previous!X$149, FALSE), VLOOKUP('Staging Table'!$A59, LS_previous!$B$4:$AY$138,LS_previous!AV$149, FALSE))/2)</f>
        <v>-2757</v>
      </c>
      <c r="AG59" s="227">
        <f t="array" ref="AG59">IF($G59=0, INDEX(LS_previous!$D$4:$AY$138, MATCH('Staging Table'!$A59, LS_previous!$B$4:$B$138, 0), MATCH(AG$4&amp;AG$5, LS_previous!$D$2:$AY$2&amp;LS_previous!$D$3:$AY$3, 0)),SUM(VLOOKUP($A59, LS_previous!$B$4:$AY$138, LS_previous!Y$149, FALSE), VLOOKUP('Staging Table'!$A59, LS_previous!$B$4:$AY$138,LS_previous!AW$149, FALSE))/2)</f>
        <v>651</v>
      </c>
      <c r="AH59" s="227">
        <f t="array" ref="AH59">IF($G59=0, INDEX(LS_previous!$D$4:$AY$138, MATCH('Staging Table'!$A59, LS_previous!$B$4:$B$138, 0), MATCH(AH$4&amp;AH$5, LS_previous!$D$2:$AY$2&amp;LS_previous!$D$3:$AY$3, 0)),SUM(VLOOKUP($A59, LS_previous!$B$4:$AY$138, LS_previous!Z$149, FALSE), VLOOKUP('Staging Table'!$A59, LS_previous!$B$4:$AY$138,LS_previous!AX$149, FALSE))/2)</f>
        <v>-2756</v>
      </c>
      <c r="AI59" s="227">
        <f t="array" ref="AI59">IF($G59=0, INDEX(LS_previous!$D$4:$AY$138, MATCH('Staging Table'!$A59, LS_previous!$B$4:$B$138, 0), MATCH(AI$4&amp;AI$5, LS_previous!$D$2:$AY$2&amp;LS_previous!$D$3:$AY$3, 0)),SUM(VLOOKUP($A59, LS_previous!$B$4:$AY$138, LS_previous!AA$149, FALSE), VLOOKUP('Staging Table'!$A59, LS_previous!$B$4:$AY$138,LS_previous!AY$149, FALSE))/2)</f>
        <v>711</v>
      </c>
      <c r="AJ59" s="424">
        <f t="array" ref="AJ59">INDEX(Demand_previous!$D$4:$AY$138, MATCH('Staging Table'!$A59, Demand_previous!$B$4:$B$138, 0), MATCH(AJ$4&amp;AJ$5,Demand_previous!$D$2:$AY$2&amp;Demand_previous!$D$3:$AY$3, 0))/1000</f>
        <v>0</v>
      </c>
      <c r="AK59" s="424">
        <f t="array" ref="AK59">INDEX(Demand_previous!$D$4:$AY$138, MATCH('Staging Table'!$A59, Demand_previous!$B$4:$B$138, 0), MATCH(AK$4&amp;AK$5,Demand_previous!$D$2:$AY$2&amp;Demand_previous!$D$3:$AY$3, 0))/1000</f>
        <v>0</v>
      </c>
      <c r="AL59" s="424">
        <f t="array" ref="AL59">INDEX(Demand_previous!$D$4:$AY$138, MATCH('Staging Table'!$A59, Demand_previous!$B$4:$B$138, 0), MATCH(AL$4&amp;AL$5,Demand_previous!$D$2:$AY$2&amp;Demand_previous!$D$3:$AY$3, 0))/1000</f>
        <v>0</v>
      </c>
      <c r="AM59" s="424">
        <f t="array" ref="AM59">INDEX(Demand_previous!$D$4:$AY$138, MATCH('Staging Table'!$A59, Demand_previous!$B$4:$B$138, 0), MATCH(AM$4&amp;AM$5,Demand_previous!$D$2:$AY$2&amp;Demand_previous!$D$3:$AY$3, 0))/1000</f>
        <v>0</v>
      </c>
      <c r="AN59" s="424">
        <f t="array" ref="AN59">INDEX(Demand_previous!$D$4:$AY$138, MATCH('Staging Table'!$A59, Demand_previous!$B$4:$B$138, 0), MATCH(AN$4&amp;AN$5,Demand_previous!$D$2:$AY$2&amp;Demand_previous!$D$3:$AY$3, 0))/1000</f>
        <v>0</v>
      </c>
      <c r="AO59" s="424">
        <f t="array" ref="AO59">INDEX(Demand_previous!$D$4:$AY$138, MATCH('Staging Table'!$A59, Demand_previous!$B$4:$B$138, 0), MATCH(AO$4&amp;AO$5,Demand_previous!$D$2:$AY$2&amp;Demand_previous!$D$3:$AY$3, 0))/1000</f>
        <v>0</v>
      </c>
      <c r="AP59" s="424">
        <f t="array" ref="AP59">INDEX(Demand_previous!$D$4:$AY$138, MATCH('Staging Table'!$A59, Demand_previous!$B$4:$B$138, 0), MATCH(AP$4&amp;AP$5,Demand_previous!$D$2:$AY$2&amp;Demand_previous!$D$3:$AY$3, 0))/1000</f>
        <v>0</v>
      </c>
      <c r="AQ59" s="424">
        <f t="array" ref="AQ59">INDEX(Demand_previous!$D$4:$AY$138, MATCH('Staging Table'!$A59, Demand_previous!$B$4:$B$138, 0), MATCH(AQ$4&amp;AQ$5,Demand_previous!$D$2:$AY$2&amp;Demand_previous!$D$3:$AY$3, 0))/1000</f>
        <v>0</v>
      </c>
      <c r="AR59" s="424">
        <f t="array" ref="AR59">INDEX(Demand_previous!$D$4:$AY$138, MATCH('Staging Table'!$A59, Demand_previous!$B$4:$B$138, 0), MATCH(AR$4&amp;AR$5,Demand_previous!$D$2:$AY$2&amp;Demand_previous!$D$3:$AY$3, 0))/1000</f>
        <v>0</v>
      </c>
      <c r="AS59" s="424">
        <f t="array" ref="AS59">INDEX(Demand_previous!$D$4:$AY$138, MATCH('Staging Table'!$A59, Demand_previous!$B$4:$B$138, 0), MATCH(AS$4&amp;AS$5,Demand_previous!$D$2:$AY$2&amp;Demand_previous!$D$3:$AY$3, 0))/1000</f>
        <v>0</v>
      </c>
      <c r="AT59" s="424">
        <f t="array" ref="AT59">INDEX(Demand_previous!$D$4:$AY$138, MATCH('Staging Table'!$A59, Demand_previous!$B$4:$B$138, 0), MATCH(AT$4&amp;AT$5,Demand_previous!$D$2:$AY$2&amp;Demand_previous!$D$3:$AY$3, 0))/1000</f>
        <v>0</v>
      </c>
      <c r="AU59" s="424">
        <f t="array" ref="AU59">INDEX(Demand_previous!$D$4:$AY$138, MATCH('Staging Table'!$A59, Demand_previous!$B$4:$B$138, 0), MATCH(AU$4&amp;AU$5,Demand_previous!$D$2:$AY$2&amp;Demand_previous!$D$3:$AY$3, 0))/1000</f>
        <v>0</v>
      </c>
      <c r="AV59" s="227">
        <f>$F59*(VLOOKUP(AV$4, Rates_previous!$G$6:$Q$29, 10, FALSE)+VLOOKUP(AV$4, Rates_previous!$G$6:$Q$29, 11, FALSE))</f>
        <v>15839.362845127969</v>
      </c>
      <c r="AW59" s="227">
        <f>$F59*(VLOOKUP(AW$4, Rates_previous!$G$6:$Q$29, 10, FALSE)+VLOOKUP(AW$4, Rates_previous!$G$6:$Q$29, 11, FALSE))</f>
        <v>19576.248621203209</v>
      </c>
      <c r="AX59" s="227">
        <f>$F59*(VLOOKUP(AX$4, Rates_previous!$G$6:$Q$29, 10, FALSE)+VLOOKUP(AX$4, Rates_previous!$G$6:$Q$29, 11, FALSE))</f>
        <v>19341.161289586871</v>
      </c>
      <c r="AY59" s="227">
        <f>$F59*(VLOOKUP(AY$4, Rates_previous!$G$6:$Q$29, 10, FALSE)+VLOOKUP(AY$4, Rates_previous!$G$6:$Q$29, 11, FALSE))</f>
        <v>16525.178804811996</v>
      </c>
      <c r="AZ59" s="227">
        <f>$F59*(VLOOKUP(AZ$4, Rates_previous!$G$6:$Q$29, 10, FALSE)+VLOOKUP(AZ$4, Rates_previous!$G$6:$Q$29, 11, FALSE))</f>
        <v>13547.441212043552</v>
      </c>
      <c r="BA59" s="227">
        <f>$F59*(VLOOKUP(BA$4, Rates_previous!$G$6:$Q$29, 10, FALSE)+VLOOKUP(BA$4, Rates_previous!$G$6:$Q$29, 11, FALSE))</f>
        <v>16039.678306326128</v>
      </c>
      <c r="BB59" s="227">
        <f>$F59*(VLOOKUP(BB$4, Rates_previous!$G$6:$Q$29, 10, FALSE)+VLOOKUP(BB$4, Rates_previous!$G$6:$Q$29, 11, FALSE))</f>
        <v>15416.463965929734</v>
      </c>
      <c r="BC59" s="227">
        <f>$F59*(VLOOKUP(BC$4, Rates_previous!$G$6:$Q$29, 10, FALSE)+VLOOKUP(BC$4, Rates_previous!$G$6:$Q$29, 11, FALSE))</f>
        <v>22622.569958654716</v>
      </c>
      <c r="BD59" s="227">
        <f>$F59*(VLOOKUP(BD$4, Rates_previous!$G$6:$Q$29, 10, FALSE)+VLOOKUP(BD$4, Rates_previous!$G$6:$Q$29, 11, FALSE))</f>
        <v>17848.60977556619</v>
      </c>
      <c r="BE59" s="227">
        <f>$F59*(VLOOKUP(BE$4, Rates_previous!$G$6:$Q$29, 10, FALSE)+VLOOKUP(BE$4, Rates_previous!$G$6:$Q$29, 11, FALSE))</f>
        <v>15672.577515473013</v>
      </c>
      <c r="BF59" s="227">
        <f>$F59*(VLOOKUP(BF$4, Rates_previous!$G$6:$Q$29, 10, FALSE)+VLOOKUP(BF$4, Rates_previous!$G$6:$Q$29, 11, FALSE))</f>
        <v>17358.006935818157</v>
      </c>
      <c r="BG59" s="227">
        <f>$F59*(VLOOKUP(BG$4, Rates_previous!$G$6:$Q$29, 10, FALSE)+VLOOKUP(BG$4, Rates_previous!$G$6:$Q$29, 11, FALSE))</f>
        <v>15725.66399917817</v>
      </c>
      <c r="BH59" s="229">
        <f>IF($D59=0,IF(C59=0, MAX(BK59 - (VLOOKUP($A59,TOCA_previous!$A$2:$AI$137,MATCH("RHWM 2018",TOCA_previous!$A$2:$AI$2,0),FALSE)*$F$2*TOCA_previous!C56),0),0), 0)</f>
        <v>0</v>
      </c>
      <c r="BI59" s="266">
        <f>VLOOKUP($A59,REP_previous!$A$1:$D$135,MATCH("FY "&amp;$F$1&amp; " Total Refund",REP_previous!$A$1:$D$1,0),0)</f>
        <v>657317.14694681426</v>
      </c>
      <c r="BJ59" s="241">
        <f>MIN(VLOOKUP($A59,TOCA_previous!$A$2:$AI$137,MATCH("TRL - NLSL - Existing Resource "&amp;$F$1,TOCA_previous!$A$2:$AI$2,0),FALSE)*$F$2,(VLOOKUP($A59,TOCA_previous!$A$2:$AI$137,MATCH("RHWM 2018",TOCA_previous!$A$2:$AI$2,0),FALSE)*$F$2))</f>
        <v>430606.56</v>
      </c>
      <c r="BK59" s="229">
        <f>SUM(L59:AI59)+(F59*RT1SC!$C$3*$F$2)</f>
        <v>204998.46622797599</v>
      </c>
      <c r="BL59" s="241">
        <f>VLOOKUP($A59,TOCA_previous!$A$2:$AI$137,MATCH("Above RHWM Not Served with LS "&amp;$F$1,TOCA_previous!$A$2:$AI$2,0),FALSE)*$F$2</f>
        <v>10555.800000000001</v>
      </c>
      <c r="BM59" s="151">
        <f t="shared" si="5"/>
        <v>-225608.093772024</v>
      </c>
      <c r="BN59" s="242">
        <f>(VLOOKUP($A59,TOCA_previous!$A$2:$AI$137,MATCH("RHWM 2018",TOCA_previous!$A$2:$AI$2,0),FALSE)*$F$2) - $BJ59</f>
        <v>0</v>
      </c>
      <c r="BO59" s="151">
        <f t="shared" si="6"/>
        <v>0</v>
      </c>
      <c r="BP59" s="243">
        <f t="shared" si="7"/>
        <v>215052.29377202402</v>
      </c>
      <c r="BQ59" s="237">
        <f t="shared" si="8"/>
        <v>0</v>
      </c>
      <c r="BR59" s="242">
        <f t="shared" si="9"/>
        <v>0</v>
      </c>
      <c r="BS59" s="151">
        <f>VLOOKUP($A59,TOCA_current!$A$2:$AI$137,MATCH(BS$4,TOCA_current!$A$2:$AI$2,0),FALSE)</f>
        <v>7.0742000000000001E-3</v>
      </c>
      <c r="BT59" s="151">
        <f>VLOOKUP($A59,TOCA_current!$A$2:$AI$137,MATCH(BT$4,TOCA_current!$A$2:$AI$2,0),FALSE)</f>
        <v>3.3762000000000002E-3</v>
      </c>
      <c r="BU59" s="236">
        <f t="shared" si="10"/>
        <v>3.6979999999999999E-3</v>
      </c>
      <c r="BV59" s="419">
        <f>80000*12</f>
        <v>960000</v>
      </c>
      <c r="BW59" s="151">
        <f t="shared" si="11"/>
        <v>0</v>
      </c>
      <c r="BX59" s="151">
        <f t="shared" si="12"/>
        <v>0</v>
      </c>
      <c r="BY59" s="226">
        <f>VLOOKUP($A59,IRD!$A$4:$G$139, 7, FALSE)</f>
        <v>0</v>
      </c>
      <c r="BZ59" s="227">
        <f t="array" ref="BZ59">IF($BU59=0, INDEX(LS_current!$D$4:$AY$138, MATCH('Staging Table'!$A59, LS_current!$B$4:$B$138, 0), MATCH(BZ$4&amp;BZ$5, LS_current!$D$2:$AY$2&amp;LS_current!$D$3:$AY$3, 0)),SUM(VLOOKUP($A59, LS_current!$B$4:$AY$138, LS_current!D$148, FALSE), VLOOKUP($A59, LS_current!$B$4:$AY$138,LS_current!D$148, FALSE))/2)</f>
        <v>-1008</v>
      </c>
      <c r="CA59" s="227">
        <f t="array" ref="CA59">IF($BU59=0, INDEX(LS_current!$D$4:$AY$138, MATCH('Staging Table'!$A59, LS_current!$B$4:$B$138, 0), MATCH(CA$4&amp;CA$5, LS_current!$D$2:$AY$2&amp;LS_current!$D$3:$AY$3, 0)),SUM(VLOOKUP($A59, LS_current!$B$4:$AY$138, LS_current!E$148, FALSE), VLOOKUP($A59, LS_current!$B$4:$AY$138,LS_current!E$148, FALSE))/2)</f>
        <v>1179</v>
      </c>
      <c r="CB59" s="227">
        <f t="array" ref="CB59">IF($BU59=0, INDEX(LS_current!$D$4:$AY$138, MATCH('Staging Table'!$A59, LS_current!$B$4:$B$138, 0), MATCH(CB$4&amp;CB$5, LS_current!$D$2:$AY$2&amp;LS_current!$D$3:$AY$3, 0)),SUM(VLOOKUP($A59, LS_current!$B$4:$AY$138, LS_current!F$148, FALSE), VLOOKUP($A59, LS_current!$B$4:$AY$138,LS_current!F$148, FALSE))/2)</f>
        <v>-1717</v>
      </c>
      <c r="CC59" s="227">
        <f t="array" ref="CC59">IF($BU59=0, INDEX(LS_current!$D$4:$AY$138, MATCH('Staging Table'!$A59, LS_current!$B$4:$B$138, 0), MATCH(CC$4&amp;CC$5, LS_current!$D$2:$AY$2&amp;LS_current!$D$3:$AY$3, 0)),SUM(VLOOKUP($A59, LS_current!$B$4:$AY$138, LS_current!G$148, FALSE), VLOOKUP($A59, LS_current!$B$4:$AY$138,LS_current!G$148, FALSE))/2)</f>
        <v>1199</v>
      </c>
      <c r="CD59" s="227">
        <f t="array" ref="CD59">IF($BU59=0, INDEX(LS_current!$D$4:$AY$138, MATCH('Staging Table'!$A59, LS_current!$B$4:$B$138, 0), MATCH(CD$4&amp;CD$5, LS_current!$D$2:$AY$2&amp;LS_current!$D$3:$AY$3, 0)),SUM(VLOOKUP($A59, LS_current!$B$4:$AY$138, LS_current!H$148, FALSE), VLOOKUP($A59, LS_current!$B$4:$AY$138,LS_current!H$148, FALSE))/2)</f>
        <v>560</v>
      </c>
      <c r="CE59" s="227">
        <f t="array" ref="CE59">IF($BU59=0, INDEX(LS_current!$D$4:$AY$138, MATCH('Staging Table'!$A59, LS_current!$B$4:$B$138, 0), MATCH(CE$4&amp;CE$5, LS_current!$D$2:$AY$2&amp;LS_current!$D$3:$AY$3, 0)),SUM(VLOOKUP($A59, LS_current!$B$4:$AY$138, LS_current!I$148, FALSE), VLOOKUP($A59, LS_current!$B$4:$AY$138,LS_current!I$148, FALSE))/2)</f>
        <v>3515</v>
      </c>
      <c r="CF59" s="227">
        <f t="array" ref="CF59">IF($BU59=0, INDEX(LS_current!$D$4:$AY$138, MATCH('Staging Table'!$A59, LS_current!$B$4:$B$138, 0), MATCH(CF$4&amp;CF$5, LS_current!$D$2:$AY$2&amp;LS_current!$D$3:$AY$3, 0)),SUM(VLOOKUP($A59, LS_current!$B$4:$AY$138, LS_current!J$148, FALSE), VLOOKUP($A59, LS_current!$B$4:$AY$138,LS_current!J$148, FALSE))/2)</f>
        <v>1926</v>
      </c>
      <c r="CG59" s="227">
        <f t="array" ref="CG59">IF($BU59=0, INDEX(LS_current!$D$4:$AY$138, MATCH('Staging Table'!$A59, LS_current!$B$4:$B$138, 0), MATCH(CG$4&amp;CG$5, LS_current!$D$2:$AY$2&amp;LS_current!$D$3:$AY$3, 0)),SUM(VLOOKUP($A59, LS_current!$B$4:$AY$138, LS_current!K$148, FALSE), VLOOKUP($A59, LS_current!$B$4:$AY$138,LS_current!K$148, FALSE))/2)</f>
        <v>3540</v>
      </c>
      <c r="CH59" s="227">
        <f t="array" ref="CH59">IF($BU59=0, INDEX(LS_current!$D$4:$AY$138, MATCH('Staging Table'!$A59, LS_current!$B$4:$B$138, 0), MATCH(CH$4&amp;CH$5, LS_current!$D$2:$AY$2&amp;LS_current!$D$3:$AY$3, 0)),SUM(VLOOKUP($A59, LS_current!$B$4:$AY$138, LS_current!L$148, FALSE), VLOOKUP($A59, LS_current!$B$4:$AY$138,LS_current!L$148, FALSE))/2)</f>
        <v>1525</v>
      </c>
      <c r="CI59" s="227">
        <f t="array" ref="CI59">IF($BU59=0, INDEX(LS_current!$D$4:$AY$138, MATCH('Staging Table'!$A59, LS_current!$B$4:$B$138, 0), MATCH(CI$4&amp;CI$5, LS_current!$D$2:$AY$2&amp;LS_current!$D$3:$AY$3, 0)),SUM(VLOOKUP($A59, LS_current!$B$4:$AY$138, LS_current!M$148, FALSE), VLOOKUP($A59, LS_current!$B$4:$AY$138,LS_current!M$148, FALSE))/2)</f>
        <v>2573</v>
      </c>
      <c r="CJ59" s="227">
        <f t="array" ref="CJ59">IF($BU59=0, INDEX(LS_current!$D$4:$AY$138, MATCH('Staging Table'!$A59, LS_current!$B$4:$B$138, 0), MATCH(CJ$4&amp;CJ$5, LS_current!$D$2:$AY$2&amp;LS_current!$D$3:$AY$3, 0)),SUM(VLOOKUP($A59, LS_current!$B$4:$AY$138, LS_current!N$148, FALSE), VLOOKUP($A59, LS_current!$B$4:$AY$138,LS_current!N$148, FALSE))/2)</f>
        <v>-347</v>
      </c>
      <c r="CK59" s="227">
        <f t="array" ref="CK59">IF($BU59=0, INDEX(LS_current!$D$4:$AY$138, MATCH('Staging Table'!$A59, LS_current!$B$4:$B$138, 0), MATCH(CK$4&amp;CK$5, LS_current!$D$2:$AY$2&amp;LS_current!$D$3:$AY$3, 0)),SUM(VLOOKUP($A59, LS_current!$B$4:$AY$138, LS_current!O$148, FALSE), VLOOKUP($A59, LS_current!$B$4:$AY$138,LS_current!O$148, FALSE))/2)</f>
        <v>1956</v>
      </c>
      <c r="CL59" s="227">
        <f t="array" ref="CL59">IF($BU59=0, INDEX(LS_current!$D$4:$AY$138, MATCH('Staging Table'!$A59, LS_current!$B$4:$B$138, 0), MATCH(CL$4&amp;CL$5, LS_current!$D$2:$AY$2&amp;LS_current!$D$3:$AY$3, 0)),SUM(VLOOKUP($A59, LS_current!$B$4:$AY$138, LS_current!P$148, FALSE), VLOOKUP($A59, LS_current!$B$4:$AY$138,LS_current!P$148, FALSE))/2)</f>
        <v>1046</v>
      </c>
      <c r="CM59" s="227">
        <f t="array" ref="CM59">IF($BU59=0, INDEX(LS_current!$D$4:$AY$138, MATCH('Staging Table'!$A59, LS_current!$B$4:$B$138, 0), MATCH(CM$4&amp;CM$5, LS_current!$D$2:$AY$2&amp;LS_current!$D$3:$AY$3, 0)),SUM(VLOOKUP($A59, LS_current!$B$4:$AY$138, LS_current!Q$148, FALSE), VLOOKUP($A59, LS_current!$B$4:$AY$138,LS_current!Q$148, FALSE))/2)</f>
        <v>1956</v>
      </c>
      <c r="CN59" s="227">
        <f t="array" ref="CN59">IF($BU59=0, INDEX(LS_current!$D$4:$AY$138, MATCH('Staging Table'!$A59, LS_current!$B$4:$B$138, 0), MATCH(CN$4&amp;CN$5, LS_current!$D$2:$AY$2&amp;LS_current!$D$3:$AY$3, 0)),SUM(VLOOKUP($A59, LS_current!$B$4:$AY$138, LS_current!R$148, FALSE), VLOOKUP($A59, LS_current!$B$4:$AY$138,LS_current!R$148, FALSE))/2)</f>
        <v>-3793</v>
      </c>
      <c r="CO59" s="227">
        <f t="array" ref="CO59">IF($BU59=0, INDEX(LS_current!$D$4:$AY$138, MATCH('Staging Table'!$A59, LS_current!$B$4:$B$138, 0), MATCH(CO$4&amp;CO$5, LS_current!$D$2:$AY$2&amp;LS_current!$D$3:$AY$3, 0)),SUM(VLOOKUP($A59, LS_current!$B$4:$AY$138, LS_current!S$148, FALSE), VLOOKUP($A59, LS_current!$B$4:$AY$138,LS_current!S$148, FALSE))/2)</f>
        <v>473</v>
      </c>
      <c r="CP59" s="227">
        <f t="array" ref="CP59">IF($BU59=0, INDEX(LS_current!$D$4:$AY$138, MATCH('Staging Table'!$A59, LS_current!$B$4:$B$138, 0), MATCH(CP$4&amp;CP$5, LS_current!$D$2:$AY$2&amp;LS_current!$D$3:$AY$3, 0)),SUM(VLOOKUP($A59, LS_current!$B$4:$AY$138, LS_current!T$148, FALSE), VLOOKUP($A59, LS_current!$B$4:$AY$138,LS_current!T$148, FALSE))/2)</f>
        <v>-7034</v>
      </c>
      <c r="CQ59" s="227">
        <f t="array" ref="CQ59">IF($BU59=0, INDEX(LS_current!$D$4:$AY$138, MATCH('Staging Table'!$A59, LS_current!$B$4:$B$138, 0), MATCH(CQ$4&amp;CQ$5, LS_current!$D$2:$AY$2&amp;LS_current!$D$3:$AY$3, 0)),SUM(VLOOKUP($A59, LS_current!$B$4:$AY$138, LS_current!U$148, FALSE), VLOOKUP($A59, LS_current!$B$4:$AY$138,LS_current!U$148, FALSE))/2)</f>
        <v>-2302</v>
      </c>
      <c r="CR59" s="227">
        <f t="array" ref="CR59">IF($BU59=0, INDEX(LS_current!$D$4:$AY$138, MATCH('Staging Table'!$A59, LS_current!$B$4:$B$138, 0), MATCH(CR$4&amp;CR$5, LS_current!$D$2:$AY$2&amp;LS_current!$D$3:$AY$3, 0)),SUM(VLOOKUP($A59, LS_current!$B$4:$AY$138, LS_current!V$148, FALSE), VLOOKUP($A59, LS_current!$B$4:$AY$138,LS_current!V$148, FALSE))/2)</f>
        <v>-3614</v>
      </c>
      <c r="CS59" s="227">
        <f t="array" ref="CS59">IF($BU59=0, INDEX(LS_current!$D$4:$AY$138, MATCH('Staging Table'!$A59, LS_current!$B$4:$B$138, 0), MATCH(CS$4&amp;CS$5, LS_current!$D$2:$AY$2&amp;LS_current!$D$3:$AY$3, 0)),SUM(VLOOKUP($A59, LS_current!$B$4:$AY$138, LS_current!W$148, FALSE), VLOOKUP($A59, LS_current!$B$4:$AY$138,LS_current!W$148, FALSE))/2)</f>
        <v>1323</v>
      </c>
      <c r="CT59" s="227">
        <f t="array" ref="CT59">IF($BU59=0, INDEX(LS_current!$D$4:$AY$138, MATCH('Staging Table'!$A59, LS_current!$B$4:$B$138, 0), MATCH(CT$4&amp;CT$5, LS_current!$D$2:$AY$2&amp;LS_current!$D$3:$AY$3, 0)),SUM(VLOOKUP($A59, LS_current!$B$4:$AY$138, LS_current!X$148, FALSE), VLOOKUP($A59, LS_current!$B$4:$AY$138,LS_current!X$148, FALSE))/2)</f>
        <v>-3350</v>
      </c>
      <c r="CU59" s="227">
        <f t="array" ref="CU59">IF($BU59=0, INDEX(LS_current!$D$4:$AY$138, MATCH('Staging Table'!$A59, LS_current!$B$4:$B$138, 0), MATCH(CU$4&amp;CU$5, LS_current!$D$2:$AY$2&amp;LS_current!$D$3:$AY$3, 0)),SUM(VLOOKUP($A59, LS_current!$B$4:$AY$138, LS_current!Y$148, FALSE), VLOOKUP($A59, LS_current!$B$4:$AY$138,LS_current!Y$148, FALSE))/2)</f>
        <v>1324</v>
      </c>
      <c r="CV59" s="227">
        <f t="array" ref="CV59">IF($BU59=0, INDEX(LS_current!$D$4:$AY$138, MATCH('Staging Table'!$A59, LS_current!$B$4:$B$138, 0), MATCH(CV$4&amp;CV$5, LS_current!$D$2:$AY$2&amp;LS_current!$D$3:$AY$3, 0)),SUM(VLOOKUP($A59, LS_current!$B$4:$AY$138, LS_current!Z$148, FALSE), VLOOKUP($A59, LS_current!$B$4:$AY$138,LS_current!Z$148, FALSE))/2)</f>
        <v>-2388</v>
      </c>
      <c r="CW59" s="227">
        <f t="array" ref="CW59">IF($BU59=0, INDEX(LS_current!$D$4:$AY$138, MATCH('Staging Table'!$A59, LS_current!$B$4:$B$138, 0), MATCH(CW$4&amp;CW$5, LS_current!$D$2:$AY$2&amp;LS_current!$D$3:$AY$3, 0)),SUM(VLOOKUP($A59, LS_current!$B$4:$AY$138, LS_current!AA$148, FALSE), VLOOKUP($A59, LS_current!$B$4:$AY$138,LS_current!AA$148, FALSE))/2)</f>
        <v>500</v>
      </c>
      <c r="CX59" s="229">
        <f t="array" ref="CX59">INDEX(Demand_current!$D$4:$AY$138, MATCH($A59, Demand_current!$B$4:$B$138, 0), MATCH(CX$4&amp;CX$5,Demand_current!$D$2:$AY$2&amp;Demand_current!$D$3:$AY$3, 0))/1000</f>
        <v>0</v>
      </c>
      <c r="CY59" s="229">
        <f t="array" ref="CY59">INDEX(Demand_current!$D$4:$AY$138, MATCH($A59, Demand_current!$B$4:$B$138, 0), MATCH(CY$4&amp;CY$5,Demand_current!$D$2:$AY$2&amp;Demand_current!$D$3:$AY$3, 0))/1000</f>
        <v>0</v>
      </c>
      <c r="CZ59" s="229">
        <f t="array" ref="CZ59">INDEX(Demand_current!$D$4:$AY$138, MATCH($A59, Demand_current!$B$4:$B$138, 0), MATCH(CZ$4&amp;CZ$5,Demand_current!$D$2:$AY$2&amp;Demand_current!$D$3:$AY$3, 0))/1000</f>
        <v>0</v>
      </c>
      <c r="DA59" s="229">
        <f t="array" ref="DA59">INDEX(Demand_current!$D$4:$AY$138, MATCH($A59, Demand_current!$B$4:$B$138, 0), MATCH(DA$4&amp;DA$5,Demand_current!$D$2:$AY$2&amp;Demand_current!$D$3:$AY$3, 0))/1000</f>
        <v>0</v>
      </c>
      <c r="DB59" s="229">
        <f t="array" ref="DB59">INDEX(Demand_current!$D$4:$AY$138, MATCH($A59, Demand_current!$B$4:$B$138, 0), MATCH(DB$4&amp;DB$5,Demand_current!$D$2:$AY$2&amp;Demand_current!$D$3:$AY$3, 0))/1000</f>
        <v>0</v>
      </c>
      <c r="DC59" s="229">
        <f t="array" ref="DC59">INDEX(Demand_current!$D$4:$AY$138, MATCH($A59, Demand_current!$B$4:$B$138, 0), MATCH(DC$4&amp;DC$5,Demand_current!$D$2:$AY$2&amp;Demand_current!$D$3:$AY$3, 0))/1000</f>
        <v>0</v>
      </c>
      <c r="DD59" s="229">
        <f t="array" ref="DD59">INDEX(Demand_current!$D$4:$AY$138, MATCH($A59, Demand_current!$B$4:$B$138, 0), MATCH(DD$4&amp;DD$5,Demand_current!$D$2:$AY$2&amp;Demand_current!$D$3:$AY$3, 0))/1000</f>
        <v>0</v>
      </c>
      <c r="DE59" s="229">
        <f t="array" ref="DE59">INDEX(Demand_current!$D$4:$AY$138, MATCH($A59, Demand_current!$B$4:$B$138, 0), MATCH(DE$4&amp;DE$5,Demand_current!$D$2:$AY$2&amp;Demand_current!$D$3:$AY$3, 0))/1000</f>
        <v>0</v>
      </c>
      <c r="DF59" s="229">
        <f t="array" ref="DF59">INDEX(Demand_current!$D$4:$AY$138, MATCH($A59, Demand_current!$B$4:$B$138, 0), MATCH(DF$4&amp;DF$5,Demand_current!$D$2:$AY$2&amp;Demand_current!$D$3:$AY$3, 0))/1000</f>
        <v>0</v>
      </c>
      <c r="DG59" s="229">
        <f t="array" ref="DG59">INDEX(Demand_current!$D$4:$AY$138, MATCH($A59, Demand_current!$B$4:$B$138, 0), MATCH(DG$4&amp;DG$5,Demand_current!$D$2:$AY$2&amp;Demand_current!$D$3:$AY$3, 0))/1000</f>
        <v>0</v>
      </c>
      <c r="DH59" s="229">
        <f t="array" ref="DH59">INDEX(Demand_current!$D$4:$AY$138, MATCH($A59, Demand_current!$B$4:$B$138, 0), MATCH(DH$4&amp;DH$5,Demand_current!$D$2:$AY$2&amp;Demand_current!$D$3:$AY$3, 0))/1000</f>
        <v>0</v>
      </c>
      <c r="DI59" s="229">
        <f t="array" ref="DI59">INDEX(Demand_current!$D$4:$AY$138, MATCH($A59, Demand_current!$B$4:$B$138, 0), MATCH(DI$4&amp;DI$5,Demand_current!$D$2:$AY$2&amp;Demand_current!$D$3:$AY$3, 0))/1000</f>
        <v>0</v>
      </c>
      <c r="DJ59" s="227">
        <f>$BT59*(VLOOKUP(DJ$4, Rates_current!$G$6:$Q$29, 10, FALSE)+VLOOKUP(DJ$4, Rates_current!$G$6:$Q$29, 11, FALSE))</f>
        <v>15588.986317135199</v>
      </c>
      <c r="DK59" s="227">
        <f>$BT59*(VLOOKUP(DK$4, Rates_current!$G$6:$Q$29, 10, FALSE)+VLOOKUP(DK$4, Rates_current!$G$6:$Q$29, 11, FALSE))</f>
        <v>19802.875701511803</v>
      </c>
      <c r="DL59" s="227">
        <f>$BT59*(VLOOKUP(DL$4, Rates_current!$G$6:$Q$29, 10, FALSE)+VLOOKUP(DL$4, Rates_current!$G$6:$Q$29, 11, FALSE))</f>
        <v>19563.729181735202</v>
      </c>
      <c r="DM59" s="227">
        <f>$BT59*(VLOOKUP(DM$4, Rates_current!$G$6:$Q$29, 10, FALSE)+VLOOKUP(DM$4, Rates_current!$G$6:$Q$29, 11, FALSE))</f>
        <v>16307.559844135203</v>
      </c>
      <c r="DN59" s="227">
        <f>$BT59*(VLOOKUP(DN$4, Rates_current!$G$6:$Q$29, 10, FALSE)+VLOOKUP(DN$4, Rates_current!$G$6:$Q$29, 11, FALSE))</f>
        <v>14772.95744016</v>
      </c>
      <c r="DO59" s="227">
        <f>$BT59*(VLOOKUP(DO$4, Rates_current!$G$6:$Q$29, 10, FALSE)+VLOOKUP(DO$4, Rates_current!$G$6:$Q$29, 11, FALSE))</f>
        <v>16432.221778499399</v>
      </c>
      <c r="DP59" s="227">
        <f>$BT59*(VLOOKUP(DP$4, Rates_current!$G$6:$Q$29, 10, FALSE)+VLOOKUP(DP$4, Rates_current!$G$6:$Q$29, 11, FALSE))</f>
        <v>13379.132704176001</v>
      </c>
      <c r="DQ59" s="227">
        <f>$BT59*(VLOOKUP(DQ$4, Rates_current!$G$6:$Q$29, 10, FALSE)+VLOOKUP(DQ$4, Rates_current!$G$6:$Q$29, 11, FALSE))</f>
        <v>18043.755501235202</v>
      </c>
      <c r="DR59" s="227">
        <f>$BT59*(VLOOKUP(DR$4, Rates_current!$G$6:$Q$29, 10, FALSE)+VLOOKUP(DR$4, Rates_current!$G$6:$Q$29, 11, FALSE))</f>
        <v>23022.604838076004</v>
      </c>
      <c r="DS59" s="227">
        <f>$BT59*(VLOOKUP(DS$4, Rates_current!$G$6:$Q$29, 10, FALSE)+VLOOKUP(DS$4, Rates_current!$G$6:$Q$29, 11, FALSE))</f>
        <v>18050.452193935202</v>
      </c>
      <c r="DT59" s="227">
        <f>$BT59*(VLOOKUP(DT$4, Rates_current!$G$6:$Q$29, 10, FALSE)+VLOOKUP(DT$4, Rates_current!$G$6:$Q$29, 11, FALSE))</f>
        <v>17577.546171835202</v>
      </c>
      <c r="DU59" s="227">
        <f>$BT59*(VLOOKUP(DU$4, Rates_current!$G$6:$Q$29, 10, FALSE)+VLOOKUP(DU$4, Rates_current!$G$6:$Q$29, 11, FALSE))</f>
        <v>15780.897236376002</v>
      </c>
      <c r="DV59" s="229">
        <f>IF(D59=0,IF(C59=0,MAX(0,DY59 - (VLOOKUP($A59,TOCA_current!$A$2:$AI$137,MATCH("RHWM 2020",TOCA_current!$A$2:$AI$2,0),FALSE)*$BT$2)), 0),0)</f>
        <v>0</v>
      </c>
      <c r="DW59" s="266">
        <f>VLOOKUP($A59,REP_current!$A$1:$D$135,MATCH("FY "&amp;$BT$1&amp; " Total Refund",REP_current!$A$1:$D$1,0),0)</f>
        <v>0</v>
      </c>
      <c r="DX59" s="295">
        <f>MIN(VLOOKUP($A59,TOCA_current!$A$2:$AI$137,MATCH("TRL - NLSL - Existing Resource "&amp;$BT$1,TOCA_current!$A$2:$AI$2,0),FALSE)*$BT$2, VLOOKUP($A59,TOCA_current!$A$2:$AI$137,MATCH("RHWM 2020",TOCA_current!$A$2:$AI$2,0),FALSE)*$BT$2)</f>
        <v>436503.31199999998</v>
      </c>
      <c r="DY59" s="240">
        <f>SUM(BZ59:CW59)+(BT59*RT1SC!$C$4*$BT$2)</f>
        <v>207364.72672808962</v>
      </c>
      <c r="DZ59" s="271">
        <f>VLOOKUP($A59,TOCA_current!$A$2:$AI$137,MATCH("Above RHWM Not Served with LS "&amp;$BT$1,TOCA_current!$A$2:$AI$2,0),FALSE)*$BT$2</f>
        <v>21854.592000000001</v>
      </c>
      <c r="EA59" s="244">
        <f t="shared" si="13"/>
        <v>-229138.58527191036</v>
      </c>
      <c r="EB59" s="295">
        <f>(VLOOKUP($A59,TOCA_current!$A$2:$AI$137,MATCH("RHWM 2020",TOCA_current!$A$2:$AI$2,0),FALSE)*$BT$2) - $DX59</f>
        <v>0</v>
      </c>
      <c r="EC59" s="240">
        <f t="shared" si="14"/>
        <v>0</v>
      </c>
      <c r="ED59" s="240">
        <f t="shared" si="15"/>
        <v>207283.99327191035</v>
      </c>
      <c r="EE59" s="240">
        <f t="shared" si="16"/>
        <v>0</v>
      </c>
      <c r="EF59" s="240">
        <f t="shared" si="17"/>
        <v>0</v>
      </c>
    </row>
    <row r="60" spans="1:136">
      <c r="A60" s="166">
        <v>10158</v>
      </c>
      <c r="B60" s="167" t="s">
        <v>61</v>
      </c>
      <c r="C60" s="240">
        <v>0</v>
      </c>
      <c r="D60" s="240">
        <v>0</v>
      </c>
      <c r="E60" s="150">
        <f>VLOOKUP($A60,TOCA_previous!$A$2:$AI$137,MATCH(E$4,TOCA_previous!$A$2:$AI$2,0),FALSE)</f>
        <v>3.7970000000000001E-4</v>
      </c>
      <c r="F60" s="151">
        <f>VLOOKUP($A60,TOCA_previous!$A$2:$AI$137,MATCH(F$4,TOCA_previous!$A$2:$AI$2,0),FALSE)</f>
        <v>3.7970000000000001E-4</v>
      </c>
      <c r="G60" s="151">
        <f t="shared" si="2"/>
        <v>0</v>
      </c>
      <c r="H60" s="151">
        <f>VLOOKUP($A60,TOCA_previous!$A$2:$AI$137,MATCH(H$4,TOCA_previous!$A$2:$AI$2,0),FALSE)</f>
        <v>0</v>
      </c>
      <c r="I60" s="151">
        <f t="shared" si="3"/>
        <v>0</v>
      </c>
      <c r="J60" s="151">
        <f t="shared" si="4"/>
        <v>0</v>
      </c>
      <c r="K60" s="226">
        <f>VLOOKUP(A60, IRD!$A$5:$C$139, 3, FALSE)</f>
        <v>0</v>
      </c>
      <c r="L60" s="227">
        <f t="array" ref="L60">IF($G60=0, INDEX(LS_previous!$D$4:$AY$138, MATCH('Staging Table'!$A60, LS_previous!$B$4:$B$138, 0), MATCH(L$4&amp;L$5, LS_previous!$D$2:$AY$2&amp;LS_previous!$D$3:$AY$3, 0)),SUM(VLOOKUP($A60, LS_previous!$B$4:$AY$138, LS_previous!D$149, FALSE), VLOOKUP('Staging Table'!$A60, LS_previous!$B$4:$AY$138,LS_previous!AB$149, FALSE))/2)</f>
        <v>-337</v>
      </c>
      <c r="M60" s="227">
        <f t="array" ref="M60">IF($G60=0, INDEX(LS_previous!$D$4:$AY$138, MATCH('Staging Table'!$A60, LS_previous!$B$4:$B$138, 0), MATCH(M$4&amp;M$5, LS_previous!$D$2:$AY$2&amp;LS_previous!$D$3:$AY$3, 0)),SUM(VLOOKUP($A60, LS_previous!$B$4:$AY$138, LS_previous!E$149, FALSE), VLOOKUP('Staging Table'!$A60, LS_previous!$B$4:$AY$138,LS_previous!AC$149, FALSE))/2)</f>
        <v>-56</v>
      </c>
      <c r="N60" s="227">
        <f t="array" ref="N60">IF($G60=0, INDEX(LS_previous!$D$4:$AY$138, MATCH('Staging Table'!$A60, LS_previous!$B$4:$B$138, 0), MATCH(N$4&amp;N$5, LS_previous!$D$2:$AY$2&amp;LS_previous!$D$3:$AY$3, 0)),SUM(VLOOKUP($A60, LS_previous!$B$4:$AY$138, LS_previous!F$149, FALSE), VLOOKUP('Staging Table'!$A60, LS_previous!$B$4:$AY$138,LS_previous!AD$149, FALSE))/2)</f>
        <v>-344</v>
      </c>
      <c r="O60" s="227">
        <f t="array" ref="O60">IF($G60=0, INDEX(LS_previous!$D$4:$AY$138, MATCH('Staging Table'!$A60, LS_previous!$B$4:$B$138, 0), MATCH(O$4&amp;O$5, LS_previous!$D$2:$AY$2&amp;LS_previous!$D$3:$AY$3, 0)),SUM(VLOOKUP($A60, LS_previous!$B$4:$AY$138, LS_previous!G$149, FALSE), VLOOKUP('Staging Table'!$A60, LS_previous!$B$4:$AY$138,LS_previous!AE$149, FALSE))/2)</f>
        <v>35</v>
      </c>
      <c r="P60" s="227">
        <f t="array" ref="P60">IF($G60=0, INDEX(LS_previous!$D$4:$AY$138, MATCH('Staging Table'!$A60, LS_previous!$B$4:$B$138, 0), MATCH(P$4&amp;P$5, LS_previous!$D$2:$AY$2&amp;LS_previous!$D$3:$AY$3, 0)),SUM(VLOOKUP($A60, LS_previous!$B$4:$AY$138, LS_previous!H$149, FALSE), VLOOKUP('Staging Table'!$A60, LS_previous!$B$4:$AY$138,LS_previous!AF$149, FALSE))/2)</f>
        <v>-17</v>
      </c>
      <c r="Q60" s="227">
        <f t="array" ref="Q60">IF($G60=0, INDEX(LS_previous!$D$4:$AY$138, MATCH('Staging Table'!$A60, LS_previous!$B$4:$B$138, 0), MATCH(Q$4&amp;Q$5, LS_previous!$D$2:$AY$2&amp;LS_previous!$D$3:$AY$3, 0)),SUM(VLOOKUP($A60, LS_previous!$B$4:$AY$138, LS_previous!I$149, FALSE), VLOOKUP('Staging Table'!$A60, LS_previous!$B$4:$AY$138,LS_previous!AG$149, FALSE))/2)</f>
        <v>337</v>
      </c>
      <c r="R60" s="227">
        <f t="array" ref="R60">IF($G60=0, INDEX(LS_previous!$D$4:$AY$138, MATCH('Staging Table'!$A60, LS_previous!$B$4:$B$138, 0), MATCH(R$4&amp;R$5, LS_previous!$D$2:$AY$2&amp;LS_previous!$D$3:$AY$3, 0)),SUM(VLOOKUP($A60, LS_previous!$B$4:$AY$138, LS_previous!J$149, FALSE), VLOOKUP('Staging Table'!$A60, LS_previous!$B$4:$AY$138,LS_previous!AH$149, FALSE))/2)</f>
        <v>236</v>
      </c>
      <c r="S60" s="227">
        <f t="array" ref="S60">IF($G60=0, INDEX(LS_previous!$D$4:$AY$138, MATCH('Staging Table'!$A60, LS_previous!$B$4:$B$138, 0), MATCH(S$4&amp;S$5, LS_previous!$D$2:$AY$2&amp;LS_previous!$D$3:$AY$3, 0)),SUM(VLOOKUP($A60, LS_previous!$B$4:$AY$138, LS_previous!K$149, FALSE), VLOOKUP('Staging Table'!$A60, LS_previous!$B$4:$AY$138,LS_previous!AI$149, FALSE))/2)</f>
        <v>381</v>
      </c>
      <c r="T60" s="227">
        <f t="array" ref="T60">IF($G60=0, INDEX(LS_previous!$D$4:$AY$138, MATCH('Staging Table'!$A60, LS_previous!$B$4:$B$138, 0), MATCH(T$4&amp;T$5, LS_previous!$D$2:$AY$2&amp;LS_previous!$D$3:$AY$3, 0)),SUM(VLOOKUP($A60, LS_previous!$B$4:$AY$138, LS_previous!L$149, FALSE), VLOOKUP('Staging Table'!$A60, LS_previous!$B$4:$AY$138,LS_previous!AJ$149, FALSE))/2)</f>
        <v>218</v>
      </c>
      <c r="U60" s="227">
        <f t="array" ref="U60">IF($G60=0, INDEX(LS_previous!$D$4:$AY$138, MATCH('Staging Table'!$A60, LS_previous!$B$4:$B$138, 0), MATCH(U$4&amp;U$5, LS_previous!$D$2:$AY$2&amp;LS_previous!$D$3:$AY$3, 0)),SUM(VLOOKUP($A60, LS_previous!$B$4:$AY$138, LS_previous!M$149, FALSE), VLOOKUP('Staging Table'!$A60, LS_previous!$B$4:$AY$138,LS_previous!AK$149, FALSE))/2)</f>
        <v>352</v>
      </c>
      <c r="V60" s="227">
        <f t="array" ref="V60">IF($G60=0, INDEX(LS_previous!$D$4:$AY$138, MATCH('Staging Table'!$A60, LS_previous!$B$4:$B$138, 0), MATCH(V$4&amp;V$5, LS_previous!$D$2:$AY$2&amp;LS_previous!$D$3:$AY$3, 0)),SUM(VLOOKUP($A60, LS_previous!$B$4:$AY$138, LS_previous!N$149, FALSE), VLOOKUP('Staging Table'!$A60, LS_previous!$B$4:$AY$138,LS_previous!AL$149, FALSE))/2)</f>
        <v>-176</v>
      </c>
      <c r="W60" s="227">
        <f t="array" ref="W60">IF($G60=0, INDEX(LS_previous!$D$4:$AY$138, MATCH('Staging Table'!$A60, LS_previous!$B$4:$B$138, 0), MATCH(W$4&amp;W$5, LS_previous!$D$2:$AY$2&amp;LS_previous!$D$3:$AY$3, 0)),SUM(VLOOKUP($A60, LS_previous!$B$4:$AY$138, LS_previous!O$149, FALSE), VLOOKUP('Staging Table'!$A60, LS_previous!$B$4:$AY$138,LS_previous!AM$149, FALSE))/2)</f>
        <v>135</v>
      </c>
      <c r="X60" s="227">
        <f t="array" ref="X60">IF($G60=0, INDEX(LS_previous!$D$4:$AY$138, MATCH('Staging Table'!$A60, LS_previous!$B$4:$B$138, 0), MATCH(X$4&amp;X$5, LS_previous!$D$2:$AY$2&amp;LS_previous!$D$3:$AY$3, 0)),SUM(VLOOKUP($A60, LS_previous!$B$4:$AY$138, LS_previous!P$149, FALSE), VLOOKUP('Staging Table'!$A60, LS_previous!$B$4:$AY$138,LS_previous!AN$149, FALSE))/2)</f>
        <v>-231</v>
      </c>
      <c r="Y60" s="227">
        <f t="array" ref="Y60">IF($G60=0, INDEX(LS_previous!$D$4:$AY$138, MATCH('Staging Table'!$A60, LS_previous!$B$4:$B$138, 0), MATCH(Y$4&amp;Y$5, LS_previous!$D$2:$AY$2&amp;LS_previous!$D$3:$AY$3, 0)),SUM(VLOOKUP($A60, LS_previous!$B$4:$AY$138, LS_previous!Q$149, FALSE), VLOOKUP('Staging Table'!$A60, LS_previous!$B$4:$AY$138,LS_previous!AO$149, FALSE))/2)</f>
        <v>28</v>
      </c>
      <c r="Z60" s="227">
        <f t="array" ref="Z60">IF($G60=0, INDEX(LS_previous!$D$4:$AY$138, MATCH('Staging Table'!$A60, LS_previous!$B$4:$B$138, 0), MATCH(Z$4&amp;Z$5, LS_previous!$D$2:$AY$2&amp;LS_previous!$D$3:$AY$3, 0)),SUM(VLOOKUP($A60, LS_previous!$B$4:$AY$138, LS_previous!R$149, FALSE), VLOOKUP('Staging Table'!$A60, LS_previous!$B$4:$AY$138,LS_previous!AP$149, FALSE))/2)</f>
        <v>-798</v>
      </c>
      <c r="AA60" s="227">
        <f t="array" ref="AA60">IF($G60=0, INDEX(LS_previous!$D$4:$AY$138, MATCH('Staging Table'!$A60, LS_previous!$B$4:$B$138, 0), MATCH(AA$4&amp;AA$5, LS_previous!$D$2:$AY$2&amp;LS_previous!$D$3:$AY$3, 0)),SUM(VLOOKUP($A60, LS_previous!$B$4:$AY$138, LS_previous!S$149, FALSE), VLOOKUP('Staging Table'!$A60, LS_previous!$B$4:$AY$138,LS_previous!AQ$149, FALSE))/2)</f>
        <v>-258</v>
      </c>
      <c r="AB60" s="227">
        <f t="array" ref="AB60">IF($G60=0, INDEX(LS_previous!$D$4:$AY$138, MATCH('Staging Table'!$A60, LS_previous!$B$4:$B$138, 0), MATCH(AB$4&amp;AB$5, LS_previous!$D$2:$AY$2&amp;LS_previous!$D$3:$AY$3, 0)),SUM(VLOOKUP($A60, LS_previous!$B$4:$AY$138, LS_previous!T$149, FALSE), VLOOKUP('Staging Table'!$A60, LS_previous!$B$4:$AY$138,LS_previous!AR$149, FALSE))/2)</f>
        <v>-457</v>
      </c>
      <c r="AC60" s="227">
        <f t="array" ref="AC60">IF($G60=0, INDEX(LS_previous!$D$4:$AY$138, MATCH('Staging Table'!$A60, LS_previous!$B$4:$B$138, 0), MATCH(AC$4&amp;AC$5, LS_previous!$D$2:$AY$2&amp;LS_previous!$D$3:$AY$3, 0)),SUM(VLOOKUP($A60, LS_previous!$B$4:$AY$138, LS_previous!U$149, FALSE), VLOOKUP('Staging Table'!$A60, LS_previous!$B$4:$AY$138,LS_previous!AS$149, FALSE))/2)</f>
        <v>-141</v>
      </c>
      <c r="AD60" s="227">
        <f t="array" ref="AD60">IF($G60=0, INDEX(LS_previous!$D$4:$AY$138, MATCH('Staging Table'!$A60, LS_previous!$B$4:$B$138, 0), MATCH(AD$4&amp;AD$5, LS_previous!$D$2:$AY$2&amp;LS_previous!$D$3:$AY$3, 0)),SUM(VLOOKUP($A60, LS_previous!$B$4:$AY$138, LS_previous!V$149, FALSE), VLOOKUP('Staging Table'!$A60, LS_previous!$B$4:$AY$138,LS_previous!AT$149, FALSE))/2)</f>
        <v>-246</v>
      </c>
      <c r="AE60" s="227">
        <f t="array" ref="AE60">IF($G60=0, INDEX(LS_previous!$D$4:$AY$138, MATCH('Staging Table'!$A60, LS_previous!$B$4:$B$138, 0), MATCH(AE$4&amp;AE$5, LS_previous!$D$2:$AY$2&amp;LS_previous!$D$3:$AY$3, 0)),SUM(VLOOKUP($A60, LS_previous!$B$4:$AY$138, LS_previous!W$149, FALSE), VLOOKUP('Staging Table'!$A60, LS_previous!$B$4:$AY$138,LS_previous!AU$149, FALSE))/2)</f>
        <v>-2</v>
      </c>
      <c r="AF60" s="227">
        <f t="array" ref="AF60">IF($G60=0, INDEX(LS_previous!$D$4:$AY$138, MATCH('Staging Table'!$A60, LS_previous!$B$4:$B$138, 0), MATCH(AF$4&amp;AF$5, LS_previous!$D$2:$AY$2&amp;LS_previous!$D$3:$AY$3, 0)),SUM(VLOOKUP($A60, LS_previous!$B$4:$AY$138, LS_previous!X$149, FALSE), VLOOKUP('Staging Table'!$A60, LS_previous!$B$4:$AY$138,LS_previous!AV$149, FALSE))/2)</f>
        <v>-403</v>
      </c>
      <c r="AG60" s="227">
        <f t="array" ref="AG60">IF($G60=0, INDEX(LS_previous!$D$4:$AY$138, MATCH('Staging Table'!$A60, LS_previous!$B$4:$B$138, 0), MATCH(AG$4&amp;AG$5, LS_previous!$D$2:$AY$2&amp;LS_previous!$D$3:$AY$3, 0)),SUM(VLOOKUP($A60, LS_previous!$B$4:$AY$138, LS_previous!Y$149, FALSE), VLOOKUP('Staging Table'!$A60, LS_previous!$B$4:$AY$138,LS_previous!AW$149, FALSE))/2)</f>
        <v>-40</v>
      </c>
      <c r="AH60" s="227">
        <f t="array" ref="AH60">IF($G60=0, INDEX(LS_previous!$D$4:$AY$138, MATCH('Staging Table'!$A60, LS_previous!$B$4:$B$138, 0), MATCH(AH$4&amp;AH$5, LS_previous!$D$2:$AY$2&amp;LS_previous!$D$3:$AY$3, 0)),SUM(VLOOKUP($A60, LS_previous!$B$4:$AY$138, LS_previous!Z$149, FALSE), VLOOKUP('Staging Table'!$A60, LS_previous!$B$4:$AY$138,LS_previous!AX$149, FALSE))/2)</f>
        <v>-357</v>
      </c>
      <c r="AI60" s="227">
        <f t="array" ref="AI60">IF($G60=0, INDEX(LS_previous!$D$4:$AY$138, MATCH('Staging Table'!$A60, LS_previous!$B$4:$B$138, 0), MATCH(AI$4&amp;AI$5, LS_previous!$D$2:$AY$2&amp;LS_previous!$D$3:$AY$3, 0)),SUM(VLOOKUP($A60, LS_previous!$B$4:$AY$138, LS_previous!AA$149, FALSE), VLOOKUP('Staging Table'!$A60, LS_previous!$B$4:$AY$138,LS_previous!AY$149, FALSE))/2)</f>
        <v>-93</v>
      </c>
      <c r="AJ60" s="424">
        <f t="array" ref="AJ60">INDEX(Demand_previous!$D$4:$AY$138, MATCH('Staging Table'!$A60, Demand_previous!$B$4:$B$138, 0), MATCH(AJ$4&amp;AJ$5,Demand_previous!$D$2:$AY$2&amp;Demand_previous!$D$3:$AY$3, 0))/1000</f>
        <v>0</v>
      </c>
      <c r="AK60" s="424">
        <f t="array" ref="AK60">INDEX(Demand_previous!$D$4:$AY$138, MATCH('Staging Table'!$A60, Demand_previous!$B$4:$B$138, 0), MATCH(AK$4&amp;AK$5,Demand_previous!$D$2:$AY$2&amp;Demand_previous!$D$3:$AY$3, 0))/1000</f>
        <v>0</v>
      </c>
      <c r="AL60" s="424">
        <f t="array" ref="AL60">INDEX(Demand_previous!$D$4:$AY$138, MATCH('Staging Table'!$A60, Demand_previous!$B$4:$B$138, 0), MATCH(AL$4&amp;AL$5,Demand_previous!$D$2:$AY$2&amp;Demand_previous!$D$3:$AY$3, 0))/1000</f>
        <v>0.44800000000000001</v>
      </c>
      <c r="AM60" s="424">
        <f t="array" ref="AM60">INDEX(Demand_previous!$D$4:$AY$138, MATCH('Staging Table'!$A60, Demand_previous!$B$4:$B$138, 0), MATCH(AM$4&amp;AM$5,Demand_previous!$D$2:$AY$2&amp;Demand_previous!$D$3:$AY$3, 0))/1000</f>
        <v>0.51</v>
      </c>
      <c r="AN60" s="424">
        <f t="array" ref="AN60">INDEX(Demand_previous!$D$4:$AY$138, MATCH('Staging Table'!$A60, Demand_previous!$B$4:$B$138, 0), MATCH(AN$4&amp;AN$5,Demand_previous!$D$2:$AY$2&amp;Demand_previous!$D$3:$AY$3, 0))/1000</f>
        <v>0.127</v>
      </c>
      <c r="AO60" s="424">
        <f t="array" ref="AO60">INDEX(Demand_previous!$D$4:$AY$138, MATCH('Staging Table'!$A60, Demand_previous!$B$4:$B$138, 0), MATCH(AO$4&amp;AO$5,Demand_previous!$D$2:$AY$2&amp;Demand_previous!$D$3:$AY$3, 0))/1000</f>
        <v>0.254</v>
      </c>
      <c r="AP60" s="424">
        <f t="array" ref="AP60">INDEX(Demand_previous!$D$4:$AY$138, MATCH('Staging Table'!$A60, Demand_previous!$B$4:$B$138, 0), MATCH(AP$4&amp;AP$5,Demand_previous!$D$2:$AY$2&amp;Demand_previous!$D$3:$AY$3, 0))/1000</f>
        <v>0</v>
      </c>
      <c r="AQ60" s="424">
        <f t="array" ref="AQ60">INDEX(Demand_previous!$D$4:$AY$138, MATCH('Staging Table'!$A60, Demand_previous!$B$4:$B$138, 0), MATCH(AQ$4&amp;AQ$5,Demand_previous!$D$2:$AY$2&amp;Demand_previous!$D$3:$AY$3, 0))/1000</f>
        <v>0.05</v>
      </c>
      <c r="AR60" s="424">
        <f t="array" ref="AR60">INDEX(Demand_previous!$D$4:$AY$138, MATCH('Staging Table'!$A60, Demand_previous!$B$4:$B$138, 0), MATCH(AR$4&amp;AR$5,Demand_previous!$D$2:$AY$2&amp;Demand_previous!$D$3:$AY$3, 0))/1000</f>
        <v>0</v>
      </c>
      <c r="AS60" s="424">
        <f t="array" ref="AS60">INDEX(Demand_previous!$D$4:$AY$138, MATCH('Staging Table'!$A60, Demand_previous!$B$4:$B$138, 0), MATCH(AS$4&amp;AS$5,Demand_previous!$D$2:$AY$2&amp;Demand_previous!$D$3:$AY$3, 0))/1000</f>
        <v>0</v>
      </c>
      <c r="AT60" s="424">
        <f t="array" ref="AT60">INDEX(Demand_previous!$D$4:$AY$138, MATCH('Staging Table'!$A60, Demand_previous!$B$4:$B$138, 0), MATCH(AT$4&amp;AT$5,Demand_previous!$D$2:$AY$2&amp;Demand_previous!$D$3:$AY$3, 0))/1000</f>
        <v>6.5000000000000002E-2</v>
      </c>
      <c r="AU60" s="424">
        <f t="array" ref="AU60">INDEX(Demand_previous!$D$4:$AY$138, MATCH('Staging Table'!$A60, Demand_previous!$B$4:$B$138, 0), MATCH(AU$4&amp;AU$5,Demand_previous!$D$2:$AY$2&amp;Demand_previous!$D$3:$AY$3, 0))/1000</f>
        <v>0</v>
      </c>
      <c r="AV60" s="227">
        <f>$F60*(VLOOKUP(AV$4, Rates_previous!$G$6:$Q$29, 10, FALSE)+VLOOKUP(AV$4, Rates_previous!$G$6:$Q$29, 11, FALSE))</f>
        <v>1780.3516983792931</v>
      </c>
      <c r="AW60" s="227">
        <f>$F60*(VLOOKUP(AW$4, Rates_previous!$G$6:$Q$29, 10, FALSE)+VLOOKUP(AW$4, Rates_previous!$G$6:$Q$29, 11, FALSE))</f>
        <v>2200.3793852967224</v>
      </c>
      <c r="AX60" s="227">
        <f>$F60*(VLOOKUP(AX$4, Rates_previous!$G$6:$Q$29, 10, FALSE)+VLOOKUP(AX$4, Rates_previous!$G$6:$Q$29, 11, FALSE))</f>
        <v>2173.9554606601741</v>
      </c>
      <c r="AY60" s="227">
        <f>$F60*(VLOOKUP(AY$4, Rates_previous!$G$6:$Q$29, 10, FALSE)+VLOOKUP(AY$4, Rates_previous!$G$6:$Q$29, 11, FALSE))</f>
        <v>1857.4377289562522</v>
      </c>
      <c r="AZ60" s="227">
        <f>$F60*(VLOOKUP(AZ$4, Rates_previous!$G$6:$Q$29, 10, FALSE)+VLOOKUP(AZ$4, Rates_previous!$G$6:$Q$29, 11, FALSE))</f>
        <v>1522.7386484156586</v>
      </c>
      <c r="BA60" s="227">
        <f>$F60*(VLOOKUP(BA$4, Rates_previous!$G$6:$Q$29, 10, FALSE)+VLOOKUP(BA$4, Rates_previous!$G$6:$Q$29, 11, FALSE))</f>
        <v>1802.8672487232559</v>
      </c>
      <c r="BB60" s="227">
        <f>$F60*(VLOOKUP(BB$4, Rates_previous!$G$6:$Q$29, 10, FALSE)+VLOOKUP(BB$4, Rates_previous!$G$6:$Q$29, 11, FALSE))</f>
        <v>1732.8176690635328</v>
      </c>
      <c r="BC60" s="227">
        <f>$F60*(VLOOKUP(BC$4, Rates_previous!$G$6:$Q$29, 10, FALSE)+VLOOKUP(BC$4, Rates_previous!$G$6:$Q$29, 11, FALSE))</f>
        <v>2542.7873104115315</v>
      </c>
      <c r="BD60" s="227">
        <f>$F60*(VLOOKUP(BD$4, Rates_previous!$G$6:$Q$29, 10, FALSE)+VLOOKUP(BD$4, Rates_previous!$G$6:$Q$29, 11, FALSE))</f>
        <v>2006.1919812268679</v>
      </c>
      <c r="BE60" s="227">
        <f>$F60*(VLOOKUP(BE$4, Rates_previous!$G$6:$Q$29, 10, FALSE)+VLOOKUP(BE$4, Rates_previous!$G$6:$Q$29, 11, FALSE))</f>
        <v>1761.6049503049355</v>
      </c>
      <c r="BF60" s="227">
        <f>$F60*(VLOOKUP(BF$4, Rates_previous!$G$6:$Q$29, 10, FALSE)+VLOOKUP(BF$4, Rates_previous!$G$6:$Q$29, 11, FALSE))</f>
        <v>1951.0479954797531</v>
      </c>
      <c r="BG60" s="227">
        <f>$F60*(VLOOKUP(BG$4, Rates_previous!$G$6:$Q$29, 10, FALSE)+VLOOKUP(BG$4, Rates_previous!$G$6:$Q$29, 11, FALSE))</f>
        <v>1767.57189558863</v>
      </c>
      <c r="BH60" s="229">
        <f>IF($D60=0,IF(C60=0, MAX(BK60 - (VLOOKUP($A60,TOCA_previous!$A$2:$AI$137,MATCH("RHWM 2018",TOCA_previous!$A$2:$AI$2,0),FALSE)*$F$2*TOCA_previous!C57),0),0), 0)</f>
        <v>0</v>
      </c>
      <c r="BI60" s="266">
        <f>VLOOKUP($A60,REP_previous!$A$1:$D$135,MATCH("FY "&amp;$F$1&amp; " Total Refund",REP_previous!$A$1:$D$1,0),0)</f>
        <v>35476.457803994388</v>
      </c>
      <c r="BJ60" s="241">
        <f>MIN(VLOOKUP($A60,TOCA_previous!$A$2:$AI$137,MATCH("TRL - NLSL - Existing Resource "&amp;$F$1,TOCA_previous!$A$2:$AI$2,0),FALSE)*$F$2,(VLOOKUP($A60,TOCA_previous!$A$2:$AI$137,MATCH("RHWM 2018",TOCA_previous!$A$2:$AI$2,0),FALSE)*$F$2))</f>
        <v>23100.12</v>
      </c>
      <c r="BK60" s="229">
        <f>SUM(L60:AI60)+(F60*RT1SC!$C$3*$F$2)</f>
        <v>20865.752309511998</v>
      </c>
      <c r="BL60" s="241">
        <f>VLOOKUP($A60,TOCA_previous!$A$2:$AI$137,MATCH("Above RHWM Not Served with LS "&amp;$F$1,TOCA_previous!$A$2:$AI$2,0),FALSE)*$F$2</f>
        <v>0</v>
      </c>
      <c r="BM60" s="151">
        <f t="shared" si="5"/>
        <v>-2234.3676904880012</v>
      </c>
      <c r="BN60" s="242">
        <f>(VLOOKUP($A60,TOCA_previous!$A$2:$AI$137,MATCH("RHWM 2018",TOCA_previous!$A$2:$AI$2,0),FALSE)*$F$2) - $BJ60</f>
        <v>963.59999999999854</v>
      </c>
      <c r="BO60" s="151">
        <f t="shared" si="6"/>
        <v>0</v>
      </c>
      <c r="BP60" s="243">
        <f t="shared" si="7"/>
        <v>2234.3676904880012</v>
      </c>
      <c r="BQ60" s="237">
        <f t="shared" si="8"/>
        <v>0</v>
      </c>
      <c r="BR60" s="242">
        <f t="shared" si="9"/>
        <v>2234.3676904880012</v>
      </c>
      <c r="BS60" s="151">
        <f>VLOOKUP($A60,TOCA_current!$A$2:$AI$137,MATCH(BS$4,TOCA_current!$A$2:$AI$2,0),FALSE)</f>
        <v>3.4390000000000001E-4</v>
      </c>
      <c r="BT60" s="151">
        <f>VLOOKUP($A60,TOCA_current!$A$2:$AI$137,MATCH(BT$4,TOCA_current!$A$2:$AI$2,0),FALSE)</f>
        <v>3.4390000000000001E-4</v>
      </c>
      <c r="BU60" s="236">
        <f t="shared" si="10"/>
        <v>0</v>
      </c>
      <c r="BV60" s="151">
        <f>VLOOKUP($A60,TOCA_current!A56:BG191,MATCH(BV$4,TOCA_current!$A$2:$BG$2,0),FALSE)</f>
        <v>0</v>
      </c>
      <c r="BW60" s="151">
        <f t="shared" si="11"/>
        <v>0</v>
      </c>
      <c r="BX60" s="151">
        <f t="shared" si="12"/>
        <v>0</v>
      </c>
      <c r="BY60" s="226">
        <f>VLOOKUP($A60,IRD!$A$4:$G$139, 7, FALSE)</f>
        <v>0</v>
      </c>
      <c r="BZ60" s="227">
        <f t="array" ref="BZ60">IF($BU60=0, INDEX(LS_current!$D$4:$AY$138, MATCH('Staging Table'!$A60, LS_current!$B$4:$B$138, 0), MATCH(BZ$4&amp;BZ$5, LS_current!$D$2:$AY$2&amp;LS_current!$D$3:$AY$3, 0)),SUM(VLOOKUP($A60, LS_current!$B$4:$AY$138, LS_current!D$148, FALSE), VLOOKUP($A60, LS_current!$B$4:$AY$138,LS_current!D$148, FALSE))/2)</f>
        <v>-214</v>
      </c>
      <c r="CA60" s="227">
        <f t="array" ref="CA60">IF($BU60=0, INDEX(LS_current!$D$4:$AY$138, MATCH('Staging Table'!$A60, LS_current!$B$4:$B$138, 0), MATCH(CA$4&amp;CA$5, LS_current!$D$2:$AY$2&amp;LS_current!$D$3:$AY$3, 0)),SUM(VLOOKUP($A60, LS_current!$B$4:$AY$138, LS_current!E$148, FALSE), VLOOKUP($A60, LS_current!$B$4:$AY$138,LS_current!E$148, FALSE))/2)</f>
        <v>13</v>
      </c>
      <c r="CB60" s="227">
        <f t="array" ref="CB60">IF($BU60=0, INDEX(LS_current!$D$4:$AY$138, MATCH('Staging Table'!$A60, LS_current!$B$4:$B$138, 0), MATCH(CB$4&amp;CB$5, LS_current!$D$2:$AY$2&amp;LS_current!$D$3:$AY$3, 0)),SUM(VLOOKUP($A60, LS_current!$B$4:$AY$138, LS_current!F$148, FALSE), VLOOKUP($A60, LS_current!$B$4:$AY$138,LS_current!F$148, FALSE))/2)</f>
        <v>-222</v>
      </c>
      <c r="CC60" s="227">
        <f t="array" ref="CC60">IF($BU60=0, INDEX(LS_current!$D$4:$AY$138, MATCH('Staging Table'!$A60, LS_current!$B$4:$B$138, 0), MATCH(CC$4&amp;CC$5, LS_current!$D$2:$AY$2&amp;LS_current!$D$3:$AY$3, 0)),SUM(VLOOKUP($A60, LS_current!$B$4:$AY$138, LS_current!G$148, FALSE), VLOOKUP($A60, LS_current!$B$4:$AY$138,LS_current!G$148, FALSE))/2)</f>
        <v>97</v>
      </c>
      <c r="CD60" s="227">
        <f t="array" ref="CD60">IF($BU60=0, INDEX(LS_current!$D$4:$AY$138, MATCH('Staging Table'!$A60, LS_current!$B$4:$B$138, 0), MATCH(CD$4&amp;CD$5, LS_current!$D$2:$AY$2&amp;LS_current!$D$3:$AY$3, 0)),SUM(VLOOKUP($A60, LS_current!$B$4:$AY$138, LS_current!H$148, FALSE), VLOOKUP($A60, LS_current!$B$4:$AY$138,LS_current!H$148, FALSE))/2)</f>
        <v>100</v>
      </c>
      <c r="CE60" s="227">
        <f t="array" ref="CE60">IF($BU60=0, INDEX(LS_current!$D$4:$AY$138, MATCH('Staging Table'!$A60, LS_current!$B$4:$B$138, 0), MATCH(CE$4&amp;CE$5, LS_current!$D$2:$AY$2&amp;LS_current!$D$3:$AY$3, 0)),SUM(VLOOKUP($A60, LS_current!$B$4:$AY$138, LS_current!I$148, FALSE), VLOOKUP($A60, LS_current!$B$4:$AY$138,LS_current!I$148, FALSE))/2)</f>
        <v>401</v>
      </c>
      <c r="CF60" s="227">
        <f t="array" ref="CF60">IF($BU60=0, INDEX(LS_current!$D$4:$AY$138, MATCH('Staging Table'!$A60, LS_current!$B$4:$B$138, 0), MATCH(CF$4&amp;CF$5, LS_current!$D$2:$AY$2&amp;LS_current!$D$3:$AY$3, 0)),SUM(VLOOKUP($A60, LS_current!$B$4:$AY$138, LS_current!J$148, FALSE), VLOOKUP($A60, LS_current!$B$4:$AY$138,LS_current!J$148, FALSE))/2)</f>
        <v>340</v>
      </c>
      <c r="CG60" s="227">
        <f t="array" ref="CG60">IF($BU60=0, INDEX(LS_current!$D$4:$AY$138, MATCH('Staging Table'!$A60, LS_current!$B$4:$B$138, 0), MATCH(CG$4&amp;CG$5, LS_current!$D$2:$AY$2&amp;LS_current!$D$3:$AY$3, 0)),SUM(VLOOKUP($A60, LS_current!$B$4:$AY$138, LS_current!K$148, FALSE), VLOOKUP($A60, LS_current!$B$4:$AY$138,LS_current!K$148, FALSE))/2)</f>
        <v>473</v>
      </c>
      <c r="CH60" s="227">
        <f t="array" ref="CH60">IF($BU60=0, INDEX(LS_current!$D$4:$AY$138, MATCH('Staging Table'!$A60, LS_current!$B$4:$B$138, 0), MATCH(CH$4&amp;CH$5, LS_current!$D$2:$AY$2&amp;LS_current!$D$3:$AY$3, 0)),SUM(VLOOKUP($A60, LS_current!$B$4:$AY$138, LS_current!L$148, FALSE), VLOOKUP($A60, LS_current!$B$4:$AY$138,LS_current!L$148, FALSE))/2)</f>
        <v>231</v>
      </c>
      <c r="CI60" s="227">
        <f t="array" ref="CI60">IF($BU60=0, INDEX(LS_current!$D$4:$AY$138, MATCH('Staging Table'!$A60, LS_current!$B$4:$B$138, 0), MATCH(CI$4&amp;CI$5, LS_current!$D$2:$AY$2&amp;LS_current!$D$3:$AY$3, 0)),SUM(VLOOKUP($A60, LS_current!$B$4:$AY$138, LS_current!M$148, FALSE), VLOOKUP($A60, LS_current!$B$4:$AY$138,LS_current!M$148, FALSE))/2)</f>
        <v>358</v>
      </c>
      <c r="CJ60" s="227">
        <f t="array" ref="CJ60">IF($BU60=0, INDEX(LS_current!$D$4:$AY$138, MATCH('Staging Table'!$A60, LS_current!$B$4:$B$138, 0), MATCH(CJ$4&amp;CJ$5, LS_current!$D$2:$AY$2&amp;LS_current!$D$3:$AY$3, 0)),SUM(VLOOKUP($A60, LS_current!$B$4:$AY$138, LS_current!N$148, FALSE), VLOOKUP($A60, LS_current!$B$4:$AY$138,LS_current!N$148, FALSE))/2)</f>
        <v>-100</v>
      </c>
      <c r="CK60" s="227">
        <f t="array" ref="CK60">IF($BU60=0, INDEX(LS_current!$D$4:$AY$138, MATCH('Staging Table'!$A60, LS_current!$B$4:$B$138, 0), MATCH(CK$4&amp;CK$5, LS_current!$D$2:$AY$2&amp;LS_current!$D$3:$AY$3, 0)),SUM(VLOOKUP($A60, LS_current!$B$4:$AY$138, LS_current!O$148, FALSE), VLOOKUP($A60, LS_current!$B$4:$AY$138,LS_current!O$148, FALSE))/2)</f>
        <v>188</v>
      </c>
      <c r="CL60" s="227">
        <f t="array" ref="CL60">IF($BU60=0, INDEX(LS_current!$D$4:$AY$138, MATCH('Staging Table'!$A60, LS_current!$B$4:$B$138, 0), MATCH(CL$4&amp;CL$5, LS_current!$D$2:$AY$2&amp;LS_current!$D$3:$AY$3, 0)),SUM(VLOOKUP($A60, LS_current!$B$4:$AY$138, LS_current!P$148, FALSE), VLOOKUP($A60, LS_current!$B$4:$AY$138,LS_current!P$148, FALSE))/2)</f>
        <v>26</v>
      </c>
      <c r="CM60" s="227">
        <f t="array" ref="CM60">IF($BU60=0, INDEX(LS_current!$D$4:$AY$138, MATCH('Staging Table'!$A60, LS_current!$B$4:$B$138, 0), MATCH(CM$4&amp;CM$5, LS_current!$D$2:$AY$2&amp;LS_current!$D$3:$AY$3, 0)),SUM(VLOOKUP($A60, LS_current!$B$4:$AY$138, LS_current!Q$148, FALSE), VLOOKUP($A60, LS_current!$B$4:$AY$138,LS_current!Q$148, FALSE))/2)</f>
        <v>141</v>
      </c>
      <c r="CN60" s="227">
        <f t="array" ref="CN60">IF($BU60=0, INDEX(LS_current!$D$4:$AY$138, MATCH('Staging Table'!$A60, LS_current!$B$4:$B$138, 0), MATCH(CN$4&amp;CN$5, LS_current!$D$2:$AY$2&amp;LS_current!$D$3:$AY$3, 0)),SUM(VLOOKUP($A60, LS_current!$B$4:$AY$138, LS_current!R$148, FALSE), VLOOKUP($A60, LS_current!$B$4:$AY$138,LS_current!R$148, FALSE))/2)</f>
        <v>-370</v>
      </c>
      <c r="CO60" s="227">
        <f t="array" ref="CO60">IF($BU60=0, INDEX(LS_current!$D$4:$AY$138, MATCH('Staging Table'!$A60, LS_current!$B$4:$B$138, 0), MATCH(CO$4&amp;CO$5, LS_current!$D$2:$AY$2&amp;LS_current!$D$3:$AY$3, 0)),SUM(VLOOKUP($A60, LS_current!$B$4:$AY$138, LS_current!S$148, FALSE), VLOOKUP($A60, LS_current!$B$4:$AY$138,LS_current!S$148, FALSE))/2)</f>
        <v>19</v>
      </c>
      <c r="CP60" s="227">
        <f t="array" ref="CP60">IF($BU60=0, INDEX(LS_current!$D$4:$AY$138, MATCH('Staging Table'!$A60, LS_current!$B$4:$B$138, 0), MATCH(CP$4&amp;CP$5, LS_current!$D$2:$AY$2&amp;LS_current!$D$3:$AY$3, 0)),SUM(VLOOKUP($A60, LS_current!$B$4:$AY$138, LS_current!T$148, FALSE), VLOOKUP($A60, LS_current!$B$4:$AY$138,LS_current!T$148, FALSE))/2)</f>
        <v>-666</v>
      </c>
      <c r="CQ60" s="227">
        <f t="array" ref="CQ60">IF($BU60=0, INDEX(LS_current!$D$4:$AY$138, MATCH('Staging Table'!$A60, LS_current!$B$4:$B$138, 0), MATCH(CQ$4&amp;CQ$5, LS_current!$D$2:$AY$2&amp;LS_current!$D$3:$AY$3, 0)),SUM(VLOOKUP($A60, LS_current!$B$4:$AY$138, LS_current!U$148, FALSE), VLOOKUP($A60, LS_current!$B$4:$AY$138,LS_current!U$148, FALSE))/2)</f>
        <v>-270</v>
      </c>
      <c r="CR60" s="227">
        <f t="array" ref="CR60">IF($BU60=0, INDEX(LS_current!$D$4:$AY$138, MATCH('Staging Table'!$A60, LS_current!$B$4:$B$138, 0), MATCH(CR$4&amp;CR$5, LS_current!$D$2:$AY$2&amp;LS_current!$D$3:$AY$3, 0)),SUM(VLOOKUP($A60, LS_current!$B$4:$AY$138, LS_current!V$148, FALSE), VLOOKUP($A60, LS_current!$B$4:$AY$138,LS_current!V$148, FALSE))/2)</f>
        <v>-360</v>
      </c>
      <c r="CS60" s="227">
        <f t="array" ref="CS60">IF($BU60=0, INDEX(LS_current!$D$4:$AY$138, MATCH('Staging Table'!$A60, LS_current!$B$4:$B$138, 0), MATCH(CS$4&amp;CS$5, LS_current!$D$2:$AY$2&amp;LS_current!$D$3:$AY$3, 0)),SUM(VLOOKUP($A60, LS_current!$B$4:$AY$138, LS_current!W$148, FALSE), VLOOKUP($A60, LS_current!$B$4:$AY$138,LS_current!W$148, FALSE))/2)</f>
        <v>35</v>
      </c>
      <c r="CT60" s="227">
        <f t="array" ref="CT60">IF($BU60=0, INDEX(LS_current!$D$4:$AY$138, MATCH('Staging Table'!$A60, LS_current!$B$4:$B$138, 0), MATCH(CT$4&amp;CT$5, LS_current!$D$2:$AY$2&amp;LS_current!$D$3:$AY$3, 0)),SUM(VLOOKUP($A60, LS_current!$B$4:$AY$138, LS_current!X$148, FALSE), VLOOKUP($A60, LS_current!$B$4:$AY$138,LS_current!X$148, FALSE))/2)</f>
        <v>-325</v>
      </c>
      <c r="CU60" s="227">
        <f t="array" ref="CU60">IF($BU60=0, INDEX(LS_current!$D$4:$AY$138, MATCH('Staging Table'!$A60, LS_current!$B$4:$B$138, 0), MATCH(CU$4&amp;CU$5, LS_current!$D$2:$AY$2&amp;LS_current!$D$3:$AY$3, 0)),SUM(VLOOKUP($A60, LS_current!$B$4:$AY$138, LS_current!Y$148, FALSE), VLOOKUP($A60, LS_current!$B$4:$AY$138,LS_current!Y$148, FALSE))/2)</f>
        <v>42</v>
      </c>
      <c r="CV60" s="227">
        <f t="array" ref="CV60">IF($BU60=0, INDEX(LS_current!$D$4:$AY$138, MATCH('Staging Table'!$A60, LS_current!$B$4:$B$138, 0), MATCH(CV$4&amp;CV$5, LS_current!$D$2:$AY$2&amp;LS_current!$D$3:$AY$3, 0)),SUM(VLOOKUP($A60, LS_current!$B$4:$AY$138, LS_current!Z$148, FALSE), VLOOKUP($A60, LS_current!$B$4:$AY$138,LS_current!Z$148, FALSE))/2)</f>
        <v>-256</v>
      </c>
      <c r="CW60" s="227">
        <f t="array" ref="CW60">IF($BU60=0, INDEX(LS_current!$D$4:$AY$138, MATCH('Staging Table'!$A60, LS_current!$B$4:$B$138, 0), MATCH(CW$4&amp;CW$5, LS_current!$D$2:$AY$2&amp;LS_current!$D$3:$AY$3, 0)),SUM(VLOOKUP($A60, LS_current!$B$4:$AY$138, LS_current!AA$148, FALSE), VLOOKUP($A60, LS_current!$B$4:$AY$138,LS_current!AA$148, FALSE))/2)</f>
        <v>-33</v>
      </c>
      <c r="CX60" s="229">
        <f t="array" ref="CX60">INDEX(Demand_current!$D$4:$AY$138, MATCH($A60, Demand_current!$B$4:$B$138, 0), MATCH(CX$4&amp;CX$5,Demand_current!$D$2:$AY$2&amp;Demand_current!$D$3:$AY$3, 0))/1000</f>
        <v>0</v>
      </c>
      <c r="CY60" s="229">
        <f t="array" ref="CY60">INDEX(Demand_current!$D$4:$AY$138, MATCH($A60, Demand_current!$B$4:$B$138, 0), MATCH(CY$4&amp;CY$5,Demand_current!$D$2:$AY$2&amp;Demand_current!$D$3:$AY$3, 0))/1000</f>
        <v>0</v>
      </c>
      <c r="CZ60" s="229">
        <f t="array" ref="CZ60">INDEX(Demand_current!$D$4:$AY$138, MATCH($A60, Demand_current!$B$4:$B$138, 0), MATCH(CZ$4&amp;CZ$5,Demand_current!$D$2:$AY$2&amp;Demand_current!$D$3:$AY$3, 0))/1000</f>
        <v>0.44800000000000001</v>
      </c>
      <c r="DA60" s="229">
        <f t="array" ref="DA60">INDEX(Demand_current!$D$4:$AY$138, MATCH($A60, Demand_current!$B$4:$B$138, 0), MATCH(DA$4&amp;DA$5,Demand_current!$D$2:$AY$2&amp;Demand_current!$D$3:$AY$3, 0))/1000</f>
        <v>0.51</v>
      </c>
      <c r="DB60" s="229">
        <f t="array" ref="DB60">INDEX(Demand_current!$D$4:$AY$138, MATCH($A60, Demand_current!$B$4:$B$138, 0), MATCH(DB$4&amp;DB$5,Demand_current!$D$2:$AY$2&amp;Demand_current!$D$3:$AY$3, 0))/1000</f>
        <v>0.25</v>
      </c>
      <c r="DC60" s="229">
        <f t="array" ref="DC60">INDEX(Demand_current!$D$4:$AY$138, MATCH($A60, Demand_current!$B$4:$B$138, 0), MATCH(DC$4&amp;DC$5,Demand_current!$D$2:$AY$2&amp;Demand_current!$D$3:$AY$3, 0))/1000</f>
        <v>0.16800000000000001</v>
      </c>
      <c r="DD60" s="229">
        <f t="array" ref="DD60">INDEX(Demand_current!$D$4:$AY$138, MATCH($A60, Demand_current!$B$4:$B$138, 0), MATCH(DD$4&amp;DD$5,Demand_current!$D$2:$AY$2&amp;Demand_current!$D$3:$AY$3, 0))/1000</f>
        <v>0</v>
      </c>
      <c r="DE60" s="229">
        <f t="array" ref="DE60">INDEX(Demand_current!$D$4:$AY$138, MATCH($A60, Demand_current!$B$4:$B$138, 0), MATCH(DE$4&amp;DE$5,Demand_current!$D$2:$AY$2&amp;Demand_current!$D$3:$AY$3, 0))/1000</f>
        <v>0</v>
      </c>
      <c r="DF60" s="229">
        <f t="array" ref="DF60">INDEX(Demand_current!$D$4:$AY$138, MATCH($A60, Demand_current!$B$4:$B$138, 0), MATCH(DF$4&amp;DF$5,Demand_current!$D$2:$AY$2&amp;Demand_current!$D$3:$AY$3, 0))/1000</f>
        <v>0</v>
      </c>
      <c r="DG60" s="229">
        <f t="array" ref="DG60">INDEX(Demand_current!$D$4:$AY$138, MATCH($A60, Demand_current!$B$4:$B$138, 0), MATCH(DG$4&amp;DG$5,Demand_current!$D$2:$AY$2&amp;Demand_current!$D$3:$AY$3, 0))/1000</f>
        <v>0</v>
      </c>
      <c r="DH60" s="229">
        <f t="array" ref="DH60">INDEX(Demand_current!$D$4:$AY$138, MATCH($A60, Demand_current!$B$4:$B$138, 0), MATCH(DH$4&amp;DH$5,Demand_current!$D$2:$AY$2&amp;Demand_current!$D$3:$AY$3, 0))/1000</f>
        <v>0</v>
      </c>
      <c r="DI60" s="229">
        <f t="array" ref="DI60">INDEX(Demand_current!$D$4:$AY$138, MATCH($A60, Demand_current!$B$4:$B$138, 0), MATCH(DI$4&amp;DI$5,Demand_current!$D$2:$AY$2&amp;Demand_current!$D$3:$AY$3, 0))/1000</f>
        <v>0</v>
      </c>
      <c r="DJ60" s="227">
        <f>$BT60*(VLOOKUP(DJ$4, Rates_current!$G$6:$Q$29, 10, FALSE)+VLOOKUP(DJ$4, Rates_current!$G$6:$Q$29, 11, FALSE))</f>
        <v>1587.8953837043998</v>
      </c>
      <c r="DK60" s="227">
        <f>$BT60*(VLOOKUP(DK$4, Rates_current!$G$6:$Q$29, 10, FALSE)+VLOOKUP(DK$4, Rates_current!$G$6:$Q$29, 11, FALSE))</f>
        <v>2017.1224908921001</v>
      </c>
      <c r="DL60" s="227">
        <f>$BT60*(VLOOKUP(DL$4, Rates_current!$G$6:$Q$29, 10, FALSE)+VLOOKUP(DL$4, Rates_current!$G$6:$Q$29, 11, FALSE))</f>
        <v>1992.7630074044002</v>
      </c>
      <c r="DM60" s="227">
        <f>$BT60*(VLOOKUP(DM$4, Rates_current!$G$6:$Q$29, 10, FALSE)+VLOOKUP(DM$4, Rates_current!$G$6:$Q$29, 11, FALSE))</f>
        <v>1661.0893402044003</v>
      </c>
      <c r="DN60" s="227">
        <f>$BT60*(VLOOKUP(DN$4, Rates_current!$G$6:$Q$29, 10, FALSE)+VLOOKUP(DN$4, Rates_current!$G$6:$Q$29, 11, FALSE))</f>
        <v>1504.77461752</v>
      </c>
      <c r="DO60" s="227">
        <f>$BT60*(VLOOKUP(DO$4, Rates_current!$G$6:$Q$29, 10, FALSE)+VLOOKUP(DO$4, Rates_current!$G$6:$Q$29, 11, FALSE))</f>
        <v>1673.7874147343</v>
      </c>
      <c r="DP60" s="227">
        <f>$BT60*(VLOOKUP(DP$4, Rates_current!$G$6:$Q$29, 10, FALSE)+VLOOKUP(DP$4, Rates_current!$G$6:$Q$29, 11, FALSE))</f>
        <v>1362.799519272</v>
      </c>
      <c r="DQ60" s="227">
        <f>$BT60*(VLOOKUP(DQ$4, Rates_current!$G$6:$Q$29, 10, FALSE)+VLOOKUP(DQ$4, Rates_current!$G$6:$Q$29, 11, FALSE))</f>
        <v>1837.9383676544003</v>
      </c>
      <c r="DR60" s="227">
        <f>$BT60*(VLOOKUP(DR$4, Rates_current!$G$6:$Q$29, 10, FALSE)+VLOOKUP(DR$4, Rates_current!$G$6:$Q$29, 11, FALSE))</f>
        <v>2345.0843563220001</v>
      </c>
      <c r="DS60" s="227">
        <f>$BT60*(VLOOKUP(DS$4, Rates_current!$G$6:$Q$29, 10, FALSE)+VLOOKUP(DS$4, Rates_current!$G$6:$Q$29, 11, FALSE))</f>
        <v>1838.6204933044003</v>
      </c>
      <c r="DT60" s="227">
        <f>$BT60*(VLOOKUP(DT$4, Rates_current!$G$6:$Q$29, 10, FALSE)+VLOOKUP(DT$4, Rates_current!$G$6:$Q$29, 11, FALSE))</f>
        <v>1790.4502483544002</v>
      </c>
      <c r="DU60" s="227">
        <f>$BT60*(VLOOKUP(DU$4, Rates_current!$G$6:$Q$29, 10, FALSE)+VLOOKUP(DU$4, Rates_current!$G$6:$Q$29, 11, FALSE))</f>
        <v>1607.4434451720001</v>
      </c>
      <c r="DV60" s="229">
        <f>IF(D60=0,IF(C60=0,MAX(0,DY60 - (VLOOKUP($A60,TOCA_current!$A$2:$AI$137,MATCH("RHWM 2020",TOCA_current!$A$2:$AI$2,0),FALSE)*$BT$2)), 0),0)</f>
        <v>0</v>
      </c>
      <c r="DW60" s="266">
        <f>VLOOKUP($A60,REP_current!$A$1:$D$135,MATCH("FY "&amp;$BT$1&amp; " Total Refund",REP_current!$A$1:$D$1,0),0)</f>
        <v>0</v>
      </c>
      <c r="DX60" s="295">
        <f>MIN(VLOOKUP($A60,TOCA_current!$A$2:$AI$137,MATCH("TRL - NLSL - Existing Resource "&amp;$BT$1,TOCA_current!$A$2:$AI$2,0),FALSE)*$BT$2, VLOOKUP($A60,TOCA_current!$A$2:$AI$137,MATCH("RHWM 2020",TOCA_current!$A$2:$AI$2,0),FALSE)*$BT$2)</f>
        <v>21222.144</v>
      </c>
      <c r="DY60" s="240">
        <f>SUM(BZ60:CW60)+(BT60*RT1SC!$C$4*$BT$2)</f>
        <v>20867.769481011197</v>
      </c>
      <c r="DZ60" s="271">
        <f>VLOOKUP($A60,TOCA_current!$A$2:$AI$137,MATCH("Above RHWM Not Served with LS "&amp;$BT$1,TOCA_current!$A$2:$AI$2,0),FALSE)*$BT$2</f>
        <v>0</v>
      </c>
      <c r="EA60" s="244">
        <f t="shared" si="13"/>
        <v>-354.37451898880317</v>
      </c>
      <c r="EB60" s="295">
        <f>(VLOOKUP($A60,TOCA_current!$A$2:$AI$137,MATCH("RHWM 2020",TOCA_current!$A$2:$AI$2,0),FALSE)*$BT$2) - $DX60</f>
        <v>3171.0240000000013</v>
      </c>
      <c r="EC60" s="240">
        <f t="shared" si="14"/>
        <v>0</v>
      </c>
      <c r="ED60" s="240">
        <f t="shared" si="15"/>
        <v>354.37451898880317</v>
      </c>
      <c r="EE60" s="240">
        <f t="shared" si="16"/>
        <v>0</v>
      </c>
      <c r="EF60" s="240">
        <f t="shared" si="17"/>
        <v>354.37451898880317</v>
      </c>
    </row>
    <row r="61" spans="1:136">
      <c r="A61" s="166">
        <v>10170</v>
      </c>
      <c r="B61" s="167" t="s">
        <v>62</v>
      </c>
      <c r="C61" s="240">
        <v>0</v>
      </c>
      <c r="D61" s="240">
        <v>1</v>
      </c>
      <c r="E61" s="150">
        <f>VLOOKUP($A61,TOCA_previous!$A$2:$AI$137,MATCH(E$4,TOCA_previous!$A$2:$AI$2,0),FALSE)</f>
        <v>3.4378199999999998E-2</v>
      </c>
      <c r="F61" s="151">
        <f>VLOOKUP($A61,TOCA_previous!$A$2:$AI$137,MATCH(F$4,TOCA_previous!$A$2:$AI$2,0),FALSE)</f>
        <v>1.6435000000000002E-2</v>
      </c>
      <c r="G61" s="151">
        <f t="shared" si="2"/>
        <v>1.7943199999999996E-2</v>
      </c>
      <c r="H61" s="151">
        <f>VLOOKUP($A61,TOCA_previous!$A$2:$AI$137,MATCH(H$4,TOCA_previous!$A$2:$AI$2,0),FALSE)</f>
        <v>0</v>
      </c>
      <c r="I61" s="151">
        <f t="shared" si="3"/>
        <v>0</v>
      </c>
      <c r="J61" s="151">
        <f t="shared" si="4"/>
        <v>0</v>
      </c>
      <c r="K61" s="226">
        <f>VLOOKUP(A61, IRD!$A$5:$C$139, 3, FALSE)</f>
        <v>0</v>
      </c>
      <c r="L61" s="227">
        <f t="array" ref="L61">IF($G61=0, INDEX(LS_previous!$D$4:$AY$138, MATCH('Staging Table'!$A61, LS_previous!$B$4:$B$138, 0), MATCH(L$4&amp;L$5, LS_previous!$D$2:$AY$2&amp;LS_previous!$D$3:$AY$3, 0)),SUM(VLOOKUP($A61, LS_previous!$B$4:$AY$138, LS_previous!D$149, FALSE), VLOOKUP('Staging Table'!$A61, LS_previous!$B$4:$AY$138,LS_previous!AB$149, FALSE))/2)</f>
        <v>-3834</v>
      </c>
      <c r="M61" s="227">
        <f t="array" ref="M61">IF($G61=0, INDEX(LS_previous!$D$4:$AY$138, MATCH('Staging Table'!$A61, LS_previous!$B$4:$B$138, 0), MATCH(M$4&amp;M$5, LS_previous!$D$2:$AY$2&amp;LS_previous!$D$3:$AY$3, 0)),SUM(VLOOKUP($A61, LS_previous!$B$4:$AY$138, LS_previous!E$149, FALSE), VLOOKUP('Staging Table'!$A61, LS_previous!$B$4:$AY$138,LS_previous!AC$149, FALSE))/2)</f>
        <v>7967</v>
      </c>
      <c r="N61" s="227">
        <f t="array" ref="N61">IF($G61=0, INDEX(LS_previous!$D$4:$AY$138, MATCH('Staging Table'!$A61, LS_previous!$B$4:$B$138, 0), MATCH(N$4&amp;N$5, LS_previous!$D$2:$AY$2&amp;LS_previous!$D$3:$AY$3, 0)),SUM(VLOOKUP($A61, LS_previous!$B$4:$AY$138, LS_previous!F$149, FALSE), VLOOKUP('Staging Table'!$A61, LS_previous!$B$4:$AY$138,LS_previous!AD$149, FALSE))/2)</f>
        <v>-17336.5</v>
      </c>
      <c r="O61" s="227">
        <f t="array" ref="O61">IF($G61=0, INDEX(LS_previous!$D$4:$AY$138, MATCH('Staging Table'!$A61, LS_previous!$B$4:$B$138, 0), MATCH(O$4&amp;O$5, LS_previous!$D$2:$AY$2&amp;LS_previous!$D$3:$AY$3, 0)),SUM(VLOOKUP($A61, LS_previous!$B$4:$AY$138, LS_previous!G$149, FALSE), VLOOKUP('Staging Table'!$A61, LS_previous!$B$4:$AY$138,LS_previous!AE$149, FALSE))/2)</f>
        <v>-997.5</v>
      </c>
      <c r="P61" s="227">
        <f t="array" ref="P61">IF($G61=0, INDEX(LS_previous!$D$4:$AY$138, MATCH('Staging Table'!$A61, LS_previous!$B$4:$B$138, 0), MATCH(P$4&amp;P$5, LS_previous!$D$2:$AY$2&amp;LS_previous!$D$3:$AY$3, 0)),SUM(VLOOKUP($A61, LS_previous!$B$4:$AY$138, LS_previous!H$149, FALSE), VLOOKUP('Staging Table'!$A61, LS_previous!$B$4:$AY$138,LS_previous!AF$149, FALSE))/2)</f>
        <v>-5543.5</v>
      </c>
      <c r="Q61" s="227">
        <f t="array" ref="Q61">IF($G61=0, INDEX(LS_previous!$D$4:$AY$138, MATCH('Staging Table'!$A61, LS_previous!$B$4:$B$138, 0), MATCH(Q$4&amp;Q$5, LS_previous!$D$2:$AY$2&amp;LS_previous!$D$3:$AY$3, 0)),SUM(VLOOKUP($A61, LS_previous!$B$4:$AY$138, LS_previous!I$149, FALSE), VLOOKUP('Staging Table'!$A61, LS_previous!$B$4:$AY$138,LS_previous!AG$149, FALSE))/2)</f>
        <v>10145.5</v>
      </c>
      <c r="R61" s="227">
        <f t="array" ref="R61">IF($G61=0, INDEX(LS_previous!$D$4:$AY$138, MATCH('Staging Table'!$A61, LS_previous!$B$4:$B$138, 0), MATCH(R$4&amp;R$5, LS_previous!$D$2:$AY$2&amp;LS_previous!$D$3:$AY$3, 0)),SUM(VLOOKUP($A61, LS_previous!$B$4:$AY$138, LS_previous!J$149, FALSE), VLOOKUP('Staging Table'!$A61, LS_previous!$B$4:$AY$138,LS_previous!AH$149, FALSE))/2)</f>
        <v>8840</v>
      </c>
      <c r="S61" s="227">
        <f t="array" ref="S61">IF($G61=0, INDEX(LS_previous!$D$4:$AY$138, MATCH('Staging Table'!$A61, LS_previous!$B$4:$B$138, 0), MATCH(S$4&amp;S$5, LS_previous!$D$2:$AY$2&amp;LS_previous!$D$3:$AY$3, 0)),SUM(VLOOKUP($A61, LS_previous!$B$4:$AY$138, LS_previous!K$149, FALSE), VLOOKUP('Staging Table'!$A61, LS_previous!$B$4:$AY$138,LS_previous!AI$149, FALSE))/2)</f>
        <v>15396.5</v>
      </c>
      <c r="T61" s="227">
        <f t="array" ref="T61">IF($G61=0, INDEX(LS_previous!$D$4:$AY$138, MATCH('Staging Table'!$A61, LS_previous!$B$4:$B$138, 0), MATCH(T$4&amp;T$5, LS_previous!$D$2:$AY$2&amp;LS_previous!$D$3:$AY$3, 0)),SUM(VLOOKUP($A61, LS_previous!$B$4:$AY$138, LS_previous!L$149, FALSE), VLOOKUP('Staging Table'!$A61, LS_previous!$B$4:$AY$138,LS_previous!AJ$149, FALSE))/2)</f>
        <v>11603</v>
      </c>
      <c r="U61" s="227">
        <f t="array" ref="U61">IF($G61=0, INDEX(LS_previous!$D$4:$AY$138, MATCH('Staging Table'!$A61, LS_previous!$B$4:$B$138, 0), MATCH(U$4&amp;U$5, LS_previous!$D$2:$AY$2&amp;LS_previous!$D$3:$AY$3, 0)),SUM(VLOOKUP($A61, LS_previous!$B$4:$AY$138, LS_previous!M$149, FALSE), VLOOKUP('Staging Table'!$A61, LS_previous!$B$4:$AY$138,LS_previous!AK$149, FALSE))/2)</f>
        <v>15643</v>
      </c>
      <c r="V61" s="227">
        <f t="array" ref="V61">IF($G61=0, INDEX(LS_previous!$D$4:$AY$138, MATCH('Staging Table'!$A61, LS_previous!$B$4:$B$138, 0), MATCH(V$4&amp;V$5, LS_previous!$D$2:$AY$2&amp;LS_previous!$D$3:$AY$3, 0)),SUM(VLOOKUP($A61, LS_previous!$B$4:$AY$138, LS_previous!N$149, FALSE), VLOOKUP('Staging Table'!$A61, LS_previous!$B$4:$AY$138,LS_previous!AL$149, FALSE))/2)</f>
        <v>3067.5</v>
      </c>
      <c r="W61" s="227">
        <f t="array" ref="W61">IF($G61=0, INDEX(LS_previous!$D$4:$AY$138, MATCH('Staging Table'!$A61, LS_previous!$B$4:$B$138, 0), MATCH(W$4&amp;W$5, LS_previous!$D$2:$AY$2&amp;LS_previous!$D$3:$AY$3, 0)),SUM(VLOOKUP($A61, LS_previous!$B$4:$AY$138, LS_previous!O$149, FALSE), VLOOKUP('Staging Table'!$A61, LS_previous!$B$4:$AY$138,LS_previous!AM$149, FALSE))/2)</f>
        <v>10757</v>
      </c>
      <c r="X61" s="227">
        <f t="array" ref="X61">IF($G61=0, INDEX(LS_previous!$D$4:$AY$138, MATCH('Staging Table'!$A61, LS_previous!$B$4:$B$138, 0), MATCH(X$4&amp;X$5, LS_previous!$D$2:$AY$2&amp;LS_previous!$D$3:$AY$3, 0)),SUM(VLOOKUP($A61, LS_previous!$B$4:$AY$138, LS_previous!P$149, FALSE), VLOOKUP('Staging Table'!$A61, LS_previous!$B$4:$AY$138,LS_previous!AN$149, FALSE))/2)</f>
        <v>-2262</v>
      </c>
      <c r="Y61" s="227">
        <f t="array" ref="Y61">IF($G61=0, INDEX(LS_previous!$D$4:$AY$138, MATCH('Staging Table'!$A61, LS_previous!$B$4:$B$138, 0), MATCH(Y$4&amp;Y$5, LS_previous!$D$2:$AY$2&amp;LS_previous!$D$3:$AY$3, 0)),SUM(VLOOKUP($A61, LS_previous!$B$4:$AY$138, LS_previous!Q$149, FALSE), VLOOKUP('Staging Table'!$A61, LS_previous!$B$4:$AY$138,LS_previous!AO$149, FALSE))/2)</f>
        <v>8354</v>
      </c>
      <c r="Z61" s="227">
        <f t="array" ref="Z61">IF($G61=0, INDEX(LS_previous!$D$4:$AY$138, MATCH('Staging Table'!$A61, LS_previous!$B$4:$B$138, 0), MATCH(Z$4&amp;Z$5, LS_previous!$D$2:$AY$2&amp;LS_previous!$D$3:$AY$3, 0)),SUM(VLOOKUP($A61, LS_previous!$B$4:$AY$138, LS_previous!R$149, FALSE), VLOOKUP('Staging Table'!$A61, LS_previous!$B$4:$AY$138,LS_previous!AP$149, FALSE))/2)</f>
        <v>-33035.5</v>
      </c>
      <c r="AA61" s="227">
        <f t="array" ref="AA61">IF($G61=0, INDEX(LS_previous!$D$4:$AY$138, MATCH('Staging Table'!$A61, LS_previous!$B$4:$B$138, 0), MATCH(AA$4&amp;AA$5, LS_previous!$D$2:$AY$2&amp;LS_previous!$D$3:$AY$3, 0)),SUM(VLOOKUP($A61, LS_previous!$B$4:$AY$138, LS_previous!S$149, FALSE), VLOOKUP('Staging Table'!$A61, LS_previous!$B$4:$AY$138,LS_previous!AQ$149, FALSE))/2)</f>
        <v>-10671</v>
      </c>
      <c r="AB61" s="227">
        <f t="array" ref="AB61">IF($G61=0, INDEX(LS_previous!$D$4:$AY$138, MATCH('Staging Table'!$A61, LS_previous!$B$4:$B$138, 0), MATCH(AB$4&amp;AB$5, LS_previous!$D$2:$AY$2&amp;LS_previous!$D$3:$AY$3, 0)),SUM(VLOOKUP($A61, LS_previous!$B$4:$AY$138, LS_previous!T$149, FALSE), VLOOKUP('Staging Table'!$A61, LS_previous!$B$4:$AY$138,LS_previous!AR$149, FALSE))/2)</f>
        <v>-19207.5</v>
      </c>
      <c r="AC61" s="227">
        <f t="array" ref="AC61">IF($G61=0, INDEX(LS_previous!$D$4:$AY$138, MATCH('Staging Table'!$A61, LS_previous!$B$4:$B$138, 0), MATCH(AC$4&amp;AC$5, LS_previous!$D$2:$AY$2&amp;LS_previous!$D$3:$AY$3, 0)),SUM(VLOOKUP($A61, LS_previous!$B$4:$AY$138, LS_previous!U$149, FALSE), VLOOKUP('Staging Table'!$A61, LS_previous!$B$4:$AY$138,LS_previous!AS$149, FALSE))/2)</f>
        <v>-1278.5</v>
      </c>
      <c r="AD61" s="227">
        <f t="array" ref="AD61">IF($G61=0, INDEX(LS_previous!$D$4:$AY$138, MATCH('Staging Table'!$A61, LS_previous!$B$4:$B$138, 0), MATCH(AD$4&amp;AD$5, LS_previous!$D$2:$AY$2&amp;LS_previous!$D$3:$AY$3, 0)),SUM(VLOOKUP($A61, LS_previous!$B$4:$AY$138, LS_previous!V$149, FALSE), VLOOKUP('Staging Table'!$A61, LS_previous!$B$4:$AY$138,LS_previous!AT$149, FALSE))/2)</f>
        <v>-5307</v>
      </c>
      <c r="AE61" s="227">
        <f t="array" ref="AE61">IF($G61=0, INDEX(LS_previous!$D$4:$AY$138, MATCH('Staging Table'!$A61, LS_previous!$B$4:$B$138, 0), MATCH(AE$4&amp;AE$5, LS_previous!$D$2:$AY$2&amp;LS_previous!$D$3:$AY$3, 0)),SUM(VLOOKUP($A61, LS_previous!$B$4:$AY$138, LS_previous!W$149, FALSE), VLOOKUP('Staging Table'!$A61, LS_previous!$B$4:$AY$138,LS_previous!AU$149, FALSE))/2)</f>
        <v>10250.5</v>
      </c>
      <c r="AF61" s="227">
        <f t="array" ref="AF61">IF($G61=0, INDEX(LS_previous!$D$4:$AY$138, MATCH('Staging Table'!$A61, LS_previous!$B$4:$B$138, 0), MATCH(AF$4&amp;AF$5, LS_previous!$D$2:$AY$2&amp;LS_previous!$D$3:$AY$3, 0)),SUM(VLOOKUP($A61, LS_previous!$B$4:$AY$138, LS_previous!X$149, FALSE), VLOOKUP('Staging Table'!$A61, LS_previous!$B$4:$AY$138,LS_previous!AV$149, FALSE))/2)</f>
        <v>-8257.5</v>
      </c>
      <c r="AG61" s="227">
        <f t="array" ref="AG61">IF($G61=0, INDEX(LS_previous!$D$4:$AY$138, MATCH('Staging Table'!$A61, LS_previous!$B$4:$B$138, 0), MATCH(AG$4&amp;AG$5, LS_previous!$D$2:$AY$2&amp;LS_previous!$D$3:$AY$3, 0)),SUM(VLOOKUP($A61, LS_previous!$B$4:$AY$138, LS_previous!Y$149, FALSE), VLOOKUP('Staging Table'!$A61, LS_previous!$B$4:$AY$138,LS_previous!AW$149, FALSE))/2)</f>
        <v>6871.5</v>
      </c>
      <c r="AH61" s="227">
        <f t="array" ref="AH61">IF($G61=0, INDEX(LS_previous!$D$4:$AY$138, MATCH('Staging Table'!$A61, LS_previous!$B$4:$B$138, 0), MATCH(AH$4&amp;AH$5, LS_previous!$D$2:$AY$2&amp;LS_previous!$D$3:$AY$3, 0)),SUM(VLOOKUP($A61, LS_previous!$B$4:$AY$138, LS_previous!Z$149, FALSE), VLOOKUP('Staging Table'!$A61, LS_previous!$B$4:$AY$138,LS_previous!AX$149, FALSE))/2)</f>
        <v>-8332.5</v>
      </c>
      <c r="AI61" s="227">
        <f t="array" ref="AI61">IF($G61=0, INDEX(LS_previous!$D$4:$AY$138, MATCH('Staging Table'!$A61, LS_previous!$B$4:$B$138, 0), MATCH(AI$4&amp;AI$5, LS_previous!$D$2:$AY$2&amp;LS_previous!$D$3:$AY$3, 0)),SUM(VLOOKUP($A61, LS_previous!$B$4:$AY$138, LS_previous!AA$149, FALSE), VLOOKUP('Staging Table'!$A61, LS_previous!$B$4:$AY$138,LS_previous!AY$149, FALSE))/2)</f>
        <v>7882</v>
      </c>
      <c r="AJ61" s="424">
        <f t="array" ref="AJ61">INDEX(Demand_previous!$D$4:$AY$138, MATCH('Staging Table'!$A61, Demand_previous!$B$4:$B$138, 0), MATCH(AJ$4&amp;AJ$5,Demand_previous!$D$2:$AY$2&amp;Demand_previous!$D$3:$AY$3, 0))/1000</f>
        <v>0</v>
      </c>
      <c r="AK61" s="424">
        <f t="array" ref="AK61">INDEX(Demand_previous!$D$4:$AY$138, MATCH('Staging Table'!$A61, Demand_previous!$B$4:$B$138, 0), MATCH(AK$4&amp;AK$5,Demand_previous!$D$2:$AY$2&amp;Demand_previous!$D$3:$AY$3, 0))/1000</f>
        <v>0</v>
      </c>
      <c r="AL61" s="424">
        <f t="array" ref="AL61">INDEX(Demand_previous!$D$4:$AY$138, MATCH('Staging Table'!$A61, Demand_previous!$B$4:$B$138, 0), MATCH(AL$4&amp;AL$5,Demand_previous!$D$2:$AY$2&amp;Demand_previous!$D$3:$AY$3, 0))/1000</f>
        <v>0</v>
      </c>
      <c r="AM61" s="424">
        <f t="array" ref="AM61">INDEX(Demand_previous!$D$4:$AY$138, MATCH('Staging Table'!$A61, Demand_previous!$B$4:$B$138, 0), MATCH(AM$4&amp;AM$5,Demand_previous!$D$2:$AY$2&amp;Demand_previous!$D$3:$AY$3, 0))/1000</f>
        <v>0</v>
      </c>
      <c r="AN61" s="424">
        <f t="array" ref="AN61">INDEX(Demand_previous!$D$4:$AY$138, MATCH('Staging Table'!$A61, Demand_previous!$B$4:$B$138, 0), MATCH(AN$4&amp;AN$5,Demand_previous!$D$2:$AY$2&amp;Demand_previous!$D$3:$AY$3, 0))/1000</f>
        <v>0</v>
      </c>
      <c r="AO61" s="424">
        <f t="array" ref="AO61">INDEX(Demand_previous!$D$4:$AY$138, MATCH('Staging Table'!$A61, Demand_previous!$B$4:$B$138, 0), MATCH(AO$4&amp;AO$5,Demand_previous!$D$2:$AY$2&amp;Demand_previous!$D$3:$AY$3, 0))/1000</f>
        <v>0</v>
      </c>
      <c r="AP61" s="424">
        <f t="array" ref="AP61">INDEX(Demand_previous!$D$4:$AY$138, MATCH('Staging Table'!$A61, Demand_previous!$B$4:$B$138, 0), MATCH(AP$4&amp;AP$5,Demand_previous!$D$2:$AY$2&amp;Demand_previous!$D$3:$AY$3, 0))/1000</f>
        <v>0</v>
      </c>
      <c r="AQ61" s="424">
        <f t="array" ref="AQ61">INDEX(Demand_previous!$D$4:$AY$138, MATCH('Staging Table'!$A61, Demand_previous!$B$4:$B$138, 0), MATCH(AQ$4&amp;AQ$5,Demand_previous!$D$2:$AY$2&amp;Demand_previous!$D$3:$AY$3, 0))/1000</f>
        <v>0</v>
      </c>
      <c r="AR61" s="424">
        <f t="array" ref="AR61">INDEX(Demand_previous!$D$4:$AY$138, MATCH('Staging Table'!$A61, Demand_previous!$B$4:$B$138, 0), MATCH(AR$4&amp;AR$5,Demand_previous!$D$2:$AY$2&amp;Demand_previous!$D$3:$AY$3, 0))/1000</f>
        <v>0</v>
      </c>
      <c r="AS61" s="424">
        <f t="array" ref="AS61">INDEX(Demand_previous!$D$4:$AY$138, MATCH('Staging Table'!$A61, Demand_previous!$B$4:$B$138, 0), MATCH(AS$4&amp;AS$5,Demand_previous!$D$2:$AY$2&amp;Demand_previous!$D$3:$AY$3, 0))/1000</f>
        <v>0</v>
      </c>
      <c r="AT61" s="424">
        <f t="array" ref="AT61">INDEX(Demand_previous!$D$4:$AY$138, MATCH('Staging Table'!$A61, Demand_previous!$B$4:$B$138, 0), MATCH(AT$4&amp;AT$5,Demand_previous!$D$2:$AY$2&amp;Demand_previous!$D$3:$AY$3, 0))/1000</f>
        <v>0</v>
      </c>
      <c r="AU61" s="424">
        <f t="array" ref="AU61">INDEX(Demand_previous!$D$4:$AY$138, MATCH('Staging Table'!$A61, Demand_previous!$B$4:$B$138, 0), MATCH(AU$4&amp;AU$5,Demand_previous!$D$2:$AY$2&amp;Demand_previous!$D$3:$AY$3, 0))/1000</f>
        <v>0</v>
      </c>
      <c r="AV61" s="227">
        <f>$F61*(VLOOKUP(AV$4, Rates_previous!$G$6:$Q$29, 10, FALSE)+VLOOKUP(AV$4, Rates_previous!$G$6:$Q$29, 11, FALSE))</f>
        <v>77061.04862487143</v>
      </c>
      <c r="AW61" s="227">
        <f>$F61*(VLOOKUP(AW$4, Rates_previous!$G$6:$Q$29, 10, FALSE)+VLOOKUP(AW$4, Rates_previous!$G$6:$Q$29, 11, FALSE))</f>
        <v>95241.599150254508</v>
      </c>
      <c r="AX61" s="227">
        <f>$F61*(VLOOKUP(AX$4, Rates_previous!$G$6:$Q$29, 10, FALSE)+VLOOKUP(AX$4, Rates_previous!$G$6:$Q$29, 11, FALSE))</f>
        <v>94097.861458914835</v>
      </c>
      <c r="AY61" s="227">
        <f>$F61*(VLOOKUP(AY$4, Rates_previous!$G$6:$Q$29, 10, FALSE)+VLOOKUP(AY$4, Rates_previous!$G$6:$Q$29, 11, FALSE))</f>
        <v>80397.6536091546</v>
      </c>
      <c r="AZ61" s="227">
        <f>$F61*(VLOOKUP(AZ$4, Rates_previous!$G$6:$Q$29, 10, FALSE)+VLOOKUP(AZ$4, Rates_previous!$G$6:$Q$29, 11, FALSE))</f>
        <v>65910.481134346468</v>
      </c>
      <c r="BA61" s="227">
        <f>$F61*(VLOOKUP(BA$4, Rates_previous!$G$6:$Q$29, 10, FALSE)+VLOOKUP(BA$4, Rates_previous!$G$6:$Q$29, 11, FALSE))</f>
        <v>78035.615572206254</v>
      </c>
      <c r="BB61" s="227">
        <f>$F61*(VLOOKUP(BB$4, Rates_previous!$G$6:$Q$29, 10, FALSE)+VLOOKUP(BB$4, Rates_previous!$G$6:$Q$29, 11, FALSE))</f>
        <v>75003.577537685444</v>
      </c>
      <c r="BC61" s="227">
        <f>$F61*(VLOOKUP(BC$4, Rates_previous!$G$6:$Q$29, 10, FALSE)+VLOOKUP(BC$4, Rates_previous!$G$6:$Q$29, 11, FALSE))</f>
        <v>110062.44257733348</v>
      </c>
      <c r="BD61" s="227">
        <f>$F61*(VLOOKUP(BD$4, Rates_previous!$G$6:$Q$29, 10, FALSE)+VLOOKUP(BD$4, Rates_previous!$G$6:$Q$29, 11, FALSE))</f>
        <v>86836.358207699697</v>
      </c>
      <c r="BE61" s="227">
        <f>$F61*(VLOOKUP(BE$4, Rates_previous!$G$6:$Q$29, 10, FALSE)+VLOOKUP(BE$4, Rates_previous!$G$6:$Q$29, 11, FALSE))</f>
        <v>76249.611162132263</v>
      </c>
      <c r="BF61" s="227">
        <f>$F61*(VLOOKUP(BF$4, Rates_previous!$G$6:$Q$29, 10, FALSE)+VLOOKUP(BF$4, Rates_previous!$G$6:$Q$29, 11, FALSE))</f>
        <v>84449.496459599017</v>
      </c>
      <c r="BG61" s="227">
        <f>$F61*(VLOOKUP(BG$4, Rates_previous!$G$6:$Q$29, 10, FALSE)+VLOOKUP(BG$4, Rates_previous!$G$6:$Q$29, 11, FALSE))</f>
        <v>76507.885446402783</v>
      </c>
      <c r="BH61" s="229">
        <f>IF($D61=0,IF(C61=0, MAX(BK61 - (VLOOKUP($A61,TOCA_previous!$A$2:$AI$137,MATCH("RHWM 2018",TOCA_previous!$A$2:$AI$2,0),FALSE)*$F$2*TOCA_previous!C58),0),0), 0)</f>
        <v>0</v>
      </c>
      <c r="BI61" s="266">
        <f>VLOOKUP($A61,REP_previous!$A$1:$D$135,MATCH("FY "&amp;$F$1&amp; " Total Refund",REP_previous!$A$1:$D$1,0),0)</f>
        <v>2844268.4545550141</v>
      </c>
      <c r="BJ61" s="241">
        <f>MIN(VLOOKUP($A61,TOCA_previous!$A$2:$AI$137,MATCH("TRL - NLSL - Existing Resource "&amp;$F$1,TOCA_previous!$A$2:$AI$2,0),FALSE)*$F$2,(VLOOKUP($A61,TOCA_previous!$A$2:$AI$137,MATCH("RHWM 2018",TOCA_previous!$A$2:$AI$2,0),FALSE)*$F$2))</f>
        <v>2091458.76</v>
      </c>
      <c r="BK61" s="229">
        <f>SUM(L61:AI61)+(F61*RT1SC!$C$3*$F$2)</f>
        <v>1000568.1455276001</v>
      </c>
      <c r="BL61" s="241">
        <f>VLOOKUP($A61,TOCA_previous!$A$2:$AI$137,MATCH("Above RHWM Not Served with LS "&amp;$F$1,TOCA_previous!$A$2:$AI$2,0),FALSE)*$F$2</f>
        <v>0</v>
      </c>
      <c r="BM61" s="151">
        <f t="shared" si="5"/>
        <v>-1090890.6144723999</v>
      </c>
      <c r="BN61" s="242">
        <f>(VLOOKUP($A61,TOCA_previous!$A$2:$AI$137,MATCH("RHWM 2018",TOCA_previous!$A$2:$AI$2,0),FALSE)*$F$2) - $BJ61</f>
        <v>72848.159999999916</v>
      </c>
      <c r="BO61" s="151">
        <f t="shared" si="6"/>
        <v>0</v>
      </c>
      <c r="BP61" s="243">
        <f t="shared" si="7"/>
        <v>1090890.6144723999</v>
      </c>
      <c r="BQ61" s="237">
        <f t="shared" si="8"/>
        <v>0</v>
      </c>
      <c r="BR61" s="242">
        <f t="shared" si="9"/>
        <v>0</v>
      </c>
      <c r="BS61" s="151">
        <f>VLOOKUP($A61,TOCA_current!$A$2:$AI$137,MATCH(BS$4,TOCA_current!$A$2:$AI$2,0),FALSE)</f>
        <v>3.3895599999999998E-2</v>
      </c>
      <c r="BT61" s="151">
        <f>VLOOKUP($A61,TOCA_current!$A$2:$AI$137,MATCH(BT$4,TOCA_current!$A$2:$AI$2,0),FALSE)</f>
        <v>1.5962E-2</v>
      </c>
      <c r="BU61" s="236">
        <f t="shared" si="10"/>
        <v>1.7933599999999997E-2</v>
      </c>
      <c r="BV61" s="151">
        <f>VLOOKUP($A61,TOCA_current!A57:BG192,MATCH(BV$4,TOCA_current!$A$2:$BG$2,0),FALSE)</f>
        <v>0</v>
      </c>
      <c r="BW61" s="151">
        <f t="shared" si="11"/>
        <v>0</v>
      </c>
      <c r="BX61" s="151">
        <f t="shared" si="12"/>
        <v>0</v>
      </c>
      <c r="BY61" s="226">
        <f>VLOOKUP($A61,IRD!$A$4:$G$139, 7, FALSE)</f>
        <v>0</v>
      </c>
      <c r="BZ61" s="227">
        <f t="array" ref="BZ61">IF($BU61=0, INDEX(LS_current!$D$4:$AY$138, MATCH('Staging Table'!$A61, LS_current!$B$4:$B$138, 0), MATCH(BZ$4&amp;BZ$5, LS_current!$D$2:$AY$2&amp;LS_current!$D$3:$AY$3, 0)),SUM(VLOOKUP($A61, LS_current!$B$4:$AY$138, LS_current!D$148, FALSE), VLOOKUP($A61, LS_current!$B$4:$AY$138,LS_current!D$148, FALSE))/2)</f>
        <v>-1927</v>
      </c>
      <c r="CA61" s="227">
        <f t="array" ref="CA61">IF($BU61=0, INDEX(LS_current!$D$4:$AY$138, MATCH('Staging Table'!$A61, LS_current!$B$4:$B$138, 0), MATCH(CA$4&amp;CA$5, LS_current!$D$2:$AY$2&amp;LS_current!$D$3:$AY$3, 0)),SUM(VLOOKUP($A61, LS_current!$B$4:$AY$138, LS_current!E$148, FALSE), VLOOKUP($A61, LS_current!$B$4:$AY$138,LS_current!E$148, FALSE))/2)</f>
        <v>7626</v>
      </c>
      <c r="CB61" s="227">
        <f t="array" ref="CB61">IF($BU61=0, INDEX(LS_current!$D$4:$AY$138, MATCH('Staging Table'!$A61, LS_current!$B$4:$B$138, 0), MATCH(CB$4&amp;CB$5, LS_current!$D$2:$AY$2&amp;LS_current!$D$3:$AY$3, 0)),SUM(VLOOKUP($A61, LS_current!$B$4:$AY$138, LS_current!F$148, FALSE), VLOOKUP($A61, LS_current!$B$4:$AY$138,LS_current!F$148, FALSE))/2)</f>
        <v>-16823</v>
      </c>
      <c r="CC61" s="227">
        <f t="array" ref="CC61">IF($BU61=0, INDEX(LS_current!$D$4:$AY$138, MATCH('Staging Table'!$A61, LS_current!$B$4:$B$138, 0), MATCH(CC$4&amp;CC$5, LS_current!$D$2:$AY$2&amp;LS_current!$D$3:$AY$3, 0)),SUM(VLOOKUP($A61, LS_current!$B$4:$AY$138, LS_current!G$148, FALSE), VLOOKUP($A61, LS_current!$B$4:$AY$138,LS_current!G$148, FALSE))/2)</f>
        <v>-1321</v>
      </c>
      <c r="CD61" s="227">
        <f t="array" ref="CD61">IF($BU61=0, INDEX(LS_current!$D$4:$AY$138, MATCH('Staging Table'!$A61, LS_current!$B$4:$B$138, 0), MATCH(CD$4&amp;CD$5, LS_current!$D$2:$AY$2&amp;LS_current!$D$3:$AY$3, 0)),SUM(VLOOKUP($A61, LS_current!$B$4:$AY$138, LS_current!H$148, FALSE), VLOOKUP($A61, LS_current!$B$4:$AY$138,LS_current!H$148, FALSE))/2)</f>
        <v>-5264</v>
      </c>
      <c r="CE61" s="227">
        <f t="array" ref="CE61">IF($BU61=0, INDEX(LS_current!$D$4:$AY$138, MATCH('Staging Table'!$A61, LS_current!$B$4:$B$138, 0), MATCH(CE$4&amp;CE$5, LS_current!$D$2:$AY$2&amp;LS_current!$D$3:$AY$3, 0)),SUM(VLOOKUP($A61, LS_current!$B$4:$AY$138, LS_current!I$148, FALSE), VLOOKUP($A61, LS_current!$B$4:$AY$138,LS_current!I$148, FALSE))/2)</f>
        <v>9815</v>
      </c>
      <c r="CF61" s="227">
        <f t="array" ref="CF61">IF($BU61=0, INDEX(LS_current!$D$4:$AY$138, MATCH('Staging Table'!$A61, LS_current!$B$4:$B$138, 0), MATCH(CF$4&amp;CF$5, LS_current!$D$2:$AY$2&amp;LS_current!$D$3:$AY$3, 0)),SUM(VLOOKUP($A61, LS_current!$B$4:$AY$138, LS_current!J$148, FALSE), VLOOKUP($A61, LS_current!$B$4:$AY$138,LS_current!J$148, FALSE))/2)</f>
        <v>9096</v>
      </c>
      <c r="CG61" s="227">
        <f t="array" ref="CG61">IF($BU61=0, INDEX(LS_current!$D$4:$AY$138, MATCH('Staging Table'!$A61, LS_current!$B$4:$B$138, 0), MATCH(CG$4&amp;CG$5, LS_current!$D$2:$AY$2&amp;LS_current!$D$3:$AY$3, 0)),SUM(VLOOKUP($A61, LS_current!$B$4:$AY$138, LS_current!K$148, FALSE), VLOOKUP($A61, LS_current!$B$4:$AY$138,LS_current!K$148, FALSE))/2)</f>
        <v>16731</v>
      </c>
      <c r="CH61" s="227">
        <f t="array" ref="CH61">IF($BU61=0, INDEX(LS_current!$D$4:$AY$138, MATCH('Staging Table'!$A61, LS_current!$B$4:$B$138, 0), MATCH(CH$4&amp;CH$5, LS_current!$D$2:$AY$2&amp;LS_current!$D$3:$AY$3, 0)),SUM(VLOOKUP($A61, LS_current!$B$4:$AY$138, LS_current!L$148, FALSE), VLOOKUP($A61, LS_current!$B$4:$AY$138,LS_current!L$148, FALSE))/2)</f>
        <v>8328</v>
      </c>
      <c r="CI61" s="227">
        <f t="array" ref="CI61">IF($BU61=0, INDEX(LS_current!$D$4:$AY$138, MATCH('Staging Table'!$A61, LS_current!$B$4:$B$138, 0), MATCH(CI$4&amp;CI$5, LS_current!$D$2:$AY$2&amp;LS_current!$D$3:$AY$3, 0)),SUM(VLOOKUP($A61, LS_current!$B$4:$AY$138, LS_current!M$148, FALSE), VLOOKUP($A61, LS_current!$B$4:$AY$138,LS_current!M$148, FALSE))/2)</f>
        <v>12992</v>
      </c>
      <c r="CJ61" s="227">
        <f t="array" ref="CJ61">IF($BU61=0, INDEX(LS_current!$D$4:$AY$138, MATCH('Staging Table'!$A61, LS_current!$B$4:$B$138, 0), MATCH(CJ$4&amp;CJ$5, LS_current!$D$2:$AY$2&amp;LS_current!$D$3:$AY$3, 0)),SUM(VLOOKUP($A61, LS_current!$B$4:$AY$138, LS_current!N$148, FALSE), VLOOKUP($A61, LS_current!$B$4:$AY$138,LS_current!N$148, FALSE))/2)</f>
        <v>1097</v>
      </c>
      <c r="CK61" s="227">
        <f t="array" ref="CK61">IF($BU61=0, INDEX(LS_current!$D$4:$AY$138, MATCH('Staging Table'!$A61, LS_current!$B$4:$B$138, 0), MATCH(CK$4&amp;CK$5, LS_current!$D$2:$AY$2&amp;LS_current!$D$3:$AY$3, 0)),SUM(VLOOKUP($A61, LS_current!$B$4:$AY$138, LS_current!O$148, FALSE), VLOOKUP($A61, LS_current!$B$4:$AY$138,LS_current!O$148, FALSE))/2)</f>
        <v>11398</v>
      </c>
      <c r="CL61" s="227">
        <f t="array" ref="CL61">IF($BU61=0, INDEX(LS_current!$D$4:$AY$138, MATCH('Staging Table'!$A61, LS_current!$B$4:$B$138, 0), MATCH(CL$4&amp;CL$5, LS_current!$D$2:$AY$2&amp;LS_current!$D$3:$AY$3, 0)),SUM(VLOOKUP($A61, LS_current!$B$4:$AY$138, LS_current!P$148, FALSE), VLOOKUP($A61, LS_current!$B$4:$AY$138,LS_current!P$148, FALSE))/2)</f>
        <v>6073</v>
      </c>
      <c r="CM61" s="227">
        <f t="array" ref="CM61">IF($BU61=0, INDEX(LS_current!$D$4:$AY$138, MATCH('Staging Table'!$A61, LS_current!$B$4:$B$138, 0), MATCH(CM$4&amp;CM$5, LS_current!$D$2:$AY$2&amp;LS_current!$D$3:$AY$3, 0)),SUM(VLOOKUP($A61, LS_current!$B$4:$AY$138, LS_current!Q$148, FALSE), VLOOKUP($A61, LS_current!$B$4:$AY$138,LS_current!Q$148, FALSE))/2)</f>
        <v>10073</v>
      </c>
      <c r="CN61" s="227">
        <f t="array" ref="CN61">IF($BU61=0, INDEX(LS_current!$D$4:$AY$138, MATCH('Staging Table'!$A61, LS_current!$B$4:$B$138, 0), MATCH(CN$4&amp;CN$5, LS_current!$D$2:$AY$2&amp;LS_current!$D$3:$AY$3, 0)),SUM(VLOOKUP($A61, LS_current!$B$4:$AY$138, LS_current!R$148, FALSE), VLOOKUP($A61, LS_current!$B$4:$AY$138,LS_current!R$148, FALSE))/2)</f>
        <v>-20574</v>
      </c>
      <c r="CO61" s="227">
        <f t="array" ref="CO61">IF($BU61=0, INDEX(LS_current!$D$4:$AY$138, MATCH('Staging Table'!$A61, LS_current!$B$4:$B$138, 0), MATCH(CO$4&amp;CO$5, LS_current!$D$2:$AY$2&amp;LS_current!$D$3:$AY$3, 0)),SUM(VLOOKUP($A61, LS_current!$B$4:$AY$138, LS_current!S$148, FALSE), VLOOKUP($A61, LS_current!$B$4:$AY$138,LS_current!S$148, FALSE))/2)</f>
        <v>-36</v>
      </c>
      <c r="CP61" s="227">
        <f t="array" ref="CP61">IF($BU61=0, INDEX(LS_current!$D$4:$AY$138, MATCH('Staging Table'!$A61, LS_current!$B$4:$B$138, 0), MATCH(CP$4&amp;CP$5, LS_current!$D$2:$AY$2&amp;LS_current!$D$3:$AY$3, 0)),SUM(VLOOKUP($A61, LS_current!$B$4:$AY$138, LS_current!T$148, FALSE), VLOOKUP($A61, LS_current!$B$4:$AY$138,LS_current!T$148, FALSE))/2)</f>
        <v>-33261</v>
      </c>
      <c r="CQ61" s="227">
        <f t="array" ref="CQ61">IF($BU61=0, INDEX(LS_current!$D$4:$AY$138, MATCH('Staging Table'!$A61, LS_current!$B$4:$B$138, 0), MATCH(CQ$4&amp;CQ$5, LS_current!$D$2:$AY$2&amp;LS_current!$D$3:$AY$3, 0)),SUM(VLOOKUP($A61, LS_current!$B$4:$AY$138, LS_current!U$148, FALSE), VLOOKUP($A61, LS_current!$B$4:$AY$138,LS_current!U$148, FALSE))/2)</f>
        <v>-10888</v>
      </c>
      <c r="CR61" s="227">
        <f t="array" ref="CR61">IF($BU61=0, INDEX(LS_current!$D$4:$AY$138, MATCH('Staging Table'!$A61, LS_current!$B$4:$B$138, 0), MATCH(CR$4&amp;CR$5, LS_current!$D$2:$AY$2&amp;LS_current!$D$3:$AY$3, 0)),SUM(VLOOKUP($A61, LS_current!$B$4:$AY$138, LS_current!V$148, FALSE), VLOOKUP($A61, LS_current!$B$4:$AY$138,LS_current!V$148, FALSE))/2)</f>
        <v>-14349</v>
      </c>
      <c r="CS61" s="227">
        <f t="array" ref="CS61">IF($BU61=0, INDEX(LS_current!$D$4:$AY$138, MATCH('Staging Table'!$A61, LS_current!$B$4:$B$138, 0), MATCH(CS$4&amp;CS$5, LS_current!$D$2:$AY$2&amp;LS_current!$D$3:$AY$3, 0)),SUM(VLOOKUP($A61, LS_current!$B$4:$AY$138, LS_current!W$148, FALSE), VLOOKUP($A61, LS_current!$B$4:$AY$138,LS_current!W$148, FALSE))/2)</f>
        <v>8411</v>
      </c>
      <c r="CT61" s="227">
        <f t="array" ref="CT61">IF($BU61=0, INDEX(LS_current!$D$4:$AY$138, MATCH('Staging Table'!$A61, LS_current!$B$4:$B$138, 0), MATCH(CT$4&amp;CT$5, LS_current!$D$2:$AY$2&amp;LS_current!$D$3:$AY$3, 0)),SUM(VLOOKUP($A61, LS_current!$B$4:$AY$138, LS_current!X$148, FALSE), VLOOKUP($A61, LS_current!$B$4:$AY$138,LS_current!X$148, FALSE))/2)</f>
        <v>-11457</v>
      </c>
      <c r="CU61" s="227">
        <f t="array" ref="CU61">IF($BU61=0, INDEX(LS_current!$D$4:$AY$138, MATCH('Staging Table'!$A61, LS_current!$B$4:$B$138, 0), MATCH(CU$4&amp;CU$5, LS_current!$D$2:$AY$2&amp;LS_current!$D$3:$AY$3, 0)),SUM(VLOOKUP($A61, LS_current!$B$4:$AY$138, LS_current!Y$148, FALSE), VLOOKUP($A61, LS_current!$B$4:$AY$138,LS_current!Y$148, FALSE))/2)</f>
        <v>9714</v>
      </c>
      <c r="CV61" s="227">
        <f t="array" ref="CV61">IF($BU61=0, INDEX(LS_current!$D$4:$AY$138, MATCH('Staging Table'!$A61, LS_current!$B$4:$B$138, 0), MATCH(CV$4&amp;CV$5, LS_current!$D$2:$AY$2&amp;LS_current!$D$3:$AY$3, 0)),SUM(VLOOKUP($A61, LS_current!$B$4:$AY$138, LS_current!Z$148, FALSE), VLOOKUP($A61, LS_current!$B$4:$AY$138,LS_current!Z$148, FALSE))/2)</f>
        <v>-6392</v>
      </c>
      <c r="CW61" s="227">
        <f t="array" ref="CW61">IF($BU61=0, INDEX(LS_current!$D$4:$AY$138, MATCH('Staging Table'!$A61, LS_current!$B$4:$B$138, 0), MATCH(CW$4&amp;CW$5, LS_current!$D$2:$AY$2&amp;LS_current!$D$3:$AY$3, 0)),SUM(VLOOKUP($A61, LS_current!$B$4:$AY$138, LS_current!AA$148, FALSE), VLOOKUP($A61, LS_current!$B$4:$AY$138,LS_current!AA$148, FALSE))/2)</f>
        <v>6282</v>
      </c>
      <c r="CX61" s="229">
        <f t="array" ref="CX61">INDEX(Demand_current!$D$4:$AY$138, MATCH($A61, Demand_current!$B$4:$B$138, 0), MATCH(CX$4&amp;CX$5,Demand_current!$D$2:$AY$2&amp;Demand_current!$D$3:$AY$3, 0))/1000</f>
        <v>0</v>
      </c>
      <c r="CY61" s="229">
        <f t="array" ref="CY61">INDEX(Demand_current!$D$4:$AY$138, MATCH($A61, Demand_current!$B$4:$B$138, 0), MATCH(CY$4&amp;CY$5,Demand_current!$D$2:$AY$2&amp;Demand_current!$D$3:$AY$3, 0))/1000</f>
        <v>0</v>
      </c>
      <c r="CZ61" s="229">
        <f t="array" ref="CZ61">INDEX(Demand_current!$D$4:$AY$138, MATCH($A61, Demand_current!$B$4:$B$138, 0), MATCH(CZ$4&amp;CZ$5,Demand_current!$D$2:$AY$2&amp;Demand_current!$D$3:$AY$3, 0))/1000</f>
        <v>0</v>
      </c>
      <c r="DA61" s="229">
        <f t="array" ref="DA61">INDEX(Demand_current!$D$4:$AY$138, MATCH($A61, Demand_current!$B$4:$B$138, 0), MATCH(DA$4&amp;DA$5,Demand_current!$D$2:$AY$2&amp;Demand_current!$D$3:$AY$3, 0))/1000</f>
        <v>0</v>
      </c>
      <c r="DB61" s="229">
        <f t="array" ref="DB61">INDEX(Demand_current!$D$4:$AY$138, MATCH($A61, Demand_current!$B$4:$B$138, 0), MATCH(DB$4&amp;DB$5,Demand_current!$D$2:$AY$2&amp;Demand_current!$D$3:$AY$3, 0))/1000</f>
        <v>0</v>
      </c>
      <c r="DC61" s="229">
        <f t="array" ref="DC61">INDEX(Demand_current!$D$4:$AY$138, MATCH($A61, Demand_current!$B$4:$B$138, 0), MATCH(DC$4&amp;DC$5,Demand_current!$D$2:$AY$2&amp;Demand_current!$D$3:$AY$3, 0))/1000</f>
        <v>0</v>
      </c>
      <c r="DD61" s="229">
        <f t="array" ref="DD61">INDEX(Demand_current!$D$4:$AY$138, MATCH($A61, Demand_current!$B$4:$B$138, 0), MATCH(DD$4&amp;DD$5,Demand_current!$D$2:$AY$2&amp;Demand_current!$D$3:$AY$3, 0))/1000</f>
        <v>0</v>
      </c>
      <c r="DE61" s="229">
        <f t="array" ref="DE61">INDEX(Demand_current!$D$4:$AY$138, MATCH($A61, Demand_current!$B$4:$B$138, 0), MATCH(DE$4&amp;DE$5,Demand_current!$D$2:$AY$2&amp;Demand_current!$D$3:$AY$3, 0))/1000</f>
        <v>0</v>
      </c>
      <c r="DF61" s="229">
        <f t="array" ref="DF61">INDEX(Demand_current!$D$4:$AY$138, MATCH($A61, Demand_current!$B$4:$B$138, 0), MATCH(DF$4&amp;DF$5,Demand_current!$D$2:$AY$2&amp;Demand_current!$D$3:$AY$3, 0))/1000</f>
        <v>0</v>
      </c>
      <c r="DG61" s="229">
        <f t="array" ref="DG61">INDEX(Demand_current!$D$4:$AY$138, MATCH($A61, Demand_current!$B$4:$B$138, 0), MATCH(DG$4&amp;DG$5,Demand_current!$D$2:$AY$2&amp;Demand_current!$D$3:$AY$3, 0))/1000</f>
        <v>0</v>
      </c>
      <c r="DH61" s="229">
        <f t="array" ref="DH61">INDEX(Demand_current!$D$4:$AY$138, MATCH($A61, Demand_current!$B$4:$B$138, 0), MATCH(DH$4&amp;DH$5,Demand_current!$D$2:$AY$2&amp;Demand_current!$D$3:$AY$3, 0))/1000</f>
        <v>0</v>
      </c>
      <c r="DI61" s="229">
        <f t="array" ref="DI61">INDEX(Demand_current!$D$4:$AY$138, MATCH($A61, Demand_current!$B$4:$B$138, 0), MATCH(DI$4&amp;DI$5,Demand_current!$D$2:$AY$2&amp;Demand_current!$D$3:$AY$3, 0))/1000</f>
        <v>0</v>
      </c>
      <c r="DJ61" s="227">
        <f>$BT61*(VLOOKUP(DJ$4, Rates_current!$G$6:$Q$29, 10, FALSE)+VLOOKUP(DJ$4, Rates_current!$G$6:$Q$29, 11, FALSE))</f>
        <v>73701.617082551995</v>
      </c>
      <c r="DK61" s="227">
        <f>$BT61*(VLOOKUP(DK$4, Rates_current!$G$6:$Q$29, 10, FALSE)+VLOOKUP(DK$4, Rates_current!$G$6:$Q$29, 11, FALSE))</f>
        <v>93624.045360917997</v>
      </c>
      <c r="DL61" s="227">
        <f>$BT61*(VLOOKUP(DL$4, Rates_current!$G$6:$Q$29, 10, FALSE)+VLOOKUP(DL$4, Rates_current!$G$6:$Q$29, 11, FALSE))</f>
        <v>92493.408328552017</v>
      </c>
      <c r="DM61" s="227">
        <f>$BT61*(VLOOKUP(DM$4, Rates_current!$G$6:$Q$29, 10, FALSE)+VLOOKUP(DM$4, Rates_current!$G$6:$Q$29, 11, FALSE))</f>
        <v>77098.889352552011</v>
      </c>
      <c r="DN61" s="227">
        <f>$BT61*(VLOOKUP(DN$4, Rates_current!$G$6:$Q$29, 10, FALSE)+VLOOKUP(DN$4, Rates_current!$G$6:$Q$29, 11, FALSE))</f>
        <v>69843.595361600004</v>
      </c>
      <c r="DO61" s="227">
        <f>$BT61*(VLOOKUP(DO$4, Rates_current!$G$6:$Q$29, 10, FALSE)+VLOOKUP(DO$4, Rates_current!$G$6:$Q$29, 11, FALSE))</f>
        <v>77688.266106394003</v>
      </c>
      <c r="DP61" s="227">
        <f>$BT61*(VLOOKUP(DP$4, Rates_current!$G$6:$Q$29, 10, FALSE)+VLOOKUP(DP$4, Rates_current!$G$6:$Q$29, 11, FALSE))</f>
        <v>63253.870097760002</v>
      </c>
      <c r="DQ61" s="227">
        <f>$BT61*(VLOOKUP(DQ$4, Rates_current!$G$6:$Q$29, 10, FALSE)+VLOOKUP(DQ$4, Rates_current!$G$6:$Q$29, 11, FALSE))</f>
        <v>85307.276023552011</v>
      </c>
      <c r="DR61" s="227">
        <f>$BT61*(VLOOKUP(DR$4, Rates_current!$G$6:$Q$29, 10, FALSE)+VLOOKUP(DR$4, Rates_current!$G$6:$Q$29, 11, FALSE))</f>
        <v>108846.28233676001</v>
      </c>
      <c r="DS61" s="227">
        <f>$BT61*(VLOOKUP(DS$4, Rates_current!$G$6:$Q$29, 10, FALSE)+VLOOKUP(DS$4, Rates_current!$G$6:$Q$29, 11, FALSE))</f>
        <v>85338.936650552016</v>
      </c>
      <c r="DT61" s="227">
        <f>$BT61*(VLOOKUP(DT$4, Rates_current!$G$6:$Q$29, 10, FALSE)+VLOOKUP(DT$4, Rates_current!$G$6:$Q$29, 11, FALSE))</f>
        <v>83103.131329552009</v>
      </c>
      <c r="DU61" s="227">
        <f>$BT61*(VLOOKUP(DU$4, Rates_current!$G$6:$Q$29, 10, FALSE)+VLOOKUP(DU$4, Rates_current!$G$6:$Q$29, 11, FALSE))</f>
        <v>74608.933619760006</v>
      </c>
      <c r="DV61" s="229">
        <f>IF(D61=0,IF(C61=0,MAX(0,DY61 - (VLOOKUP($A61,TOCA_current!$A$2:$AI$137,MATCH("RHWM 2020",TOCA_current!$A$2:$AI$2,0),FALSE)*$BT$2)), 0),0)</f>
        <v>0</v>
      </c>
      <c r="DW61" s="266">
        <f>VLOOKUP($A61,REP_current!$A$1:$D$135,MATCH("FY "&amp;$BT$1&amp; " Total Refund",REP_current!$A$1:$D$1,0),0)</f>
        <v>0</v>
      </c>
      <c r="DX61" s="295">
        <f>MIN(VLOOKUP($A61,TOCA_current!$A$2:$AI$137,MATCH("TRL - NLSL - Existing Resource "&amp;$BT$1,TOCA_current!$A$2:$AI$2,0),FALSE)*$BT$2, VLOOKUP($A61,TOCA_current!$A$2:$AI$137,MATCH("RHWM 2020",TOCA_current!$A$2:$AI$2,0),FALSE)*$BT$2)</f>
        <v>2091470.4</v>
      </c>
      <c r="DY61" s="240">
        <f>SUM(BZ61:CW61)+(BT61*RT1SC!$C$4*$BT$2)</f>
        <v>980252.28861849604</v>
      </c>
      <c r="DZ61" s="271">
        <f>VLOOKUP($A61,TOCA_current!$A$2:$AI$137,MATCH("Above RHWM Not Served with LS "&amp;$BT$1,TOCA_current!$A$2:$AI$2,0),FALSE)*$BT$2</f>
        <v>0</v>
      </c>
      <c r="EA61" s="244">
        <f t="shared" si="13"/>
        <v>-1111218.1113815038</v>
      </c>
      <c r="EB61" s="295">
        <f>(VLOOKUP($A61,TOCA_current!$A$2:$AI$137,MATCH("RHWM 2020",TOCA_current!$A$2:$AI$2,0),FALSE)*$BT$2) - $DX61</f>
        <v>102491.71200000029</v>
      </c>
      <c r="EC61" s="240">
        <f t="shared" si="14"/>
        <v>0</v>
      </c>
      <c r="ED61" s="240">
        <f t="shared" si="15"/>
        <v>1111218.1113815038</v>
      </c>
      <c r="EE61" s="240">
        <f t="shared" si="16"/>
        <v>0</v>
      </c>
      <c r="EF61" s="240">
        <f t="shared" si="17"/>
        <v>0</v>
      </c>
    </row>
    <row r="62" spans="1:136">
      <c r="A62" s="166">
        <v>10172</v>
      </c>
      <c r="B62" s="167" t="s">
        <v>63</v>
      </c>
      <c r="C62" s="240">
        <v>0</v>
      </c>
      <c r="D62" s="240">
        <v>0</v>
      </c>
      <c r="E62" s="150">
        <f>VLOOKUP($A62,TOCA_previous!$A$2:$AI$137,MATCH(E$4,TOCA_previous!$A$2:$AI$2,0),FALSE)</f>
        <v>7.9529999999999998E-4</v>
      </c>
      <c r="F62" s="151">
        <f>VLOOKUP($A62,TOCA_previous!$A$2:$AI$137,MATCH(F$4,TOCA_previous!$A$2:$AI$2,0),FALSE)</f>
        <v>7.9529999999999998E-4</v>
      </c>
      <c r="G62" s="151">
        <f t="shared" si="2"/>
        <v>0</v>
      </c>
      <c r="H62" s="151">
        <f>VLOOKUP($A62,TOCA_previous!$A$2:$AI$137,MATCH(H$4,TOCA_previous!$A$2:$AI$2,0),FALSE)</f>
        <v>0</v>
      </c>
      <c r="I62" s="151">
        <f t="shared" si="3"/>
        <v>0</v>
      </c>
      <c r="J62" s="151">
        <f t="shared" si="4"/>
        <v>0</v>
      </c>
      <c r="K62" s="226">
        <f>VLOOKUP(A62, IRD!$A$5:$C$139, 3, FALSE)</f>
        <v>0</v>
      </c>
      <c r="L62" s="227">
        <f t="array" ref="L62">IF($G62=0, INDEX(LS_previous!$D$4:$AY$138, MATCH('Staging Table'!$A62, LS_previous!$B$4:$B$138, 0), MATCH(L$4&amp;L$5, LS_previous!$D$2:$AY$2&amp;LS_previous!$D$3:$AY$3, 0)),SUM(VLOOKUP($A62, LS_previous!$B$4:$AY$138, LS_previous!D$149, FALSE), VLOOKUP('Staging Table'!$A62, LS_previous!$B$4:$AY$138,LS_previous!AB$149, FALSE))/2)</f>
        <v>-50</v>
      </c>
      <c r="M62" s="227">
        <f t="array" ref="M62">IF($G62=0, INDEX(LS_previous!$D$4:$AY$138, MATCH('Staging Table'!$A62, LS_previous!$B$4:$B$138, 0), MATCH(M$4&amp;M$5, LS_previous!$D$2:$AY$2&amp;LS_previous!$D$3:$AY$3, 0)),SUM(VLOOKUP($A62, LS_previous!$B$4:$AY$138, LS_previous!E$149, FALSE), VLOOKUP('Staging Table'!$A62, LS_previous!$B$4:$AY$138,LS_previous!AC$149, FALSE))/2)</f>
        <v>118</v>
      </c>
      <c r="N62" s="227">
        <f t="array" ref="N62">IF($G62=0, INDEX(LS_previous!$D$4:$AY$138, MATCH('Staging Table'!$A62, LS_previous!$B$4:$B$138, 0), MATCH(N$4&amp;N$5, LS_previous!$D$2:$AY$2&amp;LS_previous!$D$3:$AY$3, 0)),SUM(VLOOKUP($A62, LS_previous!$B$4:$AY$138, LS_previous!F$149, FALSE), VLOOKUP('Staging Table'!$A62, LS_previous!$B$4:$AY$138,LS_previous!AD$149, FALSE))/2)</f>
        <v>-624</v>
      </c>
      <c r="O62" s="227">
        <f t="array" ref="O62">IF($G62=0, INDEX(LS_previous!$D$4:$AY$138, MATCH('Staging Table'!$A62, LS_previous!$B$4:$B$138, 0), MATCH(O$4&amp;O$5, LS_previous!$D$2:$AY$2&amp;LS_previous!$D$3:$AY$3, 0)),SUM(VLOOKUP($A62, LS_previous!$B$4:$AY$138, LS_previous!G$149, FALSE), VLOOKUP('Staging Table'!$A62, LS_previous!$B$4:$AY$138,LS_previous!AE$149, FALSE))/2)</f>
        <v>-123</v>
      </c>
      <c r="P62" s="227">
        <f t="array" ref="P62">IF($G62=0, INDEX(LS_previous!$D$4:$AY$138, MATCH('Staging Table'!$A62, LS_previous!$B$4:$B$138, 0), MATCH(P$4&amp;P$5, LS_previous!$D$2:$AY$2&amp;LS_previous!$D$3:$AY$3, 0)),SUM(VLOOKUP($A62, LS_previous!$B$4:$AY$138, LS_previous!H$149, FALSE), VLOOKUP('Staging Table'!$A62, LS_previous!$B$4:$AY$138,LS_previous!AF$149, FALSE))/2)</f>
        <v>-178</v>
      </c>
      <c r="Q62" s="227">
        <f t="array" ref="Q62">IF($G62=0, INDEX(LS_previous!$D$4:$AY$138, MATCH('Staging Table'!$A62, LS_previous!$B$4:$B$138, 0), MATCH(Q$4&amp;Q$5, LS_previous!$D$2:$AY$2&amp;LS_previous!$D$3:$AY$3, 0)),SUM(VLOOKUP($A62, LS_previous!$B$4:$AY$138, LS_previous!I$149, FALSE), VLOOKUP('Staging Table'!$A62, LS_previous!$B$4:$AY$138,LS_previous!AG$149, FALSE))/2)</f>
        <v>113</v>
      </c>
      <c r="R62" s="227">
        <f t="array" ref="R62">IF($G62=0, INDEX(LS_previous!$D$4:$AY$138, MATCH('Staging Table'!$A62, LS_previous!$B$4:$B$138, 0), MATCH(R$4&amp;R$5, LS_previous!$D$2:$AY$2&amp;LS_previous!$D$3:$AY$3, 0)),SUM(VLOOKUP($A62, LS_previous!$B$4:$AY$138, LS_previous!J$149, FALSE), VLOOKUP('Staging Table'!$A62, LS_previous!$B$4:$AY$138,LS_previous!AH$149, FALSE))/2)</f>
        <v>282</v>
      </c>
      <c r="S62" s="227">
        <f t="array" ref="S62">IF($G62=0, INDEX(LS_previous!$D$4:$AY$138, MATCH('Staging Table'!$A62, LS_previous!$B$4:$B$138, 0), MATCH(S$4&amp;S$5, LS_previous!$D$2:$AY$2&amp;LS_previous!$D$3:$AY$3, 0)),SUM(VLOOKUP($A62, LS_previous!$B$4:$AY$138, LS_previous!K$149, FALSE), VLOOKUP('Staging Table'!$A62, LS_previous!$B$4:$AY$138,LS_previous!AI$149, FALSE))/2)</f>
        <v>341</v>
      </c>
      <c r="T62" s="227">
        <f t="array" ref="T62">IF($G62=0, INDEX(LS_previous!$D$4:$AY$138, MATCH('Staging Table'!$A62, LS_previous!$B$4:$B$138, 0), MATCH(T$4&amp;T$5, LS_previous!$D$2:$AY$2&amp;LS_previous!$D$3:$AY$3, 0)),SUM(VLOOKUP($A62, LS_previous!$B$4:$AY$138, LS_previous!L$149, FALSE), VLOOKUP('Staging Table'!$A62, LS_previous!$B$4:$AY$138,LS_previous!AJ$149, FALSE))/2)</f>
        <v>360</v>
      </c>
      <c r="U62" s="227">
        <f t="array" ref="U62">IF($G62=0, INDEX(LS_previous!$D$4:$AY$138, MATCH('Staging Table'!$A62, LS_previous!$B$4:$B$138, 0), MATCH(U$4&amp;U$5, LS_previous!$D$2:$AY$2&amp;LS_previous!$D$3:$AY$3, 0)),SUM(VLOOKUP($A62, LS_previous!$B$4:$AY$138, LS_previous!M$149, FALSE), VLOOKUP('Staging Table'!$A62, LS_previous!$B$4:$AY$138,LS_previous!AK$149, FALSE))/2)</f>
        <v>367</v>
      </c>
      <c r="V62" s="227">
        <f t="array" ref="V62">IF($G62=0, INDEX(LS_previous!$D$4:$AY$138, MATCH('Staging Table'!$A62, LS_previous!$B$4:$B$138, 0), MATCH(V$4&amp;V$5, LS_previous!$D$2:$AY$2&amp;LS_previous!$D$3:$AY$3, 0)),SUM(VLOOKUP($A62, LS_previous!$B$4:$AY$138, LS_previous!N$149, FALSE), VLOOKUP('Staging Table'!$A62, LS_previous!$B$4:$AY$138,LS_previous!AL$149, FALSE))/2)</f>
        <v>15</v>
      </c>
      <c r="W62" s="227">
        <f t="array" ref="W62">IF($G62=0, INDEX(LS_previous!$D$4:$AY$138, MATCH('Staging Table'!$A62, LS_previous!$B$4:$B$138, 0), MATCH(W$4&amp;W$5, LS_previous!$D$2:$AY$2&amp;LS_previous!$D$3:$AY$3, 0)),SUM(VLOOKUP($A62, LS_previous!$B$4:$AY$138, LS_previous!O$149, FALSE), VLOOKUP('Staging Table'!$A62, LS_previous!$B$4:$AY$138,LS_previous!AM$149, FALSE))/2)</f>
        <v>134</v>
      </c>
      <c r="X62" s="227">
        <f t="array" ref="X62">IF($G62=0, INDEX(LS_previous!$D$4:$AY$138, MATCH('Staging Table'!$A62, LS_previous!$B$4:$B$138, 0), MATCH(X$4&amp;X$5, LS_previous!$D$2:$AY$2&amp;LS_previous!$D$3:$AY$3, 0)),SUM(VLOOKUP($A62, LS_previous!$B$4:$AY$138, LS_previous!P$149, FALSE), VLOOKUP('Staging Table'!$A62, LS_previous!$B$4:$AY$138,LS_previous!AN$149, FALSE))/2)</f>
        <v>0</v>
      </c>
      <c r="Y62" s="227">
        <f t="array" ref="Y62">IF($G62=0, INDEX(LS_previous!$D$4:$AY$138, MATCH('Staging Table'!$A62, LS_previous!$B$4:$B$138, 0), MATCH(Y$4&amp;Y$5, LS_previous!$D$2:$AY$2&amp;LS_previous!$D$3:$AY$3, 0)),SUM(VLOOKUP($A62, LS_previous!$B$4:$AY$138, LS_previous!Q$149, FALSE), VLOOKUP('Staging Table'!$A62, LS_previous!$B$4:$AY$138,LS_previous!AO$149, FALSE))/2)</f>
        <v>140</v>
      </c>
      <c r="Z62" s="227">
        <f t="array" ref="Z62">IF($G62=0, INDEX(LS_previous!$D$4:$AY$138, MATCH('Staging Table'!$A62, LS_previous!$B$4:$B$138, 0), MATCH(Z$4&amp;Z$5, LS_previous!$D$2:$AY$2&amp;LS_previous!$D$3:$AY$3, 0)),SUM(VLOOKUP($A62, LS_previous!$B$4:$AY$138, LS_previous!R$149, FALSE), VLOOKUP('Staging Table'!$A62, LS_previous!$B$4:$AY$138,LS_previous!AP$149, FALSE))/2)</f>
        <v>-1114</v>
      </c>
      <c r="AA62" s="227">
        <f t="array" ref="AA62">IF($G62=0, INDEX(LS_previous!$D$4:$AY$138, MATCH('Staging Table'!$A62, LS_previous!$B$4:$B$138, 0), MATCH(AA$4&amp;AA$5, LS_previous!$D$2:$AY$2&amp;LS_previous!$D$3:$AY$3, 0)),SUM(VLOOKUP($A62, LS_previous!$B$4:$AY$138, LS_previous!S$149, FALSE), VLOOKUP('Staging Table'!$A62, LS_previous!$B$4:$AY$138,LS_previous!AQ$149, FALSE))/2)</f>
        <v>-440</v>
      </c>
      <c r="AB62" s="227">
        <f t="array" ref="AB62">IF($G62=0, INDEX(LS_previous!$D$4:$AY$138, MATCH('Staging Table'!$A62, LS_previous!$B$4:$B$138, 0), MATCH(AB$4&amp;AB$5, LS_previous!$D$2:$AY$2&amp;LS_previous!$D$3:$AY$3, 0)),SUM(VLOOKUP($A62, LS_previous!$B$4:$AY$138, LS_previous!T$149, FALSE), VLOOKUP('Staging Table'!$A62, LS_previous!$B$4:$AY$138,LS_previous!AR$149, FALSE))/2)</f>
        <v>-458</v>
      </c>
      <c r="AC62" s="227">
        <f t="array" ref="AC62">IF($G62=0, INDEX(LS_previous!$D$4:$AY$138, MATCH('Staging Table'!$A62, LS_previous!$B$4:$B$138, 0), MATCH(AC$4&amp;AC$5, LS_previous!$D$2:$AY$2&amp;LS_previous!$D$3:$AY$3, 0)),SUM(VLOOKUP($A62, LS_previous!$B$4:$AY$138, LS_previous!U$149, FALSE), VLOOKUP('Staging Table'!$A62, LS_previous!$B$4:$AY$138,LS_previous!AS$149, FALSE))/2)</f>
        <v>-80</v>
      </c>
      <c r="AD62" s="227">
        <f t="array" ref="AD62">IF($G62=0, INDEX(LS_previous!$D$4:$AY$138, MATCH('Staging Table'!$A62, LS_previous!$B$4:$B$138, 0), MATCH(AD$4&amp;AD$5, LS_previous!$D$2:$AY$2&amp;LS_previous!$D$3:$AY$3, 0)),SUM(VLOOKUP($A62, LS_previous!$B$4:$AY$138, LS_previous!V$149, FALSE), VLOOKUP('Staging Table'!$A62, LS_previous!$B$4:$AY$138,LS_previous!AT$149, FALSE))/2)</f>
        <v>163</v>
      </c>
      <c r="AE62" s="227">
        <f t="array" ref="AE62">IF($G62=0, INDEX(LS_previous!$D$4:$AY$138, MATCH('Staging Table'!$A62, LS_previous!$B$4:$B$138, 0), MATCH(AE$4&amp;AE$5, LS_previous!$D$2:$AY$2&amp;LS_previous!$D$3:$AY$3, 0)),SUM(VLOOKUP($A62, LS_previous!$B$4:$AY$138, LS_previous!W$149, FALSE), VLOOKUP('Staging Table'!$A62, LS_previous!$B$4:$AY$138,LS_previous!AU$149, FALSE))/2)</f>
        <v>341</v>
      </c>
      <c r="AF62" s="227">
        <f t="array" ref="AF62">IF($G62=0, INDEX(LS_previous!$D$4:$AY$138, MATCH('Staging Table'!$A62, LS_previous!$B$4:$B$138, 0), MATCH(AF$4&amp;AF$5, LS_previous!$D$2:$AY$2&amp;LS_previous!$D$3:$AY$3, 0)),SUM(VLOOKUP($A62, LS_previous!$B$4:$AY$138, LS_previous!X$149, FALSE), VLOOKUP('Staging Table'!$A62, LS_previous!$B$4:$AY$138,LS_previous!AV$149, FALSE))/2)</f>
        <v>-122</v>
      </c>
      <c r="AG62" s="227">
        <f t="array" ref="AG62">IF($G62=0, INDEX(LS_previous!$D$4:$AY$138, MATCH('Staging Table'!$A62, LS_previous!$B$4:$B$138, 0), MATCH(AG$4&amp;AG$5, LS_previous!$D$2:$AY$2&amp;LS_previous!$D$3:$AY$3, 0)),SUM(VLOOKUP($A62, LS_previous!$B$4:$AY$138, LS_previous!Y$149, FALSE), VLOOKUP('Staging Table'!$A62, LS_previous!$B$4:$AY$138,LS_previous!AW$149, FALSE))/2)</f>
        <v>155</v>
      </c>
      <c r="AH62" s="227">
        <f t="array" ref="AH62">IF($G62=0, INDEX(LS_previous!$D$4:$AY$138, MATCH('Staging Table'!$A62, LS_previous!$B$4:$B$138, 0), MATCH(AH$4&amp;AH$5, LS_previous!$D$2:$AY$2&amp;LS_previous!$D$3:$AY$3, 0)),SUM(VLOOKUP($A62, LS_previous!$B$4:$AY$138, LS_previous!Z$149, FALSE), VLOOKUP('Staging Table'!$A62, LS_previous!$B$4:$AY$138,LS_previous!AX$149, FALSE))/2)</f>
        <v>-156</v>
      </c>
      <c r="AI62" s="227">
        <f t="array" ref="AI62">IF($G62=0, INDEX(LS_previous!$D$4:$AY$138, MATCH('Staging Table'!$A62, LS_previous!$B$4:$B$138, 0), MATCH(AI$4&amp;AI$5, LS_previous!$D$2:$AY$2&amp;LS_previous!$D$3:$AY$3, 0)),SUM(VLOOKUP($A62, LS_previous!$B$4:$AY$138, LS_previous!AA$149, FALSE), VLOOKUP('Staging Table'!$A62, LS_previous!$B$4:$AY$138,LS_previous!AY$149, FALSE))/2)</f>
        <v>106</v>
      </c>
      <c r="AJ62" s="424">
        <f t="array" ref="AJ62">INDEX(Demand_previous!$D$4:$AY$138, MATCH('Staging Table'!$A62, Demand_previous!$B$4:$B$138, 0), MATCH(AJ$4&amp;AJ$5,Demand_previous!$D$2:$AY$2&amp;Demand_previous!$D$3:$AY$3, 0))/1000</f>
        <v>0.73599999999999999</v>
      </c>
      <c r="AK62" s="424">
        <f t="array" ref="AK62">INDEX(Demand_previous!$D$4:$AY$138, MATCH('Staging Table'!$A62, Demand_previous!$B$4:$B$138, 0), MATCH(AK$4&amp;AK$5,Demand_previous!$D$2:$AY$2&amp;Demand_previous!$D$3:$AY$3, 0))/1000</f>
        <v>1.07</v>
      </c>
      <c r="AL62" s="424">
        <f t="array" ref="AL62">INDEX(Demand_previous!$D$4:$AY$138, MATCH('Staging Table'!$A62, Demand_previous!$B$4:$B$138, 0), MATCH(AL$4&amp;AL$5,Demand_previous!$D$2:$AY$2&amp;Demand_previous!$D$3:$AY$3, 0))/1000</f>
        <v>0.86</v>
      </c>
      <c r="AM62" s="424">
        <f t="array" ref="AM62">INDEX(Demand_previous!$D$4:$AY$138, MATCH('Staging Table'!$A62, Demand_previous!$B$4:$B$138, 0), MATCH(AM$4&amp;AM$5,Demand_previous!$D$2:$AY$2&amp;Demand_previous!$D$3:$AY$3, 0))/1000</f>
        <v>1.2050000000000001</v>
      </c>
      <c r="AN62" s="424">
        <f t="array" ref="AN62">INDEX(Demand_previous!$D$4:$AY$138, MATCH('Staging Table'!$A62, Demand_previous!$B$4:$B$138, 0), MATCH(AN$4&amp;AN$5,Demand_previous!$D$2:$AY$2&amp;Demand_previous!$D$3:$AY$3, 0))/1000</f>
        <v>1.115</v>
      </c>
      <c r="AO62" s="424">
        <f t="array" ref="AO62">INDEX(Demand_previous!$D$4:$AY$138, MATCH('Staging Table'!$A62, Demand_previous!$B$4:$B$138, 0), MATCH(AO$4&amp;AO$5,Demand_previous!$D$2:$AY$2&amp;Demand_previous!$D$3:$AY$3, 0))/1000</f>
        <v>1.0529999999999999</v>
      </c>
      <c r="AP62" s="424">
        <f t="array" ref="AP62">INDEX(Demand_previous!$D$4:$AY$138, MATCH('Staging Table'!$A62, Demand_previous!$B$4:$B$138, 0), MATCH(AP$4&amp;AP$5,Demand_previous!$D$2:$AY$2&amp;Demand_previous!$D$3:$AY$3, 0))/1000</f>
        <v>0.68799999999999994</v>
      </c>
      <c r="AQ62" s="424">
        <f t="array" ref="AQ62">INDEX(Demand_previous!$D$4:$AY$138, MATCH('Staging Table'!$A62, Demand_previous!$B$4:$B$138, 0), MATCH(AQ$4&amp;AQ$5,Demand_previous!$D$2:$AY$2&amp;Demand_previous!$D$3:$AY$3, 0))/1000</f>
        <v>1.274</v>
      </c>
      <c r="AR62" s="424">
        <f t="array" ref="AR62">INDEX(Demand_previous!$D$4:$AY$138, MATCH('Staging Table'!$A62, Demand_previous!$B$4:$B$138, 0), MATCH(AR$4&amp;AR$5,Demand_previous!$D$2:$AY$2&amp;Demand_previous!$D$3:$AY$3, 0))/1000</f>
        <v>1.002</v>
      </c>
      <c r="AS62" s="424">
        <f t="array" ref="AS62">INDEX(Demand_previous!$D$4:$AY$138, MATCH('Staging Table'!$A62, Demand_previous!$B$4:$B$138, 0), MATCH(AS$4&amp;AS$5,Demand_previous!$D$2:$AY$2&amp;Demand_previous!$D$3:$AY$3, 0))/1000</f>
        <v>0.67</v>
      </c>
      <c r="AT62" s="424">
        <f t="array" ref="AT62">INDEX(Demand_previous!$D$4:$AY$138, MATCH('Staging Table'!$A62, Demand_previous!$B$4:$B$138, 0), MATCH(AT$4&amp;AT$5,Demand_previous!$D$2:$AY$2&amp;Demand_previous!$D$3:$AY$3, 0))/1000</f>
        <v>1.2310000000000001</v>
      </c>
      <c r="AU62" s="424">
        <f t="array" ref="AU62">INDEX(Demand_previous!$D$4:$AY$138, MATCH('Staging Table'!$A62, Demand_previous!$B$4:$B$138, 0), MATCH(AU$4&amp;AU$5,Demand_previous!$D$2:$AY$2&amp;Demand_previous!$D$3:$AY$3, 0))/1000</f>
        <v>0.28499999999999998</v>
      </c>
      <c r="AV62" s="227">
        <f>$F62*(VLOOKUP(AV$4, Rates_previous!$G$6:$Q$29, 10, FALSE)+VLOOKUP(AV$4, Rates_previous!$G$6:$Q$29, 11, FALSE))</f>
        <v>3729.0326724283691</v>
      </c>
      <c r="AW62" s="227">
        <f>$F62*(VLOOKUP(AW$4, Rates_previous!$G$6:$Q$29, 10, FALSE)+VLOOKUP(AW$4, Rates_previous!$G$6:$Q$29, 11, FALSE))</f>
        <v>4608.800961618339</v>
      </c>
      <c r="AX62" s="227">
        <f>$F62*(VLOOKUP(AX$4, Rates_previous!$G$6:$Q$29, 10, FALSE)+VLOOKUP(AX$4, Rates_previous!$G$6:$Q$29, 11, FALSE))</f>
        <v>4553.4547744615129</v>
      </c>
      <c r="AY62" s="227">
        <f>$F62*(VLOOKUP(AY$4, Rates_previous!$G$6:$Q$29, 10, FALSE)+VLOOKUP(AY$4, Rates_previous!$G$6:$Q$29, 11, FALSE))</f>
        <v>3890.4930888567478</v>
      </c>
      <c r="AZ62" s="227">
        <f>$F62*(VLOOKUP(AZ$4, Rates_previous!$G$6:$Q$29, 10, FALSE)+VLOOKUP(AZ$4, Rates_previous!$G$6:$Q$29, 11, FALSE))</f>
        <v>3189.449689452129</v>
      </c>
      <c r="BA62" s="227">
        <f>$F62*(VLOOKUP(BA$4, Rates_previous!$G$6:$Q$29, 10, FALSE)+VLOOKUP(BA$4, Rates_previous!$G$6:$Q$29, 11, FALSE))</f>
        <v>3776.1925807469192</v>
      </c>
      <c r="BB62" s="227">
        <f>$F62*(VLOOKUP(BB$4, Rates_previous!$G$6:$Q$29, 10, FALSE)+VLOOKUP(BB$4, Rates_previous!$G$6:$Q$29, 11, FALSE))</f>
        <v>3629.4703508196667</v>
      </c>
      <c r="BC62" s="227">
        <f>$F62*(VLOOKUP(BC$4, Rates_previous!$G$6:$Q$29, 10, FALSE)+VLOOKUP(BC$4, Rates_previous!$G$6:$Q$29, 11, FALSE))</f>
        <v>5325.9909085338186</v>
      </c>
      <c r="BD62" s="227">
        <f>$F62*(VLOOKUP(BD$4, Rates_previous!$G$6:$Q$29, 10, FALSE)+VLOOKUP(BD$4, Rates_previous!$G$6:$Q$29, 11, FALSE))</f>
        <v>4202.0660591775822</v>
      </c>
      <c r="BE62" s="227">
        <f>$F62*(VLOOKUP(BE$4, Rates_previous!$G$6:$Q$29, 10, FALSE)+VLOOKUP(BE$4, Rates_previous!$G$6:$Q$29, 11, FALSE))</f>
        <v>3689.7667026007775</v>
      </c>
      <c r="BF62" s="227">
        <f>$F62*(VLOOKUP(BF$4, Rates_previous!$G$6:$Q$29, 10, FALSE)+VLOOKUP(BF$4, Rates_previous!$G$6:$Q$29, 11, FALSE))</f>
        <v>4086.5643160522718</v>
      </c>
      <c r="BG62" s="227">
        <f>$F62*(VLOOKUP(BG$4, Rates_previous!$G$6:$Q$29, 10, FALSE)+VLOOKUP(BG$4, Rates_previous!$G$6:$Q$29, 11, FALSE))</f>
        <v>3702.264757865782</v>
      </c>
      <c r="BH62" s="229">
        <f>IF($D62=0,IF(C62=0, MAX(BK62 - (VLOOKUP($A62,TOCA_previous!$A$2:$AI$137,MATCH("RHWM 2018",TOCA_previous!$A$2:$AI$2,0),FALSE)*$F$2*TOCA_previous!C59),0),0), 0)</f>
        <v>0</v>
      </c>
      <c r="BI62" s="266">
        <f>VLOOKUP($A62,REP_previous!$A$1:$D$135,MATCH("FY "&amp;$F$1&amp; " Total Refund",REP_previous!$A$1:$D$1,0),0)</f>
        <v>92012.840640199531</v>
      </c>
      <c r="BJ62" s="241">
        <f>MIN(VLOOKUP($A62,TOCA_previous!$A$2:$AI$137,MATCH("TRL - NLSL - Existing Resource "&amp;$F$1,TOCA_previous!$A$2:$AI$2,0),FALSE)*$F$2,(VLOOKUP($A62,TOCA_previous!$A$2:$AI$137,MATCH("RHWM 2018",TOCA_previous!$A$2:$AI$2,0),FALSE)*$F$2))</f>
        <v>48381.479999999996</v>
      </c>
      <c r="BK62" s="229">
        <f>SUM(L62:AI62)+(F62*RT1SC!$C$3*$F$2)</f>
        <v>47673.547568487993</v>
      </c>
      <c r="BL62" s="241">
        <f>VLOOKUP($A62,TOCA_previous!$A$2:$AI$137,MATCH("Above RHWM Not Served with LS "&amp;$F$1,TOCA_previous!$A$2:$AI$2,0),FALSE)*$F$2</f>
        <v>0</v>
      </c>
      <c r="BM62" s="151">
        <f t="shared" si="5"/>
        <v>-707.93243151200295</v>
      </c>
      <c r="BN62" s="242">
        <f>(VLOOKUP($A62,TOCA_previous!$A$2:$AI$137,MATCH("RHWM 2018",TOCA_previous!$A$2:$AI$2,0),FALSE)*$F$2) - $BJ62</f>
        <v>4213.5599999999977</v>
      </c>
      <c r="BO62" s="151">
        <f t="shared" si="6"/>
        <v>0</v>
      </c>
      <c r="BP62" s="243">
        <f t="shared" si="7"/>
        <v>707.93243151200295</v>
      </c>
      <c r="BQ62" s="237">
        <f t="shared" si="8"/>
        <v>0</v>
      </c>
      <c r="BR62" s="242">
        <f t="shared" si="9"/>
        <v>707.93243151200295</v>
      </c>
      <c r="BS62" s="151">
        <f>VLOOKUP($A62,TOCA_current!$A$2:$AI$137,MATCH(BS$4,TOCA_current!$A$2:$AI$2,0),FALSE)</f>
        <v>7.6869999999999998E-4</v>
      </c>
      <c r="BT62" s="151">
        <f>VLOOKUP($A62,TOCA_current!$A$2:$AI$137,MATCH(BT$4,TOCA_current!$A$2:$AI$2,0),FALSE)</f>
        <v>7.6869999999999998E-4</v>
      </c>
      <c r="BU62" s="236">
        <f t="shared" si="10"/>
        <v>0</v>
      </c>
      <c r="BV62" s="151">
        <f>VLOOKUP($A62,TOCA_current!A58:BG193,MATCH(BV$4,TOCA_current!$A$2:$BG$2,0),FALSE)</f>
        <v>0</v>
      </c>
      <c r="BW62" s="151">
        <f t="shared" si="11"/>
        <v>0</v>
      </c>
      <c r="BX62" s="151">
        <f t="shared" si="12"/>
        <v>0</v>
      </c>
      <c r="BY62" s="226">
        <f>VLOOKUP($A62,IRD!$A$4:$G$139, 7, FALSE)</f>
        <v>0</v>
      </c>
      <c r="BZ62" s="227">
        <f t="array" ref="BZ62">IF($BU62=0, INDEX(LS_current!$D$4:$AY$138, MATCH('Staging Table'!$A62, LS_current!$B$4:$B$138, 0), MATCH(BZ$4&amp;BZ$5, LS_current!$D$2:$AY$2&amp;LS_current!$D$3:$AY$3, 0)),SUM(VLOOKUP($A62, LS_current!$B$4:$AY$138, LS_current!D$148, FALSE), VLOOKUP($A62, LS_current!$B$4:$AY$138,LS_current!D$148, FALSE))/2)</f>
        <v>63</v>
      </c>
      <c r="CA62" s="227">
        <f t="array" ref="CA62">IF($BU62=0, INDEX(LS_current!$D$4:$AY$138, MATCH('Staging Table'!$A62, LS_current!$B$4:$B$138, 0), MATCH(CA$4&amp;CA$5, LS_current!$D$2:$AY$2&amp;LS_current!$D$3:$AY$3, 0)),SUM(VLOOKUP($A62, LS_current!$B$4:$AY$138, LS_current!E$148, FALSE), VLOOKUP($A62, LS_current!$B$4:$AY$138,LS_current!E$148, FALSE))/2)</f>
        <v>185</v>
      </c>
      <c r="CB62" s="227">
        <f t="array" ref="CB62">IF($BU62=0, INDEX(LS_current!$D$4:$AY$138, MATCH('Staging Table'!$A62, LS_current!$B$4:$B$138, 0), MATCH(CB$4&amp;CB$5, LS_current!$D$2:$AY$2&amp;LS_current!$D$3:$AY$3, 0)),SUM(VLOOKUP($A62, LS_current!$B$4:$AY$138, LS_current!F$148, FALSE), VLOOKUP($A62, LS_current!$B$4:$AY$138,LS_current!F$148, FALSE))/2)</f>
        <v>-547</v>
      </c>
      <c r="CC62" s="227">
        <f t="array" ref="CC62">IF($BU62=0, INDEX(LS_current!$D$4:$AY$138, MATCH('Staging Table'!$A62, LS_current!$B$4:$B$138, 0), MATCH(CC$4&amp;CC$5, LS_current!$D$2:$AY$2&amp;LS_current!$D$3:$AY$3, 0)),SUM(VLOOKUP($A62, LS_current!$B$4:$AY$138, LS_current!G$148, FALSE), VLOOKUP($A62, LS_current!$B$4:$AY$138,LS_current!G$148, FALSE))/2)</f>
        <v>-100</v>
      </c>
      <c r="CD62" s="227">
        <f t="array" ref="CD62">IF($BU62=0, INDEX(LS_current!$D$4:$AY$138, MATCH('Staging Table'!$A62, LS_current!$B$4:$B$138, 0), MATCH(CD$4&amp;CD$5, LS_current!$D$2:$AY$2&amp;LS_current!$D$3:$AY$3, 0)),SUM(VLOOKUP($A62, LS_current!$B$4:$AY$138, LS_current!H$148, FALSE), VLOOKUP($A62, LS_current!$B$4:$AY$138,LS_current!H$148, FALSE))/2)</f>
        <v>-107</v>
      </c>
      <c r="CE62" s="227">
        <f t="array" ref="CE62">IF($BU62=0, INDEX(LS_current!$D$4:$AY$138, MATCH('Staging Table'!$A62, LS_current!$B$4:$B$138, 0), MATCH(CE$4&amp;CE$5, LS_current!$D$2:$AY$2&amp;LS_current!$D$3:$AY$3, 0)),SUM(VLOOKUP($A62, LS_current!$B$4:$AY$138, LS_current!I$148, FALSE), VLOOKUP($A62, LS_current!$B$4:$AY$138,LS_current!I$148, FALSE))/2)</f>
        <v>142</v>
      </c>
      <c r="CF62" s="227">
        <f t="array" ref="CF62">IF($BU62=0, INDEX(LS_current!$D$4:$AY$138, MATCH('Staging Table'!$A62, LS_current!$B$4:$B$138, 0), MATCH(CF$4&amp;CF$5, LS_current!$D$2:$AY$2&amp;LS_current!$D$3:$AY$3, 0)),SUM(VLOOKUP($A62, LS_current!$B$4:$AY$138, LS_current!J$148, FALSE), VLOOKUP($A62, LS_current!$B$4:$AY$138,LS_current!J$148, FALSE))/2)</f>
        <v>352</v>
      </c>
      <c r="CG62" s="227">
        <f t="array" ref="CG62">IF($BU62=0, INDEX(LS_current!$D$4:$AY$138, MATCH('Staging Table'!$A62, LS_current!$B$4:$B$138, 0), MATCH(CG$4&amp;CG$5, LS_current!$D$2:$AY$2&amp;LS_current!$D$3:$AY$3, 0)),SUM(VLOOKUP($A62, LS_current!$B$4:$AY$138, LS_current!K$148, FALSE), VLOOKUP($A62, LS_current!$B$4:$AY$138,LS_current!K$148, FALSE))/2)</f>
        <v>448</v>
      </c>
      <c r="CH62" s="227">
        <f t="array" ref="CH62">IF($BU62=0, INDEX(LS_current!$D$4:$AY$138, MATCH('Staging Table'!$A62, LS_current!$B$4:$B$138, 0), MATCH(CH$4&amp;CH$5, LS_current!$D$2:$AY$2&amp;LS_current!$D$3:$AY$3, 0)),SUM(VLOOKUP($A62, LS_current!$B$4:$AY$138, LS_current!L$148, FALSE), VLOOKUP($A62, LS_current!$B$4:$AY$138,LS_current!L$148, FALSE))/2)</f>
        <v>253</v>
      </c>
      <c r="CI62" s="227">
        <f t="array" ref="CI62">IF($BU62=0, INDEX(LS_current!$D$4:$AY$138, MATCH('Staging Table'!$A62, LS_current!$B$4:$B$138, 0), MATCH(CI$4&amp;CI$5, LS_current!$D$2:$AY$2&amp;LS_current!$D$3:$AY$3, 0)),SUM(VLOOKUP($A62, LS_current!$B$4:$AY$138, LS_current!M$148, FALSE), VLOOKUP($A62, LS_current!$B$4:$AY$138,LS_current!M$148, FALSE))/2)</f>
        <v>300</v>
      </c>
      <c r="CJ62" s="227">
        <f t="array" ref="CJ62">IF($BU62=0, INDEX(LS_current!$D$4:$AY$138, MATCH('Staging Table'!$A62, LS_current!$B$4:$B$138, 0), MATCH(CJ$4&amp;CJ$5, LS_current!$D$2:$AY$2&amp;LS_current!$D$3:$AY$3, 0)),SUM(VLOOKUP($A62, LS_current!$B$4:$AY$138, LS_current!N$148, FALSE), VLOOKUP($A62, LS_current!$B$4:$AY$138,LS_current!N$148, FALSE))/2)</f>
        <v>24</v>
      </c>
      <c r="CK62" s="227">
        <f t="array" ref="CK62">IF($BU62=0, INDEX(LS_current!$D$4:$AY$138, MATCH('Staging Table'!$A62, LS_current!$B$4:$B$138, 0), MATCH(CK$4&amp;CK$5, LS_current!$D$2:$AY$2&amp;LS_current!$D$3:$AY$3, 0)),SUM(VLOOKUP($A62, LS_current!$B$4:$AY$138, LS_current!O$148, FALSE), VLOOKUP($A62, LS_current!$B$4:$AY$138,LS_current!O$148, FALSE))/2)</f>
        <v>159</v>
      </c>
      <c r="CL62" s="227">
        <f t="array" ref="CL62">IF($BU62=0, INDEX(LS_current!$D$4:$AY$138, MATCH('Staging Table'!$A62, LS_current!$B$4:$B$138, 0), MATCH(CL$4&amp;CL$5, LS_current!$D$2:$AY$2&amp;LS_current!$D$3:$AY$3, 0)),SUM(VLOOKUP($A62, LS_current!$B$4:$AY$138, LS_current!P$148, FALSE), VLOOKUP($A62, LS_current!$B$4:$AY$138,LS_current!P$148, FALSE))/2)</f>
        <v>417</v>
      </c>
      <c r="CM62" s="227">
        <f t="array" ref="CM62">IF($BU62=0, INDEX(LS_current!$D$4:$AY$138, MATCH('Staging Table'!$A62, LS_current!$B$4:$B$138, 0), MATCH(CM$4&amp;CM$5, LS_current!$D$2:$AY$2&amp;LS_current!$D$3:$AY$3, 0)),SUM(VLOOKUP($A62, LS_current!$B$4:$AY$138, LS_current!Q$148, FALSE), VLOOKUP($A62, LS_current!$B$4:$AY$138,LS_current!Q$148, FALSE))/2)</f>
        <v>306</v>
      </c>
      <c r="CN62" s="227">
        <f t="array" ref="CN62">IF($BU62=0, INDEX(LS_current!$D$4:$AY$138, MATCH('Staging Table'!$A62, LS_current!$B$4:$B$138, 0), MATCH(CN$4&amp;CN$5, LS_current!$D$2:$AY$2&amp;LS_current!$D$3:$AY$3, 0)),SUM(VLOOKUP($A62, LS_current!$B$4:$AY$138, LS_current!R$148, FALSE), VLOOKUP($A62, LS_current!$B$4:$AY$138,LS_current!R$148, FALSE))/2)</f>
        <v>-386</v>
      </c>
      <c r="CO62" s="227">
        <f t="array" ref="CO62">IF($BU62=0, INDEX(LS_current!$D$4:$AY$138, MATCH('Staging Table'!$A62, LS_current!$B$4:$B$138, 0), MATCH(CO$4&amp;CO$5, LS_current!$D$2:$AY$2&amp;LS_current!$D$3:$AY$3, 0)),SUM(VLOOKUP($A62, LS_current!$B$4:$AY$138, LS_current!S$148, FALSE), VLOOKUP($A62, LS_current!$B$4:$AY$138,LS_current!S$148, FALSE))/2)</f>
        <v>49</v>
      </c>
      <c r="CP62" s="227">
        <f t="array" ref="CP62">IF($BU62=0, INDEX(LS_current!$D$4:$AY$138, MATCH('Staging Table'!$A62, LS_current!$B$4:$B$138, 0), MATCH(CP$4&amp;CP$5, LS_current!$D$2:$AY$2&amp;LS_current!$D$3:$AY$3, 0)),SUM(VLOOKUP($A62, LS_current!$B$4:$AY$138, LS_current!T$148, FALSE), VLOOKUP($A62, LS_current!$B$4:$AY$138,LS_current!T$148, FALSE))/2)</f>
        <v>-1111</v>
      </c>
      <c r="CQ62" s="227">
        <f t="array" ref="CQ62">IF($BU62=0, INDEX(LS_current!$D$4:$AY$138, MATCH('Staging Table'!$A62, LS_current!$B$4:$B$138, 0), MATCH(CQ$4&amp;CQ$5, LS_current!$D$2:$AY$2&amp;LS_current!$D$3:$AY$3, 0)),SUM(VLOOKUP($A62, LS_current!$B$4:$AY$138, LS_current!U$148, FALSE), VLOOKUP($A62, LS_current!$B$4:$AY$138,LS_current!U$148, FALSE))/2)</f>
        <v>-467</v>
      </c>
      <c r="CR62" s="227">
        <f t="array" ref="CR62">IF($BU62=0, INDEX(LS_current!$D$4:$AY$138, MATCH('Staging Table'!$A62, LS_current!$B$4:$B$138, 0), MATCH(CR$4&amp;CR$5, LS_current!$D$2:$AY$2&amp;LS_current!$D$3:$AY$3, 0)),SUM(VLOOKUP($A62, LS_current!$B$4:$AY$138, LS_current!V$148, FALSE), VLOOKUP($A62, LS_current!$B$4:$AY$138,LS_current!V$148, FALSE))/2)</f>
        <v>-254</v>
      </c>
      <c r="CS62" s="227">
        <f t="array" ref="CS62">IF($BU62=0, INDEX(LS_current!$D$4:$AY$138, MATCH('Staging Table'!$A62, LS_current!$B$4:$B$138, 0), MATCH(CS$4&amp;CS$5, LS_current!$D$2:$AY$2&amp;LS_current!$D$3:$AY$3, 0)),SUM(VLOOKUP($A62, LS_current!$B$4:$AY$138, LS_current!W$148, FALSE), VLOOKUP($A62, LS_current!$B$4:$AY$138,LS_current!W$148, FALSE))/2)</f>
        <v>338</v>
      </c>
      <c r="CT62" s="227">
        <f t="array" ref="CT62">IF($BU62=0, INDEX(LS_current!$D$4:$AY$138, MATCH('Staging Table'!$A62, LS_current!$B$4:$B$138, 0), MATCH(CT$4&amp;CT$5, LS_current!$D$2:$AY$2&amp;LS_current!$D$3:$AY$3, 0)),SUM(VLOOKUP($A62, LS_current!$B$4:$AY$138, LS_current!X$148, FALSE), VLOOKUP($A62, LS_current!$B$4:$AY$138,LS_current!X$148, FALSE))/2)</f>
        <v>-130</v>
      </c>
      <c r="CU62" s="227">
        <f t="array" ref="CU62">IF($BU62=0, INDEX(LS_current!$D$4:$AY$138, MATCH('Staging Table'!$A62, LS_current!$B$4:$B$138, 0), MATCH(CU$4&amp;CU$5, LS_current!$D$2:$AY$2&amp;LS_current!$D$3:$AY$3, 0)),SUM(VLOOKUP($A62, LS_current!$B$4:$AY$138, LS_current!Y$148, FALSE), VLOOKUP($A62, LS_current!$B$4:$AY$138,LS_current!Y$148, FALSE))/2)</f>
        <v>248</v>
      </c>
      <c r="CV62" s="227">
        <f t="array" ref="CV62">IF($BU62=0, INDEX(LS_current!$D$4:$AY$138, MATCH('Staging Table'!$A62, LS_current!$B$4:$B$138, 0), MATCH(CV$4&amp;CV$5, LS_current!$D$2:$AY$2&amp;LS_current!$D$3:$AY$3, 0)),SUM(VLOOKUP($A62, LS_current!$B$4:$AY$138, LS_current!Z$148, FALSE), VLOOKUP($A62, LS_current!$B$4:$AY$138,LS_current!Z$148, FALSE))/2)</f>
        <v>-90</v>
      </c>
      <c r="CW62" s="227">
        <f t="array" ref="CW62">IF($BU62=0, INDEX(LS_current!$D$4:$AY$138, MATCH('Staging Table'!$A62, LS_current!$B$4:$B$138, 0), MATCH(CW$4&amp;CW$5, LS_current!$D$2:$AY$2&amp;LS_current!$D$3:$AY$3, 0)),SUM(VLOOKUP($A62, LS_current!$B$4:$AY$138, LS_current!AA$148, FALSE), VLOOKUP($A62, LS_current!$B$4:$AY$138,LS_current!AA$148, FALSE))/2)</f>
        <v>150</v>
      </c>
      <c r="CX62" s="229">
        <f t="array" ref="CX62">INDEX(Demand_current!$D$4:$AY$138, MATCH($A62, Demand_current!$B$4:$B$138, 0), MATCH(CX$4&amp;CX$5,Demand_current!$D$2:$AY$2&amp;Demand_current!$D$3:$AY$3, 0))/1000</f>
        <v>0.94699999999999995</v>
      </c>
      <c r="CY62" s="229">
        <f t="array" ref="CY62">INDEX(Demand_current!$D$4:$AY$138, MATCH($A62, Demand_current!$B$4:$B$138, 0), MATCH(CY$4&amp;CY$5,Demand_current!$D$2:$AY$2&amp;Demand_current!$D$3:$AY$3, 0))/1000</f>
        <v>1.07</v>
      </c>
      <c r="CZ62" s="229">
        <f t="array" ref="CZ62">INDEX(Demand_current!$D$4:$AY$138, MATCH($A62, Demand_current!$B$4:$B$138, 0), MATCH(CZ$4&amp;CZ$5,Demand_current!$D$2:$AY$2&amp;Demand_current!$D$3:$AY$3, 0))/1000</f>
        <v>0.86</v>
      </c>
      <c r="DA62" s="229">
        <f t="array" ref="DA62">INDEX(Demand_current!$D$4:$AY$138, MATCH($A62, Demand_current!$B$4:$B$138, 0), MATCH(DA$4&amp;DA$5,Demand_current!$D$2:$AY$2&amp;Demand_current!$D$3:$AY$3, 0))/1000</f>
        <v>1.2050000000000001</v>
      </c>
      <c r="DB62" s="229">
        <f t="array" ref="DB62">INDEX(Demand_current!$D$4:$AY$138, MATCH($A62, Demand_current!$B$4:$B$138, 0), MATCH(DB$4&amp;DB$5,Demand_current!$D$2:$AY$2&amp;Demand_current!$D$3:$AY$3, 0))/1000</f>
        <v>1.3620000000000001</v>
      </c>
      <c r="DC62" s="229">
        <f t="array" ref="DC62">INDEX(Demand_current!$D$4:$AY$138, MATCH($A62, Demand_current!$B$4:$B$138, 0), MATCH(DC$4&amp;DC$5,Demand_current!$D$2:$AY$2&amp;Demand_current!$D$3:$AY$3, 0))/1000</f>
        <v>0.83899999999999997</v>
      </c>
      <c r="DD62" s="229">
        <f t="array" ref="DD62">INDEX(Demand_current!$D$4:$AY$138, MATCH($A62, Demand_current!$B$4:$B$138, 0), MATCH(DD$4&amp;DD$5,Demand_current!$D$2:$AY$2&amp;Demand_current!$D$3:$AY$3, 0))/1000</f>
        <v>0.91200000000000003</v>
      </c>
      <c r="DE62" s="229">
        <f t="array" ref="DE62">INDEX(Demand_current!$D$4:$AY$138, MATCH($A62, Demand_current!$B$4:$B$138, 0), MATCH(DE$4&amp;DE$5,Demand_current!$D$2:$AY$2&amp;Demand_current!$D$3:$AY$3, 0))/1000</f>
        <v>1.054</v>
      </c>
      <c r="DF62" s="229">
        <f t="array" ref="DF62">INDEX(Demand_current!$D$4:$AY$138, MATCH($A62, Demand_current!$B$4:$B$138, 0), MATCH(DF$4&amp;DF$5,Demand_current!$D$2:$AY$2&amp;Demand_current!$D$3:$AY$3, 0))/1000</f>
        <v>1.002</v>
      </c>
      <c r="DG62" s="229">
        <f t="array" ref="DG62">INDEX(Demand_current!$D$4:$AY$138, MATCH($A62, Demand_current!$B$4:$B$138, 0), MATCH(DG$4&amp;DG$5,Demand_current!$D$2:$AY$2&amp;Demand_current!$D$3:$AY$3, 0))/1000</f>
        <v>0.91800000000000004</v>
      </c>
      <c r="DH62" s="229">
        <f t="array" ref="DH62">INDEX(Demand_current!$D$4:$AY$138, MATCH($A62, Demand_current!$B$4:$B$138, 0), MATCH(DH$4&amp;DH$5,Demand_current!$D$2:$AY$2&amp;Demand_current!$D$3:$AY$3, 0))/1000</f>
        <v>0.998</v>
      </c>
      <c r="DI62" s="229">
        <f t="array" ref="DI62">INDEX(Demand_current!$D$4:$AY$138, MATCH($A62, Demand_current!$B$4:$B$138, 0), MATCH(DI$4&amp;DI$5,Demand_current!$D$2:$AY$2&amp;Demand_current!$D$3:$AY$3, 0))/1000</f>
        <v>0.51500000000000001</v>
      </c>
      <c r="DJ62" s="227">
        <f>$BT62*(VLOOKUP(DJ$4, Rates_current!$G$6:$Q$29, 10, FALSE)+VLOOKUP(DJ$4, Rates_current!$G$6:$Q$29, 11, FALSE))</f>
        <v>3549.3317285651997</v>
      </c>
      <c r="DK62" s="227">
        <f>$BT62*(VLOOKUP(DK$4, Rates_current!$G$6:$Q$29, 10, FALSE)+VLOOKUP(DK$4, Rates_current!$G$6:$Q$29, 11, FALSE))</f>
        <v>4508.7585308193002</v>
      </c>
      <c r="DL62" s="227">
        <f>$BT62*(VLOOKUP(DL$4, Rates_current!$G$6:$Q$29, 10, FALSE)+VLOOKUP(DL$4, Rates_current!$G$6:$Q$29, 11, FALSE))</f>
        <v>4454.3091706652003</v>
      </c>
      <c r="DM62" s="227">
        <f>$BT62*(VLOOKUP(DM$4, Rates_current!$G$6:$Q$29, 10, FALSE)+VLOOKUP(DM$4, Rates_current!$G$6:$Q$29, 11, FALSE))</f>
        <v>3712.9379930652003</v>
      </c>
      <c r="DN62" s="227">
        <f>$BT62*(VLOOKUP(DN$4, Rates_current!$G$6:$Q$29, 10, FALSE)+VLOOKUP(DN$4, Rates_current!$G$6:$Q$29, 11, FALSE))</f>
        <v>3363.5366341599997</v>
      </c>
      <c r="DO62" s="227">
        <f>$BT62*(VLOOKUP(DO$4, Rates_current!$G$6:$Q$29, 10, FALSE)+VLOOKUP(DO$4, Rates_current!$G$6:$Q$29, 11, FALSE))</f>
        <v>3741.3212727718997</v>
      </c>
      <c r="DP62" s="227">
        <f>$BT62*(VLOOKUP(DP$4, Rates_current!$G$6:$Q$29, 10, FALSE)+VLOOKUP(DP$4, Rates_current!$G$6:$Q$29, 11, FALSE))</f>
        <v>3046.1878175759998</v>
      </c>
      <c r="DQ62" s="227">
        <f>$BT62*(VLOOKUP(DQ$4, Rates_current!$G$6:$Q$29, 10, FALSE)+VLOOKUP(DQ$4, Rates_current!$G$6:$Q$29, 11, FALSE))</f>
        <v>4108.2385089152003</v>
      </c>
      <c r="DR62" s="227">
        <f>$BT62*(VLOOKUP(DR$4, Rates_current!$G$6:$Q$29, 10, FALSE)+VLOOKUP(DR$4, Rates_current!$G$6:$Q$29, 11, FALSE))</f>
        <v>5241.8329302259999</v>
      </c>
      <c r="DS62" s="227">
        <f>$BT62*(VLOOKUP(DS$4, Rates_current!$G$6:$Q$29, 10, FALSE)+VLOOKUP(DS$4, Rates_current!$G$6:$Q$29, 11, FALSE))</f>
        <v>4109.7632253652</v>
      </c>
      <c r="DT62" s="227">
        <f>$BT62*(VLOOKUP(DT$4, Rates_current!$G$6:$Q$29, 10, FALSE)+VLOOKUP(DT$4, Rates_current!$G$6:$Q$29, 11, FALSE))</f>
        <v>4002.0910320152002</v>
      </c>
      <c r="DU62" s="227">
        <f>$BT62*(VLOOKUP(DU$4, Rates_current!$G$6:$Q$29, 10, FALSE)+VLOOKUP(DU$4, Rates_current!$G$6:$Q$29, 11, FALSE))</f>
        <v>3593.0263922760005</v>
      </c>
      <c r="DV62" s="229">
        <f>IF(D62=0,IF(C62=0,MAX(0,DY62 - (VLOOKUP($A62,TOCA_current!$A$2:$AI$137,MATCH("RHWM 2020",TOCA_current!$A$2:$AI$2,0),FALSE)*$BT$2)), 0),0)</f>
        <v>0</v>
      </c>
      <c r="DW62" s="266">
        <f>VLOOKUP($A62,REP_current!$A$1:$D$135,MATCH("FY "&amp;$BT$1&amp; " Total Refund",REP_current!$A$1:$D$1,0),0)</f>
        <v>0</v>
      </c>
      <c r="DX62" s="295">
        <f>MIN(VLOOKUP($A62,TOCA_current!$A$2:$AI$137,MATCH("TRL - NLSL - Existing Resource "&amp;$BT$1,TOCA_current!$A$2:$AI$2,0),FALSE)*$BT$2, VLOOKUP($A62,TOCA_current!$A$2:$AI$137,MATCH("RHWM 2020",TOCA_current!$A$2:$AI$2,0),FALSE)*$BT$2)</f>
        <v>47433.600000000006</v>
      </c>
      <c r="DY62" s="240">
        <f>SUM(BZ62:CW62)+(BT62*RT1SC!$C$4*$BT$2)</f>
        <v>47673.337016729594</v>
      </c>
      <c r="DZ62" s="271">
        <f>VLOOKUP($A62,TOCA_current!$A$2:$AI$137,MATCH("Above RHWM Not Served with LS "&amp;$BT$1,TOCA_current!$A$2:$AI$2,0),FALSE)*$BT$2</f>
        <v>0</v>
      </c>
      <c r="EA62" s="244">
        <f t="shared" si="13"/>
        <v>239.7370167295885</v>
      </c>
      <c r="EB62" s="295">
        <f>(VLOOKUP($A62,TOCA_current!$A$2:$AI$137,MATCH("RHWM 2020",TOCA_current!$A$2:$AI$2,0),FALSE)*$BT$2) - $DX62</f>
        <v>5885.2799999999988</v>
      </c>
      <c r="EC62" s="240">
        <f t="shared" si="14"/>
        <v>-239.7370167295885</v>
      </c>
      <c r="ED62" s="240">
        <f t="shared" si="15"/>
        <v>0</v>
      </c>
      <c r="EE62" s="240">
        <f t="shared" si="16"/>
        <v>0</v>
      </c>
      <c r="EF62" s="240">
        <f t="shared" si="17"/>
        <v>-239.7370167295885</v>
      </c>
    </row>
    <row r="63" spans="1:136">
      <c r="A63" s="166">
        <v>10173</v>
      </c>
      <c r="B63" s="167" t="s">
        <v>64</v>
      </c>
      <c r="C63" s="240">
        <v>1</v>
      </c>
      <c r="D63" s="240">
        <v>0</v>
      </c>
      <c r="E63" s="150">
        <f>VLOOKUP($A63,TOCA_previous!$A$2:$AI$137,MATCH(E$4,TOCA_previous!$A$2:$AI$2,0),FALSE)</f>
        <v>4.6937999999999997E-3</v>
      </c>
      <c r="F63" s="151">
        <f>VLOOKUP($A63,TOCA_previous!$A$2:$AI$137,MATCH(F$4,TOCA_previous!$A$2:$AI$2,0),FALSE)</f>
        <v>4.6937999999999997E-3</v>
      </c>
      <c r="G63" s="151">
        <f t="shared" si="2"/>
        <v>0</v>
      </c>
      <c r="H63" s="151">
        <f>VLOOKUP($A63,TOCA_previous!$A$2:$AI$137,MATCH(H$4,TOCA_previous!$A$2:$AI$2,0),FALSE)</f>
        <v>7.5224600000000003E-2</v>
      </c>
      <c r="I63" s="151">
        <f t="shared" si="3"/>
        <v>7.5224600000000003E-2</v>
      </c>
      <c r="J63" s="151">
        <f t="shared" si="4"/>
        <v>4.6937999999999997E-3</v>
      </c>
      <c r="K63" s="226">
        <f>VLOOKUP(A63, IRD!$A$5:$C$139, 3, FALSE)</f>
        <v>44309.995999999999</v>
      </c>
      <c r="L63" s="227">
        <f t="array" ref="L63">IF($G63=0, INDEX(LS_previous!$D$4:$AY$138, MATCH('Staging Table'!$A63, LS_previous!$B$4:$B$138, 0), MATCH(L$4&amp;L$5, LS_previous!$D$2:$AY$2&amp;LS_previous!$D$3:$AY$3, 0)),SUM(VLOOKUP($A63, LS_previous!$B$4:$AY$138, LS_previous!D$149, FALSE), VLOOKUP('Staging Table'!$A63, LS_previous!$B$4:$AY$138,LS_previous!AB$149, FALSE))/2)</f>
        <v>0</v>
      </c>
      <c r="M63" s="227">
        <f t="array" ref="M63">IF($G63=0, INDEX(LS_previous!$D$4:$AY$138, MATCH('Staging Table'!$A63, LS_previous!$B$4:$B$138, 0), MATCH(M$4&amp;M$5, LS_previous!$D$2:$AY$2&amp;LS_previous!$D$3:$AY$3, 0)),SUM(VLOOKUP($A63, LS_previous!$B$4:$AY$138, LS_previous!E$149, FALSE), VLOOKUP('Staging Table'!$A63, LS_previous!$B$4:$AY$138,LS_previous!AC$149, FALSE))/2)</f>
        <v>0</v>
      </c>
      <c r="N63" s="227">
        <f t="array" ref="N63">IF($G63=0, INDEX(LS_previous!$D$4:$AY$138, MATCH('Staging Table'!$A63, LS_previous!$B$4:$B$138, 0), MATCH(N$4&amp;N$5, LS_previous!$D$2:$AY$2&amp;LS_previous!$D$3:$AY$3, 0)),SUM(VLOOKUP($A63, LS_previous!$B$4:$AY$138, LS_previous!F$149, FALSE), VLOOKUP('Staging Table'!$A63, LS_previous!$B$4:$AY$138,LS_previous!AD$149, FALSE))/2)</f>
        <v>0</v>
      </c>
      <c r="O63" s="227">
        <f t="array" ref="O63">IF($G63=0, INDEX(LS_previous!$D$4:$AY$138, MATCH('Staging Table'!$A63, LS_previous!$B$4:$B$138, 0), MATCH(O$4&amp;O$5, LS_previous!$D$2:$AY$2&amp;LS_previous!$D$3:$AY$3, 0)),SUM(VLOOKUP($A63, LS_previous!$B$4:$AY$138, LS_previous!G$149, FALSE), VLOOKUP('Staging Table'!$A63, LS_previous!$B$4:$AY$138,LS_previous!AE$149, FALSE))/2)</f>
        <v>0</v>
      </c>
      <c r="P63" s="227">
        <f t="array" ref="P63">IF($G63=0, INDEX(LS_previous!$D$4:$AY$138, MATCH('Staging Table'!$A63, LS_previous!$B$4:$B$138, 0), MATCH(P$4&amp;P$5, LS_previous!$D$2:$AY$2&amp;LS_previous!$D$3:$AY$3, 0)),SUM(VLOOKUP($A63, LS_previous!$B$4:$AY$138, LS_previous!H$149, FALSE), VLOOKUP('Staging Table'!$A63, LS_previous!$B$4:$AY$138,LS_previous!AF$149, FALSE))/2)</f>
        <v>0</v>
      </c>
      <c r="Q63" s="227">
        <f t="array" ref="Q63">IF($G63=0, INDEX(LS_previous!$D$4:$AY$138, MATCH('Staging Table'!$A63, LS_previous!$B$4:$B$138, 0), MATCH(Q$4&amp;Q$5, LS_previous!$D$2:$AY$2&amp;LS_previous!$D$3:$AY$3, 0)),SUM(VLOOKUP($A63, LS_previous!$B$4:$AY$138, LS_previous!I$149, FALSE), VLOOKUP('Staging Table'!$A63, LS_previous!$B$4:$AY$138,LS_previous!AG$149, FALSE))/2)</f>
        <v>0</v>
      </c>
      <c r="R63" s="227">
        <f t="array" ref="R63">IF($G63=0, INDEX(LS_previous!$D$4:$AY$138, MATCH('Staging Table'!$A63, LS_previous!$B$4:$B$138, 0), MATCH(R$4&amp;R$5, LS_previous!$D$2:$AY$2&amp;LS_previous!$D$3:$AY$3, 0)),SUM(VLOOKUP($A63, LS_previous!$B$4:$AY$138, LS_previous!J$149, FALSE), VLOOKUP('Staging Table'!$A63, LS_previous!$B$4:$AY$138,LS_previous!AH$149, FALSE))/2)</f>
        <v>0</v>
      </c>
      <c r="S63" s="227">
        <f t="array" ref="S63">IF($G63=0, INDEX(LS_previous!$D$4:$AY$138, MATCH('Staging Table'!$A63, LS_previous!$B$4:$B$138, 0), MATCH(S$4&amp;S$5, LS_previous!$D$2:$AY$2&amp;LS_previous!$D$3:$AY$3, 0)),SUM(VLOOKUP($A63, LS_previous!$B$4:$AY$138, LS_previous!K$149, FALSE), VLOOKUP('Staging Table'!$A63, LS_previous!$B$4:$AY$138,LS_previous!AI$149, FALSE))/2)</f>
        <v>0</v>
      </c>
      <c r="T63" s="227">
        <f t="array" ref="T63">IF($G63=0, INDEX(LS_previous!$D$4:$AY$138, MATCH('Staging Table'!$A63, LS_previous!$B$4:$B$138, 0), MATCH(T$4&amp;T$5, LS_previous!$D$2:$AY$2&amp;LS_previous!$D$3:$AY$3, 0)),SUM(VLOOKUP($A63, LS_previous!$B$4:$AY$138, LS_previous!L$149, FALSE), VLOOKUP('Staging Table'!$A63, LS_previous!$B$4:$AY$138,LS_previous!AJ$149, FALSE))/2)</f>
        <v>0</v>
      </c>
      <c r="U63" s="227">
        <f t="array" ref="U63">IF($G63=0, INDEX(LS_previous!$D$4:$AY$138, MATCH('Staging Table'!$A63, LS_previous!$B$4:$B$138, 0), MATCH(U$4&amp;U$5, LS_previous!$D$2:$AY$2&amp;LS_previous!$D$3:$AY$3, 0)),SUM(VLOOKUP($A63, LS_previous!$B$4:$AY$138, LS_previous!M$149, FALSE), VLOOKUP('Staging Table'!$A63, LS_previous!$B$4:$AY$138,LS_previous!AK$149, FALSE))/2)</f>
        <v>0</v>
      </c>
      <c r="V63" s="227">
        <f t="array" ref="V63">IF($G63=0, INDEX(LS_previous!$D$4:$AY$138, MATCH('Staging Table'!$A63, LS_previous!$B$4:$B$138, 0), MATCH(V$4&amp;V$5, LS_previous!$D$2:$AY$2&amp;LS_previous!$D$3:$AY$3, 0)),SUM(VLOOKUP($A63, LS_previous!$B$4:$AY$138, LS_previous!N$149, FALSE), VLOOKUP('Staging Table'!$A63, LS_previous!$B$4:$AY$138,LS_previous!AL$149, FALSE))/2)</f>
        <v>0</v>
      </c>
      <c r="W63" s="227">
        <f t="array" ref="W63">IF($G63=0, INDEX(LS_previous!$D$4:$AY$138, MATCH('Staging Table'!$A63, LS_previous!$B$4:$B$138, 0), MATCH(W$4&amp;W$5, LS_previous!$D$2:$AY$2&amp;LS_previous!$D$3:$AY$3, 0)),SUM(VLOOKUP($A63, LS_previous!$B$4:$AY$138, LS_previous!O$149, FALSE), VLOOKUP('Staging Table'!$A63, LS_previous!$B$4:$AY$138,LS_previous!AM$149, FALSE))/2)</f>
        <v>0</v>
      </c>
      <c r="X63" s="227">
        <f t="array" ref="X63">IF($G63=0, INDEX(LS_previous!$D$4:$AY$138, MATCH('Staging Table'!$A63, LS_previous!$B$4:$B$138, 0), MATCH(X$4&amp;X$5, LS_previous!$D$2:$AY$2&amp;LS_previous!$D$3:$AY$3, 0)),SUM(VLOOKUP($A63, LS_previous!$B$4:$AY$138, LS_previous!P$149, FALSE), VLOOKUP('Staging Table'!$A63, LS_previous!$B$4:$AY$138,LS_previous!AN$149, FALSE))/2)</f>
        <v>0</v>
      </c>
      <c r="Y63" s="227">
        <f t="array" ref="Y63">IF($G63=0, INDEX(LS_previous!$D$4:$AY$138, MATCH('Staging Table'!$A63, LS_previous!$B$4:$B$138, 0), MATCH(Y$4&amp;Y$5, LS_previous!$D$2:$AY$2&amp;LS_previous!$D$3:$AY$3, 0)),SUM(VLOOKUP($A63, LS_previous!$B$4:$AY$138, LS_previous!Q$149, FALSE), VLOOKUP('Staging Table'!$A63, LS_previous!$B$4:$AY$138,LS_previous!AO$149, FALSE))/2)</f>
        <v>0</v>
      </c>
      <c r="Z63" s="227">
        <f t="array" ref="Z63">IF($G63=0, INDEX(LS_previous!$D$4:$AY$138, MATCH('Staging Table'!$A63, LS_previous!$B$4:$B$138, 0), MATCH(Z$4&amp;Z$5, LS_previous!$D$2:$AY$2&amp;LS_previous!$D$3:$AY$3, 0)),SUM(VLOOKUP($A63, LS_previous!$B$4:$AY$138, LS_previous!R$149, FALSE), VLOOKUP('Staging Table'!$A63, LS_previous!$B$4:$AY$138,LS_previous!AP$149, FALSE))/2)</f>
        <v>0</v>
      </c>
      <c r="AA63" s="227">
        <f t="array" ref="AA63">IF($G63=0, INDEX(LS_previous!$D$4:$AY$138, MATCH('Staging Table'!$A63, LS_previous!$B$4:$B$138, 0), MATCH(AA$4&amp;AA$5, LS_previous!$D$2:$AY$2&amp;LS_previous!$D$3:$AY$3, 0)),SUM(VLOOKUP($A63, LS_previous!$B$4:$AY$138, LS_previous!S$149, FALSE), VLOOKUP('Staging Table'!$A63, LS_previous!$B$4:$AY$138,LS_previous!AQ$149, FALSE))/2)</f>
        <v>0</v>
      </c>
      <c r="AB63" s="227">
        <f t="array" ref="AB63">IF($G63=0, INDEX(LS_previous!$D$4:$AY$138, MATCH('Staging Table'!$A63, LS_previous!$B$4:$B$138, 0), MATCH(AB$4&amp;AB$5, LS_previous!$D$2:$AY$2&amp;LS_previous!$D$3:$AY$3, 0)),SUM(VLOOKUP($A63, LS_previous!$B$4:$AY$138, LS_previous!T$149, FALSE), VLOOKUP('Staging Table'!$A63, LS_previous!$B$4:$AY$138,LS_previous!AR$149, FALSE))/2)</f>
        <v>0</v>
      </c>
      <c r="AC63" s="227">
        <f t="array" ref="AC63">IF($G63=0, INDEX(LS_previous!$D$4:$AY$138, MATCH('Staging Table'!$A63, LS_previous!$B$4:$B$138, 0), MATCH(AC$4&amp;AC$5, LS_previous!$D$2:$AY$2&amp;LS_previous!$D$3:$AY$3, 0)),SUM(VLOOKUP($A63, LS_previous!$B$4:$AY$138, LS_previous!U$149, FALSE), VLOOKUP('Staging Table'!$A63, LS_previous!$B$4:$AY$138,LS_previous!AS$149, FALSE))/2)</f>
        <v>0</v>
      </c>
      <c r="AD63" s="227">
        <f t="array" ref="AD63">IF($G63=0, INDEX(LS_previous!$D$4:$AY$138, MATCH('Staging Table'!$A63, LS_previous!$B$4:$B$138, 0), MATCH(AD$4&amp;AD$5, LS_previous!$D$2:$AY$2&amp;LS_previous!$D$3:$AY$3, 0)),SUM(VLOOKUP($A63, LS_previous!$B$4:$AY$138, LS_previous!V$149, FALSE), VLOOKUP('Staging Table'!$A63, LS_previous!$B$4:$AY$138,LS_previous!AT$149, FALSE))/2)</f>
        <v>0</v>
      </c>
      <c r="AE63" s="227">
        <f t="array" ref="AE63">IF($G63=0, INDEX(LS_previous!$D$4:$AY$138, MATCH('Staging Table'!$A63, LS_previous!$B$4:$B$138, 0), MATCH(AE$4&amp;AE$5, LS_previous!$D$2:$AY$2&amp;LS_previous!$D$3:$AY$3, 0)),SUM(VLOOKUP($A63, LS_previous!$B$4:$AY$138, LS_previous!W$149, FALSE), VLOOKUP('Staging Table'!$A63, LS_previous!$B$4:$AY$138,LS_previous!AU$149, FALSE))/2)</f>
        <v>0</v>
      </c>
      <c r="AF63" s="227">
        <f t="array" ref="AF63">IF($G63=0, INDEX(LS_previous!$D$4:$AY$138, MATCH('Staging Table'!$A63, LS_previous!$B$4:$B$138, 0), MATCH(AF$4&amp;AF$5, LS_previous!$D$2:$AY$2&amp;LS_previous!$D$3:$AY$3, 0)),SUM(VLOOKUP($A63, LS_previous!$B$4:$AY$138, LS_previous!X$149, FALSE), VLOOKUP('Staging Table'!$A63, LS_previous!$B$4:$AY$138,LS_previous!AV$149, FALSE))/2)</f>
        <v>0</v>
      </c>
      <c r="AG63" s="227">
        <f t="array" ref="AG63">IF($G63=0, INDEX(LS_previous!$D$4:$AY$138, MATCH('Staging Table'!$A63, LS_previous!$B$4:$B$138, 0), MATCH(AG$4&amp;AG$5, LS_previous!$D$2:$AY$2&amp;LS_previous!$D$3:$AY$3, 0)),SUM(VLOOKUP($A63, LS_previous!$B$4:$AY$138, LS_previous!Y$149, FALSE), VLOOKUP('Staging Table'!$A63, LS_previous!$B$4:$AY$138,LS_previous!AW$149, FALSE))/2)</f>
        <v>0</v>
      </c>
      <c r="AH63" s="227">
        <f t="array" ref="AH63">IF($G63=0, INDEX(LS_previous!$D$4:$AY$138, MATCH('Staging Table'!$A63, LS_previous!$B$4:$B$138, 0), MATCH(AH$4&amp;AH$5, LS_previous!$D$2:$AY$2&amp;LS_previous!$D$3:$AY$3, 0)),SUM(VLOOKUP($A63, LS_previous!$B$4:$AY$138, LS_previous!Z$149, FALSE), VLOOKUP('Staging Table'!$A63, LS_previous!$B$4:$AY$138,LS_previous!AX$149, FALSE))/2)</f>
        <v>0</v>
      </c>
      <c r="AI63" s="227">
        <f t="array" ref="AI63">IF($G63=0, INDEX(LS_previous!$D$4:$AY$138, MATCH('Staging Table'!$A63, LS_previous!$B$4:$B$138, 0), MATCH(AI$4&amp;AI$5, LS_previous!$D$2:$AY$2&amp;LS_previous!$D$3:$AY$3, 0)),SUM(VLOOKUP($A63, LS_previous!$B$4:$AY$138, LS_previous!AA$149, FALSE), VLOOKUP('Staging Table'!$A63, LS_previous!$B$4:$AY$138,LS_previous!AY$149, FALSE))/2)</f>
        <v>0</v>
      </c>
      <c r="AJ63" s="424">
        <f t="array" ref="AJ63">INDEX(Demand_previous!$D$4:$AY$138, MATCH('Staging Table'!$A63, Demand_previous!$B$4:$B$138, 0), MATCH(AJ$4&amp;AJ$5,Demand_previous!$D$2:$AY$2&amp;Demand_previous!$D$3:$AY$3, 0))/1000</f>
        <v>0</v>
      </c>
      <c r="AK63" s="424">
        <f t="array" ref="AK63">INDEX(Demand_previous!$D$4:$AY$138, MATCH('Staging Table'!$A63, Demand_previous!$B$4:$B$138, 0), MATCH(AK$4&amp;AK$5,Demand_previous!$D$2:$AY$2&amp;Demand_previous!$D$3:$AY$3, 0))/1000</f>
        <v>0</v>
      </c>
      <c r="AL63" s="424">
        <f t="array" ref="AL63">INDEX(Demand_previous!$D$4:$AY$138, MATCH('Staging Table'!$A63, Demand_previous!$B$4:$B$138, 0), MATCH(AL$4&amp;AL$5,Demand_previous!$D$2:$AY$2&amp;Demand_previous!$D$3:$AY$3, 0))/1000</f>
        <v>0</v>
      </c>
      <c r="AM63" s="424">
        <f t="array" ref="AM63">INDEX(Demand_previous!$D$4:$AY$138, MATCH('Staging Table'!$A63, Demand_previous!$B$4:$B$138, 0), MATCH(AM$4&amp;AM$5,Demand_previous!$D$2:$AY$2&amp;Demand_previous!$D$3:$AY$3, 0))/1000</f>
        <v>0</v>
      </c>
      <c r="AN63" s="424">
        <f t="array" ref="AN63">INDEX(Demand_previous!$D$4:$AY$138, MATCH('Staging Table'!$A63, Demand_previous!$B$4:$B$138, 0), MATCH(AN$4&amp;AN$5,Demand_previous!$D$2:$AY$2&amp;Demand_previous!$D$3:$AY$3, 0))/1000</f>
        <v>0</v>
      </c>
      <c r="AO63" s="424">
        <f t="array" ref="AO63">INDEX(Demand_previous!$D$4:$AY$138, MATCH('Staging Table'!$A63, Demand_previous!$B$4:$B$138, 0), MATCH(AO$4&amp;AO$5,Demand_previous!$D$2:$AY$2&amp;Demand_previous!$D$3:$AY$3, 0))/1000</f>
        <v>0</v>
      </c>
      <c r="AP63" s="424">
        <f t="array" ref="AP63">INDEX(Demand_previous!$D$4:$AY$138, MATCH('Staging Table'!$A63, Demand_previous!$B$4:$B$138, 0), MATCH(AP$4&amp;AP$5,Demand_previous!$D$2:$AY$2&amp;Demand_previous!$D$3:$AY$3, 0))/1000</f>
        <v>0</v>
      </c>
      <c r="AQ63" s="424">
        <f t="array" ref="AQ63">INDEX(Demand_previous!$D$4:$AY$138, MATCH('Staging Table'!$A63, Demand_previous!$B$4:$B$138, 0), MATCH(AQ$4&amp;AQ$5,Demand_previous!$D$2:$AY$2&amp;Demand_previous!$D$3:$AY$3, 0))/1000</f>
        <v>0</v>
      </c>
      <c r="AR63" s="424">
        <f t="array" ref="AR63">INDEX(Demand_previous!$D$4:$AY$138, MATCH('Staging Table'!$A63, Demand_previous!$B$4:$B$138, 0), MATCH(AR$4&amp;AR$5,Demand_previous!$D$2:$AY$2&amp;Demand_previous!$D$3:$AY$3, 0))/1000</f>
        <v>0</v>
      </c>
      <c r="AS63" s="424">
        <f t="array" ref="AS63">INDEX(Demand_previous!$D$4:$AY$138, MATCH('Staging Table'!$A63, Demand_previous!$B$4:$B$138, 0), MATCH(AS$4&amp;AS$5,Demand_previous!$D$2:$AY$2&amp;Demand_previous!$D$3:$AY$3, 0))/1000</f>
        <v>0</v>
      </c>
      <c r="AT63" s="424">
        <f t="array" ref="AT63">INDEX(Demand_previous!$D$4:$AY$138, MATCH('Staging Table'!$A63, Demand_previous!$B$4:$B$138, 0), MATCH(AT$4&amp;AT$5,Demand_previous!$D$2:$AY$2&amp;Demand_previous!$D$3:$AY$3, 0))/1000</f>
        <v>0</v>
      </c>
      <c r="AU63" s="424">
        <f t="array" ref="AU63">INDEX(Demand_previous!$D$4:$AY$138, MATCH('Staging Table'!$A63, Demand_previous!$B$4:$B$138, 0), MATCH(AU$4&amp;AU$5,Demand_previous!$D$2:$AY$2&amp;Demand_previous!$D$3:$AY$3, 0))/1000</f>
        <v>0</v>
      </c>
      <c r="AV63" s="227">
        <f>$F63*(VLOOKUP(AV$4, Rates_previous!$G$6:$Q$29, 10, FALSE)+VLOOKUP(AV$4, Rates_previous!$G$6:$Q$29, 11, FALSE))</f>
        <v>22008.466689103832</v>
      </c>
      <c r="AW63" s="227">
        <f>$F63*(VLOOKUP(AW$4, Rates_previous!$G$6:$Q$29, 10, FALSE)+VLOOKUP(AW$4, Rates_previous!$G$6:$Q$29, 11, FALSE))</f>
        <v>27200.792095616947</v>
      </c>
      <c r="AX63" s="227">
        <f>$F63*(VLOOKUP(AX$4, Rates_previous!$G$6:$Q$29, 10, FALSE)+VLOOKUP(AX$4, Rates_previous!$G$6:$Q$29, 11, FALSE))</f>
        <v>26874.14311626738</v>
      </c>
      <c r="AY63" s="227">
        <f>$F63*(VLOOKUP(AY$4, Rates_previous!$G$6:$Q$29, 10, FALSE)+VLOOKUP(AY$4, Rates_previous!$G$6:$Q$29, 11, FALSE))</f>
        <v>22961.393763958007</v>
      </c>
      <c r="AZ63" s="227">
        <f>$F63*(VLOOKUP(AZ$4, Rates_previous!$G$6:$Q$29, 10, FALSE)+VLOOKUP(AZ$4, Rates_previous!$G$6:$Q$29, 11, FALSE))</f>
        <v>18823.889038539422</v>
      </c>
      <c r="BA63" s="227">
        <f>$F63*(VLOOKUP(BA$4, Rates_previous!$G$6:$Q$29, 10, FALSE)+VLOOKUP(BA$4, Rates_previous!$G$6:$Q$29, 11, FALSE))</f>
        <v>22286.800874525197</v>
      </c>
      <c r="BB63" s="227">
        <f>$F63*(VLOOKUP(BB$4, Rates_previous!$G$6:$Q$29, 10, FALSE)+VLOOKUP(BB$4, Rates_previous!$G$6:$Q$29, 11, FALSE))</f>
        <v>21420.857453385328</v>
      </c>
      <c r="BC63" s="227">
        <f>$F63*(VLOOKUP(BC$4, Rates_previous!$G$6:$Q$29, 10, FALSE)+VLOOKUP(BC$4, Rates_previous!$G$6:$Q$29, 11, FALSE))</f>
        <v>31433.592514115477</v>
      </c>
      <c r="BD63" s="227">
        <f>$F63*(VLOOKUP(BD$4, Rates_previous!$G$6:$Q$29, 10, FALSE)+VLOOKUP(BD$4, Rates_previous!$G$6:$Q$29, 11, FALSE))</f>
        <v>24800.273693659921</v>
      </c>
      <c r="BE63" s="227">
        <f>$F63*(VLOOKUP(BE$4, Rates_previous!$G$6:$Q$29, 10, FALSE)+VLOOKUP(BE$4, Rates_previous!$G$6:$Q$29, 11, FALSE))</f>
        <v>21776.721927156454</v>
      </c>
      <c r="BF63" s="227">
        <f>$F63*(VLOOKUP(BF$4, Rates_previous!$G$6:$Q$29, 10, FALSE)+VLOOKUP(BF$4, Rates_previous!$G$6:$Q$29, 11, FALSE))</f>
        <v>24118.591206697038</v>
      </c>
      <c r="BG63" s="227">
        <f>$F63*(VLOOKUP(BG$4, Rates_previous!$G$6:$Q$29, 10, FALSE)+VLOOKUP(BG$4, Rates_previous!$G$6:$Q$29, 11, FALSE))</f>
        <v>21850.484497007928</v>
      </c>
      <c r="BH63" s="229">
        <f>IF($D63=0,IF(C63=0, MAX(BK63 - (VLOOKUP($A63,TOCA_previous!$A$2:$AI$137,MATCH("RHWM 2018",TOCA_previous!$A$2:$AI$2,0),FALSE)*$F$2*TOCA_previous!C60),0),0), 0)</f>
        <v>0</v>
      </c>
      <c r="BI63" s="266">
        <f>VLOOKUP($A63,REP_previous!$A$1:$D$135,MATCH("FY "&amp;$F$1&amp; " Total Refund",REP_previous!$A$1:$D$1,0),0)</f>
        <v>338597.0860257973</v>
      </c>
      <c r="BJ63" s="241">
        <f>MIN(VLOOKUP($A63,TOCA_previous!$A$2:$AI$137,MATCH("TRL - NLSL - Existing Resource "&amp;$F$1,TOCA_previous!$A$2:$AI$2,0),FALSE)*$F$2,(VLOOKUP($A63,TOCA_previous!$A$2:$AI$137,MATCH("RHWM 2018",TOCA_previous!$A$2:$AI$2,0),FALSE)*$F$2))</f>
        <v>285558.48</v>
      </c>
      <c r="BK63" s="229">
        <f>SUM(L63:AI63)+(F63*RT1SC!$C$3*$F$2)</f>
        <v>285556.011036048</v>
      </c>
      <c r="BL63" s="241">
        <f>VLOOKUP($A63,TOCA_previous!$A$2:$AI$137,MATCH("Above RHWM Not Served with LS "&amp;$F$1,TOCA_previous!$A$2:$AI$2,0),FALSE)*$F$2</f>
        <v>21313.079999999998</v>
      </c>
      <c r="BM63" s="151">
        <f t="shared" si="5"/>
        <v>-2.4689639519783668</v>
      </c>
      <c r="BN63" s="242">
        <f>(VLOOKUP($A63,TOCA_previous!$A$2:$AI$137,MATCH("RHWM 2018",TOCA_previous!$A$2:$AI$2,0),FALSE)*$F$2) - $BJ63</f>
        <v>0</v>
      </c>
      <c r="BO63" s="151">
        <f t="shared" si="6"/>
        <v>0</v>
      </c>
      <c r="BP63" s="243">
        <f t="shared" si="7"/>
        <v>0</v>
      </c>
      <c r="BQ63" s="237">
        <f t="shared" si="8"/>
        <v>0</v>
      </c>
      <c r="BR63" s="242">
        <f t="shared" si="9"/>
        <v>0</v>
      </c>
      <c r="BS63" s="151">
        <f>VLOOKUP($A63,TOCA_current!$A$2:$AI$137,MATCH(BS$4,TOCA_current!$A$2:$AI$2,0),FALSE)</f>
        <v>4.6912999999999998E-3</v>
      </c>
      <c r="BT63" s="151">
        <f>VLOOKUP($A63,TOCA_current!$A$2:$AI$137,MATCH(BT$4,TOCA_current!$A$2:$AI$2,0),FALSE)</f>
        <v>4.6912999999999998E-3</v>
      </c>
      <c r="BU63" s="236">
        <f t="shared" si="10"/>
        <v>0</v>
      </c>
      <c r="BV63" s="151">
        <f>VLOOKUP($A63,TOCA_current!A59:BG194,MATCH(BV$4,TOCA_current!$A$2:$BG$2,0),FALSE)</f>
        <v>7.7999600000000002E-2</v>
      </c>
      <c r="BW63" s="151">
        <f t="shared" si="11"/>
        <v>7.7999600000000002E-2</v>
      </c>
      <c r="BX63" s="151">
        <f t="shared" si="12"/>
        <v>4.6912999999999998E-3</v>
      </c>
      <c r="BY63" s="226">
        <f>VLOOKUP($A63,IRD!$A$4:$G$139, 7, FALSE)</f>
        <v>44309.995999999999</v>
      </c>
      <c r="BZ63" s="227">
        <f t="array" ref="BZ63">IF($BU63=0, INDEX(LS_current!$D$4:$AY$138, MATCH('Staging Table'!$A63, LS_current!$B$4:$B$138, 0), MATCH(BZ$4&amp;BZ$5, LS_current!$D$2:$AY$2&amp;LS_current!$D$3:$AY$3, 0)),SUM(VLOOKUP($A63, LS_current!$B$4:$AY$138, LS_current!D$148, FALSE), VLOOKUP($A63, LS_current!$B$4:$AY$138,LS_current!D$148, FALSE))/2)</f>
        <v>0</v>
      </c>
      <c r="CA63" s="227">
        <f t="array" ref="CA63">IF($BU63=0, INDEX(LS_current!$D$4:$AY$138, MATCH('Staging Table'!$A63, LS_current!$B$4:$B$138, 0), MATCH(CA$4&amp;CA$5, LS_current!$D$2:$AY$2&amp;LS_current!$D$3:$AY$3, 0)),SUM(VLOOKUP($A63, LS_current!$B$4:$AY$138, LS_current!E$148, FALSE), VLOOKUP($A63, LS_current!$B$4:$AY$138,LS_current!E$148, FALSE))/2)</f>
        <v>0</v>
      </c>
      <c r="CB63" s="227">
        <f t="array" ref="CB63">IF($BU63=0, INDEX(LS_current!$D$4:$AY$138, MATCH('Staging Table'!$A63, LS_current!$B$4:$B$138, 0), MATCH(CB$4&amp;CB$5, LS_current!$D$2:$AY$2&amp;LS_current!$D$3:$AY$3, 0)),SUM(VLOOKUP($A63, LS_current!$B$4:$AY$138, LS_current!F$148, FALSE), VLOOKUP($A63, LS_current!$B$4:$AY$138,LS_current!F$148, FALSE))/2)</f>
        <v>0</v>
      </c>
      <c r="CC63" s="227">
        <f t="array" ref="CC63">IF($BU63=0, INDEX(LS_current!$D$4:$AY$138, MATCH('Staging Table'!$A63, LS_current!$B$4:$B$138, 0), MATCH(CC$4&amp;CC$5, LS_current!$D$2:$AY$2&amp;LS_current!$D$3:$AY$3, 0)),SUM(VLOOKUP($A63, LS_current!$B$4:$AY$138, LS_current!G$148, FALSE), VLOOKUP($A63, LS_current!$B$4:$AY$138,LS_current!G$148, FALSE))/2)</f>
        <v>0</v>
      </c>
      <c r="CD63" s="227">
        <f t="array" ref="CD63">IF($BU63=0, INDEX(LS_current!$D$4:$AY$138, MATCH('Staging Table'!$A63, LS_current!$B$4:$B$138, 0), MATCH(CD$4&amp;CD$5, LS_current!$D$2:$AY$2&amp;LS_current!$D$3:$AY$3, 0)),SUM(VLOOKUP($A63, LS_current!$B$4:$AY$138, LS_current!H$148, FALSE), VLOOKUP($A63, LS_current!$B$4:$AY$138,LS_current!H$148, FALSE))/2)</f>
        <v>0</v>
      </c>
      <c r="CE63" s="227">
        <f t="array" ref="CE63">IF($BU63=0, INDEX(LS_current!$D$4:$AY$138, MATCH('Staging Table'!$A63, LS_current!$B$4:$B$138, 0), MATCH(CE$4&amp;CE$5, LS_current!$D$2:$AY$2&amp;LS_current!$D$3:$AY$3, 0)),SUM(VLOOKUP($A63, LS_current!$B$4:$AY$138, LS_current!I$148, FALSE), VLOOKUP($A63, LS_current!$B$4:$AY$138,LS_current!I$148, FALSE))/2)</f>
        <v>0</v>
      </c>
      <c r="CF63" s="227">
        <f t="array" ref="CF63">IF($BU63=0, INDEX(LS_current!$D$4:$AY$138, MATCH('Staging Table'!$A63, LS_current!$B$4:$B$138, 0), MATCH(CF$4&amp;CF$5, LS_current!$D$2:$AY$2&amp;LS_current!$D$3:$AY$3, 0)),SUM(VLOOKUP($A63, LS_current!$B$4:$AY$138, LS_current!J$148, FALSE), VLOOKUP($A63, LS_current!$B$4:$AY$138,LS_current!J$148, FALSE))/2)</f>
        <v>0</v>
      </c>
      <c r="CG63" s="227">
        <f t="array" ref="CG63">IF($BU63=0, INDEX(LS_current!$D$4:$AY$138, MATCH('Staging Table'!$A63, LS_current!$B$4:$B$138, 0), MATCH(CG$4&amp;CG$5, LS_current!$D$2:$AY$2&amp;LS_current!$D$3:$AY$3, 0)),SUM(VLOOKUP($A63, LS_current!$B$4:$AY$138, LS_current!K$148, FALSE), VLOOKUP($A63, LS_current!$B$4:$AY$138,LS_current!K$148, FALSE))/2)</f>
        <v>0</v>
      </c>
      <c r="CH63" s="227">
        <f t="array" ref="CH63">IF($BU63=0, INDEX(LS_current!$D$4:$AY$138, MATCH('Staging Table'!$A63, LS_current!$B$4:$B$138, 0), MATCH(CH$4&amp;CH$5, LS_current!$D$2:$AY$2&amp;LS_current!$D$3:$AY$3, 0)),SUM(VLOOKUP($A63, LS_current!$B$4:$AY$138, LS_current!L$148, FALSE), VLOOKUP($A63, LS_current!$B$4:$AY$138,LS_current!L$148, FALSE))/2)</f>
        <v>0</v>
      </c>
      <c r="CI63" s="227">
        <f t="array" ref="CI63">IF($BU63=0, INDEX(LS_current!$D$4:$AY$138, MATCH('Staging Table'!$A63, LS_current!$B$4:$B$138, 0), MATCH(CI$4&amp;CI$5, LS_current!$D$2:$AY$2&amp;LS_current!$D$3:$AY$3, 0)),SUM(VLOOKUP($A63, LS_current!$B$4:$AY$138, LS_current!M$148, FALSE), VLOOKUP($A63, LS_current!$B$4:$AY$138,LS_current!M$148, FALSE))/2)</f>
        <v>0</v>
      </c>
      <c r="CJ63" s="227">
        <f t="array" ref="CJ63">IF($BU63=0, INDEX(LS_current!$D$4:$AY$138, MATCH('Staging Table'!$A63, LS_current!$B$4:$B$138, 0), MATCH(CJ$4&amp;CJ$5, LS_current!$D$2:$AY$2&amp;LS_current!$D$3:$AY$3, 0)),SUM(VLOOKUP($A63, LS_current!$B$4:$AY$138, LS_current!N$148, FALSE), VLOOKUP($A63, LS_current!$B$4:$AY$138,LS_current!N$148, FALSE))/2)</f>
        <v>0</v>
      </c>
      <c r="CK63" s="227">
        <f t="array" ref="CK63">IF($BU63=0, INDEX(LS_current!$D$4:$AY$138, MATCH('Staging Table'!$A63, LS_current!$B$4:$B$138, 0), MATCH(CK$4&amp;CK$5, LS_current!$D$2:$AY$2&amp;LS_current!$D$3:$AY$3, 0)),SUM(VLOOKUP($A63, LS_current!$B$4:$AY$138, LS_current!O$148, FALSE), VLOOKUP($A63, LS_current!$B$4:$AY$138,LS_current!O$148, FALSE))/2)</f>
        <v>0</v>
      </c>
      <c r="CL63" s="227">
        <f t="array" ref="CL63">IF($BU63=0, INDEX(LS_current!$D$4:$AY$138, MATCH('Staging Table'!$A63, LS_current!$B$4:$B$138, 0), MATCH(CL$4&amp;CL$5, LS_current!$D$2:$AY$2&amp;LS_current!$D$3:$AY$3, 0)),SUM(VLOOKUP($A63, LS_current!$B$4:$AY$138, LS_current!P$148, FALSE), VLOOKUP($A63, LS_current!$B$4:$AY$138,LS_current!P$148, FALSE))/2)</f>
        <v>0</v>
      </c>
      <c r="CM63" s="227">
        <f t="array" ref="CM63">IF($BU63=0, INDEX(LS_current!$D$4:$AY$138, MATCH('Staging Table'!$A63, LS_current!$B$4:$B$138, 0), MATCH(CM$4&amp;CM$5, LS_current!$D$2:$AY$2&amp;LS_current!$D$3:$AY$3, 0)),SUM(VLOOKUP($A63, LS_current!$B$4:$AY$138, LS_current!Q$148, FALSE), VLOOKUP($A63, LS_current!$B$4:$AY$138,LS_current!Q$148, FALSE))/2)</f>
        <v>0</v>
      </c>
      <c r="CN63" s="227">
        <f t="array" ref="CN63">IF($BU63=0, INDEX(LS_current!$D$4:$AY$138, MATCH('Staging Table'!$A63, LS_current!$B$4:$B$138, 0), MATCH(CN$4&amp;CN$5, LS_current!$D$2:$AY$2&amp;LS_current!$D$3:$AY$3, 0)),SUM(VLOOKUP($A63, LS_current!$B$4:$AY$138, LS_current!R$148, FALSE), VLOOKUP($A63, LS_current!$B$4:$AY$138,LS_current!R$148, FALSE))/2)</f>
        <v>0</v>
      </c>
      <c r="CO63" s="227">
        <f t="array" ref="CO63">IF($BU63=0, INDEX(LS_current!$D$4:$AY$138, MATCH('Staging Table'!$A63, LS_current!$B$4:$B$138, 0), MATCH(CO$4&amp;CO$5, LS_current!$D$2:$AY$2&amp;LS_current!$D$3:$AY$3, 0)),SUM(VLOOKUP($A63, LS_current!$B$4:$AY$138, LS_current!S$148, FALSE), VLOOKUP($A63, LS_current!$B$4:$AY$138,LS_current!S$148, FALSE))/2)</f>
        <v>0</v>
      </c>
      <c r="CP63" s="227">
        <f t="array" ref="CP63">IF($BU63=0, INDEX(LS_current!$D$4:$AY$138, MATCH('Staging Table'!$A63, LS_current!$B$4:$B$138, 0), MATCH(CP$4&amp;CP$5, LS_current!$D$2:$AY$2&amp;LS_current!$D$3:$AY$3, 0)),SUM(VLOOKUP($A63, LS_current!$B$4:$AY$138, LS_current!T$148, FALSE), VLOOKUP($A63, LS_current!$B$4:$AY$138,LS_current!T$148, FALSE))/2)</f>
        <v>0</v>
      </c>
      <c r="CQ63" s="227">
        <f t="array" ref="CQ63">IF($BU63=0, INDEX(LS_current!$D$4:$AY$138, MATCH('Staging Table'!$A63, LS_current!$B$4:$B$138, 0), MATCH(CQ$4&amp;CQ$5, LS_current!$D$2:$AY$2&amp;LS_current!$D$3:$AY$3, 0)),SUM(VLOOKUP($A63, LS_current!$B$4:$AY$138, LS_current!U$148, FALSE), VLOOKUP($A63, LS_current!$B$4:$AY$138,LS_current!U$148, FALSE))/2)</f>
        <v>0</v>
      </c>
      <c r="CR63" s="227">
        <f t="array" ref="CR63">IF($BU63=0, INDEX(LS_current!$D$4:$AY$138, MATCH('Staging Table'!$A63, LS_current!$B$4:$B$138, 0), MATCH(CR$4&amp;CR$5, LS_current!$D$2:$AY$2&amp;LS_current!$D$3:$AY$3, 0)),SUM(VLOOKUP($A63, LS_current!$B$4:$AY$138, LS_current!V$148, FALSE), VLOOKUP($A63, LS_current!$B$4:$AY$138,LS_current!V$148, FALSE))/2)</f>
        <v>0</v>
      </c>
      <c r="CS63" s="227">
        <f t="array" ref="CS63">IF($BU63=0, INDEX(LS_current!$D$4:$AY$138, MATCH('Staging Table'!$A63, LS_current!$B$4:$B$138, 0), MATCH(CS$4&amp;CS$5, LS_current!$D$2:$AY$2&amp;LS_current!$D$3:$AY$3, 0)),SUM(VLOOKUP($A63, LS_current!$B$4:$AY$138, LS_current!W$148, FALSE), VLOOKUP($A63, LS_current!$B$4:$AY$138,LS_current!W$148, FALSE))/2)</f>
        <v>0</v>
      </c>
      <c r="CT63" s="227">
        <f t="array" ref="CT63">IF($BU63=0, INDEX(LS_current!$D$4:$AY$138, MATCH('Staging Table'!$A63, LS_current!$B$4:$B$138, 0), MATCH(CT$4&amp;CT$5, LS_current!$D$2:$AY$2&amp;LS_current!$D$3:$AY$3, 0)),SUM(VLOOKUP($A63, LS_current!$B$4:$AY$138, LS_current!X$148, FALSE), VLOOKUP($A63, LS_current!$B$4:$AY$138,LS_current!X$148, FALSE))/2)</f>
        <v>0</v>
      </c>
      <c r="CU63" s="227">
        <f t="array" ref="CU63">IF($BU63=0, INDEX(LS_current!$D$4:$AY$138, MATCH('Staging Table'!$A63, LS_current!$B$4:$B$138, 0), MATCH(CU$4&amp;CU$5, LS_current!$D$2:$AY$2&amp;LS_current!$D$3:$AY$3, 0)),SUM(VLOOKUP($A63, LS_current!$B$4:$AY$138, LS_current!Y$148, FALSE), VLOOKUP($A63, LS_current!$B$4:$AY$138,LS_current!Y$148, FALSE))/2)</f>
        <v>0</v>
      </c>
      <c r="CV63" s="227">
        <f t="array" ref="CV63">IF($BU63=0, INDEX(LS_current!$D$4:$AY$138, MATCH('Staging Table'!$A63, LS_current!$B$4:$B$138, 0), MATCH(CV$4&amp;CV$5, LS_current!$D$2:$AY$2&amp;LS_current!$D$3:$AY$3, 0)),SUM(VLOOKUP($A63, LS_current!$B$4:$AY$138, LS_current!Z$148, FALSE), VLOOKUP($A63, LS_current!$B$4:$AY$138,LS_current!Z$148, FALSE))/2)</f>
        <v>0</v>
      </c>
      <c r="CW63" s="227">
        <f t="array" ref="CW63">IF($BU63=0, INDEX(LS_current!$D$4:$AY$138, MATCH('Staging Table'!$A63, LS_current!$B$4:$B$138, 0), MATCH(CW$4&amp;CW$5, LS_current!$D$2:$AY$2&amp;LS_current!$D$3:$AY$3, 0)),SUM(VLOOKUP($A63, LS_current!$B$4:$AY$138, LS_current!AA$148, FALSE), VLOOKUP($A63, LS_current!$B$4:$AY$138,LS_current!AA$148, FALSE))/2)</f>
        <v>0</v>
      </c>
      <c r="CX63" s="229">
        <f t="array" ref="CX63">INDEX(Demand_current!$D$4:$AY$138, MATCH($A63, Demand_current!$B$4:$B$138, 0), MATCH(CX$4&amp;CX$5,Demand_current!$D$2:$AY$2&amp;Demand_current!$D$3:$AY$3, 0))/1000</f>
        <v>0</v>
      </c>
      <c r="CY63" s="229">
        <f t="array" ref="CY63">INDEX(Demand_current!$D$4:$AY$138, MATCH($A63, Demand_current!$B$4:$B$138, 0), MATCH(CY$4&amp;CY$5,Demand_current!$D$2:$AY$2&amp;Demand_current!$D$3:$AY$3, 0))/1000</f>
        <v>0</v>
      </c>
      <c r="CZ63" s="229">
        <f t="array" ref="CZ63">INDEX(Demand_current!$D$4:$AY$138, MATCH($A63, Demand_current!$B$4:$B$138, 0), MATCH(CZ$4&amp;CZ$5,Demand_current!$D$2:$AY$2&amp;Demand_current!$D$3:$AY$3, 0))/1000</f>
        <v>0</v>
      </c>
      <c r="DA63" s="229">
        <f t="array" ref="DA63">INDEX(Demand_current!$D$4:$AY$138, MATCH($A63, Demand_current!$B$4:$B$138, 0), MATCH(DA$4&amp;DA$5,Demand_current!$D$2:$AY$2&amp;Demand_current!$D$3:$AY$3, 0))/1000</f>
        <v>0</v>
      </c>
      <c r="DB63" s="229">
        <f t="array" ref="DB63">INDEX(Demand_current!$D$4:$AY$138, MATCH($A63, Demand_current!$B$4:$B$138, 0), MATCH(DB$4&amp;DB$5,Demand_current!$D$2:$AY$2&amp;Demand_current!$D$3:$AY$3, 0))/1000</f>
        <v>0</v>
      </c>
      <c r="DC63" s="229">
        <f t="array" ref="DC63">INDEX(Demand_current!$D$4:$AY$138, MATCH($A63, Demand_current!$B$4:$B$138, 0), MATCH(DC$4&amp;DC$5,Demand_current!$D$2:$AY$2&amp;Demand_current!$D$3:$AY$3, 0))/1000</f>
        <v>0</v>
      </c>
      <c r="DD63" s="229">
        <f t="array" ref="DD63">INDEX(Demand_current!$D$4:$AY$138, MATCH($A63, Demand_current!$B$4:$B$138, 0), MATCH(DD$4&amp;DD$5,Demand_current!$D$2:$AY$2&amp;Demand_current!$D$3:$AY$3, 0))/1000</f>
        <v>0</v>
      </c>
      <c r="DE63" s="229">
        <f t="array" ref="DE63">INDEX(Demand_current!$D$4:$AY$138, MATCH($A63, Demand_current!$B$4:$B$138, 0), MATCH(DE$4&amp;DE$5,Demand_current!$D$2:$AY$2&amp;Demand_current!$D$3:$AY$3, 0))/1000</f>
        <v>0</v>
      </c>
      <c r="DF63" s="229">
        <f t="array" ref="DF63">INDEX(Demand_current!$D$4:$AY$138, MATCH($A63, Demand_current!$B$4:$B$138, 0), MATCH(DF$4&amp;DF$5,Demand_current!$D$2:$AY$2&amp;Demand_current!$D$3:$AY$3, 0))/1000</f>
        <v>0</v>
      </c>
      <c r="DG63" s="229">
        <f t="array" ref="DG63">INDEX(Demand_current!$D$4:$AY$138, MATCH($A63, Demand_current!$B$4:$B$138, 0), MATCH(DG$4&amp;DG$5,Demand_current!$D$2:$AY$2&amp;Demand_current!$D$3:$AY$3, 0))/1000</f>
        <v>0</v>
      </c>
      <c r="DH63" s="229">
        <f t="array" ref="DH63">INDEX(Demand_current!$D$4:$AY$138, MATCH($A63, Demand_current!$B$4:$B$138, 0), MATCH(DH$4&amp;DH$5,Demand_current!$D$2:$AY$2&amp;Demand_current!$D$3:$AY$3, 0))/1000</f>
        <v>0</v>
      </c>
      <c r="DI63" s="229">
        <f t="array" ref="DI63">INDEX(Demand_current!$D$4:$AY$138, MATCH($A63, Demand_current!$B$4:$B$138, 0), MATCH(DI$4&amp;DI$5,Demand_current!$D$2:$AY$2&amp;Demand_current!$D$3:$AY$3, 0))/1000</f>
        <v>0</v>
      </c>
      <c r="DJ63" s="227">
        <f>$BT63*(VLOOKUP(DJ$4, Rates_current!$G$6:$Q$29, 10, FALSE)+VLOOKUP(DJ$4, Rates_current!$G$6:$Q$29, 11, FALSE))</f>
        <v>21661.220161594796</v>
      </c>
      <c r="DK63" s="227">
        <f>$BT63*(VLOOKUP(DK$4, Rates_current!$G$6:$Q$29, 10, FALSE)+VLOOKUP(DK$4, Rates_current!$G$6:$Q$29, 11, FALSE))</f>
        <v>27516.506954120698</v>
      </c>
      <c r="DL63" s="227">
        <f>$BT63*(VLOOKUP(DL$4, Rates_current!$G$6:$Q$29, 10, FALSE)+VLOOKUP(DL$4, Rates_current!$G$6:$Q$29, 11, FALSE))</f>
        <v>27184.207899494802</v>
      </c>
      <c r="DM63" s="227">
        <f>$BT63*(VLOOKUP(DM$4, Rates_current!$G$6:$Q$29, 10, FALSE)+VLOOKUP(DM$4, Rates_current!$G$6:$Q$29, 11, FALSE))</f>
        <v>22659.6929970948</v>
      </c>
      <c r="DN63" s="227">
        <f>$BT63*(VLOOKUP(DN$4, Rates_current!$G$6:$Q$29, 10, FALSE)+VLOOKUP(DN$4, Rates_current!$G$6:$Q$29, 11, FALSE))</f>
        <v>20527.331093839999</v>
      </c>
      <c r="DO63" s="227">
        <f>$BT63*(VLOOKUP(DO$4, Rates_current!$G$6:$Q$29, 10, FALSE)+VLOOKUP(DO$4, Rates_current!$G$6:$Q$29, 11, FALSE))</f>
        <v>22832.913343248099</v>
      </c>
      <c r="DP63" s="227">
        <f>$BT63*(VLOOKUP(DP$4, Rates_current!$G$6:$Q$29, 10, FALSE)+VLOOKUP(DP$4, Rates_current!$G$6:$Q$29, 11, FALSE))</f>
        <v>18590.582683223998</v>
      </c>
      <c r="DQ63" s="227">
        <f>$BT63*(VLOOKUP(DQ$4, Rates_current!$G$6:$Q$29, 10, FALSE)+VLOOKUP(DQ$4, Rates_current!$G$6:$Q$29, 11, FALSE))</f>
        <v>25072.172911244801</v>
      </c>
      <c r="DR63" s="227">
        <f>$BT63*(VLOOKUP(DR$4, Rates_current!$G$6:$Q$29, 10, FALSE)+VLOOKUP(DR$4, Rates_current!$G$6:$Q$29, 11, FALSE))</f>
        <v>31990.387440574003</v>
      </c>
      <c r="DS63" s="227">
        <f>$BT63*(VLOOKUP(DS$4, Rates_current!$G$6:$Q$29, 10, FALSE)+VLOOKUP(DS$4, Rates_current!$G$6:$Q$29, 11, FALSE))</f>
        <v>25081.478104794802</v>
      </c>
      <c r="DT63" s="227">
        <f>$BT63*(VLOOKUP(DT$4, Rates_current!$G$6:$Q$29, 10, FALSE)+VLOOKUP(DT$4, Rates_current!$G$6:$Q$29, 11, FALSE))</f>
        <v>24424.365368144801</v>
      </c>
      <c r="DU63" s="227">
        <f>$BT63*(VLOOKUP(DU$4, Rates_current!$G$6:$Q$29, 10, FALSE)+VLOOKUP(DU$4, Rates_current!$G$6:$Q$29, 11, FALSE))</f>
        <v>21927.884368524003</v>
      </c>
      <c r="DV63" s="229">
        <f>IF(D63=0,IF(C63=0,MAX(0,DY63 - (VLOOKUP($A63,TOCA_current!$A$2:$AI$137,MATCH("RHWM 2020",TOCA_current!$A$2:$AI$2,0),FALSE)*$BT$2)), 0),0)</f>
        <v>0</v>
      </c>
      <c r="DW63" s="266">
        <f>VLOOKUP($A63,REP_current!$A$1:$D$135,MATCH("FY "&amp;$BT$1&amp; " Total Refund",REP_current!$A$1:$D$1,0),0)</f>
        <v>0</v>
      </c>
      <c r="DX63" s="295">
        <f>MIN(VLOOKUP($A63,TOCA_current!$A$2:$AI$137,MATCH("TRL - NLSL - Existing Resource "&amp;$BT$1,TOCA_current!$A$2:$AI$2,0),FALSE)*$BT$2, VLOOKUP($A63,TOCA_current!$A$2:$AI$137,MATCH("RHWM 2020",TOCA_current!$A$2:$AI$2,0),FALSE)*$BT$2)</f>
        <v>289467.93599999999</v>
      </c>
      <c r="DY63" s="240">
        <f>SUM(BZ63:CW63)+(BT63*RT1SC!$C$4*$BT$2)</f>
        <v>289468.75419095036</v>
      </c>
      <c r="DZ63" s="271">
        <f>VLOOKUP($A63,TOCA_current!$A$2:$AI$137,MATCH("Above RHWM Not Served with LS "&amp;$BT$1,TOCA_current!$A$2:$AI$2,0),FALSE)*$BT$2</f>
        <v>33080.544000000002</v>
      </c>
      <c r="EA63" s="244">
        <f t="shared" si="13"/>
        <v>0.81819095037644729</v>
      </c>
      <c r="EB63" s="295">
        <f>(VLOOKUP($A63,TOCA_current!$A$2:$AI$137,MATCH("RHWM 2020",TOCA_current!$A$2:$AI$2,0),FALSE)*$BT$2) - $DX63</f>
        <v>0</v>
      </c>
      <c r="EC63" s="240">
        <f t="shared" si="14"/>
        <v>0</v>
      </c>
      <c r="ED63" s="240">
        <f t="shared" si="15"/>
        <v>0</v>
      </c>
      <c r="EE63" s="240">
        <f t="shared" si="16"/>
        <v>0</v>
      </c>
      <c r="EF63" s="240">
        <f t="shared" si="17"/>
        <v>0</v>
      </c>
    </row>
    <row r="64" spans="1:136">
      <c r="A64" s="166">
        <v>10174</v>
      </c>
      <c r="B64" s="167" t="s">
        <v>65</v>
      </c>
      <c r="C64" s="240">
        <v>0</v>
      </c>
      <c r="D64" s="240">
        <v>0</v>
      </c>
      <c r="E64" s="150">
        <f>VLOOKUP($A64,TOCA_previous!$A$2:$AI$137,MATCH(E$4,TOCA_previous!$A$2:$AI$2,0),FALSE)</f>
        <v>7.1899999999999999E-5</v>
      </c>
      <c r="F64" s="151">
        <f>VLOOKUP($A64,TOCA_previous!$A$2:$AI$137,MATCH(F$4,TOCA_previous!$A$2:$AI$2,0),FALSE)</f>
        <v>7.1899999999999999E-5</v>
      </c>
      <c r="G64" s="151">
        <f t="shared" si="2"/>
        <v>0</v>
      </c>
      <c r="H64" s="151">
        <f>VLOOKUP($A64,TOCA_previous!$A$2:$AI$137,MATCH(H$4,TOCA_previous!$A$2:$AI$2,0),FALSE)</f>
        <v>0</v>
      </c>
      <c r="I64" s="151">
        <f t="shared" si="3"/>
        <v>0</v>
      </c>
      <c r="J64" s="151">
        <f t="shared" si="4"/>
        <v>0</v>
      </c>
      <c r="K64" s="226">
        <f>VLOOKUP(A64, IRD!$A$5:$C$139, 3, FALSE)</f>
        <v>0</v>
      </c>
      <c r="L64" s="227">
        <f t="array" ref="L64">IF($G64=0, INDEX(LS_previous!$D$4:$AY$138, MATCH('Staging Table'!$A64, LS_previous!$B$4:$B$138, 0), MATCH(L$4&amp;L$5, LS_previous!$D$2:$AY$2&amp;LS_previous!$D$3:$AY$3, 0)),SUM(VLOOKUP($A64, LS_previous!$B$4:$AY$138, LS_previous!D$149, FALSE), VLOOKUP('Staging Table'!$A64, LS_previous!$B$4:$AY$138,LS_previous!AB$149, FALSE))/2)</f>
        <v>-48</v>
      </c>
      <c r="M64" s="227">
        <f t="array" ref="M64">IF($G64=0, INDEX(LS_previous!$D$4:$AY$138, MATCH('Staging Table'!$A64, LS_previous!$B$4:$B$138, 0), MATCH(M$4&amp;M$5, LS_previous!$D$2:$AY$2&amp;LS_previous!$D$3:$AY$3, 0)),SUM(VLOOKUP($A64, LS_previous!$B$4:$AY$138, LS_previous!E$149, FALSE), VLOOKUP('Staging Table'!$A64, LS_previous!$B$4:$AY$138,LS_previous!AC$149, FALSE))/2)</f>
        <v>-3</v>
      </c>
      <c r="N64" s="227">
        <f t="array" ref="N64">IF($G64=0, INDEX(LS_previous!$D$4:$AY$138, MATCH('Staging Table'!$A64, LS_previous!$B$4:$B$138, 0), MATCH(N$4&amp;N$5, LS_previous!$D$2:$AY$2&amp;LS_previous!$D$3:$AY$3, 0)),SUM(VLOOKUP($A64, LS_previous!$B$4:$AY$138, LS_previous!F$149, FALSE), VLOOKUP('Staging Table'!$A64, LS_previous!$B$4:$AY$138,LS_previous!AD$149, FALSE))/2)</f>
        <v>-44</v>
      </c>
      <c r="O64" s="227">
        <f t="array" ref="O64">IF($G64=0, INDEX(LS_previous!$D$4:$AY$138, MATCH('Staging Table'!$A64, LS_previous!$B$4:$B$138, 0), MATCH(O$4&amp;O$5, LS_previous!$D$2:$AY$2&amp;LS_previous!$D$3:$AY$3, 0)),SUM(VLOOKUP($A64, LS_previous!$B$4:$AY$138, LS_previous!G$149, FALSE), VLOOKUP('Staging Table'!$A64, LS_previous!$B$4:$AY$138,LS_previous!AE$149, FALSE))/2)</f>
        <v>16</v>
      </c>
      <c r="P64" s="227">
        <f t="array" ref="P64">IF($G64=0, INDEX(LS_previous!$D$4:$AY$138, MATCH('Staging Table'!$A64, LS_previous!$B$4:$B$138, 0), MATCH(P$4&amp;P$5, LS_previous!$D$2:$AY$2&amp;LS_previous!$D$3:$AY$3, 0)),SUM(VLOOKUP($A64, LS_previous!$B$4:$AY$138, LS_previous!H$149, FALSE), VLOOKUP('Staging Table'!$A64, LS_previous!$B$4:$AY$138,LS_previous!AF$149, FALSE))/2)</f>
        <v>28</v>
      </c>
      <c r="Q64" s="227">
        <f t="array" ref="Q64">IF($G64=0, INDEX(LS_previous!$D$4:$AY$138, MATCH('Staging Table'!$A64, LS_previous!$B$4:$B$138, 0), MATCH(Q$4&amp;Q$5, LS_previous!$D$2:$AY$2&amp;LS_previous!$D$3:$AY$3, 0)),SUM(VLOOKUP($A64, LS_previous!$B$4:$AY$138, LS_previous!I$149, FALSE), VLOOKUP('Staging Table'!$A64, LS_previous!$B$4:$AY$138,LS_previous!AG$149, FALSE))/2)</f>
        <v>83</v>
      </c>
      <c r="R64" s="227">
        <f t="array" ref="R64">IF($G64=0, INDEX(LS_previous!$D$4:$AY$138, MATCH('Staging Table'!$A64, LS_previous!$B$4:$B$138, 0), MATCH(R$4&amp;R$5, LS_previous!$D$2:$AY$2&amp;LS_previous!$D$3:$AY$3, 0)),SUM(VLOOKUP($A64, LS_previous!$B$4:$AY$138, LS_previous!J$149, FALSE), VLOOKUP('Staging Table'!$A64, LS_previous!$B$4:$AY$138,LS_previous!AH$149, FALSE))/2)</f>
        <v>83</v>
      </c>
      <c r="S64" s="227">
        <f t="array" ref="S64">IF($G64=0, INDEX(LS_previous!$D$4:$AY$138, MATCH('Staging Table'!$A64, LS_previous!$B$4:$B$138, 0), MATCH(S$4&amp;S$5, LS_previous!$D$2:$AY$2&amp;LS_previous!$D$3:$AY$3, 0)),SUM(VLOOKUP($A64, LS_previous!$B$4:$AY$138, LS_previous!K$149, FALSE), VLOOKUP('Staging Table'!$A64, LS_previous!$B$4:$AY$138,LS_previous!AI$149, FALSE))/2)</f>
        <v>102</v>
      </c>
      <c r="T64" s="227">
        <f t="array" ref="T64">IF($G64=0, INDEX(LS_previous!$D$4:$AY$138, MATCH('Staging Table'!$A64, LS_previous!$B$4:$B$138, 0), MATCH(T$4&amp;T$5, LS_previous!$D$2:$AY$2&amp;LS_previous!$D$3:$AY$3, 0)),SUM(VLOOKUP($A64, LS_previous!$B$4:$AY$138, LS_previous!L$149, FALSE), VLOOKUP('Staging Table'!$A64, LS_previous!$B$4:$AY$138,LS_previous!AJ$149, FALSE))/2)</f>
        <v>74</v>
      </c>
      <c r="U64" s="227">
        <f t="array" ref="U64">IF($G64=0, INDEX(LS_previous!$D$4:$AY$138, MATCH('Staging Table'!$A64, LS_previous!$B$4:$B$138, 0), MATCH(U$4&amp;U$5, LS_previous!$D$2:$AY$2&amp;LS_previous!$D$3:$AY$3, 0)),SUM(VLOOKUP($A64, LS_previous!$B$4:$AY$138, LS_previous!M$149, FALSE), VLOOKUP('Staging Table'!$A64, LS_previous!$B$4:$AY$138,LS_previous!AK$149, FALSE))/2)</f>
        <v>85</v>
      </c>
      <c r="V64" s="227">
        <f t="array" ref="V64">IF($G64=0, INDEX(LS_previous!$D$4:$AY$138, MATCH('Staging Table'!$A64, LS_previous!$B$4:$B$138, 0), MATCH(V$4&amp;V$5, LS_previous!$D$2:$AY$2&amp;LS_previous!$D$3:$AY$3, 0)),SUM(VLOOKUP($A64, LS_previous!$B$4:$AY$138, LS_previous!N$149, FALSE), VLOOKUP('Staging Table'!$A64, LS_previous!$B$4:$AY$138,LS_previous!AL$149, FALSE))/2)</f>
        <v>-12</v>
      </c>
      <c r="W64" s="227">
        <f t="array" ref="W64">IF($G64=0, INDEX(LS_previous!$D$4:$AY$138, MATCH('Staging Table'!$A64, LS_previous!$B$4:$B$138, 0), MATCH(W$4&amp;W$5, LS_previous!$D$2:$AY$2&amp;LS_previous!$D$3:$AY$3, 0)),SUM(VLOOKUP($A64, LS_previous!$B$4:$AY$138, LS_previous!O$149, FALSE), VLOOKUP('Staging Table'!$A64, LS_previous!$B$4:$AY$138,LS_previous!AM$149, FALSE))/2)</f>
        <v>36</v>
      </c>
      <c r="X64" s="227">
        <f t="array" ref="X64">IF($G64=0, INDEX(LS_previous!$D$4:$AY$138, MATCH('Staging Table'!$A64, LS_previous!$B$4:$B$138, 0), MATCH(X$4&amp;X$5, LS_previous!$D$2:$AY$2&amp;LS_previous!$D$3:$AY$3, 0)),SUM(VLOOKUP($A64, LS_previous!$B$4:$AY$138, LS_previous!P$149, FALSE), VLOOKUP('Staging Table'!$A64, LS_previous!$B$4:$AY$138,LS_previous!AN$149, FALSE))/2)</f>
        <v>-29</v>
      </c>
      <c r="Y64" s="227">
        <f t="array" ref="Y64">IF($G64=0, INDEX(LS_previous!$D$4:$AY$138, MATCH('Staging Table'!$A64, LS_previous!$B$4:$B$138, 0), MATCH(Y$4&amp;Y$5, LS_previous!$D$2:$AY$2&amp;LS_previous!$D$3:$AY$3, 0)),SUM(VLOOKUP($A64, LS_previous!$B$4:$AY$138, LS_previous!Q$149, FALSE), VLOOKUP('Staging Table'!$A64, LS_previous!$B$4:$AY$138,LS_previous!AO$149, FALSE))/2)</f>
        <v>12</v>
      </c>
      <c r="Z64" s="227">
        <f t="array" ref="Z64">IF($G64=0, INDEX(LS_previous!$D$4:$AY$138, MATCH('Staging Table'!$A64, LS_previous!$B$4:$B$138, 0), MATCH(Z$4&amp;Z$5, LS_previous!$D$2:$AY$2&amp;LS_previous!$D$3:$AY$3, 0)),SUM(VLOOKUP($A64, LS_previous!$B$4:$AY$138, LS_previous!R$149, FALSE), VLOOKUP('Staging Table'!$A64, LS_previous!$B$4:$AY$138,LS_previous!AP$149, FALSE))/2)</f>
        <v>-143</v>
      </c>
      <c r="AA64" s="227">
        <f t="array" ref="AA64">IF($G64=0, INDEX(LS_previous!$D$4:$AY$138, MATCH('Staging Table'!$A64, LS_previous!$B$4:$B$138, 0), MATCH(AA$4&amp;AA$5, LS_previous!$D$2:$AY$2&amp;LS_previous!$D$3:$AY$3, 0)),SUM(VLOOKUP($A64, LS_previous!$B$4:$AY$138, LS_previous!S$149, FALSE), VLOOKUP('Staging Table'!$A64, LS_previous!$B$4:$AY$138,LS_previous!AQ$149, FALSE))/2)</f>
        <v>-47</v>
      </c>
      <c r="AB64" s="227">
        <f t="array" ref="AB64">IF($G64=0, INDEX(LS_previous!$D$4:$AY$138, MATCH('Staging Table'!$A64, LS_previous!$B$4:$B$138, 0), MATCH(AB$4&amp;AB$5, LS_previous!$D$2:$AY$2&amp;LS_previous!$D$3:$AY$3, 0)),SUM(VLOOKUP($A64, LS_previous!$B$4:$AY$138, LS_previous!T$149, FALSE), VLOOKUP('Staging Table'!$A64, LS_previous!$B$4:$AY$138,LS_previous!AR$149, FALSE))/2)</f>
        <v>-55</v>
      </c>
      <c r="AC64" s="227">
        <f t="array" ref="AC64">IF($G64=0, INDEX(LS_previous!$D$4:$AY$138, MATCH('Staging Table'!$A64, LS_previous!$B$4:$B$138, 0), MATCH(AC$4&amp;AC$5, LS_previous!$D$2:$AY$2&amp;LS_previous!$D$3:$AY$3, 0)),SUM(VLOOKUP($A64, LS_previous!$B$4:$AY$138, LS_previous!U$149, FALSE), VLOOKUP('Staging Table'!$A64, LS_previous!$B$4:$AY$138,LS_previous!AS$149, FALSE))/2)</f>
        <v>-12</v>
      </c>
      <c r="AD64" s="227">
        <f t="array" ref="AD64">IF($G64=0, INDEX(LS_previous!$D$4:$AY$138, MATCH('Staging Table'!$A64, LS_previous!$B$4:$B$138, 0), MATCH(AD$4&amp;AD$5, LS_previous!$D$2:$AY$2&amp;LS_previous!$D$3:$AY$3, 0)),SUM(VLOOKUP($A64, LS_previous!$B$4:$AY$138, LS_previous!V$149, FALSE), VLOOKUP('Staging Table'!$A64, LS_previous!$B$4:$AY$138,LS_previous!AT$149, FALSE))/2)</f>
        <v>-13</v>
      </c>
      <c r="AE64" s="227">
        <f t="array" ref="AE64">IF($G64=0, INDEX(LS_previous!$D$4:$AY$138, MATCH('Staging Table'!$A64, LS_previous!$B$4:$B$138, 0), MATCH(AE$4&amp;AE$5, LS_previous!$D$2:$AY$2&amp;LS_previous!$D$3:$AY$3, 0)),SUM(VLOOKUP($A64, LS_previous!$B$4:$AY$138, LS_previous!W$149, FALSE), VLOOKUP('Staging Table'!$A64, LS_previous!$B$4:$AY$138,LS_previous!AU$149, FALSE))/2)</f>
        <v>16</v>
      </c>
      <c r="AF64" s="227">
        <f t="array" ref="AF64">IF($G64=0, INDEX(LS_previous!$D$4:$AY$138, MATCH('Staging Table'!$A64, LS_previous!$B$4:$B$138, 0), MATCH(AF$4&amp;AF$5, LS_previous!$D$2:$AY$2&amp;LS_previous!$D$3:$AY$3, 0)),SUM(VLOOKUP($A64, LS_previous!$B$4:$AY$138, LS_previous!X$149, FALSE), VLOOKUP('Staging Table'!$A64, LS_previous!$B$4:$AY$138,LS_previous!AV$149, FALSE))/2)</f>
        <v>-61</v>
      </c>
      <c r="AG64" s="227">
        <f t="array" ref="AG64">IF($G64=0, INDEX(LS_previous!$D$4:$AY$138, MATCH('Staging Table'!$A64, LS_previous!$B$4:$B$138, 0), MATCH(AG$4&amp;AG$5, LS_previous!$D$2:$AY$2&amp;LS_previous!$D$3:$AY$3, 0)),SUM(VLOOKUP($A64, LS_previous!$B$4:$AY$138, LS_previous!Y$149, FALSE), VLOOKUP('Staging Table'!$A64, LS_previous!$B$4:$AY$138,LS_previous!AW$149, FALSE))/2)</f>
        <v>-5</v>
      </c>
      <c r="AH64" s="227">
        <f t="array" ref="AH64">IF($G64=0, INDEX(LS_previous!$D$4:$AY$138, MATCH('Staging Table'!$A64, LS_previous!$B$4:$B$138, 0), MATCH(AH$4&amp;AH$5, LS_previous!$D$2:$AY$2&amp;LS_previous!$D$3:$AY$3, 0)),SUM(VLOOKUP($A64, LS_previous!$B$4:$AY$138, LS_previous!Z$149, FALSE), VLOOKUP('Staging Table'!$A64, LS_previous!$B$4:$AY$138,LS_previous!AX$149, FALSE))/2)</f>
        <v>-57</v>
      </c>
      <c r="AI64" s="227">
        <f t="array" ref="AI64">IF($G64=0, INDEX(LS_previous!$D$4:$AY$138, MATCH('Staging Table'!$A64, LS_previous!$B$4:$B$138, 0), MATCH(AI$4&amp;AI$5, LS_previous!$D$2:$AY$2&amp;LS_previous!$D$3:$AY$3, 0)),SUM(VLOOKUP($A64, LS_previous!$B$4:$AY$138, LS_previous!AA$149, FALSE), VLOOKUP('Staging Table'!$A64, LS_previous!$B$4:$AY$138,LS_previous!AY$149, FALSE))/2)</f>
        <v>-13</v>
      </c>
      <c r="AJ64" s="424">
        <f t="array" ref="AJ64">INDEX(Demand_previous!$D$4:$AY$138, MATCH('Staging Table'!$A64, Demand_previous!$B$4:$B$138, 0), MATCH(AJ$4&amp;AJ$5,Demand_previous!$D$2:$AY$2&amp;Demand_previous!$D$3:$AY$3, 0))/1000</f>
        <v>8.1000000000000003E-2</v>
      </c>
      <c r="AK64" s="424">
        <f t="array" ref="AK64">INDEX(Demand_previous!$D$4:$AY$138, MATCH('Staging Table'!$A64, Demand_previous!$B$4:$B$138, 0), MATCH(AK$4&amp;AK$5,Demand_previous!$D$2:$AY$2&amp;Demand_previous!$D$3:$AY$3, 0))/1000</f>
        <v>4.8000000000000001E-2</v>
      </c>
      <c r="AL64" s="424">
        <f t="array" ref="AL64">INDEX(Demand_previous!$D$4:$AY$138, MATCH('Staging Table'!$A64, Demand_previous!$B$4:$B$138, 0), MATCH(AL$4&amp;AL$5,Demand_previous!$D$2:$AY$2&amp;Demand_previous!$D$3:$AY$3, 0))/1000</f>
        <v>0.21099999999999999</v>
      </c>
      <c r="AM64" s="424">
        <f t="array" ref="AM64">INDEX(Demand_previous!$D$4:$AY$138, MATCH('Staging Table'!$A64, Demand_previous!$B$4:$B$138, 0), MATCH(AM$4&amp;AM$5,Demand_previous!$D$2:$AY$2&amp;Demand_previous!$D$3:$AY$3, 0))/1000</f>
        <v>0.20899999999999999</v>
      </c>
      <c r="AN64" s="424">
        <f t="array" ref="AN64">INDEX(Demand_previous!$D$4:$AY$138, MATCH('Staging Table'!$A64, Demand_previous!$B$4:$B$138, 0), MATCH(AN$4&amp;AN$5,Demand_previous!$D$2:$AY$2&amp;Demand_previous!$D$3:$AY$3, 0))/1000</f>
        <v>5.8000000000000003E-2</v>
      </c>
      <c r="AO64" s="424">
        <f t="array" ref="AO64">INDEX(Demand_previous!$D$4:$AY$138, MATCH('Staging Table'!$A64, Demand_previous!$B$4:$B$138, 0), MATCH(AO$4&amp;AO$5,Demand_previous!$D$2:$AY$2&amp;Demand_previous!$D$3:$AY$3, 0))/1000</f>
        <v>0.184</v>
      </c>
      <c r="AP64" s="424">
        <f t="array" ref="AP64">INDEX(Demand_previous!$D$4:$AY$138, MATCH('Staging Table'!$A64, Demand_previous!$B$4:$B$138, 0), MATCH(AP$4&amp;AP$5,Demand_previous!$D$2:$AY$2&amp;Demand_previous!$D$3:$AY$3, 0))/1000</f>
        <v>4.4999999999999998E-2</v>
      </c>
      <c r="AQ64" s="424">
        <f t="array" ref="AQ64">INDEX(Demand_previous!$D$4:$AY$138, MATCH('Staging Table'!$A64, Demand_previous!$B$4:$B$138, 0), MATCH(AQ$4&amp;AQ$5,Demand_previous!$D$2:$AY$2&amp;Demand_previous!$D$3:$AY$3, 0))/1000</f>
        <v>7.3999999999999996E-2</v>
      </c>
      <c r="AR64" s="424">
        <f t="array" ref="AR64">INDEX(Demand_previous!$D$4:$AY$138, MATCH('Staging Table'!$A64, Demand_previous!$B$4:$B$138, 0), MATCH(AR$4&amp;AR$5,Demand_previous!$D$2:$AY$2&amp;Demand_previous!$D$3:$AY$3, 0))/1000</f>
        <v>8.2000000000000003E-2</v>
      </c>
      <c r="AS64" s="424">
        <f t="array" ref="AS64">INDEX(Demand_previous!$D$4:$AY$138, MATCH('Staging Table'!$A64, Demand_previous!$B$4:$B$138, 0), MATCH(AS$4&amp;AS$5,Demand_previous!$D$2:$AY$2&amp;Demand_previous!$D$3:$AY$3, 0))/1000</f>
        <v>4.1000000000000002E-2</v>
      </c>
      <c r="AT64" s="424">
        <f t="array" ref="AT64">INDEX(Demand_previous!$D$4:$AY$138, MATCH('Staging Table'!$A64, Demand_previous!$B$4:$B$138, 0), MATCH(AT$4&amp;AT$5,Demand_previous!$D$2:$AY$2&amp;Demand_previous!$D$3:$AY$3, 0))/1000</f>
        <v>5.7000000000000002E-2</v>
      </c>
      <c r="AU64" s="424">
        <f t="array" ref="AU64">INDEX(Demand_previous!$D$4:$AY$138, MATCH('Staging Table'!$A64, Demand_previous!$B$4:$B$138, 0), MATCH(AU$4&amp;AU$5,Demand_previous!$D$2:$AY$2&amp;Demand_previous!$D$3:$AY$3, 0))/1000</f>
        <v>0</v>
      </c>
      <c r="AV64" s="227">
        <f>$F64*(VLOOKUP(AV$4, Rates_previous!$G$6:$Q$29, 10, FALSE)+VLOOKUP(AV$4, Rates_previous!$G$6:$Q$29, 11, FALSE))</f>
        <v>337.12743511580504</v>
      </c>
      <c r="AW64" s="227">
        <f>$F64*(VLOOKUP(AW$4, Rates_previous!$G$6:$Q$29, 10, FALSE)+VLOOKUP(AW$4, Rates_previous!$G$6:$Q$29, 11, FALSE))</f>
        <v>416.66388676016413</v>
      </c>
      <c r="AX64" s="227">
        <f>$F64*(VLOOKUP(AX$4, Rates_previous!$G$6:$Q$29, 10, FALSE)+VLOOKUP(AX$4, Rates_previous!$G$6:$Q$29, 11, FALSE))</f>
        <v>411.66025183425472</v>
      </c>
      <c r="AY64" s="227">
        <f>$F64*(VLOOKUP(AY$4, Rates_previous!$G$6:$Q$29, 10, FALSE)+VLOOKUP(AY$4, Rates_previous!$G$6:$Q$29, 11, FALSE))</f>
        <v>351.72444749000397</v>
      </c>
      <c r="AZ64" s="227">
        <f>$F64*(VLOOKUP(AZ$4, Rates_previous!$G$6:$Q$29, 10, FALSE)+VLOOKUP(AZ$4, Rates_previous!$G$6:$Q$29, 11, FALSE))</f>
        <v>288.34582254697358</v>
      </c>
      <c r="BA64" s="227">
        <f>$F64*(VLOOKUP(BA$4, Rates_previous!$G$6:$Q$29, 10, FALSE)+VLOOKUP(BA$4, Rates_previous!$G$6:$Q$29, 11, FALSE))</f>
        <v>341.39098020332392</v>
      </c>
      <c r="BB64" s="227">
        <f>$F64*(VLOOKUP(BB$4, Rates_previous!$G$6:$Q$29, 10, FALSE)+VLOOKUP(BB$4, Rates_previous!$G$6:$Q$29, 11, FALSE))</f>
        <v>328.12639032306555</v>
      </c>
      <c r="BC64" s="227">
        <f>$F64*(VLOOKUP(BC$4, Rates_previous!$G$6:$Q$29, 10, FALSE)+VLOOKUP(BC$4, Rates_previous!$G$6:$Q$29, 11, FALSE))</f>
        <v>481.50225867418783</v>
      </c>
      <c r="BD64" s="227">
        <f>$F64*(VLOOKUP(BD$4, Rates_previous!$G$6:$Q$29, 10, FALSE)+VLOOKUP(BD$4, Rates_previous!$G$6:$Q$29, 11, FALSE))</f>
        <v>379.89255583411062</v>
      </c>
      <c r="BE64" s="227">
        <f>$F64*(VLOOKUP(BE$4, Rates_previous!$G$6:$Q$29, 10, FALSE)+VLOOKUP(BE$4, Rates_previous!$G$6:$Q$29, 11, FALSE))</f>
        <v>333.5775505054645</v>
      </c>
      <c r="BF64" s="227">
        <f>$F64*(VLOOKUP(BF$4, Rates_previous!$G$6:$Q$29, 10, FALSE)+VLOOKUP(BF$4, Rates_previous!$G$6:$Q$29, 11, FALSE))</f>
        <v>369.45048953119368</v>
      </c>
      <c r="BG64" s="227">
        <f>$F64*(VLOOKUP(BG$4, Rates_previous!$G$6:$Q$29, 10, FALSE)+VLOOKUP(BG$4, Rates_previous!$G$6:$Q$29, 11, FALSE))</f>
        <v>334.70745139010404</v>
      </c>
      <c r="BH64" s="229">
        <f>IF($D64=0,IF(C64=0, MAX(BK64 - (VLOOKUP($A64,TOCA_previous!$A$2:$AI$137,MATCH("RHWM 2018",TOCA_previous!$A$2:$AI$2,0),FALSE)*$F$2*TOCA_previous!C61),0),0), 0)</f>
        <v>0</v>
      </c>
      <c r="BI64" s="266">
        <f>VLOOKUP($A64,REP_previous!$A$1:$D$135,MATCH("FY "&amp;$F$1&amp; " Total Refund",REP_previous!$A$1:$D$1,0),0)</f>
        <v>2852.0813740465292</v>
      </c>
      <c r="BJ64" s="241">
        <f>MIN(VLOOKUP($A64,TOCA_previous!$A$2:$AI$137,MATCH("TRL - NLSL - Existing Resource "&amp;$F$1,TOCA_previous!$A$2:$AI$2,0),FALSE)*$F$2,(VLOOKUP($A64,TOCA_previous!$A$2:$AI$137,MATCH("RHWM 2018",TOCA_previous!$A$2:$AI$2,0),FALSE)*$F$2))</f>
        <v>4371.24</v>
      </c>
      <c r="BK64" s="229">
        <f>SUM(L64:AI64)+(F64*RT1SC!$C$3*$F$2)</f>
        <v>4367.169584024</v>
      </c>
      <c r="BL64" s="241">
        <f>VLOOKUP($A64,TOCA_previous!$A$2:$AI$137,MATCH("Above RHWM Not Served with LS "&amp;$F$1,TOCA_previous!$A$2:$AI$2,0),FALSE)*$F$2</f>
        <v>0</v>
      </c>
      <c r="BM64" s="151">
        <f t="shared" si="5"/>
        <v>-4.070415975999822</v>
      </c>
      <c r="BN64" s="242">
        <f>(VLOOKUP($A64,TOCA_previous!$A$2:$AI$137,MATCH("RHWM 2018",TOCA_previous!$A$2:$AI$2,0),FALSE)*$F$2) - $BJ64</f>
        <v>0</v>
      </c>
      <c r="BO64" s="151">
        <f t="shared" si="6"/>
        <v>0</v>
      </c>
      <c r="BP64" s="243">
        <f t="shared" si="7"/>
        <v>4.070415975999822</v>
      </c>
      <c r="BQ64" s="237">
        <f t="shared" si="8"/>
        <v>0</v>
      </c>
      <c r="BR64" s="242">
        <f t="shared" si="9"/>
        <v>4.070415975999822</v>
      </c>
      <c r="BS64" s="151">
        <f>VLOOKUP($A64,TOCA_current!$A$2:$AI$137,MATCH(BS$4,TOCA_current!$A$2:$AI$2,0),FALSE)</f>
        <v>7.08E-5</v>
      </c>
      <c r="BT64" s="151">
        <f>VLOOKUP($A64,TOCA_current!$A$2:$AI$137,MATCH(BT$4,TOCA_current!$A$2:$AI$2,0),FALSE)</f>
        <v>7.08E-5</v>
      </c>
      <c r="BU64" s="236">
        <f t="shared" si="10"/>
        <v>0</v>
      </c>
      <c r="BV64" s="151">
        <f>VLOOKUP($A64,TOCA_current!A60:BG195,MATCH(BV$4,TOCA_current!$A$2:$BG$2,0),FALSE)</f>
        <v>0</v>
      </c>
      <c r="BW64" s="151">
        <f t="shared" si="11"/>
        <v>0</v>
      </c>
      <c r="BX64" s="151">
        <f t="shared" si="12"/>
        <v>0</v>
      </c>
      <c r="BY64" s="226">
        <f>VLOOKUP($A64,IRD!$A$4:$G$139, 7, FALSE)</f>
        <v>0</v>
      </c>
      <c r="BZ64" s="227">
        <f t="array" ref="BZ64">IF($BU64=0, INDEX(LS_current!$D$4:$AY$138, MATCH('Staging Table'!$A64, LS_current!$B$4:$B$138, 0), MATCH(BZ$4&amp;BZ$5, LS_current!$D$2:$AY$2&amp;LS_current!$D$3:$AY$3, 0)),SUM(VLOOKUP($A64, LS_current!$B$4:$AY$138, LS_current!D$148, FALSE), VLOOKUP($A64, LS_current!$B$4:$AY$138,LS_current!D$148, FALSE))/2)</f>
        <v>-42</v>
      </c>
      <c r="CA64" s="227">
        <f t="array" ref="CA64">IF($BU64=0, INDEX(LS_current!$D$4:$AY$138, MATCH('Staging Table'!$A64, LS_current!$B$4:$B$138, 0), MATCH(CA$4&amp;CA$5, LS_current!$D$2:$AY$2&amp;LS_current!$D$3:$AY$3, 0)),SUM(VLOOKUP($A64, LS_current!$B$4:$AY$138, LS_current!E$148, FALSE), VLOOKUP($A64, LS_current!$B$4:$AY$138,LS_current!E$148, FALSE))/2)</f>
        <v>1</v>
      </c>
      <c r="CB64" s="227">
        <f t="array" ref="CB64">IF($BU64=0, INDEX(LS_current!$D$4:$AY$138, MATCH('Staging Table'!$A64, LS_current!$B$4:$B$138, 0), MATCH(CB$4&amp;CB$5, LS_current!$D$2:$AY$2&amp;LS_current!$D$3:$AY$3, 0)),SUM(VLOOKUP($A64, LS_current!$B$4:$AY$138, LS_current!F$148, FALSE), VLOOKUP($A64, LS_current!$B$4:$AY$138,LS_current!F$148, FALSE))/2)</f>
        <v>-42</v>
      </c>
      <c r="CC64" s="227">
        <f t="array" ref="CC64">IF($BU64=0, INDEX(LS_current!$D$4:$AY$138, MATCH('Staging Table'!$A64, LS_current!$B$4:$B$138, 0), MATCH(CC$4&amp;CC$5, LS_current!$D$2:$AY$2&amp;LS_current!$D$3:$AY$3, 0)),SUM(VLOOKUP($A64, LS_current!$B$4:$AY$138, LS_current!G$148, FALSE), VLOOKUP($A64, LS_current!$B$4:$AY$138,LS_current!G$148, FALSE))/2)</f>
        <v>15</v>
      </c>
      <c r="CD64" s="227">
        <f t="array" ref="CD64">IF($BU64=0, INDEX(LS_current!$D$4:$AY$138, MATCH('Staging Table'!$A64, LS_current!$B$4:$B$138, 0), MATCH(CD$4&amp;CD$5, LS_current!$D$2:$AY$2&amp;LS_current!$D$3:$AY$3, 0)),SUM(VLOOKUP($A64, LS_current!$B$4:$AY$138, LS_current!H$148, FALSE), VLOOKUP($A64, LS_current!$B$4:$AY$138,LS_current!H$148, FALSE))/2)</f>
        <v>29</v>
      </c>
      <c r="CE64" s="227">
        <f t="array" ref="CE64">IF($BU64=0, INDEX(LS_current!$D$4:$AY$138, MATCH('Staging Table'!$A64, LS_current!$B$4:$B$138, 0), MATCH(CE$4&amp;CE$5, LS_current!$D$2:$AY$2&amp;LS_current!$D$3:$AY$3, 0)),SUM(VLOOKUP($A64, LS_current!$B$4:$AY$138, LS_current!I$148, FALSE), VLOOKUP($A64, LS_current!$B$4:$AY$138,LS_current!I$148, FALSE))/2)</f>
        <v>83</v>
      </c>
      <c r="CF64" s="227">
        <f t="array" ref="CF64">IF($BU64=0, INDEX(LS_current!$D$4:$AY$138, MATCH('Staging Table'!$A64, LS_current!$B$4:$B$138, 0), MATCH(CF$4&amp;CF$5, LS_current!$D$2:$AY$2&amp;LS_current!$D$3:$AY$3, 0)),SUM(VLOOKUP($A64, LS_current!$B$4:$AY$138, LS_current!J$148, FALSE), VLOOKUP($A64, LS_current!$B$4:$AY$138,LS_current!J$148, FALSE))/2)</f>
        <v>85</v>
      </c>
      <c r="CG64" s="227">
        <f t="array" ref="CG64">IF($BU64=0, INDEX(LS_current!$D$4:$AY$138, MATCH('Staging Table'!$A64, LS_current!$B$4:$B$138, 0), MATCH(CG$4&amp;CG$5, LS_current!$D$2:$AY$2&amp;LS_current!$D$3:$AY$3, 0)),SUM(VLOOKUP($A64, LS_current!$B$4:$AY$138, LS_current!K$148, FALSE), VLOOKUP($A64, LS_current!$B$4:$AY$138,LS_current!K$148, FALSE))/2)</f>
        <v>110</v>
      </c>
      <c r="CH64" s="227">
        <f t="array" ref="CH64">IF($BU64=0, INDEX(LS_current!$D$4:$AY$138, MATCH('Staging Table'!$A64, LS_current!$B$4:$B$138, 0), MATCH(CH$4&amp;CH$5, LS_current!$D$2:$AY$2&amp;LS_current!$D$3:$AY$3, 0)),SUM(VLOOKUP($A64, LS_current!$B$4:$AY$138, LS_current!L$148, FALSE), VLOOKUP($A64, LS_current!$B$4:$AY$138,LS_current!L$148, FALSE))/2)</f>
        <v>61</v>
      </c>
      <c r="CI64" s="227">
        <f t="array" ref="CI64">IF($BU64=0, INDEX(LS_current!$D$4:$AY$138, MATCH('Staging Table'!$A64, LS_current!$B$4:$B$138, 0), MATCH(CI$4&amp;CI$5, LS_current!$D$2:$AY$2&amp;LS_current!$D$3:$AY$3, 0)),SUM(VLOOKUP($A64, LS_current!$B$4:$AY$138, LS_current!M$148, FALSE), VLOOKUP($A64, LS_current!$B$4:$AY$138,LS_current!M$148, FALSE))/2)</f>
        <v>77</v>
      </c>
      <c r="CJ64" s="227">
        <f t="array" ref="CJ64">IF($BU64=0, INDEX(LS_current!$D$4:$AY$138, MATCH('Staging Table'!$A64, LS_current!$B$4:$B$138, 0), MATCH(CJ$4&amp;CJ$5, LS_current!$D$2:$AY$2&amp;LS_current!$D$3:$AY$3, 0)),SUM(VLOOKUP($A64, LS_current!$B$4:$AY$138, LS_current!N$148, FALSE), VLOOKUP($A64, LS_current!$B$4:$AY$138,LS_current!N$148, FALSE))/2)</f>
        <v>-15</v>
      </c>
      <c r="CK64" s="227">
        <f t="array" ref="CK64">IF($BU64=0, INDEX(LS_current!$D$4:$AY$138, MATCH('Staging Table'!$A64, LS_current!$B$4:$B$138, 0), MATCH(CK$4&amp;CK$5, LS_current!$D$2:$AY$2&amp;LS_current!$D$3:$AY$3, 0)),SUM(VLOOKUP($A64, LS_current!$B$4:$AY$138, LS_current!O$148, FALSE), VLOOKUP($A64, LS_current!$B$4:$AY$138,LS_current!O$148, FALSE))/2)</f>
        <v>36</v>
      </c>
      <c r="CL64" s="227">
        <f t="array" ref="CL64">IF($BU64=0, INDEX(LS_current!$D$4:$AY$138, MATCH('Staging Table'!$A64, LS_current!$B$4:$B$138, 0), MATCH(CL$4&amp;CL$5, LS_current!$D$2:$AY$2&amp;LS_current!$D$3:$AY$3, 0)),SUM(VLOOKUP($A64, LS_current!$B$4:$AY$138, LS_current!P$148, FALSE), VLOOKUP($A64, LS_current!$B$4:$AY$138,LS_current!P$148, FALSE))/2)</f>
        <v>5</v>
      </c>
      <c r="CM64" s="227">
        <f t="array" ref="CM64">IF($BU64=0, INDEX(LS_current!$D$4:$AY$138, MATCH('Staging Table'!$A64, LS_current!$B$4:$B$138, 0), MATCH(CM$4&amp;CM$5, LS_current!$D$2:$AY$2&amp;LS_current!$D$3:$AY$3, 0)),SUM(VLOOKUP($A64, LS_current!$B$4:$AY$138, LS_current!Q$148, FALSE), VLOOKUP($A64, LS_current!$B$4:$AY$138,LS_current!Q$148, FALSE))/2)</f>
        <v>25</v>
      </c>
      <c r="CN64" s="227">
        <f t="array" ref="CN64">IF($BU64=0, INDEX(LS_current!$D$4:$AY$138, MATCH('Staging Table'!$A64, LS_current!$B$4:$B$138, 0), MATCH(CN$4&amp;CN$5, LS_current!$D$2:$AY$2&amp;LS_current!$D$3:$AY$3, 0)),SUM(VLOOKUP($A64, LS_current!$B$4:$AY$138, LS_current!R$148, FALSE), VLOOKUP($A64, LS_current!$B$4:$AY$138,LS_current!R$148, FALSE))/2)</f>
        <v>-82</v>
      </c>
      <c r="CO64" s="227">
        <f t="array" ref="CO64">IF($BU64=0, INDEX(LS_current!$D$4:$AY$138, MATCH('Staging Table'!$A64, LS_current!$B$4:$B$138, 0), MATCH(CO$4&amp;CO$5, LS_current!$D$2:$AY$2&amp;LS_current!$D$3:$AY$3, 0)),SUM(VLOOKUP($A64, LS_current!$B$4:$AY$138, LS_current!S$148, FALSE), VLOOKUP($A64, LS_current!$B$4:$AY$138,LS_current!S$148, FALSE))/2)</f>
        <v>-5</v>
      </c>
      <c r="CP64" s="227">
        <f t="array" ref="CP64">IF($BU64=0, INDEX(LS_current!$D$4:$AY$138, MATCH('Staging Table'!$A64, LS_current!$B$4:$B$138, 0), MATCH(CP$4&amp;CP$5, LS_current!$D$2:$AY$2&amp;LS_current!$D$3:$AY$3, 0)),SUM(VLOOKUP($A64, LS_current!$B$4:$AY$138, LS_current!T$148, FALSE), VLOOKUP($A64, LS_current!$B$4:$AY$138,LS_current!T$148, FALSE))/2)</f>
        <v>-120</v>
      </c>
      <c r="CQ64" s="227">
        <f t="array" ref="CQ64">IF($BU64=0, INDEX(LS_current!$D$4:$AY$138, MATCH('Staging Table'!$A64, LS_current!$B$4:$B$138, 0), MATCH(CQ$4&amp;CQ$5, LS_current!$D$2:$AY$2&amp;LS_current!$D$3:$AY$3, 0)),SUM(VLOOKUP($A64, LS_current!$B$4:$AY$138, LS_current!U$148, FALSE), VLOOKUP($A64, LS_current!$B$4:$AY$138,LS_current!U$148, FALSE))/2)</f>
        <v>-50</v>
      </c>
      <c r="CR64" s="227">
        <f t="array" ref="CR64">IF($BU64=0, INDEX(LS_current!$D$4:$AY$138, MATCH('Staging Table'!$A64, LS_current!$B$4:$B$138, 0), MATCH(CR$4&amp;CR$5, LS_current!$D$2:$AY$2&amp;LS_current!$D$3:$AY$3, 0)),SUM(VLOOKUP($A64, LS_current!$B$4:$AY$138, LS_current!V$148, FALSE), VLOOKUP($A64, LS_current!$B$4:$AY$138,LS_current!V$148, FALSE))/2)</f>
        <v>-55</v>
      </c>
      <c r="CS64" s="227">
        <f t="array" ref="CS64">IF($BU64=0, INDEX(LS_current!$D$4:$AY$138, MATCH('Staging Table'!$A64, LS_current!$B$4:$B$138, 0), MATCH(CS$4&amp;CS$5, LS_current!$D$2:$AY$2&amp;LS_current!$D$3:$AY$3, 0)),SUM(VLOOKUP($A64, LS_current!$B$4:$AY$138, LS_current!W$148, FALSE), VLOOKUP($A64, LS_current!$B$4:$AY$138,LS_current!W$148, FALSE))/2)</f>
        <v>13</v>
      </c>
      <c r="CT64" s="227">
        <f t="array" ref="CT64">IF($BU64=0, INDEX(LS_current!$D$4:$AY$138, MATCH('Staging Table'!$A64, LS_current!$B$4:$B$138, 0), MATCH(CT$4&amp;CT$5, LS_current!$D$2:$AY$2&amp;LS_current!$D$3:$AY$3, 0)),SUM(VLOOKUP($A64, LS_current!$B$4:$AY$138, LS_current!X$148, FALSE), VLOOKUP($A64, LS_current!$B$4:$AY$138,LS_current!X$148, FALSE))/2)</f>
        <v>-66</v>
      </c>
      <c r="CU64" s="227">
        <f t="array" ref="CU64">IF($BU64=0, INDEX(LS_current!$D$4:$AY$138, MATCH('Staging Table'!$A64, LS_current!$B$4:$B$138, 0), MATCH(CU$4&amp;CU$5, LS_current!$D$2:$AY$2&amp;LS_current!$D$3:$AY$3, 0)),SUM(VLOOKUP($A64, LS_current!$B$4:$AY$138, LS_current!Y$148, FALSE), VLOOKUP($A64, LS_current!$B$4:$AY$138,LS_current!Y$148, FALSE))/2)</f>
        <v>2</v>
      </c>
      <c r="CV64" s="227">
        <f t="array" ref="CV64">IF($BU64=0, INDEX(LS_current!$D$4:$AY$138, MATCH('Staging Table'!$A64, LS_current!$B$4:$B$138, 0), MATCH(CV$4&amp;CV$5, LS_current!$D$2:$AY$2&amp;LS_current!$D$3:$AY$3, 0)),SUM(VLOOKUP($A64, LS_current!$B$4:$AY$138, LS_current!Z$148, FALSE), VLOOKUP($A64, LS_current!$B$4:$AY$138,LS_current!Z$148, FALSE))/2)</f>
        <v>-55</v>
      </c>
      <c r="CW64" s="227">
        <f t="array" ref="CW64">IF($BU64=0, INDEX(LS_current!$D$4:$AY$138, MATCH('Staging Table'!$A64, LS_current!$B$4:$B$138, 0), MATCH(CW$4&amp;CW$5, LS_current!$D$2:$AY$2&amp;LS_current!$D$3:$AY$3, 0)),SUM(VLOOKUP($A64, LS_current!$B$4:$AY$138, LS_current!AA$148, FALSE), VLOOKUP($A64, LS_current!$B$4:$AY$138,LS_current!AA$148, FALSE))/2)</f>
        <v>-11</v>
      </c>
      <c r="CX64" s="229">
        <f t="array" ref="CX64">INDEX(Demand_current!$D$4:$AY$138, MATCH($A64, Demand_current!$B$4:$B$138, 0), MATCH(CX$4&amp;CX$5,Demand_current!$D$2:$AY$2&amp;Demand_current!$D$3:$AY$3, 0))/1000</f>
        <v>9.6000000000000002E-2</v>
      </c>
      <c r="CY64" s="229">
        <f t="array" ref="CY64">INDEX(Demand_current!$D$4:$AY$138, MATCH($A64, Demand_current!$B$4:$B$138, 0), MATCH(CY$4&amp;CY$5,Demand_current!$D$2:$AY$2&amp;Demand_current!$D$3:$AY$3, 0))/1000</f>
        <v>4.8000000000000001E-2</v>
      </c>
      <c r="CZ64" s="229">
        <f t="array" ref="CZ64">INDEX(Demand_current!$D$4:$AY$138, MATCH($A64, Demand_current!$B$4:$B$138, 0), MATCH(CZ$4&amp;CZ$5,Demand_current!$D$2:$AY$2&amp;Demand_current!$D$3:$AY$3, 0))/1000</f>
        <v>0.21099999999999999</v>
      </c>
      <c r="DA64" s="229">
        <f t="array" ref="DA64">INDEX(Demand_current!$D$4:$AY$138, MATCH($A64, Demand_current!$B$4:$B$138, 0), MATCH(DA$4&amp;DA$5,Demand_current!$D$2:$AY$2&amp;Demand_current!$D$3:$AY$3, 0))/1000</f>
        <v>0.20899999999999999</v>
      </c>
      <c r="DB64" s="229">
        <f t="array" ref="DB64">INDEX(Demand_current!$D$4:$AY$138, MATCH($A64, Demand_current!$B$4:$B$138, 0), MATCH(DB$4&amp;DB$5,Demand_current!$D$2:$AY$2&amp;Demand_current!$D$3:$AY$3, 0))/1000</f>
        <v>8.4000000000000005E-2</v>
      </c>
      <c r="DC64" s="229">
        <f t="array" ref="DC64">INDEX(Demand_current!$D$4:$AY$138, MATCH($A64, Demand_current!$B$4:$B$138, 0), MATCH(DC$4&amp;DC$5,Demand_current!$D$2:$AY$2&amp;Demand_current!$D$3:$AY$3, 0))/1000</f>
        <v>0.16600000000000001</v>
      </c>
      <c r="DD64" s="229">
        <f t="array" ref="DD64">INDEX(Demand_current!$D$4:$AY$138, MATCH($A64, Demand_current!$B$4:$B$138, 0), MATCH(DD$4&amp;DD$5,Demand_current!$D$2:$AY$2&amp;Demand_current!$D$3:$AY$3, 0))/1000</f>
        <v>6.2E-2</v>
      </c>
      <c r="DE64" s="229">
        <f t="array" ref="DE64">INDEX(Demand_current!$D$4:$AY$138, MATCH($A64, Demand_current!$B$4:$B$138, 0), MATCH(DE$4&amp;DE$5,Demand_current!$D$2:$AY$2&amp;Demand_current!$D$3:$AY$3, 0))/1000</f>
        <v>5.8000000000000003E-2</v>
      </c>
      <c r="DF64" s="229">
        <f t="array" ref="DF64">INDEX(Demand_current!$D$4:$AY$138, MATCH($A64, Demand_current!$B$4:$B$138, 0), MATCH(DF$4&amp;DF$5,Demand_current!$D$2:$AY$2&amp;Demand_current!$D$3:$AY$3, 0))/1000</f>
        <v>8.2000000000000003E-2</v>
      </c>
      <c r="DG64" s="229">
        <f t="array" ref="DG64">INDEX(Demand_current!$D$4:$AY$138, MATCH($A64, Demand_current!$B$4:$B$138, 0), MATCH(DG$4&amp;DG$5,Demand_current!$D$2:$AY$2&amp;Demand_current!$D$3:$AY$3, 0))/1000</f>
        <v>6.0999999999999999E-2</v>
      </c>
      <c r="DH64" s="229">
        <f t="array" ref="DH64">INDEX(Demand_current!$D$4:$AY$138, MATCH($A64, Demand_current!$B$4:$B$138, 0), MATCH(DH$4&amp;DH$5,Demand_current!$D$2:$AY$2&amp;Demand_current!$D$3:$AY$3, 0))/1000</f>
        <v>4.1000000000000002E-2</v>
      </c>
      <c r="DI64" s="229">
        <f t="array" ref="DI64">INDEX(Demand_current!$D$4:$AY$138, MATCH($A64, Demand_current!$B$4:$B$138, 0), MATCH(DI$4&amp;DI$5,Demand_current!$D$2:$AY$2&amp;Demand_current!$D$3:$AY$3, 0))/1000</f>
        <v>0</v>
      </c>
      <c r="DJ64" s="227">
        <f>$BT64*(VLOOKUP(DJ$4, Rates_current!$G$6:$Q$29, 10, FALSE)+VLOOKUP(DJ$4, Rates_current!$G$6:$Q$29, 11, FALSE))</f>
        <v>326.90605747679996</v>
      </c>
      <c r="DK64" s="227">
        <f>$BT64*(VLOOKUP(DK$4, Rates_current!$G$6:$Q$29, 10, FALSE)+VLOOKUP(DK$4, Rates_current!$G$6:$Q$29, 11, FALSE))</f>
        <v>415.27267332119999</v>
      </c>
      <c r="DL64" s="227">
        <f>$BT64*(VLOOKUP(DL$4, Rates_current!$G$6:$Q$29, 10, FALSE)+VLOOKUP(DL$4, Rates_current!$G$6:$Q$29, 11, FALSE))</f>
        <v>410.25769387680003</v>
      </c>
      <c r="DM64" s="227">
        <f>$BT64*(VLOOKUP(DM$4, Rates_current!$G$6:$Q$29, 10, FALSE)+VLOOKUP(DM$4, Rates_current!$G$6:$Q$29, 11, FALSE))</f>
        <v>341.9747754768</v>
      </c>
      <c r="DN64" s="227">
        <f>$BT64*(VLOOKUP(DN$4, Rates_current!$G$6:$Q$29, 10, FALSE)+VLOOKUP(DN$4, Rates_current!$G$6:$Q$29, 11, FALSE))</f>
        <v>309.79366943999997</v>
      </c>
      <c r="DO64" s="227">
        <f>$BT64*(VLOOKUP(DO$4, Rates_current!$G$6:$Q$29, 10, FALSE)+VLOOKUP(DO$4, Rates_current!$G$6:$Q$29, 11, FALSE))</f>
        <v>344.58897633959998</v>
      </c>
      <c r="DP64" s="227">
        <f>$BT64*(VLOOKUP(DP$4, Rates_current!$G$6:$Q$29, 10, FALSE)+VLOOKUP(DP$4, Rates_current!$G$6:$Q$29, 11, FALSE))</f>
        <v>280.56471638400001</v>
      </c>
      <c r="DQ64" s="227">
        <f>$BT64*(VLOOKUP(DQ$4, Rates_current!$G$6:$Q$29, 10, FALSE)+VLOOKUP(DQ$4, Rates_current!$G$6:$Q$29, 11, FALSE))</f>
        <v>378.38335687680001</v>
      </c>
      <c r="DR64" s="227">
        <f>$BT64*(VLOOKUP(DR$4, Rates_current!$G$6:$Q$29, 10, FALSE)+VLOOKUP(DR$4, Rates_current!$G$6:$Q$29, 11, FALSE))</f>
        <v>482.79142898400005</v>
      </c>
      <c r="DS64" s="227">
        <f>$BT64*(VLOOKUP(DS$4, Rates_current!$G$6:$Q$29, 10, FALSE)+VLOOKUP(DS$4, Rates_current!$G$6:$Q$29, 11, FALSE))</f>
        <v>378.52378867680005</v>
      </c>
      <c r="DT64" s="227">
        <f>$BT64*(VLOOKUP(DT$4, Rates_current!$G$6:$Q$29, 10, FALSE)+VLOOKUP(DT$4, Rates_current!$G$6:$Q$29, 11, FALSE))</f>
        <v>368.60679727680002</v>
      </c>
      <c r="DU64" s="227">
        <f>$BT64*(VLOOKUP(DU$4, Rates_current!$G$6:$Q$29, 10, FALSE)+VLOOKUP(DU$4, Rates_current!$G$6:$Q$29, 11, FALSE))</f>
        <v>330.930491184</v>
      </c>
      <c r="DV64" s="229">
        <f>IF(D64=0,IF(C64=0,MAX(0,DY64 - (VLOOKUP($A64,TOCA_current!$A$2:$AI$137,MATCH("RHWM 2020",TOCA_current!$A$2:$AI$2,0),FALSE)*$BT$2)), 0),0)</f>
        <v>0</v>
      </c>
      <c r="DW64" s="266">
        <f>VLOOKUP($A64,REP_current!$A$1:$D$135,MATCH("FY "&amp;$BT$1&amp; " Total Refund",REP_current!$A$1:$D$1,0),0)</f>
        <v>0</v>
      </c>
      <c r="DX64" s="295">
        <f>MIN(VLOOKUP($A64,TOCA_current!$A$2:$AI$137,MATCH("TRL - NLSL - Existing Resource "&amp;$BT$1,TOCA_current!$A$2:$AI$2,0),FALSE)*$BT$2, VLOOKUP($A64,TOCA_current!$A$2:$AI$137,MATCH("RHWM 2020",TOCA_current!$A$2:$AI$2,0),FALSE)*$BT$2)</f>
        <v>4365.6480000000001</v>
      </c>
      <c r="DY64" s="240">
        <f>SUM(BZ64:CW64)+(BT64*RT1SC!$C$4*$BT$2)</f>
        <v>4367.5945892864002</v>
      </c>
      <c r="DZ64" s="271">
        <f>VLOOKUP($A64,TOCA_current!$A$2:$AI$137,MATCH("Above RHWM Not Served with LS "&amp;$BT$1,TOCA_current!$A$2:$AI$2,0),FALSE)*$BT$2</f>
        <v>0</v>
      </c>
      <c r="EA64" s="244">
        <f t="shared" si="13"/>
        <v>1.9465892864000125</v>
      </c>
      <c r="EB64" s="295">
        <f>(VLOOKUP($A64,TOCA_current!$A$2:$AI$137,MATCH("RHWM 2020",TOCA_current!$A$2:$AI$2,0),FALSE)*$BT$2) - $DX64</f>
        <v>70.271999999999935</v>
      </c>
      <c r="EC64" s="240">
        <f t="shared" si="14"/>
        <v>-1.9465892864000125</v>
      </c>
      <c r="ED64" s="240">
        <f t="shared" si="15"/>
        <v>0</v>
      </c>
      <c r="EE64" s="240">
        <f t="shared" si="16"/>
        <v>0</v>
      </c>
      <c r="EF64" s="240">
        <f t="shared" si="17"/>
        <v>-1.9465892864000125</v>
      </c>
    </row>
    <row r="65" spans="1:136">
      <c r="A65" s="166">
        <v>10177</v>
      </c>
      <c r="B65" s="167" t="s">
        <v>66</v>
      </c>
      <c r="C65" s="240">
        <v>0</v>
      </c>
      <c r="D65" s="240">
        <v>0</v>
      </c>
      <c r="E65" s="150">
        <f>VLOOKUP($A65,TOCA_previous!$A$2:$AI$137,MATCH(E$4,TOCA_previous!$A$2:$AI$2,0),FALSE)</f>
        <v>1.4226E-3</v>
      </c>
      <c r="F65" s="151">
        <f>VLOOKUP($A65,TOCA_previous!$A$2:$AI$137,MATCH(F$4,TOCA_previous!$A$2:$AI$2,0),FALSE)</f>
        <v>1.4226E-3</v>
      </c>
      <c r="G65" s="151">
        <f t="shared" si="2"/>
        <v>0</v>
      </c>
      <c r="H65" s="151">
        <f>VLOOKUP($A65,TOCA_previous!$A$2:$AI$137,MATCH(H$4,TOCA_previous!$A$2:$AI$2,0),FALSE)</f>
        <v>7.0000000000000007E-2</v>
      </c>
      <c r="I65" s="151">
        <f t="shared" si="3"/>
        <v>0</v>
      </c>
      <c r="J65" s="151">
        <f t="shared" si="4"/>
        <v>0</v>
      </c>
      <c r="K65" s="226">
        <f>VLOOKUP(A65, IRD!$A$5:$C$139, 3, FALSE)</f>
        <v>0</v>
      </c>
      <c r="L65" s="227">
        <f t="array" ref="L65">IF($G65=0, INDEX(LS_previous!$D$4:$AY$138, MATCH('Staging Table'!$A65, LS_previous!$B$4:$B$138, 0), MATCH(L$4&amp;L$5, LS_previous!$D$2:$AY$2&amp;LS_previous!$D$3:$AY$3, 0)),SUM(VLOOKUP($A65, LS_previous!$B$4:$AY$138, LS_previous!D$149, FALSE), VLOOKUP('Staging Table'!$A65, LS_previous!$B$4:$AY$138,LS_previous!AB$149, FALSE))/2)</f>
        <v>-708</v>
      </c>
      <c r="M65" s="227">
        <f t="array" ref="M65">IF($G65=0, INDEX(LS_previous!$D$4:$AY$138, MATCH('Staging Table'!$A65, LS_previous!$B$4:$B$138, 0), MATCH(M$4&amp;M$5, LS_previous!$D$2:$AY$2&amp;LS_previous!$D$3:$AY$3, 0)),SUM(VLOOKUP($A65, LS_previous!$B$4:$AY$138, LS_previous!E$149, FALSE), VLOOKUP('Staging Table'!$A65, LS_previous!$B$4:$AY$138,LS_previous!AC$149, FALSE))/2)</f>
        <v>30</v>
      </c>
      <c r="N65" s="227">
        <f t="array" ref="N65">IF($G65=0, INDEX(LS_previous!$D$4:$AY$138, MATCH('Staging Table'!$A65, LS_previous!$B$4:$B$138, 0), MATCH(N$4&amp;N$5, LS_previous!$D$2:$AY$2&amp;LS_previous!$D$3:$AY$3, 0)),SUM(VLOOKUP($A65, LS_previous!$B$4:$AY$138, LS_previous!F$149, FALSE), VLOOKUP('Staging Table'!$A65, LS_previous!$B$4:$AY$138,LS_previous!AD$149, FALSE))/2)</f>
        <v>-1053</v>
      </c>
      <c r="O65" s="227">
        <f t="array" ref="O65">IF($G65=0, INDEX(LS_previous!$D$4:$AY$138, MATCH('Staging Table'!$A65, LS_previous!$B$4:$B$138, 0), MATCH(O$4&amp;O$5, LS_previous!$D$2:$AY$2&amp;LS_previous!$D$3:$AY$3, 0)),SUM(VLOOKUP($A65, LS_previous!$B$4:$AY$138, LS_previous!G$149, FALSE), VLOOKUP('Staging Table'!$A65, LS_previous!$B$4:$AY$138,LS_previous!AE$149, FALSE))/2)</f>
        <v>88</v>
      </c>
      <c r="P65" s="227">
        <f t="array" ref="P65">IF($G65=0, INDEX(LS_previous!$D$4:$AY$138, MATCH('Staging Table'!$A65, LS_previous!$B$4:$B$138, 0), MATCH(P$4&amp;P$5, LS_previous!$D$2:$AY$2&amp;LS_previous!$D$3:$AY$3, 0)),SUM(VLOOKUP($A65, LS_previous!$B$4:$AY$138, LS_previous!H$149, FALSE), VLOOKUP('Staging Table'!$A65, LS_previous!$B$4:$AY$138,LS_previous!AF$149, FALSE))/2)</f>
        <v>267</v>
      </c>
      <c r="Q65" s="227">
        <f t="array" ref="Q65">IF($G65=0, INDEX(LS_previous!$D$4:$AY$138, MATCH('Staging Table'!$A65, LS_previous!$B$4:$B$138, 0), MATCH(Q$4&amp;Q$5, LS_previous!$D$2:$AY$2&amp;LS_previous!$D$3:$AY$3, 0)),SUM(VLOOKUP($A65, LS_previous!$B$4:$AY$138, LS_previous!I$149, FALSE), VLOOKUP('Staging Table'!$A65, LS_previous!$B$4:$AY$138,LS_previous!AG$149, FALSE))/2)</f>
        <v>796</v>
      </c>
      <c r="R65" s="227">
        <f t="array" ref="R65">IF($G65=0, INDEX(LS_previous!$D$4:$AY$138, MATCH('Staging Table'!$A65, LS_previous!$B$4:$B$138, 0), MATCH(R$4&amp;R$5, LS_previous!$D$2:$AY$2&amp;LS_previous!$D$3:$AY$3, 0)),SUM(VLOOKUP($A65, LS_previous!$B$4:$AY$138, LS_previous!J$149, FALSE), VLOOKUP('Staging Table'!$A65, LS_previous!$B$4:$AY$138,LS_previous!AH$149, FALSE))/2)</f>
        <v>737</v>
      </c>
      <c r="S65" s="227">
        <f t="array" ref="S65">IF($G65=0, INDEX(LS_previous!$D$4:$AY$138, MATCH('Staging Table'!$A65, LS_previous!$B$4:$B$138, 0), MATCH(S$4&amp;S$5, LS_previous!$D$2:$AY$2&amp;LS_previous!$D$3:$AY$3, 0)),SUM(VLOOKUP($A65, LS_previous!$B$4:$AY$138, LS_previous!K$149, FALSE), VLOOKUP('Staging Table'!$A65, LS_previous!$B$4:$AY$138,LS_previous!AI$149, FALSE))/2)</f>
        <v>1125</v>
      </c>
      <c r="T65" s="227">
        <f t="array" ref="T65">IF($G65=0, INDEX(LS_previous!$D$4:$AY$138, MATCH('Staging Table'!$A65, LS_previous!$B$4:$B$138, 0), MATCH(T$4&amp;T$5, LS_previous!$D$2:$AY$2&amp;LS_previous!$D$3:$AY$3, 0)),SUM(VLOOKUP($A65, LS_previous!$B$4:$AY$138, LS_previous!L$149, FALSE), VLOOKUP('Staging Table'!$A65, LS_previous!$B$4:$AY$138,LS_previous!AJ$149, FALSE))/2)</f>
        <v>761</v>
      </c>
      <c r="U65" s="227">
        <f t="array" ref="U65">IF($G65=0, INDEX(LS_previous!$D$4:$AY$138, MATCH('Staging Table'!$A65, LS_previous!$B$4:$B$138, 0), MATCH(U$4&amp;U$5, LS_previous!$D$2:$AY$2&amp;LS_previous!$D$3:$AY$3, 0)),SUM(VLOOKUP($A65, LS_previous!$B$4:$AY$138, LS_previous!M$149, FALSE), VLOOKUP('Staging Table'!$A65, LS_previous!$B$4:$AY$138,LS_previous!AK$149, FALSE))/2)</f>
        <v>1049</v>
      </c>
      <c r="V65" s="227">
        <f t="array" ref="V65">IF($G65=0, INDEX(LS_previous!$D$4:$AY$138, MATCH('Staging Table'!$A65, LS_previous!$B$4:$B$138, 0), MATCH(V$4&amp;V$5, LS_previous!$D$2:$AY$2&amp;LS_previous!$D$3:$AY$3, 0)),SUM(VLOOKUP($A65, LS_previous!$B$4:$AY$138, LS_previous!N$149, FALSE), VLOOKUP('Staging Table'!$A65, LS_previous!$B$4:$AY$138,LS_previous!AL$149, FALSE))/2)</f>
        <v>-190</v>
      </c>
      <c r="W65" s="227">
        <f t="array" ref="W65">IF($G65=0, INDEX(LS_previous!$D$4:$AY$138, MATCH('Staging Table'!$A65, LS_previous!$B$4:$B$138, 0), MATCH(W$4&amp;W$5, LS_previous!$D$2:$AY$2&amp;LS_previous!$D$3:$AY$3, 0)),SUM(VLOOKUP($A65, LS_previous!$B$4:$AY$138, LS_previous!O$149, FALSE), VLOOKUP('Staging Table'!$A65, LS_previous!$B$4:$AY$138,LS_previous!AM$149, FALSE))/2)</f>
        <v>403</v>
      </c>
      <c r="X65" s="227">
        <f t="array" ref="X65">IF($G65=0, INDEX(LS_previous!$D$4:$AY$138, MATCH('Staging Table'!$A65, LS_previous!$B$4:$B$138, 0), MATCH(X$4&amp;X$5, LS_previous!$D$2:$AY$2&amp;LS_previous!$D$3:$AY$3, 0)),SUM(VLOOKUP($A65, LS_previous!$B$4:$AY$138, LS_previous!P$149, FALSE), VLOOKUP('Staging Table'!$A65, LS_previous!$B$4:$AY$138,LS_previous!AN$149, FALSE))/2)</f>
        <v>-659</v>
      </c>
      <c r="Y65" s="227">
        <f t="array" ref="Y65">IF($G65=0, INDEX(LS_previous!$D$4:$AY$138, MATCH('Staging Table'!$A65, LS_previous!$B$4:$B$138, 0), MATCH(Y$4&amp;Y$5, LS_previous!$D$2:$AY$2&amp;LS_previous!$D$3:$AY$3, 0)),SUM(VLOOKUP($A65, LS_previous!$B$4:$AY$138, LS_previous!Q$149, FALSE), VLOOKUP('Staging Table'!$A65, LS_previous!$B$4:$AY$138,LS_previous!AO$149, FALSE))/2)</f>
        <v>91</v>
      </c>
      <c r="Z65" s="227">
        <f t="array" ref="Z65">IF($G65=0, INDEX(LS_previous!$D$4:$AY$138, MATCH('Staging Table'!$A65, LS_previous!$B$4:$B$138, 0), MATCH(Z$4&amp;Z$5, LS_previous!$D$2:$AY$2&amp;LS_previous!$D$3:$AY$3, 0)),SUM(VLOOKUP($A65, LS_previous!$B$4:$AY$138, LS_previous!R$149, FALSE), VLOOKUP('Staging Table'!$A65, LS_previous!$B$4:$AY$138,LS_previous!AP$149, FALSE))/2)</f>
        <v>-3025</v>
      </c>
      <c r="AA65" s="227">
        <f t="array" ref="AA65">IF($G65=0, INDEX(LS_previous!$D$4:$AY$138, MATCH('Staging Table'!$A65, LS_previous!$B$4:$B$138, 0), MATCH(AA$4&amp;AA$5, LS_previous!$D$2:$AY$2&amp;LS_previous!$D$3:$AY$3, 0)),SUM(VLOOKUP($A65, LS_previous!$B$4:$AY$138, LS_previous!S$149, FALSE), VLOOKUP('Staging Table'!$A65, LS_previous!$B$4:$AY$138,LS_previous!AQ$149, FALSE))/2)</f>
        <v>-1212</v>
      </c>
      <c r="AB65" s="227">
        <f t="array" ref="AB65">IF($G65=0, INDEX(LS_previous!$D$4:$AY$138, MATCH('Staging Table'!$A65, LS_previous!$B$4:$B$138, 0), MATCH(AB$4&amp;AB$5, LS_previous!$D$2:$AY$2&amp;LS_previous!$D$3:$AY$3, 0)),SUM(VLOOKUP($A65, LS_previous!$B$4:$AY$138, LS_previous!T$149, FALSE), VLOOKUP('Staging Table'!$A65, LS_previous!$B$4:$AY$138,LS_previous!AR$149, FALSE))/2)</f>
        <v>-1981</v>
      </c>
      <c r="AC65" s="227">
        <f t="array" ref="AC65">IF($G65=0, INDEX(LS_previous!$D$4:$AY$138, MATCH('Staging Table'!$A65, LS_previous!$B$4:$B$138, 0), MATCH(AC$4&amp;AC$5, LS_previous!$D$2:$AY$2&amp;LS_previous!$D$3:$AY$3, 0)),SUM(VLOOKUP($A65, LS_previous!$B$4:$AY$138, LS_previous!U$149, FALSE), VLOOKUP('Staging Table'!$A65, LS_previous!$B$4:$AY$138,LS_previous!AS$149, FALSE))/2)</f>
        <v>-638</v>
      </c>
      <c r="AD65" s="227">
        <f t="array" ref="AD65">IF($G65=0, INDEX(LS_previous!$D$4:$AY$138, MATCH('Staging Table'!$A65, LS_previous!$B$4:$B$138, 0), MATCH(AD$4&amp;AD$5, LS_previous!$D$2:$AY$2&amp;LS_previous!$D$3:$AY$3, 0)),SUM(VLOOKUP($A65, LS_previous!$B$4:$AY$138, LS_previous!V$149, FALSE), VLOOKUP('Staging Table'!$A65, LS_previous!$B$4:$AY$138,LS_previous!AT$149, FALSE))/2)</f>
        <v>-1133</v>
      </c>
      <c r="AE65" s="227">
        <f t="array" ref="AE65">IF($G65=0, INDEX(LS_previous!$D$4:$AY$138, MATCH('Staging Table'!$A65, LS_previous!$B$4:$B$138, 0), MATCH(AE$4&amp;AE$5, LS_previous!$D$2:$AY$2&amp;LS_previous!$D$3:$AY$3, 0)),SUM(VLOOKUP($A65, LS_previous!$B$4:$AY$138, LS_previous!W$149, FALSE), VLOOKUP('Staging Table'!$A65, LS_previous!$B$4:$AY$138,LS_previous!AU$149, FALSE))/2)</f>
        <v>-89</v>
      </c>
      <c r="AF65" s="227">
        <f t="array" ref="AF65">IF($G65=0, INDEX(LS_previous!$D$4:$AY$138, MATCH('Staging Table'!$A65, LS_previous!$B$4:$B$138, 0), MATCH(AF$4&amp;AF$5, LS_previous!$D$2:$AY$2&amp;LS_previous!$D$3:$AY$3, 0)),SUM(VLOOKUP($A65, LS_previous!$B$4:$AY$138, LS_previous!X$149, FALSE), VLOOKUP('Staging Table'!$A65, LS_previous!$B$4:$AY$138,LS_previous!AV$149, FALSE))/2)</f>
        <v>-1675</v>
      </c>
      <c r="AG65" s="227">
        <f t="array" ref="AG65">IF($G65=0, INDEX(LS_previous!$D$4:$AY$138, MATCH('Staging Table'!$A65, LS_previous!$B$4:$B$138, 0), MATCH(AG$4&amp;AG$5, LS_previous!$D$2:$AY$2&amp;LS_previous!$D$3:$AY$3, 0)),SUM(VLOOKUP($A65, LS_previous!$B$4:$AY$138, LS_previous!Y$149, FALSE), VLOOKUP('Staging Table'!$A65, LS_previous!$B$4:$AY$138,LS_previous!AW$149, FALSE))/2)</f>
        <v>-322</v>
      </c>
      <c r="AH65" s="227">
        <f t="array" ref="AH65">IF($G65=0, INDEX(LS_previous!$D$4:$AY$138, MATCH('Staging Table'!$A65, LS_previous!$B$4:$B$138, 0), MATCH(AH$4&amp;AH$5, LS_previous!$D$2:$AY$2&amp;LS_previous!$D$3:$AY$3, 0)),SUM(VLOOKUP($A65, LS_previous!$B$4:$AY$138, LS_previous!Z$149, FALSE), VLOOKUP('Staging Table'!$A65, LS_previous!$B$4:$AY$138,LS_previous!AX$149, FALSE))/2)</f>
        <v>-1307</v>
      </c>
      <c r="AI65" s="227">
        <f t="array" ref="AI65">IF($G65=0, INDEX(LS_previous!$D$4:$AY$138, MATCH('Staging Table'!$A65, LS_previous!$B$4:$B$138, 0), MATCH(AI$4&amp;AI$5, LS_previous!$D$2:$AY$2&amp;LS_previous!$D$3:$AY$3, 0)),SUM(VLOOKUP($A65, LS_previous!$B$4:$AY$138, LS_previous!AA$149, FALSE), VLOOKUP('Staging Table'!$A65, LS_previous!$B$4:$AY$138,LS_previous!AY$149, FALSE))/2)</f>
        <v>-255</v>
      </c>
      <c r="AJ65" s="424">
        <f t="array" ref="AJ65">INDEX(Demand_previous!$D$4:$AY$138, MATCH('Staging Table'!$A65, Demand_previous!$B$4:$B$138, 0), MATCH(AJ$4&amp;AJ$5,Demand_previous!$D$2:$AY$2&amp;Demand_previous!$D$3:$AY$3, 0))/1000</f>
        <v>0</v>
      </c>
      <c r="AK65" s="424">
        <f t="array" ref="AK65">INDEX(Demand_previous!$D$4:$AY$138, MATCH('Staging Table'!$A65, Demand_previous!$B$4:$B$138, 0), MATCH(AK$4&amp;AK$5,Demand_previous!$D$2:$AY$2&amp;Demand_previous!$D$3:$AY$3, 0))/1000</f>
        <v>0.42599999999999999</v>
      </c>
      <c r="AL65" s="424">
        <f t="array" ref="AL65">INDEX(Demand_previous!$D$4:$AY$138, MATCH('Staging Table'!$A65, Demand_previous!$B$4:$B$138, 0), MATCH(AL$4&amp;AL$5,Demand_previous!$D$2:$AY$2&amp;Demand_previous!$D$3:$AY$3, 0))/1000</f>
        <v>0.98599999999999999</v>
      </c>
      <c r="AM65" s="424">
        <f t="array" ref="AM65">INDEX(Demand_previous!$D$4:$AY$138, MATCH('Staging Table'!$A65, Demand_previous!$B$4:$B$138, 0), MATCH(AM$4&amp;AM$5,Demand_previous!$D$2:$AY$2&amp;Demand_previous!$D$3:$AY$3, 0))/1000</f>
        <v>1.462</v>
      </c>
      <c r="AN65" s="424">
        <f t="array" ref="AN65">INDEX(Demand_previous!$D$4:$AY$138, MATCH('Staging Table'!$A65, Demand_previous!$B$4:$B$138, 0), MATCH(AN$4&amp;AN$5,Demand_previous!$D$2:$AY$2&amp;Demand_previous!$D$3:$AY$3, 0))/1000</f>
        <v>0.13800000000000001</v>
      </c>
      <c r="AO65" s="424">
        <f t="array" ref="AO65">INDEX(Demand_previous!$D$4:$AY$138, MATCH('Staging Table'!$A65, Demand_previous!$B$4:$B$138, 0), MATCH(AO$4&amp;AO$5,Demand_previous!$D$2:$AY$2&amp;Demand_previous!$D$3:$AY$3, 0))/1000</f>
        <v>0.59299999999999997</v>
      </c>
      <c r="AP65" s="424">
        <f t="array" ref="AP65">INDEX(Demand_previous!$D$4:$AY$138, MATCH('Staging Table'!$A65, Demand_previous!$B$4:$B$138, 0), MATCH(AP$4&amp;AP$5,Demand_previous!$D$2:$AY$2&amp;Demand_previous!$D$3:$AY$3, 0))/1000</f>
        <v>0</v>
      </c>
      <c r="AQ65" s="424">
        <f t="array" ref="AQ65">INDEX(Demand_previous!$D$4:$AY$138, MATCH('Staging Table'!$A65, Demand_previous!$B$4:$B$138, 0), MATCH(AQ$4&amp;AQ$5,Demand_previous!$D$2:$AY$2&amp;Demand_previous!$D$3:$AY$3, 0))/1000</f>
        <v>0.502</v>
      </c>
      <c r="AR65" s="424">
        <f t="array" ref="AR65">INDEX(Demand_previous!$D$4:$AY$138, MATCH('Staging Table'!$A65, Demand_previous!$B$4:$B$138, 0), MATCH(AR$4&amp;AR$5,Demand_previous!$D$2:$AY$2&amp;Demand_previous!$D$3:$AY$3, 0))/1000</f>
        <v>0.69799999999999995</v>
      </c>
      <c r="AS65" s="424">
        <f t="array" ref="AS65">INDEX(Demand_previous!$D$4:$AY$138, MATCH('Staging Table'!$A65, Demand_previous!$B$4:$B$138, 0), MATCH(AS$4&amp;AS$5,Demand_previous!$D$2:$AY$2&amp;Demand_previous!$D$3:$AY$3, 0))/1000</f>
        <v>0.154</v>
      </c>
      <c r="AT65" s="424">
        <f t="array" ref="AT65">INDEX(Demand_previous!$D$4:$AY$138, MATCH('Staging Table'!$A65, Demand_previous!$B$4:$B$138, 0), MATCH(AT$4&amp;AT$5,Demand_previous!$D$2:$AY$2&amp;Demand_previous!$D$3:$AY$3, 0))/1000</f>
        <v>0.88300000000000001</v>
      </c>
      <c r="AU65" s="424">
        <f t="array" ref="AU65">INDEX(Demand_previous!$D$4:$AY$138, MATCH('Staging Table'!$A65, Demand_previous!$B$4:$B$138, 0), MATCH(AU$4&amp;AU$5,Demand_previous!$D$2:$AY$2&amp;Demand_previous!$D$3:$AY$3, 0))/1000</f>
        <v>0</v>
      </c>
      <c r="AV65" s="227">
        <f>$F65*(VLOOKUP(AV$4, Rates_previous!$G$6:$Q$29, 10, FALSE)+VLOOKUP(AV$4, Rates_previous!$G$6:$Q$29, 11, FALSE))</f>
        <v>6670.3406007753019</v>
      </c>
      <c r="AW65" s="227">
        <f>$F65*(VLOOKUP(AW$4, Rates_previous!$G$6:$Q$29, 10, FALSE)+VLOOKUP(AW$4, Rates_previous!$G$6:$Q$29, 11, FALSE))</f>
        <v>8244.0340098054185</v>
      </c>
      <c r="AX65" s="227">
        <f>$F65*(VLOOKUP(AX$4, Rates_previous!$G$6:$Q$29, 10, FALSE)+VLOOKUP(AX$4, Rates_previous!$G$6:$Q$29, 11, FALSE))</f>
        <v>8145.0330216886059</v>
      </c>
      <c r="AY65" s="227">
        <f>$F65*(VLOOKUP(AY$4, Rates_previous!$G$6:$Q$29, 10, FALSE)+VLOOKUP(AY$4, Rates_previous!$G$6:$Q$29, 11, FALSE))</f>
        <v>6959.1543671666159</v>
      </c>
      <c r="AZ65" s="227">
        <f>$F65*(VLOOKUP(AZ$4, Rates_previous!$G$6:$Q$29, 10, FALSE)+VLOOKUP(AZ$4, Rates_previous!$G$6:$Q$29, 11, FALSE))</f>
        <v>5705.1567059155013</v>
      </c>
      <c r="BA65" s="227">
        <f>$F65*(VLOOKUP(BA$4, Rates_previous!$G$6:$Q$29, 10, FALSE)+VLOOKUP(BA$4, Rates_previous!$G$6:$Q$29, 11, FALSE))</f>
        <v>6754.6983092802311</v>
      </c>
      <c r="BB65" s="227">
        <f>$F65*(VLOOKUP(BB$4, Rates_previous!$G$6:$Q$29, 10, FALSE)+VLOOKUP(BB$4, Rates_previous!$G$6:$Q$29, 11, FALSE))</f>
        <v>6492.2476060305016</v>
      </c>
      <c r="BC65" s="227">
        <f>$F65*(VLOOKUP(BC$4, Rates_previous!$G$6:$Q$29, 10, FALSE)+VLOOKUP(BC$4, Rates_previous!$G$6:$Q$29, 11, FALSE))</f>
        <v>9526.9139525716218</v>
      </c>
      <c r="BD65" s="227">
        <f>$F65*(VLOOKUP(BD$4, Rates_previous!$G$6:$Q$29, 10, FALSE)+VLOOKUP(BD$4, Rates_previous!$G$6:$Q$29, 11, FALSE))</f>
        <v>7516.483309173932</v>
      </c>
      <c r="BE65" s="227">
        <f>$F65*(VLOOKUP(BE$4, Rates_previous!$G$6:$Q$29, 10, FALSE)+VLOOKUP(BE$4, Rates_previous!$G$6:$Q$29, 11, FALSE))</f>
        <v>6600.1032454669512</v>
      </c>
      <c r="BF65" s="227">
        <f>$F65*(VLOOKUP(BF$4, Rates_previous!$G$6:$Q$29, 10, FALSE)+VLOOKUP(BF$4, Rates_previous!$G$6:$Q$29, 11, FALSE))</f>
        <v>7309.8785313918797</v>
      </c>
      <c r="BG65" s="227">
        <f>$F65*(VLOOKUP(BG$4, Rates_previous!$G$6:$Q$29, 10, FALSE)+VLOOKUP(BG$4, Rates_previous!$G$6:$Q$29, 11, FALSE))</f>
        <v>6622.4592537908484</v>
      </c>
      <c r="BH65" s="229">
        <f>IF($D65=0,IF(C65=0, MAX(BK65 - (VLOOKUP($A65,TOCA_previous!$A$2:$AI$137,MATCH("RHWM 2018",TOCA_previous!$A$2:$AI$2,0),FALSE)*$F$2*TOCA_previous!C62),0),0), 0)</f>
        <v>0</v>
      </c>
      <c r="BI65" s="266">
        <f>VLOOKUP($A65,REP_previous!$A$1:$D$135,MATCH("FY "&amp;$F$1&amp; " Total Refund",REP_previous!$A$1:$D$1,0),0)</f>
        <v>124305.72133002119</v>
      </c>
      <c r="BJ65" s="241">
        <f>MIN(VLOOKUP($A65,TOCA_previous!$A$2:$AI$137,MATCH("TRL - NLSL - Existing Resource "&amp;$F$1,TOCA_previous!$A$2:$AI$2,0),FALSE)*$F$2,(VLOOKUP($A65,TOCA_previous!$A$2:$AI$137,MATCH("RHWM 2018",TOCA_previous!$A$2:$AI$2,0),FALSE)*$F$2))</f>
        <v>86548.800000000003</v>
      </c>
      <c r="BK65" s="229">
        <f>SUM(L65:AI65)+(F65*RT1SC!$C$3*$F$2)</f>
        <v>77646.504175695998</v>
      </c>
      <c r="BL65" s="241">
        <f>VLOOKUP($A65,TOCA_previous!$A$2:$AI$137,MATCH("Above RHWM Not Served with LS "&amp;$F$1,TOCA_previous!$A$2:$AI$2,0),FALSE)*$F$2</f>
        <v>0</v>
      </c>
      <c r="BM65" s="151">
        <f t="shared" si="5"/>
        <v>-8902.2958243040048</v>
      </c>
      <c r="BN65" s="242">
        <f>(VLOOKUP($A65,TOCA_previous!$A$2:$AI$137,MATCH("RHWM 2018",TOCA_previous!$A$2:$AI$2,0),FALSE)*$F$2) - $BJ65</f>
        <v>13998.479999999996</v>
      </c>
      <c r="BO65" s="151">
        <f t="shared" si="6"/>
        <v>0</v>
      </c>
      <c r="BP65" s="243">
        <f t="shared" si="7"/>
        <v>8902.2958243040048</v>
      </c>
      <c r="BQ65" s="237">
        <f t="shared" si="8"/>
        <v>0</v>
      </c>
      <c r="BR65" s="242">
        <f t="shared" si="9"/>
        <v>8902.2958243040048</v>
      </c>
      <c r="BS65" s="151">
        <f>VLOOKUP($A65,TOCA_current!$A$2:$AI$137,MATCH(BS$4,TOCA_current!$A$2:$AI$2,0),FALSE)</f>
        <v>1.3090000000000001E-3</v>
      </c>
      <c r="BT65" s="151">
        <f>VLOOKUP($A65,TOCA_current!$A$2:$AI$137,MATCH(BT$4,TOCA_current!$A$2:$AI$2,0),FALSE)</f>
        <v>1.3090000000000001E-3</v>
      </c>
      <c r="BU65" s="236">
        <f t="shared" si="10"/>
        <v>0</v>
      </c>
      <c r="BV65" s="151">
        <f>VLOOKUP($A65,TOCA_current!A61:BG196,MATCH(BV$4,TOCA_current!$A$2:$BG$2,0),FALSE)</f>
        <v>7.0000000000000007E-2</v>
      </c>
      <c r="BW65" s="151">
        <f t="shared" si="11"/>
        <v>0</v>
      </c>
      <c r="BX65" s="151">
        <f t="shared" si="12"/>
        <v>0</v>
      </c>
      <c r="BY65" s="226">
        <f>VLOOKUP($A65,IRD!$A$4:$G$139, 7, FALSE)</f>
        <v>0</v>
      </c>
      <c r="BZ65" s="227">
        <f t="array" ref="BZ65">IF($BU65=0, INDEX(LS_current!$D$4:$AY$138, MATCH('Staging Table'!$A65, LS_current!$B$4:$B$138, 0), MATCH(BZ$4&amp;BZ$5, LS_current!$D$2:$AY$2&amp;LS_current!$D$3:$AY$3, 0)),SUM(VLOOKUP($A65, LS_current!$B$4:$AY$138, LS_current!D$148, FALSE), VLOOKUP($A65, LS_current!$B$4:$AY$138,LS_current!D$148, FALSE))/2)</f>
        <v>-308</v>
      </c>
      <c r="CA65" s="227">
        <f t="array" ref="CA65">IF($BU65=0, INDEX(LS_current!$D$4:$AY$138, MATCH('Staging Table'!$A65, LS_current!$B$4:$B$138, 0), MATCH(CA$4&amp;CA$5, LS_current!$D$2:$AY$2&amp;LS_current!$D$3:$AY$3, 0)),SUM(VLOOKUP($A65, LS_current!$B$4:$AY$138, LS_current!E$148, FALSE), VLOOKUP($A65, LS_current!$B$4:$AY$138,LS_current!E$148, FALSE))/2)</f>
        <v>257</v>
      </c>
      <c r="CB65" s="227">
        <f t="array" ref="CB65">IF($BU65=0, INDEX(LS_current!$D$4:$AY$138, MATCH('Staging Table'!$A65, LS_current!$B$4:$B$138, 0), MATCH(CB$4&amp;CB$5, LS_current!$D$2:$AY$2&amp;LS_current!$D$3:$AY$3, 0)),SUM(VLOOKUP($A65, LS_current!$B$4:$AY$138, LS_current!F$148, FALSE), VLOOKUP($A65, LS_current!$B$4:$AY$138,LS_current!F$148, FALSE))/2)</f>
        <v>-672</v>
      </c>
      <c r="CC65" s="227">
        <f t="array" ref="CC65">IF($BU65=0, INDEX(LS_current!$D$4:$AY$138, MATCH('Staging Table'!$A65, LS_current!$B$4:$B$138, 0), MATCH(CC$4&amp;CC$5, LS_current!$D$2:$AY$2&amp;LS_current!$D$3:$AY$3, 0)),SUM(VLOOKUP($A65, LS_current!$B$4:$AY$138, LS_current!G$148, FALSE), VLOOKUP($A65, LS_current!$B$4:$AY$138,LS_current!G$148, FALSE))/2)</f>
        <v>273</v>
      </c>
      <c r="CD65" s="227">
        <f t="array" ref="CD65">IF($BU65=0, INDEX(LS_current!$D$4:$AY$138, MATCH('Staging Table'!$A65, LS_current!$B$4:$B$138, 0), MATCH(CD$4&amp;CD$5, LS_current!$D$2:$AY$2&amp;LS_current!$D$3:$AY$3, 0)),SUM(VLOOKUP($A65, LS_current!$B$4:$AY$138, LS_current!H$148, FALSE), VLOOKUP($A65, LS_current!$B$4:$AY$138,LS_current!H$148, FALSE))/2)</f>
        <v>631</v>
      </c>
      <c r="CE65" s="227">
        <f t="array" ref="CE65">IF($BU65=0, INDEX(LS_current!$D$4:$AY$138, MATCH('Staging Table'!$A65, LS_current!$B$4:$B$138, 0), MATCH(CE$4&amp;CE$5, LS_current!$D$2:$AY$2&amp;LS_current!$D$3:$AY$3, 0)),SUM(VLOOKUP($A65, LS_current!$B$4:$AY$138, LS_current!I$148, FALSE), VLOOKUP($A65, LS_current!$B$4:$AY$138,LS_current!I$148, FALSE))/2)</f>
        <v>992</v>
      </c>
      <c r="CF65" s="227">
        <f t="array" ref="CF65">IF($BU65=0, INDEX(LS_current!$D$4:$AY$138, MATCH('Staging Table'!$A65, LS_current!$B$4:$B$138, 0), MATCH(CF$4&amp;CF$5, LS_current!$D$2:$AY$2&amp;LS_current!$D$3:$AY$3, 0)),SUM(VLOOKUP($A65, LS_current!$B$4:$AY$138, LS_current!J$148, FALSE), VLOOKUP($A65, LS_current!$B$4:$AY$138,LS_current!J$148, FALSE))/2)</f>
        <v>1063</v>
      </c>
      <c r="CG65" s="227">
        <f t="array" ref="CG65">IF($BU65=0, INDEX(LS_current!$D$4:$AY$138, MATCH('Staging Table'!$A65, LS_current!$B$4:$B$138, 0), MATCH(CG$4&amp;CG$5, LS_current!$D$2:$AY$2&amp;LS_current!$D$3:$AY$3, 0)),SUM(VLOOKUP($A65, LS_current!$B$4:$AY$138, LS_current!K$148, FALSE), VLOOKUP($A65, LS_current!$B$4:$AY$138,LS_current!K$148, FALSE))/2)</f>
        <v>1436</v>
      </c>
      <c r="CH65" s="227">
        <f t="array" ref="CH65">IF($BU65=0, INDEX(LS_current!$D$4:$AY$138, MATCH('Staging Table'!$A65, LS_current!$B$4:$B$138, 0), MATCH(CH$4&amp;CH$5, LS_current!$D$2:$AY$2&amp;LS_current!$D$3:$AY$3, 0)),SUM(VLOOKUP($A65, LS_current!$B$4:$AY$138, LS_current!L$148, FALSE), VLOOKUP($A65, LS_current!$B$4:$AY$138,LS_current!L$148, FALSE))/2)</f>
        <v>751</v>
      </c>
      <c r="CI65" s="227">
        <f t="array" ref="CI65">IF($BU65=0, INDEX(LS_current!$D$4:$AY$138, MATCH('Staging Table'!$A65, LS_current!$B$4:$B$138, 0), MATCH(CI$4&amp;CI$5, LS_current!$D$2:$AY$2&amp;LS_current!$D$3:$AY$3, 0)),SUM(VLOOKUP($A65, LS_current!$B$4:$AY$138, LS_current!M$148, FALSE), VLOOKUP($A65, LS_current!$B$4:$AY$138,LS_current!M$148, FALSE))/2)</f>
        <v>1036</v>
      </c>
      <c r="CJ65" s="227">
        <f t="array" ref="CJ65">IF($BU65=0, INDEX(LS_current!$D$4:$AY$138, MATCH('Staging Table'!$A65, LS_current!$B$4:$B$138, 0), MATCH(CJ$4&amp;CJ$5, LS_current!$D$2:$AY$2&amp;LS_current!$D$3:$AY$3, 0)),SUM(VLOOKUP($A65, LS_current!$B$4:$AY$138, LS_current!N$148, FALSE), VLOOKUP($A65, LS_current!$B$4:$AY$138,LS_current!N$148, FALSE))/2)</f>
        <v>31</v>
      </c>
      <c r="CK65" s="227">
        <f t="array" ref="CK65">IF($BU65=0, INDEX(LS_current!$D$4:$AY$138, MATCH('Staging Table'!$A65, LS_current!$B$4:$B$138, 0), MATCH(CK$4&amp;CK$5, LS_current!$D$2:$AY$2&amp;LS_current!$D$3:$AY$3, 0)),SUM(VLOOKUP($A65, LS_current!$B$4:$AY$138, LS_current!O$148, FALSE), VLOOKUP($A65, LS_current!$B$4:$AY$138,LS_current!O$148, FALSE))/2)</f>
        <v>566</v>
      </c>
      <c r="CL65" s="227">
        <f t="array" ref="CL65">IF($BU65=0, INDEX(LS_current!$D$4:$AY$138, MATCH('Staging Table'!$A65, LS_current!$B$4:$B$138, 0), MATCH(CL$4&amp;CL$5, LS_current!$D$2:$AY$2&amp;LS_current!$D$3:$AY$3, 0)),SUM(VLOOKUP($A65, LS_current!$B$4:$AY$138, LS_current!P$148, FALSE), VLOOKUP($A65, LS_current!$B$4:$AY$138,LS_current!P$148, FALSE))/2)</f>
        <v>252</v>
      </c>
      <c r="CM65" s="227">
        <f t="array" ref="CM65">IF($BU65=0, INDEX(LS_current!$D$4:$AY$138, MATCH('Staging Table'!$A65, LS_current!$B$4:$B$138, 0), MATCH(CM$4&amp;CM$5, LS_current!$D$2:$AY$2&amp;LS_current!$D$3:$AY$3, 0)),SUM(VLOOKUP($A65, LS_current!$B$4:$AY$138, LS_current!Q$148, FALSE), VLOOKUP($A65, LS_current!$B$4:$AY$138,LS_current!Q$148, FALSE))/2)</f>
        <v>485</v>
      </c>
      <c r="CN65" s="227">
        <f t="array" ref="CN65">IF($BU65=0, INDEX(LS_current!$D$4:$AY$138, MATCH('Staging Table'!$A65, LS_current!$B$4:$B$138, 0), MATCH(CN$4&amp;CN$5, LS_current!$D$2:$AY$2&amp;LS_current!$D$3:$AY$3, 0)),SUM(VLOOKUP($A65, LS_current!$B$4:$AY$138, LS_current!R$148, FALSE), VLOOKUP($A65, LS_current!$B$4:$AY$138,LS_current!R$148, FALSE))/2)</f>
        <v>-1493</v>
      </c>
      <c r="CO65" s="227">
        <f t="array" ref="CO65">IF($BU65=0, INDEX(LS_current!$D$4:$AY$138, MATCH('Staging Table'!$A65, LS_current!$B$4:$B$138, 0), MATCH(CO$4&amp;CO$5, LS_current!$D$2:$AY$2&amp;LS_current!$D$3:$AY$3, 0)),SUM(VLOOKUP($A65, LS_current!$B$4:$AY$138, LS_current!S$148, FALSE), VLOOKUP($A65, LS_current!$B$4:$AY$138,LS_current!S$148, FALSE))/2)</f>
        <v>-213</v>
      </c>
      <c r="CP65" s="227">
        <f t="array" ref="CP65">IF($BU65=0, INDEX(LS_current!$D$4:$AY$138, MATCH('Staging Table'!$A65, LS_current!$B$4:$B$138, 0), MATCH(CP$4&amp;CP$5, LS_current!$D$2:$AY$2&amp;LS_current!$D$3:$AY$3, 0)),SUM(VLOOKUP($A65, LS_current!$B$4:$AY$138, LS_current!T$148, FALSE), VLOOKUP($A65, LS_current!$B$4:$AY$138,LS_current!T$148, FALSE))/2)</f>
        <v>-2857</v>
      </c>
      <c r="CQ65" s="227">
        <f t="array" ref="CQ65">IF($BU65=0, INDEX(LS_current!$D$4:$AY$138, MATCH('Staging Table'!$A65, LS_current!$B$4:$B$138, 0), MATCH(CQ$4&amp;CQ$5, LS_current!$D$2:$AY$2&amp;LS_current!$D$3:$AY$3, 0)),SUM(VLOOKUP($A65, LS_current!$B$4:$AY$138, LS_current!U$148, FALSE), VLOOKUP($A65, LS_current!$B$4:$AY$138,LS_current!U$148, FALSE))/2)</f>
        <v>-1172</v>
      </c>
      <c r="CR65" s="227">
        <f t="array" ref="CR65">IF($BU65=0, INDEX(LS_current!$D$4:$AY$138, MATCH('Staging Table'!$A65, LS_current!$B$4:$B$138, 0), MATCH(CR$4&amp;CR$5, LS_current!$D$2:$AY$2&amp;LS_current!$D$3:$AY$3, 0)),SUM(VLOOKUP($A65, LS_current!$B$4:$AY$138, LS_current!V$148, FALSE), VLOOKUP($A65, LS_current!$B$4:$AY$138,LS_current!V$148, FALSE))/2)</f>
        <v>-1635</v>
      </c>
      <c r="CS65" s="227">
        <f t="array" ref="CS65">IF($BU65=0, INDEX(LS_current!$D$4:$AY$138, MATCH('Staging Table'!$A65, LS_current!$B$4:$B$138, 0), MATCH(CS$4&amp;CS$5, LS_current!$D$2:$AY$2&amp;LS_current!$D$3:$AY$3, 0)),SUM(VLOOKUP($A65, LS_current!$B$4:$AY$138, LS_current!W$148, FALSE), VLOOKUP($A65, LS_current!$B$4:$AY$138,LS_current!W$148, FALSE))/2)</f>
        <v>15</v>
      </c>
      <c r="CT65" s="227">
        <f t="array" ref="CT65">IF($BU65=0, INDEX(LS_current!$D$4:$AY$138, MATCH('Staging Table'!$A65, LS_current!$B$4:$B$138, 0), MATCH(CT$4&amp;CT$5, LS_current!$D$2:$AY$2&amp;LS_current!$D$3:$AY$3, 0)),SUM(VLOOKUP($A65, LS_current!$B$4:$AY$138, LS_current!X$148, FALSE), VLOOKUP($A65, LS_current!$B$4:$AY$138,LS_current!X$148, FALSE))/2)</f>
        <v>-1455</v>
      </c>
      <c r="CU65" s="227">
        <f t="array" ref="CU65">IF($BU65=0, INDEX(LS_current!$D$4:$AY$138, MATCH('Staging Table'!$A65, LS_current!$B$4:$B$138, 0), MATCH(CU$4&amp;CU$5, LS_current!$D$2:$AY$2&amp;LS_current!$D$3:$AY$3, 0)),SUM(VLOOKUP($A65, LS_current!$B$4:$AY$138, LS_current!Y$148, FALSE), VLOOKUP($A65, LS_current!$B$4:$AY$138,LS_current!Y$148, FALSE))/2)</f>
        <v>-47</v>
      </c>
      <c r="CV65" s="227">
        <f t="array" ref="CV65">IF($BU65=0, INDEX(LS_current!$D$4:$AY$138, MATCH('Staging Table'!$A65, LS_current!$B$4:$B$138, 0), MATCH(CV$4&amp;CV$5, LS_current!$D$2:$AY$2&amp;LS_current!$D$3:$AY$3, 0)),SUM(VLOOKUP($A65, LS_current!$B$4:$AY$138, LS_current!Z$148, FALSE), VLOOKUP($A65, LS_current!$B$4:$AY$138,LS_current!Z$148, FALSE))/2)</f>
        <v>-992</v>
      </c>
      <c r="CW65" s="227">
        <f t="array" ref="CW65">IF($BU65=0, INDEX(LS_current!$D$4:$AY$138, MATCH('Staging Table'!$A65, LS_current!$B$4:$B$138, 0), MATCH(CW$4&amp;CW$5, LS_current!$D$2:$AY$2&amp;LS_current!$D$3:$AY$3, 0)),SUM(VLOOKUP($A65, LS_current!$B$4:$AY$138, LS_current!AA$148, FALSE), VLOOKUP($A65, LS_current!$B$4:$AY$138,LS_current!AA$148, FALSE))/2)</f>
        <v>-66</v>
      </c>
      <c r="CX65" s="229">
        <f t="array" ref="CX65">INDEX(Demand_current!$D$4:$AY$138, MATCH($A65, Demand_current!$B$4:$B$138, 0), MATCH(CX$4&amp;CX$5,Demand_current!$D$2:$AY$2&amp;Demand_current!$D$3:$AY$3, 0))/1000</f>
        <v>0.157</v>
      </c>
      <c r="CY65" s="229">
        <f t="array" ref="CY65">INDEX(Demand_current!$D$4:$AY$138, MATCH($A65, Demand_current!$B$4:$B$138, 0), MATCH(CY$4&amp;CY$5,Demand_current!$D$2:$AY$2&amp;Demand_current!$D$3:$AY$3, 0))/1000</f>
        <v>0.42599999999999999</v>
      </c>
      <c r="CZ65" s="229">
        <f t="array" ref="CZ65">INDEX(Demand_current!$D$4:$AY$138, MATCH($A65, Demand_current!$B$4:$B$138, 0), MATCH(CZ$4&amp;CZ$5,Demand_current!$D$2:$AY$2&amp;Demand_current!$D$3:$AY$3, 0))/1000</f>
        <v>0.98599999999999999</v>
      </c>
      <c r="DA65" s="229">
        <f t="array" ref="DA65">INDEX(Demand_current!$D$4:$AY$138, MATCH($A65, Demand_current!$B$4:$B$138, 0), MATCH(DA$4&amp;DA$5,Demand_current!$D$2:$AY$2&amp;Demand_current!$D$3:$AY$3, 0))/1000</f>
        <v>1.462</v>
      </c>
      <c r="DB65" s="229">
        <f t="array" ref="DB65">INDEX(Demand_current!$D$4:$AY$138, MATCH($A65, Demand_current!$B$4:$B$138, 0), MATCH(DB$4&amp;DB$5,Demand_current!$D$2:$AY$2&amp;Demand_current!$D$3:$AY$3, 0))/1000</f>
        <v>0.59199999999999997</v>
      </c>
      <c r="DC65" s="229">
        <f t="array" ref="DC65">INDEX(Demand_current!$D$4:$AY$138, MATCH($A65, Demand_current!$B$4:$B$138, 0), MATCH(DC$4&amp;DC$5,Demand_current!$D$2:$AY$2&amp;Demand_current!$D$3:$AY$3, 0))/1000</f>
        <v>0.22900000000000001</v>
      </c>
      <c r="DD65" s="229">
        <f t="array" ref="DD65">INDEX(Demand_current!$D$4:$AY$138, MATCH($A65, Demand_current!$B$4:$B$138, 0), MATCH(DD$4&amp;DD$5,Demand_current!$D$2:$AY$2&amp;Demand_current!$D$3:$AY$3, 0))/1000</f>
        <v>0.29699999999999999</v>
      </c>
      <c r="DE65" s="229">
        <f t="array" ref="DE65">INDEX(Demand_current!$D$4:$AY$138, MATCH($A65, Demand_current!$B$4:$B$138, 0), MATCH(DE$4&amp;DE$5,Demand_current!$D$2:$AY$2&amp;Demand_current!$D$3:$AY$3, 0))/1000</f>
        <v>0.20899999999999999</v>
      </c>
      <c r="DF65" s="229">
        <f t="array" ref="DF65">INDEX(Demand_current!$D$4:$AY$138, MATCH($A65, Demand_current!$B$4:$B$138, 0), MATCH(DF$4&amp;DF$5,Demand_current!$D$2:$AY$2&amp;Demand_current!$D$3:$AY$3, 0))/1000</f>
        <v>0.69799999999999995</v>
      </c>
      <c r="DG65" s="229">
        <f t="array" ref="DG65">INDEX(Demand_current!$D$4:$AY$138, MATCH($A65, Demand_current!$B$4:$B$138, 0), MATCH(DG$4&amp;DG$5,Demand_current!$D$2:$AY$2&amp;Demand_current!$D$3:$AY$3, 0))/1000</f>
        <v>0.45900000000000002</v>
      </c>
      <c r="DH65" s="229">
        <f t="array" ref="DH65">INDEX(Demand_current!$D$4:$AY$138, MATCH($A65, Demand_current!$B$4:$B$138, 0), MATCH(DH$4&amp;DH$5,Demand_current!$D$2:$AY$2&amp;Demand_current!$D$3:$AY$3, 0))/1000</f>
        <v>0.59699999999999998</v>
      </c>
      <c r="DI65" s="229">
        <f t="array" ref="DI65">INDEX(Demand_current!$D$4:$AY$138, MATCH($A65, Demand_current!$B$4:$B$138, 0), MATCH(DI$4&amp;DI$5,Demand_current!$D$2:$AY$2&amp;Demand_current!$D$3:$AY$3, 0))/1000</f>
        <v>3.0000000000000001E-3</v>
      </c>
      <c r="DJ65" s="227">
        <f>$BT65*(VLOOKUP(DJ$4, Rates_current!$G$6:$Q$29, 10, FALSE)+VLOOKUP(DJ$4, Rates_current!$G$6:$Q$29, 11, FALSE))</f>
        <v>6044.0682095639995</v>
      </c>
      <c r="DK65" s="227">
        <f>$BT65*(VLOOKUP(DK$4, Rates_current!$G$6:$Q$29, 10, FALSE)+VLOOKUP(DK$4, Rates_current!$G$6:$Q$29, 11, FALSE))</f>
        <v>7677.852109851</v>
      </c>
      <c r="DL65" s="227">
        <f>$BT65*(VLOOKUP(DL$4, Rates_current!$G$6:$Q$29, 10, FALSE)+VLOOKUP(DL$4, Rates_current!$G$6:$Q$29, 11, FALSE))</f>
        <v>7585.1316565640009</v>
      </c>
      <c r="DM65" s="227">
        <f>$BT65*(VLOOKUP(DM$4, Rates_current!$G$6:$Q$29, 10, FALSE)+VLOOKUP(DM$4, Rates_current!$G$6:$Q$29, 11, FALSE))</f>
        <v>6322.6692245640006</v>
      </c>
      <c r="DN65" s="227">
        <f>$BT65*(VLOOKUP(DN$4, Rates_current!$G$6:$Q$29, 10, FALSE)+VLOOKUP(DN$4, Rates_current!$G$6:$Q$29, 11, FALSE))</f>
        <v>5727.6823912</v>
      </c>
      <c r="DO65" s="227">
        <f>$BT65*(VLOOKUP(DO$4, Rates_current!$G$6:$Q$29, 10, FALSE)+VLOOKUP(DO$4, Rates_current!$G$6:$Q$29, 11, FALSE))</f>
        <v>6371.002401533</v>
      </c>
      <c r="DP65" s="227">
        <f>$BT65*(VLOOKUP(DP$4, Rates_current!$G$6:$Q$29, 10, FALSE)+VLOOKUP(DP$4, Rates_current!$G$6:$Q$29, 11, FALSE))</f>
        <v>5187.2770303200004</v>
      </c>
      <c r="DQ65" s="227">
        <f>$BT65*(VLOOKUP(DQ$4, Rates_current!$G$6:$Q$29, 10, FALSE)+VLOOKUP(DQ$4, Rates_current!$G$6:$Q$29, 11, FALSE))</f>
        <v>6995.8165840640013</v>
      </c>
      <c r="DR65" s="227">
        <f>$BT65*(VLOOKUP(DR$4, Rates_current!$G$6:$Q$29, 10, FALSE)+VLOOKUP(DR$4, Rates_current!$G$6:$Q$29, 11, FALSE))</f>
        <v>8926.1861658200014</v>
      </c>
      <c r="DS65" s="227">
        <f>$BT65*(VLOOKUP(DS$4, Rates_current!$G$6:$Q$29, 10, FALSE)+VLOOKUP(DS$4, Rates_current!$G$6:$Q$29, 11, FALSE))</f>
        <v>6998.4129855640012</v>
      </c>
      <c r="DT65" s="227">
        <f>$BT65*(VLOOKUP(DT$4, Rates_current!$G$6:$Q$29, 10, FALSE)+VLOOKUP(DT$4, Rates_current!$G$6:$Q$29, 11, FALSE))</f>
        <v>6815.0607010640006</v>
      </c>
      <c r="DU65" s="227">
        <f>$BT65*(VLOOKUP(DU$4, Rates_current!$G$6:$Q$29, 10, FALSE)+VLOOKUP(DU$4, Rates_current!$G$6:$Q$29, 11, FALSE))</f>
        <v>6118.4747593200009</v>
      </c>
      <c r="DV65" s="229">
        <f>IF(D65=0,IF(C65=0,MAX(0,DY65 - (VLOOKUP($A65,TOCA_current!$A$2:$AI$137,MATCH("RHWM 2020",TOCA_current!$A$2:$AI$2,0),FALSE)*$BT$2)), 0),0)</f>
        <v>0</v>
      </c>
      <c r="DW65" s="266">
        <f>VLOOKUP($A65,REP_current!$A$1:$D$135,MATCH("FY "&amp;$BT$1&amp; " Total Refund",REP_current!$A$1:$D$1,0),0)</f>
        <v>0</v>
      </c>
      <c r="DX65" s="295">
        <f>MIN(VLOOKUP($A65,TOCA_current!$A$2:$AI$137,MATCH("TRL - NLSL - Existing Resource "&amp;$BT$1,TOCA_current!$A$2:$AI$2,0),FALSE)*$BT$2, VLOOKUP($A65,TOCA_current!$A$2:$AI$137,MATCH("RHWM 2020",TOCA_current!$A$2:$AI$2,0),FALSE)*$BT$2)</f>
        <v>80768.88</v>
      </c>
      <c r="DY65" s="240">
        <f>SUM(BZ65:CW65)+(BT65*RT1SC!$C$4*$BT$2)</f>
        <v>77647.637251071996</v>
      </c>
      <c r="DZ65" s="271">
        <f>VLOOKUP($A65,TOCA_current!$A$2:$AI$137,MATCH("Above RHWM Not Served with LS "&amp;$BT$1,TOCA_current!$A$2:$AI$2,0),FALSE)*$BT$2</f>
        <v>0</v>
      </c>
      <c r="EA65" s="244">
        <f t="shared" si="13"/>
        <v>-3121.242748928009</v>
      </c>
      <c r="EB65" s="295">
        <f>(VLOOKUP($A65,TOCA_current!$A$2:$AI$137,MATCH("RHWM 2020",TOCA_current!$A$2:$AI$2,0),FALSE)*$BT$2) - $DX65</f>
        <v>21151.871999999988</v>
      </c>
      <c r="EC65" s="240">
        <f t="shared" si="14"/>
        <v>0</v>
      </c>
      <c r="ED65" s="240">
        <f t="shared" si="15"/>
        <v>3121.242748928009</v>
      </c>
      <c r="EE65" s="240">
        <f t="shared" si="16"/>
        <v>0</v>
      </c>
      <c r="EF65" s="240">
        <f t="shared" si="17"/>
        <v>3121.242748928009</v>
      </c>
    </row>
    <row r="66" spans="1:136">
      <c r="A66" s="166">
        <v>10179</v>
      </c>
      <c r="B66" s="167" t="s">
        <v>67</v>
      </c>
      <c r="C66" s="240">
        <v>0</v>
      </c>
      <c r="D66" s="240">
        <v>0</v>
      </c>
      <c r="E66" s="150">
        <f>VLOOKUP($A66,TOCA_previous!$A$2:$AI$137,MATCH(E$4,TOCA_previous!$A$2:$AI$2,0),FALSE)</f>
        <v>2.36355E-2</v>
      </c>
      <c r="F66" s="151">
        <f>VLOOKUP($A66,TOCA_previous!$A$2:$AI$137,MATCH(F$4,TOCA_previous!$A$2:$AI$2,0),FALSE)</f>
        <v>2.36355E-2</v>
      </c>
      <c r="G66" s="151">
        <f t="shared" si="2"/>
        <v>0</v>
      </c>
      <c r="H66" s="151">
        <f>VLOOKUP($A66,TOCA_previous!$A$2:$AI$137,MATCH(H$4,TOCA_previous!$A$2:$AI$2,0),FALSE)</f>
        <v>0</v>
      </c>
      <c r="I66" s="151">
        <f t="shared" si="3"/>
        <v>0</v>
      </c>
      <c r="J66" s="151">
        <f t="shared" si="4"/>
        <v>0</v>
      </c>
      <c r="K66" s="226">
        <f>VLOOKUP(A66, IRD!$A$5:$C$139, 3, FALSE)</f>
        <v>0</v>
      </c>
      <c r="L66" s="227">
        <f t="array" ref="L66">IF($G66=0, INDEX(LS_previous!$D$4:$AY$138, MATCH('Staging Table'!$A66, LS_previous!$B$4:$B$138, 0), MATCH(L$4&amp;L$5, LS_previous!$D$2:$AY$2&amp;LS_previous!$D$3:$AY$3, 0)),SUM(VLOOKUP($A66, LS_previous!$B$4:$AY$138, LS_previous!D$149, FALSE), VLOOKUP('Staging Table'!$A66, LS_previous!$B$4:$AY$138,LS_previous!AB$149, FALSE))/2)</f>
        <v>-5080</v>
      </c>
      <c r="M66" s="227">
        <f t="array" ref="M66">IF($G66=0, INDEX(LS_previous!$D$4:$AY$138, MATCH('Staging Table'!$A66, LS_previous!$B$4:$B$138, 0), MATCH(M$4&amp;M$5, LS_previous!$D$2:$AY$2&amp;LS_previous!$D$3:$AY$3, 0)),SUM(VLOOKUP($A66, LS_previous!$B$4:$AY$138, LS_previous!E$149, FALSE), VLOOKUP('Staging Table'!$A66, LS_previous!$B$4:$AY$138,LS_previous!AC$149, FALSE))/2)</f>
        <v>487</v>
      </c>
      <c r="N66" s="227">
        <f t="array" ref="N66">IF($G66=0, INDEX(LS_previous!$D$4:$AY$138, MATCH('Staging Table'!$A66, LS_previous!$B$4:$B$138, 0), MATCH(N$4&amp;N$5, LS_previous!$D$2:$AY$2&amp;LS_previous!$D$3:$AY$3, 0)),SUM(VLOOKUP($A66, LS_previous!$B$4:$AY$138, LS_previous!F$149, FALSE), VLOOKUP('Staging Table'!$A66, LS_previous!$B$4:$AY$138,LS_previous!AD$149, FALSE))/2)</f>
        <v>-10769</v>
      </c>
      <c r="O66" s="227">
        <f t="array" ref="O66">IF($G66=0, INDEX(LS_previous!$D$4:$AY$138, MATCH('Staging Table'!$A66, LS_previous!$B$4:$B$138, 0), MATCH(O$4&amp;O$5, LS_previous!$D$2:$AY$2&amp;LS_previous!$D$3:$AY$3, 0)),SUM(VLOOKUP($A66, LS_previous!$B$4:$AY$138, LS_previous!G$149, FALSE), VLOOKUP('Staging Table'!$A66, LS_previous!$B$4:$AY$138,LS_previous!AE$149, FALSE))/2)</f>
        <v>1996</v>
      </c>
      <c r="P66" s="227">
        <f t="array" ref="P66">IF($G66=0, INDEX(LS_previous!$D$4:$AY$138, MATCH('Staging Table'!$A66, LS_previous!$B$4:$B$138, 0), MATCH(P$4&amp;P$5, LS_previous!$D$2:$AY$2&amp;LS_previous!$D$3:$AY$3, 0)),SUM(VLOOKUP($A66, LS_previous!$B$4:$AY$138, LS_previous!H$149, FALSE), VLOOKUP('Staging Table'!$A66, LS_previous!$B$4:$AY$138,LS_previous!AF$149, FALSE))/2)</f>
        <v>14164</v>
      </c>
      <c r="Q66" s="227">
        <f t="array" ref="Q66">IF($G66=0, INDEX(LS_previous!$D$4:$AY$138, MATCH('Staging Table'!$A66, LS_previous!$B$4:$B$138, 0), MATCH(Q$4&amp;Q$5, LS_previous!$D$2:$AY$2&amp;LS_previous!$D$3:$AY$3, 0)),SUM(VLOOKUP($A66, LS_previous!$B$4:$AY$138, LS_previous!I$149, FALSE), VLOOKUP('Staging Table'!$A66, LS_previous!$B$4:$AY$138,LS_previous!AG$149, FALSE))/2)</f>
        <v>15375</v>
      </c>
      <c r="R66" s="227">
        <f t="array" ref="R66">IF($G66=0, INDEX(LS_previous!$D$4:$AY$138, MATCH('Staging Table'!$A66, LS_previous!$B$4:$B$138, 0), MATCH(R$4&amp;R$5, LS_previous!$D$2:$AY$2&amp;LS_previous!$D$3:$AY$3, 0)),SUM(VLOOKUP($A66, LS_previous!$B$4:$AY$138, LS_previous!J$149, FALSE), VLOOKUP('Staging Table'!$A66, LS_previous!$B$4:$AY$138,LS_previous!AH$149, FALSE))/2)</f>
        <v>27097</v>
      </c>
      <c r="S66" s="227">
        <f t="array" ref="S66">IF($G66=0, INDEX(LS_previous!$D$4:$AY$138, MATCH('Staging Table'!$A66, LS_previous!$B$4:$B$138, 0), MATCH(S$4&amp;S$5, LS_previous!$D$2:$AY$2&amp;LS_previous!$D$3:$AY$3, 0)),SUM(VLOOKUP($A66, LS_previous!$B$4:$AY$138, LS_previous!K$149, FALSE), VLOOKUP('Staging Table'!$A66, LS_previous!$B$4:$AY$138,LS_previous!AI$149, FALSE))/2)</f>
        <v>23750</v>
      </c>
      <c r="T66" s="227">
        <f t="array" ref="T66">IF($G66=0, INDEX(LS_previous!$D$4:$AY$138, MATCH('Staging Table'!$A66, LS_previous!$B$4:$B$138, 0), MATCH(T$4&amp;T$5, LS_previous!$D$2:$AY$2&amp;LS_previous!$D$3:$AY$3, 0)),SUM(VLOOKUP($A66, LS_previous!$B$4:$AY$138, LS_previous!L$149, FALSE), VLOOKUP('Staging Table'!$A66, LS_previous!$B$4:$AY$138,LS_previous!AJ$149, FALSE))/2)</f>
        <v>24916</v>
      </c>
      <c r="U66" s="227">
        <f t="array" ref="U66">IF($G66=0, INDEX(LS_previous!$D$4:$AY$138, MATCH('Staging Table'!$A66, LS_previous!$B$4:$B$138, 0), MATCH(U$4&amp;U$5, LS_previous!$D$2:$AY$2&amp;LS_previous!$D$3:$AY$3, 0)),SUM(VLOOKUP($A66, LS_previous!$B$4:$AY$138, LS_previous!M$149, FALSE), VLOOKUP('Staging Table'!$A66, LS_previous!$B$4:$AY$138,LS_previous!AK$149, FALSE))/2)</f>
        <v>21114</v>
      </c>
      <c r="V66" s="227">
        <f t="array" ref="V66">IF($G66=0, INDEX(LS_previous!$D$4:$AY$138, MATCH('Staging Table'!$A66, LS_previous!$B$4:$B$138, 0), MATCH(V$4&amp;V$5, LS_previous!$D$2:$AY$2&amp;LS_previous!$D$3:$AY$3, 0)),SUM(VLOOKUP($A66, LS_previous!$B$4:$AY$138, LS_previous!N$149, FALSE), VLOOKUP('Staging Table'!$A66, LS_previous!$B$4:$AY$138,LS_previous!AL$149, FALSE))/2)</f>
        <v>10075</v>
      </c>
      <c r="W66" s="227">
        <f t="array" ref="W66">IF($G66=0, INDEX(LS_previous!$D$4:$AY$138, MATCH('Staging Table'!$A66, LS_previous!$B$4:$B$138, 0), MATCH(W$4&amp;W$5, LS_previous!$D$2:$AY$2&amp;LS_previous!$D$3:$AY$3, 0)),SUM(VLOOKUP($A66, LS_previous!$B$4:$AY$138, LS_previous!O$149, FALSE), VLOOKUP('Staging Table'!$A66, LS_previous!$B$4:$AY$138,LS_previous!AM$149, FALSE))/2)</f>
        <v>10729</v>
      </c>
      <c r="X66" s="227">
        <f t="array" ref="X66">IF($G66=0, INDEX(LS_previous!$D$4:$AY$138, MATCH('Staging Table'!$A66, LS_previous!$B$4:$B$138, 0), MATCH(X$4&amp;X$5, LS_previous!$D$2:$AY$2&amp;LS_previous!$D$3:$AY$3, 0)),SUM(VLOOKUP($A66, LS_previous!$B$4:$AY$138, LS_previous!P$149, FALSE), VLOOKUP('Staging Table'!$A66, LS_previous!$B$4:$AY$138,LS_previous!AN$149, FALSE))/2)</f>
        <v>301</v>
      </c>
      <c r="Y66" s="227">
        <f t="array" ref="Y66">IF($G66=0, INDEX(LS_previous!$D$4:$AY$138, MATCH('Staging Table'!$A66, LS_previous!$B$4:$B$138, 0), MATCH(Y$4&amp;Y$5, LS_previous!$D$2:$AY$2&amp;LS_previous!$D$3:$AY$3, 0)),SUM(VLOOKUP($A66, LS_previous!$B$4:$AY$138, LS_previous!Q$149, FALSE), VLOOKUP('Staging Table'!$A66, LS_previous!$B$4:$AY$138,LS_previous!AO$149, FALSE))/2)</f>
        <v>4524</v>
      </c>
      <c r="Z66" s="227">
        <f t="array" ref="Z66">IF($G66=0, INDEX(LS_previous!$D$4:$AY$138, MATCH('Staging Table'!$A66, LS_previous!$B$4:$B$138, 0), MATCH(Z$4&amp;Z$5, LS_previous!$D$2:$AY$2&amp;LS_previous!$D$3:$AY$3, 0)),SUM(VLOOKUP($A66, LS_previous!$B$4:$AY$138, LS_previous!R$149, FALSE), VLOOKUP('Staging Table'!$A66, LS_previous!$B$4:$AY$138,LS_previous!AP$149, FALSE))/2)</f>
        <v>-39058</v>
      </c>
      <c r="AA66" s="227">
        <f t="array" ref="AA66">IF($G66=0, INDEX(LS_previous!$D$4:$AY$138, MATCH('Staging Table'!$A66, LS_previous!$B$4:$B$138, 0), MATCH(AA$4&amp;AA$5, LS_previous!$D$2:$AY$2&amp;LS_previous!$D$3:$AY$3, 0)),SUM(VLOOKUP($A66, LS_previous!$B$4:$AY$138, LS_previous!S$149, FALSE), VLOOKUP('Staging Table'!$A66, LS_previous!$B$4:$AY$138,LS_previous!AQ$149, FALSE))/2)</f>
        <v>-16629</v>
      </c>
      <c r="AB66" s="227">
        <f t="array" ref="AB66">IF($G66=0, INDEX(LS_previous!$D$4:$AY$138, MATCH('Staging Table'!$A66, LS_previous!$B$4:$B$138, 0), MATCH(AB$4&amp;AB$5, LS_previous!$D$2:$AY$2&amp;LS_previous!$D$3:$AY$3, 0)),SUM(VLOOKUP($A66, LS_previous!$B$4:$AY$138, LS_previous!T$149, FALSE), VLOOKUP('Staging Table'!$A66, LS_previous!$B$4:$AY$138,LS_previous!AR$149, FALSE))/2)</f>
        <v>-19494</v>
      </c>
      <c r="AC66" s="227">
        <f t="array" ref="AC66">IF($G66=0, INDEX(LS_previous!$D$4:$AY$138, MATCH('Staging Table'!$A66, LS_previous!$B$4:$B$138, 0), MATCH(AC$4&amp;AC$5, LS_previous!$D$2:$AY$2&amp;LS_previous!$D$3:$AY$3, 0)),SUM(VLOOKUP($A66, LS_previous!$B$4:$AY$138, LS_previous!U$149, FALSE), VLOOKUP('Staging Table'!$A66, LS_previous!$B$4:$AY$138,LS_previous!AS$149, FALSE))/2)</f>
        <v>-7215</v>
      </c>
      <c r="AD66" s="227">
        <f t="array" ref="AD66">IF($G66=0, INDEX(LS_previous!$D$4:$AY$138, MATCH('Staging Table'!$A66, LS_previous!$B$4:$B$138, 0), MATCH(AD$4&amp;AD$5, LS_previous!$D$2:$AY$2&amp;LS_previous!$D$3:$AY$3, 0)),SUM(VLOOKUP($A66, LS_previous!$B$4:$AY$138, LS_previous!V$149, FALSE), VLOOKUP('Staging Table'!$A66, LS_previous!$B$4:$AY$138,LS_previous!AT$149, FALSE))/2)</f>
        <v>-1722</v>
      </c>
      <c r="AE66" s="227">
        <f t="array" ref="AE66">IF($G66=0, INDEX(LS_previous!$D$4:$AY$138, MATCH('Staging Table'!$A66, LS_previous!$B$4:$B$138, 0), MATCH(AE$4&amp;AE$5, LS_previous!$D$2:$AY$2&amp;LS_previous!$D$3:$AY$3, 0)),SUM(VLOOKUP($A66, LS_previous!$B$4:$AY$138, LS_previous!W$149, FALSE), VLOOKUP('Staging Table'!$A66, LS_previous!$B$4:$AY$138,LS_previous!AU$149, FALSE))/2)</f>
        <v>4207</v>
      </c>
      <c r="AF66" s="227">
        <f t="array" ref="AF66">IF($G66=0, INDEX(LS_previous!$D$4:$AY$138, MATCH('Staging Table'!$A66, LS_previous!$B$4:$B$138, 0), MATCH(AF$4&amp;AF$5, LS_previous!$D$2:$AY$2&amp;LS_previous!$D$3:$AY$3, 0)),SUM(VLOOKUP($A66, LS_previous!$B$4:$AY$138, LS_previous!X$149, FALSE), VLOOKUP('Staging Table'!$A66, LS_previous!$B$4:$AY$138,LS_previous!AV$149, FALSE))/2)</f>
        <v>-11461</v>
      </c>
      <c r="AG66" s="227">
        <f t="array" ref="AG66">IF($G66=0, INDEX(LS_previous!$D$4:$AY$138, MATCH('Staging Table'!$A66, LS_previous!$B$4:$B$138, 0), MATCH(AG$4&amp;AG$5, LS_previous!$D$2:$AY$2&amp;LS_previous!$D$3:$AY$3, 0)),SUM(VLOOKUP($A66, LS_previous!$B$4:$AY$138, LS_previous!Y$149, FALSE), VLOOKUP('Staging Table'!$A66, LS_previous!$B$4:$AY$138,LS_previous!AW$149, FALSE))/2)</f>
        <v>-1239</v>
      </c>
      <c r="AH66" s="227">
        <f t="array" ref="AH66">IF($G66=0, INDEX(LS_previous!$D$4:$AY$138, MATCH('Staging Table'!$A66, LS_previous!$B$4:$B$138, 0), MATCH(AH$4&amp;AH$5, LS_previous!$D$2:$AY$2&amp;LS_previous!$D$3:$AY$3, 0)),SUM(VLOOKUP($A66, LS_previous!$B$4:$AY$138, LS_previous!Z$149, FALSE), VLOOKUP('Staging Table'!$A66, LS_previous!$B$4:$AY$138,LS_previous!AX$149, FALSE))/2)</f>
        <v>-12873</v>
      </c>
      <c r="AI66" s="227">
        <f t="array" ref="AI66">IF($G66=0, INDEX(LS_previous!$D$4:$AY$138, MATCH('Staging Table'!$A66, LS_previous!$B$4:$B$138, 0), MATCH(AI$4&amp;AI$5, LS_previous!$D$2:$AY$2&amp;LS_previous!$D$3:$AY$3, 0)),SUM(VLOOKUP($A66, LS_previous!$B$4:$AY$138, LS_previous!AA$149, FALSE), VLOOKUP('Staging Table'!$A66, LS_previous!$B$4:$AY$138,LS_previous!AY$149, FALSE))/2)</f>
        <v>-3075</v>
      </c>
      <c r="AJ66" s="424">
        <f t="array" ref="AJ66">INDEX(Demand_previous!$D$4:$AY$138, MATCH('Staging Table'!$A66, Demand_previous!$B$4:$B$138, 0), MATCH(AJ$4&amp;AJ$5,Demand_previous!$D$2:$AY$2&amp;Demand_previous!$D$3:$AY$3, 0))/1000</f>
        <v>42.015000000000001</v>
      </c>
      <c r="AK66" s="424">
        <f t="array" ref="AK66">INDEX(Demand_previous!$D$4:$AY$138, MATCH('Staging Table'!$A66, Demand_previous!$B$4:$B$138, 0), MATCH(AK$4&amp;AK$5,Demand_previous!$D$2:$AY$2&amp;Demand_previous!$D$3:$AY$3, 0))/1000</f>
        <v>48.271000000000001</v>
      </c>
      <c r="AL66" s="424">
        <f t="array" ref="AL66">INDEX(Demand_previous!$D$4:$AY$138, MATCH('Staging Table'!$A66, Demand_previous!$B$4:$B$138, 0), MATCH(AL$4&amp;AL$5,Demand_previous!$D$2:$AY$2&amp;Demand_previous!$D$3:$AY$3, 0))/1000</f>
        <v>18.047000000000001</v>
      </c>
      <c r="AM66" s="424">
        <f t="array" ref="AM66">INDEX(Demand_previous!$D$4:$AY$138, MATCH('Staging Table'!$A66, Demand_previous!$B$4:$B$138, 0), MATCH(AM$4&amp;AM$5,Demand_previous!$D$2:$AY$2&amp;Demand_previous!$D$3:$AY$3, 0))/1000</f>
        <v>40.898000000000003</v>
      </c>
      <c r="AN66" s="424">
        <f t="array" ref="AN66">INDEX(Demand_previous!$D$4:$AY$138, MATCH('Staging Table'!$A66, Demand_previous!$B$4:$B$138, 0), MATCH(AN$4&amp;AN$5,Demand_previous!$D$2:$AY$2&amp;Demand_previous!$D$3:$AY$3, 0))/1000</f>
        <v>30.952999999999999</v>
      </c>
      <c r="AO66" s="424">
        <f t="array" ref="AO66">INDEX(Demand_previous!$D$4:$AY$138, MATCH('Staging Table'!$A66, Demand_previous!$B$4:$B$138, 0), MATCH(AO$4&amp;AO$5,Demand_previous!$D$2:$AY$2&amp;Demand_previous!$D$3:$AY$3, 0))/1000</f>
        <v>34.357999999999997</v>
      </c>
      <c r="AP66" s="424">
        <f t="array" ref="AP66">INDEX(Demand_previous!$D$4:$AY$138, MATCH('Staging Table'!$A66, Demand_previous!$B$4:$B$138, 0), MATCH(AP$4&amp;AP$5,Demand_previous!$D$2:$AY$2&amp;Demand_previous!$D$3:$AY$3, 0))/1000</f>
        <v>40.271000000000001</v>
      </c>
      <c r="AQ66" s="424">
        <f t="array" ref="AQ66">INDEX(Demand_previous!$D$4:$AY$138, MATCH('Staging Table'!$A66, Demand_previous!$B$4:$B$138, 0), MATCH(AQ$4&amp;AQ$5,Demand_previous!$D$2:$AY$2&amp;Demand_previous!$D$3:$AY$3, 0))/1000</f>
        <v>35.146000000000001</v>
      </c>
      <c r="AR66" s="424">
        <f t="array" ref="AR66">INDEX(Demand_previous!$D$4:$AY$138, MATCH('Staging Table'!$A66, Demand_previous!$B$4:$B$138, 0), MATCH(AR$4&amp;AR$5,Demand_previous!$D$2:$AY$2&amp;Demand_previous!$D$3:$AY$3, 0))/1000</f>
        <v>25.962</v>
      </c>
      <c r="AS66" s="424">
        <f t="array" ref="AS66">INDEX(Demand_previous!$D$4:$AY$138, MATCH('Staging Table'!$A66, Demand_previous!$B$4:$B$138, 0), MATCH(AS$4&amp;AS$5,Demand_previous!$D$2:$AY$2&amp;Demand_previous!$D$3:$AY$3, 0))/1000</f>
        <v>29.564</v>
      </c>
      <c r="AT66" s="424">
        <f t="array" ref="AT66">INDEX(Demand_previous!$D$4:$AY$138, MATCH('Staging Table'!$A66, Demand_previous!$B$4:$B$138, 0), MATCH(AT$4&amp;AT$5,Demand_previous!$D$2:$AY$2&amp;Demand_previous!$D$3:$AY$3, 0))/1000</f>
        <v>34.738999999999997</v>
      </c>
      <c r="AU66" s="424">
        <f t="array" ref="AU66">INDEX(Demand_previous!$D$4:$AY$138, MATCH('Staging Table'!$A66, Demand_previous!$B$4:$B$138, 0), MATCH(AU$4&amp;AU$5,Demand_previous!$D$2:$AY$2&amp;Demand_previous!$D$3:$AY$3, 0))/1000</f>
        <v>33.478000000000002</v>
      </c>
      <c r="AV66" s="227">
        <f>$F66*(VLOOKUP(AV$4, Rates_previous!$G$6:$Q$29, 10, FALSE)+VLOOKUP(AV$4, Rates_previous!$G$6:$Q$29, 11, FALSE))</f>
        <v>110823.02493295702</v>
      </c>
      <c r="AW66" s="227">
        <f>$F66*(VLOOKUP(AW$4, Rates_previous!$G$6:$Q$29, 10, FALSE)+VLOOKUP(AW$4, Rates_previous!$G$6:$Q$29, 11, FALSE))</f>
        <v>136968.83582086037</v>
      </c>
      <c r="AX66" s="227">
        <f>$F66*(VLOOKUP(AX$4, Rates_previous!$G$6:$Q$29, 10, FALSE)+VLOOKUP(AX$4, Rates_previous!$G$6:$Q$29, 11, FALSE))</f>
        <v>135324.00392529246</v>
      </c>
      <c r="AY66" s="227">
        <f>$F66*(VLOOKUP(AY$4, Rates_previous!$G$6:$Q$29, 10, FALSE)+VLOOKUP(AY$4, Rates_previous!$G$6:$Q$29, 11, FALSE))</f>
        <v>115621.46284631419</v>
      </c>
      <c r="AZ66" s="227">
        <f>$F66*(VLOOKUP(AZ$4, Rates_previous!$G$6:$Q$29, 10, FALSE)+VLOOKUP(AZ$4, Rates_previous!$G$6:$Q$29, 11, FALSE))</f>
        <v>94787.172306105611</v>
      </c>
      <c r="BA66" s="227">
        <f>$F66*(VLOOKUP(BA$4, Rates_previous!$G$6:$Q$29, 10, FALSE)+VLOOKUP(BA$4, Rates_previous!$G$6:$Q$29, 11, FALSE))</f>
        <v>112224.56902080198</v>
      </c>
      <c r="BB66" s="227">
        <f>$F66*(VLOOKUP(BB$4, Rates_previous!$G$6:$Q$29, 10, FALSE)+VLOOKUP(BB$4, Rates_previous!$G$6:$Q$29, 11, FALSE))</f>
        <v>107864.13488846754</v>
      </c>
      <c r="BC66" s="227">
        <f>$F66*(VLOOKUP(BC$4, Rates_previous!$G$6:$Q$29, 10, FALSE)+VLOOKUP(BC$4, Rates_previous!$G$6:$Q$29, 11, FALSE))</f>
        <v>158282.98518628327</v>
      </c>
      <c r="BD66" s="227">
        <f>$F66*(VLOOKUP(BD$4, Rates_previous!$G$6:$Q$29, 10, FALSE)+VLOOKUP(BD$4, Rates_previous!$G$6:$Q$29, 11, FALSE))</f>
        <v>124881.09184168458</v>
      </c>
      <c r="BE66" s="227">
        <f>$F66*(VLOOKUP(BE$4, Rates_previous!$G$6:$Q$29, 10, FALSE)+VLOOKUP(BE$4, Rates_previous!$G$6:$Q$29, 11, FALSE))</f>
        <v>109656.08059766212</v>
      </c>
      <c r="BF66" s="227">
        <f>$F66*(VLOOKUP(BF$4, Rates_previous!$G$6:$Q$29, 10, FALSE)+VLOOKUP(BF$4, Rates_previous!$G$6:$Q$29, 11, FALSE))</f>
        <v>121448.49854401292</v>
      </c>
      <c r="BG66" s="227">
        <f>$F66*(VLOOKUP(BG$4, Rates_previous!$G$6:$Q$29, 10, FALSE)+VLOOKUP(BG$4, Rates_previous!$G$6:$Q$29, 11, FALSE))</f>
        <v>110027.50997678448</v>
      </c>
      <c r="BH66" s="229">
        <f>IF($D66=0,IF(C66=0, MAX(BK66 - (VLOOKUP($A66,TOCA_previous!$A$2:$AI$137,MATCH("RHWM 2018",TOCA_previous!$A$2:$AI$2,0),FALSE)*$F$2*TOCA_previous!C63),0),0), 0)</f>
        <v>30119.190865079872</v>
      </c>
      <c r="BI66" s="266">
        <f>VLOOKUP($A66,REP_previous!$A$1:$D$135,MATCH("FY "&amp;$F$1&amp; " Total Refund",REP_previous!$A$1:$D$1,0),0)</f>
        <v>1545636.9725373732</v>
      </c>
      <c r="BJ66" s="241">
        <f>MIN(VLOOKUP($A66,TOCA_previous!$A$2:$AI$137,MATCH("TRL - NLSL - Existing Resource "&amp;$F$1,TOCA_previous!$A$2:$AI$2,0),FALSE)*$F$2,(VLOOKUP($A66,TOCA_previous!$A$2:$AI$137,MATCH("RHWM 2018",TOCA_previous!$A$2:$AI$2,0),FALSE)*$F$2))</f>
        <v>1437910.2000000002</v>
      </c>
      <c r="BK66" s="229">
        <f>SUM(L66:AI66)+(F66*RT1SC!$C$3*$F$2)</f>
        <v>1468029.3908650801</v>
      </c>
      <c r="BL66" s="241">
        <f>VLOOKUP($A66,TOCA_previous!$A$2:$AI$137,MATCH("Above RHWM Not Served with LS "&amp;$F$1,TOCA_previous!$A$2:$AI$2,0),FALSE)*$F$2</f>
        <v>84096</v>
      </c>
      <c r="BM66" s="151">
        <f t="shared" si="5"/>
        <v>30119.190865079872</v>
      </c>
      <c r="BN66" s="242">
        <f>(VLOOKUP($A66,TOCA_previous!$A$2:$AI$137,MATCH("RHWM 2018",TOCA_previous!$A$2:$AI$2,0),FALSE)*$F$2) - $BJ66</f>
        <v>0</v>
      </c>
      <c r="BO66" s="151">
        <f t="shared" si="6"/>
        <v>0</v>
      </c>
      <c r="BP66" s="243">
        <f t="shared" si="7"/>
        <v>0</v>
      </c>
      <c r="BQ66" s="237">
        <f t="shared" si="8"/>
        <v>0</v>
      </c>
      <c r="BR66" s="242">
        <f t="shared" si="9"/>
        <v>0</v>
      </c>
      <c r="BS66" s="151">
        <f>VLOOKUP($A66,TOCA_current!$A$2:$AI$137,MATCH(BS$4,TOCA_current!$A$2:$AI$2,0),FALSE)</f>
        <v>2.3622799999999999E-2</v>
      </c>
      <c r="BT66" s="151">
        <f>VLOOKUP($A66,TOCA_current!$A$2:$AI$137,MATCH(BT$4,TOCA_current!$A$2:$AI$2,0),FALSE)</f>
        <v>2.3622799999999999E-2</v>
      </c>
      <c r="BU66" s="236">
        <f t="shared" si="10"/>
        <v>0</v>
      </c>
      <c r="BV66" s="151">
        <f>VLOOKUP($A66,TOCA_current!A62:BG197,MATCH(BV$4,TOCA_current!$A$2:$BG$2,0),FALSE)</f>
        <v>0</v>
      </c>
      <c r="BW66" s="151">
        <f t="shared" si="11"/>
        <v>0</v>
      </c>
      <c r="BX66" s="151">
        <f t="shared" si="12"/>
        <v>0</v>
      </c>
      <c r="BY66" s="226">
        <f>VLOOKUP($A66,IRD!$A$4:$G$139, 7, FALSE)</f>
        <v>0</v>
      </c>
      <c r="BZ66" s="227">
        <f t="array" ref="BZ66">IF($BU66=0, INDEX(LS_current!$D$4:$AY$138, MATCH('Staging Table'!$A66, LS_current!$B$4:$B$138, 0), MATCH(BZ$4&amp;BZ$5, LS_current!$D$2:$AY$2&amp;LS_current!$D$3:$AY$3, 0)),SUM(VLOOKUP($A66, LS_current!$B$4:$AY$138, LS_current!D$148, FALSE), VLOOKUP($A66, LS_current!$B$4:$AY$138,LS_current!D$148, FALSE))/2)</f>
        <v>-2861.0418476463965</v>
      </c>
      <c r="CA66" s="227">
        <f t="array" ref="CA66">IF($BU66=0, INDEX(LS_current!$D$4:$AY$138, MATCH('Staging Table'!$A66, LS_current!$B$4:$B$138, 0), MATCH(CA$4&amp;CA$5, LS_current!$D$2:$AY$2&amp;LS_current!$D$3:$AY$3, 0)),SUM(VLOOKUP($A66, LS_current!$B$4:$AY$138, LS_current!E$148, FALSE), VLOOKUP($A66, LS_current!$B$4:$AY$138,LS_current!E$148, FALSE))/2)</f>
        <v>2384.0841899775987</v>
      </c>
      <c r="CB66" s="227">
        <f t="array" ref="CB66">IF($BU66=0, INDEX(LS_current!$D$4:$AY$138, MATCH('Staging Table'!$A66, LS_current!$B$4:$B$138, 0), MATCH(CB$4&amp;CB$5, LS_current!$D$2:$AY$2&amp;LS_current!$D$3:$AY$3, 0)),SUM(VLOOKUP($A66, LS_current!$B$4:$AY$138, LS_current!F$148, FALSE), VLOOKUP($A66, LS_current!$B$4:$AY$138,LS_current!F$148, FALSE))/2)</f>
        <v>-10060.208640438403</v>
      </c>
      <c r="CC66" s="227">
        <f t="array" ref="CC66">IF($BU66=0, INDEX(LS_current!$D$4:$AY$138, MATCH('Staging Table'!$A66, LS_current!$B$4:$B$138, 0), MATCH(CC$4&amp;CC$5, LS_current!$D$2:$AY$2&amp;LS_current!$D$3:$AY$3, 0)),SUM(VLOOKUP($A66, LS_current!$B$4:$AY$138, LS_current!G$148, FALSE), VLOOKUP($A66, LS_current!$B$4:$AY$138,LS_current!G$148, FALSE))/2)</f>
        <v>1992.4573221891915</v>
      </c>
      <c r="CD66" s="227">
        <f t="array" ref="CD66">IF($BU66=0, INDEX(LS_current!$D$4:$AY$138, MATCH('Staging Table'!$A66, LS_current!$B$4:$B$138, 0), MATCH(CD$4&amp;CD$5, LS_current!$D$2:$AY$2&amp;LS_current!$D$3:$AY$3, 0)),SUM(VLOOKUP($A66, LS_current!$B$4:$AY$138, LS_current!H$148, FALSE), VLOOKUP($A66, LS_current!$B$4:$AY$138,LS_current!H$148, FALSE))/2)</f>
        <v>14730.777728678397</v>
      </c>
      <c r="CE66" s="227">
        <f t="array" ref="CE66">IF($BU66=0, INDEX(LS_current!$D$4:$AY$138, MATCH('Staging Table'!$A66, LS_current!$B$4:$B$138, 0), MATCH(CE$4&amp;CE$5, LS_current!$D$2:$AY$2&amp;LS_current!$D$3:$AY$3, 0)),SUM(VLOOKUP($A66, LS_current!$B$4:$AY$138, LS_current!I$148, FALSE), VLOOKUP($A66, LS_current!$B$4:$AY$138,LS_current!I$148, FALSE))/2)</f>
        <v>15613.663761252792</v>
      </c>
      <c r="CF66" s="227">
        <f t="array" ref="CF66">IF($BU66=0, INDEX(LS_current!$D$4:$AY$138, MATCH('Staging Table'!$A66, LS_current!$B$4:$B$138, 0), MATCH(CF$4&amp;CF$5, LS_current!$D$2:$AY$2&amp;LS_current!$D$3:$AY$3, 0)),SUM(VLOOKUP($A66, LS_current!$B$4:$AY$138, LS_current!J$148, FALSE), VLOOKUP($A66, LS_current!$B$4:$AY$138,LS_current!J$148, FALSE))/2)</f>
        <v>28144.085901478378</v>
      </c>
      <c r="CG66" s="227">
        <f t="array" ref="CG66">IF($BU66=0, INDEX(LS_current!$D$4:$AY$138, MATCH('Staging Table'!$A66, LS_current!$B$4:$B$138, 0), MATCH(CG$4&amp;CG$5, LS_current!$D$2:$AY$2&amp;LS_current!$D$3:$AY$3, 0)),SUM(VLOOKUP($A66, LS_current!$B$4:$AY$138, LS_current!K$148, FALSE), VLOOKUP($A66, LS_current!$B$4:$AY$138,LS_current!K$148, FALSE))/2)</f>
        <v>26588.826802852796</v>
      </c>
      <c r="CH66" s="227">
        <f t="array" ref="CH66">IF($BU66=0, INDEX(LS_current!$D$4:$AY$138, MATCH('Staging Table'!$A66, LS_current!$B$4:$B$138, 0), MATCH(CH$4&amp;CH$5, LS_current!$D$2:$AY$2&amp;LS_current!$D$3:$AY$3, 0)),SUM(VLOOKUP($A66, LS_current!$B$4:$AY$138, LS_current!L$148, FALSE), VLOOKUP($A66, LS_current!$B$4:$AY$138,LS_current!L$148, FALSE))/2)</f>
        <v>20537.366259172799</v>
      </c>
      <c r="CI66" s="227">
        <f t="array" ref="CI66">IF($BU66=0, INDEX(LS_current!$D$4:$AY$138, MATCH('Staging Table'!$A66, LS_current!$B$4:$B$138, 0), MATCH(CI$4&amp;CI$5, LS_current!$D$2:$AY$2&amp;LS_current!$D$3:$AY$3, 0)),SUM(VLOOKUP($A66, LS_current!$B$4:$AY$138, LS_current!M$148, FALSE), VLOOKUP($A66, LS_current!$B$4:$AY$138,LS_current!M$148, FALSE))/2)</f>
        <v>18659.185197787207</v>
      </c>
      <c r="CJ66" s="227">
        <f t="array" ref="CJ66">IF($BU66=0, INDEX(LS_current!$D$4:$AY$138, MATCH('Staging Table'!$A66, LS_current!$B$4:$B$138, 0), MATCH(CJ$4&amp;CJ$5, LS_current!$D$2:$AY$2&amp;LS_current!$D$3:$AY$3, 0)),SUM(VLOOKUP($A66, LS_current!$B$4:$AY$138, LS_current!N$148, FALSE), VLOOKUP($A66, LS_current!$B$4:$AY$138,LS_current!N$148, FALSE))/2)</f>
        <v>9416.155203395203</v>
      </c>
      <c r="CK66" s="227">
        <f t="array" ref="CK66">IF($BU66=0, INDEX(LS_current!$D$4:$AY$138, MATCH('Staging Table'!$A66, LS_current!$B$4:$B$138, 0), MATCH(CK$4&amp;CK$5, LS_current!$D$2:$AY$2&amp;LS_current!$D$3:$AY$3, 0)),SUM(VLOOKUP($A66, LS_current!$B$4:$AY$138, LS_current!O$148, FALSE), VLOOKUP($A66, LS_current!$B$4:$AY$138,LS_current!O$148, FALSE))/2)</f>
        <v>11001.496352041198</v>
      </c>
      <c r="CL66" s="227">
        <f t="array" ref="CL66">IF($BU66=0, INDEX(LS_current!$D$4:$AY$138, MATCH('Staging Table'!$A66, LS_current!$B$4:$B$138, 0), MATCH(CL$4&amp;CL$5, LS_current!$D$2:$AY$2&amp;LS_current!$D$3:$AY$3, 0)),SUM(VLOOKUP($A66, LS_current!$B$4:$AY$138, LS_current!P$148, FALSE), VLOOKUP($A66, LS_current!$B$4:$AY$138,LS_current!P$148, FALSE))/2)</f>
        <v>11933.234309436797</v>
      </c>
      <c r="CM66" s="227">
        <f t="array" ref="CM66">IF($BU66=0, INDEX(LS_current!$D$4:$AY$138, MATCH('Staging Table'!$A66, LS_current!$B$4:$B$138, 0), MATCH(CM$4&amp;CM$5, LS_current!$D$2:$AY$2&amp;LS_current!$D$3:$AY$3, 0)),SUM(VLOOKUP($A66, LS_current!$B$4:$AY$138, LS_current!Q$148, FALSE), VLOOKUP($A66, LS_current!$B$4:$AY$138,LS_current!Q$148, FALSE))/2)</f>
        <v>9434.7242132192041</v>
      </c>
      <c r="CN66" s="227">
        <f t="array" ref="CN66">IF($BU66=0, INDEX(LS_current!$D$4:$AY$138, MATCH('Staging Table'!$A66, LS_current!$B$4:$B$138, 0), MATCH(CN$4&amp;CN$5, LS_current!$D$2:$AY$2&amp;LS_current!$D$3:$AY$3, 0)),SUM(VLOOKUP($A66, LS_current!$B$4:$AY$138, LS_current!R$148, FALSE), VLOOKUP($A66, LS_current!$B$4:$AY$138,LS_current!R$148, FALSE))/2)</f>
        <v>-18515.105945880001</v>
      </c>
      <c r="CO66" s="227">
        <f t="array" ref="CO66">IF($BU66=0, INDEX(LS_current!$D$4:$AY$138, MATCH('Staging Table'!$A66, LS_current!$B$4:$B$138, 0), MATCH(CO$4&amp;CO$5, LS_current!$D$2:$AY$2&amp;LS_current!$D$3:$AY$3, 0)),SUM(VLOOKUP($A66, LS_current!$B$4:$AY$138, LS_current!S$148, FALSE), VLOOKUP($A66, LS_current!$B$4:$AY$138,LS_current!S$148, FALSE))/2)</f>
        <v>-2770.9829471888006</v>
      </c>
      <c r="CP66" s="227">
        <f t="array" ref="CP66">IF($BU66=0, INDEX(LS_current!$D$4:$AY$138, MATCH('Staging Table'!$A66, LS_current!$B$4:$B$138, 0), MATCH(CP$4&amp;CP$5, LS_current!$D$2:$AY$2&amp;LS_current!$D$3:$AY$3, 0)),SUM(VLOOKUP($A66, LS_current!$B$4:$AY$138, LS_current!T$148, FALSE), VLOOKUP($A66, LS_current!$B$4:$AY$138,LS_current!T$148, FALSE))/2)</f>
        <v>-41179.656426363203</v>
      </c>
      <c r="CQ66" s="227">
        <f t="array" ref="CQ66">IF($BU66=0, INDEX(LS_current!$D$4:$AY$138, MATCH('Staging Table'!$A66, LS_current!$B$4:$B$138, 0), MATCH(CQ$4&amp;CQ$5, LS_current!$D$2:$AY$2&amp;LS_current!$D$3:$AY$3, 0)),SUM(VLOOKUP($A66, LS_current!$B$4:$AY$138, LS_current!U$148, FALSE), VLOOKUP($A66, LS_current!$B$4:$AY$138,LS_current!U$148, FALSE))/2)</f>
        <v>-19444.233107580796</v>
      </c>
      <c r="CR66" s="227">
        <f t="array" ref="CR66">IF($BU66=0, INDEX(LS_current!$D$4:$AY$138, MATCH('Staging Table'!$A66, LS_current!$B$4:$B$138, 0), MATCH(CR$4&amp;CR$5, LS_current!$D$2:$AY$2&amp;LS_current!$D$3:$AY$3, 0)),SUM(VLOOKUP($A66, LS_current!$B$4:$AY$138, LS_current!V$148, FALSE), VLOOKUP($A66, LS_current!$B$4:$AY$138,LS_current!V$148, FALSE))/2)</f>
        <v>-15801.177700363201</v>
      </c>
      <c r="CS66" s="227">
        <f t="array" ref="CS66">IF($BU66=0, INDEX(LS_current!$D$4:$AY$138, MATCH('Staging Table'!$A66, LS_current!$B$4:$B$138, 0), MATCH(CS$4&amp;CS$5, LS_current!$D$2:$AY$2&amp;LS_current!$D$3:$AY$3, 0)),SUM(VLOOKUP($A66, LS_current!$B$4:$AY$138, LS_current!W$148, FALSE), VLOOKUP($A66, LS_current!$B$4:$AY$138,LS_current!W$148, FALSE))/2)</f>
        <v>4012.2959834943977</v>
      </c>
      <c r="CT66" s="227">
        <f t="array" ref="CT66">IF($BU66=0, INDEX(LS_current!$D$4:$AY$138, MATCH('Staging Table'!$A66, LS_current!$B$4:$B$138, 0), MATCH(CT$4&amp;CT$5, LS_current!$D$2:$AY$2&amp;LS_current!$D$3:$AY$3, 0)),SUM(VLOOKUP($A66, LS_current!$B$4:$AY$138, LS_current!X$148, FALSE), VLOOKUP($A66, LS_current!$B$4:$AY$138,LS_current!X$148, FALSE))/2)</f>
        <v>-12855.326748963198</v>
      </c>
      <c r="CU66" s="227">
        <f t="array" ref="CU66">IF($BU66=0, INDEX(LS_current!$D$4:$AY$138, MATCH('Staging Table'!$A66, LS_current!$B$4:$B$138, 0), MATCH(CU$4&amp;CU$5, LS_current!$D$2:$AY$2&amp;LS_current!$D$3:$AY$3, 0)),SUM(VLOOKUP($A66, LS_current!$B$4:$AY$138, LS_current!Y$148, FALSE), VLOOKUP($A66, LS_current!$B$4:$AY$138,LS_current!Y$148, FALSE))/2)</f>
        <v>982.88343949439877</v>
      </c>
      <c r="CV66" s="227">
        <f t="array" ref="CV66">IF($BU66=0, INDEX(LS_current!$D$4:$AY$138, MATCH('Staging Table'!$A66, LS_current!$B$4:$B$138, 0), MATCH(CV$4&amp;CV$5, LS_current!$D$2:$AY$2&amp;LS_current!$D$3:$AY$3, 0)),SUM(VLOOKUP($A66, LS_current!$B$4:$AY$138, LS_current!Z$148, FALSE), VLOOKUP($A66, LS_current!$B$4:$AY$138,LS_current!Z$148, FALSE))/2)</f>
        <v>-12292.257351679997</v>
      </c>
      <c r="CW66" s="227">
        <f t="array" ref="CW66">IF($BU66=0, INDEX(LS_current!$D$4:$AY$138, MATCH('Staging Table'!$A66, LS_current!$B$4:$B$138, 0), MATCH(CW$4&amp;CW$5, LS_current!$D$2:$AY$2&amp;LS_current!$D$3:$AY$3, 0)),SUM(VLOOKUP($A66, LS_current!$B$4:$AY$138, LS_current!AA$148, FALSE), VLOOKUP($A66, LS_current!$B$4:$AY$138,LS_current!AA$148, FALSE))/2)</f>
        <v>-1754.5012124639979</v>
      </c>
      <c r="CX66" s="229">
        <f t="array" ref="CX66">INDEX(Demand_current!$D$4:$AY$138, MATCH($A66, Demand_current!$B$4:$B$138, 0), MATCH(CX$4&amp;CX$5,Demand_current!$D$2:$AY$2&amp;Demand_current!$D$3:$AY$3, 0))/1000</f>
        <v>48.720999999999997</v>
      </c>
      <c r="CY66" s="229">
        <f t="array" ref="CY66">INDEX(Demand_current!$D$4:$AY$138, MATCH($A66, Demand_current!$B$4:$B$138, 0), MATCH(CY$4&amp;CY$5,Demand_current!$D$2:$AY$2&amp;Demand_current!$D$3:$AY$3, 0))/1000</f>
        <v>48.271000000000001</v>
      </c>
      <c r="CZ66" s="229">
        <f t="array" ref="CZ66">INDEX(Demand_current!$D$4:$AY$138, MATCH($A66, Demand_current!$B$4:$B$138, 0), MATCH(CZ$4&amp;CZ$5,Demand_current!$D$2:$AY$2&amp;Demand_current!$D$3:$AY$3, 0))/1000</f>
        <v>18.047000000000001</v>
      </c>
      <c r="DA66" s="229">
        <f t="array" ref="DA66">INDEX(Demand_current!$D$4:$AY$138, MATCH($A66, Demand_current!$B$4:$B$138, 0), MATCH(DA$4&amp;DA$5,Demand_current!$D$2:$AY$2&amp;Demand_current!$D$3:$AY$3, 0))/1000</f>
        <v>40.898000000000003</v>
      </c>
      <c r="DB66" s="229">
        <f t="array" ref="DB66">INDEX(Demand_current!$D$4:$AY$138, MATCH($A66, Demand_current!$B$4:$B$138, 0), MATCH(DB$4&amp;DB$5,Demand_current!$D$2:$AY$2&amp;Demand_current!$D$3:$AY$3, 0))/1000</f>
        <v>40.569000000000003</v>
      </c>
      <c r="DC66" s="229">
        <f t="array" ref="DC66">INDEX(Demand_current!$D$4:$AY$138, MATCH($A66, Demand_current!$B$4:$B$138, 0), MATCH(DC$4&amp;DC$5,Demand_current!$D$2:$AY$2&amp;Demand_current!$D$3:$AY$3, 0))/1000</f>
        <v>26.402999999999999</v>
      </c>
      <c r="DD66" s="229">
        <f t="array" ref="DD66">INDEX(Demand_current!$D$4:$AY$138, MATCH($A66, Demand_current!$B$4:$B$138, 0), MATCH(DD$4&amp;DD$5,Demand_current!$D$2:$AY$2&amp;Demand_current!$D$3:$AY$3, 0))/1000</f>
        <v>47.738999999999997</v>
      </c>
      <c r="DE66" s="229">
        <f t="array" ref="DE66">INDEX(Demand_current!$D$4:$AY$138, MATCH($A66, Demand_current!$B$4:$B$138, 0), MATCH(DE$4&amp;DE$5,Demand_current!$D$2:$AY$2&amp;Demand_current!$D$3:$AY$3, 0))/1000</f>
        <v>28.417000000000002</v>
      </c>
      <c r="DF66" s="229">
        <f t="array" ref="DF66">INDEX(Demand_current!$D$4:$AY$138, MATCH($A66, Demand_current!$B$4:$B$138, 0), MATCH(DF$4&amp;DF$5,Demand_current!$D$2:$AY$2&amp;Demand_current!$D$3:$AY$3, 0))/1000</f>
        <v>25.962</v>
      </c>
      <c r="DG66" s="229">
        <f t="array" ref="DG66">INDEX(Demand_current!$D$4:$AY$138, MATCH($A66, Demand_current!$B$4:$B$138, 0), MATCH(DG$4&amp;DG$5,Demand_current!$D$2:$AY$2&amp;Demand_current!$D$3:$AY$3, 0))/1000</f>
        <v>37.061</v>
      </c>
      <c r="DH66" s="229">
        <f t="array" ref="DH66">INDEX(Demand_current!$D$4:$AY$138, MATCH($A66, Demand_current!$B$4:$B$138, 0), MATCH(DH$4&amp;DH$5,Demand_current!$D$2:$AY$2&amp;Demand_current!$D$3:$AY$3, 0))/1000</f>
        <v>27.771999999999998</v>
      </c>
      <c r="DI66" s="229">
        <f t="array" ref="DI66">INDEX(Demand_current!$D$4:$AY$138, MATCH($A66, Demand_current!$B$4:$B$138, 0), MATCH(DI$4&amp;DI$5,Demand_current!$D$2:$AY$2&amp;Demand_current!$D$3:$AY$3, 0))/1000</f>
        <v>40.247</v>
      </c>
      <c r="DJ66" s="227">
        <f>$BT66*(VLOOKUP(DJ$4, Rates_current!$G$6:$Q$29, 10, FALSE)+VLOOKUP(DJ$4, Rates_current!$G$6:$Q$29, 11, FALSE))</f>
        <v>109073.96065766878</v>
      </c>
      <c r="DK66" s="227">
        <f>$BT66*(VLOOKUP(DK$4, Rates_current!$G$6:$Q$29, 10, FALSE)+VLOOKUP(DK$4, Rates_current!$G$6:$Q$29, 11, FALSE))</f>
        <v>138557.9563182492</v>
      </c>
      <c r="DL66" s="227">
        <f>$BT66*(VLOOKUP(DL$4, Rates_current!$G$6:$Q$29, 10, FALSE)+VLOOKUP(DL$4, Rates_current!$G$6:$Q$29, 11, FALSE))</f>
        <v>136884.6815100688</v>
      </c>
      <c r="DM66" s="227">
        <f>$BT66*(VLOOKUP(DM$4, Rates_current!$G$6:$Q$29, 10, FALSE)+VLOOKUP(DM$4, Rates_current!$G$6:$Q$29, 11, FALSE))</f>
        <v>114101.71929566881</v>
      </c>
      <c r="DN66" s="227">
        <f>$BT66*(VLOOKUP(DN$4, Rates_current!$G$6:$Q$29, 10, FALSE)+VLOOKUP(DN$4, Rates_current!$G$6:$Q$29, 11, FALSE))</f>
        <v>103364.32054304</v>
      </c>
      <c r="DO66" s="227">
        <f>$BT66*(VLOOKUP(DO$4, Rates_current!$G$6:$Q$29, 10, FALSE)+VLOOKUP(DO$4, Rates_current!$G$6:$Q$29, 11, FALSE))</f>
        <v>114973.9614445636</v>
      </c>
      <c r="DP66" s="227">
        <f>$BT66*(VLOOKUP(DP$4, Rates_current!$G$6:$Q$29, 10, FALSE)+VLOOKUP(DP$4, Rates_current!$G$6:$Q$29, 11, FALSE))</f>
        <v>93611.923477343997</v>
      </c>
      <c r="DQ66" s="227">
        <f>$BT66*(VLOOKUP(DQ$4, Rates_current!$G$6:$Q$29, 10, FALSE)+VLOOKUP(DQ$4, Rates_current!$G$6:$Q$29, 11, FALSE))</f>
        <v>126249.63789306881</v>
      </c>
      <c r="DR66" s="227">
        <f>$BT66*(VLOOKUP(DR$4, Rates_current!$G$6:$Q$29, 10, FALSE)+VLOOKUP(DR$4, Rates_current!$G$6:$Q$29, 11, FALSE))</f>
        <v>161085.951533944</v>
      </c>
      <c r="DS66" s="227">
        <f>$BT66*(VLOOKUP(DS$4, Rates_current!$G$6:$Q$29, 10, FALSE)+VLOOKUP(DS$4, Rates_current!$G$6:$Q$29, 11, FALSE))</f>
        <v>126296.4937168688</v>
      </c>
      <c r="DT66" s="227">
        <f>$BT66*(VLOOKUP(DT$4, Rates_current!$G$6:$Q$29, 10, FALSE)+VLOOKUP(DT$4, Rates_current!$G$6:$Q$29, 11, FALSE))</f>
        <v>122987.63630946881</v>
      </c>
      <c r="DU66" s="227">
        <f>$BT66*(VLOOKUP(DU$4, Rates_current!$G$6:$Q$29, 10, FALSE)+VLOOKUP(DU$4, Rates_current!$G$6:$Q$29, 11, FALSE))</f>
        <v>110416.734564144</v>
      </c>
      <c r="DV66" s="229">
        <f>IF(D66=0,IF(C66=0,MAX(0,DY66 - (VLOOKUP($A66,TOCA_current!$A$2:$AI$137,MATCH("RHWM 2020",TOCA_current!$A$2:$AI$2,0),FALSE)*$BT$2)), 0),0)</f>
        <v>37893.600710404804</v>
      </c>
      <c r="DW66" s="266">
        <f>VLOOKUP($A66,REP_current!$A$1:$D$135,MATCH("FY "&amp;$BT$1&amp; " Total Refund",REP_current!$A$1:$D$1,0),0)</f>
        <v>0</v>
      </c>
      <c r="DX66" s="295">
        <f>MIN(VLOOKUP($A66,TOCA_current!$A$2:$AI$137,MATCH("TRL - NLSL - Existing Resource "&amp;$BT$1,TOCA_current!$A$2:$AI$2,0),FALSE)*$BT$2, VLOOKUP($A66,TOCA_current!$A$2:$AI$137,MATCH("RHWM 2020",TOCA_current!$A$2:$AI$2,0),FALSE)*$BT$2)</f>
        <v>1457608.176</v>
      </c>
      <c r="DY66" s="240">
        <f>SUM(BZ66:CW66)+(BT66*RT1SC!$C$4*$BT$2)</f>
        <v>1495501.7767104048</v>
      </c>
      <c r="DZ66" s="271">
        <f>VLOOKUP($A66,TOCA_current!$A$2:$AI$137,MATCH("Above RHWM Not Served with LS "&amp;$BT$1,TOCA_current!$A$2:$AI$2,0),FALSE)*$BT$2</f>
        <v>56384.495999999999</v>
      </c>
      <c r="EA66" s="244">
        <f t="shared" si="13"/>
        <v>37893.600710404804</v>
      </c>
      <c r="EB66" s="295">
        <f>(VLOOKUP($A66,TOCA_current!$A$2:$AI$137,MATCH("RHWM 2020",TOCA_current!$A$2:$AI$2,0),FALSE)*$BT$2) - $DX66</f>
        <v>0</v>
      </c>
      <c r="EC66" s="240">
        <f t="shared" si="14"/>
        <v>0</v>
      </c>
      <c r="ED66" s="240">
        <f t="shared" si="15"/>
        <v>0</v>
      </c>
      <c r="EE66" s="240">
        <f t="shared" si="16"/>
        <v>0</v>
      </c>
      <c r="EF66" s="240">
        <f t="shared" si="17"/>
        <v>0</v>
      </c>
    </row>
    <row r="67" spans="1:136">
      <c r="A67" s="166">
        <v>10183</v>
      </c>
      <c r="B67" s="167" t="s">
        <v>68</v>
      </c>
      <c r="C67" s="240">
        <v>0</v>
      </c>
      <c r="D67" s="240">
        <v>1</v>
      </c>
      <c r="E67" s="150">
        <f>VLOOKUP($A67,TOCA_previous!$A$2:$AI$137,MATCH(E$4,TOCA_previous!$A$2:$AI$2,0),FALSE)</f>
        <v>1.66264E-2</v>
      </c>
      <c r="F67" s="151">
        <f>VLOOKUP($A67,TOCA_previous!$A$2:$AI$137,MATCH(F$4,TOCA_previous!$A$2:$AI$2,0),FALSE)</f>
        <v>8.8327000000000006E-3</v>
      </c>
      <c r="G67" s="151">
        <f t="shared" si="2"/>
        <v>7.7936999999999989E-3</v>
      </c>
      <c r="H67" s="151">
        <f>VLOOKUP($A67,TOCA_previous!$A$2:$AI$137,MATCH(H$4,TOCA_previous!$A$2:$AI$2,0),FALSE)</f>
        <v>0</v>
      </c>
      <c r="I67" s="151">
        <f t="shared" si="3"/>
        <v>0</v>
      </c>
      <c r="J67" s="151">
        <f t="shared" si="4"/>
        <v>0</v>
      </c>
      <c r="K67" s="226">
        <f>VLOOKUP(A67, IRD!$A$5:$C$139, 3, FALSE)</f>
        <v>94407.247000000003</v>
      </c>
      <c r="L67" s="227">
        <f t="array" ref="L67">IF($G67=0, INDEX(LS_previous!$D$4:$AY$138, MATCH('Staging Table'!$A67, LS_previous!$B$4:$B$138, 0), MATCH(L$4&amp;L$5, LS_previous!$D$2:$AY$2&amp;LS_previous!$D$3:$AY$3, 0)),SUM(VLOOKUP($A67, LS_previous!$B$4:$AY$138, LS_previous!D$149, FALSE), VLOOKUP('Staging Table'!$A67, LS_previous!$B$4:$AY$138,LS_previous!AB$149, FALSE))/2)</f>
        <v>-3825</v>
      </c>
      <c r="M67" s="227">
        <f t="array" ref="M67">IF($G67=0, INDEX(LS_previous!$D$4:$AY$138, MATCH('Staging Table'!$A67, LS_previous!$B$4:$B$138, 0), MATCH(M$4&amp;M$5, LS_previous!$D$2:$AY$2&amp;LS_previous!$D$3:$AY$3, 0)),SUM(VLOOKUP($A67, LS_previous!$B$4:$AY$138, LS_previous!E$149, FALSE), VLOOKUP('Staging Table'!$A67, LS_previous!$B$4:$AY$138,LS_previous!AC$149, FALSE))/2)</f>
        <v>2958</v>
      </c>
      <c r="N67" s="227">
        <f t="array" ref="N67">IF($G67=0, INDEX(LS_previous!$D$4:$AY$138, MATCH('Staging Table'!$A67, LS_previous!$B$4:$B$138, 0), MATCH(N$4&amp;N$5, LS_previous!$D$2:$AY$2&amp;LS_previous!$D$3:$AY$3, 0)),SUM(VLOOKUP($A67, LS_previous!$B$4:$AY$138, LS_previous!F$149, FALSE), VLOOKUP('Staging Table'!$A67, LS_previous!$B$4:$AY$138,LS_previous!AD$149, FALSE))/2)</f>
        <v>-11253</v>
      </c>
      <c r="O67" s="227">
        <f t="array" ref="O67">IF($G67=0, INDEX(LS_previous!$D$4:$AY$138, MATCH('Staging Table'!$A67, LS_previous!$B$4:$B$138, 0), MATCH(O$4&amp;O$5, LS_previous!$D$2:$AY$2&amp;LS_previous!$D$3:$AY$3, 0)),SUM(VLOOKUP($A67, LS_previous!$B$4:$AY$138, LS_previous!G$149, FALSE), VLOOKUP('Staging Table'!$A67, LS_previous!$B$4:$AY$138,LS_previous!AE$149, FALSE))/2)</f>
        <v>-2080.5</v>
      </c>
      <c r="P67" s="227">
        <f t="array" ref="P67">IF($G67=0, INDEX(LS_previous!$D$4:$AY$138, MATCH('Staging Table'!$A67, LS_previous!$B$4:$B$138, 0), MATCH(P$4&amp;P$5, LS_previous!$D$2:$AY$2&amp;LS_previous!$D$3:$AY$3, 0)),SUM(VLOOKUP($A67, LS_previous!$B$4:$AY$138, LS_previous!H$149, FALSE), VLOOKUP('Staging Table'!$A67, LS_previous!$B$4:$AY$138,LS_previous!AF$149, FALSE))/2)</f>
        <v>-7503</v>
      </c>
      <c r="Q67" s="227">
        <f t="array" ref="Q67">IF($G67=0, INDEX(LS_previous!$D$4:$AY$138, MATCH('Staging Table'!$A67, LS_previous!$B$4:$B$138, 0), MATCH(Q$4&amp;Q$5, LS_previous!$D$2:$AY$2&amp;LS_previous!$D$3:$AY$3, 0)),SUM(VLOOKUP($A67, LS_previous!$B$4:$AY$138, LS_previous!I$149, FALSE), VLOOKUP('Staging Table'!$A67, LS_previous!$B$4:$AY$138,LS_previous!AG$149, FALSE))/2)</f>
        <v>1572</v>
      </c>
      <c r="R67" s="227">
        <f t="array" ref="R67">IF($G67=0, INDEX(LS_previous!$D$4:$AY$138, MATCH('Staging Table'!$A67, LS_previous!$B$4:$B$138, 0), MATCH(R$4&amp;R$5, LS_previous!$D$2:$AY$2&amp;LS_previous!$D$3:$AY$3, 0)),SUM(VLOOKUP($A67, LS_previous!$B$4:$AY$138, LS_previous!J$149, FALSE), VLOOKUP('Staging Table'!$A67, LS_previous!$B$4:$AY$138,LS_previous!AH$149, FALSE))/2)</f>
        <v>137</v>
      </c>
      <c r="S67" s="227">
        <f t="array" ref="S67">IF($G67=0, INDEX(LS_previous!$D$4:$AY$138, MATCH('Staging Table'!$A67, LS_previous!$B$4:$B$138, 0), MATCH(S$4&amp;S$5, LS_previous!$D$2:$AY$2&amp;LS_previous!$D$3:$AY$3, 0)),SUM(VLOOKUP($A67, LS_previous!$B$4:$AY$138, LS_previous!K$149, FALSE), VLOOKUP('Staging Table'!$A67, LS_previous!$B$4:$AY$138,LS_previous!AI$149, FALSE))/2)</f>
        <v>4643</v>
      </c>
      <c r="T67" s="227">
        <f t="array" ref="T67">IF($G67=0, INDEX(LS_previous!$D$4:$AY$138, MATCH('Staging Table'!$A67, LS_previous!$B$4:$B$138, 0), MATCH(T$4&amp;T$5, LS_previous!$D$2:$AY$2&amp;LS_previous!$D$3:$AY$3, 0)),SUM(VLOOKUP($A67, LS_previous!$B$4:$AY$138, LS_previous!L$149, FALSE), VLOOKUP('Staging Table'!$A67, LS_previous!$B$4:$AY$138,LS_previous!AJ$149, FALSE))/2)</f>
        <v>-872</v>
      </c>
      <c r="U67" s="227">
        <f t="array" ref="U67">IF($G67=0, INDEX(LS_previous!$D$4:$AY$138, MATCH('Staging Table'!$A67, LS_previous!$B$4:$B$138, 0), MATCH(U$4&amp;U$5, LS_previous!$D$2:$AY$2&amp;LS_previous!$D$3:$AY$3, 0)),SUM(VLOOKUP($A67, LS_previous!$B$4:$AY$138, LS_previous!M$149, FALSE), VLOOKUP('Staging Table'!$A67, LS_previous!$B$4:$AY$138,LS_previous!AK$149, FALSE))/2)</f>
        <v>3081</v>
      </c>
      <c r="V67" s="227">
        <f t="array" ref="V67">IF($G67=0, INDEX(LS_previous!$D$4:$AY$138, MATCH('Staging Table'!$A67, LS_previous!$B$4:$B$138, 0), MATCH(V$4&amp;V$5, LS_previous!$D$2:$AY$2&amp;LS_previous!$D$3:$AY$3, 0)),SUM(VLOOKUP($A67, LS_previous!$B$4:$AY$138, LS_previous!N$149, FALSE), VLOOKUP('Staging Table'!$A67, LS_previous!$B$4:$AY$138,LS_previous!AL$149, FALSE))/2)</f>
        <v>-5537</v>
      </c>
      <c r="W67" s="227">
        <f t="array" ref="W67">IF($G67=0, INDEX(LS_previous!$D$4:$AY$138, MATCH('Staging Table'!$A67, LS_previous!$B$4:$B$138, 0), MATCH(W$4&amp;W$5, LS_previous!$D$2:$AY$2&amp;LS_previous!$D$3:$AY$3, 0)),SUM(VLOOKUP($A67, LS_previous!$B$4:$AY$138, LS_previous!O$149, FALSE), VLOOKUP('Staging Table'!$A67, LS_previous!$B$4:$AY$138,LS_previous!AM$149, FALSE))/2)</f>
        <v>376.5</v>
      </c>
      <c r="X67" s="227">
        <f t="array" ref="X67">IF($G67=0, INDEX(LS_previous!$D$4:$AY$138, MATCH('Staging Table'!$A67, LS_previous!$B$4:$B$138, 0), MATCH(X$4&amp;X$5, LS_previous!$D$2:$AY$2&amp;LS_previous!$D$3:$AY$3, 0)),SUM(VLOOKUP($A67, LS_previous!$B$4:$AY$138, LS_previous!P$149, FALSE), VLOOKUP('Staging Table'!$A67, LS_previous!$B$4:$AY$138,LS_previous!AN$149, FALSE))/2)</f>
        <v>-4907</v>
      </c>
      <c r="Y67" s="227">
        <f t="array" ref="Y67">IF($G67=0, INDEX(LS_previous!$D$4:$AY$138, MATCH('Staging Table'!$A67, LS_previous!$B$4:$B$138, 0), MATCH(Y$4&amp;Y$5, LS_previous!$D$2:$AY$2&amp;LS_previous!$D$3:$AY$3, 0)),SUM(VLOOKUP($A67, LS_previous!$B$4:$AY$138, LS_previous!Q$149, FALSE), VLOOKUP('Staging Table'!$A67, LS_previous!$B$4:$AY$138,LS_previous!AO$149, FALSE))/2)</f>
        <v>1678</v>
      </c>
      <c r="Z67" s="227">
        <f t="array" ref="Z67">IF($G67=0, INDEX(LS_previous!$D$4:$AY$138, MATCH('Staging Table'!$A67, LS_previous!$B$4:$B$138, 0), MATCH(Z$4&amp;Z$5, LS_previous!$D$2:$AY$2&amp;LS_previous!$D$3:$AY$3, 0)),SUM(VLOOKUP($A67, LS_previous!$B$4:$AY$138, LS_previous!R$149, FALSE), VLOOKUP('Staging Table'!$A67, LS_previous!$B$4:$AY$138,LS_previous!AP$149, FALSE))/2)</f>
        <v>-13988</v>
      </c>
      <c r="AA67" s="227">
        <f t="array" ref="AA67">IF($G67=0, INDEX(LS_previous!$D$4:$AY$138, MATCH('Staging Table'!$A67, LS_previous!$B$4:$B$138, 0), MATCH(AA$4&amp;AA$5, LS_previous!$D$2:$AY$2&amp;LS_previous!$D$3:$AY$3, 0)),SUM(VLOOKUP($A67, LS_previous!$B$4:$AY$138, LS_previous!S$149, FALSE), VLOOKUP('Staging Table'!$A67, LS_previous!$B$4:$AY$138,LS_previous!AQ$149, FALSE))/2)</f>
        <v>-2755</v>
      </c>
      <c r="AB67" s="227">
        <f t="array" ref="AB67">IF($G67=0, INDEX(LS_previous!$D$4:$AY$138, MATCH('Staging Table'!$A67, LS_previous!$B$4:$B$138, 0), MATCH(AB$4&amp;AB$5, LS_previous!$D$2:$AY$2&amp;LS_previous!$D$3:$AY$3, 0)),SUM(VLOOKUP($A67, LS_previous!$B$4:$AY$138, LS_previous!T$149, FALSE), VLOOKUP('Staging Table'!$A67, LS_previous!$B$4:$AY$138,LS_previous!AR$149, FALSE))/2)</f>
        <v>-2794</v>
      </c>
      <c r="AC67" s="227">
        <f t="array" ref="AC67">IF($G67=0, INDEX(LS_previous!$D$4:$AY$138, MATCH('Staging Table'!$A67, LS_previous!$B$4:$B$138, 0), MATCH(AC$4&amp;AC$5, LS_previous!$D$2:$AY$2&amp;LS_previous!$D$3:$AY$3, 0)),SUM(VLOOKUP($A67, LS_previous!$B$4:$AY$138, LS_previous!U$149, FALSE), VLOOKUP('Staging Table'!$A67, LS_previous!$B$4:$AY$138,LS_previous!AS$149, FALSE))/2)</f>
        <v>5086</v>
      </c>
      <c r="AD67" s="227">
        <f t="array" ref="AD67">IF($G67=0, INDEX(LS_previous!$D$4:$AY$138, MATCH('Staging Table'!$A67, LS_previous!$B$4:$B$138, 0), MATCH(AD$4&amp;AD$5, LS_previous!$D$2:$AY$2&amp;LS_previous!$D$3:$AY$3, 0)),SUM(VLOOKUP($A67, LS_previous!$B$4:$AY$138, LS_previous!V$149, FALSE), VLOOKUP('Staging Table'!$A67, LS_previous!$B$4:$AY$138,LS_previous!AT$149, FALSE))/2)</f>
        <v>6265</v>
      </c>
      <c r="AE67" s="227">
        <f t="array" ref="AE67">IF($G67=0, INDEX(LS_previous!$D$4:$AY$138, MATCH('Staging Table'!$A67, LS_previous!$B$4:$B$138, 0), MATCH(AE$4&amp;AE$5, LS_previous!$D$2:$AY$2&amp;LS_previous!$D$3:$AY$3, 0)),SUM(VLOOKUP($A67, LS_previous!$B$4:$AY$138, LS_previous!W$149, FALSE), VLOOKUP('Staging Table'!$A67, LS_previous!$B$4:$AY$138,LS_previous!AU$149, FALSE))/2)</f>
        <v>13020</v>
      </c>
      <c r="AF67" s="227">
        <f t="array" ref="AF67">IF($G67=0, INDEX(LS_previous!$D$4:$AY$138, MATCH('Staging Table'!$A67, LS_previous!$B$4:$B$138, 0), MATCH(AF$4&amp;AF$5, LS_previous!$D$2:$AY$2&amp;LS_previous!$D$3:$AY$3, 0)),SUM(VLOOKUP($A67, LS_previous!$B$4:$AY$138, LS_previous!X$149, FALSE), VLOOKUP('Staging Table'!$A67, LS_previous!$B$4:$AY$138,LS_previous!AV$149, FALSE))/2)</f>
        <v>3117</v>
      </c>
      <c r="AG67" s="227">
        <f t="array" ref="AG67">IF($G67=0, INDEX(LS_previous!$D$4:$AY$138, MATCH('Staging Table'!$A67, LS_previous!$B$4:$B$138, 0), MATCH(AG$4&amp;AG$5, LS_previous!$D$2:$AY$2&amp;LS_previous!$D$3:$AY$3, 0)),SUM(VLOOKUP($A67, LS_previous!$B$4:$AY$138, LS_previous!Y$149, FALSE), VLOOKUP('Staging Table'!$A67, LS_previous!$B$4:$AY$138,LS_previous!AW$149, FALSE))/2)</f>
        <v>9158</v>
      </c>
      <c r="AH67" s="227">
        <f t="array" ref="AH67">IF($G67=0, INDEX(LS_previous!$D$4:$AY$138, MATCH('Staging Table'!$A67, LS_previous!$B$4:$B$138, 0), MATCH(AH$4&amp;AH$5, LS_previous!$D$2:$AY$2&amp;LS_previous!$D$3:$AY$3, 0)),SUM(VLOOKUP($A67, LS_previous!$B$4:$AY$138, LS_previous!Z$149, FALSE), VLOOKUP('Staging Table'!$A67, LS_previous!$B$4:$AY$138,LS_previous!AX$149, FALSE))/2)</f>
        <v>-1900</v>
      </c>
      <c r="AI67" s="227">
        <f t="array" ref="AI67">IF($G67=0, INDEX(LS_previous!$D$4:$AY$138, MATCH('Staging Table'!$A67, LS_previous!$B$4:$B$138, 0), MATCH(AI$4&amp;AI$5, LS_previous!$D$2:$AY$2&amp;LS_previous!$D$3:$AY$3, 0)),SUM(VLOOKUP($A67, LS_previous!$B$4:$AY$138, LS_previous!AA$149, FALSE), VLOOKUP('Staging Table'!$A67, LS_previous!$B$4:$AY$138,LS_previous!AY$149, FALSE))/2)</f>
        <v>6502</v>
      </c>
      <c r="AJ67" s="424">
        <f t="array" ref="AJ67">INDEX(Demand_previous!$D$4:$AY$138, MATCH('Staging Table'!$A67, Demand_previous!$B$4:$B$138, 0), MATCH(AJ$4&amp;AJ$5,Demand_previous!$D$2:$AY$2&amp;Demand_previous!$D$3:$AY$3, 0))/1000</f>
        <v>0</v>
      </c>
      <c r="AK67" s="424">
        <f t="array" ref="AK67">INDEX(Demand_previous!$D$4:$AY$138, MATCH('Staging Table'!$A67, Demand_previous!$B$4:$B$138, 0), MATCH(AK$4&amp;AK$5,Demand_previous!$D$2:$AY$2&amp;Demand_previous!$D$3:$AY$3, 0))/1000</f>
        <v>0</v>
      </c>
      <c r="AL67" s="424">
        <f t="array" ref="AL67">INDEX(Demand_previous!$D$4:$AY$138, MATCH('Staging Table'!$A67, Demand_previous!$B$4:$B$138, 0), MATCH(AL$4&amp;AL$5,Demand_previous!$D$2:$AY$2&amp;Demand_previous!$D$3:$AY$3, 0))/1000</f>
        <v>0</v>
      </c>
      <c r="AM67" s="424">
        <f t="array" ref="AM67">INDEX(Demand_previous!$D$4:$AY$138, MATCH('Staging Table'!$A67, Demand_previous!$B$4:$B$138, 0), MATCH(AM$4&amp;AM$5,Demand_previous!$D$2:$AY$2&amp;Demand_previous!$D$3:$AY$3, 0))/1000</f>
        <v>0</v>
      </c>
      <c r="AN67" s="424">
        <f t="array" ref="AN67">INDEX(Demand_previous!$D$4:$AY$138, MATCH('Staging Table'!$A67, Demand_previous!$B$4:$B$138, 0), MATCH(AN$4&amp;AN$5,Demand_previous!$D$2:$AY$2&amp;Demand_previous!$D$3:$AY$3, 0))/1000</f>
        <v>0</v>
      </c>
      <c r="AO67" s="424">
        <f t="array" ref="AO67">INDEX(Demand_previous!$D$4:$AY$138, MATCH('Staging Table'!$A67, Demand_previous!$B$4:$B$138, 0), MATCH(AO$4&amp;AO$5,Demand_previous!$D$2:$AY$2&amp;Demand_previous!$D$3:$AY$3, 0))/1000</f>
        <v>0</v>
      </c>
      <c r="AP67" s="424">
        <f t="array" ref="AP67">INDEX(Demand_previous!$D$4:$AY$138, MATCH('Staging Table'!$A67, Demand_previous!$B$4:$B$138, 0), MATCH(AP$4&amp;AP$5,Demand_previous!$D$2:$AY$2&amp;Demand_previous!$D$3:$AY$3, 0))/1000</f>
        <v>0</v>
      </c>
      <c r="AQ67" s="424">
        <f t="array" ref="AQ67">INDEX(Demand_previous!$D$4:$AY$138, MATCH('Staging Table'!$A67, Demand_previous!$B$4:$B$138, 0), MATCH(AQ$4&amp;AQ$5,Demand_previous!$D$2:$AY$2&amp;Demand_previous!$D$3:$AY$3, 0))/1000</f>
        <v>0</v>
      </c>
      <c r="AR67" s="424">
        <f t="array" ref="AR67">INDEX(Demand_previous!$D$4:$AY$138, MATCH('Staging Table'!$A67, Demand_previous!$B$4:$B$138, 0), MATCH(AR$4&amp;AR$5,Demand_previous!$D$2:$AY$2&amp;Demand_previous!$D$3:$AY$3, 0))/1000</f>
        <v>0</v>
      </c>
      <c r="AS67" s="424">
        <f t="array" ref="AS67">INDEX(Demand_previous!$D$4:$AY$138, MATCH('Staging Table'!$A67, Demand_previous!$B$4:$B$138, 0), MATCH(AS$4&amp;AS$5,Demand_previous!$D$2:$AY$2&amp;Demand_previous!$D$3:$AY$3, 0))/1000</f>
        <v>0</v>
      </c>
      <c r="AT67" s="424">
        <f t="array" ref="AT67">INDEX(Demand_previous!$D$4:$AY$138, MATCH('Staging Table'!$A67, Demand_previous!$B$4:$B$138, 0), MATCH(AT$4&amp;AT$5,Demand_previous!$D$2:$AY$2&amp;Demand_previous!$D$3:$AY$3, 0))/1000</f>
        <v>0</v>
      </c>
      <c r="AU67" s="424">
        <f t="array" ref="AU67">INDEX(Demand_previous!$D$4:$AY$138, MATCH('Staging Table'!$A67, Demand_previous!$B$4:$B$138, 0), MATCH(AU$4&amp;AU$5,Demand_previous!$D$2:$AY$2&amp;Demand_previous!$D$3:$AY$3, 0))/1000</f>
        <v>0</v>
      </c>
      <c r="AV67" s="227">
        <f>$F67*(VLOOKUP(AV$4, Rates_previous!$G$6:$Q$29, 10, FALSE)+VLOOKUP(AV$4, Rates_previous!$G$6:$Q$29, 11, FALSE))</f>
        <v>41415.097303857736</v>
      </c>
      <c r="AW67" s="227">
        <f>$F67*(VLOOKUP(AW$4, Rates_previous!$G$6:$Q$29, 10, FALSE)+VLOOKUP(AW$4, Rates_previous!$G$6:$Q$29, 11, FALSE))</f>
        <v>51185.912553358867</v>
      </c>
      <c r="AX67" s="227">
        <f>$F67*(VLOOKUP(AX$4, Rates_previous!$G$6:$Q$29, 10, FALSE)+VLOOKUP(AX$4, Rates_previous!$G$6:$Q$29, 11, FALSE))</f>
        <v>50571.230964901559</v>
      </c>
      <c r="AY67" s="227">
        <f>$F67*(VLOOKUP(AY$4, Rates_previous!$G$6:$Q$29, 10, FALSE)+VLOOKUP(AY$4, Rates_previous!$G$6:$Q$29, 11, FALSE))</f>
        <v>43208.296625103736</v>
      </c>
      <c r="AZ67" s="227">
        <f>$F67*(VLOOKUP(AZ$4, Rates_previous!$G$6:$Q$29, 10, FALSE)+VLOOKUP(AZ$4, Rates_previous!$G$6:$Q$29, 11, FALSE))</f>
        <v>35422.422069689201</v>
      </c>
      <c r="BA67" s="227">
        <f>$F67*(VLOOKUP(BA$4, Rates_previous!$G$6:$Q$29, 10, FALSE)+VLOOKUP(BA$4, Rates_previous!$G$6:$Q$29, 11, FALSE))</f>
        <v>41938.861068732956</v>
      </c>
      <c r="BB67" s="227">
        <f>$F67*(VLOOKUP(BB$4, Rates_previous!$G$6:$Q$29, 10, FALSE)+VLOOKUP(BB$4, Rates_previous!$G$6:$Q$29, 11, FALSE))</f>
        <v>40309.345866572206</v>
      </c>
      <c r="BC67" s="227">
        <f>$F67*(VLOOKUP(BC$4, Rates_previous!$G$6:$Q$29, 10, FALSE)+VLOOKUP(BC$4, Rates_previous!$G$6:$Q$29, 11, FALSE))</f>
        <v>59151.112659130726</v>
      </c>
      <c r="BD67" s="227">
        <f>$F67*(VLOOKUP(BD$4, Rates_previous!$G$6:$Q$29, 10, FALSE)+VLOOKUP(BD$4, Rates_previous!$G$6:$Q$29, 11, FALSE))</f>
        <v>46668.664505089691</v>
      </c>
      <c r="BE67" s="227">
        <f>$F67*(VLOOKUP(BE$4, Rates_previous!$G$6:$Q$29, 10, FALSE)+VLOOKUP(BE$4, Rates_previous!$G$6:$Q$29, 11, FALSE))</f>
        <v>40979.004594570462</v>
      </c>
      <c r="BF67" s="227">
        <f>$F67*(VLOOKUP(BF$4, Rates_previous!$G$6:$Q$29, 10, FALSE)+VLOOKUP(BF$4, Rates_previous!$G$6:$Q$29, 11, FALSE))</f>
        <v>45385.887884313976</v>
      </c>
      <c r="BG67" s="227">
        <f>$F67*(VLOOKUP(BG$4, Rates_previous!$G$6:$Q$29, 10, FALSE)+VLOOKUP(BG$4, Rates_previous!$G$6:$Q$29, 11, FALSE))</f>
        <v>41117.809539546201</v>
      </c>
      <c r="BH67" s="229">
        <f>IF($D67=0,IF(C67=0, MAX(BK67 - (VLOOKUP($A67,TOCA_previous!$A$2:$AI$137,MATCH("RHWM 2018",TOCA_previous!$A$2:$AI$2,0),FALSE)*$F$2*TOCA_previous!C64),0),0), 0)</f>
        <v>0</v>
      </c>
      <c r="BI67" s="266">
        <f>VLOOKUP($A67,REP_previous!$A$1:$D$135,MATCH("FY "&amp;$F$1&amp; " Total Refund",REP_previous!$A$1:$D$1,0),0)</f>
        <v>1131478.6429234776</v>
      </c>
      <c r="BJ67" s="241">
        <f>MIN(VLOOKUP($A67,TOCA_previous!$A$2:$AI$137,MATCH("TRL - NLSL - Existing Resource "&amp;$F$1,TOCA_previous!$A$2:$AI$2,0),FALSE)*$F$2,(VLOOKUP($A67,TOCA_previous!$A$2:$AI$137,MATCH("RHWM 2018",TOCA_previous!$A$2:$AI$2,0),FALSE)*$F$2))</f>
        <v>1011499.68</v>
      </c>
      <c r="BK67" s="229">
        <f>SUM(L67:AI67)+(F67*RT1SC!$C$3*$F$2)</f>
        <v>537532.65347439202</v>
      </c>
      <c r="BL67" s="241">
        <f>VLOOKUP($A67,TOCA_previous!$A$2:$AI$137,MATCH("Above RHWM Not Served with LS "&amp;$F$1,TOCA_previous!$A$2:$AI$2,0),FALSE)*$F$2</f>
        <v>93933.48000000001</v>
      </c>
      <c r="BM67" s="151">
        <f t="shared" si="5"/>
        <v>-473967.02652560803</v>
      </c>
      <c r="BN67" s="242">
        <f>(VLOOKUP($A67,TOCA_previous!$A$2:$AI$137,MATCH("RHWM 2018",TOCA_previous!$A$2:$AI$2,0),FALSE)*$F$2) - $BJ67</f>
        <v>0</v>
      </c>
      <c r="BO67" s="151">
        <f t="shared" si="6"/>
        <v>0</v>
      </c>
      <c r="BP67" s="243">
        <f t="shared" si="7"/>
        <v>380033.54652560805</v>
      </c>
      <c r="BQ67" s="237">
        <f t="shared" si="8"/>
        <v>0</v>
      </c>
      <c r="BR67" s="242">
        <f t="shared" si="9"/>
        <v>0</v>
      </c>
      <c r="BS67" s="151">
        <f>VLOOKUP($A67,TOCA_current!$A$2:$AI$137,MATCH(BS$4,TOCA_current!$A$2:$AI$2,0),FALSE)</f>
        <v>1.66175E-2</v>
      </c>
      <c r="BT67" s="151">
        <f>VLOOKUP($A67,TOCA_current!$A$2:$AI$137,MATCH(BT$4,TOCA_current!$A$2:$AI$2,0),FALSE)</f>
        <v>8.8280000000000008E-3</v>
      </c>
      <c r="BU67" s="236">
        <f t="shared" si="10"/>
        <v>7.7894999999999995E-3</v>
      </c>
      <c r="BV67" s="151">
        <f>VLOOKUP($A67,TOCA_current!A63:BG198,MATCH(BV$4,TOCA_current!$A$2:$BG$2,0),FALSE)</f>
        <v>0</v>
      </c>
      <c r="BW67" s="151">
        <f t="shared" si="11"/>
        <v>0</v>
      </c>
      <c r="BX67" s="151">
        <f t="shared" si="12"/>
        <v>0</v>
      </c>
      <c r="BY67" s="226">
        <f>VLOOKUP($A67,IRD!$A$4:$G$139, 7, FALSE)</f>
        <v>94407.247000000003</v>
      </c>
      <c r="BZ67" s="227">
        <f t="array" ref="BZ67">IF($BU67=0, INDEX(LS_current!$D$4:$AY$138, MATCH('Staging Table'!$A67, LS_current!$B$4:$B$138, 0), MATCH(BZ$4&amp;BZ$5, LS_current!$D$2:$AY$2&amp;LS_current!$D$3:$AY$3, 0)),SUM(VLOOKUP($A67, LS_current!$B$4:$AY$138, LS_current!D$148, FALSE), VLOOKUP($A67, LS_current!$B$4:$AY$138,LS_current!D$148, FALSE))/2)</f>
        <v>-2931</v>
      </c>
      <c r="CA67" s="227">
        <f t="array" ref="CA67">IF($BU67=0, INDEX(LS_current!$D$4:$AY$138, MATCH('Staging Table'!$A67, LS_current!$B$4:$B$138, 0), MATCH(CA$4&amp;CA$5, LS_current!$D$2:$AY$2&amp;LS_current!$D$3:$AY$3, 0)),SUM(VLOOKUP($A67, LS_current!$B$4:$AY$138, LS_current!E$148, FALSE), VLOOKUP($A67, LS_current!$B$4:$AY$138,LS_current!E$148, FALSE))/2)</f>
        <v>2871</v>
      </c>
      <c r="CB67" s="227">
        <f t="array" ref="CB67">IF($BU67=0, INDEX(LS_current!$D$4:$AY$138, MATCH('Staging Table'!$A67, LS_current!$B$4:$B$138, 0), MATCH(CB$4&amp;CB$5, LS_current!$D$2:$AY$2&amp;LS_current!$D$3:$AY$3, 0)),SUM(VLOOKUP($A67, LS_current!$B$4:$AY$138, LS_current!F$148, FALSE), VLOOKUP($A67, LS_current!$B$4:$AY$138,LS_current!F$148, FALSE))/2)</f>
        <v>-11087</v>
      </c>
      <c r="CC67" s="227">
        <f t="array" ref="CC67">IF($BU67=0, INDEX(LS_current!$D$4:$AY$138, MATCH('Staging Table'!$A67, LS_current!$B$4:$B$138, 0), MATCH(CC$4&amp;CC$5, LS_current!$D$2:$AY$2&amp;LS_current!$D$3:$AY$3, 0)),SUM(VLOOKUP($A67, LS_current!$B$4:$AY$138, LS_current!G$148, FALSE), VLOOKUP($A67, LS_current!$B$4:$AY$138,LS_current!G$148, FALSE))/2)</f>
        <v>-2161</v>
      </c>
      <c r="CD67" s="227">
        <f t="array" ref="CD67">IF($BU67=0, INDEX(LS_current!$D$4:$AY$138, MATCH('Staging Table'!$A67, LS_current!$B$4:$B$138, 0), MATCH(CD$4&amp;CD$5, LS_current!$D$2:$AY$2&amp;LS_current!$D$3:$AY$3, 0)),SUM(VLOOKUP($A67, LS_current!$B$4:$AY$138, LS_current!H$148, FALSE), VLOOKUP($A67, LS_current!$B$4:$AY$138,LS_current!H$148, FALSE))/2)</f>
        <v>-7550</v>
      </c>
      <c r="CE67" s="227">
        <f t="array" ref="CE67">IF($BU67=0, INDEX(LS_current!$D$4:$AY$138, MATCH('Staging Table'!$A67, LS_current!$B$4:$B$138, 0), MATCH(CE$4&amp;CE$5, LS_current!$D$2:$AY$2&amp;LS_current!$D$3:$AY$3, 0)),SUM(VLOOKUP($A67, LS_current!$B$4:$AY$138, LS_current!I$148, FALSE), VLOOKUP($A67, LS_current!$B$4:$AY$138,LS_current!I$148, FALSE))/2)</f>
        <v>1439</v>
      </c>
      <c r="CF67" s="227">
        <f t="array" ref="CF67">IF($BU67=0, INDEX(LS_current!$D$4:$AY$138, MATCH('Staging Table'!$A67, LS_current!$B$4:$B$138, 0), MATCH(CF$4&amp;CF$5, LS_current!$D$2:$AY$2&amp;LS_current!$D$3:$AY$3, 0)),SUM(VLOOKUP($A67, LS_current!$B$4:$AY$138, LS_current!J$148, FALSE), VLOOKUP($A67, LS_current!$B$4:$AY$138,LS_current!J$148, FALSE))/2)</f>
        <v>208</v>
      </c>
      <c r="CG67" s="227">
        <f t="array" ref="CG67">IF($BU67=0, INDEX(LS_current!$D$4:$AY$138, MATCH('Staging Table'!$A67, LS_current!$B$4:$B$138, 0), MATCH(CG$4&amp;CG$5, LS_current!$D$2:$AY$2&amp;LS_current!$D$3:$AY$3, 0)),SUM(VLOOKUP($A67, LS_current!$B$4:$AY$138, LS_current!K$148, FALSE), VLOOKUP($A67, LS_current!$B$4:$AY$138,LS_current!K$148, FALSE))/2)</f>
        <v>5451</v>
      </c>
      <c r="CH67" s="227">
        <f t="array" ref="CH67">IF($BU67=0, INDEX(LS_current!$D$4:$AY$138, MATCH('Staging Table'!$A67, LS_current!$B$4:$B$138, 0), MATCH(CH$4&amp;CH$5, LS_current!$D$2:$AY$2&amp;LS_current!$D$3:$AY$3, 0)),SUM(VLOOKUP($A67, LS_current!$B$4:$AY$138, LS_current!L$148, FALSE), VLOOKUP($A67, LS_current!$B$4:$AY$138,LS_current!L$148, FALSE))/2)</f>
        <v>-2538</v>
      </c>
      <c r="CI67" s="227">
        <f t="array" ref="CI67">IF($BU67=0, INDEX(LS_current!$D$4:$AY$138, MATCH('Staging Table'!$A67, LS_current!$B$4:$B$138, 0), MATCH(CI$4&amp;CI$5, LS_current!$D$2:$AY$2&amp;LS_current!$D$3:$AY$3, 0)),SUM(VLOOKUP($A67, LS_current!$B$4:$AY$138, LS_current!M$148, FALSE), VLOOKUP($A67, LS_current!$B$4:$AY$138,LS_current!M$148, FALSE))/2)</f>
        <v>1899</v>
      </c>
      <c r="CJ67" s="227">
        <f t="array" ref="CJ67">IF($BU67=0, INDEX(LS_current!$D$4:$AY$138, MATCH('Staging Table'!$A67, LS_current!$B$4:$B$138, 0), MATCH(CJ$4&amp;CJ$5, LS_current!$D$2:$AY$2&amp;LS_current!$D$3:$AY$3, 0)),SUM(VLOOKUP($A67, LS_current!$B$4:$AY$138, LS_current!N$148, FALSE), VLOOKUP($A67, LS_current!$B$4:$AY$138,LS_current!N$148, FALSE))/2)</f>
        <v>-6353</v>
      </c>
      <c r="CK67" s="227">
        <f t="array" ref="CK67">IF($BU67=0, INDEX(LS_current!$D$4:$AY$138, MATCH('Staging Table'!$A67, LS_current!$B$4:$B$138, 0), MATCH(CK$4&amp;CK$5, LS_current!$D$2:$AY$2&amp;LS_current!$D$3:$AY$3, 0)),SUM(VLOOKUP($A67, LS_current!$B$4:$AY$138, LS_current!O$148, FALSE), VLOOKUP($A67, LS_current!$B$4:$AY$138,LS_current!O$148, FALSE))/2)</f>
        <v>833</v>
      </c>
      <c r="CL67" s="227">
        <f t="array" ref="CL67">IF($BU67=0, INDEX(LS_current!$D$4:$AY$138, MATCH('Staging Table'!$A67, LS_current!$B$4:$B$138, 0), MATCH(CL$4&amp;CL$5, LS_current!$D$2:$AY$2&amp;LS_current!$D$3:$AY$3, 0)),SUM(VLOOKUP($A67, LS_current!$B$4:$AY$138, LS_current!P$148, FALSE), VLOOKUP($A67, LS_current!$B$4:$AY$138,LS_current!P$148, FALSE))/2)</f>
        <v>-378</v>
      </c>
      <c r="CM67" s="227">
        <f t="array" ref="CM67">IF($BU67=0, INDEX(LS_current!$D$4:$AY$138, MATCH('Staging Table'!$A67, LS_current!$B$4:$B$138, 0), MATCH(CM$4&amp;CM$5, LS_current!$D$2:$AY$2&amp;LS_current!$D$3:$AY$3, 0)),SUM(VLOOKUP($A67, LS_current!$B$4:$AY$138, LS_current!Q$148, FALSE), VLOOKUP($A67, LS_current!$B$4:$AY$138,LS_current!Q$148, FALSE))/2)</f>
        <v>2840</v>
      </c>
      <c r="CN67" s="227">
        <f t="array" ref="CN67">IF($BU67=0, INDEX(LS_current!$D$4:$AY$138, MATCH('Staging Table'!$A67, LS_current!$B$4:$B$138, 0), MATCH(CN$4&amp;CN$5, LS_current!$D$2:$AY$2&amp;LS_current!$D$3:$AY$3, 0)),SUM(VLOOKUP($A67, LS_current!$B$4:$AY$138, LS_current!R$148, FALSE), VLOOKUP($A67, LS_current!$B$4:$AY$138,LS_current!R$148, FALSE))/2)</f>
        <v>-7566</v>
      </c>
      <c r="CO67" s="227">
        <f t="array" ref="CO67">IF($BU67=0, INDEX(LS_current!$D$4:$AY$138, MATCH('Staging Table'!$A67, LS_current!$B$4:$B$138, 0), MATCH(CO$4&amp;CO$5, LS_current!$D$2:$AY$2&amp;LS_current!$D$3:$AY$3, 0)),SUM(VLOOKUP($A67, LS_current!$B$4:$AY$138, LS_current!S$148, FALSE), VLOOKUP($A67, LS_current!$B$4:$AY$138,LS_current!S$148, FALSE))/2)</f>
        <v>3259</v>
      </c>
      <c r="CP67" s="227">
        <f t="array" ref="CP67">IF($BU67=0, INDEX(LS_current!$D$4:$AY$138, MATCH('Staging Table'!$A67, LS_current!$B$4:$B$138, 0), MATCH(CP$4&amp;CP$5, LS_current!$D$2:$AY$2&amp;LS_current!$D$3:$AY$3, 0)),SUM(VLOOKUP($A67, LS_current!$B$4:$AY$138, LS_current!T$148, FALSE), VLOOKUP($A67, LS_current!$B$4:$AY$138,LS_current!T$148, FALSE))/2)</f>
        <v>-10536</v>
      </c>
      <c r="CQ67" s="227">
        <f t="array" ref="CQ67">IF($BU67=0, INDEX(LS_current!$D$4:$AY$138, MATCH('Staging Table'!$A67, LS_current!$B$4:$B$138, 0), MATCH(CQ$4&amp;CQ$5, LS_current!$D$2:$AY$2&amp;LS_current!$D$3:$AY$3, 0)),SUM(VLOOKUP($A67, LS_current!$B$4:$AY$138, LS_current!U$148, FALSE), VLOOKUP($A67, LS_current!$B$4:$AY$138,LS_current!U$148, FALSE))/2)</f>
        <v>-278</v>
      </c>
      <c r="CR67" s="227">
        <f t="array" ref="CR67">IF($BU67=0, INDEX(LS_current!$D$4:$AY$138, MATCH('Staging Table'!$A67, LS_current!$B$4:$B$138, 0), MATCH(CR$4&amp;CR$5, LS_current!$D$2:$AY$2&amp;LS_current!$D$3:$AY$3, 0)),SUM(VLOOKUP($A67, LS_current!$B$4:$AY$138, LS_current!V$148, FALSE), VLOOKUP($A67, LS_current!$B$4:$AY$138,LS_current!V$148, FALSE))/2)</f>
        <v>1496</v>
      </c>
      <c r="CS67" s="227">
        <f t="array" ref="CS67">IF($BU67=0, INDEX(LS_current!$D$4:$AY$138, MATCH('Staging Table'!$A67, LS_current!$B$4:$B$138, 0), MATCH(CS$4&amp;CS$5, LS_current!$D$2:$AY$2&amp;LS_current!$D$3:$AY$3, 0)),SUM(VLOOKUP($A67, LS_current!$B$4:$AY$138, LS_current!W$148, FALSE), VLOOKUP($A67, LS_current!$B$4:$AY$138,LS_current!W$148, FALSE))/2)</f>
        <v>12088</v>
      </c>
      <c r="CT67" s="227">
        <f t="array" ref="CT67">IF($BU67=0, INDEX(LS_current!$D$4:$AY$138, MATCH('Staging Table'!$A67, LS_current!$B$4:$B$138, 0), MATCH(CT$4&amp;CT$5, LS_current!$D$2:$AY$2&amp;LS_current!$D$3:$AY$3, 0)),SUM(VLOOKUP($A67, LS_current!$B$4:$AY$138, LS_current!X$148, FALSE), VLOOKUP($A67, LS_current!$B$4:$AY$138,LS_current!X$148, FALSE))/2)</f>
        <v>972</v>
      </c>
      <c r="CU67" s="227">
        <f t="array" ref="CU67">IF($BU67=0, INDEX(LS_current!$D$4:$AY$138, MATCH('Staging Table'!$A67, LS_current!$B$4:$B$138, 0), MATCH(CU$4&amp;CU$5, LS_current!$D$2:$AY$2&amp;LS_current!$D$3:$AY$3, 0)),SUM(VLOOKUP($A67, LS_current!$B$4:$AY$138, LS_current!Y$148, FALSE), VLOOKUP($A67, LS_current!$B$4:$AY$138,LS_current!Y$148, FALSE))/2)</f>
        <v>11135</v>
      </c>
      <c r="CV67" s="227">
        <f t="array" ref="CV67">IF($BU67=0, INDEX(LS_current!$D$4:$AY$138, MATCH('Staging Table'!$A67, LS_current!$B$4:$B$138, 0), MATCH(CV$4&amp;CV$5, LS_current!$D$2:$AY$2&amp;LS_current!$D$3:$AY$3, 0)),SUM(VLOOKUP($A67, LS_current!$B$4:$AY$138, LS_current!Z$148, FALSE), VLOOKUP($A67, LS_current!$B$4:$AY$138,LS_current!Z$148, FALSE))/2)</f>
        <v>-798</v>
      </c>
      <c r="CW67" s="227">
        <f t="array" ref="CW67">IF($BU67=0, INDEX(LS_current!$D$4:$AY$138, MATCH('Staging Table'!$A67, LS_current!$B$4:$B$138, 0), MATCH(CW$4&amp;CW$5, LS_current!$D$2:$AY$2&amp;LS_current!$D$3:$AY$3, 0)),SUM(VLOOKUP($A67, LS_current!$B$4:$AY$138, LS_current!AA$148, FALSE), VLOOKUP($A67, LS_current!$B$4:$AY$138,LS_current!AA$148, FALSE))/2)</f>
        <v>5664</v>
      </c>
      <c r="CX67" s="229">
        <f t="array" ref="CX67">INDEX(Demand_current!$D$4:$AY$138, MATCH($A67, Demand_current!$B$4:$B$138, 0), MATCH(CX$4&amp;CX$5,Demand_current!$D$2:$AY$2&amp;Demand_current!$D$3:$AY$3, 0))/1000</f>
        <v>0</v>
      </c>
      <c r="CY67" s="229">
        <f t="array" ref="CY67">INDEX(Demand_current!$D$4:$AY$138, MATCH($A67, Demand_current!$B$4:$B$138, 0), MATCH(CY$4&amp;CY$5,Demand_current!$D$2:$AY$2&amp;Demand_current!$D$3:$AY$3, 0))/1000</f>
        <v>0</v>
      </c>
      <c r="CZ67" s="229">
        <f t="array" ref="CZ67">INDEX(Demand_current!$D$4:$AY$138, MATCH($A67, Demand_current!$B$4:$B$138, 0), MATCH(CZ$4&amp;CZ$5,Demand_current!$D$2:$AY$2&amp;Demand_current!$D$3:$AY$3, 0))/1000</f>
        <v>0</v>
      </c>
      <c r="DA67" s="229">
        <f t="array" ref="DA67">INDEX(Demand_current!$D$4:$AY$138, MATCH($A67, Demand_current!$B$4:$B$138, 0), MATCH(DA$4&amp;DA$5,Demand_current!$D$2:$AY$2&amp;Demand_current!$D$3:$AY$3, 0))/1000</f>
        <v>0</v>
      </c>
      <c r="DB67" s="229">
        <f t="array" ref="DB67">INDEX(Demand_current!$D$4:$AY$138, MATCH($A67, Demand_current!$B$4:$B$138, 0), MATCH(DB$4&amp;DB$5,Demand_current!$D$2:$AY$2&amp;Demand_current!$D$3:$AY$3, 0))/1000</f>
        <v>0</v>
      </c>
      <c r="DC67" s="229">
        <f t="array" ref="DC67">INDEX(Demand_current!$D$4:$AY$138, MATCH($A67, Demand_current!$B$4:$B$138, 0), MATCH(DC$4&amp;DC$5,Demand_current!$D$2:$AY$2&amp;Demand_current!$D$3:$AY$3, 0))/1000</f>
        <v>0</v>
      </c>
      <c r="DD67" s="229">
        <f t="array" ref="DD67">INDEX(Demand_current!$D$4:$AY$138, MATCH($A67, Demand_current!$B$4:$B$138, 0), MATCH(DD$4&amp;DD$5,Demand_current!$D$2:$AY$2&amp;Demand_current!$D$3:$AY$3, 0))/1000</f>
        <v>0</v>
      </c>
      <c r="DE67" s="229">
        <f t="array" ref="DE67">INDEX(Demand_current!$D$4:$AY$138, MATCH($A67, Demand_current!$B$4:$B$138, 0), MATCH(DE$4&amp;DE$5,Demand_current!$D$2:$AY$2&amp;Demand_current!$D$3:$AY$3, 0))/1000</f>
        <v>0</v>
      </c>
      <c r="DF67" s="229">
        <f t="array" ref="DF67">INDEX(Demand_current!$D$4:$AY$138, MATCH($A67, Demand_current!$B$4:$B$138, 0), MATCH(DF$4&amp;DF$5,Demand_current!$D$2:$AY$2&amp;Demand_current!$D$3:$AY$3, 0))/1000</f>
        <v>0</v>
      </c>
      <c r="DG67" s="229">
        <f t="array" ref="DG67">INDEX(Demand_current!$D$4:$AY$138, MATCH($A67, Demand_current!$B$4:$B$138, 0), MATCH(DG$4&amp;DG$5,Demand_current!$D$2:$AY$2&amp;Demand_current!$D$3:$AY$3, 0))/1000</f>
        <v>0</v>
      </c>
      <c r="DH67" s="229">
        <f t="array" ref="DH67">INDEX(Demand_current!$D$4:$AY$138, MATCH($A67, Demand_current!$B$4:$B$138, 0), MATCH(DH$4&amp;DH$5,Demand_current!$D$2:$AY$2&amp;Demand_current!$D$3:$AY$3, 0))/1000</f>
        <v>0</v>
      </c>
      <c r="DI67" s="229">
        <f t="array" ref="DI67">INDEX(Demand_current!$D$4:$AY$138, MATCH($A67, Demand_current!$B$4:$B$138, 0), MATCH(DI$4&amp;DI$5,Demand_current!$D$2:$AY$2&amp;Demand_current!$D$3:$AY$3, 0))/1000</f>
        <v>0</v>
      </c>
      <c r="DJ67" s="227">
        <f>$BT67*(VLOOKUP(DJ$4, Rates_current!$G$6:$Q$29, 10, FALSE)+VLOOKUP(DJ$4, Rates_current!$G$6:$Q$29, 11, FALSE))</f>
        <v>40761.676206288001</v>
      </c>
      <c r="DK67" s="227">
        <f>$BT67*(VLOOKUP(DK$4, Rates_current!$G$6:$Q$29, 10, FALSE)+VLOOKUP(DK$4, Rates_current!$G$6:$Q$29, 11, FALSE))</f>
        <v>51780.044633892008</v>
      </c>
      <c r="DL67" s="227">
        <f>$BT67*(VLOOKUP(DL$4, Rates_current!$G$6:$Q$29, 10, FALSE)+VLOOKUP(DL$4, Rates_current!$G$6:$Q$29, 11, FALSE))</f>
        <v>51154.730530288005</v>
      </c>
      <c r="DM67" s="227">
        <f>$BT67*(VLOOKUP(DM$4, Rates_current!$G$6:$Q$29, 10, FALSE)+VLOOKUP(DM$4, Rates_current!$G$6:$Q$29, 11, FALSE))</f>
        <v>42640.583586288005</v>
      </c>
      <c r="DN67" s="227">
        <f>$BT67*(VLOOKUP(DN$4, Rates_current!$G$6:$Q$29, 10, FALSE)+VLOOKUP(DN$4, Rates_current!$G$6:$Q$29, 11, FALSE))</f>
        <v>38627.945110400004</v>
      </c>
      <c r="DO67" s="227">
        <f>$BT67*(VLOOKUP(DO$4, Rates_current!$G$6:$Q$29, 10, FALSE)+VLOOKUP(DO$4, Rates_current!$G$6:$Q$29, 11, FALSE))</f>
        <v>42966.546371836004</v>
      </c>
      <c r="DP67" s="227">
        <f>$BT67*(VLOOKUP(DP$4, Rates_current!$G$6:$Q$29, 10, FALSE)+VLOOKUP(DP$4, Rates_current!$G$6:$Q$29, 11, FALSE))</f>
        <v>34983.408421440006</v>
      </c>
      <c r="DQ67" s="227">
        <f>$BT67*(VLOOKUP(DQ$4, Rates_current!$G$6:$Q$29, 10, FALSE)+VLOOKUP(DQ$4, Rates_current!$G$6:$Q$29, 11, FALSE))</f>
        <v>47180.342860288009</v>
      </c>
      <c r="DR67" s="227">
        <f>$BT67*(VLOOKUP(DR$4, Rates_current!$G$6:$Q$29, 10, FALSE)+VLOOKUP(DR$4, Rates_current!$G$6:$Q$29, 11, FALSE))</f>
        <v>60198.908687440009</v>
      </c>
      <c r="DS67" s="227">
        <f>$BT67*(VLOOKUP(DS$4, Rates_current!$G$6:$Q$29, 10, FALSE)+VLOOKUP(DS$4, Rates_current!$G$6:$Q$29, 11, FALSE))</f>
        <v>47197.853198288009</v>
      </c>
      <c r="DT67" s="227">
        <f>$BT67*(VLOOKUP(DT$4, Rates_current!$G$6:$Q$29, 10, FALSE)+VLOOKUP(DT$4, Rates_current!$G$6:$Q$29, 11, FALSE))</f>
        <v>45961.310824288012</v>
      </c>
      <c r="DU67" s="227">
        <f>$BT67*(VLOOKUP(DU$4, Rates_current!$G$6:$Q$29, 10, FALSE)+VLOOKUP(DU$4, Rates_current!$G$6:$Q$29, 11, FALSE))</f>
        <v>41263.479889440008</v>
      </c>
      <c r="DV67" s="229">
        <f>IF(D67=0,IF(C67=0,MAX(0,DY67 - (VLOOKUP($A67,TOCA_current!$A$2:$AI$137,MATCH("RHWM 2020",TOCA_current!$A$2:$AI$2,0),FALSE)*$BT$2)), 0),0)</f>
        <v>0</v>
      </c>
      <c r="DW67" s="266">
        <f>VLOOKUP($A67,REP_current!$A$1:$D$135,MATCH("FY "&amp;$BT$1&amp; " Total Refund",REP_current!$A$1:$D$1,0),0)</f>
        <v>0</v>
      </c>
      <c r="DX67" s="295">
        <f>MIN(VLOOKUP($A67,TOCA_current!$A$2:$AI$137,MATCH("TRL - NLSL - Existing Resource "&amp;$BT$1,TOCA_current!$A$2:$AI$2,0),FALSE)*$BT$2, VLOOKUP($A67,TOCA_current!$A$2:$AI$137,MATCH("RHWM 2020",TOCA_current!$A$2:$AI$2,0),FALSE)*$BT$2)</f>
        <v>1025356.3200000001</v>
      </c>
      <c r="DY67" s="240">
        <f>SUM(BZ67:CW67)+(BT67*RT1SC!$C$4*$BT$2)</f>
        <v>542695.85076582397</v>
      </c>
      <c r="DZ67" s="271">
        <f>VLOOKUP($A67,TOCA_current!$A$2:$AI$137,MATCH("Above RHWM Not Served with LS "&amp;$BT$1,TOCA_current!$A$2:$AI$2,0),FALSE)*$BT$2</f>
        <v>53301.311999999998</v>
      </c>
      <c r="EA67" s="244">
        <f t="shared" si="13"/>
        <v>-482660.4692341761</v>
      </c>
      <c r="EB67" s="295">
        <f>(VLOOKUP($A67,TOCA_current!$A$2:$AI$137,MATCH("RHWM 2020",TOCA_current!$A$2:$AI$2,0),FALSE)*$BT$2) - $DX67</f>
        <v>0</v>
      </c>
      <c r="EC67" s="240">
        <f t="shared" si="14"/>
        <v>0</v>
      </c>
      <c r="ED67" s="240">
        <f t="shared" si="15"/>
        <v>429359.15723417612</v>
      </c>
      <c r="EE67" s="240">
        <f t="shared" si="16"/>
        <v>0</v>
      </c>
      <c r="EF67" s="240">
        <f t="shared" si="17"/>
        <v>0</v>
      </c>
    </row>
    <row r="68" spans="1:136">
      <c r="A68" s="166">
        <v>10186</v>
      </c>
      <c r="B68" s="167" t="s">
        <v>69</v>
      </c>
      <c r="C68" s="240">
        <v>0</v>
      </c>
      <c r="D68" s="240">
        <v>0</v>
      </c>
      <c r="E68" s="150">
        <f>VLOOKUP($A68,TOCA_previous!$A$2:$AI$137,MATCH(E$4,TOCA_previous!$A$2:$AI$2,0),FALSE)</f>
        <v>2.6389E-3</v>
      </c>
      <c r="F68" s="151">
        <f>VLOOKUP($A68,TOCA_previous!$A$2:$AI$137,MATCH(F$4,TOCA_previous!$A$2:$AI$2,0),FALSE)</f>
        <v>2.6389E-3</v>
      </c>
      <c r="G68" s="151">
        <f t="shared" si="2"/>
        <v>0</v>
      </c>
      <c r="H68" s="151">
        <f>VLOOKUP($A68,TOCA_previous!$A$2:$AI$137,MATCH(H$4,TOCA_previous!$A$2:$AI$2,0),FALSE)</f>
        <v>7.0000000000000007E-2</v>
      </c>
      <c r="I68" s="151">
        <f t="shared" si="3"/>
        <v>0</v>
      </c>
      <c r="J68" s="151">
        <f t="shared" si="4"/>
        <v>0</v>
      </c>
      <c r="K68" s="226">
        <f>VLOOKUP(A68, IRD!$A$5:$C$139, 3, FALSE)</f>
        <v>0</v>
      </c>
      <c r="L68" s="227">
        <f t="array" ref="L68">IF($G68=0, INDEX(LS_previous!$D$4:$AY$138, MATCH('Staging Table'!$A68, LS_previous!$B$4:$B$138, 0), MATCH(L$4&amp;L$5, LS_previous!$D$2:$AY$2&amp;LS_previous!$D$3:$AY$3, 0)),SUM(VLOOKUP($A68, LS_previous!$B$4:$AY$138, LS_previous!D$149, FALSE), VLOOKUP('Staging Table'!$A68, LS_previous!$B$4:$AY$138,LS_previous!AB$149, FALSE))/2)</f>
        <v>-787</v>
      </c>
      <c r="M68" s="227">
        <f t="array" ref="M68">IF($G68=0, INDEX(LS_previous!$D$4:$AY$138, MATCH('Staging Table'!$A68, LS_previous!$B$4:$B$138, 0), MATCH(M$4&amp;M$5, LS_previous!$D$2:$AY$2&amp;LS_previous!$D$3:$AY$3, 0)),SUM(VLOOKUP($A68, LS_previous!$B$4:$AY$138, LS_previous!E$149, FALSE), VLOOKUP('Staging Table'!$A68, LS_previous!$B$4:$AY$138,LS_previous!AC$149, FALSE))/2)</f>
        <v>364</v>
      </c>
      <c r="N68" s="227">
        <f t="array" ref="N68">IF($G68=0, INDEX(LS_previous!$D$4:$AY$138, MATCH('Staging Table'!$A68, LS_previous!$B$4:$B$138, 0), MATCH(N$4&amp;N$5, LS_previous!$D$2:$AY$2&amp;LS_previous!$D$3:$AY$3, 0)),SUM(VLOOKUP($A68, LS_previous!$B$4:$AY$138, LS_previous!F$149, FALSE), VLOOKUP('Staging Table'!$A68, LS_previous!$B$4:$AY$138,LS_previous!AD$149, FALSE))/2)</f>
        <v>-1907</v>
      </c>
      <c r="O68" s="227">
        <f t="array" ref="O68">IF($G68=0, INDEX(LS_previous!$D$4:$AY$138, MATCH('Staging Table'!$A68, LS_previous!$B$4:$B$138, 0), MATCH(O$4&amp;O$5, LS_previous!$D$2:$AY$2&amp;LS_previous!$D$3:$AY$3, 0)),SUM(VLOOKUP($A68, LS_previous!$B$4:$AY$138, LS_previous!G$149, FALSE), VLOOKUP('Staging Table'!$A68, LS_previous!$B$4:$AY$138,LS_previous!AE$149, FALSE))/2)</f>
        <v>173</v>
      </c>
      <c r="P68" s="227">
        <f t="array" ref="P68">IF($G68=0, INDEX(LS_previous!$D$4:$AY$138, MATCH('Staging Table'!$A68, LS_previous!$B$4:$B$138, 0), MATCH(P$4&amp;P$5, LS_previous!$D$2:$AY$2&amp;LS_previous!$D$3:$AY$3, 0)),SUM(VLOOKUP($A68, LS_previous!$B$4:$AY$138, LS_previous!H$149, FALSE), VLOOKUP('Staging Table'!$A68, LS_previous!$B$4:$AY$138,LS_previous!AF$149, FALSE))/2)</f>
        <v>-171</v>
      </c>
      <c r="Q68" s="227">
        <f t="array" ref="Q68">IF($G68=0, INDEX(LS_previous!$D$4:$AY$138, MATCH('Staging Table'!$A68, LS_previous!$B$4:$B$138, 0), MATCH(Q$4&amp;Q$5, LS_previous!$D$2:$AY$2&amp;LS_previous!$D$3:$AY$3, 0)),SUM(VLOOKUP($A68, LS_previous!$B$4:$AY$138, LS_previous!I$149, FALSE), VLOOKUP('Staging Table'!$A68, LS_previous!$B$4:$AY$138,LS_previous!AG$149, FALSE))/2)</f>
        <v>1112</v>
      </c>
      <c r="R68" s="227">
        <f t="array" ref="R68">IF($G68=0, INDEX(LS_previous!$D$4:$AY$138, MATCH('Staging Table'!$A68, LS_previous!$B$4:$B$138, 0), MATCH(R$4&amp;R$5, LS_previous!$D$2:$AY$2&amp;LS_previous!$D$3:$AY$3, 0)),SUM(VLOOKUP($A68, LS_previous!$B$4:$AY$138, LS_previous!J$149, FALSE), VLOOKUP('Staging Table'!$A68, LS_previous!$B$4:$AY$138,LS_previous!AH$149, FALSE))/2)</f>
        <v>1225</v>
      </c>
      <c r="S68" s="227">
        <f t="array" ref="S68">IF($G68=0, INDEX(LS_previous!$D$4:$AY$138, MATCH('Staging Table'!$A68, LS_previous!$B$4:$B$138, 0), MATCH(S$4&amp;S$5, LS_previous!$D$2:$AY$2&amp;LS_previous!$D$3:$AY$3, 0)),SUM(VLOOKUP($A68, LS_previous!$B$4:$AY$138, LS_previous!K$149, FALSE), VLOOKUP('Staging Table'!$A68, LS_previous!$B$4:$AY$138,LS_previous!AI$149, FALSE))/2)</f>
        <v>1908</v>
      </c>
      <c r="T68" s="227">
        <f t="array" ref="T68">IF($G68=0, INDEX(LS_previous!$D$4:$AY$138, MATCH('Staging Table'!$A68, LS_previous!$B$4:$B$138, 0), MATCH(T$4&amp;T$5, LS_previous!$D$2:$AY$2&amp;LS_previous!$D$3:$AY$3, 0)),SUM(VLOOKUP($A68, LS_previous!$B$4:$AY$138, LS_previous!L$149, FALSE), VLOOKUP('Staging Table'!$A68, LS_previous!$B$4:$AY$138,LS_previous!AJ$149, FALSE))/2)</f>
        <v>1204</v>
      </c>
      <c r="U68" s="227">
        <f t="array" ref="U68">IF($G68=0, INDEX(LS_previous!$D$4:$AY$138, MATCH('Staging Table'!$A68, LS_previous!$B$4:$B$138, 0), MATCH(U$4&amp;U$5, LS_previous!$D$2:$AY$2&amp;LS_previous!$D$3:$AY$3, 0)),SUM(VLOOKUP($A68, LS_previous!$B$4:$AY$138, LS_previous!M$149, FALSE), VLOOKUP('Staging Table'!$A68, LS_previous!$B$4:$AY$138,LS_previous!AK$149, FALSE))/2)</f>
        <v>1713</v>
      </c>
      <c r="V68" s="227">
        <f t="array" ref="V68">IF($G68=0, INDEX(LS_previous!$D$4:$AY$138, MATCH('Staging Table'!$A68, LS_previous!$B$4:$B$138, 0), MATCH(V$4&amp;V$5, LS_previous!$D$2:$AY$2&amp;LS_previous!$D$3:$AY$3, 0)),SUM(VLOOKUP($A68, LS_previous!$B$4:$AY$138, LS_previous!N$149, FALSE), VLOOKUP('Staging Table'!$A68, LS_previous!$B$4:$AY$138,LS_previous!AL$149, FALSE))/2)</f>
        <v>505</v>
      </c>
      <c r="W68" s="227">
        <f t="array" ref="W68">IF($G68=0, INDEX(LS_previous!$D$4:$AY$138, MATCH('Staging Table'!$A68, LS_previous!$B$4:$B$138, 0), MATCH(W$4&amp;W$5, LS_previous!$D$2:$AY$2&amp;LS_previous!$D$3:$AY$3, 0)),SUM(VLOOKUP($A68, LS_previous!$B$4:$AY$138, LS_previous!O$149, FALSE), VLOOKUP('Staging Table'!$A68, LS_previous!$B$4:$AY$138,LS_previous!AM$149, FALSE))/2)</f>
        <v>1224</v>
      </c>
      <c r="X68" s="227">
        <f t="array" ref="X68">IF($G68=0, INDEX(LS_previous!$D$4:$AY$138, MATCH('Staging Table'!$A68, LS_previous!$B$4:$B$138, 0), MATCH(X$4&amp;X$5, LS_previous!$D$2:$AY$2&amp;LS_previous!$D$3:$AY$3, 0)),SUM(VLOOKUP($A68, LS_previous!$B$4:$AY$138, LS_previous!P$149, FALSE), VLOOKUP('Staging Table'!$A68, LS_previous!$B$4:$AY$138,LS_previous!AN$149, FALSE))/2)</f>
        <v>-644</v>
      </c>
      <c r="Y68" s="227">
        <f t="array" ref="Y68">IF($G68=0, INDEX(LS_previous!$D$4:$AY$138, MATCH('Staging Table'!$A68, LS_previous!$B$4:$B$138, 0), MATCH(Y$4&amp;Y$5, LS_previous!$D$2:$AY$2&amp;LS_previous!$D$3:$AY$3, 0)),SUM(VLOOKUP($A68, LS_previous!$B$4:$AY$138, LS_previous!Q$149, FALSE), VLOOKUP('Staging Table'!$A68, LS_previous!$B$4:$AY$138,LS_previous!AO$149, FALSE))/2)</f>
        <v>566</v>
      </c>
      <c r="Z68" s="227">
        <f t="array" ref="Z68">IF($G68=0, INDEX(LS_previous!$D$4:$AY$138, MATCH('Staging Table'!$A68, LS_previous!$B$4:$B$138, 0), MATCH(Z$4&amp;Z$5, LS_previous!$D$2:$AY$2&amp;LS_previous!$D$3:$AY$3, 0)),SUM(VLOOKUP($A68, LS_previous!$B$4:$AY$138, LS_previous!R$149, FALSE), VLOOKUP('Staging Table'!$A68, LS_previous!$B$4:$AY$138,LS_previous!AP$149, FALSE))/2)</f>
        <v>-4351</v>
      </c>
      <c r="AA68" s="227">
        <f t="array" ref="AA68">IF($G68=0, INDEX(LS_previous!$D$4:$AY$138, MATCH('Staging Table'!$A68, LS_previous!$B$4:$B$138, 0), MATCH(AA$4&amp;AA$5, LS_previous!$D$2:$AY$2&amp;LS_previous!$D$3:$AY$3, 0)),SUM(VLOOKUP($A68, LS_previous!$B$4:$AY$138, LS_previous!S$149, FALSE), VLOOKUP('Staging Table'!$A68, LS_previous!$B$4:$AY$138,LS_previous!AQ$149, FALSE))/2)</f>
        <v>-1467</v>
      </c>
      <c r="AB68" s="227">
        <f t="array" ref="AB68">IF($G68=0, INDEX(LS_previous!$D$4:$AY$138, MATCH('Staging Table'!$A68, LS_previous!$B$4:$B$138, 0), MATCH(AB$4&amp;AB$5, LS_previous!$D$2:$AY$2&amp;LS_previous!$D$3:$AY$3, 0)),SUM(VLOOKUP($A68, LS_previous!$B$4:$AY$138, LS_previous!T$149, FALSE), VLOOKUP('Staging Table'!$A68, LS_previous!$B$4:$AY$138,LS_previous!AR$149, FALSE))/2)</f>
        <v>-2112</v>
      </c>
      <c r="AC68" s="227">
        <f t="array" ref="AC68">IF($G68=0, INDEX(LS_previous!$D$4:$AY$138, MATCH('Staging Table'!$A68, LS_previous!$B$4:$B$138, 0), MATCH(AC$4&amp;AC$5, LS_previous!$D$2:$AY$2&amp;LS_previous!$D$3:$AY$3, 0)),SUM(VLOOKUP($A68, LS_previous!$B$4:$AY$138, LS_previous!U$149, FALSE), VLOOKUP('Staging Table'!$A68, LS_previous!$B$4:$AY$138,LS_previous!AS$149, FALSE))/2)</f>
        <v>-285</v>
      </c>
      <c r="AD68" s="227">
        <f t="array" ref="AD68">IF($G68=0, INDEX(LS_previous!$D$4:$AY$138, MATCH('Staging Table'!$A68, LS_previous!$B$4:$B$138, 0), MATCH(AD$4&amp;AD$5, LS_previous!$D$2:$AY$2&amp;LS_previous!$D$3:$AY$3, 0)),SUM(VLOOKUP($A68, LS_previous!$B$4:$AY$138, LS_previous!V$149, FALSE), VLOOKUP('Staging Table'!$A68, LS_previous!$B$4:$AY$138,LS_previous!AT$149, FALSE))/2)</f>
        <v>-278</v>
      </c>
      <c r="AE68" s="227">
        <f t="array" ref="AE68">IF($G68=0, INDEX(LS_previous!$D$4:$AY$138, MATCH('Staging Table'!$A68, LS_previous!$B$4:$B$138, 0), MATCH(AE$4&amp;AE$5, LS_previous!$D$2:$AY$2&amp;LS_previous!$D$3:$AY$3, 0)),SUM(VLOOKUP($A68, LS_previous!$B$4:$AY$138, LS_previous!W$149, FALSE), VLOOKUP('Staging Table'!$A68, LS_previous!$B$4:$AY$138,LS_previous!AU$149, FALSE))/2)</f>
        <v>926</v>
      </c>
      <c r="AF68" s="227">
        <f t="array" ref="AF68">IF($G68=0, INDEX(LS_previous!$D$4:$AY$138, MATCH('Staging Table'!$A68, LS_previous!$B$4:$B$138, 0), MATCH(AF$4&amp;AF$5, LS_previous!$D$2:$AY$2&amp;LS_previous!$D$3:$AY$3, 0)),SUM(VLOOKUP($A68, LS_previous!$B$4:$AY$138, LS_previous!X$149, FALSE), VLOOKUP('Staging Table'!$A68, LS_previous!$B$4:$AY$138,LS_previous!AV$149, FALSE))/2)</f>
        <v>-1670</v>
      </c>
      <c r="AG68" s="227">
        <f t="array" ref="AG68">IF($G68=0, INDEX(LS_previous!$D$4:$AY$138, MATCH('Staging Table'!$A68, LS_previous!$B$4:$B$138, 0), MATCH(AG$4&amp;AG$5, LS_previous!$D$2:$AY$2&amp;LS_previous!$D$3:$AY$3, 0)),SUM(VLOOKUP($A68, LS_previous!$B$4:$AY$138, LS_previous!Y$149, FALSE), VLOOKUP('Staging Table'!$A68, LS_previous!$B$4:$AY$138,LS_previous!AW$149, FALSE))/2)</f>
        <v>-100</v>
      </c>
      <c r="AH68" s="227">
        <f t="array" ref="AH68">IF($G68=0, INDEX(LS_previous!$D$4:$AY$138, MATCH('Staging Table'!$A68, LS_previous!$B$4:$B$138, 0), MATCH(AH$4&amp;AH$5, LS_previous!$D$2:$AY$2&amp;LS_previous!$D$3:$AY$3, 0)),SUM(VLOOKUP($A68, LS_previous!$B$4:$AY$138, LS_previous!Z$149, FALSE), VLOOKUP('Staging Table'!$A68, LS_previous!$B$4:$AY$138,LS_previous!AX$149, FALSE))/2)</f>
        <v>-1060</v>
      </c>
      <c r="AI68" s="227">
        <f t="array" ref="AI68">IF($G68=0, INDEX(LS_previous!$D$4:$AY$138, MATCH('Staging Table'!$A68, LS_previous!$B$4:$B$138, 0), MATCH(AI$4&amp;AI$5, LS_previous!$D$2:$AY$2&amp;LS_previous!$D$3:$AY$3, 0)),SUM(VLOOKUP($A68, LS_previous!$B$4:$AY$138, LS_previous!AA$149, FALSE), VLOOKUP('Staging Table'!$A68, LS_previous!$B$4:$AY$138,LS_previous!AY$149, FALSE))/2)</f>
        <v>416</v>
      </c>
      <c r="AJ68" s="424">
        <f t="array" ref="AJ68">INDEX(Demand_previous!$D$4:$AY$138, MATCH('Staging Table'!$A68, Demand_previous!$B$4:$B$138, 0), MATCH(AJ$4&amp;AJ$5,Demand_previous!$D$2:$AY$2&amp;Demand_previous!$D$3:$AY$3, 0))/1000</f>
        <v>1.847</v>
      </c>
      <c r="AK68" s="424">
        <f t="array" ref="AK68">INDEX(Demand_previous!$D$4:$AY$138, MATCH('Staging Table'!$A68, Demand_previous!$B$4:$B$138, 0), MATCH(AK$4&amp;AK$5,Demand_previous!$D$2:$AY$2&amp;Demand_previous!$D$3:$AY$3, 0))/1000</f>
        <v>2</v>
      </c>
      <c r="AL68" s="424">
        <f t="array" ref="AL68">INDEX(Demand_previous!$D$4:$AY$138, MATCH('Staging Table'!$A68, Demand_previous!$B$4:$B$138, 0), MATCH(AL$4&amp;AL$5,Demand_previous!$D$2:$AY$2&amp;Demand_previous!$D$3:$AY$3, 0))/1000</f>
        <v>2.9729999999999999</v>
      </c>
      <c r="AM68" s="424">
        <f t="array" ref="AM68">INDEX(Demand_previous!$D$4:$AY$138, MATCH('Staging Table'!$A68, Demand_previous!$B$4:$B$138, 0), MATCH(AM$4&amp;AM$5,Demand_previous!$D$2:$AY$2&amp;Demand_previous!$D$3:$AY$3, 0))/1000</f>
        <v>3.94</v>
      </c>
      <c r="AN68" s="424">
        <f t="array" ref="AN68">INDEX(Demand_previous!$D$4:$AY$138, MATCH('Staging Table'!$A68, Demand_previous!$B$4:$B$138, 0), MATCH(AN$4&amp;AN$5,Demand_previous!$D$2:$AY$2&amp;Demand_previous!$D$3:$AY$3, 0))/1000</f>
        <v>3.03</v>
      </c>
      <c r="AO68" s="424">
        <f t="array" ref="AO68">INDEX(Demand_previous!$D$4:$AY$138, MATCH('Staging Table'!$A68, Demand_previous!$B$4:$B$138, 0), MATCH(AO$4&amp;AO$5,Demand_previous!$D$2:$AY$2&amp;Demand_previous!$D$3:$AY$3, 0))/1000</f>
        <v>4.7060000000000004</v>
      </c>
      <c r="AP68" s="424">
        <f t="array" ref="AP68">INDEX(Demand_previous!$D$4:$AY$138, MATCH('Staging Table'!$A68, Demand_previous!$B$4:$B$138, 0), MATCH(AP$4&amp;AP$5,Demand_previous!$D$2:$AY$2&amp;Demand_previous!$D$3:$AY$3, 0))/1000</f>
        <v>2.738</v>
      </c>
      <c r="AQ68" s="424">
        <f t="array" ref="AQ68">INDEX(Demand_previous!$D$4:$AY$138, MATCH('Staging Table'!$A68, Demand_previous!$B$4:$B$138, 0), MATCH(AQ$4&amp;AQ$5,Demand_previous!$D$2:$AY$2&amp;Demand_previous!$D$3:$AY$3, 0))/1000</f>
        <v>2.899</v>
      </c>
      <c r="AR68" s="424">
        <f t="array" ref="AR68">INDEX(Demand_previous!$D$4:$AY$138, MATCH('Staging Table'!$A68, Demand_previous!$B$4:$B$138, 0), MATCH(AR$4&amp;AR$5,Demand_previous!$D$2:$AY$2&amp;Demand_previous!$D$3:$AY$3, 0))/1000</f>
        <v>3.2189999999999999</v>
      </c>
      <c r="AS68" s="424">
        <f t="array" ref="AS68">INDEX(Demand_previous!$D$4:$AY$138, MATCH('Staging Table'!$A68, Demand_previous!$B$4:$B$138, 0), MATCH(AS$4&amp;AS$5,Demand_previous!$D$2:$AY$2&amp;Demand_previous!$D$3:$AY$3, 0))/1000</f>
        <v>1.7949999999999999</v>
      </c>
      <c r="AT68" s="424">
        <f t="array" ref="AT68">INDEX(Demand_previous!$D$4:$AY$138, MATCH('Staging Table'!$A68, Demand_previous!$B$4:$B$138, 0), MATCH(AT$4&amp;AT$5,Demand_previous!$D$2:$AY$2&amp;Demand_previous!$D$3:$AY$3, 0))/1000</f>
        <v>2.508</v>
      </c>
      <c r="AU68" s="424">
        <f t="array" ref="AU68">INDEX(Demand_previous!$D$4:$AY$138, MATCH('Staging Table'!$A68, Demand_previous!$B$4:$B$138, 0), MATCH(AU$4&amp;AU$5,Demand_previous!$D$2:$AY$2&amp;Demand_previous!$D$3:$AY$3, 0))/1000</f>
        <v>2.1909999999999998</v>
      </c>
      <c r="AV68" s="227">
        <f>$F68*(VLOOKUP(AV$4, Rates_previous!$G$6:$Q$29, 10, FALSE)+VLOOKUP(AV$4, Rates_previous!$G$6:$Q$29, 11, FALSE))</f>
        <v>12373.373971169651</v>
      </c>
      <c r="AW68" s="227">
        <f>$F68*(VLOOKUP(AW$4, Rates_previous!$G$6:$Q$29, 10, FALSE)+VLOOKUP(AW$4, Rates_previous!$G$6:$Q$29, 11, FALSE))</f>
        <v>15292.549802105663</v>
      </c>
      <c r="AX68" s="227">
        <f>$F68*(VLOOKUP(AX$4, Rates_previous!$G$6:$Q$29, 10, FALSE)+VLOOKUP(AX$4, Rates_previous!$G$6:$Q$29, 11, FALSE))</f>
        <v>15108.904569755421</v>
      </c>
      <c r="AY68" s="227">
        <f>$F68*(VLOOKUP(AY$4, Rates_previous!$G$6:$Q$29, 10, FALSE)+VLOOKUP(AY$4, Rates_previous!$G$6:$Q$29, 11, FALSE))</f>
        <v>12909.118838405724</v>
      </c>
      <c r="AZ68" s="227">
        <f>$F68*(VLOOKUP(AZ$4, Rates_previous!$G$6:$Q$29, 10, FALSE)+VLOOKUP(AZ$4, Rates_previous!$G$6:$Q$29, 11, FALSE))</f>
        <v>10582.973450893025</v>
      </c>
      <c r="BA68" s="227">
        <f>$F68*(VLOOKUP(BA$4, Rates_previous!$G$6:$Q$29, 10, FALSE)+VLOOKUP(BA$4, Rates_previous!$G$6:$Q$29, 11, FALSE))</f>
        <v>12529.856156586251</v>
      </c>
      <c r="BB68" s="227">
        <f>$F68*(VLOOKUP(BB$4, Rates_previous!$G$6:$Q$29, 10, FALSE)+VLOOKUP(BB$4, Rates_previous!$G$6:$Q$29, 11, FALSE))</f>
        <v>12043.014345250873</v>
      </c>
      <c r="BC68" s="227">
        <f>$F68*(VLOOKUP(BC$4, Rates_previous!$G$6:$Q$29, 10, FALSE)+VLOOKUP(BC$4, Rates_previous!$G$6:$Q$29, 11, FALSE))</f>
        <v>17672.271354872242</v>
      </c>
      <c r="BD68" s="227">
        <f>$F68*(VLOOKUP(BD$4, Rates_previous!$G$6:$Q$29, 10, FALSE)+VLOOKUP(BD$4, Rates_previous!$G$6:$Q$29, 11, FALSE))</f>
        <v>13942.955015168769</v>
      </c>
      <c r="BE68" s="227">
        <f>$F68*(VLOOKUP(BE$4, Rates_previous!$G$6:$Q$29, 10, FALSE)+VLOOKUP(BE$4, Rates_previous!$G$6:$Q$29, 11, FALSE))</f>
        <v>12243.084812640755</v>
      </c>
      <c r="BF68" s="227">
        <f>$F68*(VLOOKUP(BF$4, Rates_previous!$G$6:$Q$29, 10, FALSE)+VLOOKUP(BF$4, Rates_previous!$G$6:$Q$29, 11, FALSE))</f>
        <v>13559.706492682435</v>
      </c>
      <c r="BG68" s="227">
        <f>$F68*(VLOOKUP(BG$4, Rates_previous!$G$6:$Q$29, 10, FALSE)+VLOOKUP(BG$4, Rates_previous!$G$6:$Q$29, 11, FALSE))</f>
        <v>12284.554846639019</v>
      </c>
      <c r="BH68" s="229">
        <f>IF($D68=0,IF(C68=0, MAX(BK68 - (VLOOKUP($A68,TOCA_previous!$A$2:$AI$137,MATCH("RHWM 2018",TOCA_previous!$A$2:$AI$2,0),FALSE)*$F$2*TOCA_previous!C65),0),0), 0)</f>
        <v>0</v>
      </c>
      <c r="BI68" s="266">
        <f>VLOOKUP($A68,REP_previous!$A$1:$D$135,MATCH("FY "&amp;$F$1&amp; " Total Refund",REP_previous!$A$1:$D$1,0),0)</f>
        <v>104678.12987442817</v>
      </c>
      <c r="BJ68" s="241">
        <f>MIN(VLOOKUP($A68,TOCA_previous!$A$2:$AI$137,MATCH("TRL - NLSL - Existing Resource "&amp;$F$1,TOCA_previous!$A$2:$AI$2,0),FALSE)*$F$2,(VLOOKUP($A68,TOCA_previous!$A$2:$AI$137,MATCH("RHWM 2018",TOCA_previous!$A$2:$AI$2,0),FALSE)*$F$2))</f>
        <v>160544.52000000002</v>
      </c>
      <c r="BK68" s="229">
        <f>SUM(L68:AI68)+(F68*RT1SC!$C$3*$F$2)</f>
        <v>157046.365998344</v>
      </c>
      <c r="BL68" s="241">
        <f>VLOOKUP($A68,TOCA_previous!$A$2:$AI$137,MATCH("Above RHWM Not Served with LS "&amp;$F$1,TOCA_previous!$A$2:$AI$2,0),FALSE)*$F$2</f>
        <v>0</v>
      </c>
      <c r="BM68" s="151">
        <f t="shared" si="5"/>
        <v>-3498.1540016560175</v>
      </c>
      <c r="BN68" s="242">
        <f>(VLOOKUP($A68,TOCA_previous!$A$2:$AI$137,MATCH("RHWM 2018",TOCA_previous!$A$2:$AI$2,0),FALSE)*$F$2) - $BJ68</f>
        <v>23196.479999999981</v>
      </c>
      <c r="BO68" s="151">
        <f t="shared" si="6"/>
        <v>0</v>
      </c>
      <c r="BP68" s="243">
        <f t="shared" si="7"/>
        <v>3498.1540016560175</v>
      </c>
      <c r="BQ68" s="237">
        <f t="shared" si="8"/>
        <v>0</v>
      </c>
      <c r="BR68" s="242">
        <f t="shared" si="9"/>
        <v>3498.1540016560175</v>
      </c>
      <c r="BS68" s="151">
        <f>VLOOKUP($A68,TOCA_current!$A$2:$AI$137,MATCH(BS$4,TOCA_current!$A$2:$AI$2,0),FALSE)</f>
        <v>2.5351000000000002E-3</v>
      </c>
      <c r="BT68" s="151">
        <f>VLOOKUP($A68,TOCA_current!$A$2:$AI$137,MATCH(BT$4,TOCA_current!$A$2:$AI$2,0),FALSE)</f>
        <v>2.5351000000000002E-3</v>
      </c>
      <c r="BU68" s="236">
        <f t="shared" si="10"/>
        <v>0</v>
      </c>
      <c r="BV68" s="151">
        <f>VLOOKUP($A68,TOCA_current!A64:BG199,MATCH(BV$4,TOCA_current!$A$2:$BG$2,0),FALSE)</f>
        <v>7.0000000000000007E-2</v>
      </c>
      <c r="BW68" s="151">
        <f t="shared" si="11"/>
        <v>0</v>
      </c>
      <c r="BX68" s="151">
        <f t="shared" si="12"/>
        <v>0</v>
      </c>
      <c r="BY68" s="226">
        <f>VLOOKUP($A68,IRD!$A$4:$G$139, 7, FALSE)</f>
        <v>0</v>
      </c>
      <c r="BZ68" s="227">
        <f t="array" ref="BZ68">IF($BU68=0, INDEX(LS_current!$D$4:$AY$138, MATCH('Staging Table'!$A68, LS_current!$B$4:$B$138, 0), MATCH(BZ$4&amp;BZ$5, LS_current!$D$2:$AY$2&amp;LS_current!$D$3:$AY$3, 0)),SUM(VLOOKUP($A68, LS_current!$B$4:$AY$138, LS_current!D$148, FALSE), VLOOKUP($A68, LS_current!$B$4:$AY$138,LS_current!D$148, FALSE))/2)</f>
        <v>-368</v>
      </c>
      <c r="CA68" s="227">
        <f t="array" ref="CA68">IF($BU68=0, INDEX(LS_current!$D$4:$AY$138, MATCH('Staging Table'!$A68, LS_current!$B$4:$B$138, 0), MATCH(CA$4&amp;CA$5, LS_current!$D$2:$AY$2&amp;LS_current!$D$3:$AY$3, 0)),SUM(VLOOKUP($A68, LS_current!$B$4:$AY$138, LS_current!E$148, FALSE), VLOOKUP($A68, LS_current!$B$4:$AY$138,LS_current!E$148, FALSE))/2)</f>
        <v>613</v>
      </c>
      <c r="CB68" s="227">
        <f t="array" ref="CB68">IF($BU68=0, INDEX(LS_current!$D$4:$AY$138, MATCH('Staging Table'!$A68, LS_current!$B$4:$B$138, 0), MATCH(CB$4&amp;CB$5, LS_current!$D$2:$AY$2&amp;LS_current!$D$3:$AY$3, 0)),SUM(VLOOKUP($A68, LS_current!$B$4:$AY$138, LS_current!F$148, FALSE), VLOOKUP($A68, LS_current!$B$4:$AY$138,LS_current!F$148, FALSE))/2)</f>
        <v>-1593</v>
      </c>
      <c r="CC68" s="227">
        <f t="array" ref="CC68">IF($BU68=0, INDEX(LS_current!$D$4:$AY$138, MATCH('Staging Table'!$A68, LS_current!$B$4:$B$138, 0), MATCH(CC$4&amp;CC$5, LS_current!$D$2:$AY$2&amp;LS_current!$D$3:$AY$3, 0)),SUM(VLOOKUP($A68, LS_current!$B$4:$AY$138, LS_current!G$148, FALSE), VLOOKUP($A68, LS_current!$B$4:$AY$138,LS_current!G$148, FALSE))/2)</f>
        <v>282</v>
      </c>
      <c r="CD68" s="227">
        <f t="array" ref="CD68">IF($BU68=0, INDEX(LS_current!$D$4:$AY$138, MATCH('Staging Table'!$A68, LS_current!$B$4:$B$138, 0), MATCH(CD$4&amp;CD$5, LS_current!$D$2:$AY$2&amp;LS_current!$D$3:$AY$3, 0)),SUM(VLOOKUP($A68, LS_current!$B$4:$AY$138, LS_current!H$148, FALSE), VLOOKUP($A68, LS_current!$B$4:$AY$138,LS_current!H$148, FALSE))/2)</f>
        <v>119</v>
      </c>
      <c r="CE68" s="227">
        <f t="array" ref="CE68">IF($BU68=0, INDEX(LS_current!$D$4:$AY$138, MATCH('Staging Table'!$A68, LS_current!$B$4:$B$138, 0), MATCH(CE$4&amp;CE$5, LS_current!$D$2:$AY$2&amp;LS_current!$D$3:$AY$3, 0)),SUM(VLOOKUP($A68, LS_current!$B$4:$AY$138, LS_current!I$148, FALSE), VLOOKUP($A68, LS_current!$B$4:$AY$138,LS_current!I$148, FALSE))/2)</f>
        <v>1241</v>
      </c>
      <c r="CF68" s="227">
        <f t="array" ref="CF68">IF($BU68=0, INDEX(LS_current!$D$4:$AY$138, MATCH('Staging Table'!$A68, LS_current!$B$4:$B$138, 0), MATCH(CF$4&amp;CF$5, LS_current!$D$2:$AY$2&amp;LS_current!$D$3:$AY$3, 0)),SUM(VLOOKUP($A68, LS_current!$B$4:$AY$138, LS_current!J$148, FALSE), VLOOKUP($A68, LS_current!$B$4:$AY$138,LS_current!J$148, FALSE))/2)</f>
        <v>1505</v>
      </c>
      <c r="CG68" s="227">
        <f t="array" ref="CG68">IF($BU68=0, INDEX(LS_current!$D$4:$AY$138, MATCH('Staging Table'!$A68, LS_current!$B$4:$B$138, 0), MATCH(CG$4&amp;CG$5, LS_current!$D$2:$AY$2&amp;LS_current!$D$3:$AY$3, 0)),SUM(VLOOKUP($A68, LS_current!$B$4:$AY$138, LS_current!K$148, FALSE), VLOOKUP($A68, LS_current!$B$4:$AY$138,LS_current!K$148, FALSE))/2)</f>
        <v>2292</v>
      </c>
      <c r="CH68" s="227">
        <f t="array" ref="CH68">IF($BU68=0, INDEX(LS_current!$D$4:$AY$138, MATCH('Staging Table'!$A68, LS_current!$B$4:$B$138, 0), MATCH(CH$4&amp;CH$5, LS_current!$D$2:$AY$2&amp;LS_current!$D$3:$AY$3, 0)),SUM(VLOOKUP($A68, LS_current!$B$4:$AY$138, LS_current!L$148, FALSE), VLOOKUP($A68, LS_current!$B$4:$AY$138,LS_current!L$148, FALSE))/2)</f>
        <v>890</v>
      </c>
      <c r="CI68" s="227">
        <f t="array" ref="CI68">IF($BU68=0, INDEX(LS_current!$D$4:$AY$138, MATCH('Staging Table'!$A68, LS_current!$B$4:$B$138, 0), MATCH(CI$4&amp;CI$5, LS_current!$D$2:$AY$2&amp;LS_current!$D$3:$AY$3, 0)),SUM(VLOOKUP($A68, LS_current!$B$4:$AY$138, LS_current!M$148, FALSE), VLOOKUP($A68, LS_current!$B$4:$AY$138,LS_current!M$148, FALSE))/2)</f>
        <v>1517</v>
      </c>
      <c r="CJ68" s="227">
        <f t="array" ref="CJ68">IF($BU68=0, INDEX(LS_current!$D$4:$AY$138, MATCH('Staging Table'!$A68, LS_current!$B$4:$B$138, 0), MATCH(CJ$4&amp;CJ$5, LS_current!$D$2:$AY$2&amp;LS_current!$D$3:$AY$3, 0)),SUM(VLOOKUP($A68, LS_current!$B$4:$AY$138, LS_current!N$148, FALSE), VLOOKUP($A68, LS_current!$B$4:$AY$138,LS_current!N$148, FALSE))/2)</f>
        <v>584</v>
      </c>
      <c r="CK68" s="227">
        <f t="array" ref="CK68">IF($BU68=0, INDEX(LS_current!$D$4:$AY$138, MATCH('Staging Table'!$A68, LS_current!$B$4:$B$138, 0), MATCH(CK$4&amp;CK$5, LS_current!$D$2:$AY$2&amp;LS_current!$D$3:$AY$3, 0)),SUM(VLOOKUP($A68, LS_current!$B$4:$AY$138, LS_current!O$148, FALSE), VLOOKUP($A68, LS_current!$B$4:$AY$138,LS_current!O$148, FALSE))/2)</f>
        <v>1337</v>
      </c>
      <c r="CL68" s="227">
        <f t="array" ref="CL68">IF($BU68=0, INDEX(LS_current!$D$4:$AY$138, MATCH('Staging Table'!$A68, LS_current!$B$4:$B$138, 0), MATCH(CL$4&amp;CL$5, LS_current!$D$2:$AY$2&amp;LS_current!$D$3:$AY$3, 0)),SUM(VLOOKUP($A68, LS_current!$B$4:$AY$138, LS_current!P$148, FALSE), VLOOKUP($A68, LS_current!$B$4:$AY$138,LS_current!P$148, FALSE))/2)</f>
        <v>780</v>
      </c>
      <c r="CM68" s="227">
        <f t="array" ref="CM68">IF($BU68=0, INDEX(LS_current!$D$4:$AY$138, MATCH('Staging Table'!$A68, LS_current!$B$4:$B$138, 0), MATCH(CM$4&amp;CM$5, LS_current!$D$2:$AY$2&amp;LS_current!$D$3:$AY$3, 0)),SUM(VLOOKUP($A68, LS_current!$B$4:$AY$138, LS_current!Q$148, FALSE), VLOOKUP($A68, LS_current!$B$4:$AY$138,LS_current!Q$148, FALSE))/2)</f>
        <v>1140</v>
      </c>
      <c r="CN68" s="227">
        <f t="array" ref="CN68">IF($BU68=0, INDEX(LS_current!$D$4:$AY$138, MATCH('Staging Table'!$A68, LS_current!$B$4:$B$138, 0), MATCH(CN$4&amp;CN$5, LS_current!$D$2:$AY$2&amp;LS_current!$D$3:$AY$3, 0)),SUM(VLOOKUP($A68, LS_current!$B$4:$AY$138, LS_current!R$148, FALSE), VLOOKUP($A68, LS_current!$B$4:$AY$138,LS_current!R$148, FALSE))/2)</f>
        <v>-1880</v>
      </c>
      <c r="CO68" s="227">
        <f t="array" ref="CO68">IF($BU68=0, INDEX(LS_current!$D$4:$AY$138, MATCH('Staging Table'!$A68, LS_current!$B$4:$B$138, 0), MATCH(CO$4&amp;CO$5, LS_current!$D$2:$AY$2&amp;LS_current!$D$3:$AY$3, 0)),SUM(VLOOKUP($A68, LS_current!$B$4:$AY$138, LS_current!S$148, FALSE), VLOOKUP($A68, LS_current!$B$4:$AY$138,LS_current!S$148, FALSE))/2)</f>
        <v>185</v>
      </c>
      <c r="CP68" s="227">
        <f t="array" ref="CP68">IF($BU68=0, INDEX(LS_current!$D$4:$AY$138, MATCH('Staging Table'!$A68, LS_current!$B$4:$B$138, 0), MATCH(CP$4&amp;CP$5, LS_current!$D$2:$AY$2&amp;LS_current!$D$3:$AY$3, 0)),SUM(VLOOKUP($A68, LS_current!$B$4:$AY$138, LS_current!T$148, FALSE), VLOOKUP($A68, LS_current!$B$4:$AY$138,LS_current!T$148, FALSE))/2)</f>
        <v>-4210</v>
      </c>
      <c r="CQ68" s="227">
        <f t="array" ref="CQ68">IF($BU68=0, INDEX(LS_current!$D$4:$AY$138, MATCH('Staging Table'!$A68, LS_current!$B$4:$B$138, 0), MATCH(CQ$4&amp;CQ$5, LS_current!$D$2:$AY$2&amp;LS_current!$D$3:$AY$3, 0)),SUM(VLOOKUP($A68, LS_current!$B$4:$AY$138, LS_current!U$148, FALSE), VLOOKUP($A68, LS_current!$B$4:$AY$138,LS_current!U$148, FALSE))/2)</f>
        <v>-1531</v>
      </c>
      <c r="CR68" s="227">
        <f t="array" ref="CR68">IF($BU68=0, INDEX(LS_current!$D$4:$AY$138, MATCH('Staging Table'!$A68, LS_current!$B$4:$B$138, 0), MATCH(CR$4&amp;CR$5, LS_current!$D$2:$AY$2&amp;LS_current!$D$3:$AY$3, 0)),SUM(VLOOKUP($A68, LS_current!$B$4:$AY$138, LS_current!V$148, FALSE), VLOOKUP($A68, LS_current!$B$4:$AY$138,LS_current!V$148, FALSE))/2)</f>
        <v>-1604</v>
      </c>
      <c r="CS68" s="227">
        <f t="array" ref="CS68">IF($BU68=0, INDEX(LS_current!$D$4:$AY$138, MATCH('Staging Table'!$A68, LS_current!$B$4:$B$138, 0), MATCH(CS$4&amp;CS$5, LS_current!$D$2:$AY$2&amp;LS_current!$D$3:$AY$3, 0)),SUM(VLOOKUP($A68, LS_current!$B$4:$AY$138, LS_current!W$148, FALSE), VLOOKUP($A68, LS_current!$B$4:$AY$138,LS_current!W$148, FALSE))/2)</f>
        <v>941</v>
      </c>
      <c r="CT68" s="227">
        <f t="array" ref="CT68">IF($BU68=0, INDEX(LS_current!$D$4:$AY$138, MATCH('Staging Table'!$A68, LS_current!$B$4:$B$138, 0), MATCH(CT$4&amp;CT$5, LS_current!$D$2:$AY$2&amp;LS_current!$D$3:$AY$3, 0)),SUM(VLOOKUP($A68, LS_current!$B$4:$AY$138, LS_current!X$148, FALSE), VLOOKUP($A68, LS_current!$B$4:$AY$138,LS_current!X$148, FALSE))/2)</f>
        <v>-1643</v>
      </c>
      <c r="CU68" s="227">
        <f t="array" ref="CU68">IF($BU68=0, INDEX(LS_current!$D$4:$AY$138, MATCH('Staging Table'!$A68, LS_current!$B$4:$B$138, 0), MATCH(CU$4&amp;CU$5, LS_current!$D$2:$AY$2&amp;LS_current!$D$3:$AY$3, 0)),SUM(VLOOKUP($A68, LS_current!$B$4:$AY$138, LS_current!Y$148, FALSE), VLOOKUP($A68, LS_current!$B$4:$AY$138,LS_current!Y$148, FALSE))/2)</f>
        <v>235</v>
      </c>
      <c r="CV68" s="227">
        <f t="array" ref="CV68">IF($BU68=0, INDEX(LS_current!$D$4:$AY$138, MATCH('Staging Table'!$A68, LS_current!$B$4:$B$138, 0), MATCH(CV$4&amp;CV$5, LS_current!$D$2:$AY$2&amp;LS_current!$D$3:$AY$3, 0)),SUM(VLOOKUP($A68, LS_current!$B$4:$AY$138, LS_current!Z$148, FALSE), VLOOKUP($A68, LS_current!$B$4:$AY$138,LS_current!Z$148, FALSE))/2)</f>
        <v>-795</v>
      </c>
      <c r="CW68" s="227">
        <f t="array" ref="CW68">IF($BU68=0, INDEX(LS_current!$D$4:$AY$138, MATCH('Staging Table'!$A68, LS_current!$B$4:$B$138, 0), MATCH(CW$4&amp;CW$5, LS_current!$D$2:$AY$2&amp;LS_current!$D$3:$AY$3, 0)),SUM(VLOOKUP($A68, LS_current!$B$4:$AY$138, LS_current!AA$148, FALSE), VLOOKUP($A68, LS_current!$B$4:$AY$138,LS_current!AA$148, FALSE))/2)</f>
        <v>587</v>
      </c>
      <c r="CX68" s="229">
        <f t="array" ref="CX68">INDEX(Demand_current!$D$4:$AY$138, MATCH($A68, Demand_current!$B$4:$B$138, 0), MATCH(CX$4&amp;CX$5,Demand_current!$D$2:$AY$2&amp;Demand_current!$D$3:$AY$3, 0))/1000</f>
        <v>2.6040000000000001</v>
      </c>
      <c r="CY68" s="229">
        <f t="array" ref="CY68">INDEX(Demand_current!$D$4:$AY$138, MATCH($A68, Demand_current!$B$4:$B$138, 0), MATCH(CY$4&amp;CY$5,Demand_current!$D$2:$AY$2&amp;Demand_current!$D$3:$AY$3, 0))/1000</f>
        <v>2</v>
      </c>
      <c r="CZ68" s="229">
        <f t="array" ref="CZ68">INDEX(Demand_current!$D$4:$AY$138, MATCH($A68, Demand_current!$B$4:$B$138, 0), MATCH(CZ$4&amp;CZ$5,Demand_current!$D$2:$AY$2&amp;Demand_current!$D$3:$AY$3, 0))/1000</f>
        <v>2.9729999999999999</v>
      </c>
      <c r="DA68" s="229">
        <f t="array" ref="DA68">INDEX(Demand_current!$D$4:$AY$138, MATCH($A68, Demand_current!$B$4:$B$138, 0), MATCH(DA$4&amp;DA$5,Demand_current!$D$2:$AY$2&amp;Demand_current!$D$3:$AY$3, 0))/1000</f>
        <v>3.94</v>
      </c>
      <c r="DB68" s="229">
        <f t="array" ref="DB68">INDEX(Demand_current!$D$4:$AY$138, MATCH($A68, Demand_current!$B$4:$B$138, 0), MATCH(DB$4&amp;DB$5,Demand_current!$D$2:$AY$2&amp;Demand_current!$D$3:$AY$3, 0))/1000</f>
        <v>4.0199999999999996</v>
      </c>
      <c r="DC68" s="229">
        <f t="array" ref="DC68">INDEX(Demand_current!$D$4:$AY$138, MATCH($A68, Demand_current!$B$4:$B$138, 0), MATCH(DC$4&amp;DC$5,Demand_current!$D$2:$AY$2&amp;Demand_current!$D$3:$AY$3, 0))/1000</f>
        <v>3.8319999999999999</v>
      </c>
      <c r="DD68" s="229">
        <f t="array" ref="DD68">INDEX(Demand_current!$D$4:$AY$138, MATCH($A68, Demand_current!$B$4:$B$138, 0), MATCH(DD$4&amp;DD$5,Demand_current!$D$2:$AY$2&amp;Demand_current!$D$3:$AY$3, 0))/1000</f>
        <v>3.5529999999999999</v>
      </c>
      <c r="DE68" s="229">
        <f t="array" ref="DE68">INDEX(Demand_current!$D$4:$AY$138, MATCH($A68, Demand_current!$B$4:$B$138, 0), MATCH(DE$4&amp;DE$5,Demand_current!$D$2:$AY$2&amp;Demand_current!$D$3:$AY$3, 0))/1000</f>
        <v>2.1269999999999998</v>
      </c>
      <c r="DF68" s="229">
        <f t="array" ref="DF68">INDEX(Demand_current!$D$4:$AY$138, MATCH($A68, Demand_current!$B$4:$B$138, 0), MATCH(DF$4&amp;DF$5,Demand_current!$D$2:$AY$2&amp;Demand_current!$D$3:$AY$3, 0))/1000</f>
        <v>3.2189999999999999</v>
      </c>
      <c r="DG68" s="229">
        <f t="array" ref="DG68">INDEX(Demand_current!$D$4:$AY$138, MATCH($A68, Demand_current!$B$4:$B$138, 0), MATCH(DG$4&amp;DG$5,Demand_current!$D$2:$AY$2&amp;Demand_current!$D$3:$AY$3, 0))/1000</f>
        <v>2.6680000000000001</v>
      </c>
      <c r="DH68" s="229">
        <f t="array" ref="DH68">INDEX(Demand_current!$D$4:$AY$138, MATCH($A68, Demand_current!$B$4:$B$138, 0), MATCH(DH$4&amp;DH$5,Demand_current!$D$2:$AY$2&amp;Demand_current!$D$3:$AY$3, 0))/1000</f>
        <v>1.726</v>
      </c>
      <c r="DI68" s="229">
        <f t="array" ref="DI68">INDEX(Demand_current!$D$4:$AY$138, MATCH($A68, Demand_current!$B$4:$B$138, 0), MATCH(DI$4&amp;DI$5,Demand_current!$D$2:$AY$2&amp;Demand_current!$D$3:$AY$3, 0))/1000</f>
        <v>3.0270000000000001</v>
      </c>
      <c r="DJ68" s="227">
        <f>$BT68*(VLOOKUP(DJ$4, Rates_current!$G$6:$Q$29, 10, FALSE)+VLOOKUP(DJ$4, Rates_current!$G$6:$Q$29, 11, FALSE))</f>
        <v>11705.3608235796</v>
      </c>
      <c r="DK68" s="227">
        <f>$BT68*(VLOOKUP(DK$4, Rates_current!$G$6:$Q$29, 10, FALSE)+VLOOKUP(DK$4, Rates_current!$G$6:$Q$29, 11, FALSE))</f>
        <v>14869.459804188902</v>
      </c>
      <c r="DL68" s="227">
        <f>$BT68*(VLOOKUP(DL$4, Rates_current!$G$6:$Q$29, 10, FALSE)+VLOOKUP(DL$4, Rates_current!$G$6:$Q$29, 11, FALSE))</f>
        <v>14689.890956879603</v>
      </c>
      <c r="DM68" s="227">
        <f>$BT68*(VLOOKUP(DM$4, Rates_current!$G$6:$Q$29, 10, FALSE)+VLOOKUP(DM$4, Rates_current!$G$6:$Q$29, 11, FALSE))</f>
        <v>12244.918832079602</v>
      </c>
      <c r="DN68" s="227">
        <f>$BT68*(VLOOKUP(DN$4, Rates_current!$G$6:$Q$29, 10, FALSE)+VLOOKUP(DN$4, Rates_current!$G$6:$Q$29, 11, FALSE))</f>
        <v>11092.62614968</v>
      </c>
      <c r="DO68" s="227">
        <f>$BT68*(VLOOKUP(DO$4, Rates_current!$G$6:$Q$29, 10, FALSE)+VLOOKUP(DO$4, Rates_current!$G$6:$Q$29, 11, FALSE))</f>
        <v>12338.5242078887</v>
      </c>
      <c r="DP68" s="227">
        <f>$BT68*(VLOOKUP(DP$4, Rates_current!$G$6:$Q$29, 10, FALSE)+VLOOKUP(DP$4, Rates_current!$G$6:$Q$29, 11, FALSE))</f>
        <v>10046.039724648001</v>
      </c>
      <c r="DQ68" s="227">
        <f>$BT68*(VLOOKUP(DQ$4, Rates_current!$G$6:$Q$29, 10, FALSE)+VLOOKUP(DQ$4, Rates_current!$G$6:$Q$29, 11, FALSE))</f>
        <v>13548.582599129602</v>
      </c>
      <c r="DR68" s="227">
        <f>$BT68*(VLOOKUP(DR$4, Rates_current!$G$6:$Q$29, 10, FALSE)+VLOOKUP(DR$4, Rates_current!$G$6:$Q$29, 11, FALSE))</f>
        <v>17287.069938098004</v>
      </c>
      <c r="DS68" s="227">
        <f>$BT68*(VLOOKUP(DS$4, Rates_current!$G$6:$Q$29, 10, FALSE)+VLOOKUP(DS$4, Rates_current!$G$6:$Q$29, 11, FALSE))</f>
        <v>13553.610969979602</v>
      </c>
      <c r="DT68" s="227">
        <f>$BT68*(VLOOKUP(DT$4, Rates_current!$G$6:$Q$29, 10, FALSE)+VLOOKUP(DT$4, Rates_current!$G$6:$Q$29, 11, FALSE))</f>
        <v>13198.518245429603</v>
      </c>
      <c r="DU68" s="227">
        <f>$BT68*(VLOOKUP(DU$4, Rates_current!$G$6:$Q$29, 10, FALSE)+VLOOKUP(DU$4, Rates_current!$G$6:$Q$29, 11, FALSE))</f>
        <v>11849.461697748002</v>
      </c>
      <c r="DV68" s="229">
        <f>IF(D68=0,IF(C68=0,MAX(0,DY68 - (VLOOKUP($A68,TOCA_current!$A$2:$AI$137,MATCH("RHWM 2020",TOCA_current!$A$2:$AI$2,0),FALSE)*$BT$2)), 0),0)</f>
        <v>0</v>
      </c>
      <c r="DW68" s="266">
        <f>VLOOKUP($A68,REP_current!$A$1:$D$135,MATCH("FY "&amp;$BT$1&amp; " Total Refund",REP_current!$A$1:$D$1,0),0)</f>
        <v>0</v>
      </c>
      <c r="DX68" s="295">
        <f>MIN(VLOOKUP($A68,TOCA_current!$A$2:$AI$137,MATCH("TRL - NLSL - Existing Resource "&amp;$BT$1,TOCA_current!$A$2:$AI$2,0),FALSE)*$BT$2, VLOOKUP($A68,TOCA_current!$A$2:$AI$137,MATCH("RHWM 2020",TOCA_current!$A$2:$AI$2,0),FALSE)*$BT$2)</f>
        <v>156425.47200000001</v>
      </c>
      <c r="DY68" s="240">
        <f>SUM(BZ68:CW68)+(BT68*RT1SC!$C$4*$BT$2)</f>
        <v>157048.06982062082</v>
      </c>
      <c r="DZ68" s="271">
        <f>VLOOKUP($A68,TOCA_current!$A$2:$AI$137,MATCH("Above RHWM Not Served with LS "&amp;$BT$1,TOCA_current!$A$2:$AI$2,0),FALSE)*$BT$2</f>
        <v>0</v>
      </c>
      <c r="EA68" s="244">
        <f t="shared" si="13"/>
        <v>622.59782062080922</v>
      </c>
      <c r="EB68" s="295">
        <f>(VLOOKUP($A68,TOCA_current!$A$2:$AI$137,MATCH("RHWM 2020",TOCA_current!$A$2:$AI$2,0),FALSE)*$BT$2) - $DX68</f>
        <v>29830.464000000007</v>
      </c>
      <c r="EC68" s="240">
        <f t="shared" si="14"/>
        <v>-622.59782062080922</v>
      </c>
      <c r="ED68" s="240">
        <f t="shared" si="15"/>
        <v>0</v>
      </c>
      <c r="EE68" s="240">
        <f t="shared" si="16"/>
        <v>0</v>
      </c>
      <c r="EF68" s="240">
        <f t="shared" si="17"/>
        <v>-622.59782062080922</v>
      </c>
    </row>
    <row r="69" spans="1:136">
      <c r="A69" s="166">
        <v>10190</v>
      </c>
      <c r="B69" s="167" t="s">
        <v>70</v>
      </c>
      <c r="C69" s="240">
        <v>0</v>
      </c>
      <c r="D69" s="240">
        <v>0</v>
      </c>
      <c r="E69" s="150">
        <f>VLOOKUP($A69,TOCA_previous!$A$2:$AI$137,MATCH(E$4,TOCA_previous!$A$2:$AI$2,0),FALSE)</f>
        <v>7.3550000000000004E-4</v>
      </c>
      <c r="F69" s="151">
        <f>VLOOKUP($A69,TOCA_previous!$A$2:$AI$137,MATCH(F$4,TOCA_previous!$A$2:$AI$2,0),FALSE)</f>
        <v>7.3550000000000004E-4</v>
      </c>
      <c r="G69" s="151">
        <f t="shared" si="2"/>
        <v>0</v>
      </c>
      <c r="H69" s="151">
        <f>VLOOKUP($A69,TOCA_previous!$A$2:$AI$137,MATCH(H$4,TOCA_previous!$A$2:$AI$2,0),FALSE)</f>
        <v>0</v>
      </c>
      <c r="I69" s="151">
        <f t="shared" si="3"/>
        <v>0</v>
      </c>
      <c r="J69" s="151">
        <f t="shared" si="4"/>
        <v>0</v>
      </c>
      <c r="K69" s="226">
        <f>VLOOKUP(A69, IRD!$A$5:$C$139, 3, FALSE)</f>
        <v>0</v>
      </c>
      <c r="L69" s="227">
        <f t="array" ref="L69">IF($G69=0, INDEX(LS_previous!$D$4:$AY$138, MATCH('Staging Table'!$A69, LS_previous!$B$4:$B$138, 0), MATCH(L$4&amp;L$5, LS_previous!$D$2:$AY$2&amp;LS_previous!$D$3:$AY$3, 0)),SUM(VLOOKUP($A69, LS_previous!$B$4:$AY$138, LS_previous!D$149, FALSE), VLOOKUP('Staging Table'!$A69, LS_previous!$B$4:$AY$138,LS_previous!AB$149, FALSE))/2)</f>
        <v>-493</v>
      </c>
      <c r="M69" s="227">
        <f t="array" ref="M69">IF($G69=0, INDEX(LS_previous!$D$4:$AY$138, MATCH('Staging Table'!$A69, LS_previous!$B$4:$B$138, 0), MATCH(M$4&amp;M$5, LS_previous!$D$2:$AY$2&amp;LS_previous!$D$3:$AY$3, 0)),SUM(VLOOKUP($A69, LS_previous!$B$4:$AY$138, LS_previous!E$149, FALSE), VLOOKUP('Staging Table'!$A69, LS_previous!$B$4:$AY$138,LS_previous!AC$149, FALSE))/2)</f>
        <v>-78</v>
      </c>
      <c r="N69" s="227">
        <f t="array" ref="N69">IF($G69=0, INDEX(LS_previous!$D$4:$AY$138, MATCH('Staging Table'!$A69, LS_previous!$B$4:$B$138, 0), MATCH(N$4&amp;N$5, LS_previous!$D$2:$AY$2&amp;LS_previous!$D$3:$AY$3, 0)),SUM(VLOOKUP($A69, LS_previous!$B$4:$AY$138, LS_previous!F$149, FALSE), VLOOKUP('Staging Table'!$A69, LS_previous!$B$4:$AY$138,LS_previous!AD$149, FALSE))/2)</f>
        <v>171</v>
      </c>
      <c r="O69" s="227">
        <f t="array" ref="O69">IF($G69=0, INDEX(LS_previous!$D$4:$AY$138, MATCH('Staging Table'!$A69, LS_previous!$B$4:$B$138, 0), MATCH(O$4&amp;O$5, LS_previous!$D$2:$AY$2&amp;LS_previous!$D$3:$AY$3, 0)),SUM(VLOOKUP($A69, LS_previous!$B$4:$AY$138, LS_previous!G$149, FALSE), VLOOKUP('Staging Table'!$A69, LS_previous!$B$4:$AY$138,LS_previous!AE$149, FALSE))/2)</f>
        <v>488</v>
      </c>
      <c r="P69" s="227">
        <f t="array" ref="P69">IF($G69=0, INDEX(LS_previous!$D$4:$AY$138, MATCH('Staging Table'!$A69, LS_previous!$B$4:$B$138, 0), MATCH(P$4&amp;P$5, LS_previous!$D$2:$AY$2&amp;LS_previous!$D$3:$AY$3, 0)),SUM(VLOOKUP($A69, LS_previous!$B$4:$AY$138, LS_previous!H$149, FALSE), VLOOKUP('Staging Table'!$A69, LS_previous!$B$4:$AY$138,LS_previous!AF$149, FALSE))/2)</f>
        <v>1227</v>
      </c>
      <c r="Q69" s="227">
        <f t="array" ref="Q69">IF($G69=0, INDEX(LS_previous!$D$4:$AY$138, MATCH('Staging Table'!$A69, LS_previous!$B$4:$B$138, 0), MATCH(Q$4&amp;Q$5, LS_previous!$D$2:$AY$2&amp;LS_previous!$D$3:$AY$3, 0)),SUM(VLOOKUP($A69, LS_previous!$B$4:$AY$138, LS_previous!I$149, FALSE), VLOOKUP('Staging Table'!$A69, LS_previous!$B$4:$AY$138,LS_previous!AG$149, FALSE))/2)</f>
        <v>1173</v>
      </c>
      <c r="R69" s="227">
        <f t="array" ref="R69">IF($G69=0, INDEX(LS_previous!$D$4:$AY$138, MATCH('Staging Table'!$A69, LS_previous!$B$4:$B$138, 0), MATCH(R$4&amp;R$5, LS_previous!$D$2:$AY$2&amp;LS_previous!$D$3:$AY$3, 0)),SUM(VLOOKUP($A69, LS_previous!$B$4:$AY$138, LS_previous!J$149, FALSE), VLOOKUP('Staging Table'!$A69, LS_previous!$B$4:$AY$138,LS_previous!AH$149, FALSE))/2)</f>
        <v>1505</v>
      </c>
      <c r="S69" s="227">
        <f t="array" ref="S69">IF($G69=0, INDEX(LS_previous!$D$4:$AY$138, MATCH('Staging Table'!$A69, LS_previous!$B$4:$B$138, 0), MATCH(S$4&amp;S$5, LS_previous!$D$2:$AY$2&amp;LS_previous!$D$3:$AY$3, 0)),SUM(VLOOKUP($A69, LS_previous!$B$4:$AY$138, LS_previous!K$149, FALSE), VLOOKUP('Staging Table'!$A69, LS_previous!$B$4:$AY$138,LS_previous!AI$149, FALSE))/2)</f>
        <v>1312</v>
      </c>
      <c r="T69" s="227">
        <f t="array" ref="T69">IF($G69=0, INDEX(LS_previous!$D$4:$AY$138, MATCH('Staging Table'!$A69, LS_previous!$B$4:$B$138, 0), MATCH(T$4&amp;T$5, LS_previous!$D$2:$AY$2&amp;LS_previous!$D$3:$AY$3, 0)),SUM(VLOOKUP($A69, LS_previous!$B$4:$AY$138, LS_previous!L$149, FALSE), VLOOKUP('Staging Table'!$A69, LS_previous!$B$4:$AY$138,LS_previous!AJ$149, FALSE))/2)</f>
        <v>970</v>
      </c>
      <c r="U69" s="227">
        <f t="array" ref="U69">IF($G69=0, INDEX(LS_previous!$D$4:$AY$138, MATCH('Staging Table'!$A69, LS_previous!$B$4:$B$138, 0), MATCH(U$4&amp;U$5, LS_previous!$D$2:$AY$2&amp;LS_previous!$D$3:$AY$3, 0)),SUM(VLOOKUP($A69, LS_previous!$B$4:$AY$138, LS_previous!M$149, FALSE), VLOOKUP('Staging Table'!$A69, LS_previous!$B$4:$AY$138,LS_previous!AK$149, FALSE))/2)</f>
        <v>884</v>
      </c>
      <c r="V69" s="227">
        <f t="array" ref="V69">IF($G69=0, INDEX(LS_previous!$D$4:$AY$138, MATCH('Staging Table'!$A69, LS_previous!$B$4:$B$138, 0), MATCH(V$4&amp;V$5, LS_previous!$D$2:$AY$2&amp;LS_previous!$D$3:$AY$3, 0)),SUM(VLOOKUP($A69, LS_previous!$B$4:$AY$138, LS_previous!N$149, FALSE), VLOOKUP('Staging Table'!$A69, LS_previous!$B$4:$AY$138,LS_previous!AL$149, FALSE))/2)</f>
        <v>81</v>
      </c>
      <c r="W69" s="227">
        <f t="array" ref="W69">IF($G69=0, INDEX(LS_previous!$D$4:$AY$138, MATCH('Staging Table'!$A69, LS_previous!$B$4:$B$138, 0), MATCH(W$4&amp;W$5, LS_previous!$D$2:$AY$2&amp;LS_previous!$D$3:$AY$3, 0)),SUM(VLOOKUP($A69, LS_previous!$B$4:$AY$138, LS_previous!O$149, FALSE), VLOOKUP('Staging Table'!$A69, LS_previous!$B$4:$AY$138,LS_previous!AM$149, FALSE))/2)</f>
        <v>276</v>
      </c>
      <c r="X69" s="227">
        <f t="array" ref="X69">IF($G69=0, INDEX(LS_previous!$D$4:$AY$138, MATCH('Staging Table'!$A69, LS_previous!$B$4:$B$138, 0), MATCH(X$4&amp;X$5, LS_previous!$D$2:$AY$2&amp;LS_previous!$D$3:$AY$3, 0)),SUM(VLOOKUP($A69, LS_previous!$B$4:$AY$138, LS_previous!P$149, FALSE), VLOOKUP('Staging Table'!$A69, LS_previous!$B$4:$AY$138,LS_previous!AN$149, FALSE))/2)</f>
        <v>-289</v>
      </c>
      <c r="Y69" s="227">
        <f t="array" ref="Y69">IF($G69=0, INDEX(LS_previous!$D$4:$AY$138, MATCH('Staging Table'!$A69, LS_previous!$B$4:$B$138, 0), MATCH(Y$4&amp;Y$5, LS_previous!$D$2:$AY$2&amp;LS_previous!$D$3:$AY$3, 0)),SUM(VLOOKUP($A69, LS_previous!$B$4:$AY$138, LS_previous!Q$149, FALSE), VLOOKUP('Staging Table'!$A69, LS_previous!$B$4:$AY$138,LS_previous!AO$149, FALSE))/2)</f>
        <v>59</v>
      </c>
      <c r="Z69" s="227">
        <f t="array" ref="Z69">IF($G69=0, INDEX(LS_previous!$D$4:$AY$138, MATCH('Staging Table'!$A69, LS_previous!$B$4:$B$138, 0), MATCH(Z$4&amp;Z$5, LS_previous!$D$2:$AY$2&amp;LS_previous!$D$3:$AY$3, 0)),SUM(VLOOKUP($A69, LS_previous!$B$4:$AY$138, LS_previous!R$149, FALSE), VLOOKUP('Staging Table'!$A69, LS_previous!$B$4:$AY$138,LS_previous!AP$149, FALSE))/2)</f>
        <v>-1490</v>
      </c>
      <c r="AA69" s="227">
        <f t="array" ref="AA69">IF($G69=0, INDEX(LS_previous!$D$4:$AY$138, MATCH('Staging Table'!$A69, LS_previous!$B$4:$B$138, 0), MATCH(AA$4&amp;AA$5, LS_previous!$D$2:$AY$2&amp;LS_previous!$D$3:$AY$3, 0)),SUM(VLOOKUP($A69, LS_previous!$B$4:$AY$138, LS_previous!S$149, FALSE), VLOOKUP('Staging Table'!$A69, LS_previous!$B$4:$AY$138,LS_previous!AQ$149, FALSE))/2)</f>
        <v>-667</v>
      </c>
      <c r="AB69" s="227">
        <f t="array" ref="AB69">IF($G69=0, INDEX(LS_previous!$D$4:$AY$138, MATCH('Staging Table'!$A69, LS_previous!$B$4:$B$138, 0), MATCH(AB$4&amp;AB$5, LS_previous!$D$2:$AY$2&amp;LS_previous!$D$3:$AY$3, 0)),SUM(VLOOKUP($A69, LS_previous!$B$4:$AY$138, LS_previous!T$149, FALSE), VLOOKUP('Staging Table'!$A69, LS_previous!$B$4:$AY$138,LS_previous!AR$149, FALSE))/2)</f>
        <v>-827</v>
      </c>
      <c r="AC69" s="227">
        <f t="array" ref="AC69">IF($G69=0, INDEX(LS_previous!$D$4:$AY$138, MATCH('Staging Table'!$A69, LS_previous!$B$4:$B$138, 0), MATCH(AC$4&amp;AC$5, LS_previous!$D$2:$AY$2&amp;LS_previous!$D$3:$AY$3, 0)),SUM(VLOOKUP($A69, LS_previous!$B$4:$AY$138, LS_previous!U$149, FALSE), VLOOKUP('Staging Table'!$A69, LS_previous!$B$4:$AY$138,LS_previous!AS$149, FALSE))/2)</f>
        <v>-369</v>
      </c>
      <c r="AD69" s="227">
        <f t="array" ref="AD69">IF($G69=0, INDEX(LS_previous!$D$4:$AY$138, MATCH('Staging Table'!$A69, LS_previous!$B$4:$B$138, 0), MATCH(AD$4&amp;AD$5, LS_previous!$D$2:$AY$2&amp;LS_previous!$D$3:$AY$3, 0)),SUM(VLOOKUP($A69, LS_previous!$B$4:$AY$138, LS_previous!V$149, FALSE), VLOOKUP('Staging Table'!$A69, LS_previous!$B$4:$AY$138,LS_previous!AT$149, FALSE))/2)</f>
        <v>-151</v>
      </c>
      <c r="AE69" s="227">
        <f t="array" ref="AE69">IF($G69=0, INDEX(LS_previous!$D$4:$AY$138, MATCH('Staging Table'!$A69, LS_previous!$B$4:$B$138, 0), MATCH(AE$4&amp;AE$5, LS_previous!$D$2:$AY$2&amp;LS_previous!$D$3:$AY$3, 0)),SUM(VLOOKUP($A69, LS_previous!$B$4:$AY$138, LS_previous!W$149, FALSE), VLOOKUP('Staging Table'!$A69, LS_previous!$B$4:$AY$138,LS_previous!AU$149, FALSE))/2)</f>
        <v>77</v>
      </c>
      <c r="AF69" s="227">
        <f t="array" ref="AF69">IF($G69=0, INDEX(LS_previous!$D$4:$AY$138, MATCH('Staging Table'!$A69, LS_previous!$B$4:$B$138, 0), MATCH(AF$4&amp;AF$5, LS_previous!$D$2:$AY$2&amp;LS_previous!$D$3:$AY$3, 0)),SUM(VLOOKUP($A69, LS_previous!$B$4:$AY$138, LS_previous!X$149, FALSE), VLOOKUP('Staging Table'!$A69, LS_previous!$B$4:$AY$138,LS_previous!AV$149, FALSE))/2)</f>
        <v>-443</v>
      </c>
      <c r="AG69" s="227">
        <f t="array" ref="AG69">IF($G69=0, INDEX(LS_previous!$D$4:$AY$138, MATCH('Staging Table'!$A69, LS_previous!$B$4:$B$138, 0), MATCH(AG$4&amp;AG$5, LS_previous!$D$2:$AY$2&amp;LS_previous!$D$3:$AY$3, 0)),SUM(VLOOKUP($A69, LS_previous!$B$4:$AY$138, LS_previous!Y$149, FALSE), VLOOKUP('Staging Table'!$A69, LS_previous!$B$4:$AY$138,LS_previous!AW$149, FALSE))/2)</f>
        <v>-108</v>
      </c>
      <c r="AH69" s="227">
        <f t="array" ref="AH69">IF($G69=0, INDEX(LS_previous!$D$4:$AY$138, MATCH('Staging Table'!$A69, LS_previous!$B$4:$B$138, 0), MATCH(AH$4&amp;AH$5, LS_previous!$D$2:$AY$2&amp;LS_previous!$D$3:$AY$3, 0)),SUM(VLOOKUP($A69, LS_previous!$B$4:$AY$138, LS_previous!Z$149, FALSE), VLOOKUP('Staging Table'!$A69, LS_previous!$B$4:$AY$138,LS_previous!AX$149, FALSE))/2)</f>
        <v>-641</v>
      </c>
      <c r="AI69" s="227">
        <f t="array" ref="AI69">IF($G69=0, INDEX(LS_previous!$D$4:$AY$138, MATCH('Staging Table'!$A69, LS_previous!$B$4:$B$138, 0), MATCH(AI$4&amp;AI$5, LS_previous!$D$2:$AY$2&amp;LS_previous!$D$3:$AY$3, 0)),SUM(VLOOKUP($A69, LS_previous!$B$4:$AY$138, LS_previous!AA$149, FALSE), VLOOKUP('Staging Table'!$A69, LS_previous!$B$4:$AY$138,LS_previous!AY$149, FALSE))/2)</f>
        <v>-231</v>
      </c>
      <c r="AJ69" s="424">
        <f t="array" ref="AJ69">INDEX(Demand_previous!$D$4:$AY$138, MATCH('Staging Table'!$A69, Demand_previous!$B$4:$B$138, 0), MATCH(AJ$4&amp;AJ$5,Demand_previous!$D$2:$AY$2&amp;Demand_previous!$D$3:$AY$3, 0))/1000</f>
        <v>0</v>
      </c>
      <c r="AK69" s="424">
        <f t="array" ref="AK69">INDEX(Demand_previous!$D$4:$AY$138, MATCH('Staging Table'!$A69, Demand_previous!$B$4:$B$138, 0), MATCH(AK$4&amp;AK$5,Demand_previous!$D$2:$AY$2&amp;Demand_previous!$D$3:$AY$3, 0))/1000</f>
        <v>1.125</v>
      </c>
      <c r="AL69" s="424">
        <f t="array" ref="AL69">INDEX(Demand_previous!$D$4:$AY$138, MATCH('Staging Table'!$A69, Demand_previous!$B$4:$B$138, 0), MATCH(AL$4&amp;AL$5,Demand_previous!$D$2:$AY$2&amp;Demand_previous!$D$3:$AY$3, 0))/1000</f>
        <v>2.1440000000000001</v>
      </c>
      <c r="AM69" s="424">
        <f t="array" ref="AM69">INDEX(Demand_previous!$D$4:$AY$138, MATCH('Staging Table'!$A69, Demand_previous!$B$4:$B$138, 0), MATCH(AM$4&amp;AM$5,Demand_previous!$D$2:$AY$2&amp;Demand_previous!$D$3:$AY$3, 0))/1000</f>
        <v>1.4970000000000001</v>
      </c>
      <c r="AN69" s="424">
        <f t="array" ref="AN69">INDEX(Demand_previous!$D$4:$AY$138, MATCH('Staging Table'!$A69, Demand_previous!$B$4:$B$138, 0), MATCH(AN$4&amp;AN$5,Demand_previous!$D$2:$AY$2&amp;Demand_previous!$D$3:$AY$3, 0))/1000</f>
        <v>0</v>
      </c>
      <c r="AO69" s="424">
        <f t="array" ref="AO69">INDEX(Demand_previous!$D$4:$AY$138, MATCH('Staging Table'!$A69, Demand_previous!$B$4:$B$138, 0), MATCH(AO$4&amp;AO$5,Demand_previous!$D$2:$AY$2&amp;Demand_previous!$D$3:$AY$3, 0))/1000</f>
        <v>0.78200000000000003</v>
      </c>
      <c r="AP69" s="424">
        <f t="array" ref="AP69">INDEX(Demand_previous!$D$4:$AY$138, MATCH('Staging Table'!$A69, Demand_previous!$B$4:$B$138, 0), MATCH(AP$4&amp;AP$5,Demand_previous!$D$2:$AY$2&amp;Demand_previous!$D$3:$AY$3, 0))/1000</f>
        <v>0.44800000000000001</v>
      </c>
      <c r="AQ69" s="424">
        <f t="array" ref="AQ69">INDEX(Demand_previous!$D$4:$AY$138, MATCH('Staging Table'!$A69, Demand_previous!$B$4:$B$138, 0), MATCH(AQ$4&amp;AQ$5,Demand_previous!$D$2:$AY$2&amp;Demand_previous!$D$3:$AY$3, 0))/1000</f>
        <v>0.70399999999999996</v>
      </c>
      <c r="AR69" s="424">
        <f t="array" ref="AR69">INDEX(Demand_previous!$D$4:$AY$138, MATCH('Staging Table'!$A69, Demand_previous!$B$4:$B$138, 0), MATCH(AR$4&amp;AR$5,Demand_previous!$D$2:$AY$2&amp;Demand_previous!$D$3:$AY$3, 0))/1000</f>
        <v>0.33900000000000002</v>
      </c>
      <c r="AS69" s="424">
        <f t="array" ref="AS69">INDEX(Demand_previous!$D$4:$AY$138, MATCH('Staging Table'!$A69, Demand_previous!$B$4:$B$138, 0), MATCH(AS$4&amp;AS$5,Demand_previous!$D$2:$AY$2&amp;Demand_previous!$D$3:$AY$3, 0))/1000</f>
        <v>0.42399999999999999</v>
      </c>
      <c r="AT69" s="424">
        <f t="array" ref="AT69">INDEX(Demand_previous!$D$4:$AY$138, MATCH('Staging Table'!$A69, Demand_previous!$B$4:$B$138, 0), MATCH(AT$4&amp;AT$5,Demand_previous!$D$2:$AY$2&amp;Demand_previous!$D$3:$AY$3, 0))/1000</f>
        <v>0.67100000000000004</v>
      </c>
      <c r="AU69" s="424">
        <f t="array" ref="AU69">INDEX(Demand_previous!$D$4:$AY$138, MATCH('Staging Table'!$A69, Demand_previous!$B$4:$B$138, 0), MATCH(AU$4&amp;AU$5,Demand_previous!$D$2:$AY$2&amp;Demand_previous!$D$3:$AY$3, 0))/1000</f>
        <v>0.44700000000000001</v>
      </c>
      <c r="AV69" s="227">
        <f>$F69*(VLOOKUP(AV$4, Rates_previous!$G$6:$Q$29, 10, FALSE)+VLOOKUP(AV$4, Rates_previous!$G$6:$Q$29, 11, FALSE))</f>
        <v>3448.6401742374774</v>
      </c>
      <c r="AW69" s="227">
        <f>$F69*(VLOOKUP(AW$4, Rates_previous!$G$6:$Q$29, 10, FALSE)+VLOOKUP(AW$4, Rates_previous!$G$6:$Q$29, 11, FALSE))</f>
        <v>4262.2571448136405</v>
      </c>
      <c r="AX69" s="227">
        <f>$F69*(VLOOKUP(AX$4, Rates_previous!$G$6:$Q$29, 10, FALSE)+VLOOKUP(AX$4, Rates_previous!$G$6:$Q$29, 11, FALSE))</f>
        <v>4211.0725344102138</v>
      </c>
      <c r="AY69" s="227">
        <f>$F69*(VLOOKUP(AY$4, Rates_previous!$G$6:$Q$29, 10, FALSE)+VLOOKUP(AY$4, Rates_previous!$G$6:$Q$29, 11, FALSE))</f>
        <v>3597.9600991501802</v>
      </c>
      <c r="AZ69" s="227">
        <f>$F69*(VLOOKUP(AZ$4, Rates_previous!$G$6:$Q$29, 10, FALSE)+VLOOKUP(AZ$4, Rates_previous!$G$6:$Q$29, 11, FALSE))</f>
        <v>2949.6293808525602</v>
      </c>
      <c r="BA69" s="227">
        <f>$F69*(VLOOKUP(BA$4, Rates_previous!$G$6:$Q$29, 10, FALSE)+VLOOKUP(BA$4, Rates_previous!$G$6:$Q$29, 11, FALSE))</f>
        <v>3492.2540464470758</v>
      </c>
      <c r="BB69" s="227">
        <f>$F69*(VLOOKUP(BB$4, Rates_previous!$G$6:$Q$29, 10, FALSE)+VLOOKUP(BB$4, Rates_previous!$G$6:$Q$29, 11, FALSE))</f>
        <v>3356.5641179779518</v>
      </c>
      <c r="BC69" s="227">
        <f>$F69*(VLOOKUP(BC$4, Rates_previous!$G$6:$Q$29, 10, FALSE)+VLOOKUP(BC$4, Rates_previous!$G$6:$Q$29, 11, FALSE))</f>
        <v>4925.5203234334513</v>
      </c>
      <c r="BD69" s="227">
        <f>$F69*(VLOOKUP(BD$4, Rates_previous!$G$6:$Q$29, 10, FALSE)+VLOOKUP(BD$4, Rates_previous!$G$6:$Q$29, 11, FALSE))</f>
        <v>3886.1053520999772</v>
      </c>
      <c r="BE69" s="227">
        <f>$F69*(VLOOKUP(BE$4, Rates_previous!$G$6:$Q$29, 10, FALSE)+VLOOKUP(BE$4, Rates_previous!$G$6:$Q$29, 11, FALSE))</f>
        <v>3412.3266814571507</v>
      </c>
      <c r="BF69" s="227">
        <f>$F69*(VLOOKUP(BF$4, Rates_previous!$G$6:$Q$29, 10, FALSE)+VLOOKUP(BF$4, Rates_previous!$G$6:$Q$29, 11, FALSE))</f>
        <v>3779.288387346217</v>
      </c>
      <c r="BG69" s="227">
        <f>$F69*(VLOOKUP(BG$4, Rates_previous!$G$6:$Q$29, 10, FALSE)+VLOOKUP(BG$4, Rates_previous!$G$6:$Q$29, 11, FALSE))</f>
        <v>3423.8849860559321</v>
      </c>
      <c r="BH69" s="229">
        <f>IF($D69=0,IF(C69=0, MAX(BK69 - (VLOOKUP($A69,TOCA_previous!$A$2:$AI$137,MATCH("RHWM 2018",TOCA_previous!$A$2:$AI$2,0),FALSE)*$F$2*TOCA_previous!C66),0),0), 0)</f>
        <v>2435.4238810800016</v>
      </c>
      <c r="BI69" s="266">
        <f>VLOOKUP($A69,REP_previous!$A$1:$D$135,MATCH("FY "&amp;$F$1&amp; " Total Refund",REP_previous!$A$1:$D$1,0),0)</f>
        <v>1376110.9197385786</v>
      </c>
      <c r="BJ69" s="241">
        <f>MIN(VLOOKUP($A69,TOCA_previous!$A$2:$AI$137,MATCH("TRL - NLSL - Existing Resource "&amp;$F$1,TOCA_previous!$A$2:$AI$2,0),FALSE)*$F$2,(VLOOKUP($A69,TOCA_previous!$A$2:$AI$137,MATCH("RHWM 2018",TOCA_previous!$A$2:$AI$2,0),FALSE)*$F$2))</f>
        <v>44746.079999999994</v>
      </c>
      <c r="BK69" s="229">
        <f>SUM(L69:AI69)+(F69*RT1SC!$C$3*$F$2)</f>
        <v>47181.503881079996</v>
      </c>
      <c r="BL69" s="241">
        <f>VLOOKUP($A69,TOCA_previous!$A$2:$AI$137,MATCH("Above RHWM Not Served with LS "&amp;$F$1,TOCA_previous!$A$2:$AI$2,0),FALSE)*$F$2</f>
        <v>0</v>
      </c>
      <c r="BM69" s="151">
        <f t="shared" si="5"/>
        <v>2435.4238810800016</v>
      </c>
      <c r="BN69" s="242">
        <f>(VLOOKUP($A69,TOCA_previous!$A$2:$AI$137,MATCH("RHWM 2018",TOCA_previous!$A$2:$AI$2,0),FALSE)*$F$2) - $BJ69</f>
        <v>0</v>
      </c>
      <c r="BO69" s="151">
        <f t="shared" si="6"/>
        <v>0</v>
      </c>
      <c r="BP69" s="243">
        <f t="shared" si="7"/>
        <v>0</v>
      </c>
      <c r="BQ69" s="237">
        <f t="shared" si="8"/>
        <v>0</v>
      </c>
      <c r="BR69" s="242">
        <f t="shared" si="9"/>
        <v>0</v>
      </c>
      <c r="BS69" s="151">
        <f>VLOOKUP($A69,TOCA_current!$A$2:$AI$137,MATCH(BS$4,TOCA_current!$A$2:$AI$2,0),FALSE)</f>
        <v>7.3510000000000003E-4</v>
      </c>
      <c r="BT69" s="151">
        <f>VLOOKUP($A69,TOCA_current!$A$2:$AI$137,MATCH(BT$4,TOCA_current!$A$2:$AI$2,0),FALSE)</f>
        <v>7.3510000000000003E-4</v>
      </c>
      <c r="BU69" s="236">
        <f t="shared" si="10"/>
        <v>0</v>
      </c>
      <c r="BV69" s="151">
        <f>VLOOKUP($A69,TOCA_current!A65:BG200,MATCH(BV$4,TOCA_current!$A$2:$BG$2,0),FALSE)</f>
        <v>0</v>
      </c>
      <c r="BW69" s="151">
        <f t="shared" si="11"/>
        <v>0</v>
      </c>
      <c r="BX69" s="151">
        <f t="shared" si="12"/>
        <v>0</v>
      </c>
      <c r="BY69" s="226">
        <f>VLOOKUP($A69,IRD!$A$4:$G$139, 7, FALSE)</f>
        <v>0</v>
      </c>
      <c r="BZ69" s="227">
        <f t="array" ref="BZ69">IF($BU69=0, INDEX(LS_current!$D$4:$AY$138, MATCH('Staging Table'!$A69, LS_current!$B$4:$B$138, 0), MATCH(BZ$4&amp;BZ$5, LS_current!$D$2:$AY$2&amp;LS_current!$D$3:$AY$3, 0)),SUM(VLOOKUP($A69, LS_current!$B$4:$AY$138, LS_current!D$148, FALSE), VLOOKUP($A69, LS_current!$B$4:$AY$138,LS_current!D$148, FALSE))/2)</f>
        <v>-462</v>
      </c>
      <c r="CA69" s="227">
        <f t="array" ref="CA69">IF($BU69=0, INDEX(LS_current!$D$4:$AY$138, MATCH('Staging Table'!$A69, LS_current!$B$4:$B$138, 0), MATCH(CA$4&amp;CA$5, LS_current!$D$2:$AY$2&amp;LS_current!$D$3:$AY$3, 0)),SUM(VLOOKUP($A69, LS_current!$B$4:$AY$138, LS_current!E$148, FALSE), VLOOKUP($A69, LS_current!$B$4:$AY$138,LS_current!E$148, FALSE))/2)</f>
        <v>-55</v>
      </c>
      <c r="CB69" s="227">
        <f t="array" ref="CB69">IF($BU69=0, INDEX(LS_current!$D$4:$AY$138, MATCH('Staging Table'!$A69, LS_current!$B$4:$B$138, 0), MATCH(CB$4&amp;CB$5, LS_current!$D$2:$AY$2&amp;LS_current!$D$3:$AY$3, 0)),SUM(VLOOKUP($A69, LS_current!$B$4:$AY$138, LS_current!F$148, FALSE), VLOOKUP($A69, LS_current!$B$4:$AY$138,LS_current!F$148, FALSE))/2)</f>
        <v>153</v>
      </c>
      <c r="CC69" s="227">
        <f t="array" ref="CC69">IF($BU69=0, INDEX(LS_current!$D$4:$AY$138, MATCH('Staging Table'!$A69, LS_current!$B$4:$B$138, 0), MATCH(CC$4&amp;CC$5, LS_current!$D$2:$AY$2&amp;LS_current!$D$3:$AY$3, 0)),SUM(VLOOKUP($A69, LS_current!$B$4:$AY$138, LS_current!G$148, FALSE), VLOOKUP($A69, LS_current!$B$4:$AY$138,LS_current!G$148, FALSE))/2)</f>
        <v>456</v>
      </c>
      <c r="CD69" s="227">
        <f t="array" ref="CD69">IF($BU69=0, INDEX(LS_current!$D$4:$AY$138, MATCH('Staging Table'!$A69, LS_current!$B$4:$B$138, 0), MATCH(CD$4&amp;CD$5, LS_current!$D$2:$AY$2&amp;LS_current!$D$3:$AY$3, 0)),SUM(VLOOKUP($A69, LS_current!$B$4:$AY$138, LS_current!H$148, FALSE), VLOOKUP($A69, LS_current!$B$4:$AY$138,LS_current!H$148, FALSE))/2)</f>
        <v>1206</v>
      </c>
      <c r="CE69" s="227">
        <f t="array" ref="CE69">IF($BU69=0, INDEX(LS_current!$D$4:$AY$138, MATCH('Staging Table'!$A69, LS_current!$B$4:$B$138, 0), MATCH(CE$4&amp;CE$5, LS_current!$D$2:$AY$2&amp;LS_current!$D$3:$AY$3, 0)),SUM(VLOOKUP($A69, LS_current!$B$4:$AY$138, LS_current!I$148, FALSE), VLOOKUP($A69, LS_current!$B$4:$AY$138,LS_current!I$148, FALSE))/2)</f>
        <v>1147</v>
      </c>
      <c r="CF69" s="227">
        <f t="array" ref="CF69">IF($BU69=0, INDEX(LS_current!$D$4:$AY$138, MATCH('Staging Table'!$A69, LS_current!$B$4:$B$138, 0), MATCH(CF$4&amp;CF$5, LS_current!$D$2:$AY$2&amp;LS_current!$D$3:$AY$3, 0)),SUM(VLOOKUP($A69, LS_current!$B$4:$AY$138, LS_current!J$148, FALSE), VLOOKUP($A69, LS_current!$B$4:$AY$138,LS_current!J$148, FALSE))/2)</f>
        <v>1497</v>
      </c>
      <c r="CG69" s="227">
        <f t="array" ref="CG69">IF($BU69=0, INDEX(LS_current!$D$4:$AY$138, MATCH('Staging Table'!$A69, LS_current!$B$4:$B$138, 0), MATCH(CG$4&amp;CG$5, LS_current!$D$2:$AY$2&amp;LS_current!$D$3:$AY$3, 0)),SUM(VLOOKUP($A69, LS_current!$B$4:$AY$138, LS_current!K$148, FALSE), VLOOKUP($A69, LS_current!$B$4:$AY$138,LS_current!K$148, FALSE))/2)</f>
        <v>1368</v>
      </c>
      <c r="CH69" s="227">
        <f t="array" ref="CH69">IF($BU69=0, INDEX(LS_current!$D$4:$AY$138, MATCH('Staging Table'!$A69, LS_current!$B$4:$B$138, 0), MATCH(CH$4&amp;CH$5, LS_current!$D$2:$AY$2&amp;LS_current!$D$3:$AY$3, 0)),SUM(VLOOKUP($A69, LS_current!$B$4:$AY$138, LS_current!L$148, FALSE), VLOOKUP($A69, LS_current!$B$4:$AY$138,LS_current!L$148, FALSE))/2)</f>
        <v>803</v>
      </c>
      <c r="CI69" s="227">
        <f t="array" ref="CI69">IF($BU69=0, INDEX(LS_current!$D$4:$AY$138, MATCH('Staging Table'!$A69, LS_current!$B$4:$B$138, 0), MATCH(CI$4&amp;CI$5, LS_current!$D$2:$AY$2&amp;LS_current!$D$3:$AY$3, 0)),SUM(VLOOKUP($A69, LS_current!$B$4:$AY$138, LS_current!M$148, FALSE), VLOOKUP($A69, LS_current!$B$4:$AY$138,LS_current!M$148, FALSE))/2)</f>
        <v>783</v>
      </c>
      <c r="CJ69" s="227">
        <f t="array" ref="CJ69">IF($BU69=0, INDEX(LS_current!$D$4:$AY$138, MATCH('Staging Table'!$A69, LS_current!$B$4:$B$138, 0), MATCH(CJ$4&amp;CJ$5, LS_current!$D$2:$AY$2&amp;LS_current!$D$3:$AY$3, 0)),SUM(VLOOKUP($A69, LS_current!$B$4:$AY$138, LS_current!N$148, FALSE), VLOOKUP($A69, LS_current!$B$4:$AY$138,LS_current!N$148, FALSE))/2)</f>
        <v>14</v>
      </c>
      <c r="CK69" s="227">
        <f t="array" ref="CK69">IF($BU69=0, INDEX(LS_current!$D$4:$AY$138, MATCH('Staging Table'!$A69, LS_current!$B$4:$B$138, 0), MATCH(CK$4&amp;CK$5, LS_current!$D$2:$AY$2&amp;LS_current!$D$3:$AY$3, 0)),SUM(VLOOKUP($A69, LS_current!$B$4:$AY$138, LS_current!O$148, FALSE), VLOOKUP($A69, LS_current!$B$4:$AY$138,LS_current!O$148, FALSE))/2)</f>
        <v>257</v>
      </c>
      <c r="CL69" s="227">
        <f t="array" ref="CL69">IF($BU69=0, INDEX(LS_current!$D$4:$AY$138, MATCH('Staging Table'!$A69, LS_current!$B$4:$B$138, 0), MATCH(CL$4&amp;CL$5, LS_current!$D$2:$AY$2&amp;LS_current!$D$3:$AY$3, 0)),SUM(VLOOKUP($A69, LS_current!$B$4:$AY$138, LS_current!P$148, FALSE), VLOOKUP($A69, LS_current!$B$4:$AY$138,LS_current!P$148, FALSE))/2)</f>
        <v>36</v>
      </c>
      <c r="CM69" s="227">
        <f t="array" ref="CM69">IF($BU69=0, INDEX(LS_current!$D$4:$AY$138, MATCH('Staging Table'!$A69, LS_current!$B$4:$B$138, 0), MATCH(CM$4&amp;CM$5, LS_current!$D$2:$AY$2&amp;LS_current!$D$3:$AY$3, 0)),SUM(VLOOKUP($A69, LS_current!$B$4:$AY$138, LS_current!Q$148, FALSE), VLOOKUP($A69, LS_current!$B$4:$AY$138,LS_current!Q$148, FALSE))/2)</f>
        <v>177</v>
      </c>
      <c r="CN69" s="227">
        <f t="array" ref="CN69">IF($BU69=0, INDEX(LS_current!$D$4:$AY$138, MATCH('Staging Table'!$A69, LS_current!$B$4:$B$138, 0), MATCH(CN$4&amp;CN$5, LS_current!$D$2:$AY$2&amp;LS_current!$D$3:$AY$3, 0)),SUM(VLOOKUP($A69, LS_current!$B$4:$AY$138, LS_current!R$148, FALSE), VLOOKUP($A69, LS_current!$B$4:$AY$138,LS_current!R$148, FALSE))/2)</f>
        <v>-900</v>
      </c>
      <c r="CO69" s="227">
        <f t="array" ref="CO69">IF($BU69=0, INDEX(LS_current!$D$4:$AY$138, MATCH('Staging Table'!$A69, LS_current!$B$4:$B$138, 0), MATCH(CO$4&amp;CO$5, LS_current!$D$2:$AY$2&amp;LS_current!$D$3:$AY$3, 0)),SUM(VLOOKUP($A69, LS_current!$B$4:$AY$138, LS_current!S$148, FALSE), VLOOKUP($A69, LS_current!$B$4:$AY$138,LS_current!S$148, FALSE))/2)</f>
        <v>-261</v>
      </c>
      <c r="CP69" s="227">
        <f t="array" ref="CP69">IF($BU69=0, INDEX(LS_current!$D$4:$AY$138, MATCH('Staging Table'!$A69, LS_current!$B$4:$B$138, 0), MATCH(CP$4&amp;CP$5, LS_current!$D$2:$AY$2&amp;LS_current!$D$3:$AY$3, 0)),SUM(VLOOKUP($A69, LS_current!$B$4:$AY$138, LS_current!T$148, FALSE), VLOOKUP($A69, LS_current!$B$4:$AY$138,LS_current!T$148, FALSE))/2)</f>
        <v>-1538</v>
      </c>
      <c r="CQ69" s="227">
        <f t="array" ref="CQ69">IF($BU69=0, INDEX(LS_current!$D$4:$AY$138, MATCH('Staging Table'!$A69, LS_current!$B$4:$B$138, 0), MATCH(CQ$4&amp;CQ$5, LS_current!$D$2:$AY$2&amp;LS_current!$D$3:$AY$3, 0)),SUM(VLOOKUP($A69, LS_current!$B$4:$AY$138, LS_current!U$148, FALSE), VLOOKUP($A69, LS_current!$B$4:$AY$138,LS_current!U$148, FALSE))/2)</f>
        <v>-785</v>
      </c>
      <c r="CR69" s="227">
        <f t="array" ref="CR69">IF($BU69=0, INDEX(LS_current!$D$4:$AY$138, MATCH('Staging Table'!$A69, LS_current!$B$4:$B$138, 0), MATCH(CR$4&amp;CR$5, LS_current!$D$2:$AY$2&amp;LS_current!$D$3:$AY$3, 0)),SUM(VLOOKUP($A69, LS_current!$B$4:$AY$138, LS_current!V$148, FALSE), VLOOKUP($A69, LS_current!$B$4:$AY$138,LS_current!V$148, FALSE))/2)</f>
        <v>-625</v>
      </c>
      <c r="CS69" s="227">
        <f t="array" ref="CS69">IF($BU69=0, INDEX(LS_current!$D$4:$AY$138, MATCH('Staging Table'!$A69, LS_current!$B$4:$B$138, 0), MATCH(CS$4&amp;CS$5, LS_current!$D$2:$AY$2&amp;LS_current!$D$3:$AY$3, 0)),SUM(VLOOKUP($A69, LS_current!$B$4:$AY$138, LS_current!W$148, FALSE), VLOOKUP($A69, LS_current!$B$4:$AY$138,LS_current!W$148, FALSE))/2)</f>
        <v>33</v>
      </c>
      <c r="CT69" s="227">
        <f t="array" ref="CT69">IF($BU69=0, INDEX(LS_current!$D$4:$AY$138, MATCH('Staging Table'!$A69, LS_current!$B$4:$B$138, 0), MATCH(CT$4&amp;CT$5, LS_current!$D$2:$AY$2&amp;LS_current!$D$3:$AY$3, 0)),SUM(VLOOKUP($A69, LS_current!$B$4:$AY$138, LS_current!X$148, FALSE), VLOOKUP($A69, LS_current!$B$4:$AY$138,LS_current!X$148, FALSE))/2)</f>
        <v>-537</v>
      </c>
      <c r="CU69" s="227">
        <f t="array" ref="CU69">IF($BU69=0, INDEX(LS_current!$D$4:$AY$138, MATCH('Staging Table'!$A69, LS_current!$B$4:$B$138, 0), MATCH(CU$4&amp;CU$5, LS_current!$D$2:$AY$2&amp;LS_current!$D$3:$AY$3, 0)),SUM(VLOOKUP($A69, LS_current!$B$4:$AY$138, LS_current!Y$148, FALSE), VLOOKUP($A69, LS_current!$B$4:$AY$138,LS_current!Y$148, FALSE))/2)</f>
        <v>-61</v>
      </c>
      <c r="CV69" s="227">
        <f t="array" ref="CV69">IF($BU69=0, INDEX(LS_current!$D$4:$AY$138, MATCH('Staging Table'!$A69, LS_current!$B$4:$B$138, 0), MATCH(CV$4&amp;CV$5, LS_current!$D$2:$AY$2&amp;LS_current!$D$3:$AY$3, 0)),SUM(VLOOKUP($A69, LS_current!$B$4:$AY$138, LS_current!Z$148, FALSE), VLOOKUP($A69, LS_current!$B$4:$AY$138,LS_current!Z$148, FALSE))/2)</f>
        <v>-653</v>
      </c>
      <c r="CW69" s="227">
        <f t="array" ref="CW69">IF($BU69=0, INDEX(LS_current!$D$4:$AY$138, MATCH('Staging Table'!$A69, LS_current!$B$4:$B$138, 0), MATCH(CW$4&amp;CW$5, LS_current!$D$2:$AY$2&amp;LS_current!$D$3:$AY$3, 0)),SUM(VLOOKUP($A69, LS_current!$B$4:$AY$138, LS_current!AA$148, FALSE), VLOOKUP($A69, LS_current!$B$4:$AY$138,LS_current!AA$148, FALSE))/2)</f>
        <v>-232</v>
      </c>
      <c r="CX69" s="229">
        <f t="array" ref="CX69">INDEX(Demand_current!$D$4:$AY$138, MATCH($A69, Demand_current!$B$4:$B$138, 0), MATCH(CX$4&amp;CX$5,Demand_current!$D$2:$AY$2&amp;Demand_current!$D$3:$AY$3, 0))/1000</f>
        <v>0</v>
      </c>
      <c r="CY69" s="229">
        <f t="array" ref="CY69">INDEX(Demand_current!$D$4:$AY$138, MATCH($A69, Demand_current!$B$4:$B$138, 0), MATCH(CY$4&amp;CY$5,Demand_current!$D$2:$AY$2&amp;Demand_current!$D$3:$AY$3, 0))/1000</f>
        <v>1.125</v>
      </c>
      <c r="CZ69" s="229">
        <f t="array" ref="CZ69">INDEX(Demand_current!$D$4:$AY$138, MATCH($A69, Demand_current!$B$4:$B$138, 0), MATCH(CZ$4&amp;CZ$5,Demand_current!$D$2:$AY$2&amp;Demand_current!$D$3:$AY$3, 0))/1000</f>
        <v>2.1440000000000001</v>
      </c>
      <c r="DA69" s="229">
        <f t="array" ref="DA69">INDEX(Demand_current!$D$4:$AY$138, MATCH($A69, Demand_current!$B$4:$B$138, 0), MATCH(DA$4&amp;DA$5,Demand_current!$D$2:$AY$2&amp;Demand_current!$D$3:$AY$3, 0))/1000</f>
        <v>1.4970000000000001</v>
      </c>
      <c r="DB69" s="229">
        <f t="array" ref="DB69">INDEX(Demand_current!$D$4:$AY$138, MATCH($A69, Demand_current!$B$4:$B$138, 0), MATCH(DB$4&amp;DB$5,Demand_current!$D$2:$AY$2&amp;Demand_current!$D$3:$AY$3, 0))/1000</f>
        <v>0</v>
      </c>
      <c r="DC69" s="229">
        <f t="array" ref="DC69">INDEX(Demand_current!$D$4:$AY$138, MATCH($A69, Demand_current!$B$4:$B$138, 0), MATCH(DC$4&amp;DC$5,Demand_current!$D$2:$AY$2&amp;Demand_current!$D$3:$AY$3, 0))/1000</f>
        <v>0.57799999999999996</v>
      </c>
      <c r="DD69" s="229">
        <f t="array" ref="DD69">INDEX(Demand_current!$D$4:$AY$138, MATCH($A69, Demand_current!$B$4:$B$138, 0), MATCH(DD$4&amp;DD$5,Demand_current!$D$2:$AY$2&amp;Demand_current!$D$3:$AY$3, 0))/1000</f>
        <v>0.628</v>
      </c>
      <c r="DE69" s="229">
        <f t="array" ref="DE69">INDEX(Demand_current!$D$4:$AY$138, MATCH($A69, Demand_current!$B$4:$B$138, 0), MATCH(DE$4&amp;DE$5,Demand_current!$D$2:$AY$2&amp;Demand_current!$D$3:$AY$3, 0))/1000</f>
        <v>0.54500000000000004</v>
      </c>
      <c r="DF69" s="229">
        <f t="array" ref="DF69">INDEX(Demand_current!$D$4:$AY$138, MATCH($A69, Demand_current!$B$4:$B$138, 0), MATCH(DF$4&amp;DF$5,Demand_current!$D$2:$AY$2&amp;Demand_current!$D$3:$AY$3, 0))/1000</f>
        <v>0.33900000000000002</v>
      </c>
      <c r="DG69" s="229">
        <f t="array" ref="DG69">INDEX(Demand_current!$D$4:$AY$138, MATCH($A69, Demand_current!$B$4:$B$138, 0), MATCH(DG$4&amp;DG$5,Demand_current!$D$2:$AY$2&amp;Demand_current!$D$3:$AY$3, 0))/1000</f>
        <v>0.624</v>
      </c>
      <c r="DH69" s="229">
        <f t="array" ref="DH69">INDEX(Demand_current!$D$4:$AY$138, MATCH($A69, Demand_current!$B$4:$B$138, 0), MATCH(DH$4&amp;DH$5,Demand_current!$D$2:$AY$2&amp;Demand_current!$D$3:$AY$3, 0))/1000</f>
        <v>0.48499999999999999</v>
      </c>
      <c r="DI69" s="229">
        <f t="array" ref="DI69">INDEX(Demand_current!$D$4:$AY$138, MATCH($A69, Demand_current!$B$4:$B$138, 0), MATCH(DI$4&amp;DI$5,Demand_current!$D$2:$AY$2&amp;Demand_current!$D$3:$AY$3, 0))/1000</f>
        <v>0.60799999999999998</v>
      </c>
      <c r="DJ69" s="227">
        <f>$BT69*(VLOOKUP(DJ$4, Rates_current!$G$6:$Q$29, 10, FALSE)+VLOOKUP(DJ$4, Rates_current!$G$6:$Q$29, 11, FALSE))</f>
        <v>3394.1898707795999</v>
      </c>
      <c r="DK69" s="227">
        <f>$BT69*(VLOOKUP(DK$4, Rates_current!$G$6:$Q$29, 10, FALSE)+VLOOKUP(DK$4, Rates_current!$G$6:$Q$29, 11, FALSE))</f>
        <v>4311.6799739889002</v>
      </c>
      <c r="DL69" s="227">
        <f>$BT69*(VLOOKUP(DL$4, Rates_current!$G$6:$Q$29, 10, FALSE)+VLOOKUP(DL$4, Rates_current!$G$6:$Q$29, 11, FALSE))</f>
        <v>4259.6106040796003</v>
      </c>
      <c r="DM69" s="227">
        <f>$BT69*(VLOOKUP(DM$4, Rates_current!$G$6:$Q$29, 10, FALSE)+VLOOKUP(DM$4, Rates_current!$G$6:$Q$29, 11, FALSE))</f>
        <v>3550.6448792796004</v>
      </c>
      <c r="DN69" s="227">
        <f>$BT69*(VLOOKUP(DN$4, Rates_current!$G$6:$Q$29, 10, FALSE)+VLOOKUP(DN$4, Rates_current!$G$6:$Q$29, 11, FALSE))</f>
        <v>3216.5159096799998</v>
      </c>
      <c r="DO69" s="227">
        <f>$BT69*(VLOOKUP(DO$4, Rates_current!$G$6:$Q$29, 10, FALSE)+VLOOKUP(DO$4, Rates_current!$G$6:$Q$29, 11, FALSE))</f>
        <v>3577.7875212887002</v>
      </c>
      <c r="DP69" s="227">
        <f>$BT69*(VLOOKUP(DP$4, Rates_current!$G$6:$Q$29, 10, FALSE)+VLOOKUP(DP$4, Rates_current!$G$6:$Q$29, 11, FALSE))</f>
        <v>2913.0384606480002</v>
      </c>
      <c r="DQ69" s="227">
        <f>$BT69*(VLOOKUP(DQ$4, Rates_current!$G$6:$Q$29, 10, FALSE)+VLOOKUP(DQ$4, Rates_current!$G$6:$Q$29, 11, FALSE))</f>
        <v>3928.6667463296003</v>
      </c>
      <c r="DR69" s="227">
        <f>$BT69*(VLOOKUP(DR$4, Rates_current!$G$6:$Q$29, 10, FALSE)+VLOOKUP(DR$4, Rates_current!$G$6:$Q$29, 11, FALSE))</f>
        <v>5012.7115740980007</v>
      </c>
      <c r="DS69" s="227">
        <f>$BT69*(VLOOKUP(DS$4, Rates_current!$G$6:$Q$29, 10, FALSE)+VLOOKUP(DS$4, Rates_current!$G$6:$Q$29, 11, FALSE))</f>
        <v>3930.1248171796005</v>
      </c>
      <c r="DT69" s="227">
        <f>$BT69*(VLOOKUP(DT$4, Rates_current!$G$6:$Q$29, 10, FALSE)+VLOOKUP(DT$4, Rates_current!$G$6:$Q$29, 11, FALSE))</f>
        <v>3827.1589926296006</v>
      </c>
      <c r="DU69" s="227">
        <f>$BT69*(VLOOKUP(DU$4, Rates_current!$G$6:$Q$29, 10, FALSE)+VLOOKUP(DU$4, Rates_current!$G$6:$Q$29, 11, FALSE))</f>
        <v>3435.9746337480005</v>
      </c>
      <c r="DV69" s="229">
        <f>IF(D69=0,IF(C69=0,MAX(0,DY69 - (VLOOKUP($A69,TOCA_current!$A$2:$AI$137,MATCH("RHWM 2020",TOCA_current!$A$2:$AI$2,0),FALSE)*$BT$2)), 0),0)</f>
        <v>1818.5296862207979</v>
      </c>
      <c r="DW69" s="266">
        <f>VLOOKUP($A69,REP_current!$A$1:$D$135,MATCH("FY "&amp;$BT$1&amp; " Total Refund",REP_current!$A$1:$D$1,0),0)</f>
        <v>0</v>
      </c>
      <c r="DX69" s="295">
        <f>MIN(VLOOKUP($A69,TOCA_current!$A$2:$AI$137,MATCH("TRL - NLSL - Existing Resource "&amp;$BT$1,TOCA_current!$A$2:$AI$2,0),FALSE)*$BT$2, VLOOKUP($A69,TOCA_current!$A$2:$AI$137,MATCH("RHWM 2020",TOCA_current!$A$2:$AI$2,0),FALSE)*$BT$2)</f>
        <v>45360.576000000001</v>
      </c>
      <c r="DY69" s="240">
        <f>SUM(BZ69:CW69)+(BT69*RT1SC!$C$4*$BT$2)</f>
        <v>47179.105686220799</v>
      </c>
      <c r="DZ69" s="271">
        <f>VLOOKUP($A69,TOCA_current!$A$2:$AI$137,MATCH("Above RHWM Not Served with LS "&amp;$BT$1,TOCA_current!$A$2:$AI$2,0),FALSE)*$BT$2</f>
        <v>0</v>
      </c>
      <c r="EA69" s="244">
        <f t="shared" si="13"/>
        <v>1818.5296862207979</v>
      </c>
      <c r="EB69" s="295">
        <f>(VLOOKUP($A69,TOCA_current!$A$2:$AI$137,MATCH("RHWM 2020",TOCA_current!$A$2:$AI$2,0),FALSE)*$BT$2) - $DX69</f>
        <v>0</v>
      </c>
      <c r="EC69" s="240">
        <f t="shared" si="14"/>
        <v>0</v>
      </c>
      <c r="ED69" s="240">
        <f t="shared" si="15"/>
        <v>0</v>
      </c>
      <c r="EE69" s="240">
        <f t="shared" si="16"/>
        <v>0</v>
      </c>
      <c r="EF69" s="240">
        <f t="shared" si="17"/>
        <v>0</v>
      </c>
    </row>
    <row r="70" spans="1:136">
      <c r="A70" s="166">
        <v>10191</v>
      </c>
      <c r="B70" s="167" t="s">
        <v>71</v>
      </c>
      <c r="C70" s="240">
        <v>0</v>
      </c>
      <c r="D70" s="240">
        <v>1</v>
      </c>
      <c r="E70" s="150">
        <f>VLOOKUP($A70,TOCA_previous!$A$2:$AI$137,MATCH(E$4,TOCA_previous!$A$2:$AI$2,0),FALSE)</f>
        <v>1.85909E-2</v>
      </c>
      <c r="F70" s="151">
        <f>VLOOKUP($A70,TOCA_previous!$A$2:$AI$137,MATCH(F$4,TOCA_previous!$A$2:$AI$2,0),FALSE)</f>
        <v>8.9031000000000006E-3</v>
      </c>
      <c r="G70" s="151">
        <f t="shared" si="2"/>
        <v>9.6877999999999999E-3</v>
      </c>
      <c r="H70" s="151">
        <f>VLOOKUP($A70,TOCA_previous!$A$2:$AI$137,MATCH(H$4,TOCA_previous!$A$2:$AI$2,0),FALSE)</f>
        <v>0</v>
      </c>
      <c r="I70" s="151">
        <f t="shared" si="3"/>
        <v>0</v>
      </c>
      <c r="J70" s="151">
        <f t="shared" si="4"/>
        <v>0</v>
      </c>
      <c r="K70" s="226">
        <f>VLOOKUP(A70, IRD!$A$5:$C$139, 3, FALSE)</f>
        <v>0</v>
      </c>
      <c r="L70" s="227">
        <f t="array" ref="L70">IF($G70=0, INDEX(LS_previous!$D$4:$AY$138, MATCH('Staging Table'!$A70, LS_previous!$B$4:$B$138, 0), MATCH(L$4&amp;L$5, LS_previous!$D$2:$AY$2&amp;LS_previous!$D$3:$AY$3, 0)),SUM(VLOOKUP($A70, LS_previous!$B$4:$AY$138, LS_previous!D$149, FALSE), VLOOKUP('Staging Table'!$A70, LS_previous!$B$4:$AY$138,LS_previous!AB$149, FALSE))/2)</f>
        <v>-3192</v>
      </c>
      <c r="M70" s="227">
        <f t="array" ref="M70">IF($G70=0, INDEX(LS_previous!$D$4:$AY$138, MATCH('Staging Table'!$A70, LS_previous!$B$4:$B$138, 0), MATCH(M$4&amp;M$5, LS_previous!$D$2:$AY$2&amp;LS_previous!$D$3:$AY$3, 0)),SUM(VLOOKUP($A70, LS_previous!$B$4:$AY$138, LS_previous!E$149, FALSE), VLOOKUP('Staging Table'!$A70, LS_previous!$B$4:$AY$138,LS_previous!AC$149, FALSE))/2)</f>
        <v>3482</v>
      </c>
      <c r="N70" s="227">
        <f t="array" ref="N70">IF($G70=0, INDEX(LS_previous!$D$4:$AY$138, MATCH('Staging Table'!$A70, LS_previous!$B$4:$B$138, 0), MATCH(N$4&amp;N$5, LS_previous!$D$2:$AY$2&amp;LS_previous!$D$3:$AY$3, 0)),SUM(VLOOKUP($A70, LS_previous!$B$4:$AY$138, LS_previous!F$149, FALSE), VLOOKUP('Staging Table'!$A70, LS_previous!$B$4:$AY$138,LS_previous!AD$149, FALSE))/2)</f>
        <v>-4510</v>
      </c>
      <c r="O70" s="227">
        <f t="array" ref="O70">IF($G70=0, INDEX(LS_previous!$D$4:$AY$138, MATCH('Staging Table'!$A70, LS_previous!$B$4:$B$138, 0), MATCH(O$4&amp;O$5, LS_previous!$D$2:$AY$2&amp;LS_previous!$D$3:$AY$3, 0)),SUM(VLOOKUP($A70, LS_previous!$B$4:$AY$138, LS_previous!G$149, FALSE), VLOOKUP('Staging Table'!$A70, LS_previous!$B$4:$AY$138,LS_previous!AE$149, FALSE))/2)</f>
        <v>3386</v>
      </c>
      <c r="P70" s="227">
        <f t="array" ref="P70">IF($G70=0, INDEX(LS_previous!$D$4:$AY$138, MATCH('Staging Table'!$A70, LS_previous!$B$4:$B$138, 0), MATCH(P$4&amp;P$5, LS_previous!$D$2:$AY$2&amp;LS_previous!$D$3:$AY$3, 0)),SUM(VLOOKUP($A70, LS_previous!$B$4:$AY$138, LS_previous!H$149, FALSE), VLOOKUP('Staging Table'!$A70, LS_previous!$B$4:$AY$138,LS_previous!AF$149, FALSE))/2)</f>
        <v>-554</v>
      </c>
      <c r="Q70" s="227">
        <f t="array" ref="Q70">IF($G70=0, INDEX(LS_previous!$D$4:$AY$138, MATCH('Staging Table'!$A70, LS_previous!$B$4:$B$138, 0), MATCH(Q$4&amp;Q$5, LS_previous!$D$2:$AY$2&amp;LS_previous!$D$3:$AY$3, 0)),SUM(VLOOKUP($A70, LS_previous!$B$4:$AY$138, LS_previous!I$149, FALSE), VLOOKUP('Staging Table'!$A70, LS_previous!$B$4:$AY$138,LS_previous!AG$149, FALSE))/2)</f>
        <v>7612</v>
      </c>
      <c r="R70" s="227">
        <f t="array" ref="R70">IF($G70=0, INDEX(LS_previous!$D$4:$AY$138, MATCH('Staging Table'!$A70, LS_previous!$B$4:$B$138, 0), MATCH(R$4&amp;R$5, LS_previous!$D$2:$AY$2&amp;LS_previous!$D$3:$AY$3, 0)),SUM(VLOOKUP($A70, LS_previous!$B$4:$AY$138, LS_previous!J$149, FALSE), VLOOKUP('Staging Table'!$A70, LS_previous!$B$4:$AY$138,LS_previous!AH$149, FALSE))/2)</f>
        <v>5540</v>
      </c>
      <c r="S70" s="227">
        <f t="array" ref="S70">IF($G70=0, INDEX(LS_previous!$D$4:$AY$138, MATCH('Staging Table'!$A70, LS_previous!$B$4:$B$138, 0), MATCH(S$4&amp;S$5, LS_previous!$D$2:$AY$2&amp;LS_previous!$D$3:$AY$3, 0)),SUM(VLOOKUP($A70, LS_previous!$B$4:$AY$138, LS_previous!K$149, FALSE), VLOOKUP('Staging Table'!$A70, LS_previous!$B$4:$AY$138,LS_previous!AI$149, FALSE))/2)</f>
        <v>8939</v>
      </c>
      <c r="T70" s="227">
        <f t="array" ref="T70">IF($G70=0, INDEX(LS_previous!$D$4:$AY$138, MATCH('Staging Table'!$A70, LS_previous!$B$4:$B$138, 0), MATCH(T$4&amp;T$5, LS_previous!$D$2:$AY$2&amp;LS_previous!$D$3:$AY$3, 0)),SUM(VLOOKUP($A70, LS_previous!$B$4:$AY$138, LS_previous!L$149, FALSE), VLOOKUP('Staging Table'!$A70, LS_previous!$B$4:$AY$138,LS_previous!AJ$149, FALSE))/2)</f>
        <v>5478</v>
      </c>
      <c r="U70" s="227">
        <f t="array" ref="U70">IF($G70=0, INDEX(LS_previous!$D$4:$AY$138, MATCH('Staging Table'!$A70, LS_previous!$B$4:$B$138, 0), MATCH(U$4&amp;U$5, LS_previous!$D$2:$AY$2&amp;LS_previous!$D$3:$AY$3, 0)),SUM(VLOOKUP($A70, LS_previous!$B$4:$AY$138, LS_previous!M$149, FALSE), VLOOKUP('Staging Table'!$A70, LS_previous!$B$4:$AY$138,LS_previous!AK$149, FALSE))/2)</f>
        <v>7873</v>
      </c>
      <c r="V70" s="227">
        <f t="array" ref="V70">IF($G70=0, INDEX(LS_previous!$D$4:$AY$138, MATCH('Staging Table'!$A70, LS_previous!$B$4:$B$138, 0), MATCH(V$4&amp;V$5, LS_previous!$D$2:$AY$2&amp;LS_previous!$D$3:$AY$3, 0)),SUM(VLOOKUP($A70, LS_previous!$B$4:$AY$138, LS_previous!N$149, FALSE), VLOOKUP('Staging Table'!$A70, LS_previous!$B$4:$AY$138,LS_previous!AL$149, FALSE))/2)</f>
        <v>1036</v>
      </c>
      <c r="W70" s="227">
        <f t="array" ref="W70">IF($G70=0, INDEX(LS_previous!$D$4:$AY$138, MATCH('Staging Table'!$A70, LS_previous!$B$4:$B$138, 0), MATCH(W$4&amp;W$5, LS_previous!$D$2:$AY$2&amp;LS_previous!$D$3:$AY$3, 0)),SUM(VLOOKUP($A70, LS_previous!$B$4:$AY$138, LS_previous!O$149, FALSE), VLOOKUP('Staging Table'!$A70, LS_previous!$B$4:$AY$138,LS_previous!AM$149, FALSE))/2)</f>
        <v>5357.5</v>
      </c>
      <c r="X70" s="227">
        <f t="array" ref="X70">IF($G70=0, INDEX(LS_previous!$D$4:$AY$138, MATCH('Staging Table'!$A70, LS_previous!$B$4:$B$138, 0), MATCH(X$4&amp;X$5, LS_previous!$D$2:$AY$2&amp;LS_previous!$D$3:$AY$3, 0)),SUM(VLOOKUP($A70, LS_previous!$B$4:$AY$138, LS_previous!P$149, FALSE), VLOOKUP('Staging Table'!$A70, LS_previous!$B$4:$AY$138,LS_previous!AN$149, FALSE))/2)</f>
        <v>-1234</v>
      </c>
      <c r="Y70" s="227">
        <f t="array" ref="Y70">IF($G70=0, INDEX(LS_previous!$D$4:$AY$138, MATCH('Staging Table'!$A70, LS_previous!$B$4:$B$138, 0), MATCH(Y$4&amp;Y$5, LS_previous!$D$2:$AY$2&amp;LS_previous!$D$3:$AY$3, 0)),SUM(VLOOKUP($A70, LS_previous!$B$4:$AY$138, LS_previous!Q$149, FALSE), VLOOKUP('Staging Table'!$A70, LS_previous!$B$4:$AY$138,LS_previous!AO$149, FALSE))/2)</f>
        <v>4523</v>
      </c>
      <c r="Z70" s="227">
        <f t="array" ref="Z70">IF($G70=0, INDEX(LS_previous!$D$4:$AY$138, MATCH('Staging Table'!$A70, LS_previous!$B$4:$B$138, 0), MATCH(Z$4&amp;Z$5, LS_previous!$D$2:$AY$2&amp;LS_previous!$D$3:$AY$3, 0)),SUM(VLOOKUP($A70, LS_previous!$B$4:$AY$138, LS_previous!R$149, FALSE), VLOOKUP('Staging Table'!$A70, LS_previous!$B$4:$AY$138,LS_previous!AP$149, FALSE))/2)</f>
        <v>-15329</v>
      </c>
      <c r="AA70" s="227">
        <f t="array" ref="AA70">IF($G70=0, INDEX(LS_previous!$D$4:$AY$138, MATCH('Staging Table'!$A70, LS_previous!$B$4:$B$138, 0), MATCH(AA$4&amp;AA$5, LS_previous!$D$2:$AY$2&amp;LS_previous!$D$3:$AY$3, 0)),SUM(VLOOKUP($A70, LS_previous!$B$4:$AY$138, LS_previous!S$149, FALSE), VLOOKUP('Staging Table'!$A70, LS_previous!$B$4:$AY$138,LS_previous!AQ$149, FALSE))/2)</f>
        <v>-3746</v>
      </c>
      <c r="AB70" s="227">
        <f t="array" ref="AB70">IF($G70=0, INDEX(LS_previous!$D$4:$AY$138, MATCH('Staging Table'!$A70, LS_previous!$B$4:$B$138, 0), MATCH(AB$4&amp;AB$5, LS_previous!$D$2:$AY$2&amp;LS_previous!$D$3:$AY$3, 0)),SUM(VLOOKUP($A70, LS_previous!$B$4:$AY$138, LS_previous!T$149, FALSE), VLOOKUP('Staging Table'!$A70, LS_previous!$B$4:$AY$138,LS_previous!AR$149, FALSE))/2)</f>
        <v>-9358</v>
      </c>
      <c r="AC70" s="227">
        <f t="array" ref="AC70">IF($G70=0, INDEX(LS_previous!$D$4:$AY$138, MATCH('Staging Table'!$A70, LS_previous!$B$4:$B$138, 0), MATCH(AC$4&amp;AC$5, LS_previous!$D$2:$AY$2&amp;LS_previous!$D$3:$AY$3, 0)),SUM(VLOOKUP($A70, LS_previous!$B$4:$AY$138, LS_previous!U$149, FALSE), VLOOKUP('Staging Table'!$A70, LS_previous!$B$4:$AY$138,LS_previous!AS$149, FALSE))/2)</f>
        <v>117</v>
      </c>
      <c r="AD70" s="227">
        <f t="array" ref="AD70">IF($G70=0, INDEX(LS_previous!$D$4:$AY$138, MATCH('Staging Table'!$A70, LS_previous!$B$4:$B$138, 0), MATCH(AD$4&amp;AD$5, LS_previous!$D$2:$AY$2&amp;LS_previous!$D$3:$AY$3, 0)),SUM(VLOOKUP($A70, LS_previous!$B$4:$AY$138, LS_previous!V$149, FALSE), VLOOKUP('Staging Table'!$A70, LS_previous!$B$4:$AY$138,LS_previous!AT$149, FALSE))/2)</f>
        <v>-6189</v>
      </c>
      <c r="AE70" s="227">
        <f t="array" ref="AE70">IF($G70=0, INDEX(LS_previous!$D$4:$AY$138, MATCH('Staging Table'!$A70, LS_previous!$B$4:$B$138, 0), MATCH(AE$4&amp;AE$5, LS_previous!$D$2:$AY$2&amp;LS_previous!$D$3:$AY$3, 0)),SUM(VLOOKUP($A70, LS_previous!$B$4:$AY$138, LS_previous!W$149, FALSE), VLOOKUP('Staging Table'!$A70, LS_previous!$B$4:$AY$138,LS_previous!AU$149, FALSE))/2)</f>
        <v>2827</v>
      </c>
      <c r="AF70" s="227">
        <f t="array" ref="AF70">IF($G70=0, INDEX(LS_previous!$D$4:$AY$138, MATCH('Staging Table'!$A70, LS_previous!$B$4:$B$138, 0), MATCH(AF$4&amp;AF$5, LS_previous!$D$2:$AY$2&amp;LS_previous!$D$3:$AY$3, 0)),SUM(VLOOKUP($A70, LS_previous!$B$4:$AY$138, LS_previous!X$149, FALSE), VLOOKUP('Staging Table'!$A70, LS_previous!$B$4:$AY$138,LS_previous!AV$149, FALSE))/2)</f>
        <v>-8789</v>
      </c>
      <c r="AG70" s="227">
        <f t="array" ref="AG70">IF($G70=0, INDEX(LS_previous!$D$4:$AY$138, MATCH('Staging Table'!$A70, LS_previous!$B$4:$B$138, 0), MATCH(AG$4&amp;AG$5, LS_previous!$D$2:$AY$2&amp;LS_previous!$D$3:$AY$3, 0)),SUM(VLOOKUP($A70, LS_previous!$B$4:$AY$138, LS_previous!Y$149, FALSE), VLOOKUP('Staging Table'!$A70, LS_previous!$B$4:$AY$138,LS_previous!AW$149, FALSE))/2)</f>
        <v>614</v>
      </c>
      <c r="AH70" s="227">
        <f t="array" ref="AH70">IF($G70=0, INDEX(LS_previous!$D$4:$AY$138, MATCH('Staging Table'!$A70, LS_previous!$B$4:$B$138, 0), MATCH(AH$4&amp;AH$5, LS_previous!$D$2:$AY$2&amp;LS_previous!$D$3:$AY$3, 0)),SUM(VLOOKUP($A70, LS_previous!$B$4:$AY$138, LS_previous!Z$149, FALSE), VLOOKUP('Staging Table'!$A70, LS_previous!$B$4:$AY$138,LS_previous!AX$149, FALSE))/2)</f>
        <v>-6526</v>
      </c>
      <c r="AI70" s="227">
        <f t="array" ref="AI70">IF($G70=0, INDEX(LS_previous!$D$4:$AY$138, MATCH('Staging Table'!$A70, LS_previous!$B$4:$B$138, 0), MATCH(AI$4&amp;AI$5, LS_previous!$D$2:$AY$2&amp;LS_previous!$D$3:$AY$3, 0)),SUM(VLOOKUP($A70, LS_previous!$B$4:$AY$138, LS_previous!AA$149, FALSE), VLOOKUP('Staging Table'!$A70, LS_previous!$B$4:$AY$138,LS_previous!AY$149, FALSE))/2)</f>
        <v>2520</v>
      </c>
      <c r="AJ70" s="424">
        <f t="array" ref="AJ70">INDEX(Demand_previous!$D$4:$AY$138, MATCH('Staging Table'!$A70, Demand_previous!$B$4:$B$138, 0), MATCH(AJ$4&amp;AJ$5,Demand_previous!$D$2:$AY$2&amp;Demand_previous!$D$3:$AY$3, 0))/1000</f>
        <v>0</v>
      </c>
      <c r="AK70" s="424">
        <f t="array" ref="AK70">INDEX(Demand_previous!$D$4:$AY$138, MATCH('Staging Table'!$A70, Demand_previous!$B$4:$B$138, 0), MATCH(AK$4&amp;AK$5,Demand_previous!$D$2:$AY$2&amp;Demand_previous!$D$3:$AY$3, 0))/1000</f>
        <v>0</v>
      </c>
      <c r="AL70" s="424">
        <f t="array" ref="AL70">INDEX(Demand_previous!$D$4:$AY$138, MATCH('Staging Table'!$A70, Demand_previous!$B$4:$B$138, 0), MATCH(AL$4&amp;AL$5,Demand_previous!$D$2:$AY$2&amp;Demand_previous!$D$3:$AY$3, 0))/1000</f>
        <v>0</v>
      </c>
      <c r="AM70" s="424">
        <f t="array" ref="AM70">INDEX(Demand_previous!$D$4:$AY$138, MATCH('Staging Table'!$A70, Demand_previous!$B$4:$B$138, 0), MATCH(AM$4&amp;AM$5,Demand_previous!$D$2:$AY$2&amp;Demand_previous!$D$3:$AY$3, 0))/1000</f>
        <v>0</v>
      </c>
      <c r="AN70" s="424">
        <f t="array" ref="AN70">INDEX(Demand_previous!$D$4:$AY$138, MATCH('Staging Table'!$A70, Demand_previous!$B$4:$B$138, 0), MATCH(AN$4&amp;AN$5,Demand_previous!$D$2:$AY$2&amp;Demand_previous!$D$3:$AY$3, 0))/1000</f>
        <v>0</v>
      </c>
      <c r="AO70" s="424">
        <f t="array" ref="AO70">INDEX(Demand_previous!$D$4:$AY$138, MATCH('Staging Table'!$A70, Demand_previous!$B$4:$B$138, 0), MATCH(AO$4&amp;AO$5,Demand_previous!$D$2:$AY$2&amp;Demand_previous!$D$3:$AY$3, 0))/1000</f>
        <v>0</v>
      </c>
      <c r="AP70" s="424">
        <f t="array" ref="AP70">INDEX(Demand_previous!$D$4:$AY$138, MATCH('Staging Table'!$A70, Demand_previous!$B$4:$B$138, 0), MATCH(AP$4&amp;AP$5,Demand_previous!$D$2:$AY$2&amp;Demand_previous!$D$3:$AY$3, 0))/1000</f>
        <v>0</v>
      </c>
      <c r="AQ70" s="424">
        <f t="array" ref="AQ70">INDEX(Demand_previous!$D$4:$AY$138, MATCH('Staging Table'!$A70, Demand_previous!$B$4:$B$138, 0), MATCH(AQ$4&amp;AQ$5,Demand_previous!$D$2:$AY$2&amp;Demand_previous!$D$3:$AY$3, 0))/1000</f>
        <v>0</v>
      </c>
      <c r="AR70" s="424">
        <f t="array" ref="AR70">INDEX(Demand_previous!$D$4:$AY$138, MATCH('Staging Table'!$A70, Demand_previous!$B$4:$B$138, 0), MATCH(AR$4&amp;AR$5,Demand_previous!$D$2:$AY$2&amp;Demand_previous!$D$3:$AY$3, 0))/1000</f>
        <v>0</v>
      </c>
      <c r="AS70" s="424">
        <f t="array" ref="AS70">INDEX(Demand_previous!$D$4:$AY$138, MATCH('Staging Table'!$A70, Demand_previous!$B$4:$B$138, 0), MATCH(AS$4&amp;AS$5,Demand_previous!$D$2:$AY$2&amp;Demand_previous!$D$3:$AY$3, 0))/1000</f>
        <v>0</v>
      </c>
      <c r="AT70" s="424">
        <f t="array" ref="AT70">INDEX(Demand_previous!$D$4:$AY$138, MATCH('Staging Table'!$A70, Demand_previous!$B$4:$B$138, 0), MATCH(AT$4&amp;AT$5,Demand_previous!$D$2:$AY$2&amp;Demand_previous!$D$3:$AY$3, 0))/1000</f>
        <v>0</v>
      </c>
      <c r="AU70" s="424">
        <f t="array" ref="AU70">INDEX(Demand_previous!$D$4:$AY$138, MATCH('Staging Table'!$A70, Demand_previous!$B$4:$B$138, 0), MATCH(AU$4&amp;AU$5,Demand_previous!$D$2:$AY$2&amp;Demand_previous!$D$3:$AY$3, 0))/1000</f>
        <v>0</v>
      </c>
      <c r="AV70" s="227">
        <f>$F70*(VLOOKUP(AV$4, Rates_previous!$G$6:$Q$29, 10, FALSE)+VLOOKUP(AV$4, Rates_previous!$G$6:$Q$29, 11, FALSE))</f>
        <v>41745.191482329959</v>
      </c>
      <c r="AW70" s="227">
        <f>$F70*(VLOOKUP(AW$4, Rates_previous!$G$6:$Q$29, 10, FALSE)+VLOOKUP(AW$4, Rates_previous!$G$6:$Q$29, 11, FALSE))</f>
        <v>51593.883869463389</v>
      </c>
      <c r="AX70" s="227">
        <f>$F70*(VLOOKUP(AX$4, Rates_previous!$G$6:$Q$29, 10, FALSE)+VLOOKUP(AX$4, Rates_previous!$G$6:$Q$29, 11, FALSE))</f>
        <v>50974.303033456934</v>
      </c>
      <c r="AY70" s="227">
        <f>$F70*(VLOOKUP(AY$4, Rates_previous!$G$6:$Q$29, 10, FALSE)+VLOOKUP(AY$4, Rates_previous!$G$6:$Q$29, 11, FALSE))</f>
        <v>43552.683288570996</v>
      </c>
      <c r="AZ70" s="227">
        <f>$F70*(VLOOKUP(AZ$4, Rates_previous!$G$6:$Q$29, 10, FALSE)+VLOOKUP(AZ$4, Rates_previous!$G$6:$Q$29, 11, FALSE))</f>
        <v>35704.752332655917</v>
      </c>
      <c r="BA70" s="227">
        <f>$F70*(VLOOKUP(BA$4, Rates_previous!$G$6:$Q$29, 10, FALSE)+VLOOKUP(BA$4, Rates_previous!$G$6:$Q$29, 11, FALSE))</f>
        <v>42273.129844898656</v>
      </c>
      <c r="BB70" s="227">
        <f>$F70*(VLOOKUP(BB$4, Rates_previous!$G$6:$Q$29, 10, FALSE)+VLOOKUP(BB$4, Rates_previous!$G$6:$Q$29, 11, FALSE))</f>
        <v>40630.626782827334</v>
      </c>
      <c r="BC70" s="227">
        <f>$F70*(VLOOKUP(BC$4, Rates_previous!$G$6:$Q$29, 10, FALSE)+VLOOKUP(BC$4, Rates_previous!$G$6:$Q$29, 11, FALSE))</f>
        <v>59622.569669014767</v>
      </c>
      <c r="BD70" s="227">
        <f>$F70*(VLOOKUP(BD$4, Rates_previous!$G$6:$Q$29, 10, FALSE)+VLOOKUP(BD$4, Rates_previous!$G$6:$Q$29, 11, FALSE))</f>
        <v>47040.631625127542</v>
      </c>
      <c r="BE70" s="227">
        <f>$F70*(VLOOKUP(BE$4, Rates_previous!$G$6:$Q$29, 10, FALSE)+VLOOKUP(BE$4, Rates_previous!$G$6:$Q$29, 11, FALSE))</f>
        <v>41305.622947221156</v>
      </c>
      <c r="BF70" s="227">
        <f>$F70*(VLOOKUP(BF$4, Rates_previous!$G$6:$Q$29, 10, FALSE)+VLOOKUP(BF$4, Rates_previous!$G$6:$Q$29, 11, FALSE))</f>
        <v>45747.630783660235</v>
      </c>
      <c r="BG70" s="227">
        <f>$F70*(VLOOKUP(BG$4, Rates_previous!$G$6:$Q$29, 10, FALSE)+VLOOKUP(BG$4, Rates_previous!$G$6:$Q$29, 11, FALSE))</f>
        <v>41445.53422074041</v>
      </c>
      <c r="BH70" s="229">
        <f>IF($D70=0,IF(C70=0, MAX(BK70 - (VLOOKUP($A70,TOCA_previous!$A$2:$AI$137,MATCH("RHWM 2018",TOCA_previous!$A$2:$AI$2,0),FALSE)*$F$2*TOCA_previous!C67),0),0), 0)</f>
        <v>0</v>
      </c>
      <c r="BI70" s="266">
        <f>VLOOKUP($A70,REP_previous!$A$1:$D$135,MATCH("FY "&amp;$F$1&amp; " Total Refund",REP_previous!$A$1:$D$1,0),0)</f>
        <v>1467483.9585642517</v>
      </c>
      <c r="BJ70" s="241">
        <f>MIN(VLOOKUP($A70,TOCA_previous!$A$2:$AI$137,MATCH("TRL - NLSL - Existing Resource "&amp;$F$1,TOCA_previous!$A$2:$AI$2,0),FALSE)*$F$2,(VLOOKUP($A70,TOCA_previous!$A$2:$AI$137,MATCH("RHWM 2018",TOCA_previous!$A$2:$AI$2,0),FALSE)*$F$2))</f>
        <v>1131012.3599999999</v>
      </c>
      <c r="BK70" s="229">
        <f>SUM(L70:AI70)+(F70*RT1SC!$C$3*$F$2)</f>
        <v>541514.06778197607</v>
      </c>
      <c r="BL70" s="241">
        <f>VLOOKUP($A70,TOCA_previous!$A$2:$AI$137,MATCH("Above RHWM Not Served with LS "&amp;$F$1,TOCA_previous!$A$2:$AI$2,0),FALSE)*$F$2</f>
        <v>33393.119999999995</v>
      </c>
      <c r="BM70" s="151">
        <f t="shared" si="5"/>
        <v>-589498.29221802379</v>
      </c>
      <c r="BN70" s="242">
        <f>(VLOOKUP($A70,TOCA_previous!$A$2:$AI$137,MATCH("RHWM 2018",TOCA_previous!$A$2:$AI$2,0),FALSE)*$F$2) - $BJ70</f>
        <v>0</v>
      </c>
      <c r="BO70" s="151">
        <f t="shared" si="6"/>
        <v>0</v>
      </c>
      <c r="BP70" s="243">
        <f t="shared" si="7"/>
        <v>556105.1722180238</v>
      </c>
      <c r="BQ70" s="237">
        <f t="shared" si="8"/>
        <v>0</v>
      </c>
      <c r="BR70" s="242">
        <f t="shared" si="9"/>
        <v>0</v>
      </c>
      <c r="BS70" s="151">
        <f>VLOOKUP($A70,TOCA_current!$A$2:$AI$137,MATCH(BS$4,TOCA_current!$A$2:$AI$2,0),FALSE)</f>
        <v>1.84047E-2</v>
      </c>
      <c r="BT70" s="151">
        <f>VLOOKUP($A70,TOCA_current!$A$2:$AI$137,MATCH(BT$4,TOCA_current!$A$2:$AI$2,0),FALSE)</f>
        <v>8.7220000000000006E-3</v>
      </c>
      <c r="BU70" s="236">
        <f t="shared" si="10"/>
        <v>9.6826999999999989E-3</v>
      </c>
      <c r="BV70" s="151">
        <f>VLOOKUP($A70,TOCA_current!A66:BG201,MATCH(BV$4,TOCA_current!$A$2:$BG$2,0),FALSE)</f>
        <v>0</v>
      </c>
      <c r="BW70" s="151">
        <f t="shared" si="11"/>
        <v>0</v>
      </c>
      <c r="BX70" s="151">
        <f t="shared" si="12"/>
        <v>0</v>
      </c>
      <c r="BY70" s="226">
        <f>VLOOKUP($A70,IRD!$A$4:$G$139, 7, FALSE)</f>
        <v>0</v>
      </c>
      <c r="BZ70" s="227">
        <f t="array" ref="BZ70">IF($BU70=0, INDEX(LS_current!$D$4:$AY$138, MATCH('Staging Table'!$A70, LS_current!$B$4:$B$138, 0), MATCH(BZ$4&amp;BZ$5, LS_current!$D$2:$AY$2&amp;LS_current!$D$3:$AY$3, 0)),SUM(VLOOKUP($A70, LS_current!$B$4:$AY$138, LS_current!D$148, FALSE), VLOOKUP($A70, LS_current!$B$4:$AY$138,LS_current!D$148, FALSE))/2)</f>
        <v>-1985</v>
      </c>
      <c r="CA70" s="227">
        <f t="array" ref="CA70">IF($BU70=0, INDEX(LS_current!$D$4:$AY$138, MATCH('Staging Table'!$A70, LS_current!$B$4:$B$138, 0), MATCH(CA$4&amp;CA$5, LS_current!$D$2:$AY$2&amp;LS_current!$D$3:$AY$3, 0)),SUM(VLOOKUP($A70, LS_current!$B$4:$AY$138, LS_current!E$148, FALSE), VLOOKUP($A70, LS_current!$B$4:$AY$138,LS_current!E$148, FALSE))/2)</f>
        <v>3494</v>
      </c>
      <c r="CB70" s="227">
        <f t="array" ref="CB70">IF($BU70=0, INDEX(LS_current!$D$4:$AY$138, MATCH('Staging Table'!$A70, LS_current!$B$4:$B$138, 0), MATCH(CB$4&amp;CB$5, LS_current!$D$2:$AY$2&amp;LS_current!$D$3:$AY$3, 0)),SUM(VLOOKUP($A70, LS_current!$B$4:$AY$138, LS_current!F$148, FALSE), VLOOKUP($A70, LS_current!$B$4:$AY$138,LS_current!F$148, FALSE))/2)</f>
        <v>-4437</v>
      </c>
      <c r="CC70" s="227">
        <f t="array" ref="CC70">IF($BU70=0, INDEX(LS_current!$D$4:$AY$138, MATCH('Staging Table'!$A70, LS_current!$B$4:$B$138, 0), MATCH(CC$4&amp;CC$5, LS_current!$D$2:$AY$2&amp;LS_current!$D$3:$AY$3, 0)),SUM(VLOOKUP($A70, LS_current!$B$4:$AY$138, LS_current!G$148, FALSE), VLOOKUP($A70, LS_current!$B$4:$AY$138,LS_current!G$148, FALSE))/2)</f>
        <v>3095</v>
      </c>
      <c r="CD70" s="227">
        <f t="array" ref="CD70">IF($BU70=0, INDEX(LS_current!$D$4:$AY$138, MATCH('Staging Table'!$A70, LS_current!$B$4:$B$138, 0), MATCH(CD$4&amp;CD$5, LS_current!$D$2:$AY$2&amp;LS_current!$D$3:$AY$3, 0)),SUM(VLOOKUP($A70, LS_current!$B$4:$AY$138, LS_current!H$148, FALSE), VLOOKUP($A70, LS_current!$B$4:$AY$138,LS_current!H$148, FALSE))/2)</f>
        <v>-571</v>
      </c>
      <c r="CE70" s="227">
        <f t="array" ref="CE70">IF($BU70=0, INDEX(LS_current!$D$4:$AY$138, MATCH('Staging Table'!$A70, LS_current!$B$4:$B$138, 0), MATCH(CE$4&amp;CE$5, LS_current!$D$2:$AY$2&amp;LS_current!$D$3:$AY$3, 0)),SUM(VLOOKUP($A70, LS_current!$B$4:$AY$138, LS_current!I$148, FALSE), VLOOKUP($A70, LS_current!$B$4:$AY$138,LS_current!I$148, FALSE))/2)</f>
        <v>7346</v>
      </c>
      <c r="CF70" s="227">
        <f t="array" ref="CF70">IF($BU70=0, INDEX(LS_current!$D$4:$AY$138, MATCH('Staging Table'!$A70, LS_current!$B$4:$B$138, 0), MATCH(CF$4&amp;CF$5, LS_current!$D$2:$AY$2&amp;LS_current!$D$3:$AY$3, 0)),SUM(VLOOKUP($A70, LS_current!$B$4:$AY$138, LS_current!J$148, FALSE), VLOOKUP($A70, LS_current!$B$4:$AY$138,LS_current!J$148, FALSE))/2)</f>
        <v>5571</v>
      </c>
      <c r="CG70" s="227">
        <f t="array" ref="CG70">IF($BU70=0, INDEX(LS_current!$D$4:$AY$138, MATCH('Staging Table'!$A70, LS_current!$B$4:$B$138, 0), MATCH(CG$4&amp;CG$5, LS_current!$D$2:$AY$2&amp;LS_current!$D$3:$AY$3, 0)),SUM(VLOOKUP($A70, LS_current!$B$4:$AY$138, LS_current!K$148, FALSE), VLOOKUP($A70, LS_current!$B$4:$AY$138,LS_current!K$148, FALSE))/2)</f>
        <v>9616</v>
      </c>
      <c r="CH70" s="227">
        <f t="array" ref="CH70">IF($BU70=0, INDEX(LS_current!$D$4:$AY$138, MATCH('Staging Table'!$A70, LS_current!$B$4:$B$138, 0), MATCH(CH$4&amp;CH$5, LS_current!$D$2:$AY$2&amp;LS_current!$D$3:$AY$3, 0)),SUM(VLOOKUP($A70, LS_current!$B$4:$AY$138, LS_current!L$148, FALSE), VLOOKUP($A70, LS_current!$B$4:$AY$138,LS_current!L$148, FALSE))/2)</f>
        <v>3937</v>
      </c>
      <c r="CI70" s="227">
        <f t="array" ref="CI70">IF($BU70=0, INDEX(LS_current!$D$4:$AY$138, MATCH('Staging Table'!$A70, LS_current!$B$4:$B$138, 0), MATCH(CI$4&amp;CI$5, LS_current!$D$2:$AY$2&amp;LS_current!$D$3:$AY$3, 0)),SUM(VLOOKUP($A70, LS_current!$B$4:$AY$138, LS_current!M$148, FALSE), VLOOKUP($A70, LS_current!$B$4:$AY$138,LS_current!M$148, FALSE))/2)</f>
        <v>6645</v>
      </c>
      <c r="CJ70" s="227">
        <f t="array" ref="CJ70">IF($BU70=0, INDEX(LS_current!$D$4:$AY$138, MATCH('Staging Table'!$A70, LS_current!$B$4:$B$138, 0), MATCH(CJ$4&amp;CJ$5, LS_current!$D$2:$AY$2&amp;LS_current!$D$3:$AY$3, 0)),SUM(VLOOKUP($A70, LS_current!$B$4:$AY$138, LS_current!N$148, FALSE), VLOOKUP($A70, LS_current!$B$4:$AY$138,LS_current!N$148, FALSE))/2)</f>
        <v>1</v>
      </c>
      <c r="CK70" s="227">
        <f t="array" ref="CK70">IF($BU70=0, INDEX(LS_current!$D$4:$AY$138, MATCH('Staging Table'!$A70, LS_current!$B$4:$B$138, 0), MATCH(CK$4&amp;CK$5, LS_current!$D$2:$AY$2&amp;LS_current!$D$3:$AY$3, 0)),SUM(VLOOKUP($A70, LS_current!$B$4:$AY$138, LS_current!O$148, FALSE), VLOOKUP($A70, LS_current!$B$4:$AY$138,LS_current!O$148, FALSE))/2)</f>
        <v>5758</v>
      </c>
      <c r="CL70" s="227">
        <f t="array" ref="CL70">IF($BU70=0, INDEX(LS_current!$D$4:$AY$138, MATCH('Staging Table'!$A70, LS_current!$B$4:$B$138, 0), MATCH(CL$4&amp;CL$5, LS_current!$D$2:$AY$2&amp;LS_current!$D$3:$AY$3, 0)),SUM(VLOOKUP($A70, LS_current!$B$4:$AY$138, LS_current!P$148, FALSE), VLOOKUP($A70, LS_current!$B$4:$AY$138,LS_current!P$148, FALSE))/2)</f>
        <v>3320</v>
      </c>
      <c r="CM70" s="227">
        <f t="array" ref="CM70">IF($BU70=0, INDEX(LS_current!$D$4:$AY$138, MATCH('Staging Table'!$A70, LS_current!$B$4:$B$138, 0), MATCH(CM$4&amp;CM$5, LS_current!$D$2:$AY$2&amp;LS_current!$D$3:$AY$3, 0)),SUM(VLOOKUP($A70, LS_current!$B$4:$AY$138, LS_current!Q$148, FALSE), VLOOKUP($A70, LS_current!$B$4:$AY$138,LS_current!Q$148, FALSE))/2)</f>
        <v>5505</v>
      </c>
      <c r="CN70" s="227">
        <f t="array" ref="CN70">IF($BU70=0, INDEX(LS_current!$D$4:$AY$138, MATCH('Staging Table'!$A70, LS_current!$B$4:$B$138, 0), MATCH(CN$4&amp;CN$5, LS_current!$D$2:$AY$2&amp;LS_current!$D$3:$AY$3, 0)),SUM(VLOOKUP($A70, LS_current!$B$4:$AY$138, LS_current!R$148, FALSE), VLOOKUP($A70, LS_current!$B$4:$AY$138,LS_current!R$148, FALSE))/2)</f>
        <v>-8649</v>
      </c>
      <c r="CO70" s="227">
        <f t="array" ref="CO70">IF($BU70=0, INDEX(LS_current!$D$4:$AY$138, MATCH('Staging Table'!$A70, LS_current!$B$4:$B$138, 0), MATCH(CO$4&amp;CO$5, LS_current!$D$2:$AY$2&amp;LS_current!$D$3:$AY$3, 0)),SUM(VLOOKUP($A70, LS_current!$B$4:$AY$138, LS_current!S$148, FALSE), VLOOKUP($A70, LS_current!$B$4:$AY$138,LS_current!S$148, FALSE))/2)</f>
        <v>2210</v>
      </c>
      <c r="CP70" s="227">
        <f t="array" ref="CP70">IF($BU70=0, INDEX(LS_current!$D$4:$AY$138, MATCH('Staging Table'!$A70, LS_current!$B$4:$B$138, 0), MATCH(CP$4&amp;CP$5, LS_current!$D$2:$AY$2&amp;LS_current!$D$3:$AY$3, 0)),SUM(VLOOKUP($A70, LS_current!$B$4:$AY$138, LS_current!T$148, FALSE), VLOOKUP($A70, LS_current!$B$4:$AY$138,LS_current!T$148, FALSE))/2)</f>
        <v>-16936</v>
      </c>
      <c r="CQ70" s="227">
        <f t="array" ref="CQ70">IF($BU70=0, INDEX(LS_current!$D$4:$AY$138, MATCH('Staging Table'!$A70, LS_current!$B$4:$B$138, 0), MATCH(CQ$4&amp;CQ$5, LS_current!$D$2:$AY$2&amp;LS_current!$D$3:$AY$3, 0)),SUM(VLOOKUP($A70, LS_current!$B$4:$AY$138, LS_current!U$148, FALSE), VLOOKUP($A70, LS_current!$B$4:$AY$138,LS_current!U$148, FALSE))/2)</f>
        <v>-5044</v>
      </c>
      <c r="CR70" s="227">
        <f t="array" ref="CR70">IF($BU70=0, INDEX(LS_current!$D$4:$AY$138, MATCH('Staging Table'!$A70, LS_current!$B$4:$B$138, 0), MATCH(CR$4&amp;CR$5, LS_current!$D$2:$AY$2&amp;LS_current!$D$3:$AY$3, 0)),SUM(VLOOKUP($A70, LS_current!$B$4:$AY$138, LS_current!V$148, FALSE), VLOOKUP($A70, LS_current!$B$4:$AY$138,LS_current!V$148, FALSE))/2)</f>
        <v>-11134</v>
      </c>
      <c r="CS70" s="227">
        <f t="array" ref="CS70">IF($BU70=0, INDEX(LS_current!$D$4:$AY$138, MATCH('Staging Table'!$A70, LS_current!$B$4:$B$138, 0), MATCH(CS$4&amp;CS$5, LS_current!$D$2:$AY$2&amp;LS_current!$D$3:$AY$3, 0)),SUM(VLOOKUP($A70, LS_current!$B$4:$AY$138, LS_current!W$148, FALSE), VLOOKUP($A70, LS_current!$B$4:$AY$138,LS_current!W$148, FALSE))/2)</f>
        <v>1999</v>
      </c>
      <c r="CT70" s="227">
        <f t="array" ref="CT70">IF($BU70=0, INDEX(LS_current!$D$4:$AY$138, MATCH('Staging Table'!$A70, LS_current!$B$4:$B$138, 0), MATCH(CT$4&amp;CT$5, LS_current!$D$2:$AY$2&amp;LS_current!$D$3:$AY$3, 0)),SUM(VLOOKUP($A70, LS_current!$B$4:$AY$138, LS_current!X$148, FALSE), VLOOKUP($A70, LS_current!$B$4:$AY$138,LS_current!X$148, FALSE))/2)</f>
        <v>-10452</v>
      </c>
      <c r="CU70" s="227">
        <f t="array" ref="CU70">IF($BU70=0, INDEX(LS_current!$D$4:$AY$138, MATCH('Staging Table'!$A70, LS_current!$B$4:$B$138, 0), MATCH(CU$4&amp;CU$5, LS_current!$D$2:$AY$2&amp;LS_current!$D$3:$AY$3, 0)),SUM(VLOOKUP($A70, LS_current!$B$4:$AY$138, LS_current!Y$148, FALSE), VLOOKUP($A70, LS_current!$B$4:$AY$138,LS_current!Y$148, FALSE))/2)</f>
        <v>2003</v>
      </c>
      <c r="CV70" s="227">
        <f t="array" ref="CV70">IF($BU70=0, INDEX(LS_current!$D$4:$AY$138, MATCH('Staging Table'!$A70, LS_current!$B$4:$B$138, 0), MATCH(CV$4&amp;CV$5, LS_current!$D$2:$AY$2&amp;LS_current!$D$3:$AY$3, 0)),SUM(VLOOKUP($A70, LS_current!$B$4:$AY$138, LS_current!Z$148, FALSE), VLOOKUP($A70, LS_current!$B$4:$AY$138,LS_current!Z$148, FALSE))/2)</f>
        <v>-5575</v>
      </c>
      <c r="CW70" s="227">
        <f t="array" ref="CW70">IF($BU70=0, INDEX(LS_current!$D$4:$AY$138, MATCH('Staging Table'!$A70, LS_current!$B$4:$B$138, 0), MATCH(CW$4&amp;CW$5, LS_current!$D$2:$AY$2&amp;LS_current!$D$3:$AY$3, 0)),SUM(VLOOKUP($A70, LS_current!$B$4:$AY$138, LS_current!AA$148, FALSE), VLOOKUP($A70, LS_current!$B$4:$AY$138,LS_current!AA$148, FALSE))/2)</f>
        <v>1767</v>
      </c>
      <c r="CX70" s="229">
        <f t="array" ref="CX70">INDEX(Demand_current!$D$4:$AY$138, MATCH($A70, Demand_current!$B$4:$B$138, 0), MATCH(CX$4&amp;CX$5,Demand_current!$D$2:$AY$2&amp;Demand_current!$D$3:$AY$3, 0))/1000</f>
        <v>0</v>
      </c>
      <c r="CY70" s="229">
        <f t="array" ref="CY70">INDEX(Demand_current!$D$4:$AY$138, MATCH($A70, Demand_current!$B$4:$B$138, 0), MATCH(CY$4&amp;CY$5,Demand_current!$D$2:$AY$2&amp;Demand_current!$D$3:$AY$3, 0))/1000</f>
        <v>0</v>
      </c>
      <c r="CZ70" s="229">
        <f t="array" ref="CZ70">INDEX(Demand_current!$D$4:$AY$138, MATCH($A70, Demand_current!$B$4:$B$138, 0), MATCH(CZ$4&amp;CZ$5,Demand_current!$D$2:$AY$2&amp;Demand_current!$D$3:$AY$3, 0))/1000</f>
        <v>0</v>
      </c>
      <c r="DA70" s="229">
        <f t="array" ref="DA70">INDEX(Demand_current!$D$4:$AY$138, MATCH($A70, Demand_current!$B$4:$B$138, 0), MATCH(DA$4&amp;DA$5,Demand_current!$D$2:$AY$2&amp;Demand_current!$D$3:$AY$3, 0))/1000</f>
        <v>0</v>
      </c>
      <c r="DB70" s="229">
        <f t="array" ref="DB70">INDEX(Demand_current!$D$4:$AY$138, MATCH($A70, Demand_current!$B$4:$B$138, 0), MATCH(DB$4&amp;DB$5,Demand_current!$D$2:$AY$2&amp;Demand_current!$D$3:$AY$3, 0))/1000</f>
        <v>0</v>
      </c>
      <c r="DC70" s="229">
        <f t="array" ref="DC70">INDEX(Demand_current!$D$4:$AY$138, MATCH($A70, Demand_current!$B$4:$B$138, 0), MATCH(DC$4&amp;DC$5,Demand_current!$D$2:$AY$2&amp;Demand_current!$D$3:$AY$3, 0))/1000</f>
        <v>0</v>
      </c>
      <c r="DD70" s="229">
        <f t="array" ref="DD70">INDEX(Demand_current!$D$4:$AY$138, MATCH($A70, Demand_current!$B$4:$B$138, 0), MATCH(DD$4&amp;DD$5,Demand_current!$D$2:$AY$2&amp;Demand_current!$D$3:$AY$3, 0))/1000</f>
        <v>0</v>
      </c>
      <c r="DE70" s="229">
        <f t="array" ref="DE70">INDEX(Demand_current!$D$4:$AY$138, MATCH($A70, Demand_current!$B$4:$B$138, 0), MATCH(DE$4&amp;DE$5,Demand_current!$D$2:$AY$2&amp;Demand_current!$D$3:$AY$3, 0))/1000</f>
        <v>0</v>
      </c>
      <c r="DF70" s="229">
        <f t="array" ref="DF70">INDEX(Demand_current!$D$4:$AY$138, MATCH($A70, Demand_current!$B$4:$B$138, 0), MATCH(DF$4&amp;DF$5,Demand_current!$D$2:$AY$2&amp;Demand_current!$D$3:$AY$3, 0))/1000</f>
        <v>0</v>
      </c>
      <c r="DG70" s="229">
        <f t="array" ref="DG70">INDEX(Demand_current!$D$4:$AY$138, MATCH($A70, Demand_current!$B$4:$B$138, 0), MATCH(DG$4&amp;DG$5,Demand_current!$D$2:$AY$2&amp;Demand_current!$D$3:$AY$3, 0))/1000</f>
        <v>0</v>
      </c>
      <c r="DH70" s="229">
        <f t="array" ref="DH70">INDEX(Demand_current!$D$4:$AY$138, MATCH($A70, Demand_current!$B$4:$B$138, 0), MATCH(DH$4&amp;DH$5,Demand_current!$D$2:$AY$2&amp;Demand_current!$D$3:$AY$3, 0))/1000</f>
        <v>0</v>
      </c>
      <c r="DI70" s="229">
        <f t="array" ref="DI70">INDEX(Demand_current!$D$4:$AY$138, MATCH($A70, Demand_current!$B$4:$B$138, 0), MATCH(DI$4&amp;DI$5,Demand_current!$D$2:$AY$2&amp;Demand_current!$D$3:$AY$3, 0))/1000</f>
        <v>0</v>
      </c>
      <c r="DJ70" s="227">
        <f>$BT70*(VLOOKUP(DJ$4, Rates_current!$G$6:$Q$29, 10, FALSE)+VLOOKUP(DJ$4, Rates_current!$G$6:$Q$29, 11, FALSE))</f>
        <v>40272.240583512001</v>
      </c>
      <c r="DK70" s="227">
        <f>$BT70*(VLOOKUP(DK$4, Rates_current!$G$6:$Q$29, 10, FALSE)+VLOOKUP(DK$4, Rates_current!$G$6:$Q$29, 11, FALSE))</f>
        <v>51158.308710558005</v>
      </c>
      <c r="DL70" s="227">
        <f>$BT70*(VLOOKUP(DL$4, Rates_current!$G$6:$Q$29, 10, FALSE)+VLOOKUP(DL$4, Rates_current!$G$6:$Q$29, 11, FALSE))</f>
        <v>50540.502909512004</v>
      </c>
      <c r="DM70" s="227">
        <f>$BT70*(VLOOKUP(DM$4, Rates_current!$G$6:$Q$29, 10, FALSE)+VLOOKUP(DM$4, Rates_current!$G$6:$Q$29, 11, FALSE))</f>
        <v>42128.587453512009</v>
      </c>
      <c r="DN70" s="227">
        <f>$BT70*(VLOOKUP(DN$4, Rates_current!$G$6:$Q$29, 10, FALSE)+VLOOKUP(DN$4, Rates_current!$G$6:$Q$29, 11, FALSE))</f>
        <v>38164.129729599998</v>
      </c>
      <c r="DO70" s="227">
        <f>$BT70*(VLOOKUP(DO$4, Rates_current!$G$6:$Q$29, 10, FALSE)+VLOOKUP(DO$4, Rates_current!$G$6:$Q$29, 11, FALSE))</f>
        <v>42450.636322514001</v>
      </c>
      <c r="DP70" s="227">
        <f>$BT70*(VLOOKUP(DP$4, Rates_current!$G$6:$Q$29, 10, FALSE)+VLOOKUP(DP$4, Rates_current!$G$6:$Q$29, 11, FALSE))</f>
        <v>34563.353902560004</v>
      </c>
      <c r="DQ70" s="227">
        <f>$BT70*(VLOOKUP(DQ$4, Rates_current!$G$6:$Q$29, 10, FALSE)+VLOOKUP(DQ$4, Rates_current!$G$6:$Q$29, 11, FALSE))</f>
        <v>46613.83670451201</v>
      </c>
      <c r="DR70" s="227">
        <f>$BT70*(VLOOKUP(DR$4, Rates_current!$G$6:$Q$29, 10, FALSE)+VLOOKUP(DR$4, Rates_current!$G$6:$Q$29, 11, FALSE))</f>
        <v>59476.085361560006</v>
      </c>
      <c r="DS70" s="227">
        <f>$BT70*(VLOOKUP(DS$4, Rates_current!$G$6:$Q$29, 10, FALSE)+VLOOKUP(DS$4, Rates_current!$G$6:$Q$29, 11, FALSE))</f>
        <v>46631.136791512006</v>
      </c>
      <c r="DT70" s="227">
        <f>$BT70*(VLOOKUP(DT$4, Rates_current!$G$6:$Q$29, 10, FALSE)+VLOOKUP(DT$4, Rates_current!$G$6:$Q$29, 11, FALSE))</f>
        <v>45409.441890512004</v>
      </c>
      <c r="DU70" s="227">
        <f>$BT70*(VLOOKUP(DU$4, Rates_current!$G$6:$Q$29, 10, FALSE)+VLOOKUP(DU$4, Rates_current!$G$6:$Q$29, 11, FALSE))</f>
        <v>40768.018984560003</v>
      </c>
      <c r="DV70" s="229">
        <f>IF(D70=0,IF(C70=0,MAX(0,DY70 - (VLOOKUP($A70,TOCA_current!$A$2:$AI$137,MATCH("RHWM 2020",TOCA_current!$A$2:$AI$2,0),FALSE)*$BT$2)), 0),0)</f>
        <v>0</v>
      </c>
      <c r="DW70" s="266">
        <f>VLOOKUP($A70,REP_current!$A$1:$D$135,MATCH("FY "&amp;$BT$1&amp; " Total Refund",REP_current!$A$1:$D$1,0),0)</f>
        <v>0</v>
      </c>
      <c r="DX70" s="295">
        <f>MIN(VLOOKUP($A70,TOCA_current!$A$2:$AI$137,MATCH("TRL - NLSL - Existing Resource "&amp;$BT$1,TOCA_current!$A$2:$AI$2,0),FALSE)*$BT$2, VLOOKUP($A70,TOCA_current!$A$2:$AI$137,MATCH("RHWM 2020",TOCA_current!$A$2:$AI$2,0),FALSE)*$BT$2)</f>
        <v>1135630.656</v>
      </c>
      <c r="DY70" s="240">
        <f>SUM(BZ70:CW70)+(BT70*RT1SC!$C$4*$BT$2)</f>
        <v>535660.29954457597</v>
      </c>
      <c r="DZ70" s="271">
        <f>VLOOKUP($A70,TOCA_current!$A$2:$AI$137,MATCH("Above RHWM Not Served with LS "&amp;$BT$1,TOCA_current!$A$2:$AI$2,0),FALSE)*$BT$2</f>
        <v>0</v>
      </c>
      <c r="EA70" s="244">
        <f t="shared" si="13"/>
        <v>-599970.35645542399</v>
      </c>
      <c r="EB70" s="295">
        <f>(VLOOKUP($A70,TOCA_current!$A$2:$AI$137,MATCH("RHWM 2020",TOCA_current!$A$2:$AI$2,0),FALSE)*$BT$2) - $DX70</f>
        <v>10874.591999999946</v>
      </c>
      <c r="EC70" s="240">
        <f t="shared" si="14"/>
        <v>0</v>
      </c>
      <c r="ED70" s="240">
        <f t="shared" si="15"/>
        <v>599970.35645542399</v>
      </c>
      <c r="EE70" s="240">
        <f t="shared" si="16"/>
        <v>0</v>
      </c>
      <c r="EF70" s="240">
        <f t="shared" si="17"/>
        <v>0</v>
      </c>
    </row>
    <row r="71" spans="1:136">
      <c r="A71" s="166">
        <v>10197</v>
      </c>
      <c r="B71" s="167" t="s">
        <v>72</v>
      </c>
      <c r="C71" s="240">
        <v>0</v>
      </c>
      <c r="D71" s="240">
        <v>0</v>
      </c>
      <c r="E71" s="150">
        <f>VLOOKUP($A71,TOCA_previous!$A$2:$AI$137,MATCH(E$4,TOCA_previous!$A$2:$AI$2,0),FALSE)</f>
        <v>3.2234999999999998E-3</v>
      </c>
      <c r="F71" s="151">
        <f>VLOOKUP($A71,TOCA_previous!$A$2:$AI$137,MATCH(F$4,TOCA_previous!$A$2:$AI$2,0),FALSE)</f>
        <v>3.2234999999999998E-3</v>
      </c>
      <c r="G71" s="151">
        <f t="shared" ref="G71:G134" si="18">E71-F71</f>
        <v>0</v>
      </c>
      <c r="H71" s="151">
        <f>VLOOKUP($A71,TOCA_previous!$A$2:$AI$137,MATCH(H$4,TOCA_previous!$A$2:$AI$2,0),FALSE)</f>
        <v>7.1882299999999996E-2</v>
      </c>
      <c r="I71" s="151">
        <f t="shared" ref="I71:I134" si="19">IF(C71=0,0,H71)</f>
        <v>0</v>
      </c>
      <c r="J71" s="151">
        <f t="shared" ref="J71:J134" si="20">IF(C71=0,0,E71)</f>
        <v>0</v>
      </c>
      <c r="K71" s="226">
        <f>VLOOKUP(A71, IRD!$A$5:$C$139, 3, FALSE)</f>
        <v>99899.204999999987</v>
      </c>
      <c r="L71" s="227">
        <f t="array" ref="L71">IF($G71=0, INDEX(LS_previous!$D$4:$AY$138, MATCH('Staging Table'!$A71, LS_previous!$B$4:$B$138, 0), MATCH(L$4&amp;L$5, LS_previous!$D$2:$AY$2&amp;LS_previous!$D$3:$AY$3, 0)),SUM(VLOOKUP($A71, LS_previous!$B$4:$AY$138, LS_previous!D$149, FALSE), VLOOKUP('Staging Table'!$A71, LS_previous!$B$4:$AY$138,LS_previous!AB$149, FALSE))/2)</f>
        <v>-4176</v>
      </c>
      <c r="M71" s="227">
        <f t="array" ref="M71">IF($G71=0, INDEX(LS_previous!$D$4:$AY$138, MATCH('Staging Table'!$A71, LS_previous!$B$4:$B$138, 0), MATCH(M$4&amp;M$5, LS_previous!$D$2:$AY$2&amp;LS_previous!$D$3:$AY$3, 0)),SUM(VLOOKUP($A71, LS_previous!$B$4:$AY$138, LS_previous!E$149, FALSE), VLOOKUP('Staging Table'!$A71, LS_previous!$B$4:$AY$138,LS_previous!AC$149, FALSE))/2)</f>
        <v>-1469</v>
      </c>
      <c r="N71" s="227">
        <f t="array" ref="N71">IF($G71=0, INDEX(LS_previous!$D$4:$AY$138, MATCH('Staging Table'!$A71, LS_previous!$B$4:$B$138, 0), MATCH(N$4&amp;N$5, LS_previous!$D$2:$AY$2&amp;LS_previous!$D$3:$AY$3, 0)),SUM(VLOOKUP($A71, LS_previous!$B$4:$AY$138, LS_previous!F$149, FALSE), VLOOKUP('Staging Table'!$A71, LS_previous!$B$4:$AY$138,LS_previous!AD$149, FALSE))/2)</f>
        <v>-8210</v>
      </c>
      <c r="O71" s="227">
        <f t="array" ref="O71">IF($G71=0, INDEX(LS_previous!$D$4:$AY$138, MATCH('Staging Table'!$A71, LS_previous!$B$4:$B$138, 0), MATCH(O$4&amp;O$5, LS_previous!$D$2:$AY$2&amp;LS_previous!$D$3:$AY$3, 0)),SUM(VLOOKUP($A71, LS_previous!$B$4:$AY$138, LS_previous!G$149, FALSE), VLOOKUP('Staging Table'!$A71, LS_previous!$B$4:$AY$138,LS_previous!AE$149, FALSE))/2)</f>
        <v>-4113</v>
      </c>
      <c r="P71" s="227">
        <f t="array" ref="P71">IF($G71=0, INDEX(LS_previous!$D$4:$AY$138, MATCH('Staging Table'!$A71, LS_previous!$B$4:$B$138, 0), MATCH(P$4&amp;P$5, LS_previous!$D$2:$AY$2&amp;LS_previous!$D$3:$AY$3, 0)),SUM(VLOOKUP($A71, LS_previous!$B$4:$AY$138, LS_previous!H$149, FALSE), VLOOKUP('Staging Table'!$A71, LS_previous!$B$4:$AY$138,LS_previous!AF$149, FALSE))/2)</f>
        <v>-7369</v>
      </c>
      <c r="Q71" s="227">
        <f t="array" ref="Q71">IF($G71=0, INDEX(LS_previous!$D$4:$AY$138, MATCH('Staging Table'!$A71, LS_previous!$B$4:$B$138, 0), MATCH(Q$4&amp;Q$5, LS_previous!$D$2:$AY$2&amp;LS_previous!$D$3:$AY$3, 0)),SUM(VLOOKUP($A71, LS_previous!$B$4:$AY$138, LS_previous!I$149, FALSE), VLOOKUP('Staging Table'!$A71, LS_previous!$B$4:$AY$138,LS_previous!AG$149, FALSE))/2)</f>
        <v>-3429</v>
      </c>
      <c r="R71" s="227">
        <f t="array" ref="R71">IF($G71=0, INDEX(LS_previous!$D$4:$AY$138, MATCH('Staging Table'!$A71, LS_previous!$B$4:$B$138, 0), MATCH(R$4&amp;R$5, LS_previous!$D$2:$AY$2&amp;LS_previous!$D$3:$AY$3, 0)),SUM(VLOOKUP($A71, LS_previous!$B$4:$AY$138, LS_previous!J$149, FALSE), VLOOKUP('Staging Table'!$A71, LS_previous!$B$4:$AY$138,LS_previous!AH$149, FALSE))/2)</f>
        <v>-5614</v>
      </c>
      <c r="S71" s="227">
        <f t="array" ref="S71">IF($G71=0, INDEX(LS_previous!$D$4:$AY$138, MATCH('Staging Table'!$A71, LS_previous!$B$4:$B$138, 0), MATCH(S$4&amp;S$5, LS_previous!$D$2:$AY$2&amp;LS_previous!$D$3:$AY$3, 0)),SUM(VLOOKUP($A71, LS_previous!$B$4:$AY$138, LS_previous!K$149, FALSE), VLOOKUP('Staging Table'!$A71, LS_previous!$B$4:$AY$138,LS_previous!AI$149, FALSE))/2)</f>
        <v>-2727</v>
      </c>
      <c r="T71" s="227">
        <f t="array" ref="T71">IF($G71=0, INDEX(LS_previous!$D$4:$AY$138, MATCH('Staging Table'!$A71, LS_previous!$B$4:$B$138, 0), MATCH(T$4&amp;T$5, LS_previous!$D$2:$AY$2&amp;LS_previous!$D$3:$AY$3, 0)),SUM(VLOOKUP($A71, LS_previous!$B$4:$AY$138, LS_previous!L$149, FALSE), VLOOKUP('Staging Table'!$A71, LS_previous!$B$4:$AY$138,LS_previous!AJ$149, FALSE))/2)</f>
        <v>-4637</v>
      </c>
      <c r="U71" s="227">
        <f t="array" ref="U71">IF($G71=0, INDEX(LS_previous!$D$4:$AY$138, MATCH('Staging Table'!$A71, LS_previous!$B$4:$B$138, 0), MATCH(U$4&amp;U$5, LS_previous!$D$2:$AY$2&amp;LS_previous!$D$3:$AY$3, 0)),SUM(VLOOKUP($A71, LS_previous!$B$4:$AY$138, LS_previous!M$149, FALSE), VLOOKUP('Staging Table'!$A71, LS_previous!$B$4:$AY$138,LS_previous!AK$149, FALSE))/2)</f>
        <v>-2128</v>
      </c>
      <c r="V71" s="227">
        <f t="array" ref="V71">IF($G71=0, INDEX(LS_previous!$D$4:$AY$138, MATCH('Staging Table'!$A71, LS_previous!$B$4:$B$138, 0), MATCH(V$4&amp;V$5, LS_previous!$D$2:$AY$2&amp;LS_previous!$D$3:$AY$3, 0)),SUM(VLOOKUP($A71, LS_previous!$B$4:$AY$138, LS_previous!N$149, FALSE), VLOOKUP('Staging Table'!$A71, LS_previous!$B$4:$AY$138,LS_previous!AL$149, FALSE))/2)</f>
        <v>-5953</v>
      </c>
      <c r="W71" s="227">
        <f t="array" ref="W71">IF($G71=0, INDEX(LS_previous!$D$4:$AY$138, MATCH('Staging Table'!$A71, LS_previous!$B$4:$B$138, 0), MATCH(W$4&amp;W$5, LS_previous!$D$2:$AY$2&amp;LS_previous!$D$3:$AY$3, 0)),SUM(VLOOKUP($A71, LS_previous!$B$4:$AY$138, LS_previous!O$149, FALSE), VLOOKUP('Staging Table'!$A71, LS_previous!$B$4:$AY$138,LS_previous!AM$149, FALSE))/2)</f>
        <v>-2724</v>
      </c>
      <c r="X71" s="227">
        <f t="array" ref="X71">IF($G71=0, INDEX(LS_previous!$D$4:$AY$138, MATCH('Staging Table'!$A71, LS_previous!$B$4:$B$138, 0), MATCH(X$4&amp;X$5, LS_previous!$D$2:$AY$2&amp;LS_previous!$D$3:$AY$3, 0)),SUM(VLOOKUP($A71, LS_previous!$B$4:$AY$138, LS_previous!P$149, FALSE), VLOOKUP('Staging Table'!$A71, LS_previous!$B$4:$AY$138,LS_previous!AN$149, FALSE))/2)</f>
        <v>-219</v>
      </c>
      <c r="Y71" s="227">
        <f t="array" ref="Y71">IF($G71=0, INDEX(LS_previous!$D$4:$AY$138, MATCH('Staging Table'!$A71, LS_previous!$B$4:$B$138, 0), MATCH(Y$4&amp;Y$5, LS_previous!$D$2:$AY$2&amp;LS_previous!$D$3:$AY$3, 0)),SUM(VLOOKUP($A71, LS_previous!$B$4:$AY$138, LS_previous!Q$149, FALSE), VLOOKUP('Staging Table'!$A71, LS_previous!$B$4:$AY$138,LS_previous!AO$149, FALSE))/2)</f>
        <v>846</v>
      </c>
      <c r="Z71" s="227">
        <f t="array" ref="Z71">IF($G71=0, INDEX(LS_previous!$D$4:$AY$138, MATCH('Staging Table'!$A71, LS_previous!$B$4:$B$138, 0), MATCH(Z$4&amp;Z$5, LS_previous!$D$2:$AY$2&amp;LS_previous!$D$3:$AY$3, 0)),SUM(VLOOKUP($A71, LS_previous!$B$4:$AY$138, LS_previous!R$149, FALSE), VLOOKUP('Staging Table'!$A71, LS_previous!$B$4:$AY$138,LS_previous!AP$149, FALSE))/2)</f>
        <v>4102</v>
      </c>
      <c r="AA71" s="227">
        <f t="array" ref="AA71">IF($G71=0, INDEX(LS_previous!$D$4:$AY$138, MATCH('Staging Table'!$A71, LS_previous!$B$4:$B$138, 0), MATCH(AA$4&amp;AA$5, LS_previous!$D$2:$AY$2&amp;LS_previous!$D$3:$AY$3, 0)),SUM(VLOOKUP($A71, LS_previous!$B$4:$AY$138, LS_previous!S$149, FALSE), VLOOKUP('Staging Table'!$A71, LS_previous!$B$4:$AY$138,LS_previous!AQ$149, FALSE))/2)</f>
        <v>6316</v>
      </c>
      <c r="AB71" s="227">
        <f t="array" ref="AB71">IF($G71=0, INDEX(LS_previous!$D$4:$AY$138, MATCH('Staging Table'!$A71, LS_previous!$B$4:$B$138, 0), MATCH(AB$4&amp;AB$5, LS_previous!$D$2:$AY$2&amp;LS_previous!$D$3:$AY$3, 0)),SUM(VLOOKUP($A71, LS_previous!$B$4:$AY$138, LS_previous!T$149, FALSE), VLOOKUP('Staging Table'!$A71, LS_previous!$B$4:$AY$138,LS_previous!AR$149, FALSE))/2)</f>
        <v>9241</v>
      </c>
      <c r="AC71" s="227">
        <f t="array" ref="AC71">IF($G71=0, INDEX(LS_previous!$D$4:$AY$138, MATCH('Staging Table'!$A71, LS_previous!$B$4:$B$138, 0), MATCH(AC$4&amp;AC$5, LS_previous!$D$2:$AY$2&amp;LS_previous!$D$3:$AY$3, 0)),SUM(VLOOKUP($A71, LS_previous!$B$4:$AY$138, LS_previous!U$149, FALSE), VLOOKUP('Staging Table'!$A71, LS_previous!$B$4:$AY$138,LS_previous!AS$149, FALSE))/2)</f>
        <v>8380</v>
      </c>
      <c r="AD71" s="227">
        <f t="array" ref="AD71">IF($G71=0, INDEX(LS_previous!$D$4:$AY$138, MATCH('Staging Table'!$A71, LS_previous!$B$4:$B$138, 0), MATCH(AD$4&amp;AD$5, LS_previous!$D$2:$AY$2&amp;LS_previous!$D$3:$AY$3, 0)),SUM(VLOOKUP($A71, LS_previous!$B$4:$AY$138, LS_previous!V$149, FALSE), VLOOKUP('Staging Table'!$A71, LS_previous!$B$4:$AY$138,LS_previous!AT$149, FALSE))/2)</f>
        <v>13733</v>
      </c>
      <c r="AE71" s="227">
        <f t="array" ref="AE71">IF($G71=0, INDEX(LS_previous!$D$4:$AY$138, MATCH('Staging Table'!$A71, LS_previous!$B$4:$B$138, 0), MATCH(AE$4&amp;AE$5, LS_previous!$D$2:$AY$2&amp;LS_previous!$D$3:$AY$3, 0)),SUM(VLOOKUP($A71, LS_previous!$B$4:$AY$138, LS_previous!W$149, FALSE), VLOOKUP('Staging Table'!$A71, LS_previous!$B$4:$AY$138,LS_previous!AU$149, FALSE))/2)</f>
        <v>12841</v>
      </c>
      <c r="AF71" s="227">
        <f t="array" ref="AF71">IF($G71=0, INDEX(LS_previous!$D$4:$AY$138, MATCH('Staging Table'!$A71, LS_previous!$B$4:$B$138, 0), MATCH(AF$4&amp;AF$5, LS_previous!$D$2:$AY$2&amp;LS_previous!$D$3:$AY$3, 0)),SUM(VLOOKUP($A71, LS_previous!$B$4:$AY$138, LS_previous!X$149, FALSE), VLOOKUP('Staging Table'!$A71, LS_previous!$B$4:$AY$138,LS_previous!AV$149, FALSE))/2)</f>
        <v>11872</v>
      </c>
      <c r="AG71" s="227">
        <f t="array" ref="AG71">IF($G71=0, INDEX(LS_previous!$D$4:$AY$138, MATCH('Staging Table'!$A71, LS_previous!$B$4:$B$138, 0), MATCH(AG$4&amp;AG$5, LS_previous!$D$2:$AY$2&amp;LS_previous!$D$3:$AY$3, 0)),SUM(VLOOKUP($A71, LS_previous!$B$4:$AY$138, LS_previous!Y$149, FALSE), VLOOKUP('Staging Table'!$A71, LS_previous!$B$4:$AY$138,LS_previous!AW$149, FALSE))/2)</f>
        <v>12092</v>
      </c>
      <c r="AH71" s="227">
        <f t="array" ref="AH71">IF($G71=0, INDEX(LS_previous!$D$4:$AY$138, MATCH('Staging Table'!$A71, LS_previous!$B$4:$B$138, 0), MATCH(AH$4&amp;AH$5, LS_previous!$D$2:$AY$2&amp;LS_previous!$D$3:$AY$3, 0)),SUM(VLOOKUP($A71, LS_previous!$B$4:$AY$138, LS_previous!Z$149, FALSE), VLOOKUP('Staging Table'!$A71, LS_previous!$B$4:$AY$138,LS_previous!AX$149, FALSE))/2)</f>
        <v>3714</v>
      </c>
      <c r="AI71" s="227">
        <f t="array" ref="AI71">IF($G71=0, INDEX(LS_previous!$D$4:$AY$138, MATCH('Staging Table'!$A71, LS_previous!$B$4:$B$138, 0), MATCH(AI$4&amp;AI$5, LS_previous!$D$2:$AY$2&amp;LS_previous!$D$3:$AY$3, 0)),SUM(VLOOKUP($A71, LS_previous!$B$4:$AY$138, LS_previous!AA$149, FALSE), VLOOKUP('Staging Table'!$A71, LS_previous!$B$4:$AY$138,LS_previous!AY$149, FALSE))/2)</f>
        <v>5083</v>
      </c>
      <c r="AJ71" s="424">
        <f t="array" ref="AJ71">INDEX(Demand_previous!$D$4:$AY$138, MATCH('Staging Table'!$A71, Demand_previous!$B$4:$B$138, 0), MATCH(AJ$4&amp;AJ$5,Demand_previous!$D$2:$AY$2&amp;Demand_previous!$D$3:$AY$3, 0))/1000</f>
        <v>3.9870000000000001</v>
      </c>
      <c r="AK71" s="424">
        <f t="array" ref="AK71">INDEX(Demand_previous!$D$4:$AY$138, MATCH('Staging Table'!$A71, Demand_previous!$B$4:$B$138, 0), MATCH(AK$4&amp;AK$5,Demand_previous!$D$2:$AY$2&amp;Demand_previous!$D$3:$AY$3, 0))/1000</f>
        <v>1.0529999999999999</v>
      </c>
      <c r="AL71" s="424">
        <f t="array" ref="AL71">INDEX(Demand_previous!$D$4:$AY$138, MATCH('Staging Table'!$A71, Demand_previous!$B$4:$B$138, 0), MATCH(AL$4&amp;AL$5,Demand_previous!$D$2:$AY$2&amp;Demand_previous!$D$3:$AY$3, 0))/1000</f>
        <v>2.3719999999999999</v>
      </c>
      <c r="AM71" s="424">
        <f t="array" ref="AM71">INDEX(Demand_previous!$D$4:$AY$138, MATCH('Staging Table'!$A71, Demand_previous!$B$4:$B$138, 0), MATCH(AM$4&amp;AM$5,Demand_previous!$D$2:$AY$2&amp;Demand_previous!$D$3:$AY$3, 0))/1000</f>
        <v>2.262</v>
      </c>
      <c r="AN71" s="424">
        <f t="array" ref="AN71">INDEX(Demand_previous!$D$4:$AY$138, MATCH('Staging Table'!$A71, Demand_previous!$B$4:$B$138, 0), MATCH(AN$4&amp;AN$5,Demand_previous!$D$2:$AY$2&amp;Demand_previous!$D$3:$AY$3, 0))/1000</f>
        <v>0.28000000000000003</v>
      </c>
      <c r="AO71" s="424">
        <f t="array" ref="AO71">INDEX(Demand_previous!$D$4:$AY$138, MATCH('Staging Table'!$A71, Demand_previous!$B$4:$B$138, 0), MATCH(AO$4&amp;AO$5,Demand_previous!$D$2:$AY$2&amp;Demand_previous!$D$3:$AY$3, 0))/1000</f>
        <v>2.258</v>
      </c>
      <c r="AP71" s="424">
        <f t="array" ref="AP71">INDEX(Demand_previous!$D$4:$AY$138, MATCH('Staging Table'!$A71, Demand_previous!$B$4:$B$138, 0), MATCH(AP$4&amp;AP$5,Demand_previous!$D$2:$AY$2&amp;Demand_previous!$D$3:$AY$3, 0))/1000</f>
        <v>7.4569999999999999</v>
      </c>
      <c r="AQ71" s="424">
        <f t="array" ref="AQ71">INDEX(Demand_previous!$D$4:$AY$138, MATCH('Staging Table'!$A71, Demand_previous!$B$4:$B$138, 0), MATCH(AQ$4&amp;AQ$5,Demand_previous!$D$2:$AY$2&amp;Demand_previous!$D$3:$AY$3, 0))/1000</f>
        <v>4.4729999999999999</v>
      </c>
      <c r="AR71" s="424">
        <f t="array" ref="AR71">INDEX(Demand_previous!$D$4:$AY$138, MATCH('Staging Table'!$A71, Demand_previous!$B$4:$B$138, 0), MATCH(AR$4&amp;AR$5,Demand_previous!$D$2:$AY$2&amp;Demand_previous!$D$3:$AY$3, 0))/1000</f>
        <v>7.5709999999999997</v>
      </c>
      <c r="AS71" s="424">
        <f t="array" ref="AS71">INDEX(Demand_previous!$D$4:$AY$138, MATCH('Staging Table'!$A71, Demand_previous!$B$4:$B$138, 0), MATCH(AS$4&amp;AS$5,Demand_previous!$D$2:$AY$2&amp;Demand_previous!$D$3:$AY$3, 0))/1000</f>
        <v>5.452</v>
      </c>
      <c r="AT71" s="424">
        <f t="array" ref="AT71">INDEX(Demand_previous!$D$4:$AY$138, MATCH('Staging Table'!$A71, Demand_previous!$B$4:$B$138, 0), MATCH(AT$4&amp;AT$5,Demand_previous!$D$2:$AY$2&amp;Demand_previous!$D$3:$AY$3, 0))/1000</f>
        <v>8.9339999999999993</v>
      </c>
      <c r="AU71" s="424">
        <f t="array" ref="AU71">INDEX(Demand_previous!$D$4:$AY$138, MATCH('Staging Table'!$A71, Demand_previous!$B$4:$B$138, 0), MATCH(AU$4&amp;AU$5,Demand_previous!$D$2:$AY$2&amp;Demand_previous!$D$3:$AY$3, 0))/1000</f>
        <v>1.4590000000000001</v>
      </c>
      <c r="AV71" s="227">
        <f>$F71*(VLOOKUP(AV$4, Rates_previous!$G$6:$Q$29, 10, FALSE)+VLOOKUP(AV$4, Rates_previous!$G$6:$Q$29, 11, FALSE))</f>
        <v>15114.46852706255</v>
      </c>
      <c r="AW71" s="227">
        <f>$F71*(VLOOKUP(AW$4, Rates_previous!$G$6:$Q$29, 10, FALSE)+VLOOKUP(AW$4, Rates_previous!$G$6:$Q$29, 11, FALSE))</f>
        <v>18680.334338962297</v>
      </c>
      <c r="AX71" s="227">
        <f>$F71*(VLOOKUP(AX$4, Rates_previous!$G$6:$Q$29, 10, FALSE)+VLOOKUP(AX$4, Rates_previous!$G$6:$Q$29, 11, FALSE))</f>
        <v>18456.005866310432</v>
      </c>
      <c r="AY71" s="227">
        <f>$F71*(VLOOKUP(AY$4, Rates_previous!$G$6:$Q$29, 10, FALSE)+VLOOKUP(AY$4, Rates_previous!$G$6:$Q$29, 11, FALSE))</f>
        <v>15768.897864868259</v>
      </c>
      <c r="AZ71" s="227">
        <f>$F71*(VLOOKUP(AZ$4, Rates_previous!$G$6:$Q$29, 10, FALSE)+VLOOKUP(AZ$4, Rates_previous!$G$6:$Q$29, 11, FALSE))</f>
        <v>12927.437537971755</v>
      </c>
      <c r="BA71" s="227">
        <f>$F71*(VLOOKUP(BA$4, Rates_previous!$G$6:$Q$29, 10, FALSE)+VLOOKUP(BA$4, Rates_previous!$G$6:$Q$29, 11, FALSE))</f>
        <v>15305.616476848603</v>
      </c>
      <c r="BB71" s="227">
        <f>$F71*(VLOOKUP(BB$4, Rates_previous!$G$6:$Q$29, 10, FALSE)+VLOOKUP(BB$4, Rates_previous!$G$6:$Q$29, 11, FALSE))</f>
        <v>14710.923771994461</v>
      </c>
      <c r="BC71" s="227">
        <f>$F71*(VLOOKUP(BC$4, Rates_previous!$G$6:$Q$29, 10, FALSE)+VLOOKUP(BC$4, Rates_previous!$G$6:$Q$29, 11, FALSE))</f>
        <v>21587.239650017305</v>
      </c>
      <c r="BD71" s="227">
        <f>$F71*(VLOOKUP(BD$4, Rates_previous!$G$6:$Q$29, 10, FALSE)+VLOOKUP(BD$4, Rates_previous!$G$6:$Q$29, 11, FALSE))</f>
        <v>17031.761526164886</v>
      </c>
      <c r="BE71" s="227">
        <f>$F71*(VLOOKUP(BE$4, Rates_previous!$G$6:$Q$29, 10, FALSE)+VLOOKUP(BE$4, Rates_previous!$G$6:$Q$29, 11, FALSE))</f>
        <v>14955.316189907715</v>
      </c>
      <c r="BF71" s="227">
        <f>$F71*(VLOOKUP(BF$4, Rates_previous!$G$6:$Q$29, 10, FALSE)+VLOOKUP(BF$4, Rates_previous!$G$6:$Q$29, 11, FALSE))</f>
        <v>16563.611307424238</v>
      </c>
      <c r="BG71" s="227">
        <f>$F71*(VLOOKUP(BG$4, Rates_previous!$G$6:$Q$29, 10, FALSE)+VLOOKUP(BG$4, Rates_previous!$G$6:$Q$29, 11, FALSE))</f>
        <v>15005.973150987485</v>
      </c>
      <c r="BH71" s="229">
        <f>IF($D71=0,IF(C71=0, MAX(BK71 - (VLOOKUP($A71,TOCA_previous!$A$2:$AI$137,MATCH("RHWM 2018",TOCA_previous!$A$2:$AI$2,0),FALSE)*$F$2*TOCA_previous!C68),0),0), 0)</f>
        <v>35449.46906956</v>
      </c>
      <c r="BI71" s="266">
        <f>VLOOKUP($A71,REP_previous!$A$1:$D$135,MATCH("FY "&amp;$F$1&amp; " Total Refund",REP_previous!$A$1:$D$1,0),0)</f>
        <v>219249.61152246164</v>
      </c>
      <c r="BJ71" s="241">
        <f>MIN(VLOOKUP($A71,TOCA_previous!$A$2:$AI$137,MATCH("TRL - NLSL - Existing Resource "&amp;$F$1,TOCA_previous!$A$2:$AI$2,0),FALSE)*$F$2,(VLOOKUP($A71,TOCA_previous!$A$2:$AI$137,MATCH("RHWM 2018",TOCA_previous!$A$2:$AI$2,0),FALSE)*$F$2))</f>
        <v>196110.12</v>
      </c>
      <c r="BK71" s="229">
        <f>SUM(L71:AI71)+(F71*RT1SC!$C$3*$F$2)</f>
        <v>231559.58906956</v>
      </c>
      <c r="BL71" s="241">
        <f>VLOOKUP($A71,TOCA_previous!$A$2:$AI$137,MATCH("Above RHWM Not Served with LS "&amp;$F$1,TOCA_previous!$A$2:$AI$2,0),FALSE)*$F$2</f>
        <v>0</v>
      </c>
      <c r="BM71" s="151">
        <f t="shared" ref="BM71:BM134" si="21">BK71-BJ71</f>
        <v>35449.46906956</v>
      </c>
      <c r="BN71" s="242">
        <f>(VLOOKUP($A71,TOCA_previous!$A$2:$AI$137,MATCH("RHWM 2018",TOCA_previous!$A$2:$AI$2,0),FALSE)*$F$2) - $BJ71</f>
        <v>0</v>
      </c>
      <c r="BO71" s="151">
        <f t="shared" ref="BO71:BO134" si="22">IF(BM71&gt;0,IF(BN71&gt;0,(-1)*MIN(BM71,BN71),0),0)</f>
        <v>0</v>
      </c>
      <c r="BP71" s="243">
        <f t="shared" ref="BP71:BP134" si="23">IF(BM71&lt;0,IF(BL71&lt;ABS(BM71),MAX(0,ABS($BM71)-(BL71)),0),0)</f>
        <v>0</v>
      </c>
      <c r="BQ71" s="237">
        <f t="shared" ref="BQ71:BQ134" si="24">IF(AND(BL71&gt;0,BN71&gt;0),IF(AND(BM71&lt;=0,ABS(BM71)&lt;BL71),(-1)*MIN(BL71,BL71-ABS(BM71),BN71),IF(AND(BM71&gt;0,BM71&lt;BN71),(-1)*MIN(BL71,BN71-BM71),0)),0)</f>
        <v>0</v>
      </c>
      <c r="BR71" s="242">
        <f t="shared" ref="BR71:BR134" si="25">IF($D71=0,SUM($BO71:$BQ71),0)</f>
        <v>0</v>
      </c>
      <c r="BS71" s="151">
        <f>VLOOKUP($A71,TOCA_current!$A$2:$AI$137,MATCH(BS$4,TOCA_current!$A$2:$AI$2,0),FALSE)</f>
        <v>3.2219000000000002E-3</v>
      </c>
      <c r="BT71" s="151">
        <f>VLOOKUP($A71,TOCA_current!$A$2:$AI$137,MATCH(BT$4,TOCA_current!$A$2:$AI$2,0),FALSE)</f>
        <v>3.2219000000000002E-3</v>
      </c>
      <c r="BU71" s="236">
        <f t="shared" ref="BU71:BU134" si="26">BS71-BT71</f>
        <v>0</v>
      </c>
      <c r="BV71" s="151">
        <f>VLOOKUP($A71,TOCA_current!A67:BG202,MATCH(BV$4,TOCA_current!$A$2:$BG$2,0),FALSE)</f>
        <v>7.7785000000000007E-2</v>
      </c>
      <c r="BW71" s="151">
        <f t="shared" ref="BW71:BW134" si="27">IF(C71=0,0,BV71)</f>
        <v>0</v>
      </c>
      <c r="BX71" s="151">
        <f t="shared" ref="BX71:BX134" si="28">IF(C71=0,0,BS71)</f>
        <v>0</v>
      </c>
      <c r="BY71" s="226">
        <f>VLOOKUP($A71,IRD!$A$4:$G$139, 7, FALSE)</f>
        <v>99899.204999999987</v>
      </c>
      <c r="BZ71" s="227">
        <f t="array" ref="BZ71">IF($BU71=0, INDEX(LS_current!$D$4:$AY$138, MATCH('Staging Table'!$A71, LS_current!$B$4:$B$138, 0), MATCH(BZ$4&amp;BZ$5, LS_current!$D$2:$AY$2&amp;LS_current!$D$3:$AY$3, 0)),SUM(VLOOKUP($A71, LS_current!$B$4:$AY$138, LS_current!D$148, FALSE), VLOOKUP($A71, LS_current!$B$4:$AY$138,LS_current!D$148, FALSE))/2)</f>
        <v>-5127</v>
      </c>
      <c r="CA71" s="227">
        <f t="array" ref="CA71">IF($BU71=0, INDEX(LS_current!$D$4:$AY$138, MATCH('Staging Table'!$A71, LS_current!$B$4:$B$138, 0), MATCH(CA$4&amp;CA$5, LS_current!$D$2:$AY$2&amp;LS_current!$D$3:$AY$3, 0)),SUM(VLOOKUP($A71, LS_current!$B$4:$AY$138, LS_current!E$148, FALSE), VLOOKUP($A71, LS_current!$B$4:$AY$138,LS_current!E$148, FALSE))/2)</f>
        <v>-2152</v>
      </c>
      <c r="CB71" s="227">
        <f t="array" ref="CB71">IF($BU71=0, INDEX(LS_current!$D$4:$AY$138, MATCH('Staging Table'!$A71, LS_current!$B$4:$B$138, 0), MATCH(CB$4&amp;CB$5, LS_current!$D$2:$AY$2&amp;LS_current!$D$3:$AY$3, 0)),SUM(VLOOKUP($A71, LS_current!$B$4:$AY$138, LS_current!F$148, FALSE), VLOOKUP($A71, LS_current!$B$4:$AY$138,LS_current!F$148, FALSE))/2)</f>
        <v>-9294</v>
      </c>
      <c r="CC71" s="227">
        <f t="array" ref="CC71">IF($BU71=0, INDEX(LS_current!$D$4:$AY$138, MATCH('Staging Table'!$A71, LS_current!$B$4:$B$138, 0), MATCH(CC$4&amp;CC$5, LS_current!$D$2:$AY$2&amp;LS_current!$D$3:$AY$3, 0)),SUM(VLOOKUP($A71, LS_current!$B$4:$AY$138, LS_current!G$148, FALSE), VLOOKUP($A71, LS_current!$B$4:$AY$138,LS_current!G$148, FALSE))/2)</f>
        <v>-5061</v>
      </c>
      <c r="CD71" s="227">
        <f t="array" ref="CD71">IF($BU71=0, INDEX(LS_current!$D$4:$AY$138, MATCH('Staging Table'!$A71, LS_current!$B$4:$B$138, 0), MATCH(CD$4&amp;CD$5, LS_current!$D$2:$AY$2&amp;LS_current!$D$3:$AY$3, 0)),SUM(VLOOKUP($A71, LS_current!$B$4:$AY$138, LS_current!H$148, FALSE), VLOOKUP($A71, LS_current!$B$4:$AY$138,LS_current!H$148, FALSE))/2)</f>
        <v>-8473</v>
      </c>
      <c r="CE71" s="227">
        <f t="array" ref="CE71">IF($BU71=0, INDEX(LS_current!$D$4:$AY$138, MATCH('Staging Table'!$A71, LS_current!$B$4:$B$138, 0), MATCH(CE$4&amp;CE$5, LS_current!$D$2:$AY$2&amp;LS_current!$D$3:$AY$3, 0)),SUM(VLOOKUP($A71, LS_current!$B$4:$AY$138, LS_current!I$148, FALSE), VLOOKUP($A71, LS_current!$B$4:$AY$138,LS_current!I$148, FALSE))/2)</f>
        <v>-4412</v>
      </c>
      <c r="CF71" s="227">
        <f t="array" ref="CF71">IF($BU71=0, INDEX(LS_current!$D$4:$AY$138, MATCH('Staging Table'!$A71, LS_current!$B$4:$B$138, 0), MATCH(CF$4&amp;CF$5, LS_current!$D$2:$AY$2&amp;LS_current!$D$3:$AY$3, 0)),SUM(VLOOKUP($A71, LS_current!$B$4:$AY$138, LS_current!J$148, FALSE), VLOOKUP($A71, LS_current!$B$4:$AY$138,LS_current!J$148, FALSE))/2)</f>
        <v>-6699</v>
      </c>
      <c r="CG71" s="227">
        <f t="array" ref="CG71">IF($BU71=0, INDEX(LS_current!$D$4:$AY$138, MATCH('Staging Table'!$A71, LS_current!$B$4:$B$138, 0), MATCH(CG$4&amp;CG$5, LS_current!$D$2:$AY$2&amp;LS_current!$D$3:$AY$3, 0)),SUM(VLOOKUP($A71, LS_current!$B$4:$AY$138, LS_current!K$148, FALSE), VLOOKUP($A71, LS_current!$B$4:$AY$138,LS_current!K$148, FALSE))/2)</f>
        <v>-3308</v>
      </c>
      <c r="CH71" s="227">
        <f t="array" ref="CH71">IF($BU71=0, INDEX(LS_current!$D$4:$AY$138, MATCH('Staging Table'!$A71, LS_current!$B$4:$B$138, 0), MATCH(CH$4&amp;CH$5, LS_current!$D$2:$AY$2&amp;LS_current!$D$3:$AY$3, 0)),SUM(VLOOKUP($A71, LS_current!$B$4:$AY$138, LS_current!L$148, FALSE), VLOOKUP($A71, LS_current!$B$4:$AY$138,LS_current!L$148, FALSE))/2)</f>
        <v>-6372</v>
      </c>
      <c r="CI71" s="227">
        <f t="array" ref="CI71">IF($BU71=0, INDEX(LS_current!$D$4:$AY$138, MATCH('Staging Table'!$A71, LS_current!$B$4:$B$138, 0), MATCH(CI$4&amp;CI$5, LS_current!$D$2:$AY$2&amp;LS_current!$D$3:$AY$3, 0)),SUM(VLOOKUP($A71, LS_current!$B$4:$AY$138, LS_current!M$148, FALSE), VLOOKUP($A71, LS_current!$B$4:$AY$138,LS_current!M$148, FALSE))/2)</f>
        <v>-3315</v>
      </c>
      <c r="CJ71" s="227">
        <f t="array" ref="CJ71">IF($BU71=0, INDEX(LS_current!$D$4:$AY$138, MATCH('Staging Table'!$A71, LS_current!$B$4:$B$138, 0), MATCH(CJ$4&amp;CJ$5, LS_current!$D$2:$AY$2&amp;LS_current!$D$3:$AY$3, 0)),SUM(VLOOKUP($A71, LS_current!$B$4:$AY$138, LS_current!N$148, FALSE), VLOOKUP($A71, LS_current!$B$4:$AY$138,LS_current!N$148, FALSE))/2)</f>
        <v>-7292</v>
      </c>
      <c r="CK71" s="227">
        <f t="array" ref="CK71">IF($BU71=0, INDEX(LS_current!$D$4:$AY$138, MATCH('Staging Table'!$A71, LS_current!$B$4:$B$138, 0), MATCH(CK$4&amp;CK$5, LS_current!$D$2:$AY$2&amp;LS_current!$D$3:$AY$3, 0)),SUM(VLOOKUP($A71, LS_current!$B$4:$AY$138, LS_current!O$148, FALSE), VLOOKUP($A71, LS_current!$B$4:$AY$138,LS_current!O$148, FALSE))/2)</f>
        <v>-3631</v>
      </c>
      <c r="CL71" s="227">
        <f t="array" ref="CL71">IF($BU71=0, INDEX(LS_current!$D$4:$AY$138, MATCH('Staging Table'!$A71, LS_current!$B$4:$B$138, 0), MATCH(CL$4&amp;CL$5, LS_current!$D$2:$AY$2&amp;LS_current!$D$3:$AY$3, 0)),SUM(VLOOKUP($A71, LS_current!$B$4:$AY$138, LS_current!P$148, FALSE), VLOOKUP($A71, LS_current!$B$4:$AY$138,LS_current!P$148, FALSE))/2)</f>
        <v>161</v>
      </c>
      <c r="CM71" s="227">
        <f t="array" ref="CM71">IF($BU71=0, INDEX(LS_current!$D$4:$AY$138, MATCH('Staging Table'!$A71, LS_current!$B$4:$B$138, 0), MATCH(CM$4&amp;CM$5, LS_current!$D$2:$AY$2&amp;LS_current!$D$3:$AY$3, 0)),SUM(VLOOKUP($A71, LS_current!$B$4:$AY$138, LS_current!Q$148, FALSE), VLOOKUP($A71, LS_current!$B$4:$AY$138,LS_current!Q$148, FALSE))/2)</f>
        <v>598</v>
      </c>
      <c r="CN71" s="227">
        <f t="array" ref="CN71">IF($BU71=0, INDEX(LS_current!$D$4:$AY$138, MATCH('Staging Table'!$A71, LS_current!$B$4:$B$138, 0), MATCH(CN$4&amp;CN$5, LS_current!$D$2:$AY$2&amp;LS_current!$D$3:$AY$3, 0)),SUM(VLOOKUP($A71, LS_current!$B$4:$AY$138, LS_current!R$148, FALSE), VLOOKUP($A71, LS_current!$B$4:$AY$138,LS_current!R$148, FALSE))/2)</f>
        <v>5680</v>
      </c>
      <c r="CO71" s="227">
        <f t="array" ref="CO71">IF($BU71=0, INDEX(LS_current!$D$4:$AY$138, MATCH('Staging Table'!$A71, LS_current!$B$4:$B$138, 0), MATCH(CO$4&amp;CO$5, LS_current!$D$2:$AY$2&amp;LS_current!$D$3:$AY$3, 0)),SUM(VLOOKUP($A71, LS_current!$B$4:$AY$138, LS_current!S$148, FALSE), VLOOKUP($A71, LS_current!$B$4:$AY$138,LS_current!S$148, FALSE))/2)</f>
        <v>7233</v>
      </c>
      <c r="CP71" s="227">
        <f t="array" ref="CP71">IF($BU71=0, INDEX(LS_current!$D$4:$AY$138, MATCH('Staging Table'!$A71, LS_current!$B$4:$B$138, 0), MATCH(CP$4&amp;CP$5, LS_current!$D$2:$AY$2&amp;LS_current!$D$3:$AY$3, 0)),SUM(VLOOKUP($A71, LS_current!$B$4:$AY$138, LS_current!T$148, FALSE), VLOOKUP($A71, LS_current!$B$4:$AY$138,LS_current!T$148, FALSE))/2)</f>
        <v>5078</v>
      </c>
      <c r="CQ71" s="227">
        <f t="array" ref="CQ71">IF($BU71=0, INDEX(LS_current!$D$4:$AY$138, MATCH('Staging Table'!$A71, LS_current!$B$4:$B$138, 0), MATCH(CQ$4&amp;CQ$5, LS_current!$D$2:$AY$2&amp;LS_current!$D$3:$AY$3, 0)),SUM(VLOOKUP($A71, LS_current!$B$4:$AY$138, LS_current!U$148, FALSE), VLOOKUP($A71, LS_current!$B$4:$AY$138,LS_current!U$148, FALSE))/2)</f>
        <v>5793</v>
      </c>
      <c r="CR71" s="227">
        <f t="array" ref="CR71">IF($BU71=0, INDEX(LS_current!$D$4:$AY$138, MATCH('Staging Table'!$A71, LS_current!$B$4:$B$138, 0), MATCH(CR$4&amp;CR$5, LS_current!$D$2:$AY$2&amp;LS_current!$D$3:$AY$3, 0)),SUM(VLOOKUP($A71, LS_current!$B$4:$AY$138, LS_current!V$148, FALSE), VLOOKUP($A71, LS_current!$B$4:$AY$138,LS_current!V$148, FALSE))/2)</f>
        <v>10606</v>
      </c>
      <c r="CS71" s="227">
        <f t="array" ref="CS71">IF($BU71=0, INDEX(LS_current!$D$4:$AY$138, MATCH('Staging Table'!$A71, LS_current!$B$4:$B$138, 0), MATCH(CS$4&amp;CS$5, LS_current!$D$2:$AY$2&amp;LS_current!$D$3:$AY$3, 0)),SUM(VLOOKUP($A71, LS_current!$B$4:$AY$138, LS_current!W$148, FALSE), VLOOKUP($A71, LS_current!$B$4:$AY$138,LS_current!W$148, FALSE))/2)</f>
        <v>11825</v>
      </c>
      <c r="CT71" s="227">
        <f t="array" ref="CT71">IF($BU71=0, INDEX(LS_current!$D$4:$AY$138, MATCH('Staging Table'!$A71, LS_current!$B$4:$B$138, 0), MATCH(CT$4&amp;CT$5, LS_current!$D$2:$AY$2&amp;LS_current!$D$3:$AY$3, 0)),SUM(VLOOKUP($A71, LS_current!$B$4:$AY$138, LS_current!X$148, FALSE), VLOOKUP($A71, LS_current!$B$4:$AY$138,LS_current!X$148, FALSE))/2)</f>
        <v>10411</v>
      </c>
      <c r="CU71" s="227">
        <f t="array" ref="CU71">IF($BU71=0, INDEX(LS_current!$D$4:$AY$138, MATCH('Staging Table'!$A71, LS_current!$B$4:$B$138, 0), MATCH(CU$4&amp;CU$5, LS_current!$D$2:$AY$2&amp;LS_current!$D$3:$AY$3, 0)),SUM(VLOOKUP($A71, LS_current!$B$4:$AY$138, LS_current!Y$148, FALSE), VLOOKUP($A71, LS_current!$B$4:$AY$138,LS_current!Y$148, FALSE))/2)</f>
        <v>11470</v>
      </c>
      <c r="CV71" s="227">
        <f t="array" ref="CV71">IF($BU71=0, INDEX(LS_current!$D$4:$AY$138, MATCH('Staging Table'!$A71, LS_current!$B$4:$B$138, 0), MATCH(CV$4&amp;CV$5, LS_current!$D$2:$AY$2&amp;LS_current!$D$3:$AY$3, 0)),SUM(VLOOKUP($A71, LS_current!$B$4:$AY$138, LS_current!Z$148, FALSE), VLOOKUP($A71, LS_current!$B$4:$AY$138,LS_current!Z$148, FALSE))/2)</f>
        <v>2655</v>
      </c>
      <c r="CW71" s="227">
        <f t="array" ref="CW71">IF($BU71=0, INDEX(LS_current!$D$4:$AY$138, MATCH('Staging Table'!$A71, LS_current!$B$4:$B$138, 0), MATCH(CW$4&amp;CW$5, LS_current!$D$2:$AY$2&amp;LS_current!$D$3:$AY$3, 0)),SUM(VLOOKUP($A71, LS_current!$B$4:$AY$138, LS_current!AA$148, FALSE), VLOOKUP($A71, LS_current!$B$4:$AY$138,LS_current!AA$148, FALSE))/2)</f>
        <v>4276</v>
      </c>
      <c r="CX71" s="229">
        <f t="array" ref="CX71">INDEX(Demand_current!$D$4:$AY$138, MATCH($A71, Demand_current!$B$4:$B$138, 0), MATCH(CX$4&amp;CX$5,Demand_current!$D$2:$AY$2&amp;Demand_current!$D$3:$AY$3, 0))/1000</f>
        <v>4.4909999999999997</v>
      </c>
      <c r="CY71" s="229">
        <f t="array" ref="CY71">INDEX(Demand_current!$D$4:$AY$138, MATCH($A71, Demand_current!$B$4:$B$138, 0), MATCH(CY$4&amp;CY$5,Demand_current!$D$2:$AY$2&amp;Demand_current!$D$3:$AY$3, 0))/1000</f>
        <v>1.0529999999999999</v>
      </c>
      <c r="CZ71" s="229">
        <f t="array" ref="CZ71">INDEX(Demand_current!$D$4:$AY$138, MATCH($A71, Demand_current!$B$4:$B$138, 0), MATCH(CZ$4&amp;CZ$5,Demand_current!$D$2:$AY$2&amp;Demand_current!$D$3:$AY$3, 0))/1000</f>
        <v>2.3719999999999999</v>
      </c>
      <c r="DA71" s="229">
        <f t="array" ref="DA71">INDEX(Demand_current!$D$4:$AY$138, MATCH($A71, Demand_current!$B$4:$B$138, 0), MATCH(DA$4&amp;DA$5,Demand_current!$D$2:$AY$2&amp;Demand_current!$D$3:$AY$3, 0))/1000</f>
        <v>2.262</v>
      </c>
      <c r="DB71" s="229">
        <f t="array" ref="DB71">INDEX(Demand_current!$D$4:$AY$138, MATCH($A71, Demand_current!$B$4:$B$138, 0), MATCH(DB$4&amp;DB$5,Demand_current!$D$2:$AY$2&amp;Demand_current!$D$3:$AY$3, 0))/1000</f>
        <v>0.64800000000000002</v>
      </c>
      <c r="DC71" s="229">
        <f t="array" ref="DC71">INDEX(Demand_current!$D$4:$AY$138, MATCH($A71, Demand_current!$B$4:$B$138, 0), MATCH(DC$4&amp;DC$5,Demand_current!$D$2:$AY$2&amp;Demand_current!$D$3:$AY$3, 0))/1000</f>
        <v>1.9259999999999999</v>
      </c>
      <c r="DD71" s="229">
        <f t="array" ref="DD71">INDEX(Demand_current!$D$4:$AY$138, MATCH($A71, Demand_current!$B$4:$B$138, 0), MATCH(DD$4&amp;DD$5,Demand_current!$D$2:$AY$2&amp;Demand_current!$D$3:$AY$3, 0))/1000</f>
        <v>8.3450000000000006</v>
      </c>
      <c r="DE71" s="229">
        <f t="array" ref="DE71">INDEX(Demand_current!$D$4:$AY$138, MATCH($A71, Demand_current!$B$4:$B$138, 0), MATCH(DE$4&amp;DE$5,Demand_current!$D$2:$AY$2&amp;Demand_current!$D$3:$AY$3, 0))/1000</f>
        <v>2.7559999999999998</v>
      </c>
      <c r="DF71" s="229">
        <f t="array" ref="DF71">INDEX(Demand_current!$D$4:$AY$138, MATCH($A71, Demand_current!$B$4:$B$138, 0), MATCH(DF$4&amp;DF$5,Demand_current!$D$2:$AY$2&amp;Demand_current!$D$3:$AY$3, 0))/1000</f>
        <v>7.5709999999999997</v>
      </c>
      <c r="DG71" s="229">
        <f t="array" ref="DG71">INDEX(Demand_current!$D$4:$AY$138, MATCH($A71, Demand_current!$B$4:$B$138, 0), MATCH(DG$4&amp;DG$5,Demand_current!$D$2:$AY$2&amp;Demand_current!$D$3:$AY$3, 0))/1000</f>
        <v>7.7130000000000001</v>
      </c>
      <c r="DH71" s="229">
        <f t="array" ref="DH71">INDEX(Demand_current!$D$4:$AY$138, MATCH($A71, Demand_current!$B$4:$B$138, 0), MATCH(DH$4&amp;DH$5,Demand_current!$D$2:$AY$2&amp;Demand_current!$D$3:$AY$3, 0))/1000</f>
        <v>6.89</v>
      </c>
      <c r="DI71" s="229">
        <f t="array" ref="DI71">INDEX(Demand_current!$D$4:$AY$138, MATCH($A71, Demand_current!$B$4:$B$138, 0), MATCH(DI$4&amp;DI$5,Demand_current!$D$2:$AY$2&amp;Demand_current!$D$3:$AY$3, 0))/1000</f>
        <v>2.8450000000000002</v>
      </c>
      <c r="DJ71" s="227">
        <f>$BT71*(VLOOKUP(DJ$4, Rates_current!$G$6:$Q$29, 10, FALSE)+VLOOKUP(DJ$4, Rates_current!$G$6:$Q$29, 11, FALSE))</f>
        <v>14876.5342737924</v>
      </c>
      <c r="DK71" s="227">
        <f>$BT71*(VLOOKUP(DK$4, Rates_current!$G$6:$Q$29, 10, FALSE)+VLOOKUP(DK$4, Rates_current!$G$6:$Q$29, 11, FALSE))</f>
        <v>18897.839352734103</v>
      </c>
      <c r="DL71" s="227">
        <f>$BT71*(VLOOKUP(DL$4, Rates_current!$G$6:$Q$29, 10, FALSE)+VLOOKUP(DL$4, Rates_current!$G$6:$Q$29, 11, FALSE))</f>
        <v>18669.622371492402</v>
      </c>
      <c r="DM71" s="227">
        <f>$BT71*(VLOOKUP(DM$4, Rates_current!$G$6:$Q$29, 10, FALSE)+VLOOKUP(DM$4, Rates_current!$G$6:$Q$29, 11, FALSE))</f>
        <v>15562.267360292402</v>
      </c>
      <c r="DN71" s="227">
        <f>$BT71*(VLOOKUP(DN$4, Rates_current!$G$6:$Q$29, 10, FALSE)+VLOOKUP(DN$4, Rates_current!$G$6:$Q$29, 11, FALSE))</f>
        <v>14097.79976792</v>
      </c>
      <c r="DO71" s="227">
        <f>$BT71*(VLOOKUP(DO$4, Rates_current!$G$6:$Q$29, 10, FALSE)+VLOOKUP(DO$4, Rates_current!$G$6:$Q$29, 11, FALSE))</f>
        <v>15681.231961420301</v>
      </c>
      <c r="DP71" s="227">
        <f>$BT71*(VLOOKUP(DP$4, Rates_current!$G$6:$Q$29, 10, FALSE)+VLOOKUP(DP$4, Rates_current!$G$6:$Q$29, 11, FALSE))</f>
        <v>12767.675984712001</v>
      </c>
      <c r="DQ71" s="227">
        <f>$BT71*(VLOOKUP(DQ$4, Rates_current!$G$6:$Q$29, 10, FALSE)+VLOOKUP(DQ$4, Rates_current!$G$6:$Q$29, 11, FALSE))</f>
        <v>17219.114936742404</v>
      </c>
      <c r="DR71" s="227">
        <f>$BT71*(VLOOKUP(DR$4, Rates_current!$G$6:$Q$29, 10, FALSE)+VLOOKUP(DR$4, Rates_current!$G$6:$Q$29, 11, FALSE))</f>
        <v>21970.419562762003</v>
      </c>
      <c r="DS71" s="227">
        <f>$BT71*(VLOOKUP(DS$4, Rates_current!$G$6:$Q$29, 10, FALSE)+VLOOKUP(DS$4, Rates_current!$G$6:$Q$29, 11, FALSE))</f>
        <v>17225.505575392403</v>
      </c>
      <c r="DT71" s="227">
        <f>$BT71*(VLOOKUP(DT$4, Rates_current!$G$6:$Q$29, 10, FALSE)+VLOOKUP(DT$4, Rates_current!$G$6:$Q$29, 11, FALSE))</f>
        <v>16774.212431442404</v>
      </c>
      <c r="DU71" s="227">
        <f>$BT71*(VLOOKUP(DU$4, Rates_current!$G$6:$Q$29, 10, FALSE)+VLOOKUP(DU$4, Rates_current!$G$6:$Q$29, 11, FALSE))</f>
        <v>15059.674428612003</v>
      </c>
      <c r="DV71" s="229">
        <f>IF(D71=0,IF(C71=0,MAX(0,DY71 - (VLOOKUP($A71,TOCA_current!$A$2:$AI$137,MATCH("RHWM 2020",TOCA_current!$A$2:$AI$2,0),FALSE)*$BT$2)), 0),0)</f>
        <v>10652.417469235195</v>
      </c>
      <c r="DW71" s="266">
        <f>VLOOKUP($A71,REP_current!$A$1:$D$135,MATCH("FY "&amp;$BT$1&amp; " Total Refund",REP_current!$A$1:$D$1,0),0)</f>
        <v>0</v>
      </c>
      <c r="DX71" s="295">
        <f>MIN(VLOOKUP($A71,TOCA_current!$A$2:$AI$137,MATCH("TRL - NLSL - Existing Resource "&amp;$BT$1,TOCA_current!$A$2:$AI$2,0),FALSE)*$BT$2, VLOOKUP($A71,TOCA_current!$A$2:$AI$137,MATCH("RHWM 2020",TOCA_current!$A$2:$AI$2,0),FALSE)*$BT$2)</f>
        <v>198799.48800000001</v>
      </c>
      <c r="DY71" s="240">
        <f>SUM(BZ71:CW71)+(BT71*RT1SC!$C$4*$BT$2)</f>
        <v>209451.90546923521</v>
      </c>
      <c r="DZ71" s="271">
        <f>VLOOKUP($A71,TOCA_current!$A$2:$AI$137,MATCH("Above RHWM Not Served with LS "&amp;$BT$1,TOCA_current!$A$2:$AI$2,0),FALSE)*$BT$2</f>
        <v>22109.327999999998</v>
      </c>
      <c r="EA71" s="244">
        <f t="shared" ref="EA71:EA134" si="29">DY71-DX71</f>
        <v>10652.417469235195</v>
      </c>
      <c r="EB71" s="295">
        <f>(VLOOKUP($A71,TOCA_current!$A$2:$AI$137,MATCH("RHWM 2020",TOCA_current!$A$2:$AI$2,0),FALSE)*$BT$2) - $DX71</f>
        <v>0</v>
      </c>
      <c r="EC71" s="240">
        <f t="shared" ref="EC71:EC134" si="30">IF(EA71&gt;0,IF(EB71&gt;0,(-1)*MIN(EA71,EB71),0),0)</f>
        <v>0</v>
      </c>
      <c r="ED71" s="240">
        <f t="shared" ref="ED71:ED134" si="31">IF(EA71&lt;0,IF(DZ71&lt;ABS(EA71),MAX(0,ABS($EA71)-(DZ71)),0),0)</f>
        <v>0</v>
      </c>
      <c r="EE71" s="240">
        <f t="shared" ref="EE71:EE134" si="32">IF(AND(DZ71&gt;0,EB71&gt;0),IF(AND(EA71&lt;=0,ABS(EA71)&lt;DZ71),(-1)*MIN(DZ71,DZ71-ABS(EA71),EB71),IF(AND(EA71&gt;0,EA71&lt;EB71),(-1)*MIN(DZ71,EB71-EA71),0)),0)</f>
        <v>0</v>
      </c>
      <c r="EF71" s="240">
        <f t="shared" ref="EF71:EF134" si="33">IF($D71=0,SUM(EC71:EE71),0)</f>
        <v>0</v>
      </c>
    </row>
    <row r="72" spans="1:136">
      <c r="A72" s="166">
        <v>10202</v>
      </c>
      <c r="B72" s="167" t="s">
        <v>73</v>
      </c>
      <c r="C72" s="240">
        <v>0</v>
      </c>
      <c r="D72" s="240">
        <v>0</v>
      </c>
      <c r="E72" s="150">
        <f>VLOOKUP($A72,TOCA_previous!$A$2:$AI$137,MATCH(E$4,TOCA_previous!$A$2:$AI$2,0),FALSE)</f>
        <v>1.8557999999999999E-3</v>
      </c>
      <c r="F72" s="151">
        <f>VLOOKUP($A72,TOCA_previous!$A$2:$AI$137,MATCH(F$4,TOCA_previous!$A$2:$AI$2,0),FALSE)</f>
        <v>1.8557999999999999E-3</v>
      </c>
      <c r="G72" s="151">
        <f t="shared" si="18"/>
        <v>0</v>
      </c>
      <c r="H72" s="151">
        <f>VLOOKUP($A72,TOCA_previous!$A$2:$AI$137,MATCH(H$4,TOCA_previous!$A$2:$AI$2,0),FALSE)</f>
        <v>0</v>
      </c>
      <c r="I72" s="151">
        <f t="shared" si="19"/>
        <v>0</v>
      </c>
      <c r="J72" s="151">
        <f t="shared" si="20"/>
        <v>0</v>
      </c>
      <c r="K72" s="226">
        <f>VLOOKUP(A72, IRD!$A$5:$C$139, 3, FALSE)</f>
        <v>0</v>
      </c>
      <c r="L72" s="227">
        <f t="array" ref="L72">IF($G72=0, INDEX(LS_previous!$D$4:$AY$138, MATCH('Staging Table'!$A72, LS_previous!$B$4:$B$138, 0), MATCH(L$4&amp;L$5, LS_previous!$D$2:$AY$2&amp;LS_previous!$D$3:$AY$3, 0)),SUM(VLOOKUP($A72, LS_previous!$B$4:$AY$138, LS_previous!D$149, FALSE), VLOOKUP('Staging Table'!$A72, LS_previous!$B$4:$AY$138,LS_previous!AB$149, FALSE))/2)</f>
        <v>1051</v>
      </c>
      <c r="M72" s="227">
        <f t="array" ref="M72">IF($G72=0, INDEX(LS_previous!$D$4:$AY$138, MATCH('Staging Table'!$A72, LS_previous!$B$4:$B$138, 0), MATCH(M$4&amp;M$5, LS_previous!$D$2:$AY$2&amp;LS_previous!$D$3:$AY$3, 0)),SUM(VLOOKUP($A72, LS_previous!$B$4:$AY$138, LS_previous!E$149, FALSE), VLOOKUP('Staging Table'!$A72, LS_previous!$B$4:$AY$138,LS_previous!AC$149, FALSE))/2)</f>
        <v>545</v>
      </c>
      <c r="N72" s="227">
        <f t="array" ref="N72">IF($G72=0, INDEX(LS_previous!$D$4:$AY$138, MATCH('Staging Table'!$A72, LS_previous!$B$4:$B$138, 0), MATCH(N$4&amp;N$5, LS_previous!$D$2:$AY$2&amp;LS_previous!$D$3:$AY$3, 0)),SUM(VLOOKUP($A72, LS_previous!$B$4:$AY$138, LS_previous!F$149, FALSE), VLOOKUP('Staging Table'!$A72, LS_previous!$B$4:$AY$138,LS_previous!AD$149, FALSE))/2)</f>
        <v>103</v>
      </c>
      <c r="O72" s="227">
        <f t="array" ref="O72">IF($G72=0, INDEX(LS_previous!$D$4:$AY$138, MATCH('Staging Table'!$A72, LS_previous!$B$4:$B$138, 0), MATCH(O$4&amp;O$5, LS_previous!$D$2:$AY$2&amp;LS_previous!$D$3:$AY$3, 0)),SUM(VLOOKUP($A72, LS_previous!$B$4:$AY$138, LS_previous!G$149, FALSE), VLOOKUP('Staging Table'!$A72, LS_previous!$B$4:$AY$138,LS_previous!AE$149, FALSE))/2)</f>
        <v>354</v>
      </c>
      <c r="P72" s="227">
        <f t="array" ref="P72">IF($G72=0, INDEX(LS_previous!$D$4:$AY$138, MATCH('Staging Table'!$A72, LS_previous!$B$4:$B$138, 0), MATCH(P$4&amp;P$5, LS_previous!$D$2:$AY$2&amp;LS_previous!$D$3:$AY$3, 0)),SUM(VLOOKUP($A72, LS_previous!$B$4:$AY$138, LS_previous!H$149, FALSE), VLOOKUP('Staging Table'!$A72, LS_previous!$B$4:$AY$138,LS_previous!AF$149, FALSE))/2)</f>
        <v>959</v>
      </c>
      <c r="Q72" s="227">
        <f t="array" ref="Q72">IF($G72=0, INDEX(LS_previous!$D$4:$AY$138, MATCH('Staging Table'!$A72, LS_previous!$B$4:$B$138, 0), MATCH(Q$4&amp;Q$5, LS_previous!$D$2:$AY$2&amp;LS_previous!$D$3:$AY$3, 0)),SUM(VLOOKUP($A72, LS_previous!$B$4:$AY$138, LS_previous!I$149, FALSE), VLOOKUP('Staging Table'!$A72, LS_previous!$B$4:$AY$138,LS_previous!AG$149, FALSE))/2)</f>
        <v>1264</v>
      </c>
      <c r="R72" s="227">
        <f t="array" ref="R72">IF($G72=0, INDEX(LS_previous!$D$4:$AY$138, MATCH('Staging Table'!$A72, LS_previous!$B$4:$B$138, 0), MATCH(R$4&amp;R$5, LS_previous!$D$2:$AY$2&amp;LS_previous!$D$3:$AY$3, 0)),SUM(VLOOKUP($A72, LS_previous!$B$4:$AY$138, LS_previous!J$149, FALSE), VLOOKUP('Staging Table'!$A72, LS_previous!$B$4:$AY$138,LS_previous!AH$149, FALSE))/2)</f>
        <v>1675</v>
      </c>
      <c r="S72" s="227">
        <f t="array" ref="S72">IF($G72=0, INDEX(LS_previous!$D$4:$AY$138, MATCH('Staging Table'!$A72, LS_previous!$B$4:$B$138, 0), MATCH(S$4&amp;S$5, LS_previous!$D$2:$AY$2&amp;LS_previous!$D$3:$AY$3, 0)),SUM(VLOOKUP($A72, LS_previous!$B$4:$AY$138, LS_previous!K$149, FALSE), VLOOKUP('Staging Table'!$A72, LS_previous!$B$4:$AY$138,LS_previous!AI$149, FALSE))/2)</f>
        <v>1138</v>
      </c>
      <c r="T72" s="227">
        <f t="array" ref="T72">IF($G72=0, INDEX(LS_previous!$D$4:$AY$138, MATCH('Staging Table'!$A72, LS_previous!$B$4:$B$138, 0), MATCH(T$4&amp;T$5, LS_previous!$D$2:$AY$2&amp;LS_previous!$D$3:$AY$3, 0)),SUM(VLOOKUP($A72, LS_previous!$B$4:$AY$138, LS_previous!L$149, FALSE), VLOOKUP('Staging Table'!$A72, LS_previous!$B$4:$AY$138,LS_previous!AJ$149, FALSE))/2)</f>
        <v>1681</v>
      </c>
      <c r="U72" s="227">
        <f t="array" ref="U72">IF($G72=0, INDEX(LS_previous!$D$4:$AY$138, MATCH('Staging Table'!$A72, LS_previous!$B$4:$B$138, 0), MATCH(U$4&amp;U$5, LS_previous!$D$2:$AY$2&amp;LS_previous!$D$3:$AY$3, 0)),SUM(VLOOKUP($A72, LS_previous!$B$4:$AY$138, LS_previous!M$149, FALSE), VLOOKUP('Staging Table'!$A72, LS_previous!$B$4:$AY$138,LS_previous!AK$149, FALSE))/2)</f>
        <v>992</v>
      </c>
      <c r="V72" s="227">
        <f t="array" ref="V72">IF($G72=0, INDEX(LS_previous!$D$4:$AY$138, MATCH('Staging Table'!$A72, LS_previous!$B$4:$B$138, 0), MATCH(V$4&amp;V$5, LS_previous!$D$2:$AY$2&amp;LS_previous!$D$3:$AY$3, 0)),SUM(VLOOKUP($A72, LS_previous!$B$4:$AY$138, LS_previous!N$149, FALSE), VLOOKUP('Staging Table'!$A72, LS_previous!$B$4:$AY$138,LS_previous!AL$149, FALSE))/2)</f>
        <v>-21</v>
      </c>
      <c r="W72" s="227">
        <f t="array" ref="W72">IF($G72=0, INDEX(LS_previous!$D$4:$AY$138, MATCH('Staging Table'!$A72, LS_previous!$B$4:$B$138, 0), MATCH(W$4&amp;W$5, LS_previous!$D$2:$AY$2&amp;LS_previous!$D$3:$AY$3, 0)),SUM(VLOOKUP($A72, LS_previous!$B$4:$AY$138, LS_previous!O$149, FALSE), VLOOKUP('Staging Table'!$A72, LS_previous!$B$4:$AY$138,LS_previous!AM$149, FALSE))/2)</f>
        <v>229</v>
      </c>
      <c r="X72" s="227">
        <f t="array" ref="X72">IF($G72=0, INDEX(LS_previous!$D$4:$AY$138, MATCH('Staging Table'!$A72, LS_previous!$B$4:$B$138, 0), MATCH(X$4&amp;X$5, LS_previous!$D$2:$AY$2&amp;LS_previous!$D$3:$AY$3, 0)),SUM(VLOOKUP($A72, LS_previous!$B$4:$AY$138, LS_previous!P$149, FALSE), VLOOKUP('Staging Table'!$A72, LS_previous!$B$4:$AY$138,LS_previous!AN$149, FALSE))/2)</f>
        <v>-306</v>
      </c>
      <c r="Y72" s="227">
        <f t="array" ref="Y72">IF($G72=0, INDEX(LS_previous!$D$4:$AY$138, MATCH('Staging Table'!$A72, LS_previous!$B$4:$B$138, 0), MATCH(Y$4&amp;Y$5, LS_previous!$D$2:$AY$2&amp;LS_previous!$D$3:$AY$3, 0)),SUM(VLOOKUP($A72, LS_previous!$B$4:$AY$138, LS_previous!Q$149, FALSE), VLOOKUP('Staging Table'!$A72, LS_previous!$B$4:$AY$138,LS_previous!AO$149, FALSE))/2)</f>
        <v>-219</v>
      </c>
      <c r="Z72" s="227">
        <f t="array" ref="Z72">IF($G72=0, INDEX(LS_previous!$D$4:$AY$138, MATCH('Staging Table'!$A72, LS_previous!$B$4:$B$138, 0), MATCH(Z$4&amp;Z$5, LS_previous!$D$2:$AY$2&amp;LS_previous!$D$3:$AY$3, 0)),SUM(VLOOKUP($A72, LS_previous!$B$4:$AY$138, LS_previous!R$149, FALSE), VLOOKUP('Staging Table'!$A72, LS_previous!$B$4:$AY$138,LS_previous!AP$149, FALSE))/2)</f>
        <v>-3727</v>
      </c>
      <c r="AA72" s="227">
        <f t="array" ref="AA72">IF($G72=0, INDEX(LS_previous!$D$4:$AY$138, MATCH('Staging Table'!$A72, LS_previous!$B$4:$B$138, 0), MATCH(AA$4&amp;AA$5, LS_previous!$D$2:$AY$2&amp;LS_previous!$D$3:$AY$3, 0)),SUM(VLOOKUP($A72, LS_previous!$B$4:$AY$138, LS_previous!S$149, FALSE), VLOOKUP('Staging Table'!$A72, LS_previous!$B$4:$AY$138,LS_previous!AQ$149, FALSE))/2)</f>
        <v>-1915</v>
      </c>
      <c r="AB72" s="227">
        <f t="array" ref="AB72">IF($G72=0, INDEX(LS_previous!$D$4:$AY$138, MATCH('Staging Table'!$A72, LS_previous!$B$4:$B$138, 0), MATCH(AB$4&amp;AB$5, LS_previous!$D$2:$AY$2&amp;LS_previous!$D$3:$AY$3, 0)),SUM(VLOOKUP($A72, LS_previous!$B$4:$AY$138, LS_previous!T$149, FALSE), VLOOKUP('Staging Table'!$A72, LS_previous!$B$4:$AY$138,LS_previous!AR$149, FALSE))/2)</f>
        <v>-2127</v>
      </c>
      <c r="AC72" s="227">
        <f t="array" ref="AC72">IF($G72=0, INDEX(LS_previous!$D$4:$AY$138, MATCH('Staging Table'!$A72, LS_previous!$B$4:$B$138, 0), MATCH(AC$4&amp;AC$5, LS_previous!$D$2:$AY$2&amp;LS_previous!$D$3:$AY$3, 0)),SUM(VLOOKUP($A72, LS_previous!$B$4:$AY$138, LS_previous!U$149, FALSE), VLOOKUP('Staging Table'!$A72, LS_previous!$B$4:$AY$138,LS_previous!AS$149, FALSE))/2)</f>
        <v>-1267</v>
      </c>
      <c r="AD72" s="227">
        <f t="array" ref="AD72">IF($G72=0, INDEX(LS_previous!$D$4:$AY$138, MATCH('Staging Table'!$A72, LS_previous!$B$4:$B$138, 0), MATCH(AD$4&amp;AD$5, LS_previous!$D$2:$AY$2&amp;LS_previous!$D$3:$AY$3, 0)),SUM(VLOOKUP($A72, LS_previous!$B$4:$AY$138, LS_previous!V$149, FALSE), VLOOKUP('Staging Table'!$A72, LS_previous!$B$4:$AY$138,LS_previous!AT$149, FALSE))/2)</f>
        <v>-944</v>
      </c>
      <c r="AE72" s="227">
        <f t="array" ref="AE72">IF($G72=0, INDEX(LS_previous!$D$4:$AY$138, MATCH('Staging Table'!$A72, LS_previous!$B$4:$B$138, 0), MATCH(AE$4&amp;AE$5, LS_previous!$D$2:$AY$2&amp;LS_previous!$D$3:$AY$3, 0)),SUM(VLOOKUP($A72, LS_previous!$B$4:$AY$138, LS_previous!W$149, FALSE), VLOOKUP('Staging Table'!$A72, LS_previous!$B$4:$AY$138,LS_previous!AU$149, FALSE))/2)</f>
        <v>-508</v>
      </c>
      <c r="AF72" s="227">
        <f t="array" ref="AF72">IF($G72=0, INDEX(LS_previous!$D$4:$AY$138, MATCH('Staging Table'!$A72, LS_previous!$B$4:$B$138, 0), MATCH(AF$4&amp;AF$5, LS_previous!$D$2:$AY$2&amp;LS_previous!$D$3:$AY$3, 0)),SUM(VLOOKUP($A72, LS_previous!$B$4:$AY$138, LS_previous!X$149, FALSE), VLOOKUP('Staging Table'!$A72, LS_previous!$B$4:$AY$138,LS_previous!AV$149, FALSE))/2)</f>
        <v>-589</v>
      </c>
      <c r="AG72" s="227">
        <f t="array" ref="AG72">IF($G72=0, INDEX(LS_previous!$D$4:$AY$138, MATCH('Staging Table'!$A72, LS_previous!$B$4:$B$138, 0), MATCH(AG$4&amp;AG$5, LS_previous!$D$2:$AY$2&amp;LS_previous!$D$3:$AY$3, 0)),SUM(VLOOKUP($A72, LS_previous!$B$4:$AY$138, LS_previous!Y$149, FALSE), VLOOKUP('Staging Table'!$A72, LS_previous!$B$4:$AY$138,LS_previous!AW$149, FALSE))/2)</f>
        <v>147</v>
      </c>
      <c r="AH72" s="227">
        <f t="array" ref="AH72">IF($G72=0, INDEX(LS_previous!$D$4:$AY$138, MATCH('Staging Table'!$A72, LS_previous!$B$4:$B$138, 0), MATCH(AH$4&amp;AH$5, LS_previous!$D$2:$AY$2&amp;LS_previous!$D$3:$AY$3, 0)),SUM(VLOOKUP($A72, LS_previous!$B$4:$AY$138, LS_previous!Z$149, FALSE), VLOOKUP('Staging Table'!$A72, LS_previous!$B$4:$AY$138,LS_previous!AX$149, FALSE))/2)</f>
        <v>794</v>
      </c>
      <c r="AI72" s="227">
        <f t="array" ref="AI72">IF($G72=0, INDEX(LS_previous!$D$4:$AY$138, MATCH('Staging Table'!$A72, LS_previous!$B$4:$B$138, 0), MATCH(AI$4&amp;AI$5, LS_previous!$D$2:$AY$2&amp;LS_previous!$D$3:$AY$3, 0)),SUM(VLOOKUP($A72, LS_previous!$B$4:$AY$138, LS_previous!AA$149, FALSE), VLOOKUP('Staging Table'!$A72, LS_previous!$B$4:$AY$138,LS_previous!AY$149, FALSE))/2)</f>
        <v>569</v>
      </c>
      <c r="AJ72" s="424">
        <f t="array" ref="AJ72">INDEX(Demand_previous!$D$4:$AY$138, MATCH('Staging Table'!$A72, Demand_previous!$B$4:$B$138, 0), MATCH(AJ$4&amp;AJ$5,Demand_previous!$D$2:$AY$2&amp;Demand_previous!$D$3:$AY$3, 0))/1000</f>
        <v>2.661</v>
      </c>
      <c r="AK72" s="424">
        <f t="array" ref="AK72">INDEX(Demand_previous!$D$4:$AY$138, MATCH('Staging Table'!$A72, Demand_previous!$B$4:$B$138, 0), MATCH(AK$4&amp;AK$5,Demand_previous!$D$2:$AY$2&amp;Demand_previous!$D$3:$AY$3, 0))/1000</f>
        <v>3.1259999999999999</v>
      </c>
      <c r="AL72" s="424">
        <f t="array" ref="AL72">INDEX(Demand_previous!$D$4:$AY$138, MATCH('Staging Table'!$A72, Demand_previous!$B$4:$B$138, 0), MATCH(AL$4&amp;AL$5,Demand_previous!$D$2:$AY$2&amp;Demand_previous!$D$3:$AY$3, 0))/1000</f>
        <v>3.6850000000000001</v>
      </c>
      <c r="AM72" s="424">
        <f t="array" ref="AM72">INDEX(Demand_previous!$D$4:$AY$138, MATCH('Staging Table'!$A72, Demand_previous!$B$4:$B$138, 0), MATCH(AM$4&amp;AM$5,Demand_previous!$D$2:$AY$2&amp;Demand_previous!$D$3:$AY$3, 0))/1000</f>
        <v>2.706</v>
      </c>
      <c r="AN72" s="424">
        <f t="array" ref="AN72">INDEX(Demand_previous!$D$4:$AY$138, MATCH('Staging Table'!$A72, Demand_previous!$B$4:$B$138, 0), MATCH(AN$4&amp;AN$5,Demand_previous!$D$2:$AY$2&amp;Demand_previous!$D$3:$AY$3, 0))/1000</f>
        <v>2.68</v>
      </c>
      <c r="AO72" s="424">
        <f t="array" ref="AO72">INDEX(Demand_previous!$D$4:$AY$138, MATCH('Staging Table'!$A72, Demand_previous!$B$4:$B$138, 0), MATCH(AO$4&amp;AO$5,Demand_previous!$D$2:$AY$2&amp;Demand_previous!$D$3:$AY$3, 0))/1000</f>
        <v>4.5369999999999999</v>
      </c>
      <c r="AP72" s="424">
        <f t="array" ref="AP72">INDEX(Demand_previous!$D$4:$AY$138, MATCH('Staging Table'!$A72, Demand_previous!$B$4:$B$138, 0), MATCH(AP$4&amp;AP$5,Demand_previous!$D$2:$AY$2&amp;Demand_previous!$D$3:$AY$3, 0))/1000</f>
        <v>0</v>
      </c>
      <c r="AQ72" s="424">
        <f t="array" ref="AQ72">INDEX(Demand_previous!$D$4:$AY$138, MATCH('Staging Table'!$A72, Demand_previous!$B$4:$B$138, 0), MATCH(AQ$4&amp;AQ$5,Demand_previous!$D$2:$AY$2&amp;Demand_previous!$D$3:$AY$3, 0))/1000</f>
        <v>0.92200000000000004</v>
      </c>
      <c r="AR72" s="424">
        <f t="array" ref="AR72">INDEX(Demand_previous!$D$4:$AY$138, MATCH('Staging Table'!$A72, Demand_previous!$B$4:$B$138, 0), MATCH(AR$4&amp;AR$5,Demand_previous!$D$2:$AY$2&amp;Demand_previous!$D$3:$AY$3, 0))/1000</f>
        <v>0.96799999999999997</v>
      </c>
      <c r="AS72" s="424">
        <f t="array" ref="AS72">INDEX(Demand_previous!$D$4:$AY$138, MATCH('Staging Table'!$A72, Demand_previous!$B$4:$B$138, 0), MATCH(AS$4&amp;AS$5,Demand_previous!$D$2:$AY$2&amp;Demand_previous!$D$3:$AY$3, 0))/1000</f>
        <v>1.5369999999999999</v>
      </c>
      <c r="AT72" s="424">
        <f t="array" ref="AT72">INDEX(Demand_previous!$D$4:$AY$138, MATCH('Staging Table'!$A72, Demand_previous!$B$4:$B$138, 0), MATCH(AT$4&amp;AT$5,Demand_previous!$D$2:$AY$2&amp;Demand_previous!$D$3:$AY$3, 0))/1000</f>
        <v>2.625</v>
      </c>
      <c r="AU72" s="424">
        <f t="array" ref="AU72">INDEX(Demand_previous!$D$4:$AY$138, MATCH('Staging Table'!$A72, Demand_previous!$B$4:$B$138, 0), MATCH(AU$4&amp;AU$5,Demand_previous!$D$2:$AY$2&amp;Demand_previous!$D$3:$AY$3, 0))/1000</f>
        <v>0.88700000000000001</v>
      </c>
      <c r="AV72" s="227">
        <f>$F72*(VLOOKUP(AV$4, Rates_previous!$G$6:$Q$29, 10, FALSE)+VLOOKUP(AV$4, Rates_previous!$G$6:$Q$29, 11, FALSE))</f>
        <v>8701.5451194424331</v>
      </c>
      <c r="AW72" s="227">
        <f>$F72*(VLOOKUP(AW$4, Rates_previous!$G$6:$Q$29, 10, FALSE)+VLOOKUP(AW$4, Rates_previous!$G$6:$Q$29, 11, FALSE))</f>
        <v>10754.448415153165</v>
      </c>
      <c r="AX72" s="227">
        <f>$F72*(VLOOKUP(AX$4, Rates_previous!$G$6:$Q$29, 10, FALSE)+VLOOKUP(AX$4, Rates_previous!$G$6:$Q$29, 11, FALSE))</f>
        <v>10625.300352628788</v>
      </c>
      <c r="AY72" s="227">
        <f>$F72*(VLOOKUP(AY$4, Rates_previous!$G$6:$Q$29, 10, FALSE)+VLOOKUP(AY$4, Rates_previous!$G$6:$Q$29, 11, FALSE))</f>
        <v>9078.3063929339278</v>
      </c>
      <c r="AZ72" s="227">
        <f>$F72*(VLOOKUP(AZ$4, Rates_previous!$G$6:$Q$29, 10, FALSE)+VLOOKUP(AZ$4, Rates_previous!$G$6:$Q$29, 11, FALSE))</f>
        <v>7442.4503126936506</v>
      </c>
      <c r="BA72" s="227">
        <f>$F72*(VLOOKUP(BA$4, Rates_previous!$G$6:$Q$29, 10, FALSE)+VLOOKUP(BA$4, Rates_previous!$G$6:$Q$29, 11, FALSE))</f>
        <v>8811.5908353453196</v>
      </c>
      <c r="BB72" s="227">
        <f>$F72*(VLOOKUP(BB$4, Rates_previous!$G$6:$Q$29, 10, FALSE)+VLOOKUP(BB$4, Rates_previous!$G$6:$Q$29, 11, FALSE))</f>
        <v>8469.2205168504188</v>
      </c>
      <c r="BC72" s="227">
        <f>$F72*(VLOOKUP(BC$4, Rates_previous!$G$6:$Q$29, 10, FALSE)+VLOOKUP(BC$4, Rates_previous!$G$6:$Q$29, 11, FALSE))</f>
        <v>12427.981803164919</v>
      </c>
      <c r="BD72" s="227">
        <f>$F72*(VLOOKUP(BD$4, Rates_previous!$G$6:$Q$29, 10, FALSE)+VLOOKUP(BD$4, Rates_previous!$G$6:$Q$29, 11, FALSE))</f>
        <v>9805.3491671341089</v>
      </c>
      <c r="BE72" s="227">
        <f>$F72*(VLOOKUP(BE$4, Rates_previous!$G$6:$Q$29, 10, FALSE)+VLOOKUP(BE$4, Rates_previous!$G$6:$Q$29, 11, FALSE))</f>
        <v>8609.9195859254651</v>
      </c>
      <c r="BF72" s="227">
        <f>$F72*(VLOOKUP(BF$4, Rates_previous!$G$6:$Q$29, 10, FALSE)+VLOOKUP(BF$4, Rates_previous!$G$6:$Q$29, 11, FALSE))</f>
        <v>9535.8305768009632</v>
      </c>
      <c r="BG72" s="227">
        <f>$F72*(VLOOKUP(BG$4, Rates_previous!$G$6:$Q$29, 10, FALSE)+VLOOKUP(BG$4, Rates_previous!$G$6:$Q$29, 11, FALSE))</f>
        <v>8639.083286366551</v>
      </c>
      <c r="BH72" s="229">
        <f>IF($D72=0,IF(C72=0, MAX(BK72 - (VLOOKUP($A72,TOCA_previous!$A$2:$AI$137,MATCH("RHWM 2018",TOCA_previous!$A$2:$AI$2,0),FALSE)*$F$2*TOCA_previous!C69),0),0), 0)</f>
        <v>0</v>
      </c>
      <c r="BI72" s="266">
        <f>VLOOKUP($A72,REP_previous!$A$1:$D$135,MATCH("FY "&amp;$F$1&amp; " Total Refund",REP_previous!$A$1:$D$1,0),0)</f>
        <v>163397.78896729407</v>
      </c>
      <c r="BJ72" s="241">
        <f>MIN(VLOOKUP($A72,TOCA_previous!$A$2:$AI$137,MATCH("TRL - NLSL - Existing Resource "&amp;$F$1,TOCA_previous!$A$2:$AI$2,0),FALSE)*$F$2,(VLOOKUP($A72,TOCA_previous!$A$2:$AI$137,MATCH("RHWM 2018",TOCA_previous!$A$2:$AI$2,0),FALSE)*$F$2))</f>
        <v>112898.88</v>
      </c>
      <c r="BK72" s="229">
        <f>SUM(L72:AI72)+(F72*RT1SC!$C$3*$F$2)</f>
        <v>112779.02801156799</v>
      </c>
      <c r="BL72" s="241">
        <f>VLOOKUP($A72,TOCA_previous!$A$2:$AI$137,MATCH("Above RHWM Not Served with LS "&amp;$F$1,TOCA_previous!$A$2:$AI$2,0),FALSE)*$F$2</f>
        <v>13183.8</v>
      </c>
      <c r="BM72" s="151">
        <f t="shared" si="21"/>
        <v>-119.85198843201215</v>
      </c>
      <c r="BN72" s="242">
        <f>(VLOOKUP($A72,TOCA_previous!$A$2:$AI$137,MATCH("RHWM 2018",TOCA_previous!$A$2:$AI$2,0),FALSE)*$F$2) - $BJ72</f>
        <v>0</v>
      </c>
      <c r="BO72" s="151">
        <f t="shared" si="22"/>
        <v>0</v>
      </c>
      <c r="BP72" s="243">
        <f t="shared" si="23"/>
        <v>0</v>
      </c>
      <c r="BQ72" s="237">
        <f t="shared" si="24"/>
        <v>0</v>
      </c>
      <c r="BR72" s="242">
        <f t="shared" si="25"/>
        <v>0</v>
      </c>
      <c r="BS72" s="151">
        <f>VLOOKUP($A72,TOCA_current!$A$2:$AI$137,MATCH(BS$4,TOCA_current!$A$2:$AI$2,0),FALSE)</f>
        <v>1.8548E-3</v>
      </c>
      <c r="BT72" s="151">
        <f>VLOOKUP($A72,TOCA_current!$A$2:$AI$137,MATCH(BT$4,TOCA_current!$A$2:$AI$2,0),FALSE)</f>
        <v>1.8548E-3</v>
      </c>
      <c r="BU72" s="236">
        <f t="shared" si="26"/>
        <v>0</v>
      </c>
      <c r="BV72" s="151">
        <f>VLOOKUP($A72,TOCA_current!A68:BG203,MATCH(BV$4,TOCA_current!$A$2:$BG$2,0),FALSE)</f>
        <v>0</v>
      </c>
      <c r="BW72" s="151">
        <f t="shared" si="27"/>
        <v>0</v>
      </c>
      <c r="BX72" s="151">
        <f t="shared" si="28"/>
        <v>0</v>
      </c>
      <c r="BY72" s="226">
        <f>VLOOKUP($A72,IRD!$A$4:$G$139, 7, FALSE)</f>
        <v>0</v>
      </c>
      <c r="BZ72" s="227">
        <f t="array" ref="BZ72">IF($BU72=0, INDEX(LS_current!$D$4:$AY$138, MATCH('Staging Table'!$A72, LS_current!$B$4:$B$138, 0), MATCH(BZ$4&amp;BZ$5, LS_current!$D$2:$AY$2&amp;LS_current!$D$3:$AY$3, 0)),SUM(VLOOKUP($A72, LS_current!$B$4:$AY$138, LS_current!D$148, FALSE), VLOOKUP($A72, LS_current!$B$4:$AY$138,LS_current!D$148, FALSE))/2)</f>
        <v>1007</v>
      </c>
      <c r="CA72" s="227">
        <f t="array" ref="CA72">IF($BU72=0, INDEX(LS_current!$D$4:$AY$138, MATCH('Staging Table'!$A72, LS_current!$B$4:$B$138, 0), MATCH(CA$4&amp;CA$5, LS_current!$D$2:$AY$2&amp;LS_current!$D$3:$AY$3, 0)),SUM(VLOOKUP($A72, LS_current!$B$4:$AY$138, LS_current!E$148, FALSE), VLOOKUP($A72, LS_current!$B$4:$AY$138,LS_current!E$148, FALSE))/2)</f>
        <v>557</v>
      </c>
      <c r="CB72" s="227">
        <f t="array" ref="CB72">IF($BU72=0, INDEX(LS_current!$D$4:$AY$138, MATCH('Staging Table'!$A72, LS_current!$B$4:$B$138, 0), MATCH(CB$4&amp;CB$5, LS_current!$D$2:$AY$2&amp;LS_current!$D$3:$AY$3, 0)),SUM(VLOOKUP($A72, LS_current!$B$4:$AY$138, LS_current!F$148, FALSE), VLOOKUP($A72, LS_current!$B$4:$AY$138,LS_current!F$148, FALSE))/2)</f>
        <v>-33</v>
      </c>
      <c r="CC72" s="227">
        <f t="array" ref="CC72">IF($BU72=0, INDEX(LS_current!$D$4:$AY$138, MATCH('Staging Table'!$A72, LS_current!$B$4:$B$138, 0), MATCH(CC$4&amp;CC$5, LS_current!$D$2:$AY$2&amp;LS_current!$D$3:$AY$3, 0)),SUM(VLOOKUP($A72, LS_current!$B$4:$AY$138, LS_current!G$148, FALSE), VLOOKUP($A72, LS_current!$B$4:$AY$138,LS_current!G$148, FALSE))/2)</f>
        <v>200</v>
      </c>
      <c r="CD72" s="227">
        <f t="array" ref="CD72">IF($BU72=0, INDEX(LS_current!$D$4:$AY$138, MATCH('Staging Table'!$A72, LS_current!$B$4:$B$138, 0), MATCH(CD$4&amp;CD$5, LS_current!$D$2:$AY$2&amp;LS_current!$D$3:$AY$3, 0)),SUM(VLOOKUP($A72, LS_current!$B$4:$AY$138, LS_current!H$148, FALSE), VLOOKUP($A72, LS_current!$B$4:$AY$138,LS_current!H$148, FALSE))/2)</f>
        <v>812</v>
      </c>
      <c r="CE72" s="227">
        <f t="array" ref="CE72">IF($BU72=0, INDEX(LS_current!$D$4:$AY$138, MATCH('Staging Table'!$A72, LS_current!$B$4:$B$138, 0), MATCH(CE$4&amp;CE$5, LS_current!$D$2:$AY$2&amp;LS_current!$D$3:$AY$3, 0)),SUM(VLOOKUP($A72, LS_current!$B$4:$AY$138, LS_current!I$148, FALSE), VLOOKUP($A72, LS_current!$B$4:$AY$138,LS_current!I$148, FALSE))/2)</f>
        <v>1118</v>
      </c>
      <c r="CF72" s="227">
        <f t="array" ref="CF72">IF($BU72=0, INDEX(LS_current!$D$4:$AY$138, MATCH('Staging Table'!$A72, LS_current!$B$4:$B$138, 0), MATCH(CF$4&amp;CF$5, LS_current!$D$2:$AY$2&amp;LS_current!$D$3:$AY$3, 0)),SUM(VLOOKUP($A72, LS_current!$B$4:$AY$138, LS_current!J$148, FALSE), VLOOKUP($A72, LS_current!$B$4:$AY$138,LS_current!J$148, FALSE))/2)</f>
        <v>1558</v>
      </c>
      <c r="CG72" s="227">
        <f t="array" ref="CG72">IF($BU72=0, INDEX(LS_current!$D$4:$AY$138, MATCH('Staging Table'!$A72, LS_current!$B$4:$B$138, 0), MATCH(CG$4&amp;CG$5, LS_current!$D$2:$AY$2&amp;LS_current!$D$3:$AY$3, 0)),SUM(VLOOKUP($A72, LS_current!$B$4:$AY$138, LS_current!K$148, FALSE), VLOOKUP($A72, LS_current!$B$4:$AY$138,LS_current!K$148, FALSE))/2)</f>
        <v>1204</v>
      </c>
      <c r="CH72" s="227">
        <f t="array" ref="CH72">IF($BU72=0, INDEX(LS_current!$D$4:$AY$138, MATCH('Staging Table'!$A72, LS_current!$B$4:$B$138, 0), MATCH(CH$4&amp;CH$5, LS_current!$D$2:$AY$2&amp;LS_current!$D$3:$AY$3, 0)),SUM(VLOOKUP($A72, LS_current!$B$4:$AY$138, LS_current!L$148, FALSE), VLOOKUP($A72, LS_current!$B$4:$AY$138,LS_current!L$148, FALSE))/2)</f>
        <v>1147</v>
      </c>
      <c r="CI72" s="227">
        <f t="array" ref="CI72">IF($BU72=0, INDEX(LS_current!$D$4:$AY$138, MATCH('Staging Table'!$A72, LS_current!$B$4:$B$138, 0), MATCH(CI$4&amp;CI$5, LS_current!$D$2:$AY$2&amp;LS_current!$D$3:$AY$3, 0)),SUM(VLOOKUP($A72, LS_current!$B$4:$AY$138, LS_current!M$148, FALSE), VLOOKUP($A72, LS_current!$B$4:$AY$138,LS_current!M$148, FALSE))/2)</f>
        <v>658</v>
      </c>
      <c r="CJ72" s="227">
        <f t="array" ref="CJ72">IF($BU72=0, INDEX(LS_current!$D$4:$AY$138, MATCH('Staging Table'!$A72, LS_current!$B$4:$B$138, 0), MATCH(CJ$4&amp;CJ$5, LS_current!$D$2:$AY$2&amp;LS_current!$D$3:$AY$3, 0)),SUM(VLOOKUP($A72, LS_current!$B$4:$AY$138, LS_current!N$148, FALSE), VLOOKUP($A72, LS_current!$B$4:$AY$138,LS_current!N$148, FALSE))/2)</f>
        <v>-260</v>
      </c>
      <c r="CK72" s="227">
        <f t="array" ref="CK72">IF($BU72=0, INDEX(LS_current!$D$4:$AY$138, MATCH('Staging Table'!$A72, LS_current!$B$4:$B$138, 0), MATCH(CK$4&amp;CK$5, LS_current!$D$2:$AY$2&amp;LS_current!$D$3:$AY$3, 0)),SUM(VLOOKUP($A72, LS_current!$B$4:$AY$138, LS_current!O$148, FALSE), VLOOKUP($A72, LS_current!$B$4:$AY$138,LS_current!O$148, FALSE))/2)</f>
        <v>82</v>
      </c>
      <c r="CL72" s="227">
        <f t="array" ref="CL72">IF($BU72=0, INDEX(LS_current!$D$4:$AY$138, MATCH('Staging Table'!$A72, LS_current!$B$4:$B$138, 0), MATCH(CL$4&amp;CL$5, LS_current!$D$2:$AY$2&amp;LS_current!$D$3:$AY$3, 0)),SUM(VLOOKUP($A72, LS_current!$B$4:$AY$138, LS_current!P$148, FALSE), VLOOKUP($A72, LS_current!$B$4:$AY$138,LS_current!P$148, FALSE))/2)</f>
        <v>396</v>
      </c>
      <c r="CM72" s="227">
        <f t="array" ref="CM72">IF($BU72=0, INDEX(LS_current!$D$4:$AY$138, MATCH('Staging Table'!$A72, LS_current!$B$4:$B$138, 0), MATCH(CM$4&amp;CM$5, LS_current!$D$2:$AY$2&amp;LS_current!$D$3:$AY$3, 0)),SUM(VLOOKUP($A72, LS_current!$B$4:$AY$138, LS_current!Q$148, FALSE), VLOOKUP($A72, LS_current!$B$4:$AY$138,LS_current!Q$148, FALSE))/2)</f>
        <v>33</v>
      </c>
      <c r="CN72" s="227">
        <f t="array" ref="CN72">IF($BU72=0, INDEX(LS_current!$D$4:$AY$138, MATCH('Staging Table'!$A72, LS_current!$B$4:$B$138, 0), MATCH(CN$4&amp;CN$5, LS_current!$D$2:$AY$2&amp;LS_current!$D$3:$AY$3, 0)),SUM(VLOOKUP($A72, LS_current!$B$4:$AY$138, LS_current!R$148, FALSE), VLOOKUP($A72, LS_current!$B$4:$AY$138,LS_current!R$148, FALSE))/2)</f>
        <v>-2306</v>
      </c>
      <c r="CO72" s="227">
        <f t="array" ref="CO72">IF($BU72=0, INDEX(LS_current!$D$4:$AY$138, MATCH('Staging Table'!$A72, LS_current!$B$4:$B$138, 0), MATCH(CO$4&amp;CO$5, LS_current!$D$2:$AY$2&amp;LS_current!$D$3:$AY$3, 0)),SUM(VLOOKUP($A72, LS_current!$B$4:$AY$138, LS_current!S$148, FALSE), VLOOKUP($A72, LS_current!$B$4:$AY$138,LS_current!S$148, FALSE))/2)</f>
        <v>-991</v>
      </c>
      <c r="CP72" s="227">
        <f t="array" ref="CP72">IF($BU72=0, INDEX(LS_current!$D$4:$AY$138, MATCH('Staging Table'!$A72, LS_current!$B$4:$B$138, 0), MATCH(CP$4&amp;CP$5, LS_current!$D$2:$AY$2&amp;LS_current!$D$3:$AY$3, 0)),SUM(VLOOKUP($A72, LS_current!$B$4:$AY$138, LS_current!T$148, FALSE), VLOOKUP($A72, LS_current!$B$4:$AY$138,LS_current!T$148, FALSE))/2)</f>
        <v>-4016</v>
      </c>
      <c r="CQ72" s="227">
        <f t="array" ref="CQ72">IF($BU72=0, INDEX(LS_current!$D$4:$AY$138, MATCH('Staging Table'!$A72, LS_current!$B$4:$B$138, 0), MATCH(CQ$4&amp;CQ$5, LS_current!$D$2:$AY$2&amp;LS_current!$D$3:$AY$3, 0)),SUM(VLOOKUP($A72, LS_current!$B$4:$AY$138, LS_current!U$148, FALSE), VLOOKUP($A72, LS_current!$B$4:$AY$138,LS_current!U$148, FALSE))/2)</f>
        <v>-2385</v>
      </c>
      <c r="CR72" s="227">
        <f t="array" ref="CR72">IF($BU72=0, INDEX(LS_current!$D$4:$AY$138, MATCH('Staging Table'!$A72, LS_current!$B$4:$B$138, 0), MATCH(CR$4&amp;CR$5, LS_current!$D$2:$AY$2&amp;LS_current!$D$3:$AY$3, 0)),SUM(VLOOKUP($A72, LS_current!$B$4:$AY$138, LS_current!V$148, FALSE), VLOOKUP($A72, LS_current!$B$4:$AY$138,LS_current!V$148, FALSE))/2)</f>
        <v>-2260</v>
      </c>
      <c r="CS72" s="227">
        <f t="array" ref="CS72">IF($BU72=0, INDEX(LS_current!$D$4:$AY$138, MATCH('Staging Table'!$A72, LS_current!$B$4:$B$138, 0), MATCH(CS$4&amp;CS$5, LS_current!$D$2:$AY$2&amp;LS_current!$D$3:$AY$3, 0)),SUM(VLOOKUP($A72, LS_current!$B$4:$AY$138, LS_current!W$148, FALSE), VLOOKUP($A72, LS_current!$B$4:$AY$138,LS_current!W$148, FALSE))/2)</f>
        <v>-668</v>
      </c>
      <c r="CT72" s="227">
        <f t="array" ref="CT72">IF($BU72=0, INDEX(LS_current!$D$4:$AY$138, MATCH('Staging Table'!$A72, LS_current!$B$4:$B$138, 0), MATCH(CT$4&amp;CT$5, LS_current!$D$2:$AY$2&amp;LS_current!$D$3:$AY$3, 0)),SUM(VLOOKUP($A72, LS_current!$B$4:$AY$138, LS_current!X$148, FALSE), VLOOKUP($A72, LS_current!$B$4:$AY$138,LS_current!X$148, FALSE))/2)</f>
        <v>-898</v>
      </c>
      <c r="CU72" s="227">
        <f t="array" ref="CU72">IF($BU72=0, INDEX(LS_current!$D$4:$AY$138, MATCH('Staging Table'!$A72, LS_current!$B$4:$B$138, 0), MATCH(CU$4&amp;CU$5, LS_current!$D$2:$AY$2&amp;LS_current!$D$3:$AY$3, 0)),SUM(VLOOKUP($A72, LS_current!$B$4:$AY$138, LS_current!Y$148, FALSE), VLOOKUP($A72, LS_current!$B$4:$AY$138,LS_current!Y$148, FALSE))/2)</f>
        <v>165</v>
      </c>
      <c r="CV72" s="227">
        <f t="array" ref="CV72">IF($BU72=0, INDEX(LS_current!$D$4:$AY$138, MATCH('Staging Table'!$A72, LS_current!$B$4:$B$138, 0), MATCH(CV$4&amp;CV$5, LS_current!$D$2:$AY$2&amp;LS_current!$D$3:$AY$3, 0)),SUM(VLOOKUP($A72, LS_current!$B$4:$AY$138, LS_current!Z$148, FALSE), VLOOKUP($A72, LS_current!$B$4:$AY$138,LS_current!Z$148, FALSE))/2)</f>
        <v>648</v>
      </c>
      <c r="CW72" s="227">
        <f t="array" ref="CW72">IF($BU72=0, INDEX(LS_current!$D$4:$AY$138, MATCH('Staging Table'!$A72, LS_current!$B$4:$B$138, 0), MATCH(CW$4&amp;CW$5, LS_current!$D$2:$AY$2&amp;LS_current!$D$3:$AY$3, 0)),SUM(VLOOKUP($A72, LS_current!$B$4:$AY$138, LS_current!AA$148, FALSE), VLOOKUP($A72, LS_current!$B$4:$AY$138,LS_current!AA$148, FALSE))/2)</f>
        <v>519</v>
      </c>
      <c r="CX72" s="229">
        <f t="array" ref="CX72">INDEX(Demand_current!$D$4:$AY$138, MATCH($A72, Demand_current!$B$4:$B$138, 0), MATCH(CX$4&amp;CX$5,Demand_current!$D$2:$AY$2&amp;Demand_current!$D$3:$AY$3, 0))/1000</f>
        <v>3.3140000000000001</v>
      </c>
      <c r="CY72" s="229">
        <f t="array" ref="CY72">INDEX(Demand_current!$D$4:$AY$138, MATCH($A72, Demand_current!$B$4:$B$138, 0), MATCH(CY$4&amp;CY$5,Demand_current!$D$2:$AY$2&amp;Demand_current!$D$3:$AY$3, 0))/1000</f>
        <v>3.1259999999999999</v>
      </c>
      <c r="CZ72" s="229">
        <f t="array" ref="CZ72">INDEX(Demand_current!$D$4:$AY$138, MATCH($A72, Demand_current!$B$4:$B$138, 0), MATCH(CZ$4&amp;CZ$5,Demand_current!$D$2:$AY$2&amp;Demand_current!$D$3:$AY$3, 0))/1000</f>
        <v>3.6850000000000001</v>
      </c>
      <c r="DA72" s="229">
        <f t="array" ref="DA72">INDEX(Demand_current!$D$4:$AY$138, MATCH($A72, Demand_current!$B$4:$B$138, 0), MATCH(DA$4&amp;DA$5,Demand_current!$D$2:$AY$2&amp;Demand_current!$D$3:$AY$3, 0))/1000</f>
        <v>2.706</v>
      </c>
      <c r="DB72" s="229">
        <f t="array" ref="DB72">INDEX(Demand_current!$D$4:$AY$138, MATCH($A72, Demand_current!$B$4:$B$138, 0), MATCH(DB$4&amp;DB$5,Demand_current!$D$2:$AY$2&amp;Demand_current!$D$3:$AY$3, 0))/1000</f>
        <v>3.4049999999999998</v>
      </c>
      <c r="DC72" s="229">
        <f t="array" ref="DC72">INDEX(Demand_current!$D$4:$AY$138, MATCH($A72, Demand_current!$B$4:$B$138, 0), MATCH(DC$4&amp;DC$5,Demand_current!$D$2:$AY$2&amp;Demand_current!$D$3:$AY$3, 0))/1000</f>
        <v>3.9849999999999999</v>
      </c>
      <c r="DD72" s="229">
        <f t="array" ref="DD72">INDEX(Demand_current!$D$4:$AY$138, MATCH($A72, Demand_current!$B$4:$B$138, 0), MATCH(DD$4&amp;DD$5,Demand_current!$D$2:$AY$2&amp;Demand_current!$D$3:$AY$3, 0))/1000</f>
        <v>0</v>
      </c>
      <c r="DE72" s="229">
        <f t="array" ref="DE72">INDEX(Demand_current!$D$4:$AY$138, MATCH($A72, Demand_current!$B$4:$B$138, 0), MATCH(DE$4&amp;DE$5,Demand_current!$D$2:$AY$2&amp;Demand_current!$D$3:$AY$3, 0))/1000</f>
        <v>0.45900000000000002</v>
      </c>
      <c r="DF72" s="229">
        <f t="array" ref="DF72">INDEX(Demand_current!$D$4:$AY$138, MATCH($A72, Demand_current!$B$4:$B$138, 0), MATCH(DF$4&amp;DF$5,Demand_current!$D$2:$AY$2&amp;Demand_current!$D$3:$AY$3, 0))/1000</f>
        <v>0.96799999999999997</v>
      </c>
      <c r="DG72" s="229">
        <f t="array" ref="DG72">INDEX(Demand_current!$D$4:$AY$138, MATCH($A72, Demand_current!$B$4:$B$138, 0), MATCH(DG$4&amp;DG$5,Demand_current!$D$2:$AY$2&amp;Demand_current!$D$3:$AY$3, 0))/1000</f>
        <v>2.0449999999999999</v>
      </c>
      <c r="DH72" s="229">
        <f t="array" ref="DH72">INDEX(Demand_current!$D$4:$AY$138, MATCH($A72, Demand_current!$B$4:$B$138, 0), MATCH(DH$4&amp;DH$5,Demand_current!$D$2:$AY$2&amp;Demand_current!$D$3:$AY$3, 0))/1000</f>
        <v>2.0510000000000002</v>
      </c>
      <c r="DI72" s="229">
        <f t="array" ref="DI72">INDEX(Demand_current!$D$4:$AY$138, MATCH($A72, Demand_current!$B$4:$B$138, 0), MATCH(DI$4&amp;DI$5,Demand_current!$D$2:$AY$2&amp;Demand_current!$D$3:$AY$3, 0))/1000</f>
        <v>1.605</v>
      </c>
      <c r="DJ72" s="227">
        <f>$BT72*(VLOOKUP(DJ$4, Rates_current!$G$6:$Q$29, 10, FALSE)+VLOOKUP(DJ$4, Rates_current!$G$6:$Q$29, 11, FALSE))</f>
        <v>8564.1999351407994</v>
      </c>
      <c r="DK72" s="227">
        <f>$BT72*(VLOOKUP(DK$4, Rates_current!$G$6:$Q$29, 10, FALSE)+VLOOKUP(DK$4, Rates_current!$G$6:$Q$29, 11, FALSE))</f>
        <v>10879.205571697201</v>
      </c>
      <c r="DL72" s="227">
        <f>$BT72*(VLOOKUP(DL$4, Rates_current!$G$6:$Q$29, 10, FALSE)+VLOOKUP(DL$4, Rates_current!$G$6:$Q$29, 11, FALSE))</f>
        <v>10747.824443540801</v>
      </c>
      <c r="DM72" s="227">
        <f>$BT72*(VLOOKUP(DM$4, Rates_current!$G$6:$Q$29, 10, FALSE)+VLOOKUP(DM$4, Rates_current!$G$6:$Q$29, 11, FALSE))</f>
        <v>8958.9662931408002</v>
      </c>
      <c r="DN72" s="227">
        <f>$BT72*(VLOOKUP(DN$4, Rates_current!$G$6:$Q$29, 10, FALSE)+VLOOKUP(DN$4, Rates_current!$G$6:$Q$29, 11, FALSE))</f>
        <v>8115.8940406399997</v>
      </c>
      <c r="DO72" s="227">
        <f>$BT72*(VLOOKUP(DO$4, Rates_current!$G$6:$Q$29, 10, FALSE)+VLOOKUP(DO$4, Rates_current!$G$6:$Q$29, 11, FALSE))</f>
        <v>9027.4524479476004</v>
      </c>
      <c r="DP72" s="227">
        <f>$BT72*(VLOOKUP(DP$4, Rates_current!$G$6:$Q$29, 10, FALSE)+VLOOKUP(DP$4, Rates_current!$G$6:$Q$29, 11, FALSE))</f>
        <v>7350.1615247039999</v>
      </c>
      <c r="DQ72" s="227">
        <f>$BT72*(VLOOKUP(DQ$4, Rates_current!$G$6:$Q$29, 10, FALSE)+VLOOKUP(DQ$4, Rates_current!$G$6:$Q$29, 11, FALSE))</f>
        <v>9912.7888465408014</v>
      </c>
      <c r="DR72" s="227">
        <f>$BT72*(VLOOKUP(DR$4, Rates_current!$G$6:$Q$29, 10, FALSE)+VLOOKUP(DR$4, Rates_current!$G$6:$Q$29, 11, FALSE))</f>
        <v>12648.044385304001</v>
      </c>
      <c r="DS72" s="227">
        <f>$BT72*(VLOOKUP(DS$4, Rates_current!$G$6:$Q$29, 10, FALSE)+VLOOKUP(DS$4, Rates_current!$G$6:$Q$29, 11, FALSE))</f>
        <v>9916.4678423408004</v>
      </c>
      <c r="DT72" s="227">
        <f>$BT72*(VLOOKUP(DT$4, Rates_current!$G$6:$Q$29, 10, FALSE)+VLOOKUP(DT$4, Rates_current!$G$6:$Q$29, 11, FALSE))</f>
        <v>9656.6650789408013</v>
      </c>
      <c r="DU72" s="227">
        <f>$BT72*(VLOOKUP(DU$4, Rates_current!$G$6:$Q$29, 10, FALSE)+VLOOKUP(DU$4, Rates_current!$G$6:$Q$29, 11, FALSE))</f>
        <v>8669.6310035040005</v>
      </c>
      <c r="DV72" s="229">
        <f>IF(D72=0,IF(C72=0,MAX(0,DY72 - (VLOOKUP($A72,TOCA_current!$A$2:$AI$137,MATCH("RHWM 2020",TOCA_current!$A$2:$AI$2,0),FALSE)*$BT$2)), 0),0)</f>
        <v>0</v>
      </c>
      <c r="DW72" s="266">
        <f>VLOOKUP($A72,REP_current!$A$1:$D$135,MATCH("FY "&amp;$BT$1&amp; " Total Refund",REP_current!$A$1:$D$1,0),0)</f>
        <v>0</v>
      </c>
      <c r="DX72" s="295">
        <f>MIN(VLOOKUP($A72,TOCA_current!$A$2:$AI$137,MATCH("TRL - NLSL - Existing Resource "&amp;$BT$1,TOCA_current!$A$2:$AI$2,0),FALSE)*$BT$2, VLOOKUP($A72,TOCA_current!$A$2:$AI$137,MATCH("RHWM 2020",TOCA_current!$A$2:$AI$2,0),FALSE)*$BT$2)</f>
        <v>114446.736</v>
      </c>
      <c r="DY72" s="240">
        <f>SUM(BZ72:CW72)+(BT72*RT1SC!$C$4*$BT$2)</f>
        <v>110734.30570915841</v>
      </c>
      <c r="DZ72" s="271">
        <f>VLOOKUP($A72,TOCA_current!$A$2:$AI$137,MATCH("Above RHWM Not Served with LS "&amp;$BT$1,TOCA_current!$A$2:$AI$2,0),FALSE)*$BT$2</f>
        <v>15231.456</v>
      </c>
      <c r="EA72" s="244">
        <f t="shared" si="29"/>
        <v>-3712.4302908415993</v>
      </c>
      <c r="EB72" s="295">
        <f>(VLOOKUP($A72,TOCA_current!$A$2:$AI$137,MATCH("RHWM 2020",TOCA_current!$A$2:$AI$2,0),FALSE)*$BT$2) - $DX72</f>
        <v>0</v>
      </c>
      <c r="EC72" s="240">
        <f t="shared" si="30"/>
        <v>0</v>
      </c>
      <c r="ED72" s="240">
        <f t="shared" si="31"/>
        <v>0</v>
      </c>
      <c r="EE72" s="240">
        <f t="shared" si="32"/>
        <v>0</v>
      </c>
      <c r="EF72" s="240">
        <f t="shared" si="33"/>
        <v>0</v>
      </c>
    </row>
    <row r="73" spans="1:136">
      <c r="A73" s="166">
        <v>10203</v>
      </c>
      <c r="B73" s="167" t="s">
        <v>74</v>
      </c>
      <c r="C73" s="240">
        <v>0</v>
      </c>
      <c r="D73" s="240">
        <v>0</v>
      </c>
      <c r="E73" s="150">
        <f>VLOOKUP($A73,TOCA_previous!$A$2:$AI$137,MATCH(E$4,TOCA_previous!$A$2:$AI$2,0),FALSE)</f>
        <v>8.8040000000000004E-4</v>
      </c>
      <c r="F73" s="151">
        <f>VLOOKUP($A73,TOCA_previous!$A$2:$AI$137,MATCH(F$4,TOCA_previous!$A$2:$AI$2,0),FALSE)</f>
        <v>8.8040000000000004E-4</v>
      </c>
      <c r="G73" s="151">
        <f t="shared" si="18"/>
        <v>0</v>
      </c>
      <c r="H73" s="151">
        <f>VLOOKUP($A73,TOCA_previous!$A$2:$AI$137,MATCH(H$4,TOCA_previous!$A$2:$AI$2,0),FALSE)</f>
        <v>7.3022599999999993E-2</v>
      </c>
      <c r="I73" s="151">
        <f t="shared" si="19"/>
        <v>0</v>
      </c>
      <c r="J73" s="151">
        <f t="shared" si="20"/>
        <v>0</v>
      </c>
      <c r="K73" s="226">
        <f>VLOOKUP(A73, IRD!$A$5:$C$139, 3, FALSE)</f>
        <v>0</v>
      </c>
      <c r="L73" s="227">
        <f t="array" ref="L73">IF($G73=0, INDEX(LS_previous!$D$4:$AY$138, MATCH('Staging Table'!$A73, LS_previous!$B$4:$B$138, 0), MATCH(L$4&amp;L$5, LS_previous!$D$2:$AY$2&amp;LS_previous!$D$3:$AY$3, 0)),SUM(VLOOKUP($A73, LS_previous!$B$4:$AY$138, LS_previous!D$149, FALSE), VLOOKUP('Staging Table'!$A73, LS_previous!$B$4:$AY$138,LS_previous!AB$149, FALSE))/2)</f>
        <v>-68</v>
      </c>
      <c r="M73" s="227">
        <f t="array" ref="M73">IF($G73=0, INDEX(LS_previous!$D$4:$AY$138, MATCH('Staging Table'!$A73, LS_previous!$B$4:$B$138, 0), MATCH(M$4&amp;M$5, LS_previous!$D$2:$AY$2&amp;LS_previous!$D$3:$AY$3, 0)),SUM(VLOOKUP($A73, LS_previous!$B$4:$AY$138, LS_previous!E$149, FALSE), VLOOKUP('Staging Table'!$A73, LS_previous!$B$4:$AY$138,LS_previous!AC$149, FALSE))/2)</f>
        <v>31</v>
      </c>
      <c r="N73" s="227">
        <f t="array" ref="N73">IF($G73=0, INDEX(LS_previous!$D$4:$AY$138, MATCH('Staging Table'!$A73, LS_previous!$B$4:$B$138, 0), MATCH(N$4&amp;N$5, LS_previous!$D$2:$AY$2&amp;LS_previous!$D$3:$AY$3, 0)),SUM(VLOOKUP($A73, LS_previous!$B$4:$AY$138, LS_previous!F$149, FALSE), VLOOKUP('Staging Table'!$A73, LS_previous!$B$4:$AY$138,LS_previous!AD$149, FALSE))/2)</f>
        <v>-40</v>
      </c>
      <c r="O73" s="227">
        <f t="array" ref="O73">IF($G73=0, INDEX(LS_previous!$D$4:$AY$138, MATCH('Staging Table'!$A73, LS_previous!$B$4:$B$138, 0), MATCH(O$4&amp;O$5, LS_previous!$D$2:$AY$2&amp;LS_previous!$D$3:$AY$3, 0)),SUM(VLOOKUP($A73, LS_previous!$B$4:$AY$138, LS_previous!G$149, FALSE), VLOOKUP('Staging Table'!$A73, LS_previous!$B$4:$AY$138,LS_previous!AE$149, FALSE))/2)</f>
        <v>355</v>
      </c>
      <c r="P73" s="227">
        <f t="array" ref="P73">IF($G73=0, INDEX(LS_previous!$D$4:$AY$138, MATCH('Staging Table'!$A73, LS_previous!$B$4:$B$138, 0), MATCH(P$4&amp;P$5, LS_previous!$D$2:$AY$2&amp;LS_previous!$D$3:$AY$3, 0)),SUM(VLOOKUP($A73, LS_previous!$B$4:$AY$138, LS_previous!H$149, FALSE), VLOOKUP('Staging Table'!$A73, LS_previous!$B$4:$AY$138,LS_previous!AF$149, FALSE))/2)</f>
        <v>769</v>
      </c>
      <c r="Q73" s="227">
        <f t="array" ref="Q73">IF($G73=0, INDEX(LS_previous!$D$4:$AY$138, MATCH('Staging Table'!$A73, LS_previous!$B$4:$B$138, 0), MATCH(Q$4&amp;Q$5, LS_previous!$D$2:$AY$2&amp;LS_previous!$D$3:$AY$3, 0)),SUM(VLOOKUP($A73, LS_previous!$B$4:$AY$138, LS_previous!I$149, FALSE), VLOOKUP('Staging Table'!$A73, LS_previous!$B$4:$AY$138,LS_previous!AG$149, FALSE))/2)</f>
        <v>802</v>
      </c>
      <c r="R73" s="227">
        <f t="array" ref="R73">IF($G73=0, INDEX(LS_previous!$D$4:$AY$138, MATCH('Staging Table'!$A73, LS_previous!$B$4:$B$138, 0), MATCH(R$4&amp;R$5, LS_previous!$D$2:$AY$2&amp;LS_previous!$D$3:$AY$3, 0)),SUM(VLOOKUP($A73, LS_previous!$B$4:$AY$138, LS_previous!J$149, FALSE), VLOOKUP('Staging Table'!$A73, LS_previous!$B$4:$AY$138,LS_previous!AH$149, FALSE))/2)</f>
        <v>1108</v>
      </c>
      <c r="S73" s="227">
        <f t="array" ref="S73">IF($G73=0, INDEX(LS_previous!$D$4:$AY$138, MATCH('Staging Table'!$A73, LS_previous!$B$4:$B$138, 0), MATCH(S$4&amp;S$5, LS_previous!$D$2:$AY$2&amp;LS_previous!$D$3:$AY$3, 0)),SUM(VLOOKUP($A73, LS_previous!$B$4:$AY$138, LS_previous!K$149, FALSE), VLOOKUP('Staging Table'!$A73, LS_previous!$B$4:$AY$138,LS_previous!AI$149, FALSE))/2)</f>
        <v>975</v>
      </c>
      <c r="T73" s="227">
        <f t="array" ref="T73">IF($G73=0, INDEX(LS_previous!$D$4:$AY$138, MATCH('Staging Table'!$A73, LS_previous!$B$4:$B$138, 0), MATCH(T$4&amp;T$5, LS_previous!$D$2:$AY$2&amp;LS_previous!$D$3:$AY$3, 0)),SUM(VLOOKUP($A73, LS_previous!$B$4:$AY$138, LS_previous!L$149, FALSE), VLOOKUP('Staging Table'!$A73, LS_previous!$B$4:$AY$138,LS_previous!AJ$149, FALSE))/2)</f>
        <v>1010</v>
      </c>
      <c r="U73" s="227">
        <f t="array" ref="U73">IF($G73=0, INDEX(LS_previous!$D$4:$AY$138, MATCH('Staging Table'!$A73, LS_previous!$B$4:$B$138, 0), MATCH(U$4&amp;U$5, LS_previous!$D$2:$AY$2&amp;LS_previous!$D$3:$AY$3, 0)),SUM(VLOOKUP($A73, LS_previous!$B$4:$AY$138, LS_previous!M$149, FALSE), VLOOKUP('Staging Table'!$A73, LS_previous!$B$4:$AY$138,LS_previous!AK$149, FALSE))/2)</f>
        <v>809</v>
      </c>
      <c r="V73" s="227">
        <f t="array" ref="V73">IF($G73=0, INDEX(LS_previous!$D$4:$AY$138, MATCH('Staging Table'!$A73, LS_previous!$B$4:$B$138, 0), MATCH(V$4&amp;V$5, LS_previous!$D$2:$AY$2&amp;LS_previous!$D$3:$AY$3, 0)),SUM(VLOOKUP($A73, LS_previous!$B$4:$AY$138, LS_previous!N$149, FALSE), VLOOKUP('Staging Table'!$A73, LS_previous!$B$4:$AY$138,LS_previous!AL$149, FALSE))/2)</f>
        <v>399</v>
      </c>
      <c r="W73" s="227">
        <f t="array" ref="W73">IF($G73=0, INDEX(LS_previous!$D$4:$AY$138, MATCH('Staging Table'!$A73, LS_previous!$B$4:$B$138, 0), MATCH(W$4&amp;W$5, LS_previous!$D$2:$AY$2&amp;LS_previous!$D$3:$AY$3, 0)),SUM(VLOOKUP($A73, LS_previous!$B$4:$AY$138, LS_previous!O$149, FALSE), VLOOKUP('Staging Table'!$A73, LS_previous!$B$4:$AY$138,LS_previous!AM$149, FALSE))/2)</f>
        <v>440</v>
      </c>
      <c r="X73" s="227">
        <f t="array" ref="X73">IF($G73=0, INDEX(LS_previous!$D$4:$AY$138, MATCH('Staging Table'!$A73, LS_previous!$B$4:$B$138, 0), MATCH(X$4&amp;X$5, LS_previous!$D$2:$AY$2&amp;LS_previous!$D$3:$AY$3, 0)),SUM(VLOOKUP($A73, LS_previous!$B$4:$AY$138, LS_previous!P$149, FALSE), VLOOKUP('Staging Table'!$A73, LS_previous!$B$4:$AY$138,LS_previous!AN$149, FALSE))/2)</f>
        <v>14</v>
      </c>
      <c r="Y73" s="227">
        <f t="array" ref="Y73">IF($G73=0, INDEX(LS_previous!$D$4:$AY$138, MATCH('Staging Table'!$A73, LS_previous!$B$4:$B$138, 0), MATCH(Y$4&amp;Y$5, LS_previous!$D$2:$AY$2&amp;LS_previous!$D$3:$AY$3, 0)),SUM(VLOOKUP($A73, LS_previous!$B$4:$AY$138, LS_previous!Q$149, FALSE), VLOOKUP('Staging Table'!$A73, LS_previous!$B$4:$AY$138,LS_previous!AO$149, FALSE))/2)</f>
        <v>177</v>
      </c>
      <c r="Z73" s="227">
        <f t="array" ref="Z73">IF($G73=0, INDEX(LS_previous!$D$4:$AY$138, MATCH('Staging Table'!$A73, LS_previous!$B$4:$B$138, 0), MATCH(Z$4&amp;Z$5, LS_previous!$D$2:$AY$2&amp;LS_previous!$D$3:$AY$3, 0)),SUM(VLOOKUP($A73, LS_previous!$B$4:$AY$138, LS_previous!R$149, FALSE), VLOOKUP('Staging Table'!$A73, LS_previous!$B$4:$AY$138,LS_previous!AP$149, FALSE))/2)</f>
        <v>-1489</v>
      </c>
      <c r="AA73" s="227">
        <f t="array" ref="AA73">IF($G73=0, INDEX(LS_previous!$D$4:$AY$138, MATCH('Staging Table'!$A73, LS_previous!$B$4:$B$138, 0), MATCH(AA$4&amp;AA$5, LS_previous!$D$2:$AY$2&amp;LS_previous!$D$3:$AY$3, 0)),SUM(VLOOKUP($A73, LS_previous!$B$4:$AY$138, LS_previous!S$149, FALSE), VLOOKUP('Staging Table'!$A73, LS_previous!$B$4:$AY$138,LS_previous!AQ$149, FALSE))/2)</f>
        <v>-668</v>
      </c>
      <c r="AB73" s="227">
        <f t="array" ref="AB73">IF($G73=0, INDEX(LS_previous!$D$4:$AY$138, MATCH('Staging Table'!$A73, LS_previous!$B$4:$B$138, 0), MATCH(AB$4&amp;AB$5, LS_previous!$D$2:$AY$2&amp;LS_previous!$D$3:$AY$3, 0)),SUM(VLOOKUP($A73, LS_previous!$B$4:$AY$138, LS_previous!T$149, FALSE), VLOOKUP('Staging Table'!$A73, LS_previous!$B$4:$AY$138,LS_previous!AR$149, FALSE))/2)</f>
        <v>-762</v>
      </c>
      <c r="AC73" s="227">
        <f t="array" ref="AC73">IF($G73=0, INDEX(LS_previous!$D$4:$AY$138, MATCH('Staging Table'!$A73, LS_previous!$B$4:$B$138, 0), MATCH(AC$4&amp;AC$5, LS_previous!$D$2:$AY$2&amp;LS_previous!$D$3:$AY$3, 0)),SUM(VLOOKUP($A73, LS_previous!$B$4:$AY$138, LS_previous!U$149, FALSE), VLOOKUP('Staging Table'!$A73, LS_previous!$B$4:$AY$138,LS_previous!AS$149, FALSE))/2)</f>
        <v>-287</v>
      </c>
      <c r="AD73" s="227">
        <f t="array" ref="AD73">IF($G73=0, INDEX(LS_previous!$D$4:$AY$138, MATCH('Staging Table'!$A73, LS_previous!$B$4:$B$138, 0), MATCH(AD$4&amp;AD$5, LS_previous!$D$2:$AY$2&amp;LS_previous!$D$3:$AY$3, 0)),SUM(VLOOKUP($A73, LS_previous!$B$4:$AY$138, LS_previous!V$149, FALSE), VLOOKUP('Staging Table'!$A73, LS_previous!$B$4:$AY$138,LS_previous!AT$149, FALSE))/2)</f>
        <v>28</v>
      </c>
      <c r="AE73" s="227">
        <f t="array" ref="AE73">IF($G73=0, INDEX(LS_previous!$D$4:$AY$138, MATCH('Staging Table'!$A73, LS_previous!$B$4:$B$138, 0), MATCH(AE$4&amp;AE$5, LS_previous!$D$2:$AY$2&amp;LS_previous!$D$3:$AY$3, 0)),SUM(VLOOKUP($A73, LS_previous!$B$4:$AY$138, LS_previous!W$149, FALSE), VLOOKUP('Staging Table'!$A73, LS_previous!$B$4:$AY$138,LS_previous!AU$149, FALSE))/2)</f>
        <v>144</v>
      </c>
      <c r="AF73" s="227">
        <f t="array" ref="AF73">IF($G73=0, INDEX(LS_previous!$D$4:$AY$138, MATCH('Staging Table'!$A73, LS_previous!$B$4:$B$138, 0), MATCH(AF$4&amp;AF$5, LS_previous!$D$2:$AY$2&amp;LS_previous!$D$3:$AY$3, 0)),SUM(VLOOKUP($A73, LS_previous!$B$4:$AY$138, LS_previous!X$149, FALSE), VLOOKUP('Staging Table'!$A73, LS_previous!$B$4:$AY$138,LS_previous!AV$149, FALSE))/2)</f>
        <v>-376</v>
      </c>
      <c r="AG73" s="227">
        <f t="array" ref="AG73">IF($G73=0, INDEX(LS_previous!$D$4:$AY$138, MATCH('Staging Table'!$A73, LS_previous!$B$4:$B$138, 0), MATCH(AG$4&amp;AG$5, LS_previous!$D$2:$AY$2&amp;LS_previous!$D$3:$AY$3, 0)),SUM(VLOOKUP($A73, LS_previous!$B$4:$AY$138, LS_previous!Y$149, FALSE), VLOOKUP('Staging Table'!$A73, LS_previous!$B$4:$AY$138,LS_previous!AW$149, FALSE))/2)</f>
        <v>-77</v>
      </c>
      <c r="AH73" s="227">
        <f t="array" ref="AH73">IF($G73=0, INDEX(LS_previous!$D$4:$AY$138, MATCH('Staging Table'!$A73, LS_previous!$B$4:$B$138, 0), MATCH(AH$4&amp;AH$5, LS_previous!$D$2:$AY$2&amp;LS_previous!$D$3:$AY$3, 0)),SUM(VLOOKUP($A73, LS_previous!$B$4:$AY$138, LS_previous!Z$149, FALSE), VLOOKUP('Staging Table'!$A73, LS_previous!$B$4:$AY$138,LS_previous!AX$149, FALSE))/2)</f>
        <v>-504</v>
      </c>
      <c r="AI73" s="227">
        <f t="array" ref="AI73">IF($G73=0, INDEX(LS_previous!$D$4:$AY$138, MATCH('Staging Table'!$A73, LS_previous!$B$4:$B$138, 0), MATCH(AI$4&amp;AI$5, LS_previous!$D$2:$AY$2&amp;LS_previous!$D$3:$AY$3, 0)),SUM(VLOOKUP($A73, LS_previous!$B$4:$AY$138, LS_previous!AA$149, FALSE), VLOOKUP('Staging Table'!$A73, LS_previous!$B$4:$AY$138,LS_previous!AY$149, FALSE))/2)</f>
        <v>-120</v>
      </c>
      <c r="AJ73" s="424">
        <f t="array" ref="AJ73">INDEX(Demand_previous!$D$4:$AY$138, MATCH('Staging Table'!$A73, Demand_previous!$B$4:$B$138, 0), MATCH(AJ$4&amp;AJ$5,Demand_previous!$D$2:$AY$2&amp;Demand_previous!$D$3:$AY$3, 0))/1000</f>
        <v>0.53100000000000003</v>
      </c>
      <c r="AK73" s="424">
        <f t="array" ref="AK73">INDEX(Demand_previous!$D$4:$AY$138, MATCH('Staging Table'!$A73, Demand_previous!$B$4:$B$138, 0), MATCH(AK$4&amp;AK$5,Demand_previous!$D$2:$AY$2&amp;Demand_previous!$D$3:$AY$3, 0))/1000</f>
        <v>1.292</v>
      </c>
      <c r="AL73" s="424">
        <f t="array" ref="AL73">INDEX(Demand_previous!$D$4:$AY$138, MATCH('Staging Table'!$A73, Demand_previous!$B$4:$B$138, 0), MATCH(AL$4&amp;AL$5,Demand_previous!$D$2:$AY$2&amp;Demand_previous!$D$3:$AY$3, 0))/1000</f>
        <v>1.119</v>
      </c>
      <c r="AM73" s="424">
        <f t="array" ref="AM73">INDEX(Demand_previous!$D$4:$AY$138, MATCH('Staging Table'!$A73, Demand_previous!$B$4:$B$138, 0), MATCH(AM$4&amp;AM$5,Demand_previous!$D$2:$AY$2&amp;Demand_previous!$D$3:$AY$3, 0))/1000</f>
        <v>1.772</v>
      </c>
      <c r="AN73" s="424">
        <f t="array" ref="AN73">INDEX(Demand_previous!$D$4:$AY$138, MATCH('Staging Table'!$A73, Demand_previous!$B$4:$B$138, 0), MATCH(AN$4&amp;AN$5,Demand_previous!$D$2:$AY$2&amp;Demand_previous!$D$3:$AY$3, 0))/1000</f>
        <v>1</v>
      </c>
      <c r="AO73" s="424">
        <f t="array" ref="AO73">INDEX(Demand_previous!$D$4:$AY$138, MATCH('Staging Table'!$A73, Demand_previous!$B$4:$B$138, 0), MATCH(AO$4&amp;AO$5,Demand_previous!$D$2:$AY$2&amp;Demand_previous!$D$3:$AY$3, 0))/1000</f>
        <v>1.423</v>
      </c>
      <c r="AP73" s="424">
        <f t="array" ref="AP73">INDEX(Demand_previous!$D$4:$AY$138, MATCH('Staging Table'!$A73, Demand_previous!$B$4:$B$138, 0), MATCH(AP$4&amp;AP$5,Demand_previous!$D$2:$AY$2&amp;Demand_previous!$D$3:$AY$3, 0))/1000</f>
        <v>0.77</v>
      </c>
      <c r="AQ73" s="424">
        <f t="array" ref="AQ73">INDEX(Demand_previous!$D$4:$AY$138, MATCH('Staging Table'!$A73, Demand_previous!$B$4:$B$138, 0), MATCH(AQ$4&amp;AQ$5,Demand_previous!$D$2:$AY$2&amp;Demand_previous!$D$3:$AY$3, 0))/1000</f>
        <v>1.4990000000000001</v>
      </c>
      <c r="AR73" s="424">
        <f t="array" ref="AR73">INDEX(Demand_previous!$D$4:$AY$138, MATCH('Staging Table'!$A73, Demand_previous!$B$4:$B$138, 0), MATCH(AR$4&amp;AR$5,Demand_previous!$D$2:$AY$2&amp;Demand_previous!$D$3:$AY$3, 0))/1000</f>
        <v>1.2110000000000001</v>
      </c>
      <c r="AS73" s="424">
        <f t="array" ref="AS73">INDEX(Demand_previous!$D$4:$AY$138, MATCH('Staging Table'!$A73, Demand_previous!$B$4:$B$138, 0), MATCH(AS$4&amp;AS$5,Demand_previous!$D$2:$AY$2&amp;Demand_previous!$D$3:$AY$3, 0))/1000</f>
        <v>1.1870000000000001</v>
      </c>
      <c r="AT73" s="424">
        <f t="array" ref="AT73">INDEX(Demand_previous!$D$4:$AY$138, MATCH('Staging Table'!$A73, Demand_previous!$B$4:$B$138, 0), MATCH(AT$4&amp;AT$5,Demand_previous!$D$2:$AY$2&amp;Demand_previous!$D$3:$AY$3, 0))/1000</f>
        <v>1.127</v>
      </c>
      <c r="AU73" s="424">
        <f t="array" ref="AU73">INDEX(Demand_previous!$D$4:$AY$138, MATCH('Staging Table'!$A73, Demand_previous!$B$4:$B$138, 0), MATCH(AU$4&amp;AU$5,Demand_previous!$D$2:$AY$2&amp;Demand_previous!$D$3:$AY$3, 0))/1000</f>
        <v>0.97199999999999998</v>
      </c>
      <c r="AV73" s="227">
        <f>$F73*(VLOOKUP(AV$4, Rates_previous!$G$6:$Q$29, 10, FALSE)+VLOOKUP(AV$4, Rates_previous!$G$6:$Q$29, 11, FALSE))</f>
        <v>4128.0527660077159</v>
      </c>
      <c r="AW73" s="227">
        <f>$F73*(VLOOKUP(AW$4, Rates_previous!$G$6:$Q$29, 10, FALSE)+VLOOKUP(AW$4, Rates_previous!$G$6:$Q$29, 11, FALSE))</f>
        <v>5101.9594701481019</v>
      </c>
      <c r="AX73" s="227">
        <f>$F73*(VLOOKUP(AX$4, Rates_previous!$G$6:$Q$29, 10, FALSE)+VLOOKUP(AX$4, Rates_previous!$G$6:$Q$29, 11, FALSE))</f>
        <v>5040.6910391499005</v>
      </c>
      <c r="AY73" s="227">
        <f>$F73*(VLOOKUP(AY$4, Rates_previous!$G$6:$Q$29, 10, FALSE)+VLOOKUP(AY$4, Rates_previous!$G$6:$Q$29, 11, FALSE))</f>
        <v>4306.7900357468643</v>
      </c>
      <c r="AZ73" s="227">
        <f>$F73*(VLOOKUP(AZ$4, Rates_previous!$G$6:$Q$29, 10, FALSE)+VLOOKUP(AZ$4, Rates_previous!$G$6:$Q$29, 11, FALSE))</f>
        <v>3530.7324363053622</v>
      </c>
      <c r="BA73" s="227">
        <f>$F73*(VLOOKUP(BA$4, Rates_previous!$G$6:$Q$29, 10, FALSE)+VLOOKUP(BA$4, Rates_previous!$G$6:$Q$29, 11, FALSE))</f>
        <v>4180.2589564813125</v>
      </c>
      <c r="BB73" s="227">
        <f>$F73*(VLOOKUP(BB$4, Rates_previous!$G$6:$Q$29, 10, FALSE)+VLOOKUP(BB$4, Rates_previous!$G$6:$Q$29, 11, FALSE))</f>
        <v>4017.8369129405696</v>
      </c>
      <c r="BC73" s="227">
        <f>$F73*(VLOOKUP(BC$4, Rates_previous!$G$6:$Q$29, 10, FALSE)+VLOOKUP(BC$4, Rates_previous!$G$6:$Q$29, 11, FALSE))</f>
        <v>5895.8913565612656</v>
      </c>
      <c r="BD73" s="227">
        <f>$F73*(VLOOKUP(BD$4, Rates_previous!$G$6:$Q$29, 10, FALSE)+VLOOKUP(BD$4, Rates_previous!$G$6:$Q$29, 11, FALSE))</f>
        <v>4651.7024500187899</v>
      </c>
      <c r="BE73" s="227">
        <f>$F73*(VLOOKUP(BE$4, Rates_previous!$G$6:$Q$29, 10, FALSE)+VLOOKUP(BE$4, Rates_previous!$G$6:$Q$29, 11, FALSE))</f>
        <v>4084.585194228247</v>
      </c>
      <c r="BF73" s="227">
        <f>$F73*(VLOOKUP(BF$4, Rates_previous!$G$6:$Q$29, 10, FALSE)+VLOOKUP(BF$4, Rates_previous!$G$6:$Q$29, 11, FALSE))</f>
        <v>4523.8415992108894</v>
      </c>
      <c r="BG73" s="227">
        <f>$F73*(VLOOKUP(BG$4, Rates_previous!$G$6:$Q$29, 10, FALSE)+VLOOKUP(BG$4, Rates_previous!$G$6:$Q$29, 11, FALSE))</f>
        <v>4098.4205869797997</v>
      </c>
      <c r="BH73" s="229">
        <f>IF($D73=0,IF(C73=0, MAX(BK73 - (VLOOKUP($A73,TOCA_previous!$A$2:$AI$137,MATCH("RHWM 2018",TOCA_previous!$A$2:$AI$2,0),FALSE)*$F$2*TOCA_previous!C70),0),0), 0)</f>
        <v>2672.1235851840029</v>
      </c>
      <c r="BI73" s="266">
        <f>VLOOKUP($A73,REP_previous!$A$1:$D$135,MATCH("FY "&amp;$F$1&amp; " Total Refund",REP_previous!$A$1:$D$1,0),0)</f>
        <v>73932.85602435912</v>
      </c>
      <c r="BJ73" s="241">
        <f>MIN(VLOOKUP($A73,TOCA_previous!$A$2:$AI$137,MATCH("TRL - NLSL - Existing Resource "&amp;$F$1,TOCA_previous!$A$2:$AI$2,0),FALSE)*$F$2,(VLOOKUP($A73,TOCA_previous!$A$2:$AI$137,MATCH("RHWM 2018",TOCA_previous!$A$2:$AI$2,0),FALSE)*$F$2))</f>
        <v>53558.64</v>
      </c>
      <c r="BK73" s="229">
        <f>SUM(L73:AI73)+(F73*RT1SC!$C$3*$F$2)</f>
        <v>56230.763585184002</v>
      </c>
      <c r="BL73" s="241">
        <f>VLOOKUP($A73,TOCA_previous!$A$2:$AI$137,MATCH("Above RHWM Not Served with LS "&amp;$F$1,TOCA_previous!$A$2:$AI$2,0),FALSE)*$F$2</f>
        <v>0</v>
      </c>
      <c r="BM73" s="151">
        <f t="shared" si="21"/>
        <v>2672.1235851840029</v>
      </c>
      <c r="BN73" s="242">
        <f>(VLOOKUP($A73,TOCA_previous!$A$2:$AI$137,MATCH("RHWM 2018",TOCA_previous!$A$2:$AI$2,0),FALSE)*$F$2) - $BJ73</f>
        <v>0</v>
      </c>
      <c r="BO73" s="151">
        <f t="shared" si="22"/>
        <v>0</v>
      </c>
      <c r="BP73" s="243">
        <f t="shared" si="23"/>
        <v>0</v>
      </c>
      <c r="BQ73" s="237">
        <f t="shared" si="24"/>
        <v>0</v>
      </c>
      <c r="BR73" s="242">
        <f t="shared" si="25"/>
        <v>0</v>
      </c>
      <c r="BS73" s="151">
        <f>VLOOKUP($A73,TOCA_current!$A$2:$AI$137,MATCH(BS$4,TOCA_current!$A$2:$AI$2,0),FALSE)</f>
        <v>8.7980000000000003E-4</v>
      </c>
      <c r="BT73" s="151">
        <f>VLOOKUP($A73,TOCA_current!$A$2:$AI$137,MATCH(BT$4,TOCA_current!$A$2:$AI$2,0),FALSE)</f>
        <v>8.7980000000000003E-4</v>
      </c>
      <c r="BU73" s="236">
        <f t="shared" si="26"/>
        <v>0</v>
      </c>
      <c r="BV73" s="151">
        <f>VLOOKUP($A73,TOCA_current!A69:BG204,MATCH(BV$4,TOCA_current!$A$2:$BG$2,0),FALSE)</f>
        <v>7.2514599999999999E-2</v>
      </c>
      <c r="BW73" s="151">
        <f t="shared" si="27"/>
        <v>0</v>
      </c>
      <c r="BX73" s="151">
        <f t="shared" si="28"/>
        <v>0</v>
      </c>
      <c r="BY73" s="226">
        <f>VLOOKUP($A73,IRD!$A$4:$G$139, 7, FALSE)</f>
        <v>0</v>
      </c>
      <c r="BZ73" s="227">
        <f t="array" ref="BZ73">IF($BU73=0, INDEX(LS_current!$D$4:$AY$138, MATCH('Staging Table'!$A73, LS_current!$B$4:$B$138, 0), MATCH(BZ$4&amp;BZ$5, LS_current!$D$2:$AY$2&amp;LS_current!$D$3:$AY$3, 0)),SUM(VLOOKUP($A73, LS_current!$B$4:$AY$138, LS_current!D$148, FALSE), VLOOKUP($A73, LS_current!$B$4:$AY$138,LS_current!D$148, FALSE))/2)</f>
        <v>-31</v>
      </c>
      <c r="CA73" s="227">
        <f t="array" ref="CA73">IF($BU73=0, INDEX(LS_current!$D$4:$AY$138, MATCH('Staging Table'!$A73, LS_current!$B$4:$B$138, 0), MATCH(CA$4&amp;CA$5, LS_current!$D$2:$AY$2&amp;LS_current!$D$3:$AY$3, 0)),SUM(VLOOKUP($A73, LS_current!$B$4:$AY$138, LS_current!E$148, FALSE), VLOOKUP($A73, LS_current!$B$4:$AY$138,LS_current!E$148, FALSE))/2)</f>
        <v>59</v>
      </c>
      <c r="CB73" s="227">
        <f t="array" ref="CB73">IF($BU73=0, INDEX(LS_current!$D$4:$AY$138, MATCH('Staging Table'!$A73, LS_current!$B$4:$B$138, 0), MATCH(CB$4&amp;CB$5, LS_current!$D$2:$AY$2&amp;LS_current!$D$3:$AY$3, 0)),SUM(VLOOKUP($A73, LS_current!$B$4:$AY$138, LS_current!F$148, FALSE), VLOOKUP($A73, LS_current!$B$4:$AY$138,LS_current!F$148, FALSE))/2)</f>
        <v>-61</v>
      </c>
      <c r="CC73" s="227">
        <f t="array" ref="CC73">IF($BU73=0, INDEX(LS_current!$D$4:$AY$138, MATCH('Staging Table'!$A73, LS_current!$B$4:$B$138, 0), MATCH(CC$4&amp;CC$5, LS_current!$D$2:$AY$2&amp;LS_current!$D$3:$AY$3, 0)),SUM(VLOOKUP($A73, LS_current!$B$4:$AY$138, LS_current!G$148, FALSE), VLOOKUP($A73, LS_current!$B$4:$AY$138,LS_current!G$148, FALSE))/2)</f>
        <v>317</v>
      </c>
      <c r="CD73" s="227">
        <f t="array" ref="CD73">IF($BU73=0, INDEX(LS_current!$D$4:$AY$138, MATCH('Staging Table'!$A73, LS_current!$B$4:$B$138, 0), MATCH(CD$4&amp;CD$5, LS_current!$D$2:$AY$2&amp;LS_current!$D$3:$AY$3, 0)),SUM(VLOOKUP($A73, LS_current!$B$4:$AY$138, LS_current!H$148, FALSE), VLOOKUP($A73, LS_current!$B$4:$AY$138,LS_current!H$148, FALSE))/2)</f>
        <v>743</v>
      </c>
      <c r="CE73" s="227">
        <f t="array" ref="CE73">IF($BU73=0, INDEX(LS_current!$D$4:$AY$138, MATCH('Staging Table'!$A73, LS_current!$B$4:$B$138, 0), MATCH(CE$4&amp;CE$5, LS_current!$D$2:$AY$2&amp;LS_current!$D$3:$AY$3, 0)),SUM(VLOOKUP($A73, LS_current!$B$4:$AY$138, LS_current!I$148, FALSE), VLOOKUP($A73, LS_current!$B$4:$AY$138,LS_current!I$148, FALSE))/2)</f>
        <v>770</v>
      </c>
      <c r="CF73" s="227">
        <f t="array" ref="CF73">IF($BU73=0, INDEX(LS_current!$D$4:$AY$138, MATCH('Staging Table'!$A73, LS_current!$B$4:$B$138, 0), MATCH(CF$4&amp;CF$5, LS_current!$D$2:$AY$2&amp;LS_current!$D$3:$AY$3, 0)),SUM(VLOOKUP($A73, LS_current!$B$4:$AY$138, LS_current!J$148, FALSE), VLOOKUP($A73, LS_current!$B$4:$AY$138,LS_current!J$148, FALSE))/2)</f>
        <v>1098</v>
      </c>
      <c r="CG73" s="227">
        <f t="array" ref="CG73">IF($BU73=0, INDEX(LS_current!$D$4:$AY$138, MATCH('Staging Table'!$A73, LS_current!$B$4:$B$138, 0), MATCH(CG$4&amp;CG$5, LS_current!$D$2:$AY$2&amp;LS_current!$D$3:$AY$3, 0)),SUM(VLOOKUP($A73, LS_current!$B$4:$AY$138, LS_current!K$148, FALSE), VLOOKUP($A73, LS_current!$B$4:$AY$138,LS_current!K$148, FALSE))/2)</f>
        <v>1042</v>
      </c>
      <c r="CH73" s="227">
        <f t="array" ref="CH73">IF($BU73=0, INDEX(LS_current!$D$4:$AY$138, MATCH('Staging Table'!$A73, LS_current!$B$4:$B$138, 0), MATCH(CH$4&amp;CH$5, LS_current!$D$2:$AY$2&amp;LS_current!$D$3:$AY$3, 0)),SUM(VLOOKUP($A73, LS_current!$B$4:$AY$138, LS_current!L$148, FALSE), VLOOKUP($A73, LS_current!$B$4:$AY$138,LS_current!L$148, FALSE))/2)</f>
        <v>811</v>
      </c>
      <c r="CI73" s="227">
        <f t="array" ref="CI73">IF($BU73=0, INDEX(LS_current!$D$4:$AY$138, MATCH('Staging Table'!$A73, LS_current!$B$4:$B$138, 0), MATCH(CI$4&amp;CI$5, LS_current!$D$2:$AY$2&amp;LS_current!$D$3:$AY$3, 0)),SUM(VLOOKUP($A73, LS_current!$B$4:$AY$138, LS_current!M$148, FALSE), VLOOKUP($A73, LS_current!$B$4:$AY$138,LS_current!M$148, FALSE))/2)</f>
        <v>689</v>
      </c>
      <c r="CJ73" s="227">
        <f t="array" ref="CJ73">IF($BU73=0, INDEX(LS_current!$D$4:$AY$138, MATCH('Staging Table'!$A73, LS_current!$B$4:$B$138, 0), MATCH(CJ$4&amp;CJ$5, LS_current!$D$2:$AY$2&amp;LS_current!$D$3:$AY$3, 0)),SUM(VLOOKUP($A73, LS_current!$B$4:$AY$138, LS_current!N$148, FALSE), VLOOKUP($A73, LS_current!$B$4:$AY$138,LS_current!N$148, FALSE))/2)</f>
        <v>320</v>
      </c>
      <c r="CK73" s="227">
        <f t="array" ref="CK73">IF($BU73=0, INDEX(LS_current!$D$4:$AY$138, MATCH('Staging Table'!$A73, LS_current!$B$4:$B$138, 0), MATCH(CK$4&amp;CK$5, LS_current!$D$2:$AY$2&amp;LS_current!$D$3:$AY$3, 0)),SUM(VLOOKUP($A73, LS_current!$B$4:$AY$138, LS_current!O$148, FALSE), VLOOKUP($A73, LS_current!$B$4:$AY$138,LS_current!O$148, FALSE))/2)</f>
        <v>417</v>
      </c>
      <c r="CL73" s="227">
        <f t="array" ref="CL73">IF($BU73=0, INDEX(LS_current!$D$4:$AY$138, MATCH('Staging Table'!$A73, LS_current!$B$4:$B$138, 0), MATCH(CL$4&amp;CL$5, LS_current!$D$2:$AY$2&amp;LS_current!$D$3:$AY$3, 0)),SUM(VLOOKUP($A73, LS_current!$B$4:$AY$138, LS_current!P$148, FALSE), VLOOKUP($A73, LS_current!$B$4:$AY$138,LS_current!P$148, FALSE))/2)</f>
        <v>404</v>
      </c>
      <c r="CM73" s="227">
        <f t="array" ref="CM73">IF($BU73=0, INDEX(LS_current!$D$4:$AY$138, MATCH('Staging Table'!$A73, LS_current!$B$4:$B$138, 0), MATCH(CM$4&amp;CM$5, LS_current!$D$2:$AY$2&amp;LS_current!$D$3:$AY$3, 0)),SUM(VLOOKUP($A73, LS_current!$B$4:$AY$138, LS_current!Q$148, FALSE), VLOOKUP($A73, LS_current!$B$4:$AY$138,LS_current!Q$148, FALSE))/2)</f>
        <v>319</v>
      </c>
      <c r="CN73" s="227">
        <f t="array" ref="CN73">IF($BU73=0, INDEX(LS_current!$D$4:$AY$138, MATCH('Staging Table'!$A73, LS_current!$B$4:$B$138, 0), MATCH(CN$4&amp;CN$5, LS_current!$D$2:$AY$2&amp;LS_current!$D$3:$AY$3, 0)),SUM(VLOOKUP($A73, LS_current!$B$4:$AY$138, LS_current!R$148, FALSE), VLOOKUP($A73, LS_current!$B$4:$AY$138,LS_current!R$148, FALSE))/2)</f>
        <v>-782</v>
      </c>
      <c r="CO73" s="227">
        <f t="array" ref="CO73">IF($BU73=0, INDEX(LS_current!$D$4:$AY$138, MATCH('Staging Table'!$A73, LS_current!$B$4:$B$138, 0), MATCH(CO$4&amp;CO$5, LS_current!$D$2:$AY$2&amp;LS_current!$D$3:$AY$3, 0)),SUM(VLOOKUP($A73, LS_current!$B$4:$AY$138, LS_current!S$148, FALSE), VLOOKUP($A73, LS_current!$B$4:$AY$138,LS_current!S$148, FALSE))/2)</f>
        <v>-181</v>
      </c>
      <c r="CP73" s="227">
        <f t="array" ref="CP73">IF($BU73=0, INDEX(LS_current!$D$4:$AY$138, MATCH('Staging Table'!$A73, LS_current!$B$4:$B$138, 0), MATCH(CP$4&amp;CP$5, LS_current!$D$2:$AY$2&amp;LS_current!$D$3:$AY$3, 0)),SUM(VLOOKUP($A73, LS_current!$B$4:$AY$138, LS_current!T$148, FALSE), VLOOKUP($A73, LS_current!$B$4:$AY$138,LS_current!T$148, FALSE))/2)</f>
        <v>-1612</v>
      </c>
      <c r="CQ73" s="227">
        <f t="array" ref="CQ73">IF($BU73=0, INDEX(LS_current!$D$4:$AY$138, MATCH('Staging Table'!$A73, LS_current!$B$4:$B$138, 0), MATCH(CQ$4&amp;CQ$5, LS_current!$D$2:$AY$2&amp;LS_current!$D$3:$AY$3, 0)),SUM(VLOOKUP($A73, LS_current!$B$4:$AY$138, LS_current!U$148, FALSE), VLOOKUP($A73, LS_current!$B$4:$AY$138,LS_current!U$148, FALSE))/2)</f>
        <v>-784</v>
      </c>
      <c r="CR73" s="227">
        <f t="array" ref="CR73">IF($BU73=0, INDEX(LS_current!$D$4:$AY$138, MATCH('Staging Table'!$A73, LS_current!$B$4:$B$138, 0), MATCH(CR$4&amp;CR$5, LS_current!$D$2:$AY$2&amp;LS_current!$D$3:$AY$3, 0)),SUM(VLOOKUP($A73, LS_current!$B$4:$AY$138, LS_current!V$148, FALSE), VLOOKUP($A73, LS_current!$B$4:$AY$138,LS_current!V$148, FALSE))/2)</f>
        <v>-539</v>
      </c>
      <c r="CS73" s="227">
        <f t="array" ref="CS73">IF($BU73=0, INDEX(LS_current!$D$4:$AY$138, MATCH('Staging Table'!$A73, LS_current!$B$4:$B$138, 0), MATCH(CS$4&amp;CS$5, LS_current!$D$2:$AY$2&amp;LS_current!$D$3:$AY$3, 0)),SUM(VLOOKUP($A73, LS_current!$B$4:$AY$138, LS_current!W$148, FALSE), VLOOKUP($A73, LS_current!$B$4:$AY$138,LS_current!W$148, FALSE))/2)</f>
        <v>93</v>
      </c>
      <c r="CT73" s="227">
        <f t="array" ref="CT73">IF($BU73=0, INDEX(LS_current!$D$4:$AY$138, MATCH('Staging Table'!$A73, LS_current!$B$4:$B$138, 0), MATCH(CT$4&amp;CT$5, LS_current!$D$2:$AY$2&amp;LS_current!$D$3:$AY$3, 0)),SUM(VLOOKUP($A73, LS_current!$B$4:$AY$138, LS_current!X$148, FALSE), VLOOKUP($A73, LS_current!$B$4:$AY$138,LS_current!X$148, FALSE))/2)</f>
        <v>-489</v>
      </c>
      <c r="CU73" s="227">
        <f t="array" ref="CU73">IF($BU73=0, INDEX(LS_current!$D$4:$AY$138, MATCH('Staging Table'!$A73, LS_current!$B$4:$B$138, 0), MATCH(CU$4&amp;CU$5, LS_current!$D$2:$AY$2&amp;LS_current!$D$3:$AY$3, 0)),SUM(VLOOKUP($A73, LS_current!$B$4:$AY$138, LS_current!Y$148, FALSE), VLOOKUP($A73, LS_current!$B$4:$AY$138,LS_current!Y$148, FALSE))/2)</f>
        <v>-22</v>
      </c>
      <c r="CV73" s="227">
        <f t="array" ref="CV73">IF($BU73=0, INDEX(LS_current!$D$4:$AY$138, MATCH('Staging Table'!$A73, LS_current!$B$4:$B$138, 0), MATCH(CV$4&amp;CV$5, LS_current!$D$2:$AY$2&amp;LS_current!$D$3:$AY$3, 0)),SUM(VLOOKUP($A73, LS_current!$B$4:$AY$138, LS_current!Z$148, FALSE), VLOOKUP($A73, LS_current!$B$4:$AY$138,LS_current!Z$148, FALSE))/2)</f>
        <v>-518</v>
      </c>
      <c r="CW73" s="227">
        <f t="array" ref="CW73">IF($BU73=0, INDEX(LS_current!$D$4:$AY$138, MATCH('Staging Table'!$A73, LS_current!$B$4:$B$138, 0), MATCH(CW$4&amp;CW$5, LS_current!$D$2:$AY$2&amp;LS_current!$D$3:$AY$3, 0)),SUM(VLOOKUP($A73, LS_current!$B$4:$AY$138, LS_current!AA$148, FALSE), VLOOKUP($A73, LS_current!$B$4:$AY$138,LS_current!AA$148, FALSE))/2)</f>
        <v>-120</v>
      </c>
      <c r="CX73" s="229">
        <f t="array" ref="CX73">INDEX(Demand_current!$D$4:$AY$138, MATCH($A73, Demand_current!$B$4:$B$138, 0), MATCH(CX$4&amp;CX$5,Demand_current!$D$2:$AY$2&amp;Demand_current!$D$3:$AY$3, 0))/1000</f>
        <v>0.76400000000000001</v>
      </c>
      <c r="CY73" s="229">
        <f t="array" ref="CY73">INDEX(Demand_current!$D$4:$AY$138, MATCH($A73, Demand_current!$B$4:$B$138, 0), MATCH(CY$4&amp;CY$5,Demand_current!$D$2:$AY$2&amp;Demand_current!$D$3:$AY$3, 0))/1000</f>
        <v>1.292</v>
      </c>
      <c r="CZ73" s="229">
        <f t="array" ref="CZ73">INDEX(Demand_current!$D$4:$AY$138, MATCH($A73, Demand_current!$B$4:$B$138, 0), MATCH(CZ$4&amp;CZ$5,Demand_current!$D$2:$AY$2&amp;Demand_current!$D$3:$AY$3, 0))/1000</f>
        <v>1.119</v>
      </c>
      <c r="DA73" s="229">
        <f t="array" ref="DA73">INDEX(Demand_current!$D$4:$AY$138, MATCH($A73, Demand_current!$B$4:$B$138, 0), MATCH(DA$4&amp;DA$5,Demand_current!$D$2:$AY$2&amp;Demand_current!$D$3:$AY$3, 0))/1000</f>
        <v>1.772</v>
      </c>
      <c r="DB73" s="229">
        <f t="array" ref="DB73">INDEX(Demand_current!$D$4:$AY$138, MATCH($A73, Demand_current!$B$4:$B$138, 0), MATCH(DB$4&amp;DB$5,Demand_current!$D$2:$AY$2&amp;Demand_current!$D$3:$AY$3, 0))/1000</f>
        <v>1.337</v>
      </c>
      <c r="DC73" s="229">
        <f t="array" ref="DC73">INDEX(Demand_current!$D$4:$AY$138, MATCH($A73, Demand_current!$B$4:$B$138, 0), MATCH(DC$4&amp;DC$5,Demand_current!$D$2:$AY$2&amp;Demand_current!$D$3:$AY$3, 0))/1000</f>
        <v>1.1519999999999999</v>
      </c>
      <c r="DD73" s="229">
        <f t="array" ref="DD73">INDEX(Demand_current!$D$4:$AY$138, MATCH($A73, Demand_current!$B$4:$B$138, 0), MATCH(DD$4&amp;DD$5,Demand_current!$D$2:$AY$2&amp;Demand_current!$D$3:$AY$3, 0))/1000</f>
        <v>1.02</v>
      </c>
      <c r="DE73" s="229">
        <f t="array" ref="DE73">INDEX(Demand_current!$D$4:$AY$138, MATCH($A73, Demand_current!$B$4:$B$138, 0), MATCH(DE$4&amp;DE$5,Demand_current!$D$2:$AY$2&amp;Demand_current!$D$3:$AY$3, 0))/1000</f>
        <v>1.2809999999999999</v>
      </c>
      <c r="DF73" s="229">
        <f t="array" ref="DF73">INDEX(Demand_current!$D$4:$AY$138, MATCH($A73, Demand_current!$B$4:$B$138, 0), MATCH(DF$4&amp;DF$5,Demand_current!$D$2:$AY$2&amp;Demand_current!$D$3:$AY$3, 0))/1000</f>
        <v>1.2110000000000001</v>
      </c>
      <c r="DG73" s="229">
        <f t="array" ref="DG73">INDEX(Demand_current!$D$4:$AY$138, MATCH($A73, Demand_current!$B$4:$B$138, 0), MATCH(DG$4&amp;DG$5,Demand_current!$D$2:$AY$2&amp;Demand_current!$D$3:$AY$3, 0))/1000</f>
        <v>1.4470000000000001</v>
      </c>
      <c r="DH73" s="229">
        <f t="array" ref="DH73">INDEX(Demand_current!$D$4:$AY$138, MATCH($A73, Demand_current!$B$4:$B$138, 0), MATCH(DH$4&amp;DH$5,Demand_current!$D$2:$AY$2&amp;Demand_current!$D$3:$AY$3, 0))/1000</f>
        <v>0.89100000000000001</v>
      </c>
      <c r="DI73" s="229">
        <f t="array" ref="DI73">INDEX(Demand_current!$D$4:$AY$138, MATCH($A73, Demand_current!$B$4:$B$138, 0), MATCH(DI$4&amp;DI$5,Demand_current!$D$2:$AY$2&amp;Demand_current!$D$3:$AY$3, 0))/1000</f>
        <v>1.1930000000000001</v>
      </c>
      <c r="DJ73" s="227">
        <f>$BT73*(VLOOKUP(DJ$4, Rates_current!$G$6:$Q$29, 10, FALSE)+VLOOKUP(DJ$4, Rates_current!$G$6:$Q$29, 11, FALSE))</f>
        <v>4062.3156690407995</v>
      </c>
      <c r="DK73" s="227">
        <f>$BT73*(VLOOKUP(DK$4, Rates_current!$G$6:$Q$29, 10, FALSE)+VLOOKUP(DK$4, Rates_current!$G$6:$Q$29, 11, FALSE))</f>
        <v>5160.4081636722003</v>
      </c>
      <c r="DL73" s="227">
        <f>$BT73*(VLOOKUP(DL$4, Rates_current!$G$6:$Q$29, 10, FALSE)+VLOOKUP(DL$4, Rates_current!$G$6:$Q$29, 11, FALSE))</f>
        <v>5098.0892524408009</v>
      </c>
      <c r="DM73" s="227">
        <f>$BT73*(VLOOKUP(DM$4, Rates_current!$G$6:$Q$29, 10, FALSE)+VLOOKUP(DM$4, Rates_current!$G$6:$Q$29, 11, FALSE))</f>
        <v>4249.5679020408006</v>
      </c>
      <c r="DN73" s="227">
        <f>$BT73*(VLOOKUP(DN$4, Rates_current!$G$6:$Q$29, 10, FALSE)+VLOOKUP(DN$4, Rates_current!$G$6:$Q$29, 11, FALSE))</f>
        <v>3849.6676606400001</v>
      </c>
      <c r="DO73" s="227">
        <f>$BT73*(VLOOKUP(DO$4, Rates_current!$G$6:$Q$29, 10, FALSE)+VLOOKUP(DO$4, Rates_current!$G$6:$Q$29, 11, FALSE))</f>
        <v>4282.0534093726001</v>
      </c>
      <c r="DP73" s="227">
        <f>$BT73*(VLOOKUP(DP$4, Rates_current!$G$6:$Q$29, 10, FALSE)+VLOOKUP(DP$4, Rates_current!$G$6:$Q$29, 11, FALSE))</f>
        <v>3486.4525067039999</v>
      </c>
      <c r="DQ73" s="227">
        <f>$BT73*(VLOOKUP(DQ$4, Rates_current!$G$6:$Q$29, 10, FALSE)+VLOOKUP(DQ$4, Rates_current!$G$6:$Q$29, 11, FALSE))</f>
        <v>4702.0010929408008</v>
      </c>
      <c r="DR73" s="227">
        <f>$BT73*(VLOOKUP(DR$4, Rates_current!$G$6:$Q$29, 10, FALSE)+VLOOKUP(DR$4, Rates_current!$G$6:$Q$29, 11, FALSE))</f>
        <v>5999.4336048040004</v>
      </c>
      <c r="DS73" s="227">
        <f>$BT73*(VLOOKUP(DS$4, Rates_current!$G$6:$Q$29, 10, FALSE)+VLOOKUP(DS$4, Rates_current!$G$6:$Q$29, 11, FALSE))</f>
        <v>4703.7461762408002</v>
      </c>
      <c r="DT73" s="227">
        <f>$BT73*(VLOOKUP(DT$4, Rates_current!$G$6:$Q$29, 10, FALSE)+VLOOKUP(DT$4, Rates_current!$G$6:$Q$29, 11, FALSE))</f>
        <v>4580.5121503408009</v>
      </c>
      <c r="DU73" s="227">
        <f>$BT73*(VLOOKUP(DU$4, Rates_current!$G$6:$Q$29, 10, FALSE)+VLOOKUP(DU$4, Rates_current!$G$6:$Q$29, 11, FALSE))</f>
        <v>4112.3255105040007</v>
      </c>
      <c r="DV73" s="229">
        <f>IF(D73=0,IF(C73=0,MAX(0,DY73 - (VLOOKUP($A73,TOCA_current!$A$2:$AI$137,MATCH("RHWM 2020",TOCA_current!$A$2:$AI$2,0),FALSE)*$BT$2)), 0),0)</f>
        <v>1944.4551363584033</v>
      </c>
      <c r="DW73" s="266">
        <f>VLOOKUP($A73,REP_current!$A$1:$D$135,MATCH("FY "&amp;$BT$1&amp; " Total Refund",REP_current!$A$1:$D$1,0),0)</f>
        <v>0</v>
      </c>
      <c r="DX73" s="295">
        <f>MIN(VLOOKUP($A73,TOCA_current!$A$2:$AI$137,MATCH("TRL - NLSL - Existing Resource "&amp;$BT$1,TOCA_current!$A$2:$AI$2,0),FALSE)*$BT$2, VLOOKUP($A73,TOCA_current!$A$2:$AI$137,MATCH("RHWM 2020",TOCA_current!$A$2:$AI$2,0),FALSE)*$BT$2)</f>
        <v>54285.119999999995</v>
      </c>
      <c r="DY73" s="240">
        <f>SUM(BZ73:CW73)+(BT73*RT1SC!$C$4*$BT$2)</f>
        <v>56229.575136358399</v>
      </c>
      <c r="DZ73" s="271">
        <f>VLOOKUP($A73,TOCA_current!$A$2:$AI$137,MATCH("Above RHWM Not Served with LS "&amp;$BT$1,TOCA_current!$A$2:$AI$2,0),FALSE)*$BT$2</f>
        <v>0</v>
      </c>
      <c r="EA73" s="244">
        <f t="shared" si="29"/>
        <v>1944.4551363584033</v>
      </c>
      <c r="EB73" s="295">
        <f>(VLOOKUP($A73,TOCA_current!$A$2:$AI$137,MATCH("RHWM 2020",TOCA_current!$A$2:$AI$2,0),FALSE)*$BT$2) - $DX73</f>
        <v>0</v>
      </c>
      <c r="EC73" s="240">
        <f t="shared" si="30"/>
        <v>0</v>
      </c>
      <c r="ED73" s="240">
        <f t="shared" si="31"/>
        <v>0</v>
      </c>
      <c r="EE73" s="240">
        <f t="shared" si="32"/>
        <v>0</v>
      </c>
      <c r="EF73" s="240">
        <f t="shared" si="33"/>
        <v>0</v>
      </c>
    </row>
    <row r="74" spans="1:136">
      <c r="A74" s="166">
        <v>10204</v>
      </c>
      <c r="B74" s="167" t="s">
        <v>75</v>
      </c>
      <c r="C74" s="240">
        <v>0</v>
      </c>
      <c r="D74" s="240">
        <v>1</v>
      </c>
      <c r="E74" s="150">
        <f>VLOOKUP($A74,TOCA_previous!$A$2:$AI$137,MATCH(E$4,TOCA_previous!$A$2:$AI$2,0),FALSE)</f>
        <v>9.0512000000000006E-3</v>
      </c>
      <c r="F74" s="151">
        <f>VLOOKUP($A74,TOCA_previous!$A$2:$AI$137,MATCH(F$4,TOCA_previous!$A$2:$AI$2,0),FALSE)</f>
        <v>3.5590000000000001E-3</v>
      </c>
      <c r="G74" s="151">
        <f t="shared" si="18"/>
        <v>5.4922000000000009E-3</v>
      </c>
      <c r="H74" s="151">
        <f>VLOOKUP($A74,TOCA_previous!$A$2:$AI$137,MATCH(H$4,TOCA_previous!$A$2:$AI$2,0),FALSE)</f>
        <v>0</v>
      </c>
      <c r="I74" s="151">
        <f t="shared" si="19"/>
        <v>0</v>
      </c>
      <c r="J74" s="151">
        <f t="shared" si="20"/>
        <v>0</v>
      </c>
      <c r="K74" s="226">
        <f>VLOOKUP(A74, IRD!$A$5:$C$139, 3, FALSE)</f>
        <v>0</v>
      </c>
      <c r="L74" s="227">
        <f t="array" ref="L74">IF($G74=0, INDEX(LS_previous!$D$4:$AY$138, MATCH('Staging Table'!$A74, LS_previous!$B$4:$B$138, 0), MATCH(L$4&amp;L$5, LS_previous!$D$2:$AY$2&amp;LS_previous!$D$3:$AY$3, 0)),SUM(VLOOKUP($A74, LS_previous!$B$4:$AY$138, LS_previous!D$149, FALSE), VLOOKUP('Staging Table'!$A74, LS_previous!$B$4:$AY$138,LS_previous!AB$149, FALSE))/2)</f>
        <v>-1678.5</v>
      </c>
      <c r="M74" s="227">
        <f t="array" ref="M74">IF($G74=0, INDEX(LS_previous!$D$4:$AY$138, MATCH('Staging Table'!$A74, LS_previous!$B$4:$B$138, 0), MATCH(M$4&amp;M$5, LS_previous!$D$2:$AY$2&amp;LS_previous!$D$3:$AY$3, 0)),SUM(VLOOKUP($A74, LS_previous!$B$4:$AY$138, LS_previous!E$149, FALSE), VLOOKUP('Staging Table'!$A74, LS_previous!$B$4:$AY$138,LS_previous!AC$149, FALSE))/2)</f>
        <v>1072</v>
      </c>
      <c r="N74" s="227">
        <f t="array" ref="N74">IF($G74=0, INDEX(LS_previous!$D$4:$AY$138, MATCH('Staging Table'!$A74, LS_previous!$B$4:$B$138, 0), MATCH(N$4&amp;N$5, LS_previous!$D$2:$AY$2&amp;LS_previous!$D$3:$AY$3, 0)),SUM(VLOOKUP($A74, LS_previous!$B$4:$AY$138, LS_previous!F$149, FALSE), VLOOKUP('Staging Table'!$A74, LS_previous!$B$4:$AY$138,LS_previous!AD$149, FALSE))/2)</f>
        <v>-2729.5</v>
      </c>
      <c r="O74" s="227">
        <f t="array" ref="O74">IF($G74=0, INDEX(LS_previous!$D$4:$AY$138, MATCH('Staging Table'!$A74, LS_previous!$B$4:$B$138, 0), MATCH(O$4&amp;O$5, LS_previous!$D$2:$AY$2&amp;LS_previous!$D$3:$AY$3, 0)),SUM(VLOOKUP($A74, LS_previous!$B$4:$AY$138, LS_previous!G$149, FALSE), VLOOKUP('Staging Table'!$A74, LS_previous!$B$4:$AY$138,LS_previous!AE$149, FALSE))/2)</f>
        <v>595.5</v>
      </c>
      <c r="P74" s="227">
        <f t="array" ref="P74">IF($G74=0, INDEX(LS_previous!$D$4:$AY$138, MATCH('Staging Table'!$A74, LS_previous!$B$4:$B$138, 0), MATCH(P$4&amp;P$5, LS_previous!$D$2:$AY$2&amp;LS_previous!$D$3:$AY$3, 0)),SUM(VLOOKUP($A74, LS_previous!$B$4:$AY$138, LS_previous!H$149, FALSE), VLOOKUP('Staging Table'!$A74, LS_previous!$B$4:$AY$138,LS_previous!AF$149, FALSE))/2)</f>
        <v>-429</v>
      </c>
      <c r="Q74" s="227">
        <f t="array" ref="Q74">IF($G74=0, INDEX(LS_previous!$D$4:$AY$138, MATCH('Staging Table'!$A74, LS_previous!$B$4:$B$138, 0), MATCH(Q$4&amp;Q$5, LS_previous!$D$2:$AY$2&amp;LS_previous!$D$3:$AY$3, 0)),SUM(VLOOKUP($A74, LS_previous!$B$4:$AY$138, LS_previous!I$149, FALSE), VLOOKUP('Staging Table'!$A74, LS_previous!$B$4:$AY$138,LS_previous!AG$149, FALSE))/2)</f>
        <v>2848.5</v>
      </c>
      <c r="R74" s="227">
        <f t="array" ref="R74">IF($G74=0, INDEX(LS_previous!$D$4:$AY$138, MATCH('Staging Table'!$A74, LS_previous!$B$4:$B$138, 0), MATCH(R$4&amp;R$5, LS_previous!$D$2:$AY$2&amp;LS_previous!$D$3:$AY$3, 0)),SUM(VLOOKUP($A74, LS_previous!$B$4:$AY$138, LS_previous!J$149, FALSE), VLOOKUP('Staging Table'!$A74, LS_previous!$B$4:$AY$138,LS_previous!AH$149, FALSE))/2)</f>
        <v>2403</v>
      </c>
      <c r="S74" s="227">
        <f t="array" ref="S74">IF($G74=0, INDEX(LS_previous!$D$4:$AY$138, MATCH('Staging Table'!$A74, LS_previous!$B$4:$B$138, 0), MATCH(S$4&amp;S$5, LS_previous!$D$2:$AY$2&amp;LS_previous!$D$3:$AY$3, 0)),SUM(VLOOKUP($A74, LS_previous!$B$4:$AY$138, LS_previous!K$149, FALSE), VLOOKUP('Staging Table'!$A74, LS_previous!$B$4:$AY$138,LS_previous!AI$149, FALSE))/2)</f>
        <v>3712</v>
      </c>
      <c r="T74" s="227">
        <f t="array" ref="T74">IF($G74=0, INDEX(LS_previous!$D$4:$AY$138, MATCH('Staging Table'!$A74, LS_previous!$B$4:$B$138, 0), MATCH(T$4&amp;T$5, LS_previous!$D$2:$AY$2&amp;LS_previous!$D$3:$AY$3, 0)),SUM(VLOOKUP($A74, LS_previous!$B$4:$AY$138, LS_previous!L$149, FALSE), VLOOKUP('Staging Table'!$A74, LS_previous!$B$4:$AY$138,LS_previous!AJ$149, FALSE))/2)</f>
        <v>1974.5</v>
      </c>
      <c r="U74" s="227">
        <f t="array" ref="U74">IF($G74=0, INDEX(LS_previous!$D$4:$AY$138, MATCH('Staging Table'!$A74, LS_previous!$B$4:$B$138, 0), MATCH(U$4&amp;U$5, LS_previous!$D$2:$AY$2&amp;LS_previous!$D$3:$AY$3, 0)),SUM(VLOOKUP($A74, LS_previous!$B$4:$AY$138, LS_previous!M$149, FALSE), VLOOKUP('Staging Table'!$A74, LS_previous!$B$4:$AY$138,LS_previous!AK$149, FALSE))/2)</f>
        <v>2978</v>
      </c>
      <c r="V74" s="227">
        <f t="array" ref="V74">IF($G74=0, INDEX(LS_previous!$D$4:$AY$138, MATCH('Staging Table'!$A74, LS_previous!$B$4:$B$138, 0), MATCH(V$4&amp;V$5, LS_previous!$D$2:$AY$2&amp;LS_previous!$D$3:$AY$3, 0)),SUM(VLOOKUP($A74, LS_previous!$B$4:$AY$138, LS_previous!N$149, FALSE), VLOOKUP('Staging Table'!$A74, LS_previous!$B$4:$AY$138,LS_previous!AL$149, FALSE))/2)</f>
        <v>-455.5</v>
      </c>
      <c r="W74" s="227">
        <f t="array" ref="W74">IF($G74=0, INDEX(LS_previous!$D$4:$AY$138, MATCH('Staging Table'!$A74, LS_previous!$B$4:$B$138, 0), MATCH(W$4&amp;W$5, LS_previous!$D$2:$AY$2&amp;LS_previous!$D$3:$AY$3, 0)),SUM(VLOOKUP($A74, LS_previous!$B$4:$AY$138, LS_previous!O$149, FALSE), VLOOKUP('Staging Table'!$A74, LS_previous!$B$4:$AY$138,LS_previous!AM$149, FALSE))/2)</f>
        <v>1475.5</v>
      </c>
      <c r="X74" s="227">
        <f t="array" ref="X74">IF($G74=0, INDEX(LS_previous!$D$4:$AY$138, MATCH('Staging Table'!$A74, LS_previous!$B$4:$B$138, 0), MATCH(X$4&amp;X$5, LS_previous!$D$2:$AY$2&amp;LS_previous!$D$3:$AY$3, 0)),SUM(VLOOKUP($A74, LS_previous!$B$4:$AY$138, LS_previous!P$149, FALSE), VLOOKUP('Staging Table'!$A74, LS_previous!$B$4:$AY$138,LS_previous!AN$149, FALSE))/2)</f>
        <v>-1615.5</v>
      </c>
      <c r="Y74" s="227">
        <f t="array" ref="Y74">IF($G74=0, INDEX(LS_previous!$D$4:$AY$138, MATCH('Staging Table'!$A74, LS_previous!$B$4:$B$138, 0), MATCH(Y$4&amp;Y$5, LS_previous!$D$2:$AY$2&amp;LS_previous!$D$3:$AY$3, 0)),SUM(VLOOKUP($A74, LS_previous!$B$4:$AY$138, LS_previous!Q$149, FALSE), VLOOKUP('Staging Table'!$A74, LS_previous!$B$4:$AY$138,LS_previous!AO$149, FALSE))/2)</f>
        <v>937</v>
      </c>
      <c r="Z74" s="227">
        <f t="array" ref="Z74">IF($G74=0, INDEX(LS_previous!$D$4:$AY$138, MATCH('Staging Table'!$A74, LS_previous!$B$4:$B$138, 0), MATCH(Z$4&amp;Z$5, LS_previous!$D$2:$AY$2&amp;LS_previous!$D$3:$AY$3, 0)),SUM(VLOOKUP($A74, LS_previous!$B$4:$AY$138, LS_previous!R$149, FALSE), VLOOKUP('Staging Table'!$A74, LS_previous!$B$4:$AY$138,LS_previous!AP$149, FALSE))/2)</f>
        <v>-5545</v>
      </c>
      <c r="AA74" s="227">
        <f t="array" ref="AA74">IF($G74=0, INDEX(LS_previous!$D$4:$AY$138, MATCH('Staging Table'!$A74, LS_previous!$B$4:$B$138, 0), MATCH(AA$4&amp;AA$5, LS_previous!$D$2:$AY$2&amp;LS_previous!$D$3:$AY$3, 0)),SUM(VLOOKUP($A74, LS_previous!$B$4:$AY$138, LS_previous!S$149, FALSE), VLOOKUP('Staging Table'!$A74, LS_previous!$B$4:$AY$138,LS_previous!AQ$149, FALSE))/2)</f>
        <v>-1055</v>
      </c>
      <c r="AB74" s="227">
        <f t="array" ref="AB74">IF($G74=0, INDEX(LS_previous!$D$4:$AY$138, MATCH('Staging Table'!$A74, LS_previous!$B$4:$B$138, 0), MATCH(AB$4&amp;AB$5, LS_previous!$D$2:$AY$2&amp;LS_previous!$D$3:$AY$3, 0)),SUM(VLOOKUP($A74, LS_previous!$B$4:$AY$138, LS_previous!T$149, FALSE), VLOOKUP('Staging Table'!$A74, LS_previous!$B$4:$AY$138,LS_previous!AR$149, FALSE))/2)</f>
        <v>-3263</v>
      </c>
      <c r="AC74" s="227">
        <f t="array" ref="AC74">IF($G74=0, INDEX(LS_previous!$D$4:$AY$138, MATCH('Staging Table'!$A74, LS_previous!$B$4:$B$138, 0), MATCH(AC$4&amp;AC$5, LS_previous!$D$2:$AY$2&amp;LS_previous!$D$3:$AY$3, 0)),SUM(VLOOKUP($A74, LS_previous!$B$4:$AY$138, LS_previous!U$149, FALSE), VLOOKUP('Staging Table'!$A74, LS_previous!$B$4:$AY$138,LS_previous!AS$149, FALSE))/2)</f>
        <v>394.5</v>
      </c>
      <c r="AD74" s="227">
        <f t="array" ref="AD74">IF($G74=0, INDEX(LS_previous!$D$4:$AY$138, MATCH('Staging Table'!$A74, LS_previous!$B$4:$B$138, 0), MATCH(AD$4&amp;AD$5, LS_previous!$D$2:$AY$2&amp;LS_previous!$D$3:$AY$3, 0)),SUM(VLOOKUP($A74, LS_previous!$B$4:$AY$138, LS_previous!V$149, FALSE), VLOOKUP('Staging Table'!$A74, LS_previous!$B$4:$AY$138,LS_previous!AT$149, FALSE))/2)</f>
        <v>-947.5</v>
      </c>
      <c r="AE74" s="227">
        <f t="array" ref="AE74">IF($G74=0, INDEX(LS_previous!$D$4:$AY$138, MATCH('Staging Table'!$A74, LS_previous!$B$4:$B$138, 0), MATCH(AE$4&amp;AE$5, LS_previous!$D$2:$AY$2&amp;LS_previous!$D$3:$AY$3, 0)),SUM(VLOOKUP($A74, LS_previous!$B$4:$AY$138, LS_previous!W$149, FALSE), VLOOKUP('Staging Table'!$A74, LS_previous!$B$4:$AY$138,LS_previous!AU$149, FALSE))/2)</f>
        <v>2376.5</v>
      </c>
      <c r="AF74" s="227">
        <f t="array" ref="AF74">IF($G74=0, INDEX(LS_previous!$D$4:$AY$138, MATCH('Staging Table'!$A74, LS_previous!$B$4:$B$138, 0), MATCH(AF$4&amp;AF$5, LS_previous!$D$2:$AY$2&amp;LS_previous!$D$3:$AY$3, 0)),SUM(VLOOKUP($A74, LS_previous!$B$4:$AY$138, LS_previous!X$149, FALSE), VLOOKUP('Staging Table'!$A74, LS_previous!$B$4:$AY$138,LS_previous!AV$149, FALSE))/2)</f>
        <v>-2019.5</v>
      </c>
      <c r="AG74" s="227">
        <f t="array" ref="AG74">IF($G74=0, INDEX(LS_previous!$D$4:$AY$138, MATCH('Staging Table'!$A74, LS_previous!$B$4:$B$138, 0), MATCH(AG$4&amp;AG$5, LS_previous!$D$2:$AY$2&amp;LS_previous!$D$3:$AY$3, 0)),SUM(VLOOKUP($A74, LS_previous!$B$4:$AY$138, LS_previous!Y$149, FALSE), VLOOKUP('Staging Table'!$A74, LS_previous!$B$4:$AY$138,LS_previous!AW$149, FALSE))/2)</f>
        <v>1310</v>
      </c>
      <c r="AH74" s="227">
        <f t="array" ref="AH74">IF($G74=0, INDEX(LS_previous!$D$4:$AY$138, MATCH('Staging Table'!$A74, LS_previous!$B$4:$B$138, 0), MATCH(AH$4&amp;AH$5, LS_previous!$D$2:$AY$2&amp;LS_previous!$D$3:$AY$3, 0)),SUM(VLOOKUP($A74, LS_previous!$B$4:$AY$138, LS_previous!Z$149, FALSE), VLOOKUP('Staging Table'!$A74, LS_previous!$B$4:$AY$138,LS_previous!AX$149, FALSE))/2)</f>
        <v>-2856.5</v>
      </c>
      <c r="AI74" s="227">
        <f t="array" ref="AI74">IF($G74=0, INDEX(LS_previous!$D$4:$AY$138, MATCH('Staging Table'!$A74, LS_previous!$B$4:$B$138, 0), MATCH(AI$4&amp;AI$5, LS_previous!$D$2:$AY$2&amp;LS_previous!$D$3:$AY$3, 0)),SUM(VLOOKUP($A74, LS_previous!$B$4:$AY$138, LS_previous!AA$149, FALSE), VLOOKUP('Staging Table'!$A74, LS_previous!$B$4:$AY$138,LS_previous!AY$149, FALSE))/2)</f>
        <v>773.5</v>
      </c>
      <c r="AJ74" s="424">
        <f t="array" ref="AJ74">INDEX(Demand_previous!$D$4:$AY$138, MATCH('Staging Table'!$A74, Demand_previous!$B$4:$B$138, 0), MATCH(AJ$4&amp;AJ$5,Demand_previous!$D$2:$AY$2&amp;Demand_previous!$D$3:$AY$3, 0))/1000</f>
        <v>0</v>
      </c>
      <c r="AK74" s="424">
        <f t="array" ref="AK74">INDEX(Demand_previous!$D$4:$AY$138, MATCH('Staging Table'!$A74, Demand_previous!$B$4:$B$138, 0), MATCH(AK$4&amp;AK$5,Demand_previous!$D$2:$AY$2&amp;Demand_previous!$D$3:$AY$3, 0))/1000</f>
        <v>0</v>
      </c>
      <c r="AL74" s="424">
        <f t="array" ref="AL74">INDEX(Demand_previous!$D$4:$AY$138, MATCH('Staging Table'!$A74, Demand_previous!$B$4:$B$138, 0), MATCH(AL$4&amp;AL$5,Demand_previous!$D$2:$AY$2&amp;Demand_previous!$D$3:$AY$3, 0))/1000</f>
        <v>0</v>
      </c>
      <c r="AM74" s="424">
        <f t="array" ref="AM74">INDEX(Demand_previous!$D$4:$AY$138, MATCH('Staging Table'!$A74, Demand_previous!$B$4:$B$138, 0), MATCH(AM$4&amp;AM$5,Demand_previous!$D$2:$AY$2&amp;Demand_previous!$D$3:$AY$3, 0))/1000</f>
        <v>0</v>
      </c>
      <c r="AN74" s="424">
        <f t="array" ref="AN74">INDEX(Demand_previous!$D$4:$AY$138, MATCH('Staging Table'!$A74, Demand_previous!$B$4:$B$138, 0), MATCH(AN$4&amp;AN$5,Demand_previous!$D$2:$AY$2&amp;Demand_previous!$D$3:$AY$3, 0))/1000</f>
        <v>0</v>
      </c>
      <c r="AO74" s="424">
        <f t="array" ref="AO74">INDEX(Demand_previous!$D$4:$AY$138, MATCH('Staging Table'!$A74, Demand_previous!$B$4:$B$138, 0), MATCH(AO$4&amp;AO$5,Demand_previous!$D$2:$AY$2&amp;Demand_previous!$D$3:$AY$3, 0))/1000</f>
        <v>0</v>
      </c>
      <c r="AP74" s="424">
        <f t="array" ref="AP74">INDEX(Demand_previous!$D$4:$AY$138, MATCH('Staging Table'!$A74, Demand_previous!$B$4:$B$138, 0), MATCH(AP$4&amp;AP$5,Demand_previous!$D$2:$AY$2&amp;Demand_previous!$D$3:$AY$3, 0))/1000</f>
        <v>0</v>
      </c>
      <c r="AQ74" s="424">
        <f t="array" ref="AQ74">INDEX(Demand_previous!$D$4:$AY$138, MATCH('Staging Table'!$A74, Demand_previous!$B$4:$B$138, 0), MATCH(AQ$4&amp;AQ$5,Demand_previous!$D$2:$AY$2&amp;Demand_previous!$D$3:$AY$3, 0))/1000</f>
        <v>0</v>
      </c>
      <c r="AR74" s="424">
        <f t="array" ref="AR74">INDEX(Demand_previous!$D$4:$AY$138, MATCH('Staging Table'!$A74, Demand_previous!$B$4:$B$138, 0), MATCH(AR$4&amp;AR$5,Demand_previous!$D$2:$AY$2&amp;Demand_previous!$D$3:$AY$3, 0))/1000</f>
        <v>0</v>
      </c>
      <c r="AS74" s="424">
        <f t="array" ref="AS74">INDEX(Demand_previous!$D$4:$AY$138, MATCH('Staging Table'!$A74, Demand_previous!$B$4:$B$138, 0), MATCH(AS$4&amp;AS$5,Demand_previous!$D$2:$AY$2&amp;Demand_previous!$D$3:$AY$3, 0))/1000</f>
        <v>0</v>
      </c>
      <c r="AT74" s="424">
        <f t="array" ref="AT74">INDEX(Demand_previous!$D$4:$AY$138, MATCH('Staging Table'!$A74, Demand_previous!$B$4:$B$138, 0), MATCH(AT$4&amp;AT$5,Demand_previous!$D$2:$AY$2&amp;Demand_previous!$D$3:$AY$3, 0))/1000</f>
        <v>0</v>
      </c>
      <c r="AU74" s="424">
        <f t="array" ref="AU74">INDEX(Demand_previous!$D$4:$AY$138, MATCH('Staging Table'!$A74, Demand_previous!$B$4:$B$138, 0), MATCH(AU$4&amp;AU$5,Demand_previous!$D$2:$AY$2&amp;Demand_previous!$D$3:$AY$3, 0))/1000</f>
        <v>0</v>
      </c>
      <c r="AV74" s="227">
        <f>$F74*(VLOOKUP(AV$4, Rates_previous!$G$6:$Q$29, 10, FALSE)+VLOOKUP(AV$4, Rates_previous!$G$6:$Q$29, 11, FALSE))</f>
        <v>16687.573596344231</v>
      </c>
      <c r="AW74" s="227">
        <f>$F74*(VLOOKUP(AW$4, Rates_previous!$G$6:$Q$29, 10, FALSE)+VLOOKUP(AW$4, Rates_previous!$G$6:$Q$29, 11, FALSE))</f>
        <v>20624.572642272939</v>
      </c>
      <c r="AX74" s="227">
        <f>$F74*(VLOOKUP(AX$4, Rates_previous!$G$6:$Q$29, 10, FALSE)+VLOOKUP(AX$4, Rates_previous!$G$6:$Q$29, 11, FALSE))</f>
        <v>20376.896193019646</v>
      </c>
      <c r="AY74" s="227">
        <f>$F74*(VLOOKUP(AY$4, Rates_previous!$G$6:$Q$29, 10, FALSE)+VLOOKUP(AY$4, Rates_previous!$G$6:$Q$29, 11, FALSE))</f>
        <v>17410.115557954439</v>
      </c>
      <c r="AZ74" s="227">
        <f>$F74*(VLOOKUP(AZ$4, Rates_previous!$G$6:$Q$29, 10, FALSE)+VLOOKUP(AZ$4, Rates_previous!$G$6:$Q$29, 11, FALSE))</f>
        <v>14272.917697422516</v>
      </c>
      <c r="BA74" s="227">
        <f>$F74*(VLOOKUP(BA$4, Rates_previous!$G$6:$Q$29, 10, FALSE)+VLOOKUP(BA$4, Rates_previous!$G$6:$Q$29, 11, FALSE))</f>
        <v>16898.616113263281</v>
      </c>
      <c r="BB74" s="227">
        <f>$F74*(VLOOKUP(BB$4, Rates_previous!$G$6:$Q$29, 10, FALSE)+VLOOKUP(BB$4, Rates_previous!$G$6:$Q$29, 11, FALSE))</f>
        <v>16242.028138522815</v>
      </c>
      <c r="BC74" s="227">
        <f>$F74*(VLOOKUP(BC$4, Rates_previous!$G$6:$Q$29, 10, FALSE)+VLOOKUP(BC$4, Rates_previous!$G$6:$Q$29, 11, FALSE))</f>
        <v>23834.02696274596</v>
      </c>
      <c r="BD74" s="227">
        <f>$F74*(VLOOKUP(BD$4, Rates_previous!$G$6:$Q$29, 10, FALSE)+VLOOKUP(BD$4, Rates_previous!$G$6:$Q$29, 11, FALSE))</f>
        <v>18804.417332595265</v>
      </c>
      <c r="BE74" s="227">
        <f>$F74*(VLOOKUP(BE$4, Rates_previous!$G$6:$Q$29, 10, FALSE)+VLOOKUP(BE$4, Rates_previous!$G$6:$Q$29, 11, FALSE))</f>
        <v>16511.856776758668</v>
      </c>
      <c r="BF74" s="227">
        <f>$F74*(VLOOKUP(BF$4, Rates_previous!$G$6:$Q$29, 10, FALSE)+VLOOKUP(BF$4, Rates_previous!$G$6:$Q$29, 11, FALSE))</f>
        <v>18287.542312121259</v>
      </c>
      <c r="BG74" s="227">
        <f>$F74*(VLOOKUP(BG$4, Rates_previous!$G$6:$Q$29, 10, FALSE)+VLOOKUP(BG$4, Rates_previous!$G$6:$Q$29, 11, FALSE))</f>
        <v>16567.786084803622</v>
      </c>
      <c r="BH74" s="229">
        <f>IF($D74=0,IF(C74=0, MAX(BK74 - (VLOOKUP($A74,TOCA_previous!$A$2:$AI$137,MATCH("RHWM 2018",TOCA_previous!$A$2:$AI$2,0),FALSE)*$F$2*TOCA_previous!C71),0),0), 0)</f>
        <v>0</v>
      </c>
      <c r="BI74" s="266">
        <f>VLOOKUP($A74,REP_previous!$A$1:$D$135,MATCH("FY "&amp;$F$1&amp; " Total Refund",REP_previous!$A$1:$D$1,0),0)</f>
        <v>810535.73706475971</v>
      </c>
      <c r="BJ74" s="241">
        <f>MIN(VLOOKUP($A74,TOCA_previous!$A$2:$AI$137,MATCH("TRL - NLSL - Existing Resource "&amp;$F$1,TOCA_previous!$A$2:$AI$2,0),FALSE)*$F$2,(VLOOKUP($A74,TOCA_previous!$A$2:$AI$137,MATCH("RHWM 2018",TOCA_previous!$A$2:$AI$2,0),FALSE)*$F$2))</f>
        <v>550644.84</v>
      </c>
      <c r="BK74" s="229">
        <f>SUM(L74:AI74)+(F74*RT1SC!$C$3*$F$2)</f>
        <v>216774.35256664001</v>
      </c>
      <c r="BL74" s="241">
        <f>VLOOKUP($A74,TOCA_previous!$A$2:$AI$137,MATCH("Above RHWM Not Served with LS "&amp;$F$1,TOCA_previous!$A$2:$AI$2,0),FALSE)*$F$2</f>
        <v>0</v>
      </c>
      <c r="BM74" s="151">
        <f t="shared" si="21"/>
        <v>-333870.48743335996</v>
      </c>
      <c r="BN74" s="242">
        <f>(VLOOKUP($A74,TOCA_previous!$A$2:$AI$137,MATCH("RHWM 2018",TOCA_previous!$A$2:$AI$2,0),FALSE)*$F$2) - $BJ74</f>
        <v>135079.19999999995</v>
      </c>
      <c r="BO74" s="151">
        <f t="shared" si="22"/>
        <v>0</v>
      </c>
      <c r="BP74" s="243">
        <f t="shared" si="23"/>
        <v>333870.48743335996</v>
      </c>
      <c r="BQ74" s="237">
        <f t="shared" si="24"/>
        <v>0</v>
      </c>
      <c r="BR74" s="242">
        <f t="shared" si="25"/>
        <v>0</v>
      </c>
      <c r="BS74" s="151">
        <f>VLOOKUP($A74,TOCA_current!$A$2:$AI$137,MATCH(BS$4,TOCA_current!$A$2:$AI$2,0),FALSE)</f>
        <v>8.9239999999999996E-3</v>
      </c>
      <c r="BT74" s="151">
        <f>VLOOKUP($A74,TOCA_current!$A$2:$AI$137,MATCH(BT$4,TOCA_current!$A$2:$AI$2,0),FALSE)</f>
        <v>3.4347000000000002E-3</v>
      </c>
      <c r="BU74" s="236">
        <f t="shared" si="26"/>
        <v>5.489299999999999E-3</v>
      </c>
      <c r="BV74" s="151">
        <f>VLOOKUP($A74,TOCA_current!A70:BG205,MATCH(BV$4,TOCA_current!$A$2:$BG$2,0),FALSE)</f>
        <v>0</v>
      </c>
      <c r="BW74" s="151">
        <f t="shared" si="27"/>
        <v>0</v>
      </c>
      <c r="BX74" s="151">
        <f t="shared" si="28"/>
        <v>0</v>
      </c>
      <c r="BY74" s="226">
        <f>VLOOKUP($A74,IRD!$A$4:$G$139, 7, FALSE)</f>
        <v>0</v>
      </c>
      <c r="BZ74" s="227">
        <f t="array" ref="BZ74">IF($BU74=0, INDEX(LS_current!$D$4:$AY$138, MATCH('Staging Table'!$A74, LS_current!$B$4:$B$138, 0), MATCH(BZ$4&amp;BZ$5, LS_current!$D$2:$AY$2&amp;LS_current!$D$3:$AY$3, 0)),SUM(VLOOKUP($A74, LS_current!$B$4:$AY$138, LS_current!D$148, FALSE), VLOOKUP($A74, LS_current!$B$4:$AY$138,LS_current!D$148, FALSE))/2)</f>
        <v>-1290</v>
      </c>
      <c r="CA74" s="227">
        <f t="array" ref="CA74">IF($BU74=0, INDEX(LS_current!$D$4:$AY$138, MATCH('Staging Table'!$A74, LS_current!$B$4:$B$138, 0), MATCH(CA$4&amp;CA$5, LS_current!$D$2:$AY$2&amp;LS_current!$D$3:$AY$3, 0)),SUM(VLOOKUP($A74, LS_current!$B$4:$AY$138, LS_current!E$148, FALSE), VLOOKUP($A74, LS_current!$B$4:$AY$138,LS_current!E$148, FALSE))/2)</f>
        <v>1009</v>
      </c>
      <c r="CB74" s="227">
        <f t="array" ref="CB74">IF($BU74=0, INDEX(LS_current!$D$4:$AY$138, MATCH('Staging Table'!$A74, LS_current!$B$4:$B$138, 0), MATCH(CB$4&amp;CB$5, LS_current!$D$2:$AY$2&amp;LS_current!$D$3:$AY$3, 0)),SUM(VLOOKUP($A74, LS_current!$B$4:$AY$138, LS_current!F$148, FALSE), VLOOKUP($A74, LS_current!$B$4:$AY$138,LS_current!F$148, FALSE))/2)</f>
        <v>-2704</v>
      </c>
      <c r="CC74" s="227">
        <f t="array" ref="CC74">IF($BU74=0, INDEX(LS_current!$D$4:$AY$138, MATCH('Staging Table'!$A74, LS_current!$B$4:$B$138, 0), MATCH(CC$4&amp;CC$5, LS_current!$D$2:$AY$2&amp;LS_current!$D$3:$AY$3, 0)),SUM(VLOOKUP($A74, LS_current!$B$4:$AY$138, LS_current!G$148, FALSE), VLOOKUP($A74, LS_current!$B$4:$AY$138,LS_current!G$148, FALSE))/2)</f>
        <v>451</v>
      </c>
      <c r="CD74" s="227">
        <f t="array" ref="CD74">IF($BU74=0, INDEX(LS_current!$D$4:$AY$138, MATCH('Staging Table'!$A74, LS_current!$B$4:$B$138, 0), MATCH(CD$4&amp;CD$5, LS_current!$D$2:$AY$2&amp;LS_current!$D$3:$AY$3, 0)),SUM(VLOOKUP($A74, LS_current!$B$4:$AY$138, LS_current!H$148, FALSE), VLOOKUP($A74, LS_current!$B$4:$AY$138,LS_current!H$148, FALSE))/2)</f>
        <v>-476</v>
      </c>
      <c r="CE74" s="227">
        <f t="array" ref="CE74">IF($BU74=0, INDEX(LS_current!$D$4:$AY$138, MATCH('Staging Table'!$A74, LS_current!$B$4:$B$138, 0), MATCH(CE$4&amp;CE$5, LS_current!$D$2:$AY$2&amp;LS_current!$D$3:$AY$3, 0)),SUM(VLOOKUP($A74, LS_current!$B$4:$AY$138, LS_current!I$148, FALSE), VLOOKUP($A74, LS_current!$B$4:$AY$138,LS_current!I$148, FALSE))/2)</f>
        <v>2677</v>
      </c>
      <c r="CF74" s="227">
        <f t="array" ref="CF74">IF($BU74=0, INDEX(LS_current!$D$4:$AY$138, MATCH('Staging Table'!$A74, LS_current!$B$4:$B$138, 0), MATCH(CF$4&amp;CF$5, LS_current!$D$2:$AY$2&amp;LS_current!$D$3:$AY$3, 0)),SUM(VLOOKUP($A74, LS_current!$B$4:$AY$138, LS_current!J$148, FALSE), VLOOKUP($A74, LS_current!$B$4:$AY$138,LS_current!J$148, FALSE))/2)</f>
        <v>2286</v>
      </c>
      <c r="CG74" s="227">
        <f t="array" ref="CG74">IF($BU74=0, INDEX(LS_current!$D$4:$AY$138, MATCH('Staging Table'!$A74, LS_current!$B$4:$B$138, 0), MATCH(CG$4&amp;CG$5, LS_current!$D$2:$AY$2&amp;LS_current!$D$3:$AY$3, 0)),SUM(VLOOKUP($A74, LS_current!$B$4:$AY$138, LS_current!K$148, FALSE), VLOOKUP($A74, LS_current!$B$4:$AY$138,LS_current!K$148, FALSE))/2)</f>
        <v>3859</v>
      </c>
      <c r="CH74" s="227">
        <f t="array" ref="CH74">IF($BU74=0, INDEX(LS_current!$D$4:$AY$138, MATCH('Staging Table'!$A74, LS_current!$B$4:$B$138, 0), MATCH(CH$4&amp;CH$5, LS_current!$D$2:$AY$2&amp;LS_current!$D$3:$AY$3, 0)),SUM(VLOOKUP($A74, LS_current!$B$4:$AY$138, LS_current!L$148, FALSE), VLOOKUP($A74, LS_current!$B$4:$AY$138,LS_current!L$148, FALSE))/2)</f>
        <v>1286</v>
      </c>
      <c r="CI74" s="227">
        <f t="array" ref="CI74">IF($BU74=0, INDEX(LS_current!$D$4:$AY$138, MATCH('Staging Table'!$A74, LS_current!$B$4:$B$138, 0), MATCH(CI$4&amp;CI$5, LS_current!$D$2:$AY$2&amp;LS_current!$D$3:$AY$3, 0)),SUM(VLOOKUP($A74, LS_current!$B$4:$AY$138, LS_current!M$148, FALSE), VLOOKUP($A74, LS_current!$B$4:$AY$138,LS_current!M$148, FALSE))/2)</f>
        <v>2421</v>
      </c>
      <c r="CJ74" s="227">
        <f t="array" ref="CJ74">IF($BU74=0, INDEX(LS_current!$D$4:$AY$138, MATCH('Staging Table'!$A74, LS_current!$B$4:$B$138, 0), MATCH(CJ$4&amp;CJ$5, LS_current!$D$2:$AY$2&amp;LS_current!$D$3:$AY$3, 0)),SUM(VLOOKUP($A74, LS_current!$B$4:$AY$138, LS_current!N$148, FALSE), VLOOKUP($A74, LS_current!$B$4:$AY$138,LS_current!N$148, FALSE))/2)</f>
        <v>-846</v>
      </c>
      <c r="CK74" s="227">
        <f t="array" ref="CK74">IF($BU74=0, INDEX(LS_current!$D$4:$AY$138, MATCH('Staging Table'!$A74, LS_current!$B$4:$B$138, 0), MATCH(CK$4&amp;CK$5, LS_current!$D$2:$AY$2&amp;LS_current!$D$3:$AY$3, 0)),SUM(VLOOKUP($A74, LS_current!$B$4:$AY$138, LS_current!O$148, FALSE), VLOOKUP($A74, LS_current!$B$4:$AY$138,LS_current!O$148, FALSE))/2)</f>
        <v>1602</v>
      </c>
      <c r="CL74" s="227">
        <f t="array" ref="CL74">IF($BU74=0, INDEX(LS_current!$D$4:$AY$138, MATCH('Staging Table'!$A74, LS_current!$B$4:$B$138, 0), MATCH(CL$4&amp;CL$5, LS_current!$D$2:$AY$2&amp;LS_current!$D$3:$AY$3, 0)),SUM(VLOOKUP($A74, LS_current!$B$4:$AY$138, LS_current!P$148, FALSE), VLOOKUP($A74, LS_current!$B$4:$AY$138,LS_current!P$148, FALSE))/2)</f>
        <v>192</v>
      </c>
      <c r="CM74" s="227">
        <f t="array" ref="CM74">IF($BU74=0, INDEX(LS_current!$D$4:$AY$138, MATCH('Staging Table'!$A74, LS_current!$B$4:$B$138, 0), MATCH(CM$4&amp;CM$5, LS_current!$D$2:$AY$2&amp;LS_current!$D$3:$AY$3, 0)),SUM(VLOOKUP($A74, LS_current!$B$4:$AY$138, LS_current!Q$148, FALSE), VLOOKUP($A74, LS_current!$B$4:$AY$138,LS_current!Q$148, FALSE))/2)</f>
        <v>1353</v>
      </c>
      <c r="CN74" s="227">
        <f t="array" ref="CN74">IF($BU74=0, INDEX(LS_current!$D$4:$AY$138, MATCH('Staging Table'!$A74, LS_current!$B$4:$B$138, 0), MATCH(CN$4&amp;CN$5, LS_current!$D$2:$AY$2&amp;LS_current!$D$3:$AY$3, 0)),SUM(VLOOKUP($A74, LS_current!$B$4:$AY$138, LS_current!R$148, FALSE), VLOOKUP($A74, LS_current!$B$4:$AY$138,LS_current!R$148, FALSE))/2)</f>
        <v>-2971</v>
      </c>
      <c r="CO74" s="227">
        <f t="array" ref="CO74">IF($BU74=0, INDEX(LS_current!$D$4:$AY$138, MATCH('Staging Table'!$A74, LS_current!$B$4:$B$138, 0), MATCH(CO$4&amp;CO$5, LS_current!$D$2:$AY$2&amp;LS_current!$D$3:$AY$3, 0)),SUM(VLOOKUP($A74, LS_current!$B$4:$AY$138, LS_current!S$148, FALSE), VLOOKUP($A74, LS_current!$B$4:$AY$138,LS_current!S$148, FALSE))/2)</f>
        <v>1245</v>
      </c>
      <c r="CP74" s="227">
        <f t="array" ref="CP74">IF($BU74=0, INDEX(LS_current!$D$4:$AY$138, MATCH('Staging Table'!$A74, LS_current!$B$4:$B$138, 0), MATCH(CP$4&amp;CP$5, LS_current!$D$2:$AY$2&amp;LS_current!$D$3:$AY$3, 0)),SUM(VLOOKUP($A74, LS_current!$B$4:$AY$138, LS_current!T$148, FALSE), VLOOKUP($A74, LS_current!$B$4:$AY$138,LS_current!T$148, FALSE))/2)</f>
        <v>-6200</v>
      </c>
      <c r="CQ74" s="227">
        <f t="array" ref="CQ74">IF($BU74=0, INDEX(LS_current!$D$4:$AY$138, MATCH('Staging Table'!$A74, LS_current!$B$4:$B$138, 0), MATCH(CQ$4&amp;CQ$5, LS_current!$D$2:$AY$2&amp;LS_current!$D$3:$AY$3, 0)),SUM(VLOOKUP($A74, LS_current!$B$4:$AY$138, LS_current!U$148, FALSE), VLOOKUP($A74, LS_current!$B$4:$AY$138,LS_current!U$148, FALSE))/2)</f>
        <v>-1644</v>
      </c>
      <c r="CR74" s="227">
        <f t="array" ref="CR74">IF($BU74=0, INDEX(LS_current!$D$4:$AY$138, MATCH('Staging Table'!$A74, LS_current!$B$4:$B$138, 0), MATCH(CR$4&amp;CR$5, LS_current!$D$2:$AY$2&amp;LS_current!$D$3:$AY$3, 0)),SUM(VLOOKUP($A74, LS_current!$B$4:$AY$138, LS_current!V$148, FALSE), VLOOKUP($A74, LS_current!$B$4:$AY$138,LS_current!V$148, FALSE))/2)</f>
        <v>-2871</v>
      </c>
      <c r="CS74" s="227">
        <f t="array" ref="CS74">IF($BU74=0, INDEX(LS_current!$D$4:$AY$138, MATCH('Staging Table'!$A74, LS_current!$B$4:$B$138, 0), MATCH(CS$4&amp;CS$5, LS_current!$D$2:$AY$2&amp;LS_current!$D$3:$AY$3, 0)),SUM(VLOOKUP($A74, LS_current!$B$4:$AY$138, LS_current!W$148, FALSE), VLOOKUP($A74, LS_current!$B$4:$AY$138,LS_current!W$148, FALSE))/2)</f>
        <v>1980</v>
      </c>
      <c r="CT74" s="227">
        <f t="array" ref="CT74">IF($BU74=0, INDEX(LS_current!$D$4:$AY$138, MATCH('Staging Table'!$A74, LS_current!$B$4:$B$138, 0), MATCH(CT$4&amp;CT$5, LS_current!$D$2:$AY$2&amp;LS_current!$D$3:$AY$3, 0)),SUM(VLOOKUP($A74, LS_current!$B$4:$AY$138, LS_current!X$148, FALSE), VLOOKUP($A74, LS_current!$B$4:$AY$138,LS_current!X$148, FALSE))/2)</f>
        <v>-2720</v>
      </c>
      <c r="CU74" s="227">
        <f t="array" ref="CU74">IF($BU74=0, INDEX(LS_current!$D$4:$AY$138, MATCH('Staging Table'!$A74, LS_current!$B$4:$B$138, 0), MATCH(CU$4&amp;CU$5, LS_current!$D$2:$AY$2&amp;LS_current!$D$3:$AY$3, 0)),SUM(VLOOKUP($A74, LS_current!$B$4:$AY$138, LS_current!Y$148, FALSE), VLOOKUP($A74, LS_current!$B$4:$AY$138,LS_current!Y$148, FALSE))/2)</f>
        <v>1889</v>
      </c>
      <c r="CV74" s="227">
        <f t="array" ref="CV74">IF($BU74=0, INDEX(LS_current!$D$4:$AY$138, MATCH('Staging Table'!$A74, LS_current!$B$4:$B$138, 0), MATCH(CV$4&amp;CV$5, LS_current!$D$2:$AY$2&amp;LS_current!$D$3:$AY$3, 0)),SUM(VLOOKUP($A74, LS_current!$B$4:$AY$138, LS_current!Z$148, FALSE), VLOOKUP($A74, LS_current!$B$4:$AY$138,LS_current!Z$148, FALSE))/2)</f>
        <v>-2446</v>
      </c>
      <c r="CW74" s="227">
        <f t="array" ref="CW74">IF($BU74=0, INDEX(LS_current!$D$4:$AY$138, MATCH('Staging Table'!$A74, LS_current!$B$4:$B$138, 0), MATCH(CW$4&amp;CW$5, LS_current!$D$2:$AY$2&amp;LS_current!$D$3:$AY$3, 0)),SUM(VLOOKUP($A74, LS_current!$B$4:$AY$138, LS_current!AA$148, FALSE), VLOOKUP($A74, LS_current!$B$4:$AY$138,LS_current!AA$148, FALSE))/2)</f>
        <v>496</v>
      </c>
      <c r="CX74" s="229">
        <f t="array" ref="CX74">INDEX(Demand_current!$D$4:$AY$138, MATCH($A74, Demand_current!$B$4:$B$138, 0), MATCH(CX$4&amp;CX$5,Demand_current!$D$2:$AY$2&amp;Demand_current!$D$3:$AY$3, 0))/1000</f>
        <v>0</v>
      </c>
      <c r="CY74" s="229">
        <f t="array" ref="CY74">INDEX(Demand_current!$D$4:$AY$138, MATCH($A74, Demand_current!$B$4:$B$138, 0), MATCH(CY$4&amp;CY$5,Demand_current!$D$2:$AY$2&amp;Demand_current!$D$3:$AY$3, 0))/1000</f>
        <v>0</v>
      </c>
      <c r="CZ74" s="229">
        <f t="array" ref="CZ74">INDEX(Demand_current!$D$4:$AY$138, MATCH($A74, Demand_current!$B$4:$B$138, 0), MATCH(CZ$4&amp;CZ$5,Demand_current!$D$2:$AY$2&amp;Demand_current!$D$3:$AY$3, 0))/1000</f>
        <v>0</v>
      </c>
      <c r="DA74" s="229">
        <f t="array" ref="DA74">INDEX(Demand_current!$D$4:$AY$138, MATCH($A74, Demand_current!$B$4:$B$138, 0), MATCH(DA$4&amp;DA$5,Demand_current!$D$2:$AY$2&amp;Demand_current!$D$3:$AY$3, 0))/1000</f>
        <v>0</v>
      </c>
      <c r="DB74" s="229">
        <f t="array" ref="DB74">INDEX(Demand_current!$D$4:$AY$138, MATCH($A74, Demand_current!$B$4:$B$138, 0), MATCH(DB$4&amp;DB$5,Demand_current!$D$2:$AY$2&amp;Demand_current!$D$3:$AY$3, 0))/1000</f>
        <v>0</v>
      </c>
      <c r="DC74" s="229">
        <f t="array" ref="DC74">INDEX(Demand_current!$D$4:$AY$138, MATCH($A74, Demand_current!$B$4:$B$138, 0), MATCH(DC$4&amp;DC$5,Demand_current!$D$2:$AY$2&amp;Demand_current!$D$3:$AY$3, 0))/1000</f>
        <v>0</v>
      </c>
      <c r="DD74" s="229">
        <f t="array" ref="DD74">INDEX(Demand_current!$D$4:$AY$138, MATCH($A74, Demand_current!$B$4:$B$138, 0), MATCH(DD$4&amp;DD$5,Demand_current!$D$2:$AY$2&amp;Demand_current!$D$3:$AY$3, 0))/1000</f>
        <v>0</v>
      </c>
      <c r="DE74" s="229">
        <f t="array" ref="DE74">INDEX(Demand_current!$D$4:$AY$138, MATCH($A74, Demand_current!$B$4:$B$138, 0), MATCH(DE$4&amp;DE$5,Demand_current!$D$2:$AY$2&amp;Demand_current!$D$3:$AY$3, 0))/1000</f>
        <v>0</v>
      </c>
      <c r="DF74" s="229">
        <f t="array" ref="DF74">INDEX(Demand_current!$D$4:$AY$138, MATCH($A74, Demand_current!$B$4:$B$138, 0), MATCH(DF$4&amp;DF$5,Demand_current!$D$2:$AY$2&amp;Demand_current!$D$3:$AY$3, 0))/1000</f>
        <v>0</v>
      </c>
      <c r="DG74" s="229">
        <f t="array" ref="DG74">INDEX(Demand_current!$D$4:$AY$138, MATCH($A74, Demand_current!$B$4:$B$138, 0), MATCH(DG$4&amp;DG$5,Demand_current!$D$2:$AY$2&amp;Demand_current!$D$3:$AY$3, 0))/1000</f>
        <v>0</v>
      </c>
      <c r="DH74" s="229">
        <f t="array" ref="DH74">INDEX(Demand_current!$D$4:$AY$138, MATCH($A74, Demand_current!$B$4:$B$138, 0), MATCH(DH$4&amp;DH$5,Demand_current!$D$2:$AY$2&amp;Demand_current!$D$3:$AY$3, 0))/1000</f>
        <v>0</v>
      </c>
      <c r="DI74" s="229">
        <f t="array" ref="DI74">INDEX(Demand_current!$D$4:$AY$138, MATCH($A74, Demand_current!$B$4:$B$138, 0), MATCH(DI$4&amp;DI$5,Demand_current!$D$2:$AY$2&amp;Demand_current!$D$3:$AY$3, 0))/1000</f>
        <v>0</v>
      </c>
      <c r="DJ74" s="227">
        <f>$BT74*(VLOOKUP(DJ$4, Rates_current!$G$6:$Q$29, 10, FALSE)+VLOOKUP(DJ$4, Rates_current!$G$6:$Q$29, 11, FALSE))</f>
        <v>15859.099373101199</v>
      </c>
      <c r="DK74" s="227">
        <f>$BT74*(VLOOKUP(DK$4, Rates_current!$G$6:$Q$29, 10, FALSE)+VLOOKUP(DK$4, Rates_current!$G$6:$Q$29, 11, FALSE))</f>
        <v>20146.003545993302</v>
      </c>
      <c r="DL74" s="227">
        <f>$BT74*(VLOOKUP(DL$4, Rates_current!$G$6:$Q$29, 10, FALSE)+VLOOKUP(DL$4, Rates_current!$G$6:$Q$29, 11, FALSE))</f>
        <v>19902.713293201203</v>
      </c>
      <c r="DM74" s="227">
        <f>$BT74*(VLOOKUP(DM$4, Rates_current!$G$6:$Q$29, 10, FALSE)+VLOOKUP(DM$4, Rates_current!$G$6:$Q$29, 11, FALSE))</f>
        <v>16590.123747601203</v>
      </c>
      <c r="DN74" s="227">
        <f>$BT74*(VLOOKUP(DN$4, Rates_current!$G$6:$Q$29, 10, FALSE)+VLOOKUP(DN$4, Rates_current!$G$6:$Q$29, 11, FALSE))</f>
        <v>15028.93102296</v>
      </c>
      <c r="DO74" s="227">
        <f>$BT74*(VLOOKUP(DO$4, Rates_current!$G$6:$Q$29, 10, FALSE)+VLOOKUP(DO$4, Rates_current!$G$6:$Q$29, 11, FALSE))</f>
        <v>16716.945720813899</v>
      </c>
      <c r="DP74" s="227">
        <f>$BT74*(VLOOKUP(DP$4, Rates_current!$G$6:$Q$29, 10, FALSE)+VLOOKUP(DP$4, Rates_current!$G$6:$Q$29, 11, FALSE))</f>
        <v>13610.955245256</v>
      </c>
      <c r="DQ74" s="227">
        <f>$BT74*(VLOOKUP(DQ$4, Rates_current!$G$6:$Q$29, 10, FALSE)+VLOOKUP(DQ$4, Rates_current!$G$6:$Q$29, 11, FALSE))</f>
        <v>18356.402766451203</v>
      </c>
      <c r="DR74" s="227">
        <f>$BT74*(VLOOKUP(DR$4, Rates_current!$G$6:$Q$29, 10, FALSE)+VLOOKUP(DR$4, Rates_current!$G$6:$Q$29, 11, FALSE))</f>
        <v>23421.521484906003</v>
      </c>
      <c r="DS74" s="227">
        <f>$BT74*(VLOOKUP(DS$4, Rates_current!$G$6:$Q$29, 10, FALSE)+VLOOKUP(DS$4, Rates_current!$G$6:$Q$29, 11, FALSE))</f>
        <v>18363.215493901203</v>
      </c>
      <c r="DT74" s="227">
        <f>$BT74*(VLOOKUP(DT$4, Rates_current!$G$6:$Q$29, 10, FALSE)+VLOOKUP(DT$4, Rates_current!$G$6:$Q$29, 11, FALSE))</f>
        <v>17882.115347551204</v>
      </c>
      <c r="DU74" s="227">
        <f>$BT74*(VLOOKUP(DU$4, Rates_current!$G$6:$Q$29, 10, FALSE)+VLOOKUP(DU$4, Rates_current!$G$6:$Q$29, 11, FALSE))</f>
        <v>16054.335565956002</v>
      </c>
      <c r="DV74" s="229">
        <f>IF(D74=0,IF(C74=0,MAX(0,DY74 - (VLOOKUP($A74,TOCA_current!$A$2:$AI$137,MATCH("RHWM 2020",TOCA_current!$A$2:$AI$2,0),FALSE)*$BT$2)), 0),0)</f>
        <v>0</v>
      </c>
      <c r="DW74" s="266">
        <f>VLOOKUP($A74,REP_current!$A$1:$D$135,MATCH("FY "&amp;$BT$1&amp; " Total Refund",REP_current!$A$1:$D$1,0),0)</f>
        <v>0</v>
      </c>
      <c r="DX74" s="295">
        <f>MIN(VLOOKUP($A74,TOCA_current!$A$2:$AI$137,MATCH("TRL - NLSL - Existing Resource "&amp;$BT$1,TOCA_current!$A$2:$AI$2,0),FALSE)*$BT$2, VLOOKUP($A74,TOCA_current!$A$2:$AI$137,MATCH("RHWM 2020",TOCA_current!$A$2:$AI$2,0),FALSE)*$BT$2)</f>
        <v>550642.60800000001</v>
      </c>
      <c r="DY74" s="240">
        <f>SUM(BZ74:CW74)+(BT74*RT1SC!$C$4*$BT$2)</f>
        <v>210510.37056245763</v>
      </c>
      <c r="DZ74" s="271">
        <f>VLOOKUP($A74,TOCA_current!$A$2:$AI$137,MATCH("Above RHWM Not Served with LS "&amp;$BT$1,TOCA_current!$A$2:$AI$2,0),FALSE)*$BT$2</f>
        <v>0</v>
      </c>
      <c r="EA74" s="244">
        <f t="shared" si="29"/>
        <v>-340132.23743754241</v>
      </c>
      <c r="EB74" s="295">
        <f>(VLOOKUP($A74,TOCA_current!$A$2:$AI$137,MATCH("RHWM 2020",TOCA_current!$A$2:$AI$2,0),FALSE)*$BT$2) - $DX74</f>
        <v>144479.23200000008</v>
      </c>
      <c r="EC74" s="240">
        <f t="shared" si="30"/>
        <v>0</v>
      </c>
      <c r="ED74" s="240">
        <f t="shared" si="31"/>
        <v>340132.23743754241</v>
      </c>
      <c r="EE74" s="240">
        <f t="shared" si="32"/>
        <v>0</v>
      </c>
      <c r="EF74" s="240">
        <f t="shared" si="33"/>
        <v>0</v>
      </c>
    </row>
    <row r="75" spans="1:136">
      <c r="A75" s="166">
        <v>10209</v>
      </c>
      <c r="B75" s="167" t="s">
        <v>76</v>
      </c>
      <c r="C75" s="240">
        <v>0</v>
      </c>
      <c r="D75" s="240">
        <v>0</v>
      </c>
      <c r="E75" s="150">
        <f>VLOOKUP($A75,TOCA_previous!$A$2:$AI$137,MATCH(E$4,TOCA_previous!$A$2:$AI$2,0),FALSE)</f>
        <v>1.4860999999999999E-2</v>
      </c>
      <c r="F75" s="151">
        <f>VLOOKUP($A75,TOCA_previous!$A$2:$AI$137,MATCH(F$4,TOCA_previous!$A$2:$AI$2,0),FALSE)</f>
        <v>1.4860999999999999E-2</v>
      </c>
      <c r="G75" s="151">
        <f t="shared" si="18"/>
        <v>0</v>
      </c>
      <c r="H75" s="151">
        <f>VLOOKUP($A75,TOCA_previous!$A$2:$AI$137,MATCH(H$4,TOCA_previous!$A$2:$AI$2,0),FALSE)</f>
        <v>7.3679499999999995E-2</v>
      </c>
      <c r="I75" s="151">
        <f t="shared" si="19"/>
        <v>0</v>
      </c>
      <c r="J75" s="151">
        <f t="shared" si="20"/>
        <v>0</v>
      </c>
      <c r="K75" s="226">
        <f>VLOOKUP(A75, IRD!$A$5:$C$139, 3, FALSE)</f>
        <v>60112.701000000001</v>
      </c>
      <c r="L75" s="227">
        <f t="array" ref="L75">IF($G75=0, INDEX(LS_previous!$D$4:$AY$138, MATCH('Staging Table'!$A75, LS_previous!$B$4:$B$138, 0), MATCH(L$4&amp;L$5, LS_previous!$D$2:$AY$2&amp;LS_previous!$D$3:$AY$3, 0)),SUM(VLOOKUP($A75, LS_previous!$B$4:$AY$138, LS_previous!D$149, FALSE), VLOOKUP('Staging Table'!$A75, LS_previous!$B$4:$AY$138,LS_previous!AB$149, FALSE))/2)</f>
        <v>-6382</v>
      </c>
      <c r="M75" s="227">
        <f t="array" ref="M75">IF($G75=0, INDEX(LS_previous!$D$4:$AY$138, MATCH('Staging Table'!$A75, LS_previous!$B$4:$B$138, 0), MATCH(M$4&amp;M$5, LS_previous!$D$2:$AY$2&amp;LS_previous!$D$3:$AY$3, 0)),SUM(VLOOKUP($A75, LS_previous!$B$4:$AY$138, LS_previous!E$149, FALSE), VLOOKUP('Staging Table'!$A75, LS_previous!$B$4:$AY$138,LS_previous!AC$149, FALSE))/2)</f>
        <v>-199</v>
      </c>
      <c r="N75" s="227">
        <f t="array" ref="N75">IF($G75=0, INDEX(LS_previous!$D$4:$AY$138, MATCH('Staging Table'!$A75, LS_previous!$B$4:$B$138, 0), MATCH(N$4&amp;N$5, LS_previous!$D$2:$AY$2&amp;LS_previous!$D$3:$AY$3, 0)),SUM(VLOOKUP($A75, LS_previous!$B$4:$AY$138, LS_previous!F$149, FALSE), VLOOKUP('Staging Table'!$A75, LS_previous!$B$4:$AY$138,LS_previous!AD$149, FALSE))/2)</f>
        <v>-9849</v>
      </c>
      <c r="O75" s="227">
        <f t="array" ref="O75">IF($G75=0, INDEX(LS_previous!$D$4:$AY$138, MATCH('Staging Table'!$A75, LS_previous!$B$4:$B$138, 0), MATCH(O$4&amp;O$5, LS_previous!$D$2:$AY$2&amp;LS_previous!$D$3:$AY$3, 0)),SUM(VLOOKUP($A75, LS_previous!$B$4:$AY$138, LS_previous!G$149, FALSE), VLOOKUP('Staging Table'!$A75, LS_previous!$B$4:$AY$138,LS_previous!AE$149, FALSE))/2)</f>
        <v>984</v>
      </c>
      <c r="P75" s="227">
        <f t="array" ref="P75">IF($G75=0, INDEX(LS_previous!$D$4:$AY$138, MATCH('Staging Table'!$A75, LS_previous!$B$4:$B$138, 0), MATCH(P$4&amp;P$5, LS_previous!$D$2:$AY$2&amp;LS_previous!$D$3:$AY$3, 0)),SUM(VLOOKUP($A75, LS_previous!$B$4:$AY$138, LS_previous!H$149, FALSE), VLOOKUP('Staging Table'!$A75, LS_previous!$B$4:$AY$138,LS_previous!AF$149, FALSE))/2)</f>
        <v>2909</v>
      </c>
      <c r="Q75" s="227">
        <f t="array" ref="Q75">IF($G75=0, INDEX(LS_previous!$D$4:$AY$138, MATCH('Staging Table'!$A75, LS_previous!$B$4:$B$138, 0), MATCH(Q$4&amp;Q$5, LS_previous!$D$2:$AY$2&amp;LS_previous!$D$3:$AY$3, 0)),SUM(VLOOKUP($A75, LS_previous!$B$4:$AY$138, LS_previous!I$149, FALSE), VLOOKUP('Staging Table'!$A75, LS_previous!$B$4:$AY$138,LS_previous!AG$149, FALSE))/2)</f>
        <v>7475</v>
      </c>
      <c r="R75" s="227">
        <f t="array" ref="R75">IF($G75=0, INDEX(LS_previous!$D$4:$AY$138, MATCH('Staging Table'!$A75, LS_previous!$B$4:$B$138, 0), MATCH(R$4&amp;R$5, LS_previous!$D$2:$AY$2&amp;LS_previous!$D$3:$AY$3, 0)),SUM(VLOOKUP($A75, LS_previous!$B$4:$AY$138, LS_previous!J$149, FALSE), VLOOKUP('Staging Table'!$A75, LS_previous!$B$4:$AY$138,LS_previous!AH$149, FALSE))/2)</f>
        <v>14165</v>
      </c>
      <c r="S75" s="227">
        <f t="array" ref="S75">IF($G75=0, INDEX(LS_previous!$D$4:$AY$138, MATCH('Staging Table'!$A75, LS_previous!$B$4:$B$138, 0), MATCH(S$4&amp;S$5, LS_previous!$D$2:$AY$2&amp;LS_previous!$D$3:$AY$3, 0)),SUM(VLOOKUP($A75, LS_previous!$B$4:$AY$138, LS_previous!K$149, FALSE), VLOOKUP('Staging Table'!$A75, LS_previous!$B$4:$AY$138,LS_previous!AI$149, FALSE))/2)</f>
        <v>15338</v>
      </c>
      <c r="T75" s="227">
        <f t="array" ref="T75">IF($G75=0, INDEX(LS_previous!$D$4:$AY$138, MATCH('Staging Table'!$A75, LS_previous!$B$4:$B$138, 0), MATCH(T$4&amp;T$5, LS_previous!$D$2:$AY$2&amp;LS_previous!$D$3:$AY$3, 0)),SUM(VLOOKUP($A75, LS_previous!$B$4:$AY$138, LS_previous!L$149, FALSE), VLOOKUP('Staging Table'!$A75, LS_previous!$B$4:$AY$138,LS_previous!AJ$149, FALSE))/2)</f>
        <v>12342</v>
      </c>
      <c r="U75" s="227">
        <f t="array" ref="U75">IF($G75=0, INDEX(LS_previous!$D$4:$AY$138, MATCH('Staging Table'!$A75, LS_previous!$B$4:$B$138, 0), MATCH(U$4&amp;U$5, LS_previous!$D$2:$AY$2&amp;LS_previous!$D$3:$AY$3, 0)),SUM(VLOOKUP($A75, LS_previous!$B$4:$AY$138, LS_previous!M$149, FALSE), VLOOKUP('Staging Table'!$A75, LS_previous!$B$4:$AY$138,LS_previous!AK$149, FALSE))/2)</f>
        <v>12935</v>
      </c>
      <c r="V75" s="227">
        <f t="array" ref="V75">IF($G75=0, INDEX(LS_previous!$D$4:$AY$138, MATCH('Staging Table'!$A75, LS_previous!$B$4:$B$138, 0), MATCH(V$4&amp;V$5, LS_previous!$D$2:$AY$2&amp;LS_previous!$D$3:$AY$3, 0)),SUM(VLOOKUP($A75, LS_previous!$B$4:$AY$138, LS_previous!N$149, FALSE), VLOOKUP('Staging Table'!$A75, LS_previous!$B$4:$AY$138,LS_previous!AL$149, FALSE))/2)</f>
        <v>1162</v>
      </c>
      <c r="W75" s="227">
        <f t="array" ref="W75">IF($G75=0, INDEX(LS_previous!$D$4:$AY$138, MATCH('Staging Table'!$A75, LS_previous!$B$4:$B$138, 0), MATCH(W$4&amp;W$5, LS_previous!$D$2:$AY$2&amp;LS_previous!$D$3:$AY$3, 0)),SUM(VLOOKUP($A75, LS_previous!$B$4:$AY$138, LS_previous!O$149, FALSE), VLOOKUP('Staging Table'!$A75, LS_previous!$B$4:$AY$138,LS_previous!AM$149, FALSE))/2)</f>
        <v>5501</v>
      </c>
      <c r="X75" s="227">
        <f t="array" ref="X75">IF($G75=0, INDEX(LS_previous!$D$4:$AY$138, MATCH('Staging Table'!$A75, LS_previous!$B$4:$B$138, 0), MATCH(X$4&amp;X$5, LS_previous!$D$2:$AY$2&amp;LS_previous!$D$3:$AY$3, 0)),SUM(VLOOKUP($A75, LS_previous!$B$4:$AY$138, LS_previous!P$149, FALSE), VLOOKUP('Staging Table'!$A75, LS_previous!$B$4:$AY$138,LS_previous!AN$149, FALSE))/2)</f>
        <v>-2908</v>
      </c>
      <c r="Y75" s="227">
        <f t="array" ref="Y75">IF($G75=0, INDEX(LS_previous!$D$4:$AY$138, MATCH('Staging Table'!$A75, LS_previous!$B$4:$B$138, 0), MATCH(Y$4&amp;Y$5, LS_previous!$D$2:$AY$2&amp;LS_previous!$D$3:$AY$3, 0)),SUM(VLOOKUP($A75, LS_previous!$B$4:$AY$138, LS_previous!Q$149, FALSE), VLOOKUP('Staging Table'!$A75, LS_previous!$B$4:$AY$138,LS_previous!AO$149, FALSE))/2)</f>
        <v>2829</v>
      </c>
      <c r="Z75" s="227">
        <f t="array" ref="Z75">IF($G75=0, INDEX(LS_previous!$D$4:$AY$138, MATCH('Staging Table'!$A75, LS_previous!$B$4:$B$138, 0), MATCH(Z$4&amp;Z$5, LS_previous!$D$2:$AY$2&amp;LS_previous!$D$3:$AY$3, 0)),SUM(VLOOKUP($A75, LS_previous!$B$4:$AY$138, LS_previous!R$149, FALSE), VLOOKUP('Staging Table'!$A75, LS_previous!$B$4:$AY$138,LS_previous!AP$149, FALSE))/2)</f>
        <v>-23585</v>
      </c>
      <c r="AA75" s="227">
        <f t="array" ref="AA75">IF($G75=0, INDEX(LS_previous!$D$4:$AY$138, MATCH('Staging Table'!$A75, LS_previous!$B$4:$B$138, 0), MATCH(AA$4&amp;AA$5, LS_previous!$D$2:$AY$2&amp;LS_previous!$D$3:$AY$3, 0)),SUM(VLOOKUP($A75, LS_previous!$B$4:$AY$138, LS_previous!S$149, FALSE), VLOOKUP('Staging Table'!$A75, LS_previous!$B$4:$AY$138,LS_previous!AQ$149, FALSE))/2)</f>
        <v>-7808</v>
      </c>
      <c r="AB75" s="227">
        <f t="array" ref="AB75">IF($G75=0, INDEX(LS_previous!$D$4:$AY$138, MATCH('Staging Table'!$A75, LS_previous!$B$4:$B$138, 0), MATCH(AB$4&amp;AB$5, LS_previous!$D$2:$AY$2&amp;LS_previous!$D$3:$AY$3, 0)),SUM(VLOOKUP($A75, LS_previous!$B$4:$AY$138, LS_previous!T$149, FALSE), VLOOKUP('Staging Table'!$A75, LS_previous!$B$4:$AY$138,LS_previous!AR$149, FALSE))/2)</f>
        <v>-9893</v>
      </c>
      <c r="AC75" s="227">
        <f t="array" ref="AC75">IF($G75=0, INDEX(LS_previous!$D$4:$AY$138, MATCH('Staging Table'!$A75, LS_previous!$B$4:$B$138, 0), MATCH(AC$4&amp;AC$5, LS_previous!$D$2:$AY$2&amp;LS_previous!$D$3:$AY$3, 0)),SUM(VLOOKUP($A75, LS_previous!$B$4:$AY$138, LS_previous!U$149, FALSE), VLOOKUP('Staging Table'!$A75, LS_previous!$B$4:$AY$138,LS_previous!AS$149, FALSE))/2)</f>
        <v>-546</v>
      </c>
      <c r="AD75" s="227">
        <f t="array" ref="AD75">IF($G75=0, INDEX(LS_previous!$D$4:$AY$138, MATCH('Staging Table'!$A75, LS_previous!$B$4:$B$138, 0), MATCH(AD$4&amp;AD$5, LS_previous!$D$2:$AY$2&amp;LS_previous!$D$3:$AY$3, 0)),SUM(VLOOKUP($A75, LS_previous!$B$4:$AY$138, LS_previous!V$149, FALSE), VLOOKUP('Staging Table'!$A75, LS_previous!$B$4:$AY$138,LS_previous!AT$149, FALSE))/2)</f>
        <v>1661</v>
      </c>
      <c r="AE75" s="227">
        <f t="array" ref="AE75">IF($G75=0, INDEX(LS_previous!$D$4:$AY$138, MATCH('Staging Table'!$A75, LS_previous!$B$4:$B$138, 0), MATCH(AE$4&amp;AE$5, LS_previous!$D$2:$AY$2&amp;LS_previous!$D$3:$AY$3, 0)),SUM(VLOOKUP($A75, LS_previous!$B$4:$AY$138, LS_previous!W$149, FALSE), VLOOKUP('Staging Table'!$A75, LS_previous!$B$4:$AY$138,LS_previous!AU$149, FALSE))/2)</f>
        <v>6560</v>
      </c>
      <c r="AF75" s="227">
        <f t="array" ref="AF75">IF($G75=0, INDEX(LS_previous!$D$4:$AY$138, MATCH('Staging Table'!$A75, LS_previous!$B$4:$B$138, 0), MATCH(AF$4&amp;AF$5, LS_previous!$D$2:$AY$2&amp;LS_previous!$D$3:$AY$3, 0)),SUM(VLOOKUP($A75, LS_previous!$B$4:$AY$138, LS_previous!X$149, FALSE), VLOOKUP('Staging Table'!$A75, LS_previous!$B$4:$AY$138,LS_previous!AV$149, FALSE))/2)</f>
        <v>-4090</v>
      </c>
      <c r="AG75" s="227">
        <f t="array" ref="AG75">IF($G75=0, INDEX(LS_previous!$D$4:$AY$138, MATCH('Staging Table'!$A75, LS_previous!$B$4:$B$138, 0), MATCH(AG$4&amp;AG$5, LS_previous!$D$2:$AY$2&amp;LS_previous!$D$3:$AY$3, 0)),SUM(VLOOKUP($A75, LS_previous!$B$4:$AY$138, LS_previous!Y$149, FALSE), VLOOKUP('Staging Table'!$A75, LS_previous!$B$4:$AY$138,LS_previous!AW$149, FALSE))/2)</f>
        <v>2857</v>
      </c>
      <c r="AH75" s="227">
        <f t="array" ref="AH75">IF($G75=0, INDEX(LS_previous!$D$4:$AY$138, MATCH('Staging Table'!$A75, LS_previous!$B$4:$B$138, 0), MATCH(AH$4&amp;AH$5, LS_previous!$D$2:$AY$2&amp;LS_previous!$D$3:$AY$3, 0)),SUM(VLOOKUP($A75, LS_previous!$B$4:$AY$138, LS_previous!Z$149, FALSE), VLOOKUP('Staging Table'!$A75, LS_previous!$B$4:$AY$138,LS_previous!AX$149, FALSE))/2)</f>
        <v>-6330</v>
      </c>
      <c r="AI75" s="227">
        <f t="array" ref="AI75">IF($G75=0, INDEX(LS_previous!$D$4:$AY$138, MATCH('Staging Table'!$A75, LS_previous!$B$4:$B$138, 0), MATCH(AI$4&amp;AI$5, LS_previous!$D$2:$AY$2&amp;LS_previous!$D$3:$AY$3, 0)),SUM(VLOOKUP($A75, LS_previous!$B$4:$AY$138, LS_previous!AA$149, FALSE), VLOOKUP('Staging Table'!$A75, LS_previous!$B$4:$AY$138,LS_previous!AY$149, FALSE))/2)</f>
        <v>1511</v>
      </c>
      <c r="AJ75" s="424">
        <f t="array" ref="AJ75">INDEX(Demand_previous!$D$4:$AY$138, MATCH('Staging Table'!$A75, Demand_previous!$B$4:$B$138, 0), MATCH(AJ$4&amp;AJ$5,Demand_previous!$D$2:$AY$2&amp;Demand_previous!$D$3:$AY$3, 0))/1000</f>
        <v>16.114000000000001</v>
      </c>
      <c r="AK75" s="424">
        <f t="array" ref="AK75">INDEX(Demand_previous!$D$4:$AY$138, MATCH('Staging Table'!$A75, Demand_previous!$B$4:$B$138, 0), MATCH(AK$4&amp;AK$5,Demand_previous!$D$2:$AY$2&amp;Demand_previous!$D$3:$AY$3, 0))/1000</f>
        <v>20.169</v>
      </c>
      <c r="AL75" s="424">
        <f t="array" ref="AL75">INDEX(Demand_previous!$D$4:$AY$138, MATCH('Staging Table'!$A75, Demand_previous!$B$4:$B$138, 0), MATCH(AL$4&amp;AL$5,Demand_previous!$D$2:$AY$2&amp;Demand_previous!$D$3:$AY$3, 0))/1000</f>
        <v>20.878</v>
      </c>
      <c r="AM75" s="424">
        <f t="array" ref="AM75">INDEX(Demand_previous!$D$4:$AY$138, MATCH('Staging Table'!$A75, Demand_previous!$B$4:$B$138, 0), MATCH(AM$4&amp;AM$5,Demand_previous!$D$2:$AY$2&amp;Demand_previous!$D$3:$AY$3, 0))/1000</f>
        <v>28.027999999999999</v>
      </c>
      <c r="AN75" s="424">
        <f t="array" ref="AN75">INDEX(Demand_previous!$D$4:$AY$138, MATCH('Staging Table'!$A75, Demand_previous!$B$4:$B$138, 0), MATCH(AN$4&amp;AN$5,Demand_previous!$D$2:$AY$2&amp;Demand_previous!$D$3:$AY$3, 0))/1000</f>
        <v>20.033000000000001</v>
      </c>
      <c r="AO75" s="424">
        <f t="array" ref="AO75">INDEX(Demand_previous!$D$4:$AY$138, MATCH('Staging Table'!$A75, Demand_previous!$B$4:$B$138, 0), MATCH(AO$4&amp;AO$5,Demand_previous!$D$2:$AY$2&amp;Demand_previous!$D$3:$AY$3, 0))/1000</f>
        <v>26.707999999999998</v>
      </c>
      <c r="AP75" s="424">
        <f t="array" ref="AP75">INDEX(Demand_previous!$D$4:$AY$138, MATCH('Staging Table'!$A75, Demand_previous!$B$4:$B$138, 0), MATCH(AP$4&amp;AP$5,Demand_previous!$D$2:$AY$2&amp;Demand_previous!$D$3:$AY$3, 0))/1000</f>
        <v>26.638000000000002</v>
      </c>
      <c r="AQ75" s="424">
        <f t="array" ref="AQ75">INDEX(Demand_previous!$D$4:$AY$138, MATCH('Staging Table'!$A75, Demand_previous!$B$4:$B$138, 0), MATCH(AQ$4&amp;AQ$5,Demand_previous!$D$2:$AY$2&amp;Demand_previous!$D$3:$AY$3, 0))/1000</f>
        <v>33.396000000000001</v>
      </c>
      <c r="AR75" s="424">
        <f t="array" ref="AR75">INDEX(Demand_previous!$D$4:$AY$138, MATCH('Staging Table'!$A75, Demand_previous!$B$4:$B$138, 0), MATCH(AR$4&amp;AR$5,Demand_previous!$D$2:$AY$2&amp;Demand_previous!$D$3:$AY$3, 0))/1000</f>
        <v>21.795999999999999</v>
      </c>
      <c r="AS75" s="424">
        <f t="array" ref="AS75">INDEX(Demand_previous!$D$4:$AY$138, MATCH('Staging Table'!$A75, Demand_previous!$B$4:$B$138, 0), MATCH(AS$4&amp;AS$5,Demand_previous!$D$2:$AY$2&amp;Demand_previous!$D$3:$AY$3, 0))/1000</f>
        <v>23.98</v>
      </c>
      <c r="AT75" s="424">
        <f t="array" ref="AT75">INDEX(Demand_previous!$D$4:$AY$138, MATCH('Staging Table'!$A75, Demand_previous!$B$4:$B$138, 0), MATCH(AT$4&amp;AT$5,Demand_previous!$D$2:$AY$2&amp;Demand_previous!$D$3:$AY$3, 0))/1000</f>
        <v>23.134</v>
      </c>
      <c r="AU75" s="424">
        <f t="array" ref="AU75">INDEX(Demand_previous!$D$4:$AY$138, MATCH('Staging Table'!$A75, Demand_previous!$B$4:$B$138, 0), MATCH(AU$4&amp;AU$5,Demand_previous!$D$2:$AY$2&amp;Demand_previous!$D$3:$AY$3, 0))/1000</f>
        <v>27.379000000000001</v>
      </c>
      <c r="AV75" s="227">
        <f>$F75*(VLOOKUP(AV$4, Rates_previous!$G$6:$Q$29, 10, FALSE)+VLOOKUP(AV$4, Rates_previous!$G$6:$Q$29, 11, FALSE))</f>
        <v>69680.817986870345</v>
      </c>
      <c r="AW75" s="227">
        <f>$F75*(VLOOKUP(AW$4, Rates_previous!$G$6:$Q$29, 10, FALSE)+VLOOKUP(AW$4, Rates_previous!$G$6:$Q$29, 11, FALSE))</f>
        <v>86120.19500894018</v>
      </c>
      <c r="AX75" s="227">
        <f>$F75*(VLOOKUP(AX$4, Rates_previous!$G$6:$Q$29, 10, FALSE)+VLOOKUP(AX$4, Rates_previous!$G$6:$Q$29, 11, FALSE))</f>
        <v>85085.994471611397</v>
      </c>
      <c r="AY75" s="227">
        <f>$F75*(VLOOKUP(AY$4, Rates_previous!$G$6:$Q$29, 10, FALSE)+VLOOKUP(AY$4, Rates_previous!$G$6:$Q$29, 11, FALSE))</f>
        <v>72697.87224129276</v>
      </c>
      <c r="AZ75" s="227">
        <f>$F75*(VLOOKUP(AZ$4, Rates_previous!$G$6:$Q$29, 10, FALSE)+VLOOKUP(AZ$4, Rates_previous!$G$6:$Q$29, 11, FALSE))</f>
        <v>59598.15394813037</v>
      </c>
      <c r="BA75" s="227">
        <f>$F75*(VLOOKUP(BA$4, Rates_previous!$G$6:$Q$29, 10, FALSE)+VLOOKUP(BA$4, Rates_previous!$G$6:$Q$29, 11, FALSE))</f>
        <v>70562.049468728743</v>
      </c>
      <c r="BB75" s="227">
        <f>$F75*(VLOOKUP(BB$4, Rates_previous!$G$6:$Q$29, 10, FALSE)+VLOOKUP(BB$4, Rates_previous!$G$6:$Q$29, 11, FALSE))</f>
        <v>67820.393415731261</v>
      </c>
      <c r="BC75" s="227">
        <f>$F75*(VLOOKUP(BC$4, Rates_previous!$G$6:$Q$29, 10, FALSE)+VLOOKUP(BC$4, Rates_previous!$G$6:$Q$29, 11, FALSE))</f>
        <v>99521.628180210086</v>
      </c>
      <c r="BD75" s="227">
        <f>$F75*(VLOOKUP(BD$4, Rates_previous!$G$6:$Q$29, 10, FALSE)+VLOOKUP(BD$4, Rates_previous!$G$6:$Q$29, 11, FALSE))</f>
        <v>78519.934245489814</v>
      </c>
      <c r="BE75" s="227">
        <f>$F75*(VLOOKUP(BE$4, Rates_previous!$G$6:$Q$29, 10, FALSE)+VLOOKUP(BE$4, Rates_previous!$G$6:$Q$29, 11, FALSE))</f>
        <v>68947.092879856849</v>
      </c>
      <c r="BF75" s="227">
        <f>$F75*(VLOOKUP(BF$4, Rates_previous!$G$6:$Q$29, 10, FALSE)+VLOOKUP(BF$4, Rates_previous!$G$6:$Q$29, 11, FALSE))</f>
        <v>76361.665158874399</v>
      </c>
      <c r="BG75" s="227">
        <f>$F75*(VLOOKUP(BG$4, Rates_previous!$G$6:$Q$29, 10, FALSE)+VLOOKUP(BG$4, Rates_previous!$G$6:$Q$29, 11, FALSE))</f>
        <v>69180.631920839165</v>
      </c>
      <c r="BH75" s="229">
        <f>IF($D75=0,IF(C75=0, MAX(BK75 - (VLOOKUP($A75,TOCA_previous!$A$2:$AI$137,MATCH("RHWM 2018",TOCA_previous!$A$2:$AI$2,0),FALSE)*$F$2*TOCA_previous!C72),0),0), 0)</f>
        <v>16642.12211656</v>
      </c>
      <c r="BI75" s="266">
        <f>VLOOKUP($A75,REP_previous!$A$1:$D$135,MATCH("FY "&amp;$F$1&amp; " Total Refund",REP_previous!$A$1:$D$1,0),0)</f>
        <v>589496.26286099397</v>
      </c>
      <c r="BJ75" s="241">
        <f>MIN(VLOOKUP($A75,TOCA_previous!$A$2:$AI$137,MATCH("TRL - NLSL - Existing Resource "&amp;$F$1,TOCA_previous!$A$2:$AI$2,0),FALSE)*$F$2,(VLOOKUP($A75,TOCA_previous!$A$2:$AI$137,MATCH("RHWM 2018",TOCA_previous!$A$2:$AI$2,0),FALSE)*$F$2))</f>
        <v>904093.32</v>
      </c>
      <c r="BK75" s="229">
        <f>SUM(L75:AI75)+(F75*RT1SC!$C$3*$F$2)</f>
        <v>920735.44211655995</v>
      </c>
      <c r="BL75" s="241">
        <f>VLOOKUP($A75,TOCA_previous!$A$2:$AI$137,MATCH("Above RHWM Not Served with LS "&amp;$F$1,TOCA_previous!$A$2:$AI$2,0),FALSE)*$F$2</f>
        <v>47523</v>
      </c>
      <c r="BM75" s="151">
        <f t="shared" si="21"/>
        <v>16642.12211656</v>
      </c>
      <c r="BN75" s="242">
        <f>(VLOOKUP($A75,TOCA_previous!$A$2:$AI$137,MATCH("RHWM 2018",TOCA_previous!$A$2:$AI$2,0),FALSE)*$F$2) - $BJ75</f>
        <v>0</v>
      </c>
      <c r="BO75" s="151">
        <f t="shared" si="22"/>
        <v>0</v>
      </c>
      <c r="BP75" s="243">
        <f t="shared" si="23"/>
        <v>0</v>
      </c>
      <c r="BQ75" s="237">
        <f t="shared" si="24"/>
        <v>0</v>
      </c>
      <c r="BR75" s="242">
        <f t="shared" si="25"/>
        <v>0</v>
      </c>
      <c r="BS75" s="151">
        <f>VLOOKUP($A75,TOCA_current!$A$2:$AI$137,MATCH(BS$4,TOCA_current!$A$2:$AI$2,0),FALSE)</f>
        <v>1.4853E-2</v>
      </c>
      <c r="BT75" s="151">
        <f>VLOOKUP($A75,TOCA_current!$A$2:$AI$137,MATCH(BT$4,TOCA_current!$A$2:$AI$2,0),FALSE)</f>
        <v>1.4853E-2</v>
      </c>
      <c r="BU75" s="236">
        <f t="shared" si="26"/>
        <v>0</v>
      </c>
      <c r="BV75" s="151">
        <f>VLOOKUP($A75,TOCA_current!A71:BG206,MATCH(BV$4,TOCA_current!$A$2:$BG$2,0),FALSE)</f>
        <v>7.3955000000000007E-2</v>
      </c>
      <c r="BW75" s="151">
        <f t="shared" si="27"/>
        <v>0</v>
      </c>
      <c r="BX75" s="151">
        <f t="shared" si="28"/>
        <v>0</v>
      </c>
      <c r="BY75" s="226">
        <f>VLOOKUP($A75,IRD!$A$4:$G$139, 7, FALSE)</f>
        <v>60112.701000000001</v>
      </c>
      <c r="BZ75" s="227">
        <f t="array" ref="BZ75">IF($BU75=0, INDEX(LS_current!$D$4:$AY$138, MATCH('Staging Table'!$A75, LS_current!$B$4:$B$138, 0), MATCH(BZ$4&amp;BZ$5, LS_current!$D$2:$AY$2&amp;LS_current!$D$3:$AY$3, 0)),SUM(VLOOKUP($A75, LS_current!$B$4:$AY$138, LS_current!D$148, FALSE), VLOOKUP($A75, LS_current!$B$4:$AY$138,LS_current!D$148, FALSE))/2)</f>
        <v>-6044</v>
      </c>
      <c r="CA75" s="227">
        <f t="array" ref="CA75">IF($BU75=0, INDEX(LS_current!$D$4:$AY$138, MATCH('Staging Table'!$A75, LS_current!$B$4:$B$138, 0), MATCH(CA$4&amp;CA$5, LS_current!$D$2:$AY$2&amp;LS_current!$D$3:$AY$3, 0)),SUM(VLOOKUP($A75, LS_current!$B$4:$AY$138, LS_current!E$148, FALSE), VLOOKUP($A75, LS_current!$B$4:$AY$138,LS_current!E$148, FALSE))/2)</f>
        <v>213</v>
      </c>
      <c r="CB75" s="227">
        <f t="array" ref="CB75">IF($BU75=0, INDEX(LS_current!$D$4:$AY$138, MATCH('Staging Table'!$A75, LS_current!$B$4:$B$138, 0), MATCH(CB$4&amp;CB$5, LS_current!$D$2:$AY$2&amp;LS_current!$D$3:$AY$3, 0)),SUM(VLOOKUP($A75, LS_current!$B$4:$AY$138, LS_current!F$148, FALSE), VLOOKUP($A75, LS_current!$B$4:$AY$138,LS_current!F$148, FALSE))/2)</f>
        <v>-10392</v>
      </c>
      <c r="CC75" s="227">
        <f t="array" ref="CC75">IF($BU75=0, INDEX(LS_current!$D$4:$AY$138, MATCH('Staging Table'!$A75, LS_current!$B$4:$B$138, 0), MATCH(CC$4&amp;CC$5, LS_current!$D$2:$AY$2&amp;LS_current!$D$3:$AY$3, 0)),SUM(VLOOKUP($A75, LS_current!$B$4:$AY$138, LS_current!G$148, FALSE), VLOOKUP($A75, LS_current!$B$4:$AY$138,LS_current!G$148, FALSE))/2)</f>
        <v>189</v>
      </c>
      <c r="CD75" s="227">
        <f t="array" ref="CD75">IF($BU75=0, INDEX(LS_current!$D$4:$AY$138, MATCH('Staging Table'!$A75, LS_current!$B$4:$B$138, 0), MATCH(CD$4&amp;CD$5, LS_current!$D$2:$AY$2&amp;LS_current!$D$3:$AY$3, 0)),SUM(VLOOKUP($A75, LS_current!$B$4:$AY$138, LS_current!H$148, FALSE), VLOOKUP($A75, LS_current!$B$4:$AY$138,LS_current!H$148, FALSE))/2)</f>
        <v>2278</v>
      </c>
      <c r="CE75" s="227">
        <f t="array" ref="CE75">IF($BU75=0, INDEX(LS_current!$D$4:$AY$138, MATCH('Staging Table'!$A75, LS_current!$B$4:$B$138, 0), MATCH(CE$4&amp;CE$5, LS_current!$D$2:$AY$2&amp;LS_current!$D$3:$AY$3, 0)),SUM(VLOOKUP($A75, LS_current!$B$4:$AY$138, LS_current!I$148, FALSE), VLOOKUP($A75, LS_current!$B$4:$AY$138,LS_current!I$148, FALSE))/2)</f>
        <v>6776</v>
      </c>
      <c r="CF75" s="227">
        <f t="array" ref="CF75">IF($BU75=0, INDEX(LS_current!$D$4:$AY$138, MATCH('Staging Table'!$A75, LS_current!$B$4:$B$138, 0), MATCH(CF$4&amp;CF$5, LS_current!$D$2:$AY$2&amp;LS_current!$D$3:$AY$3, 0)),SUM(VLOOKUP($A75, LS_current!$B$4:$AY$138, LS_current!J$148, FALSE), VLOOKUP($A75, LS_current!$B$4:$AY$138,LS_current!J$148, FALSE))/2)</f>
        <v>13796</v>
      </c>
      <c r="CG75" s="227">
        <f t="array" ref="CG75">IF($BU75=0, INDEX(LS_current!$D$4:$AY$138, MATCH('Staging Table'!$A75, LS_current!$B$4:$B$138, 0), MATCH(CG$4&amp;CG$5, LS_current!$D$2:$AY$2&amp;LS_current!$D$3:$AY$3, 0)),SUM(VLOOKUP($A75, LS_current!$B$4:$AY$138, LS_current!K$148, FALSE), VLOOKUP($A75, LS_current!$B$4:$AY$138,LS_current!K$148, FALSE))/2)</f>
        <v>16313</v>
      </c>
      <c r="CH75" s="227">
        <f t="array" ref="CH75">IF($BU75=0, INDEX(LS_current!$D$4:$AY$138, MATCH('Staging Table'!$A75, LS_current!$B$4:$B$138, 0), MATCH(CH$4&amp;CH$5, LS_current!$D$2:$AY$2&amp;LS_current!$D$3:$AY$3, 0)),SUM(VLOOKUP($A75, LS_current!$B$4:$AY$138, LS_current!L$148, FALSE), VLOOKUP($A75, LS_current!$B$4:$AY$138,LS_current!L$148, FALSE))/2)</f>
        <v>8711</v>
      </c>
      <c r="CI75" s="227">
        <f t="array" ref="CI75">IF($BU75=0, INDEX(LS_current!$D$4:$AY$138, MATCH('Staging Table'!$A75, LS_current!$B$4:$B$138, 0), MATCH(CI$4&amp;CI$5, LS_current!$D$2:$AY$2&amp;LS_current!$D$3:$AY$3, 0)),SUM(VLOOKUP($A75, LS_current!$B$4:$AY$138, LS_current!M$148, FALSE), VLOOKUP($A75, LS_current!$B$4:$AY$138,LS_current!M$148, FALSE))/2)</f>
        <v>10716</v>
      </c>
      <c r="CJ75" s="227">
        <f t="array" ref="CJ75">IF($BU75=0, INDEX(LS_current!$D$4:$AY$138, MATCH('Staging Table'!$A75, LS_current!$B$4:$B$138, 0), MATCH(CJ$4&amp;CJ$5, LS_current!$D$2:$AY$2&amp;LS_current!$D$3:$AY$3, 0)),SUM(VLOOKUP($A75, LS_current!$B$4:$AY$138, LS_current!N$148, FALSE), VLOOKUP($A75, LS_current!$B$4:$AY$138,LS_current!N$148, FALSE))/2)</f>
        <v>-290</v>
      </c>
      <c r="CK75" s="227">
        <f t="array" ref="CK75">IF($BU75=0, INDEX(LS_current!$D$4:$AY$138, MATCH('Staging Table'!$A75, LS_current!$B$4:$B$138, 0), MATCH(CK$4&amp;CK$5, LS_current!$D$2:$AY$2&amp;LS_current!$D$3:$AY$3, 0)),SUM(VLOOKUP($A75, LS_current!$B$4:$AY$138, LS_current!O$148, FALSE), VLOOKUP($A75, LS_current!$B$4:$AY$138,LS_current!O$148, FALSE))/2)</f>
        <v>4875</v>
      </c>
      <c r="CL75" s="227">
        <f t="array" ref="CL75">IF($BU75=0, INDEX(LS_current!$D$4:$AY$138, MATCH('Staging Table'!$A75, LS_current!$B$4:$B$138, 0), MATCH(CL$4&amp;CL$5, LS_current!$D$2:$AY$2&amp;LS_current!$D$3:$AY$3, 0)),SUM(VLOOKUP($A75, LS_current!$B$4:$AY$138, LS_current!P$148, FALSE), VLOOKUP($A75, LS_current!$B$4:$AY$138,LS_current!P$148, FALSE))/2)</f>
        <v>3388</v>
      </c>
      <c r="CM75" s="227">
        <f t="array" ref="CM75">IF($BU75=0, INDEX(LS_current!$D$4:$AY$138, MATCH('Staging Table'!$A75, LS_current!$B$4:$B$138, 0), MATCH(CM$4&amp;CM$5, LS_current!$D$2:$AY$2&amp;LS_current!$D$3:$AY$3, 0)),SUM(VLOOKUP($A75, LS_current!$B$4:$AY$138, LS_current!Q$148, FALSE), VLOOKUP($A75, LS_current!$B$4:$AY$138,LS_current!Q$148, FALSE))/2)</f>
        <v>5156</v>
      </c>
      <c r="CN75" s="227">
        <f t="array" ref="CN75">IF($BU75=0, INDEX(LS_current!$D$4:$AY$138, MATCH('Staging Table'!$A75, LS_current!$B$4:$B$138, 0), MATCH(CN$4&amp;CN$5, LS_current!$D$2:$AY$2&amp;LS_current!$D$3:$AY$3, 0)),SUM(VLOOKUP($A75, LS_current!$B$4:$AY$138, LS_current!R$148, FALSE), VLOOKUP($A75, LS_current!$B$4:$AY$138,LS_current!R$148, FALSE))/2)</f>
        <v>-11768</v>
      </c>
      <c r="CO75" s="227">
        <f t="array" ref="CO75">IF($BU75=0, INDEX(LS_current!$D$4:$AY$138, MATCH('Staging Table'!$A75, LS_current!$B$4:$B$138, 0), MATCH(CO$4&amp;CO$5, LS_current!$D$2:$AY$2&amp;LS_current!$D$3:$AY$3, 0)),SUM(VLOOKUP($A75, LS_current!$B$4:$AY$138, LS_current!S$148, FALSE), VLOOKUP($A75, LS_current!$B$4:$AY$138,LS_current!S$148, FALSE))/2)</f>
        <v>166</v>
      </c>
      <c r="CP75" s="227">
        <f t="array" ref="CP75">IF($BU75=0, INDEX(LS_current!$D$4:$AY$138, MATCH('Staging Table'!$A75, LS_current!$B$4:$B$138, 0), MATCH(CP$4&amp;CP$5, LS_current!$D$2:$AY$2&amp;LS_current!$D$3:$AY$3, 0)),SUM(VLOOKUP($A75, LS_current!$B$4:$AY$138, LS_current!T$148, FALSE), VLOOKUP($A75, LS_current!$B$4:$AY$138,LS_current!T$148, FALSE))/2)</f>
        <v>-24455</v>
      </c>
      <c r="CQ75" s="227">
        <f t="array" ref="CQ75">IF($BU75=0, INDEX(LS_current!$D$4:$AY$138, MATCH('Staging Table'!$A75, LS_current!$B$4:$B$138, 0), MATCH(CQ$4&amp;CQ$5, LS_current!$D$2:$AY$2&amp;LS_current!$D$3:$AY$3, 0)),SUM(VLOOKUP($A75, LS_current!$B$4:$AY$138, LS_current!U$148, FALSE), VLOOKUP($A75, LS_current!$B$4:$AY$138,LS_current!U$148, FALSE))/2)</f>
        <v>-9087</v>
      </c>
      <c r="CR75" s="227">
        <f t="array" ref="CR75">IF($BU75=0, INDEX(LS_current!$D$4:$AY$138, MATCH('Staging Table'!$A75, LS_current!$B$4:$B$138, 0), MATCH(CR$4&amp;CR$5, LS_current!$D$2:$AY$2&amp;LS_current!$D$3:$AY$3, 0)),SUM(VLOOKUP($A75, LS_current!$B$4:$AY$138, LS_current!V$148, FALSE), VLOOKUP($A75, LS_current!$B$4:$AY$138,LS_current!V$148, FALSE))/2)</f>
        <v>-8209</v>
      </c>
      <c r="CS75" s="227">
        <f t="array" ref="CS75">IF($BU75=0, INDEX(LS_current!$D$4:$AY$138, MATCH('Staging Table'!$A75, LS_current!$B$4:$B$138, 0), MATCH(CS$4&amp;CS$5, LS_current!$D$2:$AY$2&amp;LS_current!$D$3:$AY$3, 0)),SUM(VLOOKUP($A75, LS_current!$B$4:$AY$138, LS_current!W$148, FALSE), VLOOKUP($A75, LS_current!$B$4:$AY$138,LS_current!W$148, FALSE))/2)</f>
        <v>5618</v>
      </c>
      <c r="CT75" s="227">
        <f t="array" ref="CT75">IF($BU75=0, INDEX(LS_current!$D$4:$AY$138, MATCH('Staging Table'!$A75, LS_current!$B$4:$B$138, 0), MATCH(CT$4&amp;CT$5, LS_current!$D$2:$AY$2&amp;LS_current!$D$3:$AY$3, 0)),SUM(VLOOKUP($A75, LS_current!$B$4:$AY$138, LS_current!X$148, FALSE), VLOOKUP($A75, LS_current!$B$4:$AY$138,LS_current!X$148, FALSE))/2)</f>
        <v>-6104</v>
      </c>
      <c r="CU75" s="227">
        <f t="array" ref="CU75">IF($BU75=0, INDEX(LS_current!$D$4:$AY$138, MATCH('Staging Table'!$A75, LS_current!$B$4:$B$138, 0), MATCH(CU$4&amp;CU$5, LS_current!$D$2:$AY$2&amp;LS_current!$D$3:$AY$3, 0)),SUM(VLOOKUP($A75, LS_current!$B$4:$AY$138, LS_current!Y$148, FALSE), VLOOKUP($A75, LS_current!$B$4:$AY$138,LS_current!Y$148, FALSE))/2)</f>
        <v>3554</v>
      </c>
      <c r="CV75" s="227">
        <f t="array" ref="CV75">IF($BU75=0, INDEX(LS_current!$D$4:$AY$138, MATCH('Staging Table'!$A75, LS_current!$B$4:$B$138, 0), MATCH(CV$4&amp;CV$5, LS_current!$D$2:$AY$2&amp;LS_current!$D$3:$AY$3, 0)),SUM(VLOOKUP($A75, LS_current!$B$4:$AY$138, LS_current!Z$148, FALSE), VLOOKUP($A75, LS_current!$B$4:$AY$138,LS_current!Z$148, FALSE))/2)</f>
        <v>-6843</v>
      </c>
      <c r="CW75" s="227">
        <f t="array" ref="CW75">IF($BU75=0, INDEX(LS_current!$D$4:$AY$138, MATCH('Staging Table'!$A75, LS_current!$B$4:$B$138, 0), MATCH(CW$4&amp;CW$5, LS_current!$D$2:$AY$2&amp;LS_current!$D$3:$AY$3, 0)),SUM(VLOOKUP($A75, LS_current!$B$4:$AY$138, LS_current!AA$148, FALSE), VLOOKUP($A75, LS_current!$B$4:$AY$138,LS_current!AA$148, FALSE))/2)</f>
        <v>1441</v>
      </c>
      <c r="CX75" s="229">
        <f t="array" ref="CX75">INDEX(Demand_current!$D$4:$AY$138, MATCH($A75, Demand_current!$B$4:$B$138, 0), MATCH(CX$4&amp;CX$5,Demand_current!$D$2:$AY$2&amp;Demand_current!$D$3:$AY$3, 0))/1000</f>
        <v>19.782</v>
      </c>
      <c r="CY75" s="229">
        <f t="array" ref="CY75">INDEX(Demand_current!$D$4:$AY$138, MATCH($A75, Demand_current!$B$4:$B$138, 0), MATCH(CY$4&amp;CY$5,Demand_current!$D$2:$AY$2&amp;Demand_current!$D$3:$AY$3, 0))/1000</f>
        <v>20.169</v>
      </c>
      <c r="CZ75" s="229">
        <f t="array" ref="CZ75">INDEX(Demand_current!$D$4:$AY$138, MATCH($A75, Demand_current!$B$4:$B$138, 0), MATCH(CZ$4&amp;CZ$5,Demand_current!$D$2:$AY$2&amp;Demand_current!$D$3:$AY$3, 0))/1000</f>
        <v>20.878</v>
      </c>
      <c r="DA75" s="229">
        <f t="array" ref="DA75">INDEX(Demand_current!$D$4:$AY$138, MATCH($A75, Demand_current!$B$4:$B$138, 0), MATCH(DA$4&amp;DA$5,Demand_current!$D$2:$AY$2&amp;Demand_current!$D$3:$AY$3, 0))/1000</f>
        <v>28.027999999999999</v>
      </c>
      <c r="DB75" s="229">
        <f t="array" ref="DB75">INDEX(Demand_current!$D$4:$AY$138, MATCH($A75, Demand_current!$B$4:$B$138, 0), MATCH(DB$4&amp;DB$5,Demand_current!$D$2:$AY$2&amp;Demand_current!$D$3:$AY$3, 0))/1000</f>
        <v>25.457000000000001</v>
      </c>
      <c r="DC75" s="229">
        <f t="array" ref="DC75">INDEX(Demand_current!$D$4:$AY$138, MATCH($A75, Demand_current!$B$4:$B$138, 0), MATCH(DC$4&amp;DC$5,Demand_current!$D$2:$AY$2&amp;Demand_current!$D$3:$AY$3, 0))/1000</f>
        <v>22.422999999999998</v>
      </c>
      <c r="DD75" s="229">
        <f t="array" ref="DD75">INDEX(Demand_current!$D$4:$AY$138, MATCH($A75, Demand_current!$B$4:$B$138, 0), MATCH(DD$4&amp;DD$5,Demand_current!$D$2:$AY$2&amp;Demand_current!$D$3:$AY$3, 0))/1000</f>
        <v>30.760999999999999</v>
      </c>
      <c r="DE75" s="229">
        <f t="array" ref="DE75">INDEX(Demand_current!$D$4:$AY$138, MATCH($A75, Demand_current!$B$4:$B$138, 0), MATCH(DE$4&amp;DE$5,Demand_current!$D$2:$AY$2&amp;Demand_current!$D$3:$AY$3, 0))/1000</f>
        <v>29.347999999999999</v>
      </c>
      <c r="DF75" s="229">
        <f t="array" ref="DF75">INDEX(Demand_current!$D$4:$AY$138, MATCH($A75, Demand_current!$B$4:$B$138, 0), MATCH(DF$4&amp;DF$5,Demand_current!$D$2:$AY$2&amp;Demand_current!$D$3:$AY$3, 0))/1000</f>
        <v>21.795999999999999</v>
      </c>
      <c r="DG75" s="229">
        <f t="array" ref="DG75">INDEX(Demand_current!$D$4:$AY$138, MATCH($A75, Demand_current!$B$4:$B$138, 0), MATCH(DG$4&amp;DG$5,Demand_current!$D$2:$AY$2&amp;Demand_current!$D$3:$AY$3, 0))/1000</f>
        <v>28.681999999999999</v>
      </c>
      <c r="DH75" s="229">
        <f t="array" ref="DH75">INDEX(Demand_current!$D$4:$AY$138, MATCH($A75, Demand_current!$B$4:$B$138, 0), MATCH(DH$4&amp;DH$5,Demand_current!$D$2:$AY$2&amp;Demand_current!$D$3:$AY$3, 0))/1000</f>
        <v>18.741</v>
      </c>
      <c r="DI75" s="229">
        <f t="array" ref="DI75">INDEX(Demand_current!$D$4:$AY$138, MATCH($A75, Demand_current!$B$4:$B$138, 0), MATCH(DI$4&amp;DI$5,Demand_current!$D$2:$AY$2&amp;Demand_current!$D$3:$AY$3, 0))/1000</f>
        <v>31.542999999999999</v>
      </c>
      <c r="DJ75" s="227">
        <f>$BT75*(VLOOKUP(DJ$4, Rates_current!$G$6:$Q$29, 10, FALSE)+VLOOKUP(DJ$4, Rates_current!$G$6:$Q$29, 11, FALSE))</f>
        <v>68581.012312187988</v>
      </c>
      <c r="DK75" s="227">
        <f>$BT75*(VLOOKUP(DK$4, Rates_current!$G$6:$Q$29, 10, FALSE)+VLOOKUP(DK$4, Rates_current!$G$6:$Q$29, 11, FALSE))</f>
        <v>87119.279898866997</v>
      </c>
      <c r="DL75" s="227">
        <f>$BT75*(VLOOKUP(DL$4, Rates_current!$G$6:$Q$29, 10, FALSE)+VLOOKUP(DL$4, Rates_current!$G$6:$Q$29, 11, FALSE))</f>
        <v>86067.196711188008</v>
      </c>
      <c r="DM75" s="227">
        <f>$BT75*(VLOOKUP(DM$4, Rates_current!$G$6:$Q$29, 10, FALSE)+VLOOKUP(DM$4, Rates_current!$G$6:$Q$29, 11, FALSE))</f>
        <v>71742.250567188006</v>
      </c>
      <c r="DN75" s="227">
        <f>$BT75*(VLOOKUP(DN$4, Rates_current!$G$6:$Q$29, 10, FALSE)+VLOOKUP(DN$4, Rates_current!$G$6:$Q$29, 11, FALSE))</f>
        <v>64991.036330399998</v>
      </c>
      <c r="DO75" s="227">
        <f>$BT75*(VLOOKUP(DO$4, Rates_current!$G$6:$Q$29, 10, FALSE)+VLOOKUP(DO$4, Rates_current!$G$6:$Q$29, 11, FALSE))</f>
        <v>72290.678892260999</v>
      </c>
      <c r="DP75" s="227">
        <f>$BT75*(VLOOKUP(DP$4, Rates_current!$G$6:$Q$29, 10, FALSE)+VLOOKUP(DP$4, Rates_current!$G$6:$Q$29, 11, FALSE))</f>
        <v>58859.148763439996</v>
      </c>
      <c r="DQ75" s="227">
        <f>$BT75*(VLOOKUP(DQ$4, Rates_current!$G$6:$Q$29, 10, FALSE)+VLOOKUP(DQ$4, Rates_current!$G$6:$Q$29, 11, FALSE))</f>
        <v>79380.338978688</v>
      </c>
      <c r="DR75" s="227">
        <f>$BT75*(VLOOKUP(DR$4, Rates_current!$G$6:$Q$29, 10, FALSE)+VLOOKUP(DR$4, Rates_current!$G$6:$Q$29, 11, FALSE))</f>
        <v>101283.91376694001</v>
      </c>
      <c r="DS75" s="227">
        <f>$BT75*(VLOOKUP(DS$4, Rates_current!$G$6:$Q$29, 10, FALSE)+VLOOKUP(DS$4, Rates_current!$G$6:$Q$29, 11, FALSE))</f>
        <v>79409.79990418801</v>
      </c>
      <c r="DT75" s="227">
        <f>$BT75*(VLOOKUP(DT$4, Rates_current!$G$6:$Q$29, 10, FALSE)+VLOOKUP(DT$4, Rates_current!$G$6:$Q$29, 11, FALSE))</f>
        <v>77329.332767688</v>
      </c>
      <c r="DU75" s="227">
        <f>$BT75*(VLOOKUP(DU$4, Rates_current!$G$6:$Q$29, 10, FALSE)+VLOOKUP(DU$4, Rates_current!$G$6:$Q$29, 11, FALSE))</f>
        <v>69425.290756440008</v>
      </c>
      <c r="DV75" s="229">
        <f>IF(D75=0,IF(C75=0,MAX(0,DY75 - (VLOOKUP($A75,TOCA_current!$A$2:$AI$137,MATCH("RHWM 2020",TOCA_current!$A$2:$AI$2,0),FALSE)*$BT$2)), 0),0)</f>
        <v>0</v>
      </c>
      <c r="DW75" s="266">
        <f>VLOOKUP($A75,REP_current!$A$1:$D$135,MATCH("FY "&amp;$BT$1&amp; " Total Refund",REP_current!$A$1:$D$1,0),0)</f>
        <v>0</v>
      </c>
      <c r="DX75" s="295">
        <f>MIN(VLOOKUP($A75,TOCA_current!$A$2:$AI$137,MATCH("TRL - NLSL - Existing Resource "&amp;$BT$1,TOCA_current!$A$2:$AI$2,0),FALSE)*$BT$2, VLOOKUP($A75,TOCA_current!$A$2:$AI$137,MATCH("RHWM 2020",TOCA_current!$A$2:$AI$2,0),FALSE)*$BT$2)</f>
        <v>916478.6399999999</v>
      </c>
      <c r="DY75" s="240">
        <f>SUM(BZ75:CW75)+(BT75*RT1SC!$C$4*$BT$2)</f>
        <v>916477.3140490239</v>
      </c>
      <c r="DZ75" s="271">
        <f>VLOOKUP($A75,TOCA_current!$A$2:$AI$137,MATCH("Above RHWM Not Served with LS "&amp;$BT$1,TOCA_current!$A$2:$AI$2,0),FALSE)*$BT$2</f>
        <v>51781.679999999993</v>
      </c>
      <c r="EA75" s="244">
        <f t="shared" si="29"/>
        <v>-1.3259509759955108</v>
      </c>
      <c r="EB75" s="295">
        <f>(VLOOKUP($A75,TOCA_current!$A$2:$AI$137,MATCH("RHWM 2020",TOCA_current!$A$2:$AI$2,0),FALSE)*$BT$2) - $DX75</f>
        <v>0</v>
      </c>
      <c r="EC75" s="240">
        <f t="shared" si="30"/>
        <v>0</v>
      </c>
      <c r="ED75" s="240">
        <f t="shared" si="31"/>
        <v>0</v>
      </c>
      <c r="EE75" s="240">
        <f t="shared" si="32"/>
        <v>0</v>
      </c>
      <c r="EF75" s="240">
        <f t="shared" si="33"/>
        <v>0</v>
      </c>
    </row>
    <row r="76" spans="1:136">
      <c r="A76" s="166">
        <v>10230</v>
      </c>
      <c r="B76" s="167" t="s">
        <v>77</v>
      </c>
      <c r="C76" s="240">
        <v>0</v>
      </c>
      <c r="D76" s="240">
        <v>0</v>
      </c>
      <c r="E76" s="150">
        <f>VLOOKUP($A76,TOCA_previous!$A$2:$AI$137,MATCH(E$4,TOCA_previous!$A$2:$AI$2,0),FALSE)</f>
        <v>1.3747E-3</v>
      </c>
      <c r="F76" s="151">
        <f>VLOOKUP($A76,TOCA_previous!$A$2:$AI$137,MATCH(F$4,TOCA_previous!$A$2:$AI$2,0),FALSE)</f>
        <v>1.3747E-3</v>
      </c>
      <c r="G76" s="151">
        <f t="shared" si="18"/>
        <v>0</v>
      </c>
      <c r="H76" s="151">
        <f>VLOOKUP($A76,TOCA_previous!$A$2:$AI$137,MATCH(H$4,TOCA_previous!$A$2:$AI$2,0),FALSE)</f>
        <v>7.4685199999999993E-2</v>
      </c>
      <c r="I76" s="151">
        <f t="shared" si="19"/>
        <v>0</v>
      </c>
      <c r="J76" s="151">
        <f t="shared" si="20"/>
        <v>0</v>
      </c>
      <c r="K76" s="226">
        <f>VLOOKUP(A76, IRD!$A$5:$C$139, 3, FALSE)</f>
        <v>0</v>
      </c>
      <c r="L76" s="227">
        <f t="array" ref="L76">IF($G76=0, INDEX(LS_previous!$D$4:$AY$138, MATCH('Staging Table'!$A76, LS_previous!$B$4:$B$138, 0), MATCH(L$4&amp;L$5, LS_previous!$D$2:$AY$2&amp;LS_previous!$D$3:$AY$3, 0)),SUM(VLOOKUP($A76, LS_previous!$B$4:$AY$138, LS_previous!D$149, FALSE), VLOOKUP('Staging Table'!$A76, LS_previous!$B$4:$AY$138,LS_previous!AB$149, FALSE))/2)</f>
        <v>551</v>
      </c>
      <c r="M76" s="227">
        <f t="array" ref="M76">IF($G76=0, INDEX(LS_previous!$D$4:$AY$138, MATCH('Staging Table'!$A76, LS_previous!$B$4:$B$138, 0), MATCH(M$4&amp;M$5, LS_previous!$D$2:$AY$2&amp;LS_previous!$D$3:$AY$3, 0)),SUM(VLOOKUP($A76, LS_previous!$B$4:$AY$138, LS_previous!E$149, FALSE), VLOOKUP('Staging Table'!$A76, LS_previous!$B$4:$AY$138,LS_previous!AC$149, FALSE))/2)</f>
        <v>447</v>
      </c>
      <c r="N76" s="227">
        <f t="array" ref="N76">IF($G76=0, INDEX(LS_previous!$D$4:$AY$138, MATCH('Staging Table'!$A76, LS_previous!$B$4:$B$138, 0), MATCH(N$4&amp;N$5, LS_previous!$D$2:$AY$2&amp;LS_previous!$D$3:$AY$3, 0)),SUM(VLOOKUP($A76, LS_previous!$B$4:$AY$138, LS_previous!F$149, FALSE), VLOOKUP('Staging Table'!$A76, LS_previous!$B$4:$AY$138,LS_previous!AD$149, FALSE))/2)</f>
        <v>703</v>
      </c>
      <c r="O76" s="227">
        <f t="array" ref="O76">IF($G76=0, INDEX(LS_previous!$D$4:$AY$138, MATCH('Staging Table'!$A76, LS_previous!$B$4:$B$138, 0), MATCH(O$4&amp;O$5, LS_previous!$D$2:$AY$2&amp;LS_previous!$D$3:$AY$3, 0)),SUM(VLOOKUP($A76, LS_previous!$B$4:$AY$138, LS_previous!G$149, FALSE), VLOOKUP('Staging Table'!$A76, LS_previous!$B$4:$AY$138,LS_previous!AE$149, FALSE))/2)</f>
        <v>960</v>
      </c>
      <c r="P76" s="227">
        <f t="array" ref="P76">IF($G76=0, INDEX(LS_previous!$D$4:$AY$138, MATCH('Staging Table'!$A76, LS_previous!$B$4:$B$138, 0), MATCH(P$4&amp;P$5, LS_previous!$D$2:$AY$2&amp;LS_previous!$D$3:$AY$3, 0)),SUM(VLOOKUP($A76, LS_previous!$B$4:$AY$138, LS_previous!H$149, FALSE), VLOOKUP('Staging Table'!$A76, LS_previous!$B$4:$AY$138,LS_previous!AF$149, FALSE))/2)</f>
        <v>2281</v>
      </c>
      <c r="Q76" s="227">
        <f t="array" ref="Q76">IF($G76=0, INDEX(LS_previous!$D$4:$AY$138, MATCH('Staging Table'!$A76, LS_previous!$B$4:$B$138, 0), MATCH(Q$4&amp;Q$5, LS_previous!$D$2:$AY$2&amp;LS_previous!$D$3:$AY$3, 0)),SUM(VLOOKUP($A76, LS_previous!$B$4:$AY$138, LS_previous!I$149, FALSE), VLOOKUP('Staging Table'!$A76, LS_previous!$B$4:$AY$138,LS_previous!AG$149, FALSE))/2)</f>
        <v>1889</v>
      </c>
      <c r="R76" s="227">
        <f t="array" ref="R76">IF($G76=0, INDEX(LS_previous!$D$4:$AY$138, MATCH('Staging Table'!$A76, LS_previous!$B$4:$B$138, 0), MATCH(R$4&amp;R$5, LS_previous!$D$2:$AY$2&amp;LS_previous!$D$3:$AY$3, 0)),SUM(VLOOKUP($A76, LS_previous!$B$4:$AY$138, LS_previous!J$149, FALSE), VLOOKUP('Staging Table'!$A76, LS_previous!$B$4:$AY$138,LS_previous!AH$149, FALSE))/2)</f>
        <v>2537</v>
      </c>
      <c r="S76" s="227">
        <f t="array" ref="S76">IF($G76=0, INDEX(LS_previous!$D$4:$AY$138, MATCH('Staging Table'!$A76, LS_previous!$B$4:$B$138, 0), MATCH(S$4&amp;S$5, LS_previous!$D$2:$AY$2&amp;LS_previous!$D$3:$AY$3, 0)),SUM(VLOOKUP($A76, LS_previous!$B$4:$AY$138, LS_previous!K$149, FALSE), VLOOKUP('Staging Table'!$A76, LS_previous!$B$4:$AY$138,LS_previous!AI$149, FALSE))/2)</f>
        <v>2173</v>
      </c>
      <c r="T76" s="227">
        <f t="array" ref="T76">IF($G76=0, INDEX(LS_previous!$D$4:$AY$138, MATCH('Staging Table'!$A76, LS_previous!$B$4:$B$138, 0), MATCH(T$4&amp;T$5, LS_previous!$D$2:$AY$2&amp;LS_previous!$D$3:$AY$3, 0)),SUM(VLOOKUP($A76, LS_previous!$B$4:$AY$138, LS_previous!L$149, FALSE), VLOOKUP('Staging Table'!$A76, LS_previous!$B$4:$AY$138,LS_previous!AJ$149, FALSE))/2)</f>
        <v>2594</v>
      </c>
      <c r="U76" s="227">
        <f t="array" ref="U76">IF($G76=0, INDEX(LS_previous!$D$4:$AY$138, MATCH('Staging Table'!$A76, LS_previous!$B$4:$B$138, 0), MATCH(U$4&amp;U$5, LS_previous!$D$2:$AY$2&amp;LS_previous!$D$3:$AY$3, 0)),SUM(VLOOKUP($A76, LS_previous!$B$4:$AY$138, LS_previous!M$149, FALSE), VLOOKUP('Staging Table'!$A76, LS_previous!$B$4:$AY$138,LS_previous!AK$149, FALSE))/2)</f>
        <v>1941</v>
      </c>
      <c r="V76" s="227">
        <f t="array" ref="V76">IF($G76=0, INDEX(LS_previous!$D$4:$AY$138, MATCH('Staging Table'!$A76, LS_previous!$B$4:$B$138, 0), MATCH(V$4&amp;V$5, LS_previous!$D$2:$AY$2&amp;LS_previous!$D$3:$AY$3, 0)),SUM(VLOOKUP($A76, LS_previous!$B$4:$AY$138, LS_previous!N$149, FALSE), VLOOKUP('Staging Table'!$A76, LS_previous!$B$4:$AY$138,LS_previous!AL$149, FALSE))/2)</f>
        <v>1476</v>
      </c>
      <c r="W76" s="227">
        <f t="array" ref="W76">IF($G76=0, INDEX(LS_previous!$D$4:$AY$138, MATCH('Staging Table'!$A76, LS_previous!$B$4:$B$138, 0), MATCH(W$4&amp;W$5, LS_previous!$D$2:$AY$2&amp;LS_previous!$D$3:$AY$3, 0)),SUM(VLOOKUP($A76, LS_previous!$B$4:$AY$138, LS_previous!O$149, FALSE), VLOOKUP('Staging Table'!$A76, LS_previous!$B$4:$AY$138,LS_previous!AM$149, FALSE))/2)</f>
        <v>1088</v>
      </c>
      <c r="X76" s="227">
        <f t="array" ref="X76">IF($G76=0, INDEX(LS_previous!$D$4:$AY$138, MATCH('Staging Table'!$A76, LS_previous!$B$4:$B$138, 0), MATCH(X$4&amp;X$5, LS_previous!$D$2:$AY$2&amp;LS_previous!$D$3:$AY$3, 0)),SUM(VLOOKUP($A76, LS_previous!$B$4:$AY$138, LS_previous!P$149, FALSE), VLOOKUP('Staging Table'!$A76, LS_previous!$B$4:$AY$138,LS_previous!AN$149, FALSE))/2)</f>
        <v>888</v>
      </c>
      <c r="Y76" s="227">
        <f t="array" ref="Y76">IF($G76=0, INDEX(LS_previous!$D$4:$AY$138, MATCH('Staging Table'!$A76, LS_previous!$B$4:$B$138, 0), MATCH(Y$4&amp;Y$5, LS_previous!$D$2:$AY$2&amp;LS_previous!$D$3:$AY$3, 0)),SUM(VLOOKUP($A76, LS_previous!$B$4:$AY$138, LS_previous!Q$149, FALSE), VLOOKUP('Staging Table'!$A76, LS_previous!$B$4:$AY$138,LS_previous!AO$149, FALSE))/2)</f>
        <v>808</v>
      </c>
      <c r="Z76" s="227">
        <f t="array" ref="Z76">IF($G76=0, INDEX(LS_previous!$D$4:$AY$138, MATCH('Staging Table'!$A76, LS_previous!$B$4:$B$138, 0), MATCH(Z$4&amp;Z$5, LS_previous!$D$2:$AY$2&amp;LS_previous!$D$3:$AY$3, 0)),SUM(VLOOKUP($A76, LS_previous!$B$4:$AY$138, LS_previous!R$149, FALSE), VLOOKUP('Staging Table'!$A76, LS_previous!$B$4:$AY$138,LS_previous!AP$149, FALSE))/2)</f>
        <v>-1290</v>
      </c>
      <c r="AA76" s="227">
        <f t="array" ref="AA76">IF($G76=0, INDEX(LS_previous!$D$4:$AY$138, MATCH('Staging Table'!$A76, LS_previous!$B$4:$B$138, 0), MATCH(AA$4&amp;AA$5, LS_previous!$D$2:$AY$2&amp;LS_previous!$D$3:$AY$3, 0)),SUM(VLOOKUP($A76, LS_previous!$B$4:$AY$138, LS_previous!S$149, FALSE), VLOOKUP('Staging Table'!$A76, LS_previous!$B$4:$AY$138,LS_previous!AQ$149, FALSE))/2)</f>
        <v>-407</v>
      </c>
      <c r="AB76" s="227">
        <f t="array" ref="AB76">IF($G76=0, INDEX(LS_previous!$D$4:$AY$138, MATCH('Staging Table'!$A76, LS_previous!$B$4:$B$138, 0), MATCH(AB$4&amp;AB$5, LS_previous!$D$2:$AY$2&amp;LS_previous!$D$3:$AY$3, 0)),SUM(VLOOKUP($A76, LS_previous!$B$4:$AY$138, LS_previous!T$149, FALSE), VLOOKUP('Staging Table'!$A76, LS_previous!$B$4:$AY$138,LS_previous!AR$149, FALSE))/2)</f>
        <v>-601</v>
      </c>
      <c r="AC76" s="227">
        <f t="array" ref="AC76">IF($G76=0, INDEX(LS_previous!$D$4:$AY$138, MATCH('Staging Table'!$A76, LS_previous!$B$4:$B$138, 0), MATCH(AC$4&amp;AC$5, LS_previous!$D$2:$AY$2&amp;LS_previous!$D$3:$AY$3, 0)),SUM(VLOOKUP($A76, LS_previous!$B$4:$AY$138, LS_previous!U$149, FALSE), VLOOKUP('Staging Table'!$A76, LS_previous!$B$4:$AY$138,LS_previous!AS$149, FALSE))/2)</f>
        <v>-188</v>
      </c>
      <c r="AD76" s="227">
        <f t="array" ref="AD76">IF($G76=0, INDEX(LS_previous!$D$4:$AY$138, MATCH('Staging Table'!$A76, LS_previous!$B$4:$B$138, 0), MATCH(AD$4&amp;AD$5, LS_previous!$D$2:$AY$2&amp;LS_previous!$D$3:$AY$3, 0)),SUM(VLOOKUP($A76, LS_previous!$B$4:$AY$138, LS_previous!V$149, FALSE), VLOOKUP('Staging Table'!$A76, LS_previous!$B$4:$AY$138,LS_previous!AT$149, FALSE))/2)</f>
        <v>352</v>
      </c>
      <c r="AE76" s="227">
        <f t="array" ref="AE76">IF($G76=0, INDEX(LS_previous!$D$4:$AY$138, MATCH('Staging Table'!$A76, LS_previous!$B$4:$B$138, 0), MATCH(AE$4&amp;AE$5, LS_previous!$D$2:$AY$2&amp;LS_previous!$D$3:$AY$3, 0)),SUM(VLOOKUP($A76, LS_previous!$B$4:$AY$138, LS_previous!W$149, FALSE), VLOOKUP('Staging Table'!$A76, LS_previous!$B$4:$AY$138,LS_previous!AU$149, FALSE))/2)</f>
        <v>523</v>
      </c>
      <c r="AF76" s="227">
        <f t="array" ref="AF76">IF($G76=0, INDEX(LS_previous!$D$4:$AY$138, MATCH('Staging Table'!$A76, LS_previous!$B$4:$B$138, 0), MATCH(AF$4&amp;AF$5, LS_previous!$D$2:$AY$2&amp;LS_previous!$D$3:$AY$3, 0)),SUM(VLOOKUP($A76, LS_previous!$B$4:$AY$138, LS_previous!X$149, FALSE), VLOOKUP('Staging Table'!$A76, LS_previous!$B$4:$AY$138,LS_previous!AV$149, FALSE))/2)</f>
        <v>218</v>
      </c>
      <c r="AG76" s="227">
        <f t="array" ref="AG76">IF($G76=0, INDEX(LS_previous!$D$4:$AY$138, MATCH('Staging Table'!$A76, LS_previous!$B$4:$B$138, 0), MATCH(AG$4&amp;AG$5, LS_previous!$D$2:$AY$2&amp;LS_previous!$D$3:$AY$3, 0)),SUM(VLOOKUP($A76, LS_previous!$B$4:$AY$138, LS_previous!Y$149, FALSE), VLOOKUP('Staging Table'!$A76, LS_previous!$B$4:$AY$138,LS_previous!AW$149, FALSE))/2)</f>
        <v>287</v>
      </c>
      <c r="AH76" s="227">
        <f t="array" ref="AH76">IF($G76=0, INDEX(LS_previous!$D$4:$AY$138, MATCH('Staging Table'!$A76, LS_previous!$B$4:$B$138, 0), MATCH(AH$4&amp;AH$5, LS_previous!$D$2:$AY$2&amp;LS_previous!$D$3:$AY$3, 0)),SUM(VLOOKUP($A76, LS_previous!$B$4:$AY$138, LS_previous!Z$149, FALSE), VLOOKUP('Staging Table'!$A76, LS_previous!$B$4:$AY$138,LS_previous!AX$149, FALSE))/2)</f>
        <v>-24</v>
      </c>
      <c r="AI76" s="227">
        <f t="array" ref="AI76">IF($G76=0, INDEX(LS_previous!$D$4:$AY$138, MATCH('Staging Table'!$A76, LS_previous!$B$4:$B$138, 0), MATCH(AI$4&amp;AI$5, LS_previous!$D$2:$AY$2&amp;LS_previous!$D$3:$AY$3, 0)),SUM(VLOOKUP($A76, LS_previous!$B$4:$AY$138, LS_previous!AA$149, FALSE), VLOOKUP('Staging Table'!$A76, LS_previous!$B$4:$AY$138,LS_previous!AY$149, FALSE))/2)</f>
        <v>150</v>
      </c>
      <c r="AJ76" s="424">
        <f t="array" ref="AJ76">INDEX(Demand_previous!$D$4:$AY$138, MATCH('Staging Table'!$A76, Demand_previous!$B$4:$B$138, 0), MATCH(AJ$4&amp;AJ$5,Demand_previous!$D$2:$AY$2&amp;Demand_previous!$D$3:$AY$3, 0))/1000</f>
        <v>2.3650000000000002</v>
      </c>
      <c r="AK76" s="424">
        <f t="array" ref="AK76">INDEX(Demand_previous!$D$4:$AY$138, MATCH('Staging Table'!$A76, Demand_previous!$B$4:$B$138, 0), MATCH(AK$4&amp;AK$5,Demand_previous!$D$2:$AY$2&amp;Demand_previous!$D$3:$AY$3, 0))/1000</f>
        <v>2.827</v>
      </c>
      <c r="AL76" s="424">
        <f t="array" ref="AL76">INDEX(Demand_previous!$D$4:$AY$138, MATCH('Staging Table'!$A76, Demand_previous!$B$4:$B$138, 0), MATCH(AL$4&amp;AL$5,Demand_previous!$D$2:$AY$2&amp;Demand_previous!$D$3:$AY$3, 0))/1000</f>
        <v>2.8119999999999998</v>
      </c>
      <c r="AM76" s="424">
        <f t="array" ref="AM76">INDEX(Demand_previous!$D$4:$AY$138, MATCH('Staging Table'!$A76, Demand_previous!$B$4:$B$138, 0), MATCH(AM$4&amp;AM$5,Demand_previous!$D$2:$AY$2&amp;Demand_previous!$D$3:$AY$3, 0))/1000</f>
        <v>5.383</v>
      </c>
      <c r="AN76" s="424">
        <f t="array" ref="AN76">INDEX(Demand_previous!$D$4:$AY$138, MATCH('Staging Table'!$A76, Demand_previous!$B$4:$B$138, 0), MATCH(AN$4&amp;AN$5,Demand_previous!$D$2:$AY$2&amp;Demand_previous!$D$3:$AY$3, 0))/1000</f>
        <v>4.6399999999999997</v>
      </c>
      <c r="AO76" s="424">
        <f t="array" ref="AO76">INDEX(Demand_previous!$D$4:$AY$138, MATCH('Staging Table'!$A76, Demand_previous!$B$4:$B$138, 0), MATCH(AO$4&amp;AO$5,Demand_previous!$D$2:$AY$2&amp;Demand_previous!$D$3:$AY$3, 0))/1000</f>
        <v>3.85</v>
      </c>
      <c r="AP76" s="424">
        <f t="array" ref="AP76">INDEX(Demand_previous!$D$4:$AY$138, MATCH('Staging Table'!$A76, Demand_previous!$B$4:$B$138, 0), MATCH(AP$4&amp;AP$5,Demand_previous!$D$2:$AY$2&amp;Demand_previous!$D$3:$AY$3, 0))/1000</f>
        <v>1.173</v>
      </c>
      <c r="AQ76" s="424">
        <f t="array" ref="AQ76">INDEX(Demand_previous!$D$4:$AY$138, MATCH('Staging Table'!$A76, Demand_previous!$B$4:$B$138, 0), MATCH(AQ$4&amp;AQ$5,Demand_previous!$D$2:$AY$2&amp;Demand_previous!$D$3:$AY$3, 0))/1000</f>
        <v>2.58</v>
      </c>
      <c r="AR76" s="424">
        <f t="array" ref="AR76">INDEX(Demand_previous!$D$4:$AY$138, MATCH('Staging Table'!$A76, Demand_previous!$B$4:$B$138, 0), MATCH(AR$4&amp;AR$5,Demand_previous!$D$2:$AY$2&amp;Demand_previous!$D$3:$AY$3, 0))/1000</f>
        <v>2.3159999999999998</v>
      </c>
      <c r="AS76" s="424">
        <f t="array" ref="AS76">INDEX(Demand_previous!$D$4:$AY$138, MATCH('Staging Table'!$A76, Demand_previous!$B$4:$B$138, 0), MATCH(AS$4&amp;AS$5,Demand_previous!$D$2:$AY$2&amp;Demand_previous!$D$3:$AY$3, 0))/1000</f>
        <v>2.9180000000000001</v>
      </c>
      <c r="AT76" s="424">
        <f t="array" ref="AT76">INDEX(Demand_previous!$D$4:$AY$138, MATCH('Staging Table'!$A76, Demand_previous!$B$4:$B$138, 0), MATCH(AT$4&amp;AT$5,Demand_previous!$D$2:$AY$2&amp;Demand_previous!$D$3:$AY$3, 0))/1000</f>
        <v>2.859</v>
      </c>
      <c r="AU76" s="424">
        <f t="array" ref="AU76">INDEX(Demand_previous!$D$4:$AY$138, MATCH('Staging Table'!$A76, Demand_previous!$B$4:$B$138, 0), MATCH(AU$4&amp;AU$5,Demand_previous!$D$2:$AY$2&amp;Demand_previous!$D$3:$AY$3, 0))/1000</f>
        <v>1.859</v>
      </c>
      <c r="AV76" s="227">
        <f>$F76*(VLOOKUP(AV$4, Rates_previous!$G$6:$Q$29, 10, FALSE)+VLOOKUP(AV$4, Rates_previous!$G$6:$Q$29, 11, FALSE))</f>
        <v>6445.7452719568455</v>
      </c>
      <c r="AW76" s="227">
        <f>$F76*(VLOOKUP(AW$4, Rates_previous!$G$6:$Q$29, 10, FALSE)+VLOOKUP(AW$4, Rates_previous!$G$6:$Q$29, 11, FALSE))</f>
        <v>7966.4512535354334</v>
      </c>
      <c r="AX76" s="227">
        <f>$F76*(VLOOKUP(AX$4, Rates_previous!$G$6:$Q$29, 10, FALSE)+VLOOKUP(AX$4, Rates_previous!$G$6:$Q$29, 11, FALSE))</f>
        <v>7870.7837023164111</v>
      </c>
      <c r="AY76" s="227">
        <f>$F76*(VLOOKUP(AY$4, Rates_previous!$G$6:$Q$29, 10, FALSE)+VLOOKUP(AY$4, Rates_previous!$G$6:$Q$29, 11, FALSE))</f>
        <v>6724.8344640404521</v>
      </c>
      <c r="AZ76" s="227">
        <f>$F76*(VLOOKUP(AZ$4, Rates_previous!$G$6:$Q$29, 10, FALSE)+VLOOKUP(AZ$4, Rates_previous!$G$6:$Q$29, 11, FALSE))</f>
        <v>5513.0598366526365</v>
      </c>
      <c r="BA76" s="227">
        <f>$F76*(VLOOKUP(BA$4, Rates_previous!$G$6:$Q$29, 10, FALSE)+VLOOKUP(BA$4, Rates_previous!$G$6:$Q$29, 11, FALSE))</f>
        <v>6527.2625936788509</v>
      </c>
      <c r="BB76" s="227">
        <f>$F76*(VLOOKUP(BB$4, Rates_previous!$G$6:$Q$29, 10, FALSE)+VLOOKUP(BB$4, Rates_previous!$G$6:$Q$29, 11, FALSE))</f>
        <v>6273.6488007944117</v>
      </c>
      <c r="BC76" s="227">
        <f>$F76*(VLOOKUP(BC$4, Rates_previous!$G$6:$Q$29, 10, FALSE)+VLOOKUP(BC$4, Rates_previous!$G$6:$Q$29, 11, FALSE))</f>
        <v>9206.1356745397225</v>
      </c>
      <c r="BD76" s="227">
        <f>$F76*(VLOOKUP(BD$4, Rates_previous!$G$6:$Q$29, 10, FALSE)+VLOOKUP(BD$4, Rates_previous!$G$6:$Q$29, 11, FALSE))</f>
        <v>7263.3977260799975</v>
      </c>
      <c r="BE76" s="227">
        <f>$F76*(VLOOKUP(BE$4, Rates_previous!$G$6:$Q$29, 10, FALSE)+VLOOKUP(BE$4, Rates_previous!$G$6:$Q$29, 11, FALSE))</f>
        <v>6377.8728606378581</v>
      </c>
      <c r="BF76" s="227">
        <f>$F76*(VLOOKUP(BF$4, Rates_previous!$G$6:$Q$29, 10, FALSE)+VLOOKUP(BF$4, Rates_previous!$G$6:$Q$29, 11, FALSE))</f>
        <v>7063.7494848196384</v>
      </c>
      <c r="BG76" s="227">
        <f>$F76*(VLOOKUP(BG$4, Rates_previous!$G$6:$Q$29, 10, FALSE)+VLOOKUP(BG$4, Rates_previous!$G$6:$Q$29, 11, FALSE))</f>
        <v>6399.4761255351323</v>
      </c>
      <c r="BH76" s="229">
        <f>IF($D76=0,IF(C76=0, MAX(BK76 - (VLOOKUP($A76,TOCA_previous!$A$2:$AI$137,MATCH("RHWM 2018",TOCA_previous!$A$2:$AI$2,0),FALSE)*$F$2*TOCA_previous!C73),0),0), 0)</f>
        <v>19356.69901471198</v>
      </c>
      <c r="BI76" s="266">
        <f>VLOOKUP($A76,REP_previous!$A$1:$D$135,MATCH("FY "&amp;$F$1&amp; " Total Refund",REP_previous!$A$1:$D$1,0),0)</f>
        <v>102591.41358022759</v>
      </c>
      <c r="BJ76" s="241">
        <f>MIN(VLOOKUP($A76,TOCA_previous!$A$2:$AI$137,MATCH("TRL - NLSL - Existing Resource "&amp;$F$1,TOCA_previous!$A$2:$AI$2,0),FALSE)*$F$2,(VLOOKUP($A76,TOCA_previous!$A$2:$AI$137,MATCH("RHWM 2018",TOCA_previous!$A$2:$AI$2,0),FALSE)*$F$2))</f>
        <v>83631.72</v>
      </c>
      <c r="BK76" s="229">
        <f>SUM(L76:AI76)+(F76*RT1SC!$C$3*$F$2)</f>
        <v>102988.41901471198</v>
      </c>
      <c r="BL76" s="241">
        <f>VLOOKUP($A76,TOCA_previous!$A$2:$AI$137,MATCH("Above RHWM Not Served with LS "&amp;$F$1,TOCA_previous!$A$2:$AI$2,0),FALSE)*$F$2</f>
        <v>0</v>
      </c>
      <c r="BM76" s="151">
        <f t="shared" si="21"/>
        <v>19356.69901471198</v>
      </c>
      <c r="BN76" s="242">
        <f>(VLOOKUP($A76,TOCA_previous!$A$2:$AI$137,MATCH("RHWM 2018",TOCA_previous!$A$2:$AI$2,0),FALSE)*$F$2) - $BJ76</f>
        <v>0</v>
      </c>
      <c r="BO76" s="151">
        <f t="shared" si="22"/>
        <v>0</v>
      </c>
      <c r="BP76" s="243">
        <f t="shared" si="23"/>
        <v>0</v>
      </c>
      <c r="BQ76" s="237">
        <f t="shared" si="24"/>
        <v>0</v>
      </c>
      <c r="BR76" s="242">
        <f t="shared" si="25"/>
        <v>0</v>
      </c>
      <c r="BS76" s="151">
        <f>VLOOKUP($A76,TOCA_current!$A$2:$AI$137,MATCH(BS$4,TOCA_current!$A$2:$AI$2,0),FALSE)</f>
        <v>1.3738999999999999E-3</v>
      </c>
      <c r="BT76" s="151">
        <f>VLOOKUP($A76,TOCA_current!$A$2:$AI$137,MATCH(BT$4,TOCA_current!$A$2:$AI$2,0),FALSE)</f>
        <v>1.3738999999999999E-3</v>
      </c>
      <c r="BU76" s="236">
        <f t="shared" si="26"/>
        <v>0</v>
      </c>
      <c r="BV76" s="151">
        <f>VLOOKUP($A76,TOCA_current!A72:BG207,MATCH(BV$4,TOCA_current!$A$2:$BG$2,0),FALSE)</f>
        <v>8.7552599999999994E-2</v>
      </c>
      <c r="BW76" s="151">
        <f t="shared" si="27"/>
        <v>0</v>
      </c>
      <c r="BX76" s="151">
        <f t="shared" si="28"/>
        <v>0</v>
      </c>
      <c r="BY76" s="226">
        <f>VLOOKUP($A76,IRD!$A$4:$G$139, 7, FALSE)</f>
        <v>0</v>
      </c>
      <c r="BZ76" s="227">
        <f t="array" ref="BZ76">IF($BU76=0, INDEX(LS_current!$D$4:$AY$138, MATCH('Staging Table'!$A76, LS_current!$B$4:$B$138, 0), MATCH(BZ$4&amp;BZ$5, LS_current!$D$2:$AY$2&amp;LS_current!$D$3:$AY$3, 0)),SUM(VLOOKUP($A76, LS_current!$B$4:$AY$138, LS_current!D$148, FALSE), VLOOKUP($A76, LS_current!$B$4:$AY$138,LS_current!D$148, FALSE))/2)</f>
        <v>-437</v>
      </c>
      <c r="CA76" s="227">
        <f t="array" ref="CA76">IF($BU76=0, INDEX(LS_current!$D$4:$AY$138, MATCH('Staging Table'!$A76, LS_current!$B$4:$B$138, 0), MATCH(CA$4&amp;CA$5, LS_current!$D$2:$AY$2&amp;LS_current!$D$3:$AY$3, 0)),SUM(VLOOKUP($A76, LS_current!$B$4:$AY$138, LS_current!E$148, FALSE), VLOOKUP($A76, LS_current!$B$4:$AY$138,LS_current!E$148, FALSE))/2)</f>
        <v>-264</v>
      </c>
      <c r="CB76" s="227">
        <f t="array" ref="CB76">IF($BU76=0, INDEX(LS_current!$D$4:$AY$138, MATCH('Staging Table'!$A76, LS_current!$B$4:$B$138, 0), MATCH(CB$4&amp;CB$5, LS_current!$D$2:$AY$2&amp;LS_current!$D$3:$AY$3, 0)),SUM(VLOOKUP($A76, LS_current!$B$4:$AY$138, LS_current!F$148, FALSE), VLOOKUP($A76, LS_current!$B$4:$AY$138,LS_current!F$148, FALSE))/2)</f>
        <v>-297</v>
      </c>
      <c r="CC76" s="227">
        <f t="array" ref="CC76">IF($BU76=0, INDEX(LS_current!$D$4:$AY$138, MATCH('Staging Table'!$A76, LS_current!$B$4:$B$138, 0), MATCH(CC$4&amp;CC$5, LS_current!$D$2:$AY$2&amp;LS_current!$D$3:$AY$3, 0)),SUM(VLOOKUP($A76, LS_current!$B$4:$AY$138, LS_current!G$148, FALSE), VLOOKUP($A76, LS_current!$B$4:$AY$138,LS_current!G$148, FALSE))/2)</f>
        <v>124</v>
      </c>
      <c r="CD76" s="227">
        <f t="array" ref="CD76">IF($BU76=0, INDEX(LS_current!$D$4:$AY$138, MATCH('Staging Table'!$A76, LS_current!$B$4:$B$138, 0), MATCH(CD$4&amp;CD$5, LS_current!$D$2:$AY$2&amp;LS_current!$D$3:$AY$3, 0)),SUM(VLOOKUP($A76, LS_current!$B$4:$AY$138, LS_current!H$148, FALSE), VLOOKUP($A76, LS_current!$B$4:$AY$138,LS_current!H$148, FALSE))/2)</f>
        <v>1272</v>
      </c>
      <c r="CE76" s="227">
        <f t="array" ref="CE76">IF($BU76=0, INDEX(LS_current!$D$4:$AY$138, MATCH('Staging Table'!$A76, LS_current!$B$4:$B$138, 0), MATCH(CE$4&amp;CE$5, LS_current!$D$2:$AY$2&amp;LS_current!$D$3:$AY$3, 0)),SUM(VLOOKUP($A76, LS_current!$B$4:$AY$138, LS_current!I$148, FALSE), VLOOKUP($A76, LS_current!$B$4:$AY$138,LS_current!I$148, FALSE))/2)</f>
        <v>1007</v>
      </c>
      <c r="CF76" s="227">
        <f t="array" ref="CF76">IF($BU76=0, INDEX(LS_current!$D$4:$AY$138, MATCH('Staging Table'!$A76, LS_current!$B$4:$B$138, 0), MATCH(CF$4&amp;CF$5, LS_current!$D$2:$AY$2&amp;LS_current!$D$3:$AY$3, 0)),SUM(VLOOKUP($A76, LS_current!$B$4:$AY$138, LS_current!J$148, FALSE), VLOOKUP($A76, LS_current!$B$4:$AY$138,LS_current!J$148, FALSE))/2)</f>
        <v>1514</v>
      </c>
      <c r="CG76" s="227">
        <f t="array" ref="CG76">IF($BU76=0, INDEX(LS_current!$D$4:$AY$138, MATCH('Staging Table'!$A76, LS_current!$B$4:$B$138, 0), MATCH(CG$4&amp;CG$5, LS_current!$D$2:$AY$2&amp;LS_current!$D$3:$AY$3, 0)),SUM(VLOOKUP($A76, LS_current!$B$4:$AY$138, LS_current!K$148, FALSE), VLOOKUP($A76, LS_current!$B$4:$AY$138,LS_current!K$148, FALSE))/2)</f>
        <v>1484</v>
      </c>
      <c r="CH76" s="227">
        <f t="array" ref="CH76">IF($BU76=0, INDEX(LS_current!$D$4:$AY$138, MATCH('Staging Table'!$A76, LS_current!$B$4:$B$138, 0), MATCH(CH$4&amp;CH$5, LS_current!$D$2:$AY$2&amp;LS_current!$D$3:$AY$3, 0)),SUM(VLOOKUP($A76, LS_current!$B$4:$AY$138, LS_current!L$148, FALSE), VLOOKUP($A76, LS_current!$B$4:$AY$138,LS_current!L$148, FALSE))/2)</f>
        <v>1316</v>
      </c>
      <c r="CI76" s="227">
        <f t="array" ref="CI76">IF($BU76=0, INDEX(LS_current!$D$4:$AY$138, MATCH('Staging Table'!$A76, LS_current!$B$4:$B$138, 0), MATCH(CI$4&amp;CI$5, LS_current!$D$2:$AY$2&amp;LS_current!$D$3:$AY$3, 0)),SUM(VLOOKUP($A76, LS_current!$B$4:$AY$138, LS_current!M$148, FALSE), VLOOKUP($A76, LS_current!$B$4:$AY$138,LS_current!M$148, FALSE))/2)</f>
        <v>1036</v>
      </c>
      <c r="CJ76" s="227">
        <f t="array" ref="CJ76">IF($BU76=0, INDEX(LS_current!$D$4:$AY$138, MATCH('Staging Table'!$A76, LS_current!$B$4:$B$138, 0), MATCH(CJ$4&amp;CJ$5, LS_current!$D$2:$AY$2&amp;LS_current!$D$3:$AY$3, 0)),SUM(VLOOKUP($A76, LS_current!$B$4:$AY$138, LS_current!N$148, FALSE), VLOOKUP($A76, LS_current!$B$4:$AY$138,LS_current!N$148, FALSE))/2)</f>
        <v>345</v>
      </c>
      <c r="CK76" s="227">
        <f t="array" ref="CK76">IF($BU76=0, INDEX(LS_current!$D$4:$AY$138, MATCH('Staging Table'!$A76, LS_current!$B$4:$B$138, 0), MATCH(CK$4&amp;CK$5, LS_current!$D$2:$AY$2&amp;LS_current!$D$3:$AY$3, 0)),SUM(VLOOKUP($A76, LS_current!$B$4:$AY$138, LS_current!O$148, FALSE), VLOOKUP($A76, LS_current!$B$4:$AY$138,LS_current!O$148, FALSE))/2)</f>
        <v>261</v>
      </c>
      <c r="CL76" s="227">
        <f t="array" ref="CL76">IF($BU76=0, INDEX(LS_current!$D$4:$AY$138, MATCH('Staging Table'!$A76, LS_current!$B$4:$B$138, 0), MATCH(CL$4&amp;CL$5, LS_current!$D$2:$AY$2&amp;LS_current!$D$3:$AY$3, 0)),SUM(VLOOKUP($A76, LS_current!$B$4:$AY$138, LS_current!P$148, FALSE), VLOOKUP($A76, LS_current!$B$4:$AY$138,LS_current!P$148, FALSE))/2)</f>
        <v>490</v>
      </c>
      <c r="CM76" s="227">
        <f t="array" ref="CM76">IF($BU76=0, INDEX(LS_current!$D$4:$AY$138, MATCH('Staging Table'!$A76, LS_current!$B$4:$B$138, 0), MATCH(CM$4&amp;CM$5, LS_current!$D$2:$AY$2&amp;LS_current!$D$3:$AY$3, 0)),SUM(VLOOKUP($A76, LS_current!$B$4:$AY$138, LS_current!Q$148, FALSE), VLOOKUP($A76, LS_current!$B$4:$AY$138,LS_current!Q$148, FALSE))/2)</f>
        <v>293</v>
      </c>
      <c r="CN76" s="227">
        <f t="array" ref="CN76">IF($BU76=0, INDEX(LS_current!$D$4:$AY$138, MATCH('Staging Table'!$A76, LS_current!$B$4:$B$138, 0), MATCH(CN$4&amp;CN$5, LS_current!$D$2:$AY$2&amp;LS_current!$D$3:$AY$3, 0)),SUM(VLOOKUP($A76, LS_current!$B$4:$AY$138, LS_current!R$148, FALSE), VLOOKUP($A76, LS_current!$B$4:$AY$138,LS_current!R$148, FALSE))/2)</f>
        <v>-1156</v>
      </c>
      <c r="CO76" s="227">
        <f t="array" ref="CO76">IF($BU76=0, INDEX(LS_current!$D$4:$AY$138, MATCH('Staging Table'!$A76, LS_current!$B$4:$B$138, 0), MATCH(CO$4&amp;CO$5, LS_current!$D$2:$AY$2&amp;LS_current!$D$3:$AY$3, 0)),SUM(VLOOKUP($A76, LS_current!$B$4:$AY$138, LS_current!S$148, FALSE), VLOOKUP($A76, LS_current!$B$4:$AY$138,LS_current!S$148, FALSE))/2)</f>
        <v>-479</v>
      </c>
      <c r="CP76" s="227">
        <f t="array" ref="CP76">IF($BU76=0, INDEX(LS_current!$D$4:$AY$138, MATCH('Staging Table'!$A76, LS_current!$B$4:$B$138, 0), MATCH(CP$4&amp;CP$5, LS_current!$D$2:$AY$2&amp;LS_current!$D$3:$AY$3, 0)),SUM(VLOOKUP($A76, LS_current!$B$4:$AY$138, LS_current!T$148, FALSE), VLOOKUP($A76, LS_current!$B$4:$AY$138,LS_current!T$148, FALSE))/2)</f>
        <v>-2936</v>
      </c>
      <c r="CQ76" s="227">
        <f t="array" ref="CQ76">IF($BU76=0, INDEX(LS_current!$D$4:$AY$138, MATCH('Staging Table'!$A76, LS_current!$B$4:$B$138, 0), MATCH(CQ$4&amp;CQ$5, LS_current!$D$2:$AY$2&amp;LS_current!$D$3:$AY$3, 0)),SUM(VLOOKUP($A76, LS_current!$B$4:$AY$138, LS_current!U$148, FALSE), VLOOKUP($A76, LS_current!$B$4:$AY$138,LS_current!U$148, FALSE))/2)</f>
        <v>-1701</v>
      </c>
      <c r="CR76" s="227">
        <f t="array" ref="CR76">IF($BU76=0, INDEX(LS_current!$D$4:$AY$138, MATCH('Staging Table'!$A76, LS_current!$B$4:$B$138, 0), MATCH(CR$4&amp;CR$5, LS_current!$D$2:$AY$2&amp;LS_current!$D$3:$AY$3, 0)),SUM(VLOOKUP($A76, LS_current!$B$4:$AY$138, LS_current!V$148, FALSE), VLOOKUP($A76, LS_current!$B$4:$AY$138,LS_current!V$148, FALSE))/2)</f>
        <v>-1541</v>
      </c>
      <c r="CS76" s="227">
        <f t="array" ref="CS76">IF($BU76=0, INDEX(LS_current!$D$4:$AY$138, MATCH('Staging Table'!$A76, LS_current!$B$4:$B$138, 0), MATCH(CS$4&amp;CS$5, LS_current!$D$2:$AY$2&amp;LS_current!$D$3:$AY$3, 0)),SUM(VLOOKUP($A76, LS_current!$B$4:$AY$138, LS_current!W$148, FALSE), VLOOKUP($A76, LS_current!$B$4:$AY$138,LS_current!W$148, FALSE))/2)</f>
        <v>-352</v>
      </c>
      <c r="CT76" s="227">
        <f t="array" ref="CT76">IF($BU76=0, INDEX(LS_current!$D$4:$AY$138, MATCH('Staging Table'!$A76, LS_current!$B$4:$B$138, 0), MATCH(CT$4&amp;CT$5, LS_current!$D$2:$AY$2&amp;LS_current!$D$3:$AY$3, 0)),SUM(VLOOKUP($A76, LS_current!$B$4:$AY$138, LS_current!X$148, FALSE), VLOOKUP($A76, LS_current!$B$4:$AY$138,LS_current!X$148, FALSE))/2)</f>
        <v>-965</v>
      </c>
      <c r="CU76" s="227">
        <f t="array" ref="CU76">IF($BU76=0, INDEX(LS_current!$D$4:$AY$138, MATCH('Staging Table'!$A76, LS_current!$B$4:$B$138, 0), MATCH(CU$4&amp;CU$5, LS_current!$D$2:$AY$2&amp;LS_current!$D$3:$AY$3, 0)),SUM(VLOOKUP($A76, LS_current!$B$4:$AY$138, LS_current!Y$148, FALSE), VLOOKUP($A76, LS_current!$B$4:$AY$138,LS_current!Y$148, FALSE))/2)</f>
        <v>-420</v>
      </c>
      <c r="CV76" s="227">
        <f t="array" ref="CV76">IF($BU76=0, INDEX(LS_current!$D$4:$AY$138, MATCH('Staging Table'!$A76, LS_current!$B$4:$B$138, 0), MATCH(CV$4&amp;CV$5, LS_current!$D$2:$AY$2&amp;LS_current!$D$3:$AY$3, 0)),SUM(VLOOKUP($A76, LS_current!$B$4:$AY$138, LS_current!Z$148, FALSE), VLOOKUP($A76, LS_current!$B$4:$AY$138,LS_current!Z$148, FALSE))/2)</f>
        <v>-1014</v>
      </c>
      <c r="CW76" s="227">
        <f t="array" ref="CW76">IF($BU76=0, INDEX(LS_current!$D$4:$AY$138, MATCH('Staging Table'!$A76, LS_current!$B$4:$B$138, 0), MATCH(CW$4&amp;CW$5, LS_current!$D$2:$AY$2&amp;LS_current!$D$3:$AY$3, 0)),SUM(VLOOKUP($A76, LS_current!$B$4:$AY$138, LS_current!AA$148, FALSE), VLOOKUP($A76, LS_current!$B$4:$AY$138,LS_current!AA$148, FALSE))/2)</f>
        <v>-625</v>
      </c>
      <c r="CX76" s="229">
        <f t="array" ref="CX76">INDEX(Demand_current!$D$4:$AY$138, MATCH($A76, Demand_current!$B$4:$B$138, 0), MATCH(CX$4&amp;CX$5,Demand_current!$D$2:$AY$2&amp;Demand_current!$D$3:$AY$3, 0))/1000</f>
        <v>2.8210000000000002</v>
      </c>
      <c r="CY76" s="229">
        <f t="array" ref="CY76">INDEX(Demand_current!$D$4:$AY$138, MATCH($A76, Demand_current!$B$4:$B$138, 0), MATCH(CY$4&amp;CY$5,Demand_current!$D$2:$AY$2&amp;Demand_current!$D$3:$AY$3, 0))/1000</f>
        <v>2.827</v>
      </c>
      <c r="CZ76" s="229">
        <f t="array" ref="CZ76">INDEX(Demand_current!$D$4:$AY$138, MATCH($A76, Demand_current!$B$4:$B$138, 0), MATCH(CZ$4&amp;CZ$5,Demand_current!$D$2:$AY$2&amp;Demand_current!$D$3:$AY$3, 0))/1000</f>
        <v>2.8119999999999998</v>
      </c>
      <c r="DA76" s="229">
        <f t="array" ref="DA76">INDEX(Demand_current!$D$4:$AY$138, MATCH($A76, Demand_current!$B$4:$B$138, 0), MATCH(DA$4&amp;DA$5,Demand_current!$D$2:$AY$2&amp;Demand_current!$D$3:$AY$3, 0))/1000</f>
        <v>5.383</v>
      </c>
      <c r="DB76" s="229">
        <f t="array" ref="DB76">INDEX(Demand_current!$D$4:$AY$138, MATCH($A76, Demand_current!$B$4:$B$138, 0), MATCH(DB$4&amp;DB$5,Demand_current!$D$2:$AY$2&amp;Demand_current!$D$3:$AY$3, 0))/1000</f>
        <v>5.3079999999999998</v>
      </c>
      <c r="DC76" s="229">
        <f t="array" ref="DC76">INDEX(Demand_current!$D$4:$AY$138, MATCH($A76, Demand_current!$B$4:$B$138, 0), MATCH(DC$4&amp;DC$5,Demand_current!$D$2:$AY$2&amp;Demand_current!$D$3:$AY$3, 0))/1000</f>
        <v>3.327</v>
      </c>
      <c r="DD76" s="229">
        <f t="array" ref="DD76">INDEX(Demand_current!$D$4:$AY$138, MATCH($A76, Demand_current!$B$4:$B$138, 0), MATCH(DD$4&amp;DD$5,Demand_current!$D$2:$AY$2&amp;Demand_current!$D$3:$AY$3, 0))/1000</f>
        <v>1.663</v>
      </c>
      <c r="DE76" s="229">
        <f t="array" ref="DE76">INDEX(Demand_current!$D$4:$AY$138, MATCH($A76, Demand_current!$B$4:$B$138, 0), MATCH(DE$4&amp;DE$5,Demand_current!$D$2:$AY$2&amp;Demand_current!$D$3:$AY$3, 0))/1000</f>
        <v>2.1070000000000002</v>
      </c>
      <c r="DF76" s="229">
        <f t="array" ref="DF76">INDEX(Demand_current!$D$4:$AY$138, MATCH($A76, Demand_current!$B$4:$B$138, 0), MATCH(DF$4&amp;DF$5,Demand_current!$D$2:$AY$2&amp;Demand_current!$D$3:$AY$3, 0))/1000</f>
        <v>2.3159999999999998</v>
      </c>
      <c r="DG76" s="229">
        <f t="array" ref="DG76">INDEX(Demand_current!$D$4:$AY$138, MATCH($A76, Demand_current!$B$4:$B$138, 0), MATCH(DG$4&amp;DG$5,Demand_current!$D$2:$AY$2&amp;Demand_current!$D$3:$AY$3, 0))/1000</f>
        <v>3.3929999999999998</v>
      </c>
      <c r="DH76" s="229">
        <f t="array" ref="DH76">INDEX(Demand_current!$D$4:$AY$138, MATCH($A76, Demand_current!$B$4:$B$138, 0), MATCH(DH$4&amp;DH$5,Demand_current!$D$2:$AY$2&amp;Demand_current!$D$3:$AY$3, 0))/1000</f>
        <v>2.379</v>
      </c>
      <c r="DI76" s="229">
        <f t="array" ref="DI76">INDEX(Demand_current!$D$4:$AY$138, MATCH($A76, Demand_current!$B$4:$B$138, 0), MATCH(DI$4&amp;DI$5,Demand_current!$D$2:$AY$2&amp;Demand_current!$D$3:$AY$3, 0))/1000</f>
        <v>2.3149999999999999</v>
      </c>
      <c r="DJ76" s="227">
        <f>$BT76*(VLOOKUP(DJ$4, Rates_current!$G$6:$Q$29, 10, FALSE)+VLOOKUP(DJ$4, Rates_current!$G$6:$Q$29, 11, FALSE))</f>
        <v>6343.7320955843988</v>
      </c>
      <c r="DK76" s="227">
        <f>$BT76*(VLOOKUP(DK$4, Rates_current!$G$6:$Q$29, 10, FALSE)+VLOOKUP(DK$4, Rates_current!$G$6:$Q$29, 11, FALSE))</f>
        <v>8058.5187270621</v>
      </c>
      <c r="DL76" s="227">
        <f>$BT76*(VLOOKUP(DL$4, Rates_current!$G$6:$Q$29, 10, FALSE)+VLOOKUP(DL$4, Rates_current!$G$6:$Q$29, 11, FALSE))</f>
        <v>7961.2012092844006</v>
      </c>
      <c r="DM76" s="227">
        <f>$BT76*(VLOOKUP(DM$4, Rates_current!$G$6:$Q$29, 10, FALSE)+VLOOKUP(DM$4, Rates_current!$G$6:$Q$29, 11, FALSE))</f>
        <v>6636.1461020844008</v>
      </c>
      <c r="DN76" s="227">
        <f>$BT76*(VLOOKUP(DN$4, Rates_current!$G$6:$Q$29, 10, FALSE)+VLOOKUP(DN$4, Rates_current!$G$6:$Q$29, 11, FALSE))</f>
        <v>6011.6599215199994</v>
      </c>
      <c r="DO76" s="227">
        <f>$BT76*(VLOOKUP(DO$4, Rates_current!$G$6:$Q$29, 10, FALSE)+VLOOKUP(DO$4, Rates_current!$G$6:$Q$29, 11, FALSE))</f>
        <v>6686.8756298442995</v>
      </c>
      <c r="DP76" s="227">
        <f>$BT76*(VLOOKUP(DP$4, Rates_current!$G$6:$Q$29, 10, FALSE)+VLOOKUP(DP$4, Rates_current!$G$6:$Q$29, 11, FALSE))</f>
        <v>5444.4613536719999</v>
      </c>
      <c r="DQ76" s="227">
        <f>$BT76*(VLOOKUP(DQ$4, Rates_current!$G$6:$Q$29, 10, FALSE)+VLOOKUP(DQ$4, Rates_current!$G$6:$Q$29, 11, FALSE))</f>
        <v>7342.6679945344003</v>
      </c>
      <c r="DR76" s="227">
        <f>$BT76*(VLOOKUP(DR$4, Rates_current!$G$6:$Q$29, 10, FALSE)+VLOOKUP(DR$4, Rates_current!$G$6:$Q$29, 11, FALSE))</f>
        <v>9368.7449757220002</v>
      </c>
      <c r="DS76" s="227">
        <f>$BT76*(VLOOKUP(DS$4, Rates_current!$G$6:$Q$29, 10, FALSE)+VLOOKUP(DS$4, Rates_current!$G$6:$Q$29, 11, FALSE))</f>
        <v>7345.3931251844006</v>
      </c>
      <c r="DT76" s="227">
        <f>$BT76*(VLOOKUP(DT$4, Rates_current!$G$6:$Q$29, 10, FALSE)+VLOOKUP(DT$4, Rates_current!$G$6:$Q$29, 11, FALSE))</f>
        <v>7152.9502652343999</v>
      </c>
      <c r="DU76" s="227">
        <f>$BT76*(VLOOKUP(DU$4, Rates_current!$G$6:$Q$29, 10, FALSE)+VLOOKUP(DU$4, Rates_current!$G$6:$Q$29, 11, FALSE))</f>
        <v>6421.8277095720005</v>
      </c>
      <c r="DV76" s="229">
        <f>IF(D76=0,IF(C76=0,MAX(0,DY76 - (VLOOKUP($A76,TOCA_current!$A$2:$AI$137,MATCH("RHWM 2020",TOCA_current!$A$2:$AI$2,0),FALSE)*$BT$2)), 0),0)</f>
        <v>0</v>
      </c>
      <c r="DW76" s="266">
        <f>VLOOKUP($A76,REP_current!$A$1:$D$135,MATCH("FY "&amp;$BT$1&amp; " Total Refund",REP_current!$A$1:$D$1,0),0)</f>
        <v>0</v>
      </c>
      <c r="DX76" s="295">
        <f>MIN(VLOOKUP($A76,TOCA_current!$A$2:$AI$137,MATCH("TRL - NLSL - Existing Resource "&amp;$BT$1,TOCA_current!$A$2:$AI$2,0),FALSE)*$BT$2, VLOOKUP($A76,TOCA_current!$A$2:$AI$137,MATCH("RHWM 2020",TOCA_current!$A$2:$AI$2,0),FALSE)*$BT$2)</f>
        <v>84774.384000000005</v>
      </c>
      <c r="DY76" s="240">
        <f>SUM(BZ76:CW76)+(BT76*RT1SC!$C$4*$BT$2)</f>
        <v>81729.182291251185</v>
      </c>
      <c r="DZ76" s="271">
        <f>VLOOKUP($A76,TOCA_current!$A$2:$AI$137,MATCH("Above RHWM Not Served with LS "&amp;$BT$1,TOCA_current!$A$2:$AI$2,0),FALSE)*$BT$2</f>
        <v>21257.279999999999</v>
      </c>
      <c r="EA76" s="244">
        <f t="shared" si="29"/>
        <v>-3045.2017087488202</v>
      </c>
      <c r="EB76" s="295">
        <f>(VLOOKUP($A76,TOCA_current!$A$2:$AI$137,MATCH("RHWM 2020",TOCA_current!$A$2:$AI$2,0),FALSE)*$BT$2) - $DX76</f>
        <v>0</v>
      </c>
      <c r="EC76" s="240">
        <f t="shared" si="30"/>
        <v>0</v>
      </c>
      <c r="ED76" s="240">
        <f t="shared" si="31"/>
        <v>0</v>
      </c>
      <c r="EE76" s="240">
        <f t="shared" si="32"/>
        <v>0</v>
      </c>
      <c r="EF76" s="240">
        <f t="shared" si="33"/>
        <v>0</v>
      </c>
    </row>
    <row r="77" spans="1:136">
      <c r="A77" s="166">
        <v>10231</v>
      </c>
      <c r="B77" s="167" t="s">
        <v>78</v>
      </c>
      <c r="C77" s="240">
        <v>0</v>
      </c>
      <c r="D77" s="240">
        <v>0</v>
      </c>
      <c r="E77" s="150">
        <f>VLOOKUP($A77,TOCA_previous!$A$2:$AI$137,MATCH(E$4,TOCA_previous!$A$2:$AI$2,0),FALSE)</f>
        <v>5.1939000000000004E-3</v>
      </c>
      <c r="F77" s="151">
        <f>VLOOKUP($A77,TOCA_previous!$A$2:$AI$137,MATCH(F$4,TOCA_previous!$A$2:$AI$2,0),FALSE)</f>
        <v>5.1939000000000004E-3</v>
      </c>
      <c r="G77" s="151">
        <f t="shared" si="18"/>
        <v>0</v>
      </c>
      <c r="H77" s="151">
        <f>VLOOKUP($A77,TOCA_previous!$A$2:$AI$137,MATCH(H$4,TOCA_previous!$A$2:$AI$2,0),FALSE)</f>
        <v>8.4610900000000003E-2</v>
      </c>
      <c r="I77" s="151">
        <f t="shared" si="19"/>
        <v>0</v>
      </c>
      <c r="J77" s="151">
        <f t="shared" si="20"/>
        <v>0</v>
      </c>
      <c r="K77" s="226">
        <f>VLOOKUP(A77, IRD!$A$5:$C$139, 3, FALSE)</f>
        <v>21632.728999999999</v>
      </c>
      <c r="L77" s="227">
        <f t="array" ref="L77">IF($G77=0, INDEX(LS_previous!$D$4:$AY$138, MATCH('Staging Table'!$A77, LS_previous!$B$4:$B$138, 0), MATCH(L$4&amp;L$5, LS_previous!$D$2:$AY$2&amp;LS_previous!$D$3:$AY$3, 0)),SUM(VLOOKUP($A77, LS_previous!$B$4:$AY$138, LS_previous!D$149, FALSE), VLOOKUP('Staging Table'!$A77, LS_previous!$B$4:$AY$138,LS_previous!AB$149, FALSE))/2)</f>
        <v>522</v>
      </c>
      <c r="M77" s="227">
        <f t="array" ref="M77">IF($G77=0, INDEX(LS_previous!$D$4:$AY$138, MATCH('Staging Table'!$A77, LS_previous!$B$4:$B$138, 0), MATCH(M$4&amp;M$5, LS_previous!$D$2:$AY$2&amp;LS_previous!$D$3:$AY$3, 0)),SUM(VLOOKUP($A77, LS_previous!$B$4:$AY$138, LS_previous!E$149, FALSE), VLOOKUP('Staging Table'!$A77, LS_previous!$B$4:$AY$138,LS_previous!AC$149, FALSE))/2)</f>
        <v>389</v>
      </c>
      <c r="N77" s="227">
        <f t="array" ref="N77">IF($G77=0, INDEX(LS_previous!$D$4:$AY$138, MATCH('Staging Table'!$A77, LS_previous!$B$4:$B$138, 0), MATCH(N$4&amp;N$5, LS_previous!$D$2:$AY$2&amp;LS_previous!$D$3:$AY$3, 0)),SUM(VLOOKUP($A77, LS_previous!$B$4:$AY$138, LS_previous!F$149, FALSE), VLOOKUP('Staging Table'!$A77, LS_previous!$B$4:$AY$138,LS_previous!AD$149, FALSE))/2)</f>
        <v>-2118</v>
      </c>
      <c r="O77" s="227">
        <f t="array" ref="O77">IF($G77=0, INDEX(LS_previous!$D$4:$AY$138, MATCH('Staging Table'!$A77, LS_previous!$B$4:$B$138, 0), MATCH(O$4&amp;O$5, LS_previous!$D$2:$AY$2&amp;LS_previous!$D$3:$AY$3, 0)),SUM(VLOOKUP($A77, LS_previous!$B$4:$AY$138, LS_previous!G$149, FALSE), VLOOKUP('Staging Table'!$A77, LS_previous!$B$4:$AY$138,LS_previous!AE$149, FALSE))/2)</f>
        <v>-208</v>
      </c>
      <c r="P77" s="227">
        <f t="array" ref="P77">IF($G77=0, INDEX(LS_previous!$D$4:$AY$138, MATCH('Staging Table'!$A77, LS_previous!$B$4:$B$138, 0), MATCH(P$4&amp;P$5, LS_previous!$D$2:$AY$2&amp;LS_previous!$D$3:$AY$3, 0)),SUM(VLOOKUP($A77, LS_previous!$B$4:$AY$138, LS_previous!H$149, FALSE), VLOOKUP('Staging Table'!$A77, LS_previous!$B$4:$AY$138,LS_previous!AF$149, FALSE))/2)</f>
        <v>1503</v>
      </c>
      <c r="Q77" s="227">
        <f t="array" ref="Q77">IF($G77=0, INDEX(LS_previous!$D$4:$AY$138, MATCH('Staging Table'!$A77, LS_previous!$B$4:$B$138, 0), MATCH(Q$4&amp;Q$5, LS_previous!$D$2:$AY$2&amp;LS_previous!$D$3:$AY$3, 0)),SUM(VLOOKUP($A77, LS_previous!$B$4:$AY$138, LS_previous!I$149, FALSE), VLOOKUP('Staging Table'!$A77, LS_previous!$B$4:$AY$138,LS_previous!AG$149, FALSE))/2)</f>
        <v>3131</v>
      </c>
      <c r="R77" s="227">
        <f t="array" ref="R77">IF($G77=0, INDEX(LS_previous!$D$4:$AY$138, MATCH('Staging Table'!$A77, LS_previous!$B$4:$B$138, 0), MATCH(R$4&amp;R$5, LS_previous!$D$2:$AY$2&amp;LS_previous!$D$3:$AY$3, 0)),SUM(VLOOKUP($A77, LS_previous!$B$4:$AY$138, LS_previous!J$149, FALSE), VLOOKUP('Staging Table'!$A77, LS_previous!$B$4:$AY$138,LS_previous!AH$149, FALSE))/2)</f>
        <v>3318</v>
      </c>
      <c r="S77" s="227">
        <f t="array" ref="S77">IF($G77=0, INDEX(LS_previous!$D$4:$AY$138, MATCH('Staging Table'!$A77, LS_previous!$B$4:$B$138, 0), MATCH(S$4&amp;S$5, LS_previous!$D$2:$AY$2&amp;LS_previous!$D$3:$AY$3, 0)),SUM(VLOOKUP($A77, LS_previous!$B$4:$AY$138, LS_previous!K$149, FALSE), VLOOKUP('Staging Table'!$A77, LS_previous!$B$4:$AY$138,LS_previous!AI$149, FALSE))/2)</f>
        <v>2891</v>
      </c>
      <c r="T77" s="227">
        <f t="array" ref="T77">IF($G77=0, INDEX(LS_previous!$D$4:$AY$138, MATCH('Staging Table'!$A77, LS_previous!$B$4:$B$138, 0), MATCH(T$4&amp;T$5, LS_previous!$D$2:$AY$2&amp;LS_previous!$D$3:$AY$3, 0)),SUM(VLOOKUP($A77, LS_previous!$B$4:$AY$138, LS_previous!L$149, FALSE), VLOOKUP('Staging Table'!$A77, LS_previous!$B$4:$AY$138,LS_previous!AJ$149, FALSE))/2)</f>
        <v>3491</v>
      </c>
      <c r="U77" s="227">
        <f t="array" ref="U77">IF($G77=0, INDEX(LS_previous!$D$4:$AY$138, MATCH('Staging Table'!$A77, LS_previous!$B$4:$B$138, 0), MATCH(U$4&amp;U$5, LS_previous!$D$2:$AY$2&amp;LS_previous!$D$3:$AY$3, 0)),SUM(VLOOKUP($A77, LS_previous!$B$4:$AY$138, LS_previous!M$149, FALSE), VLOOKUP('Staging Table'!$A77, LS_previous!$B$4:$AY$138,LS_previous!AK$149, FALSE))/2)</f>
        <v>2466</v>
      </c>
      <c r="V77" s="227">
        <f t="array" ref="V77">IF($G77=0, INDEX(LS_previous!$D$4:$AY$138, MATCH('Staging Table'!$A77, LS_previous!$B$4:$B$138, 0), MATCH(V$4&amp;V$5, LS_previous!$D$2:$AY$2&amp;LS_previous!$D$3:$AY$3, 0)),SUM(VLOOKUP($A77, LS_previous!$B$4:$AY$138, LS_previous!N$149, FALSE), VLOOKUP('Staging Table'!$A77, LS_previous!$B$4:$AY$138,LS_previous!AL$149, FALSE))/2)</f>
        <v>-2011</v>
      </c>
      <c r="W77" s="227">
        <f t="array" ref="W77">IF($G77=0, INDEX(LS_previous!$D$4:$AY$138, MATCH('Staging Table'!$A77, LS_previous!$B$4:$B$138, 0), MATCH(W$4&amp;W$5, LS_previous!$D$2:$AY$2&amp;LS_previous!$D$3:$AY$3, 0)),SUM(VLOOKUP($A77, LS_previous!$B$4:$AY$138, LS_previous!O$149, FALSE), VLOOKUP('Staging Table'!$A77, LS_previous!$B$4:$AY$138,LS_previous!AM$149, FALSE))/2)</f>
        <v>-272</v>
      </c>
      <c r="X77" s="227">
        <f t="array" ref="X77">IF($G77=0, INDEX(LS_previous!$D$4:$AY$138, MATCH('Staging Table'!$A77, LS_previous!$B$4:$B$138, 0), MATCH(X$4&amp;X$5, LS_previous!$D$2:$AY$2&amp;LS_previous!$D$3:$AY$3, 0)),SUM(VLOOKUP($A77, LS_previous!$B$4:$AY$138, LS_previous!P$149, FALSE), VLOOKUP('Staging Table'!$A77, LS_previous!$B$4:$AY$138,LS_previous!AN$149, FALSE))/2)</f>
        <v>-986</v>
      </c>
      <c r="Y77" s="227">
        <f t="array" ref="Y77">IF($G77=0, INDEX(LS_previous!$D$4:$AY$138, MATCH('Staging Table'!$A77, LS_previous!$B$4:$B$138, 0), MATCH(Y$4&amp;Y$5, LS_previous!$D$2:$AY$2&amp;LS_previous!$D$3:$AY$3, 0)),SUM(VLOOKUP($A77, LS_previous!$B$4:$AY$138, LS_previous!Q$149, FALSE), VLOOKUP('Staging Table'!$A77, LS_previous!$B$4:$AY$138,LS_previous!AO$149, FALSE))/2)</f>
        <v>-446</v>
      </c>
      <c r="Z77" s="227">
        <f t="array" ref="Z77">IF($G77=0, INDEX(LS_previous!$D$4:$AY$138, MATCH('Staging Table'!$A77, LS_previous!$B$4:$B$138, 0), MATCH(Z$4&amp;Z$5, LS_previous!$D$2:$AY$2&amp;LS_previous!$D$3:$AY$3, 0)),SUM(VLOOKUP($A77, LS_previous!$B$4:$AY$138, LS_previous!R$149, FALSE), VLOOKUP('Staging Table'!$A77, LS_previous!$B$4:$AY$138,LS_previous!AP$149, FALSE))/2)</f>
        <v>-8828</v>
      </c>
      <c r="AA77" s="227">
        <f t="array" ref="AA77">IF($G77=0, INDEX(LS_previous!$D$4:$AY$138, MATCH('Staging Table'!$A77, LS_previous!$B$4:$B$138, 0), MATCH(AA$4&amp;AA$5, LS_previous!$D$2:$AY$2&amp;LS_previous!$D$3:$AY$3, 0)),SUM(VLOOKUP($A77, LS_previous!$B$4:$AY$138, LS_previous!S$149, FALSE), VLOOKUP('Staging Table'!$A77, LS_previous!$B$4:$AY$138,LS_previous!AQ$149, FALSE))/2)</f>
        <v>-3754</v>
      </c>
      <c r="AB77" s="227">
        <f t="array" ref="AB77">IF($G77=0, INDEX(LS_previous!$D$4:$AY$138, MATCH('Staging Table'!$A77, LS_previous!$B$4:$B$138, 0), MATCH(AB$4&amp;AB$5, LS_previous!$D$2:$AY$2&amp;LS_previous!$D$3:$AY$3, 0)),SUM(VLOOKUP($A77, LS_previous!$B$4:$AY$138, LS_previous!T$149, FALSE), VLOOKUP('Staging Table'!$A77, LS_previous!$B$4:$AY$138,LS_previous!AR$149, FALSE))/2)</f>
        <v>-3918</v>
      </c>
      <c r="AC77" s="227">
        <f t="array" ref="AC77">IF($G77=0, INDEX(LS_previous!$D$4:$AY$138, MATCH('Staging Table'!$A77, LS_previous!$B$4:$B$138, 0), MATCH(AC$4&amp;AC$5, LS_previous!$D$2:$AY$2&amp;LS_previous!$D$3:$AY$3, 0)),SUM(VLOOKUP($A77, LS_previous!$B$4:$AY$138, LS_previous!U$149, FALSE), VLOOKUP('Staging Table'!$A77, LS_previous!$B$4:$AY$138,LS_previous!AS$149, FALSE))/2)</f>
        <v>-1943</v>
      </c>
      <c r="AD77" s="227">
        <f t="array" ref="AD77">IF($G77=0, INDEX(LS_previous!$D$4:$AY$138, MATCH('Staging Table'!$A77, LS_previous!$B$4:$B$138, 0), MATCH(AD$4&amp;AD$5, LS_previous!$D$2:$AY$2&amp;LS_previous!$D$3:$AY$3, 0)),SUM(VLOOKUP($A77, LS_previous!$B$4:$AY$138, LS_previous!V$149, FALSE), VLOOKUP('Staging Table'!$A77, LS_previous!$B$4:$AY$138,LS_previous!AT$149, FALSE))/2)</f>
        <v>3717</v>
      </c>
      <c r="AE77" s="227">
        <f t="array" ref="AE77">IF($G77=0, INDEX(LS_previous!$D$4:$AY$138, MATCH('Staging Table'!$A77, LS_previous!$B$4:$B$138, 0), MATCH(AE$4&amp;AE$5, LS_previous!$D$2:$AY$2&amp;LS_previous!$D$3:$AY$3, 0)),SUM(VLOOKUP($A77, LS_previous!$B$4:$AY$138, LS_previous!W$149, FALSE), VLOOKUP('Staging Table'!$A77, LS_previous!$B$4:$AY$138,LS_previous!AU$149, FALSE))/2)</f>
        <v>2762</v>
      </c>
      <c r="AF77" s="227">
        <f t="array" ref="AF77">IF($G77=0, INDEX(LS_previous!$D$4:$AY$138, MATCH('Staging Table'!$A77, LS_previous!$B$4:$B$138, 0), MATCH(AF$4&amp;AF$5, LS_previous!$D$2:$AY$2&amp;LS_previous!$D$3:$AY$3, 0)),SUM(VLOOKUP($A77, LS_previous!$B$4:$AY$138, LS_previous!X$149, FALSE), VLOOKUP('Staging Table'!$A77, LS_previous!$B$4:$AY$138,LS_previous!AV$149, FALSE))/2)</f>
        <v>1804</v>
      </c>
      <c r="AG77" s="227">
        <f t="array" ref="AG77">IF($G77=0, INDEX(LS_previous!$D$4:$AY$138, MATCH('Staging Table'!$A77, LS_previous!$B$4:$B$138, 0), MATCH(AG$4&amp;AG$5, LS_previous!$D$2:$AY$2&amp;LS_previous!$D$3:$AY$3, 0)),SUM(VLOOKUP($A77, LS_previous!$B$4:$AY$138, LS_previous!Y$149, FALSE), VLOOKUP('Staging Table'!$A77, LS_previous!$B$4:$AY$138,LS_previous!AW$149, FALSE))/2)</f>
        <v>3054</v>
      </c>
      <c r="AH77" s="227">
        <f t="array" ref="AH77">IF($G77=0, INDEX(LS_previous!$D$4:$AY$138, MATCH('Staging Table'!$A77, LS_previous!$B$4:$B$138, 0), MATCH(AH$4&amp;AH$5, LS_previous!$D$2:$AY$2&amp;LS_previous!$D$3:$AY$3, 0)),SUM(VLOOKUP($A77, LS_previous!$B$4:$AY$138, LS_previous!Z$149, FALSE), VLOOKUP('Staging Table'!$A77, LS_previous!$B$4:$AY$138,LS_previous!AX$149, FALSE))/2)</f>
        <v>996</v>
      </c>
      <c r="AI77" s="227">
        <f t="array" ref="AI77">IF($G77=0, INDEX(LS_previous!$D$4:$AY$138, MATCH('Staging Table'!$A77, LS_previous!$B$4:$B$138, 0), MATCH(AI$4&amp;AI$5, LS_previous!$D$2:$AY$2&amp;LS_previous!$D$3:$AY$3, 0)),SUM(VLOOKUP($A77, LS_previous!$B$4:$AY$138, LS_previous!AA$149, FALSE), VLOOKUP('Staging Table'!$A77, LS_previous!$B$4:$AY$138,LS_previous!AY$149, FALSE))/2)</f>
        <v>1103</v>
      </c>
      <c r="AJ77" s="424">
        <f t="array" ref="AJ77">INDEX(Demand_previous!$D$4:$AY$138, MATCH('Staging Table'!$A77, Demand_previous!$B$4:$B$138, 0), MATCH(AJ$4&amp;AJ$5,Demand_previous!$D$2:$AY$2&amp;Demand_previous!$D$3:$AY$3, 0))/1000</f>
        <v>1.391</v>
      </c>
      <c r="AK77" s="424">
        <f t="array" ref="AK77">INDEX(Demand_previous!$D$4:$AY$138, MATCH('Staging Table'!$A77, Demand_previous!$B$4:$B$138, 0), MATCH(AK$4&amp;AK$5,Demand_previous!$D$2:$AY$2&amp;Demand_previous!$D$3:$AY$3, 0))/1000</f>
        <v>3.4249999999999998</v>
      </c>
      <c r="AL77" s="424">
        <f t="array" ref="AL77">INDEX(Demand_previous!$D$4:$AY$138, MATCH('Staging Table'!$A77, Demand_previous!$B$4:$B$138, 0), MATCH(AL$4&amp;AL$5,Demand_previous!$D$2:$AY$2&amp;Demand_previous!$D$3:$AY$3, 0))/1000</f>
        <v>11.648999999999999</v>
      </c>
      <c r="AM77" s="424">
        <f t="array" ref="AM77">INDEX(Demand_previous!$D$4:$AY$138, MATCH('Staging Table'!$A77, Demand_previous!$B$4:$B$138, 0), MATCH(AM$4&amp;AM$5,Demand_previous!$D$2:$AY$2&amp;Demand_previous!$D$3:$AY$3, 0))/1000</f>
        <v>7.12</v>
      </c>
      <c r="AN77" s="424">
        <f t="array" ref="AN77">INDEX(Demand_previous!$D$4:$AY$138, MATCH('Staging Table'!$A77, Demand_previous!$B$4:$B$138, 0), MATCH(AN$4&amp;AN$5,Demand_previous!$D$2:$AY$2&amp;Demand_previous!$D$3:$AY$3, 0))/1000</f>
        <v>0</v>
      </c>
      <c r="AO77" s="424">
        <f t="array" ref="AO77">INDEX(Demand_previous!$D$4:$AY$138, MATCH('Staging Table'!$A77, Demand_previous!$B$4:$B$138, 0), MATCH(AO$4&amp;AO$5,Demand_previous!$D$2:$AY$2&amp;Demand_previous!$D$3:$AY$3, 0))/1000</f>
        <v>8.3309999999999995</v>
      </c>
      <c r="AP77" s="424">
        <f t="array" ref="AP77">INDEX(Demand_previous!$D$4:$AY$138, MATCH('Staging Table'!$A77, Demand_previous!$B$4:$B$138, 0), MATCH(AP$4&amp;AP$5,Demand_previous!$D$2:$AY$2&amp;Demand_previous!$D$3:$AY$3, 0))/1000</f>
        <v>0.72199999999999998</v>
      </c>
      <c r="AQ77" s="424">
        <f t="array" ref="AQ77">INDEX(Demand_previous!$D$4:$AY$138, MATCH('Staging Table'!$A77, Demand_previous!$B$4:$B$138, 0), MATCH(AQ$4&amp;AQ$5,Demand_previous!$D$2:$AY$2&amp;Demand_previous!$D$3:$AY$3, 0))/1000</f>
        <v>12.028</v>
      </c>
      <c r="AR77" s="424">
        <f t="array" ref="AR77">INDEX(Demand_previous!$D$4:$AY$138, MATCH('Staging Table'!$A77, Demand_previous!$B$4:$B$138, 0), MATCH(AR$4&amp;AR$5,Demand_previous!$D$2:$AY$2&amp;Demand_previous!$D$3:$AY$3, 0))/1000</f>
        <v>5.7709999999999999</v>
      </c>
      <c r="AS77" s="424">
        <f t="array" ref="AS77">INDEX(Demand_previous!$D$4:$AY$138, MATCH('Staging Table'!$A77, Demand_previous!$B$4:$B$138, 0), MATCH(AS$4&amp;AS$5,Demand_previous!$D$2:$AY$2&amp;Demand_previous!$D$3:$AY$3, 0))/1000</f>
        <v>1.224</v>
      </c>
      <c r="AT77" s="424">
        <f t="array" ref="AT77">INDEX(Demand_previous!$D$4:$AY$138, MATCH('Staging Table'!$A77, Demand_previous!$B$4:$B$138, 0), MATCH(AT$4&amp;AT$5,Demand_previous!$D$2:$AY$2&amp;Demand_previous!$D$3:$AY$3, 0))/1000</f>
        <v>10.147</v>
      </c>
      <c r="AU77" s="424">
        <f t="array" ref="AU77">INDEX(Demand_previous!$D$4:$AY$138, MATCH('Staging Table'!$A77, Demand_previous!$B$4:$B$138, 0), MATCH(AU$4&amp;AU$5,Demand_previous!$D$2:$AY$2&amp;Demand_previous!$D$3:$AY$3, 0))/1000</f>
        <v>5.359</v>
      </c>
      <c r="AV77" s="227">
        <f>$F77*(VLOOKUP(AV$4, Rates_previous!$G$6:$Q$29, 10, FALSE)+VLOOKUP(AV$4, Rates_previous!$G$6:$Q$29, 11, FALSE))</f>
        <v>24353.354454074826</v>
      </c>
      <c r="AW77" s="227">
        <f>$F77*(VLOOKUP(AW$4, Rates_previous!$G$6:$Q$29, 10, FALSE)+VLOOKUP(AW$4, Rates_previous!$G$6:$Q$29, 11, FALSE))</f>
        <v>30098.895152206074</v>
      </c>
      <c r="AX77" s="227">
        <f>$F77*(VLOOKUP(AX$4, Rates_previous!$G$6:$Q$29, 10, FALSE)+VLOOKUP(AX$4, Rates_previous!$G$6:$Q$29, 11, FALSE))</f>
        <v>29737.443421445561</v>
      </c>
      <c r="AY77" s="227">
        <f>$F77*(VLOOKUP(AY$4, Rates_previous!$G$6:$Q$29, 10, FALSE)+VLOOKUP(AY$4, Rates_previous!$G$6:$Q$29, 11, FALSE))</f>
        <v>25407.810957139525</v>
      </c>
      <c r="AZ77" s="227">
        <f>$F77*(VLOOKUP(AZ$4, Rates_previous!$G$6:$Q$29, 10, FALSE)+VLOOKUP(AZ$4, Rates_previous!$G$6:$Q$29, 11, FALSE))</f>
        <v>20829.476602597024</v>
      </c>
      <c r="BA77" s="227">
        <f>$F77*(VLOOKUP(BA$4, Rates_previous!$G$6:$Q$29, 10, FALSE)+VLOOKUP(BA$4, Rates_previous!$G$6:$Q$29, 11, FALSE))</f>
        <v>24661.343700668211</v>
      </c>
      <c r="BB77" s="227">
        <f>$F77*(VLOOKUP(BB$4, Rates_previous!$G$6:$Q$29, 10, FALSE)+VLOOKUP(BB$4, Rates_previous!$G$6:$Q$29, 11, FALSE))</f>
        <v>23703.138507635194</v>
      </c>
      <c r="BC77" s="227">
        <f>$F77*(VLOOKUP(BC$4, Rates_previous!$G$6:$Q$29, 10, FALSE)+VLOOKUP(BC$4, Rates_previous!$G$6:$Q$29, 11, FALSE))</f>
        <v>34782.678460749157</v>
      </c>
      <c r="BD77" s="227">
        <f>$F77*(VLOOKUP(BD$4, Rates_previous!$G$6:$Q$29, 10, FALSE)+VLOOKUP(BD$4, Rates_previous!$G$6:$Q$29, 11, FALSE))</f>
        <v>27442.61398813334</v>
      </c>
      <c r="BE77" s="227">
        <f>$F77*(VLOOKUP(BE$4, Rates_previous!$G$6:$Q$29, 10, FALSE)+VLOOKUP(BE$4, Rates_previous!$G$6:$Q$29, 11, FALSE))</f>
        <v>24096.91849193786</v>
      </c>
      <c r="BF77" s="227">
        <f>$F77*(VLOOKUP(BF$4, Rates_previous!$G$6:$Q$29, 10, FALSE)+VLOOKUP(BF$4, Rates_previous!$G$6:$Q$29, 11, FALSE))</f>
        <v>26688.301774354204</v>
      </c>
      <c r="BG77" s="227">
        <f>$F77*(VLOOKUP(BG$4, Rates_previous!$G$6:$Q$29, 10, FALSE)+VLOOKUP(BG$4, Rates_previous!$G$6:$Q$29, 11, FALSE))</f>
        <v>24178.540080320745</v>
      </c>
      <c r="BH77" s="229">
        <f>IF($D77=0,IF(C77=0, MAX(BK77 - (VLOOKUP($A77,TOCA_previous!$A$2:$AI$137,MATCH("RHWM 2018",TOCA_previous!$A$2:$AI$2,0),FALSE)*$F$2*TOCA_previous!C74),0),0), 0)</f>
        <v>6661.5602011440787</v>
      </c>
      <c r="BI77" s="266">
        <f>VLOOKUP($A77,REP_previous!$A$1:$D$135,MATCH("FY "&amp;$F$1&amp; " Total Refund",REP_previous!$A$1:$D$1,0),0)</f>
        <v>425266.0217424545</v>
      </c>
      <c r="BJ77" s="241">
        <f>MIN(VLOOKUP($A77,TOCA_previous!$A$2:$AI$137,MATCH("TRL - NLSL - Existing Resource "&amp;$F$1,TOCA_previous!$A$2:$AI$2,0),FALSE)*$F$2,(VLOOKUP($A77,TOCA_previous!$A$2:$AI$137,MATCH("RHWM 2018",TOCA_previous!$A$2:$AI$2,0),FALSE)*$F$2))</f>
        <v>315981.95999999996</v>
      </c>
      <c r="BK77" s="229">
        <f>SUM(L77:AI77)+(F77*RT1SC!$C$3*$F$2)</f>
        <v>322643.52020114404</v>
      </c>
      <c r="BL77" s="241">
        <f>VLOOKUP($A77,TOCA_previous!$A$2:$AI$137,MATCH("Above RHWM Not Served with LS "&amp;$F$1,TOCA_previous!$A$2:$AI$2,0),FALSE)*$F$2</f>
        <v>65954.039999999994</v>
      </c>
      <c r="BM77" s="151">
        <f t="shared" si="21"/>
        <v>6661.5602011440787</v>
      </c>
      <c r="BN77" s="242">
        <f>(VLOOKUP($A77,TOCA_previous!$A$2:$AI$137,MATCH("RHWM 2018",TOCA_previous!$A$2:$AI$2,0),FALSE)*$F$2) - $BJ77</f>
        <v>0</v>
      </c>
      <c r="BO77" s="151">
        <f t="shared" si="22"/>
        <v>0</v>
      </c>
      <c r="BP77" s="243">
        <f t="shared" si="23"/>
        <v>0</v>
      </c>
      <c r="BQ77" s="237">
        <f t="shared" si="24"/>
        <v>0</v>
      </c>
      <c r="BR77" s="242">
        <f t="shared" si="25"/>
        <v>0</v>
      </c>
      <c r="BS77" s="151">
        <f>VLOOKUP($A77,TOCA_current!$A$2:$AI$137,MATCH(BS$4,TOCA_current!$A$2:$AI$2,0),FALSE)</f>
        <v>5.1910999999999997E-3</v>
      </c>
      <c r="BT77" s="151">
        <f>VLOOKUP($A77,TOCA_current!$A$2:$AI$137,MATCH(BT$4,TOCA_current!$A$2:$AI$2,0),FALSE)</f>
        <v>5.1910999999999997E-3</v>
      </c>
      <c r="BU77" s="236">
        <f t="shared" si="26"/>
        <v>0</v>
      </c>
      <c r="BV77" s="151">
        <f>VLOOKUP($A77,TOCA_current!A73:BG208,MATCH(BV$4,TOCA_current!$A$2:$BG$2,0),FALSE)</f>
        <v>8.4923399999999996E-2</v>
      </c>
      <c r="BW77" s="151">
        <f t="shared" si="27"/>
        <v>0</v>
      </c>
      <c r="BX77" s="151">
        <f t="shared" si="28"/>
        <v>0</v>
      </c>
      <c r="BY77" s="226">
        <f>VLOOKUP($A77,IRD!$A$4:$G$139, 7, FALSE)</f>
        <v>21632.728999999999</v>
      </c>
      <c r="BZ77" s="227">
        <f t="array" ref="BZ77">IF($BU77=0, INDEX(LS_current!$D$4:$AY$138, MATCH('Staging Table'!$A77, LS_current!$B$4:$B$138, 0), MATCH(BZ$4&amp;BZ$5, LS_current!$D$2:$AY$2&amp;LS_current!$D$3:$AY$3, 0)),SUM(VLOOKUP($A77, LS_current!$B$4:$AY$138, LS_current!D$148, FALSE), VLOOKUP($A77, LS_current!$B$4:$AY$138,LS_current!D$148, FALSE))/2)</f>
        <v>515</v>
      </c>
      <c r="CA77" s="227">
        <f t="array" ref="CA77">IF($BU77=0, INDEX(LS_current!$D$4:$AY$138, MATCH('Staging Table'!$A77, LS_current!$B$4:$B$138, 0), MATCH(CA$4&amp;CA$5, LS_current!$D$2:$AY$2&amp;LS_current!$D$3:$AY$3, 0)),SUM(VLOOKUP($A77, LS_current!$B$4:$AY$138, LS_current!E$148, FALSE), VLOOKUP($A77, LS_current!$B$4:$AY$138,LS_current!E$148, FALSE))/2)</f>
        <v>598</v>
      </c>
      <c r="CB77" s="227">
        <f t="array" ref="CB77">IF($BU77=0, INDEX(LS_current!$D$4:$AY$138, MATCH('Staging Table'!$A77, LS_current!$B$4:$B$138, 0), MATCH(CB$4&amp;CB$5, LS_current!$D$2:$AY$2&amp;LS_current!$D$3:$AY$3, 0)),SUM(VLOOKUP($A77, LS_current!$B$4:$AY$138, LS_current!F$148, FALSE), VLOOKUP($A77, LS_current!$B$4:$AY$138,LS_current!F$148, FALSE))/2)</f>
        <v>-2340</v>
      </c>
      <c r="CC77" s="227">
        <f t="array" ref="CC77">IF($BU77=0, INDEX(LS_current!$D$4:$AY$138, MATCH('Staging Table'!$A77, LS_current!$B$4:$B$138, 0), MATCH(CC$4&amp;CC$5, LS_current!$D$2:$AY$2&amp;LS_current!$D$3:$AY$3, 0)),SUM(VLOOKUP($A77, LS_current!$B$4:$AY$138, LS_current!G$148, FALSE), VLOOKUP($A77, LS_current!$B$4:$AY$138,LS_current!G$148, FALSE))/2)</f>
        <v>-512</v>
      </c>
      <c r="CD77" s="227">
        <f t="array" ref="CD77">IF($BU77=0, INDEX(LS_current!$D$4:$AY$138, MATCH('Staging Table'!$A77, LS_current!$B$4:$B$138, 0), MATCH(CD$4&amp;CD$5, LS_current!$D$2:$AY$2&amp;LS_current!$D$3:$AY$3, 0)),SUM(VLOOKUP($A77, LS_current!$B$4:$AY$138, LS_current!H$148, FALSE), VLOOKUP($A77, LS_current!$B$4:$AY$138,LS_current!H$148, FALSE))/2)</f>
        <v>1250</v>
      </c>
      <c r="CE77" s="227">
        <f t="array" ref="CE77">IF($BU77=0, INDEX(LS_current!$D$4:$AY$138, MATCH('Staging Table'!$A77, LS_current!$B$4:$B$138, 0), MATCH(CE$4&amp;CE$5, LS_current!$D$2:$AY$2&amp;LS_current!$D$3:$AY$3, 0)),SUM(VLOOKUP($A77, LS_current!$B$4:$AY$138, LS_current!I$148, FALSE), VLOOKUP($A77, LS_current!$B$4:$AY$138,LS_current!I$148, FALSE))/2)</f>
        <v>2858</v>
      </c>
      <c r="CF77" s="227">
        <f t="array" ref="CF77">IF($BU77=0, INDEX(LS_current!$D$4:$AY$138, MATCH('Staging Table'!$A77, LS_current!$B$4:$B$138, 0), MATCH(CF$4&amp;CF$5, LS_current!$D$2:$AY$2&amp;LS_current!$D$3:$AY$3, 0)),SUM(VLOOKUP($A77, LS_current!$B$4:$AY$138, LS_current!J$148, FALSE), VLOOKUP($A77, LS_current!$B$4:$AY$138,LS_current!J$148, FALSE))/2)</f>
        <v>3155</v>
      </c>
      <c r="CG77" s="227">
        <f t="array" ref="CG77">IF($BU77=0, INDEX(LS_current!$D$4:$AY$138, MATCH('Staging Table'!$A77, LS_current!$B$4:$B$138, 0), MATCH(CG$4&amp;CG$5, LS_current!$D$2:$AY$2&amp;LS_current!$D$3:$AY$3, 0)),SUM(VLOOKUP($A77, LS_current!$B$4:$AY$138, LS_current!K$148, FALSE), VLOOKUP($A77, LS_current!$B$4:$AY$138,LS_current!K$148, FALSE))/2)</f>
        <v>3205</v>
      </c>
      <c r="CH77" s="227">
        <f t="array" ref="CH77">IF($BU77=0, INDEX(LS_current!$D$4:$AY$138, MATCH('Staging Table'!$A77, LS_current!$B$4:$B$138, 0), MATCH(CH$4&amp;CH$5, LS_current!$D$2:$AY$2&amp;LS_current!$D$3:$AY$3, 0)),SUM(VLOOKUP($A77, LS_current!$B$4:$AY$138, LS_current!L$148, FALSE), VLOOKUP($A77, LS_current!$B$4:$AY$138,LS_current!L$148, FALSE))/2)</f>
        <v>2100</v>
      </c>
      <c r="CI77" s="227">
        <f t="array" ref="CI77">IF($BU77=0, INDEX(LS_current!$D$4:$AY$138, MATCH('Staging Table'!$A77, LS_current!$B$4:$B$138, 0), MATCH(CI$4&amp;CI$5, LS_current!$D$2:$AY$2&amp;LS_current!$D$3:$AY$3, 0)),SUM(VLOOKUP($A77, LS_current!$B$4:$AY$138, LS_current!M$148, FALSE), VLOOKUP($A77, LS_current!$B$4:$AY$138,LS_current!M$148, FALSE))/2)</f>
        <v>1622</v>
      </c>
      <c r="CJ77" s="227">
        <f t="array" ref="CJ77">IF($BU77=0, INDEX(LS_current!$D$4:$AY$138, MATCH('Staging Table'!$A77, LS_current!$B$4:$B$138, 0), MATCH(CJ$4&amp;CJ$5, LS_current!$D$2:$AY$2&amp;LS_current!$D$3:$AY$3, 0)),SUM(VLOOKUP($A77, LS_current!$B$4:$AY$138, LS_current!N$148, FALSE), VLOOKUP($A77, LS_current!$B$4:$AY$138,LS_current!N$148, FALSE))/2)</f>
        <v>-2462</v>
      </c>
      <c r="CK77" s="227">
        <f t="array" ref="CK77">IF($BU77=0, INDEX(LS_current!$D$4:$AY$138, MATCH('Staging Table'!$A77, LS_current!$B$4:$B$138, 0), MATCH(CK$4&amp;CK$5, LS_current!$D$2:$AY$2&amp;LS_current!$D$3:$AY$3, 0)),SUM(VLOOKUP($A77, LS_current!$B$4:$AY$138, LS_current!O$148, FALSE), VLOOKUP($A77, LS_current!$B$4:$AY$138,LS_current!O$148, FALSE))/2)</f>
        <v>-608</v>
      </c>
      <c r="CL77" s="227">
        <f t="array" ref="CL77">IF($BU77=0, INDEX(LS_current!$D$4:$AY$138, MATCH('Staging Table'!$A77, LS_current!$B$4:$B$138, 0), MATCH(CL$4&amp;CL$5, LS_current!$D$2:$AY$2&amp;LS_current!$D$3:$AY$3, 0)),SUM(VLOOKUP($A77, LS_current!$B$4:$AY$138, LS_current!P$148, FALSE), VLOOKUP($A77, LS_current!$B$4:$AY$138,LS_current!P$148, FALSE))/2)</f>
        <v>1091</v>
      </c>
      <c r="CM77" s="227">
        <f t="array" ref="CM77">IF($BU77=0, INDEX(LS_current!$D$4:$AY$138, MATCH('Staging Table'!$A77, LS_current!$B$4:$B$138, 0), MATCH(CM$4&amp;CM$5, LS_current!$D$2:$AY$2&amp;LS_current!$D$3:$AY$3, 0)),SUM(VLOOKUP($A77, LS_current!$B$4:$AY$138, LS_current!Q$148, FALSE), VLOOKUP($A77, LS_current!$B$4:$AY$138,LS_current!Q$148, FALSE))/2)</f>
        <v>433</v>
      </c>
      <c r="CN77" s="227">
        <f t="array" ref="CN77">IF($BU77=0, INDEX(LS_current!$D$4:$AY$138, MATCH('Staging Table'!$A77, LS_current!$B$4:$B$138, 0), MATCH(CN$4&amp;CN$5, LS_current!$D$2:$AY$2&amp;LS_current!$D$3:$AY$3, 0)),SUM(VLOOKUP($A77, LS_current!$B$4:$AY$138, LS_current!R$148, FALSE), VLOOKUP($A77, LS_current!$B$4:$AY$138,LS_current!R$148, FALSE))/2)</f>
        <v>-4640</v>
      </c>
      <c r="CO77" s="227">
        <f t="array" ref="CO77">IF($BU77=0, INDEX(LS_current!$D$4:$AY$138, MATCH('Staging Table'!$A77, LS_current!$B$4:$B$138, 0), MATCH(CO$4&amp;CO$5, LS_current!$D$2:$AY$2&amp;LS_current!$D$3:$AY$3, 0)),SUM(VLOOKUP($A77, LS_current!$B$4:$AY$138, LS_current!S$148, FALSE), VLOOKUP($A77, LS_current!$B$4:$AY$138,LS_current!S$148, FALSE))/2)</f>
        <v>-1085</v>
      </c>
      <c r="CP77" s="227">
        <f t="array" ref="CP77">IF($BU77=0, INDEX(LS_current!$D$4:$AY$138, MATCH('Staging Table'!$A77, LS_current!$B$4:$B$138, 0), MATCH(CP$4&amp;CP$5, LS_current!$D$2:$AY$2&amp;LS_current!$D$3:$AY$3, 0)),SUM(VLOOKUP($A77, LS_current!$B$4:$AY$138, LS_current!T$148, FALSE), VLOOKUP($A77, LS_current!$B$4:$AY$138,LS_current!T$148, FALSE))/2)</f>
        <v>-9041</v>
      </c>
      <c r="CQ77" s="227">
        <f t="array" ref="CQ77">IF($BU77=0, INDEX(LS_current!$D$4:$AY$138, MATCH('Staging Table'!$A77, LS_current!$B$4:$B$138, 0), MATCH(CQ$4&amp;CQ$5, LS_current!$D$2:$AY$2&amp;LS_current!$D$3:$AY$3, 0)),SUM(VLOOKUP($A77, LS_current!$B$4:$AY$138, LS_current!U$148, FALSE), VLOOKUP($A77, LS_current!$B$4:$AY$138,LS_current!U$148, FALSE))/2)</f>
        <v>-4953</v>
      </c>
      <c r="CR77" s="227">
        <f t="array" ref="CR77">IF($BU77=0, INDEX(LS_current!$D$4:$AY$138, MATCH('Staging Table'!$A77, LS_current!$B$4:$B$138, 0), MATCH(CR$4&amp;CR$5, LS_current!$D$2:$AY$2&amp;LS_current!$D$3:$AY$3, 0)),SUM(VLOOKUP($A77, LS_current!$B$4:$AY$138, LS_current!V$148, FALSE), VLOOKUP($A77, LS_current!$B$4:$AY$138,LS_current!V$148, FALSE))/2)</f>
        <v>144</v>
      </c>
      <c r="CS77" s="227">
        <f t="array" ref="CS77">IF($BU77=0, INDEX(LS_current!$D$4:$AY$138, MATCH('Staging Table'!$A77, LS_current!$B$4:$B$138, 0), MATCH(CS$4&amp;CS$5, LS_current!$D$2:$AY$2&amp;LS_current!$D$3:$AY$3, 0)),SUM(VLOOKUP($A77, LS_current!$B$4:$AY$138, LS_current!W$148, FALSE), VLOOKUP($A77, LS_current!$B$4:$AY$138,LS_current!W$148, FALSE))/2)</f>
        <v>2497</v>
      </c>
      <c r="CT77" s="227">
        <f t="array" ref="CT77">IF($BU77=0, INDEX(LS_current!$D$4:$AY$138, MATCH('Staging Table'!$A77, LS_current!$B$4:$B$138, 0), MATCH(CT$4&amp;CT$5, LS_current!$D$2:$AY$2&amp;LS_current!$D$3:$AY$3, 0)),SUM(VLOOKUP($A77, LS_current!$B$4:$AY$138, LS_current!X$148, FALSE), VLOOKUP($A77, LS_current!$B$4:$AY$138,LS_current!X$148, FALSE))/2)</f>
        <v>1157</v>
      </c>
      <c r="CU77" s="227">
        <f t="array" ref="CU77">IF($BU77=0, INDEX(LS_current!$D$4:$AY$138, MATCH('Staging Table'!$A77, LS_current!$B$4:$B$138, 0), MATCH(CU$4&amp;CU$5, LS_current!$D$2:$AY$2&amp;LS_current!$D$3:$AY$3, 0)),SUM(VLOOKUP($A77, LS_current!$B$4:$AY$138, LS_current!Y$148, FALSE), VLOOKUP($A77, LS_current!$B$4:$AY$138,LS_current!Y$148, FALSE))/2)</f>
        <v>3181</v>
      </c>
      <c r="CV77" s="227">
        <f t="array" ref="CV77">IF($BU77=0, INDEX(LS_current!$D$4:$AY$138, MATCH('Staging Table'!$A77, LS_current!$B$4:$B$138, 0), MATCH(CV$4&amp;CV$5, LS_current!$D$2:$AY$2&amp;LS_current!$D$3:$AY$3, 0)),SUM(VLOOKUP($A77, LS_current!$B$4:$AY$138, LS_current!Z$148, FALSE), VLOOKUP($A77, LS_current!$B$4:$AY$138,LS_current!Z$148, FALSE))/2)</f>
        <v>695</v>
      </c>
      <c r="CW77" s="227">
        <f t="array" ref="CW77">IF($BU77=0, INDEX(LS_current!$D$4:$AY$138, MATCH('Staging Table'!$A77, LS_current!$B$4:$B$138, 0), MATCH(CW$4&amp;CW$5, LS_current!$D$2:$AY$2&amp;LS_current!$D$3:$AY$3, 0)),SUM(VLOOKUP($A77, LS_current!$B$4:$AY$138, LS_current!AA$148, FALSE), VLOOKUP($A77, LS_current!$B$4:$AY$138,LS_current!AA$148, FALSE))/2)</f>
        <v>1142</v>
      </c>
      <c r="CX77" s="229">
        <f t="array" ref="CX77">INDEX(Demand_current!$D$4:$AY$138, MATCH($A77, Demand_current!$B$4:$B$138, 0), MATCH(CX$4&amp;CX$5,Demand_current!$D$2:$AY$2&amp;Demand_current!$D$3:$AY$3, 0))/1000</f>
        <v>3.3010000000000002</v>
      </c>
      <c r="CY77" s="229">
        <f t="array" ref="CY77">INDEX(Demand_current!$D$4:$AY$138, MATCH($A77, Demand_current!$B$4:$B$138, 0), MATCH(CY$4&amp;CY$5,Demand_current!$D$2:$AY$2&amp;Demand_current!$D$3:$AY$3, 0))/1000</f>
        <v>3.4249999999999998</v>
      </c>
      <c r="CZ77" s="229">
        <f t="array" ref="CZ77">INDEX(Demand_current!$D$4:$AY$138, MATCH($A77, Demand_current!$B$4:$B$138, 0), MATCH(CZ$4&amp;CZ$5,Demand_current!$D$2:$AY$2&amp;Demand_current!$D$3:$AY$3, 0))/1000</f>
        <v>11.648999999999999</v>
      </c>
      <c r="DA77" s="229">
        <f t="array" ref="DA77">INDEX(Demand_current!$D$4:$AY$138, MATCH($A77, Demand_current!$B$4:$B$138, 0), MATCH(DA$4&amp;DA$5,Demand_current!$D$2:$AY$2&amp;Demand_current!$D$3:$AY$3, 0))/1000</f>
        <v>7.12</v>
      </c>
      <c r="DB77" s="229">
        <f t="array" ref="DB77">INDEX(Demand_current!$D$4:$AY$138, MATCH($A77, Demand_current!$B$4:$B$138, 0), MATCH(DB$4&amp;DB$5,Demand_current!$D$2:$AY$2&amp;Demand_current!$D$3:$AY$3, 0))/1000</f>
        <v>1.8759999999999999</v>
      </c>
      <c r="DC77" s="229">
        <f t="array" ref="DC77">INDEX(Demand_current!$D$4:$AY$138, MATCH($A77, Demand_current!$B$4:$B$138, 0), MATCH(DC$4&amp;DC$5,Demand_current!$D$2:$AY$2&amp;Demand_current!$D$3:$AY$3, 0))/1000</f>
        <v>6.6639999999999997</v>
      </c>
      <c r="DD77" s="229">
        <f t="array" ref="DD77">INDEX(Demand_current!$D$4:$AY$138, MATCH($A77, Demand_current!$B$4:$B$138, 0), MATCH(DD$4&amp;DD$5,Demand_current!$D$2:$AY$2&amp;Demand_current!$D$3:$AY$3, 0))/1000</f>
        <v>2.5659999999999998</v>
      </c>
      <c r="DE77" s="229">
        <f t="array" ref="DE77">INDEX(Demand_current!$D$4:$AY$138, MATCH($A77, Demand_current!$B$4:$B$138, 0), MATCH(DE$4&amp;DE$5,Demand_current!$D$2:$AY$2&amp;Demand_current!$D$3:$AY$3, 0))/1000</f>
        <v>10.260999999999999</v>
      </c>
      <c r="DF77" s="229">
        <f t="array" ref="DF77">INDEX(Demand_current!$D$4:$AY$138, MATCH($A77, Demand_current!$B$4:$B$138, 0), MATCH(DF$4&amp;DF$5,Demand_current!$D$2:$AY$2&amp;Demand_current!$D$3:$AY$3, 0))/1000</f>
        <v>5.7709999999999999</v>
      </c>
      <c r="DG77" s="229">
        <f t="array" ref="DG77">INDEX(Demand_current!$D$4:$AY$138, MATCH($A77, Demand_current!$B$4:$B$138, 0), MATCH(DG$4&amp;DG$5,Demand_current!$D$2:$AY$2&amp;Demand_current!$D$3:$AY$3, 0))/1000</f>
        <v>3.5710000000000002</v>
      </c>
      <c r="DH77" s="229">
        <f t="array" ref="DH77">INDEX(Demand_current!$D$4:$AY$138, MATCH($A77, Demand_current!$B$4:$B$138, 0), MATCH(DH$4&amp;DH$5,Demand_current!$D$2:$AY$2&amp;Demand_current!$D$3:$AY$3, 0))/1000</f>
        <v>7.9379999999999997</v>
      </c>
      <c r="DI77" s="229">
        <f t="array" ref="DI77">INDEX(Demand_current!$D$4:$AY$138, MATCH($A77, Demand_current!$B$4:$B$138, 0), MATCH(DI$4&amp;DI$5,Demand_current!$D$2:$AY$2&amp;Demand_current!$D$3:$AY$3, 0))/1000</f>
        <v>7.5629999999999997</v>
      </c>
      <c r="DJ77" s="227">
        <f>$BT77*(VLOOKUP(DJ$4, Rates_current!$G$6:$Q$29, 10, FALSE)+VLOOKUP(DJ$4, Rates_current!$G$6:$Q$29, 11, FALSE))</f>
        <v>23968.955296155596</v>
      </c>
      <c r="DK77" s="227">
        <f>$BT77*(VLOOKUP(DK$4, Rates_current!$G$6:$Q$29, 10, FALSE)+VLOOKUP(DK$4, Rates_current!$G$6:$Q$29, 11, FALSE))</f>
        <v>30448.050486972897</v>
      </c>
      <c r="DL77" s="227">
        <f>$BT77*(VLOOKUP(DL$4, Rates_current!$G$6:$Q$29, 10, FALSE)+VLOOKUP(DL$4, Rates_current!$G$6:$Q$29, 11, FALSE))</f>
        <v>30080.349077455601</v>
      </c>
      <c r="DM77" s="227">
        <f>$BT77*(VLOOKUP(DM$4, Rates_current!$G$6:$Q$29, 10, FALSE)+VLOOKUP(DM$4, Rates_current!$G$6:$Q$29, 11, FALSE))</f>
        <v>25073.8030646556</v>
      </c>
      <c r="DN77" s="227">
        <f>$BT77*(VLOOKUP(DN$4, Rates_current!$G$6:$Q$29, 10, FALSE)+VLOOKUP(DN$4, Rates_current!$G$6:$Q$29, 11, FALSE))</f>
        <v>22714.264370479999</v>
      </c>
      <c r="DO77" s="227">
        <f>$BT77*(VLOOKUP(DO$4, Rates_current!$G$6:$Q$29, 10, FALSE)+VLOOKUP(DO$4, Rates_current!$G$6:$Q$29, 11, FALSE))</f>
        <v>25265.477896560697</v>
      </c>
      <c r="DP77" s="227">
        <f>$BT77*(VLOOKUP(DP$4, Rates_current!$G$6:$Q$29, 10, FALSE)+VLOOKUP(DP$4, Rates_current!$G$6:$Q$29, 11, FALSE))</f>
        <v>20571.179367527999</v>
      </c>
      <c r="DQ77" s="227">
        <f>$BT77*(VLOOKUP(DQ$4, Rates_current!$G$6:$Q$29, 10, FALSE)+VLOOKUP(DQ$4, Rates_current!$G$6:$Q$29, 11, FALSE))</f>
        <v>27743.302879705599</v>
      </c>
      <c r="DR77" s="227">
        <f>$BT77*(VLOOKUP(DR$4, Rates_current!$G$6:$Q$29, 10, FALSE)+VLOOKUP(DR$4, Rates_current!$G$6:$Q$29, 11, FALSE))</f>
        <v>35398.567612977997</v>
      </c>
      <c r="DS77" s="227">
        <f>$BT77*(VLOOKUP(DS$4, Rates_current!$G$6:$Q$29, 10, FALSE)+VLOOKUP(DS$4, Rates_current!$G$6:$Q$29, 11, FALSE))</f>
        <v>27753.5994265556</v>
      </c>
      <c r="DT77" s="227">
        <f>$BT77*(VLOOKUP(DT$4, Rates_current!$G$6:$Q$29, 10, FALSE)+VLOOKUP(DT$4, Rates_current!$G$6:$Q$29, 11, FALSE))</f>
        <v>27026.479454005599</v>
      </c>
      <c r="DU77" s="227">
        <f>$BT77*(VLOOKUP(DU$4, Rates_current!$G$6:$Q$29, 10, FALSE)+VLOOKUP(DU$4, Rates_current!$G$6:$Q$29, 11, FALSE))</f>
        <v>24264.029276628</v>
      </c>
      <c r="DV77" s="229">
        <f>IF(D77=0,IF(C77=0,MAX(0,DY77 - (VLOOKUP($A77,TOCA_current!$A$2:$AI$137,MATCH("RHWM 2020",TOCA_current!$A$2:$AI$2,0),FALSE)*$BT$2)), 0),0)</f>
        <v>1.5102322687162086</v>
      </c>
      <c r="DW77" s="266">
        <f>VLOOKUP($A77,REP_current!$A$1:$D$135,MATCH("FY "&amp;$BT$1&amp; " Total Refund",REP_current!$A$1:$D$1,0),0)</f>
        <v>0</v>
      </c>
      <c r="DX77" s="295">
        <f>MIN(VLOOKUP($A77,TOCA_current!$A$2:$AI$137,MATCH("TRL - NLSL - Existing Resource "&amp;$BT$1,TOCA_current!$A$2:$AI$2,0),FALSE)*$BT$2, VLOOKUP($A77,TOCA_current!$A$2:$AI$137,MATCH("RHWM 2020",TOCA_current!$A$2:$AI$2,0),FALSE)*$BT$2)</f>
        <v>320308.56000000006</v>
      </c>
      <c r="DY77" s="240">
        <f>SUM(BZ77:CW77)+(BT77*RT1SC!$C$4*$BT$2)</f>
        <v>320310.07023226877</v>
      </c>
      <c r="DZ77" s="271">
        <f>VLOOKUP($A77,TOCA_current!$A$2:$AI$137,MATCH("Above RHWM Not Served with LS "&amp;$BT$1,TOCA_current!$A$2:$AI$2,0),FALSE)*$BT$2</f>
        <v>68286.816000000006</v>
      </c>
      <c r="EA77" s="244">
        <f t="shared" si="29"/>
        <v>1.5102322687162086</v>
      </c>
      <c r="EB77" s="295">
        <f>(VLOOKUP($A77,TOCA_current!$A$2:$AI$137,MATCH("RHWM 2020",TOCA_current!$A$2:$AI$2,0),FALSE)*$BT$2) - $DX77</f>
        <v>0</v>
      </c>
      <c r="EC77" s="240">
        <f t="shared" si="30"/>
        <v>0</v>
      </c>
      <c r="ED77" s="240">
        <f t="shared" si="31"/>
        <v>0</v>
      </c>
      <c r="EE77" s="240">
        <f t="shared" si="32"/>
        <v>0</v>
      </c>
      <c r="EF77" s="240">
        <f t="shared" si="33"/>
        <v>0</v>
      </c>
    </row>
    <row r="78" spans="1:136">
      <c r="A78" s="166">
        <v>10234</v>
      </c>
      <c r="B78" s="167" t="s">
        <v>79</v>
      </c>
      <c r="C78" s="240">
        <v>0</v>
      </c>
      <c r="D78" s="240">
        <v>0</v>
      </c>
      <c r="E78" s="150">
        <f>VLOOKUP($A78,TOCA_previous!$A$2:$AI$137,MATCH(E$4,TOCA_previous!$A$2:$AI$2,0),FALSE)</f>
        <v>7.2256000000000004E-3</v>
      </c>
      <c r="F78" s="151">
        <f>VLOOKUP($A78,TOCA_previous!$A$2:$AI$137,MATCH(F$4,TOCA_previous!$A$2:$AI$2,0),FALSE)</f>
        <v>7.2256000000000004E-3</v>
      </c>
      <c r="G78" s="151">
        <f t="shared" si="18"/>
        <v>0</v>
      </c>
      <c r="H78" s="151">
        <f>VLOOKUP($A78,TOCA_previous!$A$2:$AI$137,MATCH(H$4,TOCA_previous!$A$2:$AI$2,0),FALSE)</f>
        <v>5.3040999999999998E-2</v>
      </c>
      <c r="I78" s="151">
        <f t="shared" si="19"/>
        <v>0</v>
      </c>
      <c r="J78" s="151">
        <f t="shared" si="20"/>
        <v>0</v>
      </c>
      <c r="K78" s="226">
        <f>VLOOKUP(A78, IRD!$A$5:$C$139, 3, FALSE)</f>
        <v>0</v>
      </c>
      <c r="L78" s="227">
        <f t="array" ref="L78">IF($G78=0, INDEX(LS_previous!$D$4:$AY$138, MATCH('Staging Table'!$A78, LS_previous!$B$4:$B$138, 0), MATCH(L$4&amp;L$5, LS_previous!$D$2:$AY$2&amp;LS_previous!$D$3:$AY$3, 0)),SUM(VLOOKUP($A78, LS_previous!$B$4:$AY$138, LS_previous!D$149, FALSE), VLOOKUP('Staging Table'!$A78, LS_previous!$B$4:$AY$138,LS_previous!AB$149, FALSE))/2)</f>
        <v>-971</v>
      </c>
      <c r="M78" s="227">
        <f t="array" ref="M78">IF($G78=0, INDEX(LS_previous!$D$4:$AY$138, MATCH('Staging Table'!$A78, LS_previous!$B$4:$B$138, 0), MATCH(M$4&amp;M$5, LS_previous!$D$2:$AY$2&amp;LS_previous!$D$3:$AY$3, 0)),SUM(VLOOKUP($A78, LS_previous!$B$4:$AY$138, LS_previous!E$149, FALSE), VLOOKUP('Staging Table'!$A78, LS_previous!$B$4:$AY$138,LS_previous!AC$149, FALSE))/2)</f>
        <v>811</v>
      </c>
      <c r="N78" s="227">
        <f t="array" ref="N78">IF($G78=0, INDEX(LS_previous!$D$4:$AY$138, MATCH('Staging Table'!$A78, LS_previous!$B$4:$B$138, 0), MATCH(N$4&amp;N$5, LS_previous!$D$2:$AY$2&amp;LS_previous!$D$3:$AY$3, 0)),SUM(VLOOKUP($A78, LS_previous!$B$4:$AY$138, LS_previous!F$149, FALSE), VLOOKUP('Staging Table'!$A78, LS_previous!$B$4:$AY$138,LS_previous!AD$149, FALSE))/2)</f>
        <v>-950</v>
      </c>
      <c r="O78" s="227">
        <f t="array" ref="O78">IF($G78=0, INDEX(LS_previous!$D$4:$AY$138, MATCH('Staging Table'!$A78, LS_previous!$B$4:$B$138, 0), MATCH(O$4&amp;O$5, LS_previous!$D$2:$AY$2&amp;LS_previous!$D$3:$AY$3, 0)),SUM(VLOOKUP($A78, LS_previous!$B$4:$AY$138, LS_previous!G$149, FALSE), VLOOKUP('Staging Table'!$A78, LS_previous!$B$4:$AY$138,LS_previous!AE$149, FALSE))/2)</f>
        <v>1416</v>
      </c>
      <c r="P78" s="227">
        <f t="array" ref="P78">IF($G78=0, INDEX(LS_previous!$D$4:$AY$138, MATCH('Staging Table'!$A78, LS_previous!$B$4:$B$138, 0), MATCH(P$4&amp;P$5, LS_previous!$D$2:$AY$2&amp;LS_previous!$D$3:$AY$3, 0)),SUM(VLOOKUP($A78, LS_previous!$B$4:$AY$138, LS_previous!H$149, FALSE), VLOOKUP('Staging Table'!$A78, LS_previous!$B$4:$AY$138,LS_previous!AF$149, FALSE))/2)</f>
        <v>5287</v>
      </c>
      <c r="Q78" s="227">
        <f t="array" ref="Q78">IF($G78=0, INDEX(LS_previous!$D$4:$AY$138, MATCH('Staging Table'!$A78, LS_previous!$B$4:$B$138, 0), MATCH(Q$4&amp;Q$5, LS_previous!$D$2:$AY$2&amp;LS_previous!$D$3:$AY$3, 0)),SUM(VLOOKUP($A78, LS_previous!$B$4:$AY$138, LS_previous!I$149, FALSE), VLOOKUP('Staging Table'!$A78, LS_previous!$B$4:$AY$138,LS_previous!AG$149, FALSE))/2)</f>
        <v>5492</v>
      </c>
      <c r="R78" s="227">
        <f t="array" ref="R78">IF($G78=0, INDEX(LS_previous!$D$4:$AY$138, MATCH('Staging Table'!$A78, LS_previous!$B$4:$B$138, 0), MATCH(R$4&amp;R$5, LS_previous!$D$2:$AY$2&amp;LS_previous!$D$3:$AY$3, 0)),SUM(VLOOKUP($A78, LS_previous!$B$4:$AY$138, LS_previous!J$149, FALSE), VLOOKUP('Staging Table'!$A78, LS_previous!$B$4:$AY$138,LS_previous!AH$149, FALSE))/2)</f>
        <v>6695</v>
      </c>
      <c r="S78" s="227">
        <f t="array" ref="S78">IF($G78=0, INDEX(LS_previous!$D$4:$AY$138, MATCH('Staging Table'!$A78, LS_previous!$B$4:$B$138, 0), MATCH(S$4&amp;S$5, LS_previous!$D$2:$AY$2&amp;LS_previous!$D$3:$AY$3, 0)),SUM(VLOOKUP($A78, LS_previous!$B$4:$AY$138, LS_previous!K$149, FALSE), VLOOKUP('Staging Table'!$A78, LS_previous!$B$4:$AY$138,LS_previous!AI$149, FALSE))/2)</f>
        <v>7190</v>
      </c>
      <c r="T78" s="227">
        <f t="array" ref="T78">IF($G78=0, INDEX(LS_previous!$D$4:$AY$138, MATCH('Staging Table'!$A78, LS_previous!$B$4:$B$138, 0), MATCH(T$4&amp;T$5, LS_previous!$D$2:$AY$2&amp;LS_previous!$D$3:$AY$3, 0)),SUM(VLOOKUP($A78, LS_previous!$B$4:$AY$138, LS_previous!L$149, FALSE), VLOOKUP('Staging Table'!$A78, LS_previous!$B$4:$AY$138,LS_previous!AJ$149, FALSE))/2)</f>
        <v>7641</v>
      </c>
      <c r="U78" s="227">
        <f t="array" ref="U78">IF($G78=0, INDEX(LS_previous!$D$4:$AY$138, MATCH('Staging Table'!$A78, LS_previous!$B$4:$B$138, 0), MATCH(U$4&amp;U$5, LS_previous!$D$2:$AY$2&amp;LS_previous!$D$3:$AY$3, 0)),SUM(VLOOKUP($A78, LS_previous!$B$4:$AY$138, LS_previous!M$149, FALSE), VLOOKUP('Staging Table'!$A78, LS_previous!$B$4:$AY$138,LS_previous!AK$149, FALSE))/2)</f>
        <v>6053</v>
      </c>
      <c r="V78" s="227">
        <f t="array" ref="V78">IF($G78=0, INDEX(LS_previous!$D$4:$AY$138, MATCH('Staging Table'!$A78, LS_previous!$B$4:$B$138, 0), MATCH(V$4&amp;V$5, LS_previous!$D$2:$AY$2&amp;LS_previous!$D$3:$AY$3, 0)),SUM(VLOOKUP($A78, LS_previous!$B$4:$AY$138, LS_previous!N$149, FALSE), VLOOKUP('Staging Table'!$A78, LS_previous!$B$4:$AY$138,LS_previous!AL$149, FALSE))/2)</f>
        <v>3366</v>
      </c>
      <c r="W78" s="227">
        <f t="array" ref="W78">IF($G78=0, INDEX(LS_previous!$D$4:$AY$138, MATCH('Staging Table'!$A78, LS_previous!$B$4:$B$138, 0), MATCH(W$4&amp;W$5, LS_previous!$D$2:$AY$2&amp;LS_previous!$D$3:$AY$3, 0)),SUM(VLOOKUP($A78, LS_previous!$B$4:$AY$138, LS_previous!O$149, FALSE), VLOOKUP('Staging Table'!$A78, LS_previous!$B$4:$AY$138,LS_previous!AM$149, FALSE))/2)</f>
        <v>2475</v>
      </c>
      <c r="X78" s="227">
        <f t="array" ref="X78">IF($G78=0, INDEX(LS_previous!$D$4:$AY$138, MATCH('Staging Table'!$A78, LS_previous!$B$4:$B$138, 0), MATCH(X$4&amp;X$5, LS_previous!$D$2:$AY$2&amp;LS_previous!$D$3:$AY$3, 0)),SUM(VLOOKUP($A78, LS_previous!$B$4:$AY$138, LS_previous!P$149, FALSE), VLOOKUP('Staging Table'!$A78, LS_previous!$B$4:$AY$138,LS_previous!AN$149, FALSE))/2)</f>
        <v>-321</v>
      </c>
      <c r="Y78" s="227">
        <f t="array" ref="Y78">IF($G78=0, INDEX(LS_previous!$D$4:$AY$138, MATCH('Staging Table'!$A78, LS_previous!$B$4:$B$138, 0), MATCH(Y$4&amp;Y$5, LS_previous!$D$2:$AY$2&amp;LS_previous!$D$3:$AY$3, 0)),SUM(VLOOKUP($A78, LS_previous!$B$4:$AY$138, LS_previous!Q$149, FALSE), VLOOKUP('Staging Table'!$A78, LS_previous!$B$4:$AY$138,LS_previous!AO$149, FALSE))/2)</f>
        <v>1128</v>
      </c>
      <c r="Z78" s="227">
        <f t="array" ref="Z78">IF($G78=0, INDEX(LS_previous!$D$4:$AY$138, MATCH('Staging Table'!$A78, LS_previous!$B$4:$B$138, 0), MATCH(Z$4&amp;Z$5, LS_previous!$D$2:$AY$2&amp;LS_previous!$D$3:$AY$3, 0)),SUM(VLOOKUP($A78, LS_previous!$B$4:$AY$138, LS_previous!R$149, FALSE), VLOOKUP('Staging Table'!$A78, LS_previous!$B$4:$AY$138,LS_previous!AP$149, FALSE))/2)</f>
        <v>-12069</v>
      </c>
      <c r="AA78" s="227">
        <f t="array" ref="AA78">IF($G78=0, INDEX(LS_previous!$D$4:$AY$138, MATCH('Staging Table'!$A78, LS_previous!$B$4:$B$138, 0), MATCH(AA$4&amp;AA$5, LS_previous!$D$2:$AY$2&amp;LS_previous!$D$3:$AY$3, 0)),SUM(VLOOKUP($A78, LS_previous!$B$4:$AY$138, LS_previous!S$149, FALSE), VLOOKUP('Staging Table'!$A78, LS_previous!$B$4:$AY$138,LS_previous!AQ$149, FALSE))/2)</f>
        <v>-4755</v>
      </c>
      <c r="AB78" s="227">
        <f t="array" ref="AB78">IF($G78=0, INDEX(LS_previous!$D$4:$AY$138, MATCH('Staging Table'!$A78, LS_previous!$B$4:$B$138, 0), MATCH(AB$4&amp;AB$5, LS_previous!$D$2:$AY$2&amp;LS_previous!$D$3:$AY$3, 0)),SUM(VLOOKUP($A78, LS_previous!$B$4:$AY$138, LS_previous!T$149, FALSE), VLOOKUP('Staging Table'!$A78, LS_previous!$B$4:$AY$138,LS_previous!AR$149, FALSE))/2)</f>
        <v>-3380</v>
      </c>
      <c r="AC78" s="227">
        <f t="array" ref="AC78">IF($G78=0, INDEX(LS_previous!$D$4:$AY$138, MATCH('Staging Table'!$A78, LS_previous!$B$4:$B$138, 0), MATCH(AC$4&amp;AC$5, LS_previous!$D$2:$AY$2&amp;LS_previous!$D$3:$AY$3, 0)),SUM(VLOOKUP($A78, LS_previous!$B$4:$AY$138, LS_previous!U$149, FALSE), VLOOKUP('Staging Table'!$A78, LS_previous!$B$4:$AY$138,LS_previous!AS$149, FALSE))/2)</f>
        <v>-1162</v>
      </c>
      <c r="AD78" s="227">
        <f t="array" ref="AD78">IF($G78=0, INDEX(LS_previous!$D$4:$AY$138, MATCH('Staging Table'!$A78, LS_previous!$B$4:$B$138, 0), MATCH(AD$4&amp;AD$5, LS_previous!$D$2:$AY$2&amp;LS_previous!$D$3:$AY$3, 0)),SUM(VLOOKUP($A78, LS_previous!$B$4:$AY$138, LS_previous!V$149, FALSE), VLOOKUP('Staging Table'!$A78, LS_previous!$B$4:$AY$138,LS_previous!AT$149, FALSE))/2)</f>
        <v>2138</v>
      </c>
      <c r="AE78" s="227">
        <f t="array" ref="AE78">IF($G78=0, INDEX(LS_previous!$D$4:$AY$138, MATCH('Staging Table'!$A78, LS_previous!$B$4:$B$138, 0), MATCH(AE$4&amp;AE$5, LS_previous!$D$2:$AY$2&amp;LS_previous!$D$3:$AY$3, 0)),SUM(VLOOKUP($A78, LS_previous!$B$4:$AY$138, LS_previous!W$149, FALSE), VLOOKUP('Staging Table'!$A78, LS_previous!$B$4:$AY$138,LS_previous!AU$149, FALSE))/2)</f>
        <v>3402</v>
      </c>
      <c r="AF78" s="227">
        <f t="array" ref="AF78">IF($G78=0, INDEX(LS_previous!$D$4:$AY$138, MATCH('Staging Table'!$A78, LS_previous!$B$4:$B$138, 0), MATCH(AF$4&amp;AF$5, LS_previous!$D$2:$AY$2&amp;LS_previous!$D$3:$AY$3, 0)),SUM(VLOOKUP($A78, LS_previous!$B$4:$AY$138, LS_previous!X$149, FALSE), VLOOKUP('Staging Table'!$A78, LS_previous!$B$4:$AY$138,LS_previous!AV$149, FALSE))/2)</f>
        <v>-545</v>
      </c>
      <c r="AG78" s="227">
        <f t="array" ref="AG78">IF($G78=0, INDEX(LS_previous!$D$4:$AY$138, MATCH('Staging Table'!$A78, LS_previous!$B$4:$B$138, 0), MATCH(AG$4&amp;AG$5, LS_previous!$D$2:$AY$2&amp;LS_previous!$D$3:$AY$3, 0)),SUM(VLOOKUP($A78, LS_previous!$B$4:$AY$138, LS_previous!Y$149, FALSE), VLOOKUP('Staging Table'!$A78, LS_previous!$B$4:$AY$138,LS_previous!AW$149, FALSE))/2)</f>
        <v>961</v>
      </c>
      <c r="AH78" s="227">
        <f t="array" ref="AH78">IF($G78=0, INDEX(LS_previous!$D$4:$AY$138, MATCH('Staging Table'!$A78, LS_previous!$B$4:$B$138, 0), MATCH(AH$4&amp;AH$5, LS_previous!$D$2:$AY$2&amp;LS_previous!$D$3:$AY$3, 0)),SUM(VLOOKUP($A78, LS_previous!$B$4:$AY$138, LS_previous!Z$149, FALSE), VLOOKUP('Staging Table'!$A78, LS_previous!$B$4:$AY$138,LS_previous!AX$149, FALSE))/2)</f>
        <v>-2148</v>
      </c>
      <c r="AI78" s="227">
        <f t="array" ref="AI78">IF($G78=0, INDEX(LS_previous!$D$4:$AY$138, MATCH('Staging Table'!$A78, LS_previous!$B$4:$B$138, 0), MATCH(AI$4&amp;AI$5, LS_previous!$D$2:$AY$2&amp;LS_previous!$D$3:$AY$3, 0)),SUM(VLOOKUP($A78, LS_previous!$B$4:$AY$138, LS_previous!AA$149, FALSE), VLOOKUP('Staging Table'!$A78, LS_previous!$B$4:$AY$138,LS_previous!AY$149, FALSE))/2)</f>
        <v>112</v>
      </c>
      <c r="AJ78" s="424">
        <f t="array" ref="AJ78">INDEX(Demand_previous!$D$4:$AY$138, MATCH('Staging Table'!$A78, Demand_previous!$B$4:$B$138, 0), MATCH(AJ$4&amp;AJ$5,Demand_previous!$D$2:$AY$2&amp;Demand_previous!$D$3:$AY$3, 0))/1000</f>
        <v>2.5009999999999999</v>
      </c>
      <c r="AK78" s="424">
        <f t="array" ref="AK78">INDEX(Demand_previous!$D$4:$AY$138, MATCH('Staging Table'!$A78, Demand_previous!$B$4:$B$138, 0), MATCH(AK$4&amp;AK$5,Demand_previous!$D$2:$AY$2&amp;Demand_previous!$D$3:$AY$3, 0))/1000</f>
        <v>8.4060000000000006</v>
      </c>
      <c r="AL78" s="424">
        <f t="array" ref="AL78">INDEX(Demand_previous!$D$4:$AY$138, MATCH('Staging Table'!$A78, Demand_previous!$B$4:$B$138, 0), MATCH(AL$4&amp;AL$5,Demand_previous!$D$2:$AY$2&amp;Demand_previous!$D$3:$AY$3, 0))/1000</f>
        <v>11.507</v>
      </c>
      <c r="AM78" s="424">
        <f t="array" ref="AM78">INDEX(Demand_previous!$D$4:$AY$138, MATCH('Staging Table'!$A78, Demand_previous!$B$4:$B$138, 0), MATCH(AM$4&amp;AM$5,Demand_previous!$D$2:$AY$2&amp;Demand_previous!$D$3:$AY$3, 0))/1000</f>
        <v>8.8960000000000008</v>
      </c>
      <c r="AN78" s="424">
        <f t="array" ref="AN78">INDEX(Demand_previous!$D$4:$AY$138, MATCH('Staging Table'!$A78, Demand_previous!$B$4:$B$138, 0), MATCH(AN$4&amp;AN$5,Demand_previous!$D$2:$AY$2&amp;Demand_previous!$D$3:$AY$3, 0))/1000</f>
        <v>8.0730000000000004</v>
      </c>
      <c r="AO78" s="424">
        <f t="array" ref="AO78">INDEX(Demand_previous!$D$4:$AY$138, MATCH('Staging Table'!$A78, Demand_previous!$B$4:$B$138, 0), MATCH(AO$4&amp;AO$5,Demand_previous!$D$2:$AY$2&amp;Demand_previous!$D$3:$AY$3, 0))/1000</f>
        <v>10.523999999999999</v>
      </c>
      <c r="AP78" s="424">
        <f t="array" ref="AP78">INDEX(Demand_previous!$D$4:$AY$138, MATCH('Staging Table'!$A78, Demand_previous!$B$4:$B$138, 0), MATCH(AP$4&amp;AP$5,Demand_previous!$D$2:$AY$2&amp;Demand_previous!$D$3:$AY$3, 0))/1000</f>
        <v>5.8220000000000001</v>
      </c>
      <c r="AQ78" s="424">
        <f t="array" ref="AQ78">INDEX(Demand_previous!$D$4:$AY$138, MATCH('Staging Table'!$A78, Demand_previous!$B$4:$B$138, 0), MATCH(AQ$4&amp;AQ$5,Demand_previous!$D$2:$AY$2&amp;Demand_previous!$D$3:$AY$3, 0))/1000</f>
        <v>6.1790000000000003</v>
      </c>
      <c r="AR78" s="424">
        <f t="array" ref="AR78">INDEX(Demand_previous!$D$4:$AY$138, MATCH('Staging Table'!$A78, Demand_previous!$B$4:$B$138, 0), MATCH(AR$4&amp;AR$5,Demand_previous!$D$2:$AY$2&amp;Demand_previous!$D$3:$AY$3, 0))/1000</f>
        <v>12.042999999999999</v>
      </c>
      <c r="AS78" s="424">
        <f t="array" ref="AS78">INDEX(Demand_previous!$D$4:$AY$138, MATCH('Staging Table'!$A78, Demand_previous!$B$4:$B$138, 0), MATCH(AS$4&amp;AS$5,Demand_previous!$D$2:$AY$2&amp;Demand_previous!$D$3:$AY$3, 0))/1000</f>
        <v>12.423999999999999</v>
      </c>
      <c r="AT78" s="424">
        <f t="array" ref="AT78">INDEX(Demand_previous!$D$4:$AY$138, MATCH('Staging Table'!$A78, Demand_previous!$B$4:$B$138, 0), MATCH(AT$4&amp;AT$5,Demand_previous!$D$2:$AY$2&amp;Demand_previous!$D$3:$AY$3, 0))/1000</f>
        <v>13.39</v>
      </c>
      <c r="AU78" s="424">
        <f t="array" ref="AU78">INDEX(Demand_previous!$D$4:$AY$138, MATCH('Staging Table'!$A78, Demand_previous!$B$4:$B$138, 0), MATCH(AU$4&amp;AU$5,Demand_previous!$D$2:$AY$2&amp;Demand_previous!$D$3:$AY$3, 0))/1000</f>
        <v>5.3019999999999996</v>
      </c>
      <c r="AV78" s="227">
        <f>$F78*(VLOOKUP(AV$4, Rates_previous!$G$6:$Q$29, 10, FALSE)+VLOOKUP(AV$4, Rates_previous!$G$6:$Q$29, 11, FALSE))</f>
        <v>33879.666135921572</v>
      </c>
      <c r="AW78" s="227">
        <f>$F78*(VLOOKUP(AW$4, Rates_previous!$G$6:$Q$29, 10, FALSE)+VLOOKUP(AW$4, Rates_previous!$G$6:$Q$29, 11, FALSE))</f>
        <v>41872.692352910184</v>
      </c>
      <c r="AX78" s="227">
        <f>$F78*(VLOOKUP(AX$4, Rates_previous!$G$6:$Q$29, 10, FALSE)+VLOOKUP(AX$4, Rates_previous!$G$6:$Q$29, 11, FALSE))</f>
        <v>41369.851399910862</v>
      </c>
      <c r="AY78" s="227">
        <f>$F78*(VLOOKUP(AY$4, Rates_previous!$G$6:$Q$29, 10, FALSE)+VLOOKUP(AY$4, Rates_previous!$G$6:$Q$29, 11, FALSE))</f>
        <v>35346.594823140098</v>
      </c>
      <c r="AZ78" s="227">
        <f>$F78*(VLOOKUP(AZ$4, Rates_previous!$G$6:$Q$29, 10, FALSE)+VLOOKUP(AZ$4, Rates_previous!$G$6:$Q$29, 11, FALSE))</f>
        <v>28977.351535402118</v>
      </c>
      <c r="BA78" s="227">
        <f>$F78*(VLOOKUP(BA$4, Rates_previous!$G$6:$Q$29, 10, FALSE)+VLOOKUP(BA$4, Rates_previous!$G$6:$Q$29, 11, FALSE))</f>
        <v>34308.131662825275</v>
      </c>
      <c r="BB78" s="227">
        <f>$F78*(VLOOKUP(BB$4, Rates_previous!$G$6:$Q$29, 10, FALSE)+VLOOKUP(BB$4, Rates_previous!$G$6:$Q$29, 11, FALSE))</f>
        <v>32975.104950185574</v>
      </c>
      <c r="BC78" s="227">
        <f>$F78*(VLOOKUP(BC$4, Rates_previous!$G$6:$Q$29, 10, FALSE)+VLOOKUP(BC$4, Rates_previous!$G$6:$Q$29, 11, FALSE))</f>
        <v>48388.633105371511</v>
      </c>
      <c r="BD78" s="227">
        <f>$F78*(VLOOKUP(BD$4, Rates_previous!$G$6:$Q$29, 10, FALSE)+VLOOKUP(BD$4, Rates_previous!$G$6:$Q$29, 11, FALSE))</f>
        <v>38177.352592975658</v>
      </c>
      <c r="BE78" s="227">
        <f>$F78*(VLOOKUP(BE$4, Rates_previous!$G$6:$Q$29, 10, FALSE)+VLOOKUP(BE$4, Rates_previous!$G$6:$Q$29, 11, FALSE))</f>
        <v>33522.920012966402</v>
      </c>
      <c r="BF78" s="227">
        <f>$F78*(VLOOKUP(BF$4, Rates_previous!$G$6:$Q$29, 10, FALSE)+VLOOKUP(BF$4, Rates_previous!$G$6:$Q$29, 11, FALSE))</f>
        <v>37127.975760175148</v>
      </c>
      <c r="BG78" s="227">
        <f>$F78*(VLOOKUP(BG$4, Rates_previous!$G$6:$Q$29, 10, FALSE)+VLOOKUP(BG$4, Rates_previous!$G$6:$Q$29, 11, FALSE))</f>
        <v>33636.469551659749</v>
      </c>
      <c r="BH78" s="229">
        <f>IF($D78=0,IF(C78=0, MAX(BK78 - (VLOOKUP($A78,TOCA_previous!$A$2:$AI$137,MATCH("RHWM 2018",TOCA_previous!$A$2:$AI$2,0),FALSE)*$F$2*TOCA_previous!C75),0),0), 0)</f>
        <v>27863.190296576009</v>
      </c>
      <c r="BI78" s="266">
        <f>VLOOKUP($A78,REP_previous!$A$1:$D$135,MATCH("FY "&amp;$F$1&amp; " Total Refund",REP_previous!$A$1:$D$1,0),0)</f>
        <v>286620.29452448682</v>
      </c>
      <c r="BJ78" s="241">
        <f>MIN(VLOOKUP($A78,TOCA_previous!$A$2:$AI$137,MATCH("TRL - NLSL - Existing Resource "&amp;$F$1,TOCA_previous!$A$2:$AI$2,0),FALSE)*$F$2,(VLOOKUP($A78,TOCA_previous!$A$2:$AI$137,MATCH("RHWM 2018",TOCA_previous!$A$2:$AI$2,0),FALSE)*$F$2))</f>
        <v>439585.56</v>
      </c>
      <c r="BK78" s="229">
        <f>SUM(L78:AI78)+(F78*RT1SC!$C$3*$F$2)</f>
        <v>467448.75029657601</v>
      </c>
      <c r="BL78" s="241">
        <f>VLOOKUP($A78,TOCA_previous!$A$2:$AI$137,MATCH("Above RHWM Not Served with LS "&amp;$F$1,TOCA_previous!$A$2:$AI$2,0),FALSE)*$F$2</f>
        <v>26735.52</v>
      </c>
      <c r="BM78" s="151">
        <f t="shared" si="21"/>
        <v>27863.190296576009</v>
      </c>
      <c r="BN78" s="242">
        <f>(VLOOKUP($A78,TOCA_previous!$A$2:$AI$137,MATCH("RHWM 2018",TOCA_previous!$A$2:$AI$2,0),FALSE)*$F$2) - $BJ78</f>
        <v>0</v>
      </c>
      <c r="BO78" s="151">
        <f t="shared" si="22"/>
        <v>0</v>
      </c>
      <c r="BP78" s="243">
        <f t="shared" si="23"/>
        <v>0</v>
      </c>
      <c r="BQ78" s="237">
        <f t="shared" si="24"/>
        <v>0</v>
      </c>
      <c r="BR78" s="242">
        <f t="shared" si="25"/>
        <v>0</v>
      </c>
      <c r="BS78" s="151">
        <f>VLOOKUP($A78,TOCA_current!$A$2:$AI$137,MATCH(BS$4,TOCA_current!$A$2:$AI$2,0),FALSE)</f>
        <v>7.2217000000000002E-3</v>
      </c>
      <c r="BT78" s="151">
        <f>VLOOKUP($A78,TOCA_current!$A$2:$AI$137,MATCH(BT$4,TOCA_current!$A$2:$AI$2,0),FALSE)</f>
        <v>7.2217000000000002E-3</v>
      </c>
      <c r="BU78" s="236">
        <f t="shared" si="26"/>
        <v>0</v>
      </c>
      <c r="BV78" s="151">
        <f>VLOOKUP($A78,TOCA_current!A74:BG209,MATCH(BV$4,TOCA_current!$A$2:$BG$2,0),FALSE)</f>
        <v>5.4175099999999997E-2</v>
      </c>
      <c r="BW78" s="151">
        <f t="shared" si="27"/>
        <v>0</v>
      </c>
      <c r="BX78" s="151">
        <f t="shared" si="28"/>
        <v>0</v>
      </c>
      <c r="BY78" s="226">
        <f>VLOOKUP($A78,IRD!$A$4:$G$139, 7, FALSE)</f>
        <v>0</v>
      </c>
      <c r="BZ78" s="227">
        <f t="array" ref="BZ78">IF($BU78=0, INDEX(LS_current!$D$4:$AY$138, MATCH('Staging Table'!$A78, LS_current!$B$4:$B$138, 0), MATCH(BZ$4&amp;BZ$5, LS_current!$D$2:$AY$2&amp;LS_current!$D$3:$AY$3, 0)),SUM(VLOOKUP($A78, LS_current!$B$4:$AY$138, LS_current!D$148, FALSE), VLOOKUP($A78, LS_current!$B$4:$AY$138,LS_current!D$148, FALSE))/2)</f>
        <v>-1226</v>
      </c>
      <c r="CA78" s="227">
        <f t="array" ref="CA78">IF($BU78=0, INDEX(LS_current!$D$4:$AY$138, MATCH('Staging Table'!$A78, LS_current!$B$4:$B$138, 0), MATCH(CA$4&amp;CA$5, LS_current!$D$2:$AY$2&amp;LS_current!$D$3:$AY$3, 0)),SUM(VLOOKUP($A78, LS_current!$B$4:$AY$138, LS_current!E$148, FALSE), VLOOKUP($A78, LS_current!$B$4:$AY$138,LS_current!E$148, FALSE))/2)</f>
        <v>720</v>
      </c>
      <c r="CB78" s="227">
        <f t="array" ref="CB78">IF($BU78=0, INDEX(LS_current!$D$4:$AY$138, MATCH('Staging Table'!$A78, LS_current!$B$4:$B$138, 0), MATCH(CB$4&amp;CB$5, LS_current!$D$2:$AY$2&amp;LS_current!$D$3:$AY$3, 0)),SUM(VLOOKUP($A78, LS_current!$B$4:$AY$138, LS_current!F$148, FALSE), VLOOKUP($A78, LS_current!$B$4:$AY$138,LS_current!F$148, FALSE))/2)</f>
        <v>-1596</v>
      </c>
      <c r="CC78" s="227">
        <f t="array" ref="CC78">IF($BU78=0, INDEX(LS_current!$D$4:$AY$138, MATCH('Staging Table'!$A78, LS_current!$B$4:$B$138, 0), MATCH(CC$4&amp;CC$5, LS_current!$D$2:$AY$2&amp;LS_current!$D$3:$AY$3, 0)),SUM(VLOOKUP($A78, LS_current!$B$4:$AY$138, LS_current!G$148, FALSE), VLOOKUP($A78, LS_current!$B$4:$AY$138,LS_current!G$148, FALSE))/2)</f>
        <v>722</v>
      </c>
      <c r="CD78" s="227">
        <f t="array" ref="CD78">IF($BU78=0, INDEX(LS_current!$D$4:$AY$138, MATCH('Staging Table'!$A78, LS_current!$B$4:$B$138, 0), MATCH(CD$4&amp;CD$5, LS_current!$D$2:$AY$2&amp;LS_current!$D$3:$AY$3, 0)),SUM(VLOOKUP($A78, LS_current!$B$4:$AY$138, LS_current!H$148, FALSE), VLOOKUP($A78, LS_current!$B$4:$AY$138,LS_current!H$148, FALSE))/2)</f>
        <v>4598</v>
      </c>
      <c r="CE78" s="227">
        <f t="array" ref="CE78">IF($BU78=0, INDEX(LS_current!$D$4:$AY$138, MATCH('Staging Table'!$A78, LS_current!$B$4:$B$138, 0), MATCH(CE$4&amp;CE$5, LS_current!$D$2:$AY$2&amp;LS_current!$D$3:$AY$3, 0)),SUM(VLOOKUP($A78, LS_current!$B$4:$AY$138, LS_current!I$148, FALSE), VLOOKUP($A78, LS_current!$B$4:$AY$138,LS_current!I$148, FALSE))/2)</f>
        <v>4823</v>
      </c>
      <c r="CF78" s="227">
        <f t="array" ref="CF78">IF($BU78=0, INDEX(LS_current!$D$4:$AY$138, MATCH('Staging Table'!$A78, LS_current!$B$4:$B$138, 0), MATCH(CF$4&amp;CF$5, LS_current!$D$2:$AY$2&amp;LS_current!$D$3:$AY$3, 0)),SUM(VLOOKUP($A78, LS_current!$B$4:$AY$138, LS_current!J$148, FALSE), VLOOKUP($A78, LS_current!$B$4:$AY$138,LS_current!J$148, FALSE))/2)</f>
        <v>6118</v>
      </c>
      <c r="CG78" s="227">
        <f t="array" ref="CG78">IF($BU78=0, INDEX(LS_current!$D$4:$AY$138, MATCH('Staging Table'!$A78, LS_current!$B$4:$B$138, 0), MATCH(CG$4&amp;CG$5, LS_current!$D$2:$AY$2&amp;LS_current!$D$3:$AY$3, 0)),SUM(VLOOKUP($A78, LS_current!$B$4:$AY$138, LS_current!K$148, FALSE), VLOOKUP($A78, LS_current!$B$4:$AY$138,LS_current!K$148, FALSE))/2)</f>
        <v>7351</v>
      </c>
      <c r="CH78" s="227">
        <f t="array" ref="CH78">IF($BU78=0, INDEX(LS_current!$D$4:$AY$138, MATCH('Staging Table'!$A78, LS_current!$B$4:$B$138, 0), MATCH(CH$4&amp;CH$5, LS_current!$D$2:$AY$2&amp;LS_current!$D$3:$AY$3, 0)),SUM(VLOOKUP($A78, LS_current!$B$4:$AY$138, LS_current!L$148, FALSE), VLOOKUP($A78, LS_current!$B$4:$AY$138,LS_current!L$148, FALSE))/2)</f>
        <v>5486</v>
      </c>
      <c r="CI78" s="227">
        <f t="array" ref="CI78">IF($BU78=0, INDEX(LS_current!$D$4:$AY$138, MATCH('Staging Table'!$A78, LS_current!$B$4:$B$138, 0), MATCH(CI$4&amp;CI$5, LS_current!$D$2:$AY$2&amp;LS_current!$D$3:$AY$3, 0)),SUM(VLOOKUP($A78, LS_current!$B$4:$AY$138, LS_current!M$148, FALSE), VLOOKUP($A78, LS_current!$B$4:$AY$138,LS_current!M$148, FALSE))/2)</f>
        <v>4688</v>
      </c>
      <c r="CJ78" s="227">
        <f t="array" ref="CJ78">IF($BU78=0, INDEX(LS_current!$D$4:$AY$138, MATCH('Staging Table'!$A78, LS_current!$B$4:$B$138, 0), MATCH(CJ$4&amp;CJ$5, LS_current!$D$2:$AY$2&amp;LS_current!$D$3:$AY$3, 0)),SUM(VLOOKUP($A78, LS_current!$B$4:$AY$138, LS_current!N$148, FALSE), VLOOKUP($A78, LS_current!$B$4:$AY$138,LS_current!N$148, FALSE))/2)</f>
        <v>2269</v>
      </c>
      <c r="CK78" s="227">
        <f t="array" ref="CK78">IF($BU78=0, INDEX(LS_current!$D$4:$AY$138, MATCH('Staging Table'!$A78, LS_current!$B$4:$B$138, 0), MATCH(CK$4&amp;CK$5, LS_current!$D$2:$AY$2&amp;LS_current!$D$3:$AY$3, 0)),SUM(VLOOKUP($A78, LS_current!$B$4:$AY$138, LS_current!O$148, FALSE), VLOOKUP($A78, LS_current!$B$4:$AY$138,LS_current!O$148, FALSE))/2)</f>
        <v>1852</v>
      </c>
      <c r="CL78" s="227">
        <f t="array" ref="CL78">IF($BU78=0, INDEX(LS_current!$D$4:$AY$138, MATCH('Staging Table'!$A78, LS_current!$B$4:$B$138, 0), MATCH(CL$4&amp;CL$5, LS_current!$D$2:$AY$2&amp;LS_current!$D$3:$AY$3, 0)),SUM(VLOOKUP($A78, LS_current!$B$4:$AY$138, LS_current!P$148, FALSE), VLOOKUP($A78, LS_current!$B$4:$AY$138,LS_current!P$148, FALSE))/2)</f>
        <v>2336</v>
      </c>
      <c r="CM78" s="227">
        <f t="array" ref="CM78">IF($BU78=0, INDEX(LS_current!$D$4:$AY$138, MATCH('Staging Table'!$A78, LS_current!$B$4:$B$138, 0), MATCH(CM$4&amp;CM$5, LS_current!$D$2:$AY$2&amp;LS_current!$D$3:$AY$3, 0)),SUM(VLOOKUP($A78, LS_current!$B$4:$AY$138, LS_current!Q$148, FALSE), VLOOKUP($A78, LS_current!$B$4:$AY$138,LS_current!Q$148, FALSE))/2)</f>
        <v>1975</v>
      </c>
      <c r="CN78" s="227">
        <f t="array" ref="CN78">IF($BU78=0, INDEX(LS_current!$D$4:$AY$138, MATCH('Staging Table'!$A78, LS_current!$B$4:$B$138, 0), MATCH(CN$4&amp;CN$5, LS_current!$D$2:$AY$2&amp;LS_current!$D$3:$AY$3, 0)),SUM(VLOOKUP($A78, LS_current!$B$4:$AY$138, LS_current!R$148, FALSE), VLOOKUP($A78, LS_current!$B$4:$AY$138,LS_current!R$148, FALSE))/2)</f>
        <v>-6699</v>
      </c>
      <c r="CO78" s="227">
        <f t="array" ref="CO78">IF($BU78=0, INDEX(LS_current!$D$4:$AY$138, MATCH('Staging Table'!$A78, LS_current!$B$4:$B$138, 0), MATCH(CO$4&amp;CO$5, LS_current!$D$2:$AY$2&amp;LS_current!$D$3:$AY$3, 0)),SUM(VLOOKUP($A78, LS_current!$B$4:$AY$138, LS_current!S$148, FALSE), VLOOKUP($A78, LS_current!$B$4:$AY$138,LS_current!S$148, FALSE))/2)</f>
        <v>-1213</v>
      </c>
      <c r="CP78" s="227">
        <f t="array" ref="CP78">IF($BU78=0, INDEX(LS_current!$D$4:$AY$138, MATCH('Staging Table'!$A78, LS_current!$B$4:$B$138, 0), MATCH(CP$4&amp;CP$5, LS_current!$D$2:$AY$2&amp;LS_current!$D$3:$AY$3, 0)),SUM(VLOOKUP($A78, LS_current!$B$4:$AY$138, LS_current!T$148, FALSE), VLOOKUP($A78, LS_current!$B$4:$AY$138,LS_current!T$148, FALSE))/2)</f>
        <v>-10857</v>
      </c>
      <c r="CQ78" s="227">
        <f t="array" ref="CQ78">IF($BU78=0, INDEX(LS_current!$D$4:$AY$138, MATCH('Staging Table'!$A78, LS_current!$B$4:$B$138, 0), MATCH(CQ$4&amp;CQ$5, LS_current!$D$2:$AY$2&amp;LS_current!$D$3:$AY$3, 0)),SUM(VLOOKUP($A78, LS_current!$B$4:$AY$138, LS_current!U$148, FALSE), VLOOKUP($A78, LS_current!$B$4:$AY$138,LS_current!U$148, FALSE))/2)</f>
        <v>-5605</v>
      </c>
      <c r="CR78" s="227">
        <f t="array" ref="CR78">IF($BU78=0, INDEX(LS_current!$D$4:$AY$138, MATCH('Staging Table'!$A78, LS_current!$B$4:$B$138, 0), MATCH(CR$4&amp;CR$5, LS_current!$D$2:$AY$2&amp;LS_current!$D$3:$AY$3, 0)),SUM(VLOOKUP($A78, LS_current!$B$4:$AY$138, LS_current!V$148, FALSE), VLOOKUP($A78, LS_current!$B$4:$AY$138,LS_current!V$148, FALSE))/2)</f>
        <v>-3065</v>
      </c>
      <c r="CS78" s="227">
        <f t="array" ref="CS78">IF($BU78=0, INDEX(LS_current!$D$4:$AY$138, MATCH('Staging Table'!$A78, LS_current!$B$4:$B$138, 0), MATCH(CS$4&amp;CS$5, LS_current!$D$2:$AY$2&amp;LS_current!$D$3:$AY$3, 0)),SUM(VLOOKUP($A78, LS_current!$B$4:$AY$138, LS_current!W$148, FALSE), VLOOKUP($A78, LS_current!$B$4:$AY$138,LS_current!W$148, FALSE))/2)</f>
        <v>2637</v>
      </c>
      <c r="CT78" s="227">
        <f t="array" ref="CT78">IF($BU78=0, INDEX(LS_current!$D$4:$AY$138, MATCH('Staging Table'!$A78, LS_current!$B$4:$B$138, 0), MATCH(CT$4&amp;CT$5, LS_current!$D$2:$AY$2&amp;LS_current!$D$3:$AY$3, 0)),SUM(VLOOKUP($A78, LS_current!$B$4:$AY$138, LS_current!X$148, FALSE), VLOOKUP($A78, LS_current!$B$4:$AY$138,LS_current!X$148, FALSE))/2)</f>
        <v>-1915</v>
      </c>
      <c r="CU78" s="227">
        <f t="array" ref="CU78">IF($BU78=0, INDEX(LS_current!$D$4:$AY$138, MATCH('Staging Table'!$A78, LS_current!$B$4:$B$138, 0), MATCH(CU$4&amp;CU$5, LS_current!$D$2:$AY$2&amp;LS_current!$D$3:$AY$3, 0)),SUM(VLOOKUP($A78, LS_current!$B$4:$AY$138, LS_current!Y$148, FALSE), VLOOKUP($A78, LS_current!$B$4:$AY$138,LS_current!Y$148, FALSE))/2)</f>
        <v>980</v>
      </c>
      <c r="CV78" s="227">
        <f t="array" ref="CV78">IF($BU78=0, INDEX(LS_current!$D$4:$AY$138, MATCH('Staging Table'!$A78, LS_current!$B$4:$B$138, 0), MATCH(CV$4&amp;CV$5, LS_current!$D$2:$AY$2&amp;LS_current!$D$3:$AY$3, 0)),SUM(VLOOKUP($A78, LS_current!$B$4:$AY$138, LS_current!Z$148, FALSE), VLOOKUP($A78, LS_current!$B$4:$AY$138,LS_current!Z$148, FALSE))/2)</f>
        <v>-2786</v>
      </c>
      <c r="CW78" s="227">
        <f t="array" ref="CW78">IF($BU78=0, INDEX(LS_current!$D$4:$AY$138, MATCH('Staging Table'!$A78, LS_current!$B$4:$B$138, 0), MATCH(CW$4&amp;CW$5, LS_current!$D$2:$AY$2&amp;LS_current!$D$3:$AY$3, 0)),SUM(VLOOKUP($A78, LS_current!$B$4:$AY$138, LS_current!AA$148, FALSE), VLOOKUP($A78, LS_current!$B$4:$AY$138,LS_current!AA$148, FALSE))/2)</f>
        <v>-221</v>
      </c>
      <c r="CX78" s="229">
        <f t="array" ref="CX78">INDEX(Demand_current!$D$4:$AY$138, MATCH($A78, Demand_current!$B$4:$B$138, 0), MATCH(CX$4&amp;CX$5,Demand_current!$D$2:$AY$2&amp;Demand_current!$D$3:$AY$3, 0))/1000</f>
        <v>4.4889999999999999</v>
      </c>
      <c r="CY78" s="229">
        <f t="array" ref="CY78">INDEX(Demand_current!$D$4:$AY$138, MATCH($A78, Demand_current!$B$4:$B$138, 0), MATCH(CY$4&amp;CY$5,Demand_current!$D$2:$AY$2&amp;Demand_current!$D$3:$AY$3, 0))/1000</f>
        <v>8.4060000000000006</v>
      </c>
      <c r="CZ78" s="229">
        <f t="array" ref="CZ78">INDEX(Demand_current!$D$4:$AY$138, MATCH($A78, Demand_current!$B$4:$B$138, 0), MATCH(CZ$4&amp;CZ$5,Demand_current!$D$2:$AY$2&amp;Demand_current!$D$3:$AY$3, 0))/1000</f>
        <v>11.507</v>
      </c>
      <c r="DA78" s="229">
        <f t="array" ref="DA78">INDEX(Demand_current!$D$4:$AY$138, MATCH($A78, Demand_current!$B$4:$B$138, 0), MATCH(DA$4&amp;DA$5,Demand_current!$D$2:$AY$2&amp;Demand_current!$D$3:$AY$3, 0))/1000</f>
        <v>8.8960000000000008</v>
      </c>
      <c r="DB78" s="229">
        <f t="array" ref="DB78">INDEX(Demand_current!$D$4:$AY$138, MATCH($A78, Demand_current!$B$4:$B$138, 0), MATCH(DB$4&amp;DB$5,Demand_current!$D$2:$AY$2&amp;Demand_current!$D$3:$AY$3, 0))/1000</f>
        <v>10.898</v>
      </c>
      <c r="DC78" s="229">
        <f t="array" ref="DC78">INDEX(Demand_current!$D$4:$AY$138, MATCH($A78, Demand_current!$B$4:$B$138, 0), MATCH(DC$4&amp;DC$5,Demand_current!$D$2:$AY$2&amp;Demand_current!$D$3:$AY$3, 0))/1000</f>
        <v>8.1760000000000002</v>
      </c>
      <c r="DD78" s="229">
        <f t="array" ref="DD78">INDEX(Demand_current!$D$4:$AY$138, MATCH($A78, Demand_current!$B$4:$B$138, 0), MATCH(DD$4&amp;DD$5,Demand_current!$D$2:$AY$2&amp;Demand_current!$D$3:$AY$3, 0))/1000</f>
        <v>7.9480000000000004</v>
      </c>
      <c r="DE78" s="229">
        <f t="array" ref="DE78">INDEX(Demand_current!$D$4:$AY$138, MATCH($A78, Demand_current!$B$4:$B$138, 0), MATCH(DE$4&amp;DE$5,Demand_current!$D$2:$AY$2&amp;Demand_current!$D$3:$AY$3, 0))/1000</f>
        <v>4.2519999999999998</v>
      </c>
      <c r="DF78" s="229">
        <f t="array" ref="DF78">INDEX(Demand_current!$D$4:$AY$138, MATCH($A78, Demand_current!$B$4:$B$138, 0), MATCH(DF$4&amp;DF$5,Demand_current!$D$2:$AY$2&amp;Demand_current!$D$3:$AY$3, 0))/1000</f>
        <v>12.042999999999999</v>
      </c>
      <c r="DG78" s="229">
        <f t="array" ref="DG78">INDEX(Demand_current!$D$4:$AY$138, MATCH($A78, Demand_current!$B$4:$B$138, 0), MATCH(DG$4&amp;DG$5,Demand_current!$D$2:$AY$2&amp;Demand_current!$D$3:$AY$3, 0))/1000</f>
        <v>14.855</v>
      </c>
      <c r="DH78" s="229">
        <f t="array" ref="DH78">INDEX(Demand_current!$D$4:$AY$138, MATCH($A78, Demand_current!$B$4:$B$138, 0), MATCH(DH$4&amp;DH$5,Demand_current!$D$2:$AY$2&amp;Demand_current!$D$3:$AY$3, 0))/1000</f>
        <v>11.11</v>
      </c>
      <c r="DI78" s="229">
        <f t="array" ref="DI78">INDEX(Demand_current!$D$4:$AY$138, MATCH($A78, Demand_current!$B$4:$B$138, 0), MATCH(DI$4&amp;DI$5,Demand_current!$D$2:$AY$2&amp;Demand_current!$D$3:$AY$3, 0))/1000</f>
        <v>7.44</v>
      </c>
      <c r="DJ78" s="227">
        <f>$BT78*(VLOOKUP(DJ$4, Rates_current!$G$6:$Q$29, 10, FALSE)+VLOOKUP(DJ$4, Rates_current!$G$6:$Q$29, 11, FALSE))</f>
        <v>33344.879594353195</v>
      </c>
      <c r="DK78" s="227">
        <f>$BT78*(VLOOKUP(DK$4, Rates_current!$G$6:$Q$29, 10, FALSE)+VLOOKUP(DK$4, Rates_current!$G$6:$Q$29, 11, FALSE))</f>
        <v>42358.3992220863</v>
      </c>
      <c r="DL78" s="227">
        <f>$BT78*(VLOOKUP(DL$4, Rates_current!$G$6:$Q$29, 10, FALSE)+VLOOKUP(DL$4, Rates_current!$G$6:$Q$29, 11, FALSE))</f>
        <v>41846.864235453206</v>
      </c>
      <c r="DM78" s="227">
        <f>$BT78*(VLOOKUP(DM$4, Rates_current!$G$6:$Q$29, 10, FALSE)+VLOOKUP(DM$4, Rates_current!$G$6:$Q$29, 11, FALSE))</f>
        <v>34881.910113853206</v>
      </c>
      <c r="DN78" s="227">
        <f>$BT78*(VLOOKUP(DN$4, Rates_current!$G$6:$Q$29, 10, FALSE)+VLOOKUP(DN$4, Rates_current!$G$6:$Q$29, 11, FALSE))</f>
        <v>31599.391844559999</v>
      </c>
      <c r="DO78" s="227">
        <f>$BT78*(VLOOKUP(DO$4, Rates_current!$G$6:$Q$29, 10, FALSE)+VLOOKUP(DO$4, Rates_current!$G$6:$Q$29, 11, FALSE))</f>
        <v>35148.562294232899</v>
      </c>
      <c r="DP78" s="227">
        <f>$BT78*(VLOOKUP(DP$4, Rates_current!$G$6:$Q$29, 10, FALSE)+VLOOKUP(DP$4, Rates_current!$G$6:$Q$29, 11, FALSE))</f>
        <v>28617.997349016001</v>
      </c>
      <c r="DQ78" s="227">
        <f>$BT78*(VLOOKUP(DQ$4, Rates_current!$G$6:$Q$29, 10, FALSE)+VLOOKUP(DQ$4, Rates_current!$G$6:$Q$29, 11, FALSE))</f>
        <v>38595.636841203202</v>
      </c>
      <c r="DR78" s="227">
        <f>$BT78*(VLOOKUP(DR$4, Rates_current!$G$6:$Q$29, 10, FALSE)+VLOOKUP(DR$4, Rates_current!$G$6:$Q$29, 11, FALSE))</f>
        <v>49245.407665166007</v>
      </c>
      <c r="DS78" s="227">
        <f>$BT78*(VLOOKUP(DS$4, Rates_current!$G$6:$Q$29, 10, FALSE)+VLOOKUP(DS$4, Rates_current!$G$6:$Q$29, 11, FALSE))</f>
        <v>38609.961083153205</v>
      </c>
      <c r="DT78" s="227">
        <f>$BT78*(VLOOKUP(DT$4, Rates_current!$G$6:$Q$29, 10, FALSE)+VLOOKUP(DT$4, Rates_current!$G$6:$Q$29, 11, FALSE))</f>
        <v>37598.413953303207</v>
      </c>
      <c r="DU78" s="227">
        <f>$BT78*(VLOOKUP(DU$4, Rates_current!$G$6:$Q$29, 10, FALSE)+VLOOKUP(DU$4, Rates_current!$G$6:$Q$29, 11, FALSE))</f>
        <v>33755.377516716006</v>
      </c>
      <c r="DV78" s="229">
        <f>IF(D78=0,IF(C78=0,MAX(0,DY78 - (VLOOKUP($A78,TOCA_current!$A$2:$AI$137,MATCH("RHWM 2020",TOCA_current!$A$2:$AI$2,0),FALSE)*$BT$2)), 0),0)</f>
        <v>11371.282438553579</v>
      </c>
      <c r="DW78" s="266">
        <f>VLOOKUP($A78,REP_current!$A$1:$D$135,MATCH("FY "&amp;$BT$1&amp; " Total Refund",REP_current!$A$1:$D$1,0),0)</f>
        <v>0</v>
      </c>
      <c r="DX78" s="295">
        <f>MIN(VLOOKUP($A78,TOCA_current!$A$2:$AI$137,MATCH("TRL - NLSL - Existing Resource "&amp;$BT$1,TOCA_current!$A$2:$AI$2,0),FALSE)*$BT$2, VLOOKUP($A78,TOCA_current!$A$2:$AI$137,MATCH("RHWM 2020",TOCA_current!$A$2:$AI$2,0),FALSE)*$BT$2)</f>
        <v>445603.53600000002</v>
      </c>
      <c r="DY78" s="240">
        <f>SUM(BZ78:CW78)+(BT78*RT1SC!$C$4*$BT$2)</f>
        <v>456974.8184385536</v>
      </c>
      <c r="DZ78" s="271">
        <f>VLOOKUP($A78,TOCA_current!$A$2:$AI$137,MATCH("Above RHWM Not Served with LS "&amp;$BT$1,TOCA_current!$A$2:$AI$2,0),FALSE)*$BT$2</f>
        <v>37209.023999999998</v>
      </c>
      <c r="EA78" s="244">
        <f t="shared" si="29"/>
        <v>11371.282438553579</v>
      </c>
      <c r="EB78" s="295">
        <f>(VLOOKUP($A78,TOCA_current!$A$2:$AI$137,MATCH("RHWM 2020",TOCA_current!$A$2:$AI$2,0),FALSE)*$BT$2) - $DX78</f>
        <v>0</v>
      </c>
      <c r="EC78" s="240">
        <f t="shared" si="30"/>
        <v>0</v>
      </c>
      <c r="ED78" s="240">
        <f t="shared" si="31"/>
        <v>0</v>
      </c>
      <c r="EE78" s="240">
        <f t="shared" si="32"/>
        <v>0</v>
      </c>
      <c r="EF78" s="240">
        <f t="shared" si="33"/>
        <v>0</v>
      </c>
    </row>
    <row r="79" spans="1:136">
      <c r="A79" s="166">
        <v>10235</v>
      </c>
      <c r="B79" s="167" t="s">
        <v>80</v>
      </c>
      <c r="C79" s="240">
        <v>0</v>
      </c>
      <c r="D79" s="240">
        <v>0</v>
      </c>
      <c r="E79" s="150">
        <f>VLOOKUP($A79,TOCA_previous!$A$2:$AI$137,MATCH(E$4,TOCA_previous!$A$2:$AI$2,0),FALSE)</f>
        <v>4.4777000000000003E-3</v>
      </c>
      <c r="F79" s="151">
        <f>VLOOKUP($A79,TOCA_previous!$A$2:$AI$137,MATCH(F$4,TOCA_previous!$A$2:$AI$2,0),FALSE)</f>
        <v>4.4777000000000003E-3</v>
      </c>
      <c r="G79" s="151">
        <f t="shared" si="18"/>
        <v>0</v>
      </c>
      <c r="H79" s="151">
        <f>VLOOKUP($A79,TOCA_previous!$A$2:$AI$137,MATCH(H$4,TOCA_previous!$A$2:$AI$2,0),FALSE)</f>
        <v>0</v>
      </c>
      <c r="I79" s="151">
        <f t="shared" si="19"/>
        <v>0</v>
      </c>
      <c r="J79" s="151">
        <f t="shared" si="20"/>
        <v>0</v>
      </c>
      <c r="K79" s="226">
        <f>VLOOKUP(A79, IRD!$A$5:$C$139, 3, FALSE)</f>
        <v>0</v>
      </c>
      <c r="L79" s="227">
        <f t="array" ref="L79">IF($G79=0, INDEX(LS_previous!$D$4:$AY$138, MATCH('Staging Table'!$A79, LS_previous!$B$4:$B$138, 0), MATCH(L$4&amp;L$5, LS_previous!$D$2:$AY$2&amp;LS_previous!$D$3:$AY$3, 0)),SUM(VLOOKUP($A79, LS_previous!$B$4:$AY$138, LS_previous!D$149, FALSE), VLOOKUP('Staging Table'!$A79, LS_previous!$B$4:$AY$138,LS_previous!AB$149, FALSE))/2)</f>
        <v>199</v>
      </c>
      <c r="M79" s="227">
        <f t="array" ref="M79">IF($G79=0, INDEX(LS_previous!$D$4:$AY$138, MATCH('Staging Table'!$A79, LS_previous!$B$4:$B$138, 0), MATCH(M$4&amp;M$5, LS_previous!$D$2:$AY$2&amp;LS_previous!$D$3:$AY$3, 0)),SUM(VLOOKUP($A79, LS_previous!$B$4:$AY$138, LS_previous!E$149, FALSE), VLOOKUP('Staging Table'!$A79, LS_previous!$B$4:$AY$138,LS_previous!AC$149, FALSE))/2)</f>
        <v>284</v>
      </c>
      <c r="N79" s="227">
        <f t="array" ref="N79">IF($G79=0, INDEX(LS_previous!$D$4:$AY$138, MATCH('Staging Table'!$A79, LS_previous!$B$4:$B$138, 0), MATCH(N$4&amp;N$5, LS_previous!$D$2:$AY$2&amp;LS_previous!$D$3:$AY$3, 0)),SUM(VLOOKUP($A79, LS_previous!$B$4:$AY$138, LS_previous!F$149, FALSE), VLOOKUP('Staging Table'!$A79, LS_previous!$B$4:$AY$138,LS_previous!AD$149, FALSE))/2)</f>
        <v>-264</v>
      </c>
      <c r="O79" s="227">
        <f t="array" ref="O79">IF($G79=0, INDEX(LS_previous!$D$4:$AY$138, MATCH('Staging Table'!$A79, LS_previous!$B$4:$B$138, 0), MATCH(O$4&amp;O$5, LS_previous!$D$2:$AY$2&amp;LS_previous!$D$3:$AY$3, 0)),SUM(VLOOKUP($A79, LS_previous!$B$4:$AY$138, LS_previous!G$149, FALSE), VLOOKUP('Staging Table'!$A79, LS_previous!$B$4:$AY$138,LS_previous!AE$149, FALSE))/2)</f>
        <v>369</v>
      </c>
      <c r="P79" s="227">
        <f t="array" ref="P79">IF($G79=0, INDEX(LS_previous!$D$4:$AY$138, MATCH('Staging Table'!$A79, LS_previous!$B$4:$B$138, 0), MATCH(P$4&amp;P$5, LS_previous!$D$2:$AY$2&amp;LS_previous!$D$3:$AY$3, 0)),SUM(VLOOKUP($A79, LS_previous!$B$4:$AY$138, LS_previous!H$149, FALSE), VLOOKUP('Staging Table'!$A79, LS_previous!$B$4:$AY$138,LS_previous!AF$149, FALSE))/2)</f>
        <v>776</v>
      </c>
      <c r="Q79" s="227">
        <f t="array" ref="Q79">IF($G79=0, INDEX(LS_previous!$D$4:$AY$138, MATCH('Staging Table'!$A79, LS_previous!$B$4:$B$138, 0), MATCH(Q$4&amp;Q$5, LS_previous!$D$2:$AY$2&amp;LS_previous!$D$3:$AY$3, 0)),SUM(VLOOKUP($A79, LS_previous!$B$4:$AY$138, LS_previous!I$149, FALSE), VLOOKUP('Staging Table'!$A79, LS_previous!$B$4:$AY$138,LS_previous!AG$149, FALSE))/2)</f>
        <v>1423</v>
      </c>
      <c r="R79" s="227">
        <f t="array" ref="R79">IF($G79=0, INDEX(LS_previous!$D$4:$AY$138, MATCH('Staging Table'!$A79, LS_previous!$B$4:$B$138, 0), MATCH(R$4&amp;R$5, LS_previous!$D$2:$AY$2&amp;LS_previous!$D$3:$AY$3, 0)),SUM(VLOOKUP($A79, LS_previous!$B$4:$AY$138, LS_previous!J$149, FALSE), VLOOKUP('Staging Table'!$A79, LS_previous!$B$4:$AY$138,LS_previous!AH$149, FALSE))/2)</f>
        <v>4576</v>
      </c>
      <c r="S79" s="227">
        <f t="array" ref="S79">IF($G79=0, INDEX(LS_previous!$D$4:$AY$138, MATCH('Staging Table'!$A79, LS_previous!$B$4:$B$138, 0), MATCH(S$4&amp;S$5, LS_previous!$D$2:$AY$2&amp;LS_previous!$D$3:$AY$3, 0)),SUM(VLOOKUP($A79, LS_previous!$B$4:$AY$138, LS_previous!K$149, FALSE), VLOOKUP('Staging Table'!$A79, LS_previous!$B$4:$AY$138,LS_previous!AI$149, FALSE))/2)</f>
        <v>2561</v>
      </c>
      <c r="T79" s="227">
        <f t="array" ref="T79">IF($G79=0, INDEX(LS_previous!$D$4:$AY$138, MATCH('Staging Table'!$A79, LS_previous!$B$4:$B$138, 0), MATCH(T$4&amp;T$5, LS_previous!$D$2:$AY$2&amp;LS_previous!$D$3:$AY$3, 0)),SUM(VLOOKUP($A79, LS_previous!$B$4:$AY$138, LS_previous!L$149, FALSE), VLOOKUP('Staging Table'!$A79, LS_previous!$B$4:$AY$138,LS_previous!AJ$149, FALSE))/2)</f>
        <v>5253</v>
      </c>
      <c r="U79" s="227">
        <f t="array" ref="U79">IF($G79=0, INDEX(LS_previous!$D$4:$AY$138, MATCH('Staging Table'!$A79, LS_previous!$B$4:$B$138, 0), MATCH(U$4&amp;U$5, LS_previous!$D$2:$AY$2&amp;LS_previous!$D$3:$AY$3, 0)),SUM(VLOOKUP($A79, LS_previous!$B$4:$AY$138, LS_previous!M$149, FALSE), VLOOKUP('Staging Table'!$A79, LS_previous!$B$4:$AY$138,LS_previous!AK$149, FALSE))/2)</f>
        <v>2969</v>
      </c>
      <c r="V79" s="227">
        <f t="array" ref="V79">IF($G79=0, INDEX(LS_previous!$D$4:$AY$138, MATCH('Staging Table'!$A79, LS_previous!$B$4:$B$138, 0), MATCH(V$4&amp;V$5, LS_previous!$D$2:$AY$2&amp;LS_previous!$D$3:$AY$3, 0)),SUM(VLOOKUP($A79, LS_previous!$B$4:$AY$138, LS_previous!N$149, FALSE), VLOOKUP('Staging Table'!$A79, LS_previous!$B$4:$AY$138,LS_previous!AL$149, FALSE))/2)</f>
        <v>1580</v>
      </c>
      <c r="W79" s="227">
        <f t="array" ref="W79">IF($G79=0, INDEX(LS_previous!$D$4:$AY$138, MATCH('Staging Table'!$A79, LS_previous!$B$4:$B$138, 0), MATCH(W$4&amp;W$5, LS_previous!$D$2:$AY$2&amp;LS_previous!$D$3:$AY$3, 0)),SUM(VLOOKUP($A79, LS_previous!$B$4:$AY$138, LS_previous!O$149, FALSE), VLOOKUP('Staging Table'!$A79, LS_previous!$B$4:$AY$138,LS_previous!AM$149, FALSE))/2)</f>
        <v>1467</v>
      </c>
      <c r="X79" s="227">
        <f t="array" ref="X79">IF($G79=0, INDEX(LS_previous!$D$4:$AY$138, MATCH('Staging Table'!$A79, LS_previous!$B$4:$B$138, 0), MATCH(X$4&amp;X$5, LS_previous!$D$2:$AY$2&amp;LS_previous!$D$3:$AY$3, 0)),SUM(VLOOKUP($A79, LS_previous!$B$4:$AY$138, LS_previous!P$149, FALSE), VLOOKUP('Staging Table'!$A79, LS_previous!$B$4:$AY$138,LS_previous!AN$149, FALSE))/2)</f>
        <v>764</v>
      </c>
      <c r="Y79" s="227">
        <f t="array" ref="Y79">IF($G79=0, INDEX(LS_previous!$D$4:$AY$138, MATCH('Staging Table'!$A79, LS_previous!$B$4:$B$138, 0), MATCH(Y$4&amp;Y$5, LS_previous!$D$2:$AY$2&amp;LS_previous!$D$3:$AY$3, 0)),SUM(VLOOKUP($A79, LS_previous!$B$4:$AY$138, LS_previous!Q$149, FALSE), VLOOKUP('Staging Table'!$A79, LS_previous!$B$4:$AY$138,LS_previous!AO$149, FALSE))/2)</f>
        <v>696</v>
      </c>
      <c r="Z79" s="227">
        <f t="array" ref="Z79">IF($G79=0, INDEX(LS_previous!$D$4:$AY$138, MATCH('Staging Table'!$A79, LS_previous!$B$4:$B$138, 0), MATCH(Z$4&amp;Z$5, LS_previous!$D$2:$AY$2&amp;LS_previous!$D$3:$AY$3, 0)),SUM(VLOOKUP($A79, LS_previous!$B$4:$AY$138, LS_previous!R$149, FALSE), VLOOKUP('Staging Table'!$A79, LS_previous!$B$4:$AY$138,LS_previous!AP$149, FALSE))/2)</f>
        <v>-7244</v>
      </c>
      <c r="AA79" s="227">
        <f t="array" ref="AA79">IF($G79=0, INDEX(LS_previous!$D$4:$AY$138, MATCH('Staging Table'!$A79, LS_previous!$B$4:$B$138, 0), MATCH(AA$4&amp;AA$5, LS_previous!$D$2:$AY$2&amp;LS_previous!$D$3:$AY$3, 0)),SUM(VLOOKUP($A79, LS_previous!$B$4:$AY$138, LS_previous!S$149, FALSE), VLOOKUP('Staging Table'!$A79, LS_previous!$B$4:$AY$138,LS_previous!AQ$149, FALSE))/2)</f>
        <v>-2925</v>
      </c>
      <c r="AB79" s="227">
        <f t="array" ref="AB79">IF($G79=0, INDEX(LS_previous!$D$4:$AY$138, MATCH('Staging Table'!$A79, LS_previous!$B$4:$B$138, 0), MATCH(AB$4&amp;AB$5, LS_previous!$D$2:$AY$2&amp;LS_previous!$D$3:$AY$3, 0)),SUM(VLOOKUP($A79, LS_previous!$B$4:$AY$138, LS_previous!T$149, FALSE), VLOOKUP('Staging Table'!$A79, LS_previous!$B$4:$AY$138,LS_previous!AR$149, FALSE))/2)</f>
        <v>-3524</v>
      </c>
      <c r="AC79" s="227">
        <f t="array" ref="AC79">IF($G79=0, INDEX(LS_previous!$D$4:$AY$138, MATCH('Staging Table'!$A79, LS_previous!$B$4:$B$138, 0), MATCH(AC$4&amp;AC$5, LS_previous!$D$2:$AY$2&amp;LS_previous!$D$3:$AY$3, 0)),SUM(VLOOKUP($A79, LS_previous!$B$4:$AY$138, LS_previous!U$149, FALSE), VLOOKUP('Staging Table'!$A79, LS_previous!$B$4:$AY$138,LS_previous!AS$149, FALSE))/2)</f>
        <v>-1502</v>
      </c>
      <c r="AD79" s="227">
        <f t="array" ref="AD79">IF($G79=0, INDEX(LS_previous!$D$4:$AY$138, MATCH('Staging Table'!$A79, LS_previous!$B$4:$B$138, 0), MATCH(AD$4&amp;AD$5, LS_previous!$D$2:$AY$2&amp;LS_previous!$D$3:$AY$3, 0)),SUM(VLOOKUP($A79, LS_previous!$B$4:$AY$138, LS_previous!V$149, FALSE), VLOOKUP('Staging Table'!$A79, LS_previous!$B$4:$AY$138,LS_previous!AT$149, FALSE))/2)</f>
        <v>-1513</v>
      </c>
      <c r="AE79" s="227">
        <f t="array" ref="AE79">IF($G79=0, INDEX(LS_previous!$D$4:$AY$138, MATCH('Staging Table'!$A79, LS_previous!$B$4:$B$138, 0), MATCH(AE$4&amp;AE$5, LS_previous!$D$2:$AY$2&amp;LS_previous!$D$3:$AY$3, 0)),SUM(VLOOKUP($A79, LS_previous!$B$4:$AY$138, LS_previous!W$149, FALSE), VLOOKUP('Staging Table'!$A79, LS_previous!$B$4:$AY$138,LS_previous!AU$149, FALSE))/2)</f>
        <v>-15</v>
      </c>
      <c r="AF79" s="227">
        <f t="array" ref="AF79">IF($G79=0, INDEX(LS_previous!$D$4:$AY$138, MATCH('Staging Table'!$A79, LS_previous!$B$4:$B$138, 0), MATCH(AF$4&amp;AF$5, LS_previous!$D$2:$AY$2&amp;LS_previous!$D$3:$AY$3, 0)),SUM(VLOOKUP($A79, LS_previous!$B$4:$AY$138, LS_previous!X$149, FALSE), VLOOKUP('Staging Table'!$A79, LS_previous!$B$4:$AY$138,LS_previous!AV$149, FALSE))/2)</f>
        <v>-3172</v>
      </c>
      <c r="AG79" s="227">
        <f t="array" ref="AG79">IF($G79=0, INDEX(LS_previous!$D$4:$AY$138, MATCH('Staging Table'!$A79, LS_previous!$B$4:$B$138, 0), MATCH(AG$4&amp;AG$5, LS_previous!$D$2:$AY$2&amp;LS_previous!$D$3:$AY$3, 0)),SUM(VLOOKUP($A79, LS_previous!$B$4:$AY$138, LS_previous!Y$149, FALSE), VLOOKUP('Staging Table'!$A79, LS_previous!$B$4:$AY$138,LS_previous!AW$149, FALSE))/2)</f>
        <v>-338</v>
      </c>
      <c r="AH79" s="227">
        <f t="array" ref="AH79">IF($G79=0, INDEX(LS_previous!$D$4:$AY$138, MATCH('Staging Table'!$A79, LS_previous!$B$4:$B$138, 0), MATCH(AH$4&amp;AH$5, LS_previous!$D$2:$AY$2&amp;LS_previous!$D$3:$AY$3, 0)),SUM(VLOOKUP($A79, LS_previous!$B$4:$AY$138, LS_previous!Z$149, FALSE), VLOOKUP('Staging Table'!$A79, LS_previous!$B$4:$AY$138,LS_previous!AX$149, FALSE))/2)</f>
        <v>-1726</v>
      </c>
      <c r="AI79" s="227">
        <f t="array" ref="AI79">IF($G79=0, INDEX(LS_previous!$D$4:$AY$138, MATCH('Staging Table'!$A79, LS_previous!$B$4:$B$138, 0), MATCH(AI$4&amp;AI$5, LS_previous!$D$2:$AY$2&amp;LS_previous!$D$3:$AY$3, 0)),SUM(VLOOKUP($A79, LS_previous!$B$4:$AY$138, LS_previous!AA$149, FALSE), VLOOKUP('Staging Table'!$A79, LS_previous!$B$4:$AY$138,LS_previous!AY$149, FALSE))/2)</f>
        <v>-514</v>
      </c>
      <c r="AJ79" s="424">
        <f t="array" ref="AJ79">INDEX(Demand_previous!$D$4:$AY$138, MATCH('Staging Table'!$A79, Demand_previous!$B$4:$B$138, 0), MATCH(AJ$4&amp;AJ$5,Demand_previous!$D$2:$AY$2&amp;Demand_previous!$D$3:$AY$3, 0))/1000</f>
        <v>2.5870000000000002</v>
      </c>
      <c r="AK79" s="424">
        <f t="array" ref="AK79">INDEX(Demand_previous!$D$4:$AY$138, MATCH('Staging Table'!$A79, Demand_previous!$B$4:$B$138, 0), MATCH(AK$4&amp;AK$5,Demand_previous!$D$2:$AY$2&amp;Demand_previous!$D$3:$AY$3, 0))/1000</f>
        <v>1.8180000000000001</v>
      </c>
      <c r="AL79" s="424">
        <f t="array" ref="AL79">INDEX(Demand_previous!$D$4:$AY$138, MATCH('Staging Table'!$A79, Demand_previous!$B$4:$B$138, 0), MATCH(AL$4&amp;AL$5,Demand_previous!$D$2:$AY$2&amp;Demand_previous!$D$3:$AY$3, 0))/1000</f>
        <v>7.0830000000000002</v>
      </c>
      <c r="AM79" s="424">
        <f t="array" ref="AM79">INDEX(Demand_previous!$D$4:$AY$138, MATCH('Staging Table'!$A79, Demand_previous!$B$4:$B$138, 0), MATCH(AM$4&amp;AM$5,Demand_previous!$D$2:$AY$2&amp;Demand_previous!$D$3:$AY$3, 0))/1000</f>
        <v>6.202</v>
      </c>
      <c r="AN79" s="424">
        <f t="array" ref="AN79">INDEX(Demand_previous!$D$4:$AY$138, MATCH('Staging Table'!$A79, Demand_previous!$B$4:$B$138, 0), MATCH(AN$4&amp;AN$5,Demand_previous!$D$2:$AY$2&amp;Demand_previous!$D$3:$AY$3, 0))/1000</f>
        <v>1.4850000000000001</v>
      </c>
      <c r="AO79" s="424">
        <f t="array" ref="AO79">INDEX(Demand_previous!$D$4:$AY$138, MATCH('Staging Table'!$A79, Demand_previous!$B$4:$B$138, 0), MATCH(AO$4&amp;AO$5,Demand_previous!$D$2:$AY$2&amp;Demand_previous!$D$3:$AY$3, 0))/1000</f>
        <v>6.9329999999999998</v>
      </c>
      <c r="AP79" s="424">
        <f t="array" ref="AP79">INDEX(Demand_previous!$D$4:$AY$138, MATCH('Staging Table'!$A79, Demand_previous!$B$4:$B$138, 0), MATCH(AP$4&amp;AP$5,Demand_previous!$D$2:$AY$2&amp;Demand_previous!$D$3:$AY$3, 0))/1000</f>
        <v>2.9449999999999998</v>
      </c>
      <c r="AQ79" s="424">
        <f t="array" ref="AQ79">INDEX(Demand_previous!$D$4:$AY$138, MATCH('Staging Table'!$A79, Demand_previous!$B$4:$B$138, 0), MATCH(AQ$4&amp;AQ$5,Demand_previous!$D$2:$AY$2&amp;Demand_previous!$D$3:$AY$3, 0))/1000</f>
        <v>2.1339999999999999</v>
      </c>
      <c r="AR79" s="424">
        <f t="array" ref="AR79">INDEX(Demand_previous!$D$4:$AY$138, MATCH('Staging Table'!$A79, Demand_previous!$B$4:$B$138, 0), MATCH(AR$4&amp;AR$5,Demand_previous!$D$2:$AY$2&amp;Demand_previous!$D$3:$AY$3, 0))/1000</f>
        <v>2.9940000000000002</v>
      </c>
      <c r="AS79" s="424">
        <f t="array" ref="AS79">INDEX(Demand_previous!$D$4:$AY$138, MATCH('Staging Table'!$A79, Demand_previous!$B$4:$B$138, 0), MATCH(AS$4&amp;AS$5,Demand_previous!$D$2:$AY$2&amp;Demand_previous!$D$3:$AY$3, 0))/1000</f>
        <v>2.1869999999999998</v>
      </c>
      <c r="AT79" s="424">
        <f t="array" ref="AT79">INDEX(Demand_previous!$D$4:$AY$138, MATCH('Staging Table'!$A79, Demand_previous!$B$4:$B$138, 0), MATCH(AT$4&amp;AT$5,Demand_previous!$D$2:$AY$2&amp;Demand_previous!$D$3:$AY$3, 0))/1000</f>
        <v>4.9909999999999997</v>
      </c>
      <c r="AU79" s="424">
        <f t="array" ref="AU79">INDEX(Demand_previous!$D$4:$AY$138, MATCH('Staging Table'!$A79, Demand_previous!$B$4:$B$138, 0), MATCH(AU$4&amp;AU$5,Demand_previous!$D$2:$AY$2&amp;Demand_previous!$D$3:$AY$3, 0))/1000</f>
        <v>1.718</v>
      </c>
      <c r="AV79" s="227">
        <f>$F79*(VLOOKUP(AV$4, Rates_previous!$G$6:$Q$29, 10, FALSE)+VLOOKUP(AV$4, Rates_previous!$G$6:$Q$29, 11, FALSE))</f>
        <v>20995.208848651462</v>
      </c>
      <c r="AW79" s="227">
        <f>$F79*(VLOOKUP(AW$4, Rates_previous!$G$6:$Q$29, 10, FALSE)+VLOOKUP(AW$4, Rates_previous!$G$6:$Q$29, 11, FALSE))</f>
        <v>25948.482416494953</v>
      </c>
      <c r="AX79" s="227">
        <f>$F79*(VLOOKUP(AX$4, Rates_previous!$G$6:$Q$29, 10, FALSE)+VLOOKUP(AX$4, Rates_previous!$G$6:$Q$29, 11, FALSE))</f>
        <v>25636.872178556918</v>
      </c>
      <c r="AY79" s="227">
        <f>$F79*(VLOOKUP(AY$4, Rates_previous!$G$6:$Q$29, 10, FALSE)+VLOOKUP(AY$4, Rates_previous!$G$6:$Q$29, 11, FALSE))</f>
        <v>21904.263679081934</v>
      </c>
      <c r="AZ79" s="227">
        <f>$F79*(VLOOKUP(AZ$4, Rates_previous!$G$6:$Q$29, 10, FALSE)+VLOOKUP(AZ$4, Rates_previous!$G$6:$Q$29, 11, FALSE))</f>
        <v>17957.247421677101</v>
      </c>
      <c r="BA79" s="227">
        <f>$F79*(VLOOKUP(BA$4, Rates_previous!$G$6:$Q$29, 10, FALSE)+VLOOKUP(BA$4, Rates_previous!$G$6:$Q$29, 11, FALSE))</f>
        <v>21260.728679505195</v>
      </c>
      <c r="BB79" s="227">
        <f>$F79*(VLOOKUP(BB$4, Rates_previous!$G$6:$Q$29, 10, FALSE)+VLOOKUP(BB$4, Rates_previous!$G$6:$Q$29, 11, FALSE))</f>
        <v>20434.652822664684</v>
      </c>
      <c r="BC79" s="227">
        <f>$F79*(VLOOKUP(BC$4, Rates_previous!$G$6:$Q$29, 10, FALSE)+VLOOKUP(BC$4, Rates_previous!$G$6:$Q$29, 11, FALSE))</f>
        <v>29986.407005082212</v>
      </c>
      <c r="BD79" s="227">
        <f>$F79*(VLOOKUP(BD$4, Rates_previous!$G$6:$Q$29, 10, FALSE)+VLOOKUP(BD$4, Rates_previous!$G$6:$Q$29, 11, FALSE))</f>
        <v>23658.482576611921</v>
      </c>
      <c r="BE79" s="227">
        <f>$F79*(VLOOKUP(BE$4, Rates_previous!$G$6:$Q$29, 10, FALSE)+VLOOKUP(BE$4, Rates_previous!$G$6:$Q$29, 11, FALSE))</f>
        <v>20774.133489545457</v>
      </c>
      <c r="BF79" s="227">
        <f>$F79*(VLOOKUP(BF$4, Rates_previous!$G$6:$Q$29, 10, FALSE)+VLOOKUP(BF$4, Rates_previous!$G$6:$Q$29, 11, FALSE))</f>
        <v>23008.18438072081</v>
      </c>
      <c r="BG79" s="227">
        <f>$F79*(VLOOKUP(BG$4, Rates_previous!$G$6:$Q$29, 10, FALSE)+VLOOKUP(BG$4, Rates_previous!$G$6:$Q$29, 11, FALSE))</f>
        <v>20844.50007078538</v>
      </c>
      <c r="BH79" s="229">
        <f>IF($D79=0,IF(C79=0, MAX(BK79 - (VLOOKUP($A79,TOCA_previous!$A$2:$AI$137,MATCH("RHWM 2018",TOCA_previous!$A$2:$AI$2,0),FALSE)*$F$2*TOCA_previous!C76),0),0), 0)</f>
        <v>0</v>
      </c>
      <c r="BI79" s="266">
        <f>VLOOKUP($A79,REP_previous!$A$1:$D$135,MATCH("FY "&amp;$F$1&amp; " Total Refund",REP_previous!$A$1:$D$1,0),0)</f>
        <v>439571.22445567552</v>
      </c>
      <c r="BJ79" s="241">
        <f>MIN(VLOOKUP($A79,TOCA_previous!$A$2:$AI$137,MATCH("TRL - NLSL - Existing Resource "&amp;$F$1,TOCA_previous!$A$2:$AI$2,0),FALSE)*$F$2,(VLOOKUP($A79,TOCA_previous!$A$2:$AI$137,MATCH("RHWM 2018",TOCA_previous!$A$2:$AI$2,0),FALSE)*$F$2))</f>
        <v>272409.72000000003</v>
      </c>
      <c r="BK79" s="229">
        <f>SUM(L79:AI79)+(F79*RT1SC!$C$3*$F$2)</f>
        <v>272589.16754359199</v>
      </c>
      <c r="BL79" s="241">
        <f>VLOOKUP($A79,TOCA_previous!$A$2:$AI$137,MATCH("Above RHWM Not Served with LS "&amp;$F$1,TOCA_previous!$A$2:$AI$2,0),FALSE)*$F$2</f>
        <v>0</v>
      </c>
      <c r="BM79" s="151">
        <f t="shared" si="21"/>
        <v>179.4475435919594</v>
      </c>
      <c r="BN79" s="242">
        <f>(VLOOKUP($A79,TOCA_previous!$A$2:$AI$137,MATCH("RHWM 2018",TOCA_previous!$A$2:$AI$2,0),FALSE)*$F$2) - $BJ79</f>
        <v>13008.599999999977</v>
      </c>
      <c r="BO79" s="151">
        <f t="shared" si="22"/>
        <v>-179.4475435919594</v>
      </c>
      <c r="BP79" s="243">
        <f t="shared" si="23"/>
        <v>0</v>
      </c>
      <c r="BQ79" s="237">
        <f t="shared" si="24"/>
        <v>0</v>
      </c>
      <c r="BR79" s="242">
        <f t="shared" si="25"/>
        <v>-179.4475435919594</v>
      </c>
      <c r="BS79" s="151">
        <f>VLOOKUP($A79,TOCA_current!$A$2:$AI$137,MATCH(BS$4,TOCA_current!$A$2:$AI$2,0),FALSE)</f>
        <v>4.4745000000000002E-3</v>
      </c>
      <c r="BT79" s="151">
        <f>VLOOKUP($A79,TOCA_current!$A$2:$AI$137,MATCH(BT$4,TOCA_current!$A$2:$AI$2,0),FALSE)</f>
        <v>4.4745000000000002E-3</v>
      </c>
      <c r="BU79" s="236">
        <f t="shared" si="26"/>
        <v>0</v>
      </c>
      <c r="BV79" s="151">
        <f>VLOOKUP($A79,TOCA_current!A75:BG210,MATCH(BV$4,TOCA_current!$A$2:$BG$2,0),FALSE)</f>
        <v>0</v>
      </c>
      <c r="BW79" s="151">
        <f t="shared" si="27"/>
        <v>0</v>
      </c>
      <c r="BX79" s="151">
        <f t="shared" si="28"/>
        <v>0</v>
      </c>
      <c r="BY79" s="226">
        <f>VLOOKUP($A79,IRD!$A$4:$G$139, 7, FALSE)</f>
        <v>0</v>
      </c>
      <c r="BZ79" s="227">
        <f t="array" ref="BZ79">IF($BU79=0, INDEX(LS_current!$D$4:$AY$138, MATCH('Staging Table'!$A79, LS_current!$B$4:$B$138, 0), MATCH(BZ$4&amp;BZ$5, LS_current!$D$2:$AY$2&amp;LS_current!$D$3:$AY$3, 0)),SUM(VLOOKUP($A79, LS_current!$B$4:$AY$138, LS_current!D$148, FALSE), VLOOKUP($A79, LS_current!$B$4:$AY$138,LS_current!D$148, FALSE))/2)</f>
        <v>390</v>
      </c>
      <c r="CA79" s="227">
        <f t="array" ref="CA79">IF($BU79=0, INDEX(LS_current!$D$4:$AY$138, MATCH('Staging Table'!$A79, LS_current!$B$4:$B$138, 0), MATCH(CA$4&amp;CA$5, LS_current!$D$2:$AY$2&amp;LS_current!$D$3:$AY$3, 0)),SUM(VLOOKUP($A79, LS_current!$B$4:$AY$138, LS_current!E$148, FALSE), VLOOKUP($A79, LS_current!$B$4:$AY$138,LS_current!E$148, FALSE))/2)</f>
        <v>428</v>
      </c>
      <c r="CB79" s="227">
        <f t="array" ref="CB79">IF($BU79=0, INDEX(LS_current!$D$4:$AY$138, MATCH('Staging Table'!$A79, LS_current!$B$4:$B$138, 0), MATCH(CB$4&amp;CB$5, LS_current!$D$2:$AY$2&amp;LS_current!$D$3:$AY$3, 0)),SUM(VLOOKUP($A79, LS_current!$B$4:$AY$138, LS_current!F$148, FALSE), VLOOKUP($A79, LS_current!$B$4:$AY$138,LS_current!F$148, FALSE))/2)</f>
        <v>-368</v>
      </c>
      <c r="CC79" s="227">
        <f t="array" ref="CC79">IF($BU79=0, INDEX(LS_current!$D$4:$AY$138, MATCH('Staging Table'!$A79, LS_current!$B$4:$B$138, 0), MATCH(CC$4&amp;CC$5, LS_current!$D$2:$AY$2&amp;LS_current!$D$3:$AY$3, 0)),SUM(VLOOKUP($A79, LS_current!$B$4:$AY$138, LS_current!G$148, FALSE), VLOOKUP($A79, LS_current!$B$4:$AY$138,LS_current!G$148, FALSE))/2)</f>
        <v>177</v>
      </c>
      <c r="CD79" s="227">
        <f t="array" ref="CD79">IF($BU79=0, INDEX(LS_current!$D$4:$AY$138, MATCH('Staging Table'!$A79, LS_current!$B$4:$B$138, 0), MATCH(CD$4&amp;CD$5, LS_current!$D$2:$AY$2&amp;LS_current!$D$3:$AY$3, 0)),SUM(VLOOKUP($A79, LS_current!$B$4:$AY$138, LS_current!H$148, FALSE), VLOOKUP($A79, LS_current!$B$4:$AY$138,LS_current!H$148, FALSE))/2)</f>
        <v>645</v>
      </c>
      <c r="CE79" s="227">
        <f t="array" ref="CE79">IF($BU79=0, INDEX(LS_current!$D$4:$AY$138, MATCH('Staging Table'!$A79, LS_current!$B$4:$B$138, 0), MATCH(CE$4&amp;CE$5, LS_current!$D$2:$AY$2&amp;LS_current!$D$3:$AY$3, 0)),SUM(VLOOKUP($A79, LS_current!$B$4:$AY$138, LS_current!I$148, FALSE), VLOOKUP($A79, LS_current!$B$4:$AY$138,LS_current!I$148, FALSE))/2)</f>
        <v>1262</v>
      </c>
      <c r="CF79" s="227">
        <f t="array" ref="CF79">IF($BU79=0, INDEX(LS_current!$D$4:$AY$138, MATCH('Staging Table'!$A79, LS_current!$B$4:$B$138, 0), MATCH(CF$4&amp;CF$5, LS_current!$D$2:$AY$2&amp;LS_current!$D$3:$AY$3, 0)),SUM(VLOOKUP($A79, LS_current!$B$4:$AY$138, LS_current!J$148, FALSE), VLOOKUP($A79, LS_current!$B$4:$AY$138,LS_current!J$148, FALSE))/2)</f>
        <v>4526</v>
      </c>
      <c r="CG79" s="227">
        <f t="array" ref="CG79">IF($BU79=0, INDEX(LS_current!$D$4:$AY$138, MATCH('Staging Table'!$A79, LS_current!$B$4:$B$138, 0), MATCH(CG$4&amp;CG$5, LS_current!$D$2:$AY$2&amp;LS_current!$D$3:$AY$3, 0)),SUM(VLOOKUP($A79, LS_current!$B$4:$AY$138, LS_current!K$148, FALSE), VLOOKUP($A79, LS_current!$B$4:$AY$138,LS_current!K$148, FALSE))/2)</f>
        <v>2902</v>
      </c>
      <c r="CH79" s="227">
        <f t="array" ref="CH79">IF($BU79=0, INDEX(LS_current!$D$4:$AY$138, MATCH('Staging Table'!$A79, LS_current!$B$4:$B$138, 0), MATCH(CH$4&amp;CH$5, LS_current!$D$2:$AY$2&amp;LS_current!$D$3:$AY$3, 0)),SUM(VLOOKUP($A79, LS_current!$B$4:$AY$138, LS_current!L$148, FALSE), VLOOKUP($A79, LS_current!$B$4:$AY$138,LS_current!L$148, FALSE))/2)</f>
        <v>4243</v>
      </c>
      <c r="CI79" s="227">
        <f t="array" ref="CI79">IF($BU79=0, INDEX(LS_current!$D$4:$AY$138, MATCH('Staging Table'!$A79, LS_current!$B$4:$B$138, 0), MATCH(CI$4&amp;CI$5, LS_current!$D$2:$AY$2&amp;LS_current!$D$3:$AY$3, 0)),SUM(VLOOKUP($A79, LS_current!$B$4:$AY$138, LS_current!M$148, FALSE), VLOOKUP($A79, LS_current!$B$4:$AY$138,LS_current!M$148, FALSE))/2)</f>
        <v>2357</v>
      </c>
      <c r="CJ79" s="227">
        <f t="array" ref="CJ79">IF($BU79=0, INDEX(LS_current!$D$4:$AY$138, MATCH('Staging Table'!$A79, LS_current!$B$4:$B$138, 0), MATCH(CJ$4&amp;CJ$5, LS_current!$D$2:$AY$2&amp;LS_current!$D$3:$AY$3, 0)),SUM(VLOOKUP($A79, LS_current!$B$4:$AY$138, LS_current!N$148, FALSE), VLOOKUP($A79, LS_current!$B$4:$AY$138,LS_current!N$148, FALSE))/2)</f>
        <v>1178</v>
      </c>
      <c r="CK79" s="227">
        <f t="array" ref="CK79">IF($BU79=0, INDEX(LS_current!$D$4:$AY$138, MATCH('Staging Table'!$A79, LS_current!$B$4:$B$138, 0), MATCH(CK$4&amp;CK$5, LS_current!$D$2:$AY$2&amp;LS_current!$D$3:$AY$3, 0)),SUM(VLOOKUP($A79, LS_current!$B$4:$AY$138, LS_current!O$148, FALSE), VLOOKUP($A79, LS_current!$B$4:$AY$138,LS_current!O$148, FALSE))/2)</f>
        <v>1352</v>
      </c>
      <c r="CL79" s="227">
        <f t="array" ref="CL79">IF($BU79=0, INDEX(LS_current!$D$4:$AY$138, MATCH('Staging Table'!$A79, LS_current!$B$4:$B$138, 0), MATCH(CL$4&amp;CL$5, LS_current!$D$2:$AY$2&amp;LS_current!$D$3:$AY$3, 0)),SUM(VLOOKUP($A79, LS_current!$B$4:$AY$138, LS_current!P$148, FALSE), VLOOKUP($A79, LS_current!$B$4:$AY$138,LS_current!P$148, FALSE))/2)</f>
        <v>2748</v>
      </c>
      <c r="CM79" s="227">
        <f t="array" ref="CM79">IF($BU79=0, INDEX(LS_current!$D$4:$AY$138, MATCH('Staging Table'!$A79, LS_current!$B$4:$B$138, 0), MATCH(CM$4&amp;CM$5, LS_current!$D$2:$AY$2&amp;LS_current!$D$3:$AY$3, 0)),SUM(VLOOKUP($A79, LS_current!$B$4:$AY$138, LS_current!Q$148, FALSE), VLOOKUP($A79, LS_current!$B$4:$AY$138,LS_current!Q$148, FALSE))/2)</f>
        <v>1416</v>
      </c>
      <c r="CN79" s="227">
        <f t="array" ref="CN79">IF($BU79=0, INDEX(LS_current!$D$4:$AY$138, MATCH('Staging Table'!$A79, LS_current!$B$4:$B$138, 0), MATCH(CN$4&amp;CN$5, LS_current!$D$2:$AY$2&amp;LS_current!$D$3:$AY$3, 0)),SUM(VLOOKUP($A79, LS_current!$B$4:$AY$138, LS_current!R$148, FALSE), VLOOKUP($A79, LS_current!$B$4:$AY$138,LS_current!R$148, FALSE))/2)</f>
        <v>-3650</v>
      </c>
      <c r="CO79" s="227">
        <f t="array" ref="CO79">IF($BU79=0, INDEX(LS_current!$D$4:$AY$138, MATCH('Staging Table'!$A79, LS_current!$B$4:$B$138, 0), MATCH(CO$4&amp;CO$5, LS_current!$D$2:$AY$2&amp;LS_current!$D$3:$AY$3, 0)),SUM(VLOOKUP($A79, LS_current!$B$4:$AY$138, LS_current!S$148, FALSE), VLOOKUP($A79, LS_current!$B$4:$AY$138,LS_current!S$148, FALSE))/2)</f>
        <v>-446</v>
      </c>
      <c r="CP79" s="227">
        <f t="array" ref="CP79">IF($BU79=0, INDEX(LS_current!$D$4:$AY$138, MATCH('Staging Table'!$A79, LS_current!$B$4:$B$138, 0), MATCH(CP$4&amp;CP$5, LS_current!$D$2:$AY$2&amp;LS_current!$D$3:$AY$3, 0)),SUM(VLOOKUP($A79, LS_current!$B$4:$AY$138, LS_current!T$148, FALSE), VLOOKUP($A79, LS_current!$B$4:$AY$138,LS_current!T$148, FALSE))/2)</f>
        <v>-7849</v>
      </c>
      <c r="CQ79" s="227">
        <f t="array" ref="CQ79">IF($BU79=0, INDEX(LS_current!$D$4:$AY$138, MATCH('Staging Table'!$A79, LS_current!$B$4:$B$138, 0), MATCH(CQ$4&amp;CQ$5, LS_current!$D$2:$AY$2&amp;LS_current!$D$3:$AY$3, 0)),SUM(VLOOKUP($A79, LS_current!$B$4:$AY$138, LS_current!U$148, FALSE), VLOOKUP($A79, LS_current!$B$4:$AY$138,LS_current!U$148, FALSE))/2)</f>
        <v>-4031</v>
      </c>
      <c r="CR79" s="227">
        <f t="array" ref="CR79">IF($BU79=0, INDEX(LS_current!$D$4:$AY$138, MATCH('Staging Table'!$A79, LS_current!$B$4:$B$138, 0), MATCH(CR$4&amp;CR$5, LS_current!$D$2:$AY$2&amp;LS_current!$D$3:$AY$3, 0)),SUM(VLOOKUP($A79, LS_current!$B$4:$AY$138, LS_current!V$148, FALSE), VLOOKUP($A79, LS_current!$B$4:$AY$138,LS_current!V$148, FALSE))/2)</f>
        <v>-4398</v>
      </c>
      <c r="CS79" s="227">
        <f t="array" ref="CS79">IF($BU79=0, INDEX(LS_current!$D$4:$AY$138, MATCH('Staging Table'!$A79, LS_current!$B$4:$B$138, 0), MATCH(CS$4&amp;CS$5, LS_current!$D$2:$AY$2&amp;LS_current!$D$3:$AY$3, 0)),SUM(VLOOKUP($A79, LS_current!$B$4:$AY$138, LS_current!W$148, FALSE), VLOOKUP($A79, LS_current!$B$4:$AY$138,LS_current!W$148, FALSE))/2)</f>
        <v>-277</v>
      </c>
      <c r="CT79" s="227">
        <f t="array" ref="CT79">IF($BU79=0, INDEX(LS_current!$D$4:$AY$138, MATCH('Staging Table'!$A79, LS_current!$B$4:$B$138, 0), MATCH(CT$4&amp;CT$5, LS_current!$D$2:$AY$2&amp;LS_current!$D$3:$AY$3, 0)),SUM(VLOOKUP($A79, LS_current!$B$4:$AY$138, LS_current!X$148, FALSE), VLOOKUP($A79, LS_current!$B$4:$AY$138,LS_current!X$148, FALSE))/2)</f>
        <v>-3743</v>
      </c>
      <c r="CU79" s="227">
        <f t="array" ref="CU79">IF($BU79=0, INDEX(LS_current!$D$4:$AY$138, MATCH('Staging Table'!$A79, LS_current!$B$4:$B$138, 0), MATCH(CU$4&amp;CU$5, LS_current!$D$2:$AY$2&amp;LS_current!$D$3:$AY$3, 0)),SUM(VLOOKUP($A79, LS_current!$B$4:$AY$138, LS_current!Y$148, FALSE), VLOOKUP($A79, LS_current!$B$4:$AY$138,LS_current!Y$148, FALSE))/2)</f>
        <v>-54</v>
      </c>
      <c r="CV79" s="227">
        <f t="array" ref="CV79">IF($BU79=0, INDEX(LS_current!$D$4:$AY$138, MATCH('Staging Table'!$A79, LS_current!$B$4:$B$138, 0), MATCH(CV$4&amp;CV$5, LS_current!$D$2:$AY$2&amp;LS_current!$D$3:$AY$3, 0)),SUM(VLOOKUP($A79, LS_current!$B$4:$AY$138, LS_current!Z$148, FALSE), VLOOKUP($A79, LS_current!$B$4:$AY$138,LS_current!Z$148, FALSE))/2)</f>
        <v>-1796</v>
      </c>
      <c r="CW79" s="227">
        <f t="array" ref="CW79">IF($BU79=0, INDEX(LS_current!$D$4:$AY$138, MATCH('Staging Table'!$A79, LS_current!$B$4:$B$138, 0), MATCH(CW$4&amp;CW$5, LS_current!$D$2:$AY$2&amp;LS_current!$D$3:$AY$3, 0)),SUM(VLOOKUP($A79, LS_current!$B$4:$AY$138, LS_current!AA$148, FALSE), VLOOKUP($A79, LS_current!$B$4:$AY$138,LS_current!AA$148, FALSE))/2)</f>
        <v>-514</v>
      </c>
      <c r="CX79" s="229">
        <f t="array" ref="CX79">INDEX(Demand_current!$D$4:$AY$138, MATCH($A79, Demand_current!$B$4:$B$138, 0), MATCH(CX$4&amp;CX$5,Demand_current!$D$2:$AY$2&amp;Demand_current!$D$3:$AY$3, 0))/1000</f>
        <v>3.82</v>
      </c>
      <c r="CY79" s="229">
        <f t="array" ref="CY79">INDEX(Demand_current!$D$4:$AY$138, MATCH($A79, Demand_current!$B$4:$B$138, 0), MATCH(CY$4&amp;CY$5,Demand_current!$D$2:$AY$2&amp;Demand_current!$D$3:$AY$3, 0))/1000</f>
        <v>1.8180000000000001</v>
      </c>
      <c r="CZ79" s="229">
        <f t="array" ref="CZ79">INDEX(Demand_current!$D$4:$AY$138, MATCH($A79, Demand_current!$B$4:$B$138, 0), MATCH(CZ$4&amp;CZ$5,Demand_current!$D$2:$AY$2&amp;Demand_current!$D$3:$AY$3, 0))/1000</f>
        <v>7.0830000000000002</v>
      </c>
      <c r="DA79" s="229">
        <f t="array" ref="DA79">INDEX(Demand_current!$D$4:$AY$138, MATCH($A79, Demand_current!$B$4:$B$138, 0), MATCH(DA$4&amp;DA$5,Demand_current!$D$2:$AY$2&amp;Demand_current!$D$3:$AY$3, 0))/1000</f>
        <v>6.202</v>
      </c>
      <c r="DB79" s="229">
        <f t="array" ref="DB79">INDEX(Demand_current!$D$4:$AY$138, MATCH($A79, Demand_current!$B$4:$B$138, 0), MATCH(DB$4&amp;DB$5,Demand_current!$D$2:$AY$2&amp;Demand_current!$D$3:$AY$3, 0))/1000</f>
        <v>3.214</v>
      </c>
      <c r="DC79" s="229">
        <f t="array" ref="DC79">INDEX(Demand_current!$D$4:$AY$138, MATCH($A79, Demand_current!$B$4:$B$138, 0), MATCH(DC$4&amp;DC$5,Demand_current!$D$2:$AY$2&amp;Demand_current!$D$3:$AY$3, 0))/1000</f>
        <v>5.5949999999999998</v>
      </c>
      <c r="DD79" s="229">
        <f t="array" ref="DD79">INDEX(Demand_current!$D$4:$AY$138, MATCH($A79, Demand_current!$B$4:$B$138, 0), MATCH(DD$4&amp;DD$5,Demand_current!$D$2:$AY$2&amp;Demand_current!$D$3:$AY$3, 0))/1000</f>
        <v>4.282</v>
      </c>
      <c r="DE79" s="229">
        <f t="array" ref="DE79">INDEX(Demand_current!$D$4:$AY$138, MATCH($A79, Demand_current!$B$4:$B$138, 0), MATCH(DE$4&amp;DE$5,Demand_current!$D$2:$AY$2&amp;Demand_current!$D$3:$AY$3, 0))/1000</f>
        <v>0.99299999999999999</v>
      </c>
      <c r="DF79" s="229">
        <f t="array" ref="DF79">INDEX(Demand_current!$D$4:$AY$138, MATCH($A79, Demand_current!$B$4:$B$138, 0), MATCH(DF$4&amp;DF$5,Demand_current!$D$2:$AY$2&amp;Demand_current!$D$3:$AY$3, 0))/1000</f>
        <v>2.9940000000000002</v>
      </c>
      <c r="DG79" s="229">
        <f t="array" ref="DG79">INDEX(Demand_current!$D$4:$AY$138, MATCH($A79, Demand_current!$B$4:$B$138, 0), MATCH(DG$4&amp;DG$5,Demand_current!$D$2:$AY$2&amp;Demand_current!$D$3:$AY$3, 0))/1000</f>
        <v>3.3479999999999999</v>
      </c>
      <c r="DH79" s="229">
        <f t="array" ref="DH79">INDEX(Demand_current!$D$4:$AY$138, MATCH($A79, Demand_current!$B$4:$B$138, 0), MATCH(DH$4&amp;DH$5,Demand_current!$D$2:$AY$2&amp;Demand_current!$D$3:$AY$3, 0))/1000</f>
        <v>3.903</v>
      </c>
      <c r="DI79" s="229">
        <f t="array" ref="DI79">INDEX(Demand_current!$D$4:$AY$138, MATCH($A79, Demand_current!$B$4:$B$138, 0), MATCH(DI$4&amp;DI$5,Demand_current!$D$2:$AY$2&amp;Demand_current!$D$3:$AY$3, 0))/1000</f>
        <v>2.9260000000000002</v>
      </c>
      <c r="DJ79" s="227">
        <f>$BT79*(VLOOKUP(DJ$4, Rates_current!$G$6:$Q$29, 10, FALSE)+VLOOKUP(DJ$4, Rates_current!$G$6:$Q$29, 11, FALSE))</f>
        <v>20660.185793501998</v>
      </c>
      <c r="DK79" s="227">
        <f>$BT79*(VLOOKUP(DK$4, Rates_current!$G$6:$Q$29, 10, FALSE)+VLOOKUP(DK$4, Rates_current!$G$6:$Q$29, 11, FALSE))</f>
        <v>26244.8810279055</v>
      </c>
      <c r="DL79" s="227">
        <f>$BT79*(VLOOKUP(DL$4, Rates_current!$G$6:$Q$29, 10, FALSE)+VLOOKUP(DL$4, Rates_current!$G$6:$Q$29, 11, FALSE))</f>
        <v>25927.938577002002</v>
      </c>
      <c r="DM79" s="227">
        <f>$BT79*(VLOOKUP(DM$4, Rates_current!$G$6:$Q$29, 10, FALSE)+VLOOKUP(DM$4, Rates_current!$G$6:$Q$29, 11, FALSE))</f>
        <v>21612.516001002004</v>
      </c>
      <c r="DN79" s="227">
        <f>$BT79*(VLOOKUP(DN$4, Rates_current!$G$6:$Q$29, 10, FALSE)+VLOOKUP(DN$4, Rates_current!$G$6:$Q$29, 11, FALSE))</f>
        <v>19578.697371599999</v>
      </c>
      <c r="DO79" s="227">
        <f>$BT79*(VLOOKUP(DO$4, Rates_current!$G$6:$Q$29, 10, FALSE)+VLOOKUP(DO$4, Rates_current!$G$6:$Q$29, 11, FALSE))</f>
        <v>21777.731280106502</v>
      </c>
      <c r="DP79" s="227">
        <f>$BT79*(VLOOKUP(DP$4, Rates_current!$G$6:$Q$29, 10, FALSE)+VLOOKUP(DP$4, Rates_current!$G$6:$Q$29, 11, FALSE))</f>
        <v>17731.452308759999</v>
      </c>
      <c r="DQ79" s="227">
        <f>$BT79*(VLOOKUP(DQ$4, Rates_current!$G$6:$Q$29, 10, FALSE)+VLOOKUP(DQ$4, Rates_current!$G$6:$Q$29, 11, FALSE))</f>
        <v>23913.507490752003</v>
      </c>
      <c r="DR79" s="227">
        <f>$BT79*(VLOOKUP(DR$4, Rates_current!$G$6:$Q$29, 10, FALSE)+VLOOKUP(DR$4, Rates_current!$G$6:$Q$29, 11, FALSE))</f>
        <v>30512.009166510004</v>
      </c>
      <c r="DS79" s="227">
        <f>$BT79*(VLOOKUP(DS$4, Rates_current!$G$6:$Q$29, 10, FALSE)+VLOOKUP(DS$4, Rates_current!$G$6:$Q$29, 11, FALSE))</f>
        <v>23922.382661502004</v>
      </c>
      <c r="DT79" s="227">
        <f>$BT79*(VLOOKUP(DT$4, Rates_current!$G$6:$Q$29, 10, FALSE)+VLOOKUP(DT$4, Rates_current!$G$6:$Q$29, 11, FALSE))</f>
        <v>23295.637209252003</v>
      </c>
      <c r="DU79" s="227">
        <f>$BT79*(VLOOKUP(DU$4, Rates_current!$G$6:$Q$29, 10, FALSE)+VLOOKUP(DU$4, Rates_current!$G$6:$Q$29, 11, FALSE))</f>
        <v>20914.526593260001</v>
      </c>
      <c r="DV79" s="229">
        <f>IF(D79=0,IF(C79=0,MAX(0,DY79 - (VLOOKUP($A79,TOCA_current!$A$2:$AI$137,MATCH("RHWM 2020",TOCA_current!$A$2:$AI$2,0),FALSE)*$BT$2)), 0),0)</f>
        <v>0</v>
      </c>
      <c r="DW79" s="266">
        <f>VLOOKUP($A79,REP_current!$A$1:$D$135,MATCH("FY "&amp;$BT$1&amp; " Total Refund",REP_current!$A$1:$D$1,0),0)</f>
        <v>0</v>
      </c>
      <c r="DX79" s="295">
        <f>MIN(VLOOKUP($A79,TOCA_current!$A$2:$AI$137,MATCH("TRL - NLSL - Existing Resource "&amp;$BT$1,TOCA_current!$A$2:$AI$2,0),FALSE)*$BT$2, VLOOKUP($A79,TOCA_current!$A$2:$AI$137,MATCH("RHWM 2020",TOCA_current!$A$2:$AI$2,0),FALSE)*$BT$2)</f>
        <v>276089.90399999998</v>
      </c>
      <c r="DY79" s="240">
        <f>SUM(BZ79:CW79)+(BT79*RT1SC!$C$4*$BT$2)</f>
        <v>272589.47584409598</v>
      </c>
      <c r="DZ79" s="271">
        <f>VLOOKUP($A79,TOCA_current!$A$2:$AI$137,MATCH("Above RHWM Not Served with LS "&amp;$BT$1,TOCA_current!$A$2:$AI$2,0),FALSE)*$BT$2</f>
        <v>0</v>
      </c>
      <c r="EA79" s="244">
        <f t="shared" si="29"/>
        <v>-3500.4281559039955</v>
      </c>
      <c r="EB79" s="295">
        <f>(VLOOKUP($A79,TOCA_current!$A$2:$AI$137,MATCH("RHWM 2020",TOCA_current!$A$2:$AI$2,0),FALSE)*$BT$2) - $DX79</f>
        <v>13237.488000000012</v>
      </c>
      <c r="EC79" s="240">
        <f t="shared" si="30"/>
        <v>0</v>
      </c>
      <c r="ED79" s="240">
        <f t="shared" si="31"/>
        <v>3500.4281559039955</v>
      </c>
      <c r="EE79" s="240">
        <f t="shared" si="32"/>
        <v>0</v>
      </c>
      <c r="EF79" s="240">
        <f t="shared" si="33"/>
        <v>3500.4281559039955</v>
      </c>
    </row>
    <row r="80" spans="1:136">
      <c r="A80" s="166">
        <v>10236</v>
      </c>
      <c r="B80" s="167" t="s">
        <v>81</v>
      </c>
      <c r="C80" s="240">
        <v>1</v>
      </c>
      <c r="D80" s="240">
        <v>0</v>
      </c>
      <c r="E80" s="150">
        <f>VLOOKUP($A80,TOCA_previous!$A$2:$AI$137,MATCH(E$4,TOCA_previous!$A$2:$AI$2,0),FALSE)</f>
        <v>3.9477000000000002E-3</v>
      </c>
      <c r="F80" s="151">
        <f>VLOOKUP($A80,TOCA_previous!$A$2:$AI$137,MATCH(F$4,TOCA_previous!$A$2:$AI$2,0),FALSE)</f>
        <v>3.9477000000000002E-3</v>
      </c>
      <c r="G80" s="151">
        <f t="shared" si="18"/>
        <v>0</v>
      </c>
      <c r="H80" s="151">
        <f>VLOOKUP($A80,TOCA_previous!$A$2:$AI$137,MATCH(H$4,TOCA_previous!$A$2:$AI$2,0),FALSE)</f>
        <v>6.5000000000000002E-2</v>
      </c>
      <c r="I80" s="151">
        <f t="shared" si="19"/>
        <v>6.5000000000000002E-2</v>
      </c>
      <c r="J80" s="151">
        <f t="shared" si="20"/>
        <v>3.9477000000000002E-3</v>
      </c>
      <c r="K80" s="226">
        <f>VLOOKUP(A80, IRD!$A$5:$C$139, 3, FALSE)</f>
        <v>0</v>
      </c>
      <c r="L80" s="227">
        <f t="array" ref="L80">IF($G80=0, INDEX(LS_previous!$D$4:$AY$138, MATCH('Staging Table'!$A80, LS_previous!$B$4:$B$138, 0), MATCH(L$4&amp;L$5, LS_previous!$D$2:$AY$2&amp;LS_previous!$D$3:$AY$3, 0)),SUM(VLOOKUP($A80, LS_previous!$B$4:$AY$138, LS_previous!D$149, FALSE), VLOOKUP('Staging Table'!$A80, LS_previous!$B$4:$AY$138,LS_previous!AB$149, FALSE))/2)</f>
        <v>0</v>
      </c>
      <c r="M80" s="227">
        <f t="array" ref="M80">IF($G80=0, INDEX(LS_previous!$D$4:$AY$138, MATCH('Staging Table'!$A80, LS_previous!$B$4:$B$138, 0), MATCH(M$4&amp;M$5, LS_previous!$D$2:$AY$2&amp;LS_previous!$D$3:$AY$3, 0)),SUM(VLOOKUP($A80, LS_previous!$B$4:$AY$138, LS_previous!E$149, FALSE), VLOOKUP('Staging Table'!$A80, LS_previous!$B$4:$AY$138,LS_previous!AC$149, FALSE))/2)</f>
        <v>0</v>
      </c>
      <c r="N80" s="227">
        <f t="array" ref="N80">IF($G80=0, INDEX(LS_previous!$D$4:$AY$138, MATCH('Staging Table'!$A80, LS_previous!$B$4:$B$138, 0), MATCH(N$4&amp;N$5, LS_previous!$D$2:$AY$2&amp;LS_previous!$D$3:$AY$3, 0)),SUM(VLOOKUP($A80, LS_previous!$B$4:$AY$138, LS_previous!F$149, FALSE), VLOOKUP('Staging Table'!$A80, LS_previous!$B$4:$AY$138,LS_previous!AD$149, FALSE))/2)</f>
        <v>0</v>
      </c>
      <c r="O80" s="227">
        <f t="array" ref="O80">IF($G80=0, INDEX(LS_previous!$D$4:$AY$138, MATCH('Staging Table'!$A80, LS_previous!$B$4:$B$138, 0), MATCH(O$4&amp;O$5, LS_previous!$D$2:$AY$2&amp;LS_previous!$D$3:$AY$3, 0)),SUM(VLOOKUP($A80, LS_previous!$B$4:$AY$138, LS_previous!G$149, FALSE), VLOOKUP('Staging Table'!$A80, LS_previous!$B$4:$AY$138,LS_previous!AE$149, FALSE))/2)</f>
        <v>0</v>
      </c>
      <c r="P80" s="227">
        <f t="array" ref="P80">IF($G80=0, INDEX(LS_previous!$D$4:$AY$138, MATCH('Staging Table'!$A80, LS_previous!$B$4:$B$138, 0), MATCH(P$4&amp;P$5, LS_previous!$D$2:$AY$2&amp;LS_previous!$D$3:$AY$3, 0)),SUM(VLOOKUP($A80, LS_previous!$B$4:$AY$138, LS_previous!H$149, FALSE), VLOOKUP('Staging Table'!$A80, LS_previous!$B$4:$AY$138,LS_previous!AF$149, FALSE))/2)</f>
        <v>0</v>
      </c>
      <c r="Q80" s="227">
        <f t="array" ref="Q80">IF($G80=0, INDEX(LS_previous!$D$4:$AY$138, MATCH('Staging Table'!$A80, LS_previous!$B$4:$B$138, 0), MATCH(Q$4&amp;Q$5, LS_previous!$D$2:$AY$2&amp;LS_previous!$D$3:$AY$3, 0)),SUM(VLOOKUP($A80, LS_previous!$B$4:$AY$138, LS_previous!I$149, FALSE), VLOOKUP('Staging Table'!$A80, LS_previous!$B$4:$AY$138,LS_previous!AG$149, FALSE))/2)</f>
        <v>0</v>
      </c>
      <c r="R80" s="227">
        <f t="array" ref="R80">IF($G80=0, INDEX(LS_previous!$D$4:$AY$138, MATCH('Staging Table'!$A80, LS_previous!$B$4:$B$138, 0), MATCH(R$4&amp;R$5, LS_previous!$D$2:$AY$2&amp;LS_previous!$D$3:$AY$3, 0)),SUM(VLOOKUP($A80, LS_previous!$B$4:$AY$138, LS_previous!J$149, FALSE), VLOOKUP('Staging Table'!$A80, LS_previous!$B$4:$AY$138,LS_previous!AH$149, FALSE))/2)</f>
        <v>0</v>
      </c>
      <c r="S80" s="227">
        <f t="array" ref="S80">IF($G80=0, INDEX(LS_previous!$D$4:$AY$138, MATCH('Staging Table'!$A80, LS_previous!$B$4:$B$138, 0), MATCH(S$4&amp;S$5, LS_previous!$D$2:$AY$2&amp;LS_previous!$D$3:$AY$3, 0)),SUM(VLOOKUP($A80, LS_previous!$B$4:$AY$138, LS_previous!K$149, FALSE), VLOOKUP('Staging Table'!$A80, LS_previous!$B$4:$AY$138,LS_previous!AI$149, FALSE))/2)</f>
        <v>0</v>
      </c>
      <c r="T80" s="227">
        <f t="array" ref="T80">IF($G80=0, INDEX(LS_previous!$D$4:$AY$138, MATCH('Staging Table'!$A80, LS_previous!$B$4:$B$138, 0), MATCH(T$4&amp;T$5, LS_previous!$D$2:$AY$2&amp;LS_previous!$D$3:$AY$3, 0)),SUM(VLOOKUP($A80, LS_previous!$B$4:$AY$138, LS_previous!L$149, FALSE), VLOOKUP('Staging Table'!$A80, LS_previous!$B$4:$AY$138,LS_previous!AJ$149, FALSE))/2)</f>
        <v>0</v>
      </c>
      <c r="U80" s="227">
        <f t="array" ref="U80">IF($G80=0, INDEX(LS_previous!$D$4:$AY$138, MATCH('Staging Table'!$A80, LS_previous!$B$4:$B$138, 0), MATCH(U$4&amp;U$5, LS_previous!$D$2:$AY$2&amp;LS_previous!$D$3:$AY$3, 0)),SUM(VLOOKUP($A80, LS_previous!$B$4:$AY$138, LS_previous!M$149, FALSE), VLOOKUP('Staging Table'!$A80, LS_previous!$B$4:$AY$138,LS_previous!AK$149, FALSE))/2)</f>
        <v>0</v>
      </c>
      <c r="V80" s="227">
        <f t="array" ref="V80">IF($G80=0, INDEX(LS_previous!$D$4:$AY$138, MATCH('Staging Table'!$A80, LS_previous!$B$4:$B$138, 0), MATCH(V$4&amp;V$5, LS_previous!$D$2:$AY$2&amp;LS_previous!$D$3:$AY$3, 0)),SUM(VLOOKUP($A80, LS_previous!$B$4:$AY$138, LS_previous!N$149, FALSE), VLOOKUP('Staging Table'!$A80, LS_previous!$B$4:$AY$138,LS_previous!AL$149, FALSE))/2)</f>
        <v>0</v>
      </c>
      <c r="W80" s="227">
        <f t="array" ref="W80">IF($G80=0, INDEX(LS_previous!$D$4:$AY$138, MATCH('Staging Table'!$A80, LS_previous!$B$4:$B$138, 0), MATCH(W$4&amp;W$5, LS_previous!$D$2:$AY$2&amp;LS_previous!$D$3:$AY$3, 0)),SUM(VLOOKUP($A80, LS_previous!$B$4:$AY$138, LS_previous!O$149, FALSE), VLOOKUP('Staging Table'!$A80, LS_previous!$B$4:$AY$138,LS_previous!AM$149, FALSE))/2)</f>
        <v>0</v>
      </c>
      <c r="X80" s="227">
        <f t="array" ref="X80">IF($G80=0, INDEX(LS_previous!$D$4:$AY$138, MATCH('Staging Table'!$A80, LS_previous!$B$4:$B$138, 0), MATCH(X$4&amp;X$5, LS_previous!$D$2:$AY$2&amp;LS_previous!$D$3:$AY$3, 0)),SUM(VLOOKUP($A80, LS_previous!$B$4:$AY$138, LS_previous!P$149, FALSE), VLOOKUP('Staging Table'!$A80, LS_previous!$B$4:$AY$138,LS_previous!AN$149, FALSE))/2)</f>
        <v>0</v>
      </c>
      <c r="Y80" s="227">
        <f t="array" ref="Y80">IF($G80=0, INDEX(LS_previous!$D$4:$AY$138, MATCH('Staging Table'!$A80, LS_previous!$B$4:$B$138, 0), MATCH(Y$4&amp;Y$5, LS_previous!$D$2:$AY$2&amp;LS_previous!$D$3:$AY$3, 0)),SUM(VLOOKUP($A80, LS_previous!$B$4:$AY$138, LS_previous!Q$149, FALSE), VLOOKUP('Staging Table'!$A80, LS_previous!$B$4:$AY$138,LS_previous!AO$149, FALSE))/2)</f>
        <v>0</v>
      </c>
      <c r="Z80" s="227">
        <f t="array" ref="Z80">IF($G80=0, INDEX(LS_previous!$D$4:$AY$138, MATCH('Staging Table'!$A80, LS_previous!$B$4:$B$138, 0), MATCH(Z$4&amp;Z$5, LS_previous!$D$2:$AY$2&amp;LS_previous!$D$3:$AY$3, 0)),SUM(VLOOKUP($A80, LS_previous!$B$4:$AY$138, LS_previous!R$149, FALSE), VLOOKUP('Staging Table'!$A80, LS_previous!$B$4:$AY$138,LS_previous!AP$149, FALSE))/2)</f>
        <v>0</v>
      </c>
      <c r="AA80" s="227">
        <f t="array" ref="AA80">IF($G80=0, INDEX(LS_previous!$D$4:$AY$138, MATCH('Staging Table'!$A80, LS_previous!$B$4:$B$138, 0), MATCH(AA$4&amp;AA$5, LS_previous!$D$2:$AY$2&amp;LS_previous!$D$3:$AY$3, 0)),SUM(VLOOKUP($A80, LS_previous!$B$4:$AY$138, LS_previous!S$149, FALSE), VLOOKUP('Staging Table'!$A80, LS_previous!$B$4:$AY$138,LS_previous!AQ$149, FALSE))/2)</f>
        <v>0</v>
      </c>
      <c r="AB80" s="227">
        <f t="array" ref="AB80">IF($G80=0, INDEX(LS_previous!$D$4:$AY$138, MATCH('Staging Table'!$A80, LS_previous!$B$4:$B$138, 0), MATCH(AB$4&amp;AB$5, LS_previous!$D$2:$AY$2&amp;LS_previous!$D$3:$AY$3, 0)),SUM(VLOOKUP($A80, LS_previous!$B$4:$AY$138, LS_previous!T$149, FALSE), VLOOKUP('Staging Table'!$A80, LS_previous!$B$4:$AY$138,LS_previous!AR$149, FALSE))/2)</f>
        <v>0</v>
      </c>
      <c r="AC80" s="227">
        <f t="array" ref="AC80">IF($G80=0, INDEX(LS_previous!$D$4:$AY$138, MATCH('Staging Table'!$A80, LS_previous!$B$4:$B$138, 0), MATCH(AC$4&amp;AC$5, LS_previous!$D$2:$AY$2&amp;LS_previous!$D$3:$AY$3, 0)),SUM(VLOOKUP($A80, LS_previous!$B$4:$AY$138, LS_previous!U$149, FALSE), VLOOKUP('Staging Table'!$A80, LS_previous!$B$4:$AY$138,LS_previous!AS$149, FALSE))/2)</f>
        <v>0</v>
      </c>
      <c r="AD80" s="227">
        <f t="array" ref="AD80">IF($G80=0, INDEX(LS_previous!$D$4:$AY$138, MATCH('Staging Table'!$A80, LS_previous!$B$4:$B$138, 0), MATCH(AD$4&amp;AD$5, LS_previous!$D$2:$AY$2&amp;LS_previous!$D$3:$AY$3, 0)),SUM(VLOOKUP($A80, LS_previous!$B$4:$AY$138, LS_previous!V$149, FALSE), VLOOKUP('Staging Table'!$A80, LS_previous!$B$4:$AY$138,LS_previous!AT$149, FALSE))/2)</f>
        <v>0</v>
      </c>
      <c r="AE80" s="227">
        <f t="array" ref="AE80">IF($G80=0, INDEX(LS_previous!$D$4:$AY$138, MATCH('Staging Table'!$A80, LS_previous!$B$4:$B$138, 0), MATCH(AE$4&amp;AE$5, LS_previous!$D$2:$AY$2&amp;LS_previous!$D$3:$AY$3, 0)),SUM(VLOOKUP($A80, LS_previous!$B$4:$AY$138, LS_previous!W$149, FALSE), VLOOKUP('Staging Table'!$A80, LS_previous!$B$4:$AY$138,LS_previous!AU$149, FALSE))/2)</f>
        <v>0</v>
      </c>
      <c r="AF80" s="227">
        <f t="array" ref="AF80">IF($G80=0, INDEX(LS_previous!$D$4:$AY$138, MATCH('Staging Table'!$A80, LS_previous!$B$4:$B$138, 0), MATCH(AF$4&amp;AF$5, LS_previous!$D$2:$AY$2&amp;LS_previous!$D$3:$AY$3, 0)),SUM(VLOOKUP($A80, LS_previous!$B$4:$AY$138, LS_previous!X$149, FALSE), VLOOKUP('Staging Table'!$A80, LS_previous!$B$4:$AY$138,LS_previous!AV$149, FALSE))/2)</f>
        <v>0</v>
      </c>
      <c r="AG80" s="227">
        <f t="array" ref="AG80">IF($G80=0, INDEX(LS_previous!$D$4:$AY$138, MATCH('Staging Table'!$A80, LS_previous!$B$4:$B$138, 0), MATCH(AG$4&amp;AG$5, LS_previous!$D$2:$AY$2&amp;LS_previous!$D$3:$AY$3, 0)),SUM(VLOOKUP($A80, LS_previous!$B$4:$AY$138, LS_previous!Y$149, FALSE), VLOOKUP('Staging Table'!$A80, LS_previous!$B$4:$AY$138,LS_previous!AW$149, FALSE))/2)</f>
        <v>0</v>
      </c>
      <c r="AH80" s="227">
        <f t="array" ref="AH80">IF($G80=0, INDEX(LS_previous!$D$4:$AY$138, MATCH('Staging Table'!$A80, LS_previous!$B$4:$B$138, 0), MATCH(AH$4&amp;AH$5, LS_previous!$D$2:$AY$2&amp;LS_previous!$D$3:$AY$3, 0)),SUM(VLOOKUP($A80, LS_previous!$B$4:$AY$138, LS_previous!Z$149, FALSE), VLOOKUP('Staging Table'!$A80, LS_previous!$B$4:$AY$138,LS_previous!AX$149, FALSE))/2)</f>
        <v>0</v>
      </c>
      <c r="AI80" s="227">
        <f t="array" ref="AI80">IF($G80=0, INDEX(LS_previous!$D$4:$AY$138, MATCH('Staging Table'!$A80, LS_previous!$B$4:$B$138, 0), MATCH(AI$4&amp;AI$5, LS_previous!$D$2:$AY$2&amp;LS_previous!$D$3:$AY$3, 0)),SUM(VLOOKUP($A80, LS_previous!$B$4:$AY$138, LS_previous!AA$149, FALSE), VLOOKUP('Staging Table'!$A80, LS_previous!$B$4:$AY$138,LS_previous!AY$149, FALSE))/2)</f>
        <v>0</v>
      </c>
      <c r="AJ80" s="424">
        <f t="array" ref="AJ80">INDEX(Demand_previous!$D$4:$AY$138, MATCH('Staging Table'!$A80, Demand_previous!$B$4:$B$138, 0), MATCH(AJ$4&amp;AJ$5,Demand_previous!$D$2:$AY$2&amp;Demand_previous!$D$3:$AY$3, 0))/1000</f>
        <v>0</v>
      </c>
      <c r="AK80" s="424">
        <f t="array" ref="AK80">INDEX(Demand_previous!$D$4:$AY$138, MATCH('Staging Table'!$A80, Demand_previous!$B$4:$B$138, 0), MATCH(AK$4&amp;AK$5,Demand_previous!$D$2:$AY$2&amp;Demand_previous!$D$3:$AY$3, 0))/1000</f>
        <v>0</v>
      </c>
      <c r="AL80" s="424">
        <f t="array" ref="AL80">INDEX(Demand_previous!$D$4:$AY$138, MATCH('Staging Table'!$A80, Demand_previous!$B$4:$B$138, 0), MATCH(AL$4&amp;AL$5,Demand_previous!$D$2:$AY$2&amp;Demand_previous!$D$3:$AY$3, 0))/1000</f>
        <v>0</v>
      </c>
      <c r="AM80" s="424">
        <f t="array" ref="AM80">INDEX(Demand_previous!$D$4:$AY$138, MATCH('Staging Table'!$A80, Demand_previous!$B$4:$B$138, 0), MATCH(AM$4&amp;AM$5,Demand_previous!$D$2:$AY$2&amp;Demand_previous!$D$3:$AY$3, 0))/1000</f>
        <v>0</v>
      </c>
      <c r="AN80" s="424">
        <f t="array" ref="AN80">INDEX(Demand_previous!$D$4:$AY$138, MATCH('Staging Table'!$A80, Demand_previous!$B$4:$B$138, 0), MATCH(AN$4&amp;AN$5,Demand_previous!$D$2:$AY$2&amp;Demand_previous!$D$3:$AY$3, 0))/1000</f>
        <v>0</v>
      </c>
      <c r="AO80" s="424">
        <f t="array" ref="AO80">INDEX(Demand_previous!$D$4:$AY$138, MATCH('Staging Table'!$A80, Demand_previous!$B$4:$B$138, 0), MATCH(AO$4&amp;AO$5,Demand_previous!$D$2:$AY$2&amp;Demand_previous!$D$3:$AY$3, 0))/1000</f>
        <v>0</v>
      </c>
      <c r="AP80" s="424">
        <f t="array" ref="AP80">INDEX(Demand_previous!$D$4:$AY$138, MATCH('Staging Table'!$A80, Demand_previous!$B$4:$B$138, 0), MATCH(AP$4&amp;AP$5,Demand_previous!$D$2:$AY$2&amp;Demand_previous!$D$3:$AY$3, 0))/1000</f>
        <v>0</v>
      </c>
      <c r="AQ80" s="424">
        <f t="array" ref="AQ80">INDEX(Demand_previous!$D$4:$AY$138, MATCH('Staging Table'!$A80, Demand_previous!$B$4:$B$138, 0), MATCH(AQ$4&amp;AQ$5,Demand_previous!$D$2:$AY$2&amp;Demand_previous!$D$3:$AY$3, 0))/1000</f>
        <v>0</v>
      </c>
      <c r="AR80" s="424">
        <f t="array" ref="AR80">INDEX(Demand_previous!$D$4:$AY$138, MATCH('Staging Table'!$A80, Demand_previous!$B$4:$B$138, 0), MATCH(AR$4&amp;AR$5,Demand_previous!$D$2:$AY$2&amp;Demand_previous!$D$3:$AY$3, 0))/1000</f>
        <v>0</v>
      </c>
      <c r="AS80" s="424">
        <f t="array" ref="AS80">INDEX(Demand_previous!$D$4:$AY$138, MATCH('Staging Table'!$A80, Demand_previous!$B$4:$B$138, 0), MATCH(AS$4&amp;AS$5,Demand_previous!$D$2:$AY$2&amp;Demand_previous!$D$3:$AY$3, 0))/1000</f>
        <v>0</v>
      </c>
      <c r="AT80" s="424">
        <f t="array" ref="AT80">INDEX(Demand_previous!$D$4:$AY$138, MATCH('Staging Table'!$A80, Demand_previous!$B$4:$B$138, 0), MATCH(AT$4&amp;AT$5,Demand_previous!$D$2:$AY$2&amp;Demand_previous!$D$3:$AY$3, 0))/1000</f>
        <v>0</v>
      </c>
      <c r="AU80" s="424">
        <f t="array" ref="AU80">INDEX(Demand_previous!$D$4:$AY$138, MATCH('Staging Table'!$A80, Demand_previous!$B$4:$B$138, 0), MATCH(AU$4&amp;AU$5,Demand_previous!$D$2:$AY$2&amp;Demand_previous!$D$3:$AY$3, 0))/1000</f>
        <v>0</v>
      </c>
      <c r="AV80" s="227">
        <f>$F80*(VLOOKUP(AV$4, Rates_previous!$G$6:$Q$29, 10, FALSE)+VLOOKUP(AV$4, Rates_previous!$G$6:$Q$29, 11, FALSE))</f>
        <v>18510.124834585029</v>
      </c>
      <c r="AW80" s="227">
        <f>$F80*(VLOOKUP(AW$4, Rates_previous!$G$6:$Q$29, 10, FALSE)+VLOOKUP(AW$4, Rates_previous!$G$6:$Q$29, 11, FALSE))</f>
        <v>22877.107451503478</v>
      </c>
      <c r="AX80" s="227">
        <f>$F80*(VLOOKUP(AX$4, Rates_previous!$G$6:$Q$29, 10, FALSE)+VLOOKUP(AX$4, Rates_previous!$G$6:$Q$29, 11, FALSE))</f>
        <v>22602.380753353093</v>
      </c>
      <c r="AY80" s="227">
        <f>$F80*(VLOOKUP(AY$4, Rates_previous!$G$6:$Q$29, 10, FALSE)+VLOOKUP(AY$4, Rates_previous!$G$6:$Q$29, 11, FALSE))</f>
        <v>19311.579991047132</v>
      </c>
      <c r="AZ80" s="227">
        <f>$F80*(VLOOKUP(AZ$4, Rates_previous!$G$6:$Q$29, 10, FALSE)+VLOOKUP(AZ$4, Rates_previous!$G$6:$Q$29, 11, FALSE))</f>
        <v>15831.749703319716</v>
      </c>
      <c r="BA80" s="227">
        <f>$F80*(VLOOKUP(BA$4, Rates_previous!$G$6:$Q$29, 10, FALSE)+VLOOKUP(BA$4, Rates_previous!$G$6:$Q$29, 11, FALSE))</f>
        <v>18744.216586212267</v>
      </c>
      <c r="BB80" s="227">
        <f>$F80*(VLOOKUP(BB$4, Rates_previous!$G$6:$Q$29, 10, FALSE)+VLOOKUP(BB$4, Rates_previous!$G$6:$Q$29, 11, FALSE))</f>
        <v>18015.918651993965</v>
      </c>
      <c r="BC80" s="227">
        <f>$F80*(VLOOKUP(BC$4, Rates_previous!$G$6:$Q$29, 10, FALSE)+VLOOKUP(BC$4, Rates_previous!$G$6:$Q$29, 11, FALSE))</f>
        <v>26437.085765898351</v>
      </c>
      <c r="BD80" s="227">
        <f>$F80*(VLOOKUP(BD$4, Rates_previous!$G$6:$Q$29, 10, FALSE)+VLOOKUP(BD$4, Rates_previous!$G$6:$Q$29, 11, FALSE))</f>
        <v>20858.1619285997</v>
      </c>
      <c r="BE80" s="227">
        <f>$F80*(VLOOKUP(BE$4, Rates_previous!$G$6:$Q$29, 10, FALSE)+VLOOKUP(BE$4, Rates_previous!$G$6:$Q$29, 11, FALSE))</f>
        <v>18315.216914192242</v>
      </c>
      <c r="BF80" s="227">
        <f>$F80*(VLOOKUP(BF$4, Rates_previous!$G$6:$Q$29, 10, FALSE)+VLOOKUP(BF$4, Rates_previous!$G$6:$Q$29, 11, FALSE))</f>
        <v>20284.83584871062</v>
      </c>
      <c r="BG80" s="227">
        <f>$F80*(VLOOKUP(BG$4, Rates_previous!$G$6:$Q$29, 10, FALSE)+VLOOKUP(BG$4, Rates_previous!$G$6:$Q$29, 11, FALSE))</f>
        <v>18377.254601567645</v>
      </c>
      <c r="BH80" s="229">
        <f>IF($D80=0,IF(C80=0, MAX(BK80 - (VLOOKUP($A80,TOCA_previous!$A$2:$AI$137,MATCH("RHWM 2018",TOCA_previous!$A$2:$AI$2,0),FALSE)*$F$2*TOCA_previous!C77),0),0), 0)</f>
        <v>0</v>
      </c>
      <c r="BI80" s="266">
        <f>VLOOKUP($A80,REP_previous!$A$1:$D$135,MATCH("FY "&amp;$F$1&amp; " Total Refund",REP_previous!$A$1:$D$1,0),0)</f>
        <v>310753.25035182608</v>
      </c>
      <c r="BJ80" s="241">
        <f>MIN(VLOOKUP($A80,TOCA_previous!$A$2:$AI$137,MATCH("TRL - NLSL - Existing Resource "&amp;$F$1,TOCA_previous!$A$2:$AI$2,0),FALSE)*$F$2,(VLOOKUP($A80,TOCA_previous!$A$2:$AI$137,MATCH("RHWM 2018",TOCA_previous!$A$2:$AI$2,0),FALSE)*$F$2))</f>
        <v>240164.16</v>
      </c>
      <c r="BK80" s="229">
        <f>SUM(L80:AI80)+(F80*RT1SC!$C$3*$F$2)</f>
        <v>240165.63653479199</v>
      </c>
      <c r="BL80" s="241">
        <f>VLOOKUP($A80,TOCA_previous!$A$2:$AI$137,MATCH("Above RHWM Not Served with LS "&amp;$F$1,TOCA_previous!$A$2:$AI$2,0),FALSE)*$F$2</f>
        <v>0</v>
      </c>
      <c r="BM80" s="151">
        <f t="shared" si="21"/>
        <v>1.476534791989252</v>
      </c>
      <c r="BN80" s="242">
        <f>(VLOOKUP($A80,TOCA_previous!$A$2:$AI$137,MATCH("RHWM 2018",TOCA_previous!$A$2:$AI$2,0),FALSE)*$F$2) - $BJ80</f>
        <v>10687.199999999983</v>
      </c>
      <c r="BO80" s="151">
        <f t="shared" si="22"/>
        <v>-1.476534791989252</v>
      </c>
      <c r="BP80" s="243">
        <f t="shared" si="23"/>
        <v>0</v>
      </c>
      <c r="BQ80" s="237">
        <f t="shared" si="24"/>
        <v>0</v>
      </c>
      <c r="BR80" s="242">
        <f t="shared" si="25"/>
        <v>-1.476534791989252</v>
      </c>
      <c r="BS80" s="151">
        <f>VLOOKUP($A80,TOCA_current!$A$2:$AI$137,MATCH(BS$4,TOCA_current!$A$2:$AI$2,0),FALSE)</f>
        <v>3.9060000000000002E-3</v>
      </c>
      <c r="BT80" s="151">
        <f>VLOOKUP($A80,TOCA_current!$A$2:$AI$137,MATCH(BT$4,TOCA_current!$A$2:$AI$2,0),FALSE)</f>
        <v>3.9060000000000002E-3</v>
      </c>
      <c r="BU80" s="236">
        <f t="shared" si="26"/>
        <v>0</v>
      </c>
      <c r="BV80" s="151">
        <f>VLOOKUP($A80,TOCA_current!A76:BG211,MATCH(BV$4,TOCA_current!$A$2:$BG$2,0),FALSE)</f>
        <v>6.5000000000000002E-2</v>
      </c>
      <c r="BW80" s="151">
        <f t="shared" si="27"/>
        <v>6.5000000000000002E-2</v>
      </c>
      <c r="BX80" s="151">
        <f t="shared" si="28"/>
        <v>3.9060000000000002E-3</v>
      </c>
      <c r="BY80" s="226">
        <f>VLOOKUP($A80,IRD!$A$4:$G$139, 7, FALSE)</f>
        <v>0</v>
      </c>
      <c r="BZ80" s="227">
        <f t="array" ref="BZ80">IF($BU80=0, INDEX(LS_current!$D$4:$AY$138, MATCH('Staging Table'!$A80, LS_current!$B$4:$B$138, 0), MATCH(BZ$4&amp;BZ$5, LS_current!$D$2:$AY$2&amp;LS_current!$D$3:$AY$3, 0)),SUM(VLOOKUP($A80, LS_current!$B$4:$AY$138, LS_current!D$148, FALSE), VLOOKUP($A80, LS_current!$B$4:$AY$138,LS_current!D$148, FALSE))/2)</f>
        <v>0</v>
      </c>
      <c r="CA80" s="227">
        <f t="array" ref="CA80">IF($BU80=0, INDEX(LS_current!$D$4:$AY$138, MATCH('Staging Table'!$A80, LS_current!$B$4:$B$138, 0), MATCH(CA$4&amp;CA$5, LS_current!$D$2:$AY$2&amp;LS_current!$D$3:$AY$3, 0)),SUM(VLOOKUP($A80, LS_current!$B$4:$AY$138, LS_current!E$148, FALSE), VLOOKUP($A80, LS_current!$B$4:$AY$138,LS_current!E$148, FALSE))/2)</f>
        <v>0</v>
      </c>
      <c r="CB80" s="227">
        <f t="array" ref="CB80">IF($BU80=0, INDEX(LS_current!$D$4:$AY$138, MATCH('Staging Table'!$A80, LS_current!$B$4:$B$138, 0), MATCH(CB$4&amp;CB$5, LS_current!$D$2:$AY$2&amp;LS_current!$D$3:$AY$3, 0)),SUM(VLOOKUP($A80, LS_current!$B$4:$AY$138, LS_current!F$148, FALSE), VLOOKUP($A80, LS_current!$B$4:$AY$138,LS_current!F$148, FALSE))/2)</f>
        <v>0</v>
      </c>
      <c r="CC80" s="227">
        <f t="array" ref="CC80">IF($BU80=0, INDEX(LS_current!$D$4:$AY$138, MATCH('Staging Table'!$A80, LS_current!$B$4:$B$138, 0), MATCH(CC$4&amp;CC$5, LS_current!$D$2:$AY$2&amp;LS_current!$D$3:$AY$3, 0)),SUM(VLOOKUP($A80, LS_current!$B$4:$AY$138, LS_current!G$148, FALSE), VLOOKUP($A80, LS_current!$B$4:$AY$138,LS_current!G$148, FALSE))/2)</f>
        <v>0</v>
      </c>
      <c r="CD80" s="227">
        <f t="array" ref="CD80">IF($BU80=0, INDEX(LS_current!$D$4:$AY$138, MATCH('Staging Table'!$A80, LS_current!$B$4:$B$138, 0), MATCH(CD$4&amp;CD$5, LS_current!$D$2:$AY$2&amp;LS_current!$D$3:$AY$3, 0)),SUM(VLOOKUP($A80, LS_current!$B$4:$AY$138, LS_current!H$148, FALSE), VLOOKUP($A80, LS_current!$B$4:$AY$138,LS_current!H$148, FALSE))/2)</f>
        <v>0</v>
      </c>
      <c r="CE80" s="227">
        <f t="array" ref="CE80">IF($BU80=0, INDEX(LS_current!$D$4:$AY$138, MATCH('Staging Table'!$A80, LS_current!$B$4:$B$138, 0), MATCH(CE$4&amp;CE$5, LS_current!$D$2:$AY$2&amp;LS_current!$D$3:$AY$3, 0)),SUM(VLOOKUP($A80, LS_current!$B$4:$AY$138, LS_current!I$148, FALSE), VLOOKUP($A80, LS_current!$B$4:$AY$138,LS_current!I$148, FALSE))/2)</f>
        <v>0</v>
      </c>
      <c r="CF80" s="227">
        <f t="array" ref="CF80">IF($BU80=0, INDEX(LS_current!$D$4:$AY$138, MATCH('Staging Table'!$A80, LS_current!$B$4:$B$138, 0), MATCH(CF$4&amp;CF$5, LS_current!$D$2:$AY$2&amp;LS_current!$D$3:$AY$3, 0)),SUM(VLOOKUP($A80, LS_current!$B$4:$AY$138, LS_current!J$148, FALSE), VLOOKUP($A80, LS_current!$B$4:$AY$138,LS_current!J$148, FALSE))/2)</f>
        <v>0</v>
      </c>
      <c r="CG80" s="227">
        <f t="array" ref="CG80">IF($BU80=0, INDEX(LS_current!$D$4:$AY$138, MATCH('Staging Table'!$A80, LS_current!$B$4:$B$138, 0), MATCH(CG$4&amp;CG$5, LS_current!$D$2:$AY$2&amp;LS_current!$D$3:$AY$3, 0)),SUM(VLOOKUP($A80, LS_current!$B$4:$AY$138, LS_current!K$148, FALSE), VLOOKUP($A80, LS_current!$B$4:$AY$138,LS_current!K$148, FALSE))/2)</f>
        <v>0</v>
      </c>
      <c r="CH80" s="227">
        <f t="array" ref="CH80">IF($BU80=0, INDEX(LS_current!$D$4:$AY$138, MATCH('Staging Table'!$A80, LS_current!$B$4:$B$138, 0), MATCH(CH$4&amp;CH$5, LS_current!$D$2:$AY$2&amp;LS_current!$D$3:$AY$3, 0)),SUM(VLOOKUP($A80, LS_current!$B$4:$AY$138, LS_current!L$148, FALSE), VLOOKUP($A80, LS_current!$B$4:$AY$138,LS_current!L$148, FALSE))/2)</f>
        <v>0</v>
      </c>
      <c r="CI80" s="227">
        <f t="array" ref="CI80">IF($BU80=0, INDEX(LS_current!$D$4:$AY$138, MATCH('Staging Table'!$A80, LS_current!$B$4:$B$138, 0), MATCH(CI$4&amp;CI$5, LS_current!$D$2:$AY$2&amp;LS_current!$D$3:$AY$3, 0)),SUM(VLOOKUP($A80, LS_current!$B$4:$AY$138, LS_current!M$148, FALSE), VLOOKUP($A80, LS_current!$B$4:$AY$138,LS_current!M$148, FALSE))/2)</f>
        <v>0</v>
      </c>
      <c r="CJ80" s="227">
        <f t="array" ref="CJ80">IF($BU80=0, INDEX(LS_current!$D$4:$AY$138, MATCH('Staging Table'!$A80, LS_current!$B$4:$B$138, 0), MATCH(CJ$4&amp;CJ$5, LS_current!$D$2:$AY$2&amp;LS_current!$D$3:$AY$3, 0)),SUM(VLOOKUP($A80, LS_current!$B$4:$AY$138, LS_current!N$148, FALSE), VLOOKUP($A80, LS_current!$B$4:$AY$138,LS_current!N$148, FALSE))/2)</f>
        <v>0</v>
      </c>
      <c r="CK80" s="227">
        <f t="array" ref="CK80">IF($BU80=0, INDEX(LS_current!$D$4:$AY$138, MATCH('Staging Table'!$A80, LS_current!$B$4:$B$138, 0), MATCH(CK$4&amp;CK$5, LS_current!$D$2:$AY$2&amp;LS_current!$D$3:$AY$3, 0)),SUM(VLOOKUP($A80, LS_current!$B$4:$AY$138, LS_current!O$148, FALSE), VLOOKUP($A80, LS_current!$B$4:$AY$138,LS_current!O$148, FALSE))/2)</f>
        <v>0</v>
      </c>
      <c r="CL80" s="227">
        <f t="array" ref="CL80">IF($BU80=0, INDEX(LS_current!$D$4:$AY$138, MATCH('Staging Table'!$A80, LS_current!$B$4:$B$138, 0), MATCH(CL$4&amp;CL$5, LS_current!$D$2:$AY$2&amp;LS_current!$D$3:$AY$3, 0)),SUM(VLOOKUP($A80, LS_current!$B$4:$AY$138, LS_current!P$148, FALSE), VLOOKUP($A80, LS_current!$B$4:$AY$138,LS_current!P$148, FALSE))/2)</f>
        <v>0</v>
      </c>
      <c r="CM80" s="227">
        <f t="array" ref="CM80">IF($BU80=0, INDEX(LS_current!$D$4:$AY$138, MATCH('Staging Table'!$A80, LS_current!$B$4:$B$138, 0), MATCH(CM$4&amp;CM$5, LS_current!$D$2:$AY$2&amp;LS_current!$D$3:$AY$3, 0)),SUM(VLOOKUP($A80, LS_current!$B$4:$AY$138, LS_current!Q$148, FALSE), VLOOKUP($A80, LS_current!$B$4:$AY$138,LS_current!Q$148, FALSE))/2)</f>
        <v>0</v>
      </c>
      <c r="CN80" s="227">
        <f t="array" ref="CN80">IF($BU80=0, INDEX(LS_current!$D$4:$AY$138, MATCH('Staging Table'!$A80, LS_current!$B$4:$B$138, 0), MATCH(CN$4&amp;CN$5, LS_current!$D$2:$AY$2&amp;LS_current!$D$3:$AY$3, 0)),SUM(VLOOKUP($A80, LS_current!$B$4:$AY$138, LS_current!R$148, FALSE), VLOOKUP($A80, LS_current!$B$4:$AY$138,LS_current!R$148, FALSE))/2)</f>
        <v>0</v>
      </c>
      <c r="CO80" s="227">
        <f t="array" ref="CO80">IF($BU80=0, INDEX(LS_current!$D$4:$AY$138, MATCH('Staging Table'!$A80, LS_current!$B$4:$B$138, 0), MATCH(CO$4&amp;CO$5, LS_current!$D$2:$AY$2&amp;LS_current!$D$3:$AY$3, 0)),SUM(VLOOKUP($A80, LS_current!$B$4:$AY$138, LS_current!S$148, FALSE), VLOOKUP($A80, LS_current!$B$4:$AY$138,LS_current!S$148, FALSE))/2)</f>
        <v>0</v>
      </c>
      <c r="CP80" s="227">
        <f t="array" ref="CP80">IF($BU80=0, INDEX(LS_current!$D$4:$AY$138, MATCH('Staging Table'!$A80, LS_current!$B$4:$B$138, 0), MATCH(CP$4&amp;CP$5, LS_current!$D$2:$AY$2&amp;LS_current!$D$3:$AY$3, 0)),SUM(VLOOKUP($A80, LS_current!$B$4:$AY$138, LS_current!T$148, FALSE), VLOOKUP($A80, LS_current!$B$4:$AY$138,LS_current!T$148, FALSE))/2)</f>
        <v>0</v>
      </c>
      <c r="CQ80" s="227">
        <f t="array" ref="CQ80">IF($BU80=0, INDEX(LS_current!$D$4:$AY$138, MATCH('Staging Table'!$A80, LS_current!$B$4:$B$138, 0), MATCH(CQ$4&amp;CQ$5, LS_current!$D$2:$AY$2&amp;LS_current!$D$3:$AY$3, 0)),SUM(VLOOKUP($A80, LS_current!$B$4:$AY$138, LS_current!U$148, FALSE), VLOOKUP($A80, LS_current!$B$4:$AY$138,LS_current!U$148, FALSE))/2)</f>
        <v>0</v>
      </c>
      <c r="CR80" s="227">
        <f t="array" ref="CR80">IF($BU80=0, INDEX(LS_current!$D$4:$AY$138, MATCH('Staging Table'!$A80, LS_current!$B$4:$B$138, 0), MATCH(CR$4&amp;CR$5, LS_current!$D$2:$AY$2&amp;LS_current!$D$3:$AY$3, 0)),SUM(VLOOKUP($A80, LS_current!$B$4:$AY$138, LS_current!V$148, FALSE), VLOOKUP($A80, LS_current!$B$4:$AY$138,LS_current!V$148, FALSE))/2)</f>
        <v>0</v>
      </c>
      <c r="CS80" s="227">
        <f t="array" ref="CS80">IF($BU80=0, INDEX(LS_current!$D$4:$AY$138, MATCH('Staging Table'!$A80, LS_current!$B$4:$B$138, 0), MATCH(CS$4&amp;CS$5, LS_current!$D$2:$AY$2&amp;LS_current!$D$3:$AY$3, 0)),SUM(VLOOKUP($A80, LS_current!$B$4:$AY$138, LS_current!W$148, FALSE), VLOOKUP($A80, LS_current!$B$4:$AY$138,LS_current!W$148, FALSE))/2)</f>
        <v>0</v>
      </c>
      <c r="CT80" s="227">
        <f t="array" ref="CT80">IF($BU80=0, INDEX(LS_current!$D$4:$AY$138, MATCH('Staging Table'!$A80, LS_current!$B$4:$B$138, 0), MATCH(CT$4&amp;CT$5, LS_current!$D$2:$AY$2&amp;LS_current!$D$3:$AY$3, 0)),SUM(VLOOKUP($A80, LS_current!$B$4:$AY$138, LS_current!X$148, FALSE), VLOOKUP($A80, LS_current!$B$4:$AY$138,LS_current!X$148, FALSE))/2)</f>
        <v>0</v>
      </c>
      <c r="CU80" s="227">
        <f t="array" ref="CU80">IF($BU80=0, INDEX(LS_current!$D$4:$AY$138, MATCH('Staging Table'!$A80, LS_current!$B$4:$B$138, 0), MATCH(CU$4&amp;CU$5, LS_current!$D$2:$AY$2&amp;LS_current!$D$3:$AY$3, 0)),SUM(VLOOKUP($A80, LS_current!$B$4:$AY$138, LS_current!Y$148, FALSE), VLOOKUP($A80, LS_current!$B$4:$AY$138,LS_current!Y$148, FALSE))/2)</f>
        <v>0</v>
      </c>
      <c r="CV80" s="227">
        <f t="array" ref="CV80">IF($BU80=0, INDEX(LS_current!$D$4:$AY$138, MATCH('Staging Table'!$A80, LS_current!$B$4:$B$138, 0), MATCH(CV$4&amp;CV$5, LS_current!$D$2:$AY$2&amp;LS_current!$D$3:$AY$3, 0)),SUM(VLOOKUP($A80, LS_current!$B$4:$AY$138, LS_current!Z$148, FALSE), VLOOKUP($A80, LS_current!$B$4:$AY$138,LS_current!Z$148, FALSE))/2)</f>
        <v>0</v>
      </c>
      <c r="CW80" s="227">
        <f t="array" ref="CW80">IF($BU80=0, INDEX(LS_current!$D$4:$AY$138, MATCH('Staging Table'!$A80, LS_current!$B$4:$B$138, 0), MATCH(CW$4&amp;CW$5, LS_current!$D$2:$AY$2&amp;LS_current!$D$3:$AY$3, 0)),SUM(VLOOKUP($A80, LS_current!$B$4:$AY$138, LS_current!AA$148, FALSE), VLOOKUP($A80, LS_current!$B$4:$AY$138,LS_current!AA$148, FALSE))/2)</f>
        <v>0</v>
      </c>
      <c r="CX80" s="229">
        <f t="array" ref="CX80">INDEX(Demand_current!$D$4:$AY$138, MATCH($A80, Demand_current!$B$4:$B$138, 0), MATCH(CX$4&amp;CX$5,Demand_current!$D$2:$AY$2&amp;Demand_current!$D$3:$AY$3, 0))/1000</f>
        <v>0</v>
      </c>
      <c r="CY80" s="229">
        <f t="array" ref="CY80">INDEX(Demand_current!$D$4:$AY$138, MATCH($A80, Demand_current!$B$4:$B$138, 0), MATCH(CY$4&amp;CY$5,Demand_current!$D$2:$AY$2&amp;Demand_current!$D$3:$AY$3, 0))/1000</f>
        <v>0</v>
      </c>
      <c r="CZ80" s="229">
        <f t="array" ref="CZ80">INDEX(Demand_current!$D$4:$AY$138, MATCH($A80, Demand_current!$B$4:$B$138, 0), MATCH(CZ$4&amp;CZ$5,Demand_current!$D$2:$AY$2&amp;Demand_current!$D$3:$AY$3, 0))/1000</f>
        <v>0</v>
      </c>
      <c r="DA80" s="229">
        <f t="array" ref="DA80">INDEX(Demand_current!$D$4:$AY$138, MATCH($A80, Demand_current!$B$4:$B$138, 0), MATCH(DA$4&amp;DA$5,Demand_current!$D$2:$AY$2&amp;Demand_current!$D$3:$AY$3, 0))/1000</f>
        <v>0</v>
      </c>
      <c r="DB80" s="229">
        <f t="array" ref="DB80">INDEX(Demand_current!$D$4:$AY$138, MATCH($A80, Demand_current!$B$4:$B$138, 0), MATCH(DB$4&amp;DB$5,Demand_current!$D$2:$AY$2&amp;Demand_current!$D$3:$AY$3, 0))/1000</f>
        <v>0</v>
      </c>
      <c r="DC80" s="229">
        <f t="array" ref="DC80">INDEX(Demand_current!$D$4:$AY$138, MATCH($A80, Demand_current!$B$4:$B$138, 0), MATCH(DC$4&amp;DC$5,Demand_current!$D$2:$AY$2&amp;Demand_current!$D$3:$AY$3, 0))/1000</f>
        <v>0</v>
      </c>
      <c r="DD80" s="229">
        <f t="array" ref="DD80">INDEX(Demand_current!$D$4:$AY$138, MATCH($A80, Demand_current!$B$4:$B$138, 0), MATCH(DD$4&amp;DD$5,Demand_current!$D$2:$AY$2&amp;Demand_current!$D$3:$AY$3, 0))/1000</f>
        <v>0</v>
      </c>
      <c r="DE80" s="229">
        <f t="array" ref="DE80">INDEX(Demand_current!$D$4:$AY$138, MATCH($A80, Demand_current!$B$4:$B$138, 0), MATCH(DE$4&amp;DE$5,Demand_current!$D$2:$AY$2&amp;Demand_current!$D$3:$AY$3, 0))/1000</f>
        <v>0</v>
      </c>
      <c r="DF80" s="229">
        <f t="array" ref="DF80">INDEX(Demand_current!$D$4:$AY$138, MATCH($A80, Demand_current!$B$4:$B$138, 0), MATCH(DF$4&amp;DF$5,Demand_current!$D$2:$AY$2&amp;Demand_current!$D$3:$AY$3, 0))/1000</f>
        <v>0</v>
      </c>
      <c r="DG80" s="229">
        <f t="array" ref="DG80">INDEX(Demand_current!$D$4:$AY$138, MATCH($A80, Demand_current!$B$4:$B$138, 0), MATCH(DG$4&amp;DG$5,Demand_current!$D$2:$AY$2&amp;Demand_current!$D$3:$AY$3, 0))/1000</f>
        <v>0</v>
      </c>
      <c r="DH80" s="229">
        <f t="array" ref="DH80">INDEX(Demand_current!$D$4:$AY$138, MATCH($A80, Demand_current!$B$4:$B$138, 0), MATCH(DH$4&amp;DH$5,Demand_current!$D$2:$AY$2&amp;Demand_current!$D$3:$AY$3, 0))/1000</f>
        <v>0</v>
      </c>
      <c r="DI80" s="229">
        <f t="array" ref="DI80">INDEX(Demand_current!$D$4:$AY$138, MATCH($A80, Demand_current!$B$4:$B$138, 0), MATCH(DI$4&amp;DI$5,Demand_current!$D$2:$AY$2&amp;Demand_current!$D$3:$AY$3, 0))/1000</f>
        <v>0</v>
      </c>
      <c r="DJ80" s="227">
        <f>$BT80*(VLOOKUP(DJ$4, Rates_current!$G$6:$Q$29, 10, FALSE)+VLOOKUP(DJ$4, Rates_current!$G$6:$Q$29, 11, FALSE))</f>
        <v>18035.240967575999</v>
      </c>
      <c r="DK80" s="227">
        <f>$BT80*(VLOOKUP(DK$4, Rates_current!$G$6:$Q$29, 10, FALSE)+VLOOKUP(DK$4, Rates_current!$G$6:$Q$29, 11, FALSE))</f>
        <v>22910.382231534</v>
      </c>
      <c r="DL80" s="227">
        <f>$BT80*(VLOOKUP(DL$4, Rates_current!$G$6:$Q$29, 10, FALSE)+VLOOKUP(DL$4, Rates_current!$G$6:$Q$29, 11, FALSE))</f>
        <v>22633.708365576003</v>
      </c>
      <c r="DM80" s="227">
        <f>$BT80*(VLOOKUP(DM$4, Rates_current!$G$6:$Q$29, 10, FALSE)+VLOOKUP(DM$4, Rates_current!$G$6:$Q$29, 11, FALSE))</f>
        <v>18866.574477576003</v>
      </c>
      <c r="DN80" s="227">
        <f>$BT80*(VLOOKUP(DN$4, Rates_current!$G$6:$Q$29, 10, FALSE)+VLOOKUP(DN$4, Rates_current!$G$6:$Q$29, 11, FALSE))</f>
        <v>17091.1592208</v>
      </c>
      <c r="DO80" s="227">
        <f>$BT80*(VLOOKUP(DO$4, Rates_current!$G$6:$Q$29, 10, FALSE)+VLOOKUP(DO$4, Rates_current!$G$6:$Q$29, 11, FALSE))</f>
        <v>19010.798609922</v>
      </c>
      <c r="DP80" s="227">
        <f>$BT80*(VLOOKUP(DP$4, Rates_current!$G$6:$Q$29, 10, FALSE)+VLOOKUP(DP$4, Rates_current!$G$6:$Q$29, 11, FALSE))</f>
        <v>15478.612742880001</v>
      </c>
      <c r="DQ80" s="227">
        <f>$BT80*(VLOOKUP(DQ$4, Rates_current!$G$6:$Q$29, 10, FALSE)+VLOOKUP(DQ$4, Rates_current!$G$6:$Q$29, 11, FALSE))</f>
        <v>20875.217400576003</v>
      </c>
      <c r="DR80" s="227">
        <f>$BT80*(VLOOKUP(DR$4, Rates_current!$G$6:$Q$29, 10, FALSE)+VLOOKUP(DR$4, Rates_current!$G$6:$Q$29, 11, FALSE))</f>
        <v>26635.357649880003</v>
      </c>
      <c r="DS80" s="227">
        <f>$BT80*(VLOOKUP(DS$4, Rates_current!$G$6:$Q$29, 10, FALSE)+VLOOKUP(DS$4, Rates_current!$G$6:$Q$29, 11, FALSE))</f>
        <v>20882.964951576003</v>
      </c>
      <c r="DT80" s="227">
        <f>$BT80*(VLOOKUP(DT$4, Rates_current!$G$6:$Q$29, 10, FALSE)+VLOOKUP(DT$4, Rates_current!$G$6:$Q$29, 11, FALSE))</f>
        <v>20335.849578576002</v>
      </c>
      <c r="DU80" s="227">
        <f>$BT80*(VLOOKUP(DU$4, Rates_current!$G$6:$Q$29, 10, FALSE)+VLOOKUP(DU$4, Rates_current!$G$6:$Q$29, 11, FALSE))</f>
        <v>18257.266928880003</v>
      </c>
      <c r="DV80" s="229">
        <f>IF(D80=0,IF(C80=0,MAX(0,DY80 - (VLOOKUP($A80,TOCA_current!$A$2:$AI$137,MATCH("RHWM 2020",TOCA_current!$A$2:$AI$2,0),FALSE)*$BT$2)), 0),0)</f>
        <v>0</v>
      </c>
      <c r="DW80" s="266">
        <f>VLOOKUP($A80,REP_current!$A$1:$D$135,MATCH("FY "&amp;$BT$1&amp; " Total Refund",REP_current!$A$1:$D$1,0),0)</f>
        <v>0</v>
      </c>
      <c r="DX80" s="295">
        <f>MIN(VLOOKUP($A80,TOCA_current!$A$2:$AI$137,MATCH("TRL - NLSL - Existing Resource "&amp;$BT$1,TOCA_current!$A$2:$AI$2,0),FALSE)*$BT$2, VLOOKUP($A80,TOCA_current!$A$2:$AI$137,MATCH("RHWM 2020",TOCA_current!$A$2:$AI$2,0),FALSE)*$BT$2)</f>
        <v>241015.39199999999</v>
      </c>
      <c r="DY80" s="240">
        <f>SUM(BZ80:CW80)+(BT80*RT1SC!$C$4*$BT$2)</f>
        <v>241013.14217164798</v>
      </c>
      <c r="DZ80" s="271">
        <f>VLOOKUP($A80,TOCA_current!$A$2:$AI$137,MATCH("Above RHWM Not Served with LS "&amp;$BT$1,TOCA_current!$A$2:$AI$2,0),FALSE)*$BT$2</f>
        <v>0</v>
      </c>
      <c r="EA80" s="244">
        <f t="shared" si="29"/>
        <v>-2.2498283520108089</v>
      </c>
      <c r="EB80" s="295">
        <f>(VLOOKUP($A80,TOCA_current!$A$2:$AI$137,MATCH("RHWM 2020",TOCA_current!$A$2:$AI$2,0),FALSE)*$BT$2) - $DX80</f>
        <v>13272.624000000011</v>
      </c>
      <c r="EC80" s="240">
        <f t="shared" si="30"/>
        <v>0</v>
      </c>
      <c r="ED80" s="240">
        <f t="shared" si="31"/>
        <v>2.2498283520108089</v>
      </c>
      <c r="EE80" s="240">
        <f t="shared" si="32"/>
        <v>0</v>
      </c>
      <c r="EF80" s="240">
        <f t="shared" si="33"/>
        <v>2.2498283520108089</v>
      </c>
    </row>
    <row r="81" spans="1:136">
      <c r="A81" s="166">
        <v>10237</v>
      </c>
      <c r="B81" s="167" t="s">
        <v>82</v>
      </c>
      <c r="C81" s="240">
        <v>0</v>
      </c>
      <c r="D81" s="240">
        <v>1</v>
      </c>
      <c r="E81" s="150">
        <f>VLOOKUP($A81,TOCA_previous!$A$2:$AI$137,MATCH(E$4,TOCA_previous!$A$2:$AI$2,0),FALSE)</f>
        <v>1.5751299999999999E-2</v>
      </c>
      <c r="F81" s="151">
        <f>VLOOKUP($A81,TOCA_previous!$A$2:$AI$137,MATCH(F$4,TOCA_previous!$A$2:$AI$2,0),FALSE)</f>
        <v>6.1412999999999997E-3</v>
      </c>
      <c r="G81" s="151">
        <f t="shared" si="18"/>
        <v>9.6100000000000005E-3</v>
      </c>
      <c r="H81" s="419">
        <f>150000*12</f>
        <v>1800000</v>
      </c>
      <c r="I81" s="151">
        <f t="shared" si="19"/>
        <v>0</v>
      </c>
      <c r="J81" s="151">
        <f t="shared" si="20"/>
        <v>0</v>
      </c>
      <c r="K81" s="226">
        <f>VLOOKUP(A81, IRD!$A$5:$C$139, 3, FALSE)</f>
        <v>0</v>
      </c>
      <c r="L81" s="227">
        <f t="array" ref="L81">IF($G81=0, INDEX(LS_previous!$D$4:$AY$138, MATCH('Staging Table'!$A81, LS_previous!$B$4:$B$138, 0), MATCH(L$4&amp;L$5, LS_previous!$D$2:$AY$2&amp;LS_previous!$D$3:$AY$3, 0)),SUM(VLOOKUP($A81, LS_previous!$B$4:$AY$138, LS_previous!D$149, FALSE), VLOOKUP('Staging Table'!$A81, LS_previous!$B$4:$AY$138,LS_previous!AB$149, FALSE))/2)</f>
        <v>-1738.5</v>
      </c>
      <c r="M81" s="227">
        <f t="array" ref="M81">IF($G81=0, INDEX(LS_previous!$D$4:$AY$138, MATCH('Staging Table'!$A81, LS_previous!$B$4:$B$138, 0), MATCH(M$4&amp;M$5, LS_previous!$D$2:$AY$2&amp;LS_previous!$D$3:$AY$3, 0)),SUM(VLOOKUP($A81, LS_previous!$B$4:$AY$138, LS_previous!E$149, FALSE), VLOOKUP('Staging Table'!$A81, LS_previous!$B$4:$AY$138,LS_previous!AC$149, FALSE))/2)</f>
        <v>2737.5</v>
      </c>
      <c r="N81" s="227">
        <f t="array" ref="N81">IF($G81=0, INDEX(LS_previous!$D$4:$AY$138, MATCH('Staging Table'!$A81, LS_previous!$B$4:$B$138, 0), MATCH(N$4&amp;N$5, LS_previous!$D$2:$AY$2&amp;LS_previous!$D$3:$AY$3, 0)),SUM(VLOOKUP($A81, LS_previous!$B$4:$AY$138, LS_previous!F$149, FALSE), VLOOKUP('Staging Table'!$A81, LS_previous!$B$4:$AY$138,LS_previous!AD$149, FALSE))/2)</f>
        <v>-2798</v>
      </c>
      <c r="O81" s="227">
        <f t="array" ref="O81">IF($G81=0, INDEX(LS_previous!$D$4:$AY$138, MATCH('Staging Table'!$A81, LS_previous!$B$4:$B$138, 0), MATCH(O$4&amp;O$5, LS_previous!$D$2:$AY$2&amp;LS_previous!$D$3:$AY$3, 0)),SUM(VLOOKUP($A81, LS_previous!$B$4:$AY$138, LS_previous!G$149, FALSE), VLOOKUP('Staging Table'!$A81, LS_previous!$B$4:$AY$138,LS_previous!AE$149, FALSE))/2)</f>
        <v>2581</v>
      </c>
      <c r="P81" s="227">
        <f t="array" ref="P81">IF($G81=0, INDEX(LS_previous!$D$4:$AY$138, MATCH('Staging Table'!$A81, LS_previous!$B$4:$B$138, 0), MATCH(P$4&amp;P$5, LS_previous!$D$2:$AY$2&amp;LS_previous!$D$3:$AY$3, 0)),SUM(VLOOKUP($A81, LS_previous!$B$4:$AY$138, LS_previous!H$149, FALSE), VLOOKUP('Staging Table'!$A81, LS_previous!$B$4:$AY$138,LS_previous!AF$149, FALSE))/2)</f>
        <v>1322.5</v>
      </c>
      <c r="Q81" s="227">
        <f t="array" ref="Q81">IF($G81=0, INDEX(LS_previous!$D$4:$AY$138, MATCH('Staging Table'!$A81, LS_previous!$B$4:$B$138, 0), MATCH(Q$4&amp;Q$5, LS_previous!$D$2:$AY$2&amp;LS_previous!$D$3:$AY$3, 0)),SUM(VLOOKUP($A81, LS_previous!$B$4:$AY$138, LS_previous!I$149, FALSE), VLOOKUP('Staging Table'!$A81, LS_previous!$B$4:$AY$138,LS_previous!AG$149, FALSE))/2)</f>
        <v>6710</v>
      </c>
      <c r="R81" s="227">
        <f t="array" ref="R81">IF($G81=0, INDEX(LS_previous!$D$4:$AY$138, MATCH('Staging Table'!$A81, LS_previous!$B$4:$B$138, 0), MATCH(R$4&amp;R$5, LS_previous!$D$2:$AY$2&amp;LS_previous!$D$3:$AY$3, 0)),SUM(VLOOKUP($A81, LS_previous!$B$4:$AY$138, LS_previous!J$149, FALSE), VLOOKUP('Staging Table'!$A81, LS_previous!$B$4:$AY$138,LS_previous!AH$149, FALSE))/2)</f>
        <v>2469.5</v>
      </c>
      <c r="S81" s="227">
        <f t="array" ref="S81">IF($G81=0, INDEX(LS_previous!$D$4:$AY$138, MATCH('Staging Table'!$A81, LS_previous!$B$4:$B$138, 0), MATCH(S$4&amp;S$5, LS_previous!$D$2:$AY$2&amp;LS_previous!$D$3:$AY$3, 0)),SUM(VLOOKUP($A81, LS_previous!$B$4:$AY$138, LS_previous!K$149, FALSE), VLOOKUP('Staging Table'!$A81, LS_previous!$B$4:$AY$138,LS_previous!AI$149, FALSE))/2)</f>
        <v>5096</v>
      </c>
      <c r="T81" s="227">
        <f t="array" ref="T81">IF($G81=0, INDEX(LS_previous!$D$4:$AY$138, MATCH('Staging Table'!$A81, LS_previous!$B$4:$B$138, 0), MATCH(T$4&amp;T$5, LS_previous!$D$2:$AY$2&amp;LS_previous!$D$3:$AY$3, 0)),SUM(VLOOKUP($A81, LS_previous!$B$4:$AY$138, LS_previous!L$149, FALSE), VLOOKUP('Staging Table'!$A81, LS_previous!$B$4:$AY$138,LS_previous!AJ$149, FALSE))/2)</f>
        <v>3469</v>
      </c>
      <c r="U81" s="227">
        <f t="array" ref="U81">IF($G81=0, INDEX(LS_previous!$D$4:$AY$138, MATCH('Staging Table'!$A81, LS_previous!$B$4:$B$138, 0), MATCH(U$4&amp;U$5, LS_previous!$D$2:$AY$2&amp;LS_previous!$D$3:$AY$3, 0)),SUM(VLOOKUP($A81, LS_previous!$B$4:$AY$138, LS_previous!M$149, FALSE), VLOOKUP('Staging Table'!$A81, LS_previous!$B$4:$AY$138,LS_previous!AK$149, FALSE))/2)</f>
        <v>5196</v>
      </c>
      <c r="V81" s="227">
        <f t="array" ref="V81">IF($G81=0, INDEX(LS_previous!$D$4:$AY$138, MATCH('Staging Table'!$A81, LS_previous!$B$4:$B$138, 0), MATCH(V$4&amp;V$5, LS_previous!$D$2:$AY$2&amp;LS_previous!$D$3:$AY$3, 0)),SUM(VLOOKUP($A81, LS_previous!$B$4:$AY$138, LS_previous!N$149, FALSE), VLOOKUP('Staging Table'!$A81, LS_previous!$B$4:$AY$138,LS_previous!AL$149, FALSE))/2)</f>
        <v>446.5</v>
      </c>
      <c r="W81" s="227">
        <f t="array" ref="W81">IF($G81=0, INDEX(LS_previous!$D$4:$AY$138, MATCH('Staging Table'!$A81, LS_previous!$B$4:$B$138, 0), MATCH(W$4&amp;W$5, LS_previous!$D$2:$AY$2&amp;LS_previous!$D$3:$AY$3, 0)),SUM(VLOOKUP($A81, LS_previous!$B$4:$AY$138, LS_previous!O$149, FALSE), VLOOKUP('Staging Table'!$A81, LS_previous!$B$4:$AY$138,LS_previous!AM$149, FALSE))/2)</f>
        <v>3492.5</v>
      </c>
      <c r="X81" s="227">
        <f t="array" ref="X81">IF($G81=0, INDEX(LS_previous!$D$4:$AY$138, MATCH('Staging Table'!$A81, LS_previous!$B$4:$B$138, 0), MATCH(X$4&amp;X$5, LS_previous!$D$2:$AY$2&amp;LS_previous!$D$3:$AY$3, 0)),SUM(VLOOKUP($A81, LS_previous!$B$4:$AY$138, LS_previous!P$149, FALSE), VLOOKUP('Staging Table'!$A81, LS_previous!$B$4:$AY$138,LS_previous!AN$149, FALSE))/2)</f>
        <v>-250</v>
      </c>
      <c r="Y81" s="227">
        <f t="array" ref="Y81">IF($G81=0, INDEX(LS_previous!$D$4:$AY$138, MATCH('Staging Table'!$A81, LS_previous!$B$4:$B$138, 0), MATCH(Y$4&amp;Y$5, LS_previous!$D$2:$AY$2&amp;LS_previous!$D$3:$AY$3, 0)),SUM(VLOOKUP($A81, LS_previous!$B$4:$AY$138, LS_previous!Q$149, FALSE), VLOOKUP('Staging Table'!$A81, LS_previous!$B$4:$AY$138,LS_previous!AO$149, FALSE))/2)</f>
        <v>3577.5</v>
      </c>
      <c r="Z81" s="227">
        <f t="array" ref="Z81">IF($G81=0, INDEX(LS_previous!$D$4:$AY$138, MATCH('Staging Table'!$A81, LS_previous!$B$4:$B$138, 0), MATCH(Z$4&amp;Z$5, LS_previous!$D$2:$AY$2&amp;LS_previous!$D$3:$AY$3, 0)),SUM(VLOOKUP($A81, LS_previous!$B$4:$AY$138, LS_previous!R$149, FALSE), VLOOKUP('Staging Table'!$A81, LS_previous!$B$4:$AY$138,LS_previous!AP$149, FALSE))/2)</f>
        <v>-10581</v>
      </c>
      <c r="AA81" s="227">
        <f t="array" ref="AA81">IF($G81=0, INDEX(LS_previous!$D$4:$AY$138, MATCH('Staging Table'!$A81, LS_previous!$B$4:$B$138, 0), MATCH(AA$4&amp;AA$5, LS_previous!$D$2:$AY$2&amp;LS_previous!$D$3:$AY$3, 0)),SUM(VLOOKUP($A81, LS_previous!$B$4:$AY$138, LS_previous!S$149, FALSE), VLOOKUP('Staging Table'!$A81, LS_previous!$B$4:$AY$138,LS_previous!AQ$149, FALSE))/2)</f>
        <v>-2596.5</v>
      </c>
      <c r="AB81" s="227">
        <f t="array" ref="AB81">IF($G81=0, INDEX(LS_previous!$D$4:$AY$138, MATCH('Staging Table'!$A81, LS_previous!$B$4:$B$138, 0), MATCH(AB$4&amp;AB$5, LS_previous!$D$2:$AY$2&amp;LS_previous!$D$3:$AY$3, 0)),SUM(VLOOKUP($A81, LS_previous!$B$4:$AY$138, LS_previous!T$149, FALSE), VLOOKUP('Staging Table'!$A81, LS_previous!$B$4:$AY$138,LS_previous!AR$149, FALSE))/2)</f>
        <v>-6721.5</v>
      </c>
      <c r="AC81" s="227">
        <f t="array" ref="AC81">IF($G81=0, INDEX(LS_previous!$D$4:$AY$138, MATCH('Staging Table'!$A81, LS_previous!$B$4:$B$138, 0), MATCH(AC$4&amp;AC$5, LS_previous!$D$2:$AY$2&amp;LS_previous!$D$3:$AY$3, 0)),SUM(VLOOKUP($A81, LS_previous!$B$4:$AY$138, LS_previous!U$149, FALSE), VLOOKUP('Staging Table'!$A81, LS_previous!$B$4:$AY$138,LS_previous!AS$149, FALSE))/2)</f>
        <v>-127.5</v>
      </c>
      <c r="AD81" s="227">
        <f t="array" ref="AD81">IF($G81=0, INDEX(LS_previous!$D$4:$AY$138, MATCH('Staging Table'!$A81, LS_previous!$B$4:$B$138, 0), MATCH(AD$4&amp;AD$5, LS_previous!$D$2:$AY$2&amp;LS_previous!$D$3:$AY$3, 0)),SUM(VLOOKUP($A81, LS_previous!$B$4:$AY$138, LS_previous!V$149, FALSE), VLOOKUP('Staging Table'!$A81, LS_previous!$B$4:$AY$138,LS_previous!AT$149, FALSE))/2)</f>
        <v>-4933.5</v>
      </c>
      <c r="AE81" s="227">
        <f t="array" ref="AE81">IF($G81=0, INDEX(LS_previous!$D$4:$AY$138, MATCH('Staging Table'!$A81, LS_previous!$B$4:$B$138, 0), MATCH(AE$4&amp;AE$5, LS_previous!$D$2:$AY$2&amp;LS_previous!$D$3:$AY$3, 0)),SUM(VLOOKUP($A81, LS_previous!$B$4:$AY$138, LS_previous!W$149, FALSE), VLOOKUP('Staging Table'!$A81, LS_previous!$B$4:$AY$138,LS_previous!AU$149, FALSE))/2)</f>
        <v>1399</v>
      </c>
      <c r="AF81" s="227">
        <f t="array" ref="AF81">IF($G81=0, INDEX(LS_previous!$D$4:$AY$138, MATCH('Staging Table'!$A81, LS_previous!$B$4:$B$138, 0), MATCH(AF$4&amp;AF$5, LS_previous!$D$2:$AY$2&amp;LS_previous!$D$3:$AY$3, 0)),SUM(VLOOKUP($A81, LS_previous!$B$4:$AY$138, LS_previous!X$149, FALSE), VLOOKUP('Staging Table'!$A81, LS_previous!$B$4:$AY$138,LS_previous!AV$149, FALSE))/2)</f>
        <v>-6181.5</v>
      </c>
      <c r="AG81" s="227">
        <f t="array" ref="AG81">IF($G81=0, INDEX(LS_previous!$D$4:$AY$138, MATCH('Staging Table'!$A81, LS_previous!$B$4:$B$138, 0), MATCH(AG$4&amp;AG$5, LS_previous!$D$2:$AY$2&amp;LS_previous!$D$3:$AY$3, 0)),SUM(VLOOKUP($A81, LS_previous!$B$4:$AY$138, LS_previous!Y$149, FALSE), VLOOKUP('Staging Table'!$A81, LS_previous!$B$4:$AY$138,LS_previous!AW$149, FALSE))/2)</f>
        <v>331.5</v>
      </c>
      <c r="AH81" s="227">
        <f t="array" ref="AH81">IF($G81=0, INDEX(LS_previous!$D$4:$AY$138, MATCH('Staging Table'!$A81, LS_previous!$B$4:$B$138, 0), MATCH(AH$4&amp;AH$5, LS_previous!$D$2:$AY$2&amp;LS_previous!$D$3:$AY$3, 0)),SUM(VLOOKUP($A81, LS_previous!$B$4:$AY$138, LS_previous!Z$149, FALSE), VLOOKUP('Staging Table'!$A81, LS_previous!$B$4:$AY$138,LS_previous!AX$149, FALSE))/2)</f>
        <v>-4621</v>
      </c>
      <c r="AI81" s="227">
        <f t="array" ref="AI81">IF($G81=0, INDEX(LS_previous!$D$4:$AY$138, MATCH('Staging Table'!$A81, LS_previous!$B$4:$B$138, 0), MATCH(AI$4&amp;AI$5, LS_previous!$D$2:$AY$2&amp;LS_previous!$D$3:$AY$3, 0)),SUM(VLOOKUP($A81, LS_previous!$B$4:$AY$138, LS_previous!AA$149, FALSE), VLOOKUP('Staging Table'!$A81, LS_previous!$B$4:$AY$138,LS_previous!AY$149, FALSE))/2)</f>
        <v>1626.5</v>
      </c>
      <c r="AJ81" s="424">
        <f t="array" ref="AJ81">INDEX(Demand_previous!$D$4:$AY$138, MATCH('Staging Table'!$A81, Demand_previous!$B$4:$B$138, 0), MATCH(AJ$4&amp;AJ$5,Demand_previous!$D$2:$AY$2&amp;Demand_previous!$D$3:$AY$3, 0))/1000</f>
        <v>0</v>
      </c>
      <c r="AK81" s="424">
        <f t="array" ref="AK81">INDEX(Demand_previous!$D$4:$AY$138, MATCH('Staging Table'!$A81, Demand_previous!$B$4:$B$138, 0), MATCH(AK$4&amp;AK$5,Demand_previous!$D$2:$AY$2&amp;Demand_previous!$D$3:$AY$3, 0))/1000</f>
        <v>0</v>
      </c>
      <c r="AL81" s="424">
        <f t="array" ref="AL81">INDEX(Demand_previous!$D$4:$AY$138, MATCH('Staging Table'!$A81, Demand_previous!$B$4:$B$138, 0), MATCH(AL$4&amp;AL$5,Demand_previous!$D$2:$AY$2&amp;Demand_previous!$D$3:$AY$3, 0))/1000</f>
        <v>0</v>
      </c>
      <c r="AM81" s="424">
        <f t="array" ref="AM81">INDEX(Demand_previous!$D$4:$AY$138, MATCH('Staging Table'!$A81, Demand_previous!$B$4:$B$138, 0), MATCH(AM$4&amp;AM$5,Demand_previous!$D$2:$AY$2&amp;Demand_previous!$D$3:$AY$3, 0))/1000</f>
        <v>0</v>
      </c>
      <c r="AN81" s="424">
        <f t="array" ref="AN81">INDEX(Demand_previous!$D$4:$AY$138, MATCH('Staging Table'!$A81, Demand_previous!$B$4:$B$138, 0), MATCH(AN$4&amp;AN$5,Demand_previous!$D$2:$AY$2&amp;Demand_previous!$D$3:$AY$3, 0))/1000</f>
        <v>0</v>
      </c>
      <c r="AO81" s="424">
        <f t="array" ref="AO81">INDEX(Demand_previous!$D$4:$AY$138, MATCH('Staging Table'!$A81, Demand_previous!$B$4:$B$138, 0), MATCH(AO$4&amp;AO$5,Demand_previous!$D$2:$AY$2&amp;Demand_previous!$D$3:$AY$3, 0))/1000</f>
        <v>0</v>
      </c>
      <c r="AP81" s="424">
        <f t="array" ref="AP81">INDEX(Demand_previous!$D$4:$AY$138, MATCH('Staging Table'!$A81, Demand_previous!$B$4:$B$138, 0), MATCH(AP$4&amp;AP$5,Demand_previous!$D$2:$AY$2&amp;Demand_previous!$D$3:$AY$3, 0))/1000</f>
        <v>0</v>
      </c>
      <c r="AQ81" s="424">
        <f t="array" ref="AQ81">INDEX(Demand_previous!$D$4:$AY$138, MATCH('Staging Table'!$A81, Demand_previous!$B$4:$B$138, 0), MATCH(AQ$4&amp;AQ$5,Demand_previous!$D$2:$AY$2&amp;Demand_previous!$D$3:$AY$3, 0))/1000</f>
        <v>0</v>
      </c>
      <c r="AR81" s="424">
        <f t="array" ref="AR81">INDEX(Demand_previous!$D$4:$AY$138, MATCH('Staging Table'!$A81, Demand_previous!$B$4:$B$138, 0), MATCH(AR$4&amp;AR$5,Demand_previous!$D$2:$AY$2&amp;Demand_previous!$D$3:$AY$3, 0))/1000</f>
        <v>0</v>
      </c>
      <c r="AS81" s="424">
        <f t="array" ref="AS81">INDEX(Demand_previous!$D$4:$AY$138, MATCH('Staging Table'!$A81, Demand_previous!$B$4:$B$138, 0), MATCH(AS$4&amp;AS$5,Demand_previous!$D$2:$AY$2&amp;Demand_previous!$D$3:$AY$3, 0))/1000</f>
        <v>0</v>
      </c>
      <c r="AT81" s="424">
        <f t="array" ref="AT81">INDEX(Demand_previous!$D$4:$AY$138, MATCH('Staging Table'!$A81, Demand_previous!$B$4:$B$138, 0), MATCH(AT$4&amp;AT$5,Demand_previous!$D$2:$AY$2&amp;Demand_previous!$D$3:$AY$3, 0))/1000</f>
        <v>0</v>
      </c>
      <c r="AU81" s="424">
        <f t="array" ref="AU81">INDEX(Demand_previous!$D$4:$AY$138, MATCH('Staging Table'!$A81, Demand_previous!$B$4:$B$138, 0), MATCH(AU$4&amp;AU$5,Demand_previous!$D$2:$AY$2&amp;Demand_previous!$D$3:$AY$3, 0))/1000</f>
        <v>0</v>
      </c>
      <c r="AV81" s="227">
        <f>$F81*(VLOOKUP(AV$4, Rates_previous!$G$6:$Q$29, 10, FALSE)+VLOOKUP(AV$4, Rates_previous!$G$6:$Q$29, 11, FALSE))</f>
        <v>28795.559350162632</v>
      </c>
      <c r="AW81" s="227">
        <f>$F81*(VLOOKUP(AW$4, Rates_previous!$G$6:$Q$29, 10, FALSE)+VLOOKUP(AW$4, Rates_previous!$G$6:$Q$29, 11, FALSE))</f>
        <v>35589.122778305922</v>
      </c>
      <c r="AX81" s="227">
        <f>$F81*(VLOOKUP(AX$4, Rates_previous!$G$6:$Q$29, 10, FALSE)+VLOOKUP(AX$4, Rates_previous!$G$6:$Q$29, 11, FALSE))</f>
        <v>35161.739980385377</v>
      </c>
      <c r="AY81" s="227">
        <f>$F81*(VLOOKUP(AY$4, Rates_previous!$G$6:$Q$29, 10, FALSE)+VLOOKUP(AY$4, Rates_previous!$G$6:$Q$29, 11, FALSE))</f>
        <v>30042.355345902106</v>
      </c>
      <c r="AZ81" s="227">
        <f>$F81*(VLOOKUP(AZ$4, Rates_previous!$G$6:$Q$29, 10, FALSE)+VLOOKUP(AZ$4, Rates_previous!$G$6:$Q$29, 11, FALSE))</f>
        <v>24628.904033487186</v>
      </c>
      <c r="BA81" s="227">
        <f>$F81*(VLOOKUP(BA$4, Rates_previous!$G$6:$Q$29, 10, FALSE)+VLOOKUP(BA$4, Rates_previous!$G$6:$Q$29, 11, FALSE))</f>
        <v>29159.727770829944</v>
      </c>
      <c r="BB81" s="227">
        <f>$F81*(VLOOKUP(BB$4, Rates_previous!$G$6:$Q$29, 10, FALSE)+VLOOKUP(BB$4, Rates_previous!$G$6:$Q$29, 11, FALSE))</f>
        <v>28026.739928943567</v>
      </c>
      <c r="BC81" s="227">
        <f>$F81*(VLOOKUP(BC$4, Rates_previous!$G$6:$Q$29, 10, FALSE)+VLOOKUP(BC$4, Rates_previous!$G$6:$Q$29, 11, FALSE))</f>
        <v>41127.257596603471</v>
      </c>
      <c r="BD81" s="227">
        <f>$F81*(VLOOKUP(BD$4, Rates_previous!$G$6:$Q$29, 10, FALSE)+VLOOKUP(BD$4, Rates_previous!$G$6:$Q$29, 11, FALSE))</f>
        <v>32448.319237051786</v>
      </c>
      <c r="BE81" s="227">
        <f>$F81*(VLOOKUP(BE$4, Rates_previous!$G$6:$Q$29, 10, FALSE)+VLOOKUP(BE$4, Rates_previous!$G$6:$Q$29, 11, FALSE))</f>
        <v>28492.347857012643</v>
      </c>
      <c r="BF81" s="227">
        <f>$F81*(VLOOKUP(BF$4, Rates_previous!$G$6:$Q$29, 10, FALSE)+VLOOKUP(BF$4, Rates_previous!$G$6:$Q$29, 11, FALSE))</f>
        <v>31556.415735158829</v>
      </c>
      <c r="BG81" s="227">
        <f>$F81*(VLOOKUP(BG$4, Rates_previous!$G$6:$Q$29, 10, FALSE)+VLOOKUP(BG$4, Rates_previous!$G$6:$Q$29, 11, FALSE))</f>
        <v>28588.857736050704</v>
      </c>
      <c r="BH81" s="229">
        <f>IF($D81=0,IF(C81=0, MAX(BK81 - (VLOOKUP($A81,TOCA_previous!$A$2:$AI$137,MATCH("RHWM 2018",TOCA_previous!$A$2:$AI$2,0),FALSE)*$F$2*TOCA_previous!C78),0),0), 0)</f>
        <v>0</v>
      </c>
      <c r="BI81" s="266">
        <f>VLOOKUP($A81,REP_previous!$A$1:$D$135,MATCH("FY "&amp;$F$1&amp; " Total Refund",REP_previous!$A$1:$D$1,0),0)</f>
        <v>1340530.64271475</v>
      </c>
      <c r="BJ81" s="241">
        <f>MIN(VLOOKUP($A81,TOCA_previous!$A$2:$AI$137,MATCH("TRL - NLSL - Existing Resource "&amp;$F$1,TOCA_previous!$A$2:$AI$2,0),FALSE)*$F$2,(VLOOKUP($A81,TOCA_previous!$A$2:$AI$137,MATCH("RHWM 2018",TOCA_previous!$A$2:$AI$2,0),FALSE)*$F$2))</f>
        <v>958256.4</v>
      </c>
      <c r="BK81" s="229">
        <f>SUM(L81:AI81)+(F81*RT1SC!$C$3*$F$2)</f>
        <v>373523.35280064796</v>
      </c>
      <c r="BL81" s="241">
        <f>VLOOKUP($A81,TOCA_previous!$A$2:$AI$137,MATCH("Above RHWM Not Served with LS "&amp;$F$1,TOCA_previous!$A$2:$AI$2,0),FALSE)*$F$2</f>
        <v>0</v>
      </c>
      <c r="BM81" s="151">
        <f t="shared" si="21"/>
        <v>-584733.04719935206</v>
      </c>
      <c r="BN81" s="242">
        <f>(VLOOKUP($A81,TOCA_previous!$A$2:$AI$137,MATCH("RHWM 2018",TOCA_previous!$A$2:$AI$2,0),FALSE)*$F$2) - $BJ81</f>
        <v>22048.919999999925</v>
      </c>
      <c r="BO81" s="151">
        <f t="shared" si="22"/>
        <v>0</v>
      </c>
      <c r="BP81" s="243">
        <f t="shared" si="23"/>
        <v>584733.04719935206</v>
      </c>
      <c r="BQ81" s="237">
        <f t="shared" si="24"/>
        <v>0</v>
      </c>
      <c r="BR81" s="242">
        <f t="shared" si="25"/>
        <v>0</v>
      </c>
      <c r="BS81" s="151">
        <f>VLOOKUP($A81,TOCA_current!$A$2:$AI$137,MATCH(BS$4,TOCA_current!$A$2:$AI$2,0),FALSE)</f>
        <v>1.5529899999999999E-2</v>
      </c>
      <c r="BT81" s="151">
        <f>VLOOKUP($A81,TOCA_current!$A$2:$AI$137,MATCH(BT$4,TOCA_current!$A$2:$AI$2,0),FALSE)</f>
        <v>5.9251E-3</v>
      </c>
      <c r="BU81" s="236">
        <f t="shared" si="26"/>
        <v>9.6048000000000001E-3</v>
      </c>
      <c r="BV81" s="419">
        <f>150000*12</f>
        <v>1800000</v>
      </c>
      <c r="BW81" s="151">
        <f t="shared" si="27"/>
        <v>0</v>
      </c>
      <c r="BX81" s="151">
        <f t="shared" si="28"/>
        <v>0</v>
      </c>
      <c r="BY81" s="226">
        <f>VLOOKUP($A81,IRD!$A$4:$G$139, 7, FALSE)</f>
        <v>0</v>
      </c>
      <c r="BZ81" s="227">
        <f t="array" ref="BZ81">IF($BU81=0, INDEX(LS_current!$D$4:$AY$138, MATCH('Staging Table'!$A81, LS_current!$B$4:$B$138, 0), MATCH(BZ$4&amp;BZ$5, LS_current!$D$2:$AY$2&amp;LS_current!$D$3:$AY$3, 0)),SUM(VLOOKUP($A81, LS_current!$B$4:$AY$138, LS_current!D$148, FALSE), VLOOKUP($A81, LS_current!$B$4:$AY$138,LS_current!D$148, FALSE))/2)</f>
        <v>-962</v>
      </c>
      <c r="CA81" s="227">
        <f t="array" ref="CA81">IF($BU81=0, INDEX(LS_current!$D$4:$AY$138, MATCH('Staging Table'!$A81, LS_current!$B$4:$B$138, 0), MATCH(CA$4&amp;CA$5, LS_current!$D$2:$AY$2&amp;LS_current!$D$3:$AY$3, 0)),SUM(VLOOKUP($A81, LS_current!$B$4:$AY$138, LS_current!E$148, FALSE), VLOOKUP($A81, LS_current!$B$4:$AY$138,LS_current!E$148, FALSE))/2)</f>
        <v>2653</v>
      </c>
      <c r="CB81" s="227">
        <f t="array" ref="CB81">IF($BU81=0, INDEX(LS_current!$D$4:$AY$138, MATCH('Staging Table'!$A81, LS_current!$B$4:$B$138, 0), MATCH(CB$4&amp;CB$5, LS_current!$D$2:$AY$2&amp;LS_current!$D$3:$AY$3, 0)),SUM(VLOOKUP($A81, LS_current!$B$4:$AY$138, LS_current!F$148, FALSE), VLOOKUP($A81, LS_current!$B$4:$AY$138,LS_current!F$148, FALSE))/2)</f>
        <v>-2651</v>
      </c>
      <c r="CC81" s="227">
        <f t="array" ref="CC81">IF($BU81=0, INDEX(LS_current!$D$4:$AY$138, MATCH('Staging Table'!$A81, LS_current!$B$4:$B$138, 0), MATCH(CC$4&amp;CC$5, LS_current!$D$2:$AY$2&amp;LS_current!$D$3:$AY$3, 0)),SUM(VLOOKUP($A81, LS_current!$B$4:$AY$138, LS_current!G$148, FALSE), VLOOKUP($A81, LS_current!$B$4:$AY$138,LS_current!G$148, FALSE))/2)</f>
        <v>2393</v>
      </c>
      <c r="CD81" s="227">
        <f t="array" ref="CD81">IF($BU81=0, INDEX(LS_current!$D$4:$AY$138, MATCH('Staging Table'!$A81, LS_current!$B$4:$B$138, 0), MATCH(CD$4&amp;CD$5, LS_current!$D$2:$AY$2&amp;LS_current!$D$3:$AY$3, 0)),SUM(VLOOKUP($A81, LS_current!$B$4:$AY$138, LS_current!H$148, FALSE), VLOOKUP($A81, LS_current!$B$4:$AY$138,LS_current!H$148, FALSE))/2)</f>
        <v>1129</v>
      </c>
      <c r="CE81" s="227">
        <f t="array" ref="CE81">IF($BU81=0, INDEX(LS_current!$D$4:$AY$138, MATCH('Staging Table'!$A81, LS_current!$B$4:$B$138, 0), MATCH(CE$4&amp;CE$5, LS_current!$D$2:$AY$2&amp;LS_current!$D$3:$AY$3, 0)),SUM(VLOOKUP($A81, LS_current!$B$4:$AY$138, LS_current!I$148, FALSE), VLOOKUP($A81, LS_current!$B$4:$AY$138,LS_current!I$148, FALSE))/2)</f>
        <v>6295</v>
      </c>
      <c r="CF81" s="227">
        <f t="array" ref="CF81">IF($BU81=0, INDEX(LS_current!$D$4:$AY$138, MATCH('Staging Table'!$A81, LS_current!$B$4:$B$138, 0), MATCH(CF$4&amp;CF$5, LS_current!$D$2:$AY$2&amp;LS_current!$D$3:$AY$3, 0)),SUM(VLOOKUP($A81, LS_current!$B$4:$AY$138, LS_current!J$148, FALSE), VLOOKUP($A81, LS_current!$B$4:$AY$138,LS_current!J$148, FALSE))/2)</f>
        <v>2520</v>
      </c>
      <c r="CG81" s="227">
        <f t="array" ref="CG81">IF($BU81=0, INDEX(LS_current!$D$4:$AY$138, MATCH('Staging Table'!$A81, LS_current!$B$4:$B$138, 0), MATCH(CG$4&amp;CG$5, LS_current!$D$2:$AY$2&amp;LS_current!$D$3:$AY$3, 0)),SUM(VLOOKUP($A81, LS_current!$B$4:$AY$138, LS_current!K$148, FALSE), VLOOKUP($A81, LS_current!$B$4:$AY$138,LS_current!K$148, FALSE))/2)</f>
        <v>5535</v>
      </c>
      <c r="CH81" s="227">
        <f t="array" ref="CH81">IF($BU81=0, INDEX(LS_current!$D$4:$AY$138, MATCH('Staging Table'!$A81, LS_current!$B$4:$B$138, 0), MATCH(CH$4&amp;CH$5, LS_current!$D$2:$AY$2&amp;LS_current!$D$3:$AY$3, 0)),SUM(VLOOKUP($A81, LS_current!$B$4:$AY$138, LS_current!L$148, FALSE), VLOOKUP($A81, LS_current!$B$4:$AY$138,LS_current!L$148, FALSE))/2)</f>
        <v>2216</v>
      </c>
      <c r="CI81" s="227">
        <f t="array" ref="CI81">IF($BU81=0, INDEX(LS_current!$D$4:$AY$138, MATCH('Staging Table'!$A81, LS_current!$B$4:$B$138, 0), MATCH(CI$4&amp;CI$5, LS_current!$D$2:$AY$2&amp;LS_current!$D$3:$AY$3, 0)),SUM(VLOOKUP($A81, LS_current!$B$4:$AY$138, LS_current!M$148, FALSE), VLOOKUP($A81, LS_current!$B$4:$AY$138,LS_current!M$148, FALSE))/2)</f>
        <v>4175</v>
      </c>
      <c r="CJ81" s="227">
        <f t="array" ref="CJ81">IF($BU81=0, INDEX(LS_current!$D$4:$AY$138, MATCH('Staging Table'!$A81, LS_current!$B$4:$B$138, 0), MATCH(CJ$4&amp;CJ$5, LS_current!$D$2:$AY$2&amp;LS_current!$D$3:$AY$3, 0)),SUM(VLOOKUP($A81, LS_current!$B$4:$AY$138, LS_current!N$148, FALSE), VLOOKUP($A81, LS_current!$B$4:$AY$138,LS_current!N$148, FALSE))/2)</f>
        <v>-242</v>
      </c>
      <c r="CK81" s="227">
        <f t="array" ref="CK81">IF($BU81=0, INDEX(LS_current!$D$4:$AY$138, MATCH('Staging Table'!$A81, LS_current!$B$4:$B$138, 0), MATCH(CK$4&amp;CK$5, LS_current!$D$2:$AY$2&amp;LS_current!$D$3:$AY$3, 0)),SUM(VLOOKUP($A81, LS_current!$B$4:$AY$138, LS_current!O$148, FALSE), VLOOKUP($A81, LS_current!$B$4:$AY$138,LS_current!O$148, FALSE))/2)</f>
        <v>3721</v>
      </c>
      <c r="CL81" s="227">
        <f t="array" ref="CL81">IF($BU81=0, INDEX(LS_current!$D$4:$AY$138, MATCH('Staging Table'!$A81, LS_current!$B$4:$B$138, 0), MATCH(CL$4&amp;CL$5, LS_current!$D$2:$AY$2&amp;LS_current!$D$3:$AY$3, 0)),SUM(VLOOKUP($A81, LS_current!$B$4:$AY$138, LS_current!P$148, FALSE), VLOOKUP($A81, LS_current!$B$4:$AY$138,LS_current!P$148, FALSE))/2)</f>
        <v>2848</v>
      </c>
      <c r="CM81" s="227">
        <f t="array" ref="CM81">IF($BU81=0, INDEX(LS_current!$D$4:$AY$138, MATCH('Staging Table'!$A81, LS_current!$B$4:$B$138, 0), MATCH(CM$4&amp;CM$5, LS_current!$D$2:$AY$2&amp;LS_current!$D$3:$AY$3, 0)),SUM(VLOOKUP($A81, LS_current!$B$4:$AY$138, LS_current!Q$148, FALSE), VLOOKUP($A81, LS_current!$B$4:$AY$138,LS_current!Q$148, FALSE))/2)</f>
        <v>4173</v>
      </c>
      <c r="CN81" s="227">
        <f t="array" ref="CN81">IF($BU81=0, INDEX(LS_current!$D$4:$AY$138, MATCH('Staging Table'!$A81, LS_current!$B$4:$B$138, 0), MATCH(CN$4&amp;CN$5, LS_current!$D$2:$AY$2&amp;LS_current!$D$3:$AY$3, 0)),SUM(VLOOKUP($A81, LS_current!$B$4:$AY$138, LS_current!R$148, FALSE), VLOOKUP($A81, LS_current!$B$4:$AY$138,LS_current!R$148, FALSE))/2)</f>
        <v>-5907</v>
      </c>
      <c r="CO81" s="227">
        <f t="array" ref="CO81">IF($BU81=0, INDEX(LS_current!$D$4:$AY$138, MATCH('Staging Table'!$A81, LS_current!$B$4:$B$138, 0), MATCH(CO$4&amp;CO$5, LS_current!$D$2:$AY$2&amp;LS_current!$D$3:$AY$3, 0)),SUM(VLOOKUP($A81, LS_current!$B$4:$AY$138, LS_current!S$148, FALSE), VLOOKUP($A81, LS_current!$B$4:$AY$138,LS_current!S$148, FALSE))/2)</f>
        <v>1474</v>
      </c>
      <c r="CP81" s="227">
        <f t="array" ref="CP81">IF($BU81=0, INDEX(LS_current!$D$4:$AY$138, MATCH('Staging Table'!$A81, LS_current!$B$4:$B$138, 0), MATCH(CP$4&amp;CP$5, LS_current!$D$2:$AY$2&amp;LS_current!$D$3:$AY$3, 0)),SUM(VLOOKUP($A81, LS_current!$B$4:$AY$138, LS_current!T$148, FALSE), VLOOKUP($A81, LS_current!$B$4:$AY$138,LS_current!T$148, FALSE))/2)</f>
        <v>-11956</v>
      </c>
      <c r="CQ81" s="227">
        <f t="array" ref="CQ81">IF($BU81=0, INDEX(LS_current!$D$4:$AY$138, MATCH('Staging Table'!$A81, LS_current!$B$4:$B$138, 0), MATCH(CQ$4&amp;CQ$5, LS_current!$D$2:$AY$2&amp;LS_current!$D$3:$AY$3, 0)),SUM(VLOOKUP($A81, LS_current!$B$4:$AY$138, LS_current!U$148, FALSE), VLOOKUP($A81, LS_current!$B$4:$AY$138,LS_current!U$148, FALSE))/2)</f>
        <v>-3756</v>
      </c>
      <c r="CR81" s="227">
        <f t="array" ref="CR81">IF($BU81=0, INDEX(LS_current!$D$4:$AY$138, MATCH('Staging Table'!$A81, LS_current!$B$4:$B$138, 0), MATCH(CR$4&amp;CR$5, LS_current!$D$2:$AY$2&amp;LS_current!$D$3:$AY$3, 0)),SUM(VLOOKUP($A81, LS_current!$B$4:$AY$138, LS_current!V$148, FALSE), VLOOKUP($A81, LS_current!$B$4:$AY$138,LS_current!V$148, FALSE))/2)</f>
        <v>-8203</v>
      </c>
      <c r="CS81" s="227">
        <f t="array" ref="CS81">IF($BU81=0, INDEX(LS_current!$D$4:$AY$138, MATCH('Staging Table'!$A81, LS_current!$B$4:$B$138, 0), MATCH(CS$4&amp;CS$5, LS_current!$D$2:$AY$2&amp;LS_current!$D$3:$AY$3, 0)),SUM(VLOOKUP($A81, LS_current!$B$4:$AY$138, LS_current!W$148, FALSE), VLOOKUP($A81, LS_current!$B$4:$AY$138,LS_current!W$148, FALSE))/2)</f>
        <v>854</v>
      </c>
      <c r="CT81" s="227">
        <f t="array" ref="CT81">IF($BU81=0, INDEX(LS_current!$D$4:$AY$138, MATCH('Staging Table'!$A81, LS_current!$B$4:$B$138, 0), MATCH(CT$4&amp;CT$5, LS_current!$D$2:$AY$2&amp;LS_current!$D$3:$AY$3, 0)),SUM(VLOOKUP($A81, LS_current!$B$4:$AY$138, LS_current!X$148, FALSE), VLOOKUP($A81, LS_current!$B$4:$AY$138,LS_current!X$148, FALSE))/2)</f>
        <v>-7334</v>
      </c>
      <c r="CU81" s="227">
        <f t="array" ref="CU81">IF($BU81=0, INDEX(LS_current!$D$4:$AY$138, MATCH('Staging Table'!$A81, LS_current!$B$4:$B$138, 0), MATCH(CU$4&amp;CU$5, LS_current!$D$2:$AY$2&amp;LS_current!$D$3:$AY$3, 0)),SUM(VLOOKUP($A81, LS_current!$B$4:$AY$138, LS_current!Y$148, FALSE), VLOOKUP($A81, LS_current!$B$4:$AY$138,LS_current!Y$148, FALSE))/2)</f>
        <v>1177</v>
      </c>
      <c r="CV81" s="227">
        <f t="array" ref="CV81">IF($BU81=0, INDEX(LS_current!$D$4:$AY$138, MATCH('Staging Table'!$A81, LS_current!$B$4:$B$138, 0), MATCH(CV$4&amp;CV$5, LS_current!$D$2:$AY$2&amp;LS_current!$D$3:$AY$3, 0)),SUM(VLOOKUP($A81, LS_current!$B$4:$AY$138, LS_current!Z$148, FALSE), VLOOKUP($A81, LS_current!$B$4:$AY$138,LS_current!Z$148, FALSE))/2)</f>
        <v>-3817</v>
      </c>
      <c r="CW81" s="227">
        <f t="array" ref="CW81">IF($BU81=0, INDEX(LS_current!$D$4:$AY$138, MATCH('Staging Table'!$A81, LS_current!$B$4:$B$138, 0), MATCH(CW$4&amp;CW$5, LS_current!$D$2:$AY$2&amp;LS_current!$D$3:$AY$3, 0)),SUM(VLOOKUP($A81, LS_current!$B$4:$AY$138, LS_current!AA$148, FALSE), VLOOKUP($A81, LS_current!$B$4:$AY$138,LS_current!AA$148, FALSE))/2)</f>
        <v>1176</v>
      </c>
      <c r="CX81" s="229">
        <f t="array" ref="CX81">INDEX(Demand_current!$D$4:$AY$138, MATCH($A81, Demand_current!$B$4:$B$138, 0), MATCH(CX$4&amp;CX$5,Demand_current!$D$2:$AY$2&amp;Demand_current!$D$3:$AY$3, 0))/1000</f>
        <v>0</v>
      </c>
      <c r="CY81" s="229">
        <f t="array" ref="CY81">INDEX(Demand_current!$D$4:$AY$138, MATCH($A81, Demand_current!$B$4:$B$138, 0), MATCH(CY$4&amp;CY$5,Demand_current!$D$2:$AY$2&amp;Demand_current!$D$3:$AY$3, 0))/1000</f>
        <v>0</v>
      </c>
      <c r="CZ81" s="229">
        <f t="array" ref="CZ81">INDEX(Demand_current!$D$4:$AY$138, MATCH($A81, Demand_current!$B$4:$B$138, 0), MATCH(CZ$4&amp;CZ$5,Demand_current!$D$2:$AY$2&amp;Demand_current!$D$3:$AY$3, 0))/1000</f>
        <v>0</v>
      </c>
      <c r="DA81" s="229">
        <f t="array" ref="DA81">INDEX(Demand_current!$D$4:$AY$138, MATCH($A81, Demand_current!$B$4:$B$138, 0), MATCH(DA$4&amp;DA$5,Demand_current!$D$2:$AY$2&amp;Demand_current!$D$3:$AY$3, 0))/1000</f>
        <v>0</v>
      </c>
      <c r="DB81" s="229">
        <f t="array" ref="DB81">INDEX(Demand_current!$D$4:$AY$138, MATCH($A81, Demand_current!$B$4:$B$138, 0), MATCH(DB$4&amp;DB$5,Demand_current!$D$2:$AY$2&amp;Demand_current!$D$3:$AY$3, 0))/1000</f>
        <v>0</v>
      </c>
      <c r="DC81" s="229">
        <f t="array" ref="DC81">INDEX(Demand_current!$D$4:$AY$138, MATCH($A81, Demand_current!$B$4:$B$138, 0), MATCH(DC$4&amp;DC$5,Demand_current!$D$2:$AY$2&amp;Demand_current!$D$3:$AY$3, 0))/1000</f>
        <v>0</v>
      </c>
      <c r="DD81" s="229">
        <f t="array" ref="DD81">INDEX(Demand_current!$D$4:$AY$138, MATCH($A81, Demand_current!$B$4:$B$138, 0), MATCH(DD$4&amp;DD$5,Demand_current!$D$2:$AY$2&amp;Demand_current!$D$3:$AY$3, 0))/1000</f>
        <v>0</v>
      </c>
      <c r="DE81" s="229">
        <f t="array" ref="DE81">INDEX(Demand_current!$D$4:$AY$138, MATCH($A81, Demand_current!$B$4:$B$138, 0), MATCH(DE$4&amp;DE$5,Demand_current!$D$2:$AY$2&amp;Demand_current!$D$3:$AY$3, 0))/1000</f>
        <v>0</v>
      </c>
      <c r="DF81" s="229">
        <f t="array" ref="DF81">INDEX(Demand_current!$D$4:$AY$138, MATCH($A81, Demand_current!$B$4:$B$138, 0), MATCH(DF$4&amp;DF$5,Demand_current!$D$2:$AY$2&amp;Demand_current!$D$3:$AY$3, 0))/1000</f>
        <v>0</v>
      </c>
      <c r="DG81" s="229">
        <f t="array" ref="DG81">INDEX(Demand_current!$D$4:$AY$138, MATCH($A81, Demand_current!$B$4:$B$138, 0), MATCH(DG$4&amp;DG$5,Demand_current!$D$2:$AY$2&amp;Demand_current!$D$3:$AY$3, 0))/1000</f>
        <v>0</v>
      </c>
      <c r="DH81" s="229">
        <f t="array" ref="DH81">INDEX(Demand_current!$D$4:$AY$138, MATCH($A81, Demand_current!$B$4:$B$138, 0), MATCH(DH$4&amp;DH$5,Demand_current!$D$2:$AY$2&amp;Demand_current!$D$3:$AY$3, 0))/1000</f>
        <v>0</v>
      </c>
      <c r="DI81" s="229">
        <f t="array" ref="DI81">INDEX(Demand_current!$D$4:$AY$138, MATCH($A81, Demand_current!$B$4:$B$138, 0), MATCH(DI$4&amp;DI$5,Demand_current!$D$2:$AY$2&amp;Demand_current!$D$3:$AY$3, 0))/1000</f>
        <v>0</v>
      </c>
      <c r="DJ81" s="227">
        <f>$BT81*(VLOOKUP(DJ$4, Rates_current!$G$6:$Q$29, 10, FALSE)+VLOOKUP(DJ$4, Rates_current!$G$6:$Q$29, 11, FALSE))</f>
        <v>27358.066118019597</v>
      </c>
      <c r="DK81" s="227">
        <f>$BT81*(VLOOKUP(DK$4, Rates_current!$G$6:$Q$29, 10, FALSE)+VLOOKUP(DK$4, Rates_current!$G$6:$Q$29, 11, FALSE))</f>
        <v>34753.278484398899</v>
      </c>
      <c r="DL81" s="227">
        <f>$BT81*(VLOOKUP(DL$4, Rates_current!$G$6:$Q$29, 10, FALSE)+VLOOKUP(DL$4, Rates_current!$G$6:$Q$29, 11, FALSE))</f>
        <v>34333.585621319602</v>
      </c>
      <c r="DM81" s="227">
        <f>$BT81*(VLOOKUP(DM$4, Rates_current!$G$6:$Q$29, 10, FALSE)+VLOOKUP(DM$4, Rates_current!$G$6:$Q$29, 11, FALSE))</f>
        <v>28619.134776519604</v>
      </c>
      <c r="DN81" s="227">
        <f>$BT81*(VLOOKUP(DN$4, Rates_current!$G$6:$Q$29, 10, FALSE)+VLOOKUP(DN$4, Rates_current!$G$6:$Q$29, 11, FALSE))</f>
        <v>25925.967101679998</v>
      </c>
      <c r="DO81" s="227">
        <f>$BT81*(VLOOKUP(DO$4, Rates_current!$G$6:$Q$29, 10, FALSE)+VLOOKUP(DO$4, Rates_current!$G$6:$Q$29, 11, FALSE))</f>
        <v>28837.911634318698</v>
      </c>
      <c r="DP81" s="227">
        <f>$BT81*(VLOOKUP(DP$4, Rates_current!$G$6:$Q$29, 10, FALSE)+VLOOKUP(DP$4, Rates_current!$G$6:$Q$29, 11, FALSE))</f>
        <v>23479.858771848001</v>
      </c>
      <c r="DQ81" s="227">
        <f>$BT81*(VLOOKUP(DQ$4, Rates_current!$G$6:$Q$29, 10, FALSE)+VLOOKUP(DQ$4, Rates_current!$G$6:$Q$29, 11, FALSE))</f>
        <v>31666.090788569603</v>
      </c>
      <c r="DR81" s="227">
        <f>$BT81*(VLOOKUP(DR$4, Rates_current!$G$6:$Q$29, 10, FALSE)+VLOOKUP(DR$4, Rates_current!$G$6:$Q$29, 11, FALSE))</f>
        <v>40403.778190298006</v>
      </c>
      <c r="DS81" s="227">
        <f>$BT81*(VLOOKUP(DS$4, Rates_current!$G$6:$Q$29, 10, FALSE)+VLOOKUP(DS$4, Rates_current!$G$6:$Q$29, 11, FALSE))</f>
        <v>31677.843224419601</v>
      </c>
      <c r="DT81" s="227">
        <f>$BT81*(VLOOKUP(DT$4, Rates_current!$G$6:$Q$29, 10, FALSE)+VLOOKUP(DT$4, Rates_current!$G$6:$Q$29, 11, FALSE))</f>
        <v>30847.911504869604</v>
      </c>
      <c r="DU81" s="227">
        <f>$BT81*(VLOOKUP(DU$4, Rates_current!$G$6:$Q$29, 10, FALSE)+VLOOKUP(DU$4, Rates_current!$G$6:$Q$29, 11, FALSE))</f>
        <v>27694.862334948004</v>
      </c>
      <c r="DV81" s="229">
        <f>IF(D81=0,IF(C81=0,MAX(0,DY81 - (VLOOKUP($A81,TOCA_current!$A$2:$AI$137,MATCH("RHWM 2020",TOCA_current!$A$2:$AI$2,0),FALSE)*$BT$2)), 0),0)</f>
        <v>0</v>
      </c>
      <c r="DW81" s="266">
        <f>VLOOKUP($A81,REP_current!$A$1:$D$135,MATCH("FY "&amp;$BT$1&amp; " Total Refund",REP_current!$A$1:$D$1,0),0)</f>
        <v>0</v>
      </c>
      <c r="DX81" s="295">
        <f>MIN(VLOOKUP($A81,TOCA_current!$A$2:$AI$137,MATCH("TRL - NLSL - Existing Resource "&amp;$BT$1,TOCA_current!$A$2:$AI$2,0),FALSE)*$BT$2, VLOOKUP($A81,TOCA_current!$A$2:$AI$137,MATCH("RHWM 2020",TOCA_current!$A$2:$AI$2,0),FALSE)*$BT$2)</f>
        <v>958246.56</v>
      </c>
      <c r="DY81" s="240">
        <f>SUM(BZ81:CW81)+(BT81*RT1SC!$C$4*$BT$2)</f>
        <v>363109.30227374076</v>
      </c>
      <c r="DZ81" s="271">
        <f>VLOOKUP($A81,TOCA_current!$A$2:$AI$137,MATCH("Above RHWM Not Served with LS "&amp;$BT$1,TOCA_current!$A$2:$AI$2,0),FALSE)*$BT$2</f>
        <v>0</v>
      </c>
      <c r="EA81" s="244">
        <f t="shared" si="29"/>
        <v>-595137.2577262593</v>
      </c>
      <c r="EB81" s="295">
        <f>(VLOOKUP($A81,TOCA_current!$A$2:$AI$137,MATCH("RHWM 2020",TOCA_current!$A$2:$AI$2,0),FALSE)*$BT$2) - $DX81</f>
        <v>35487.35999999987</v>
      </c>
      <c r="EC81" s="240">
        <f t="shared" si="30"/>
        <v>0</v>
      </c>
      <c r="ED81" s="240">
        <f t="shared" si="31"/>
        <v>595137.2577262593</v>
      </c>
      <c r="EE81" s="240">
        <f t="shared" si="32"/>
        <v>0</v>
      </c>
      <c r="EF81" s="240">
        <f t="shared" si="33"/>
        <v>0</v>
      </c>
    </row>
    <row r="82" spans="1:136">
      <c r="A82" s="166">
        <v>10239</v>
      </c>
      <c r="B82" s="167" t="s">
        <v>83</v>
      </c>
      <c r="C82" s="240">
        <v>1</v>
      </c>
      <c r="D82" s="240">
        <v>0</v>
      </c>
      <c r="E82" s="150">
        <f>VLOOKUP($A82,TOCA_previous!$A$2:$AI$137,MATCH(E$4,TOCA_previous!$A$2:$AI$2,0),FALSE)</f>
        <v>1.9596000000000001E-3</v>
      </c>
      <c r="F82" s="151">
        <f>VLOOKUP($A82,TOCA_previous!$A$2:$AI$137,MATCH(F$4,TOCA_previous!$A$2:$AI$2,0),FALSE)</f>
        <v>1.9596000000000001E-3</v>
      </c>
      <c r="G82" s="151">
        <f t="shared" si="18"/>
        <v>0</v>
      </c>
      <c r="H82" s="151">
        <f>VLOOKUP($A82,TOCA_previous!$A$2:$AI$137,MATCH(H$4,TOCA_previous!$A$2:$AI$2,0),FALSE)</f>
        <v>7.0000000000000007E-2</v>
      </c>
      <c r="I82" s="151">
        <f t="shared" si="19"/>
        <v>7.0000000000000007E-2</v>
      </c>
      <c r="J82" s="151">
        <f t="shared" si="20"/>
        <v>1.9596000000000001E-3</v>
      </c>
      <c r="K82" s="226">
        <f>VLOOKUP(A82, IRD!$A$5:$C$139, 3, FALSE)</f>
        <v>0</v>
      </c>
      <c r="L82" s="227">
        <f t="array" ref="L82">IF($G82=0, INDEX(LS_previous!$D$4:$AY$138, MATCH('Staging Table'!$A82, LS_previous!$B$4:$B$138, 0), MATCH(L$4&amp;L$5, LS_previous!$D$2:$AY$2&amp;LS_previous!$D$3:$AY$3, 0)),SUM(VLOOKUP($A82, LS_previous!$B$4:$AY$138, LS_previous!D$149, FALSE), VLOOKUP('Staging Table'!$A82, LS_previous!$B$4:$AY$138,LS_previous!AB$149, FALSE))/2)</f>
        <v>0</v>
      </c>
      <c r="M82" s="227">
        <f t="array" ref="M82">IF($G82=0, INDEX(LS_previous!$D$4:$AY$138, MATCH('Staging Table'!$A82, LS_previous!$B$4:$B$138, 0), MATCH(M$4&amp;M$5, LS_previous!$D$2:$AY$2&amp;LS_previous!$D$3:$AY$3, 0)),SUM(VLOOKUP($A82, LS_previous!$B$4:$AY$138, LS_previous!E$149, FALSE), VLOOKUP('Staging Table'!$A82, LS_previous!$B$4:$AY$138,LS_previous!AC$149, FALSE))/2)</f>
        <v>0</v>
      </c>
      <c r="N82" s="227">
        <f t="array" ref="N82">IF($G82=0, INDEX(LS_previous!$D$4:$AY$138, MATCH('Staging Table'!$A82, LS_previous!$B$4:$B$138, 0), MATCH(N$4&amp;N$5, LS_previous!$D$2:$AY$2&amp;LS_previous!$D$3:$AY$3, 0)),SUM(VLOOKUP($A82, LS_previous!$B$4:$AY$138, LS_previous!F$149, FALSE), VLOOKUP('Staging Table'!$A82, LS_previous!$B$4:$AY$138,LS_previous!AD$149, FALSE))/2)</f>
        <v>0</v>
      </c>
      <c r="O82" s="227">
        <f t="array" ref="O82">IF($G82=0, INDEX(LS_previous!$D$4:$AY$138, MATCH('Staging Table'!$A82, LS_previous!$B$4:$B$138, 0), MATCH(O$4&amp;O$5, LS_previous!$D$2:$AY$2&amp;LS_previous!$D$3:$AY$3, 0)),SUM(VLOOKUP($A82, LS_previous!$B$4:$AY$138, LS_previous!G$149, FALSE), VLOOKUP('Staging Table'!$A82, LS_previous!$B$4:$AY$138,LS_previous!AE$149, FALSE))/2)</f>
        <v>0</v>
      </c>
      <c r="P82" s="227">
        <f t="array" ref="P82">IF($G82=0, INDEX(LS_previous!$D$4:$AY$138, MATCH('Staging Table'!$A82, LS_previous!$B$4:$B$138, 0), MATCH(P$4&amp;P$5, LS_previous!$D$2:$AY$2&amp;LS_previous!$D$3:$AY$3, 0)),SUM(VLOOKUP($A82, LS_previous!$B$4:$AY$138, LS_previous!H$149, FALSE), VLOOKUP('Staging Table'!$A82, LS_previous!$B$4:$AY$138,LS_previous!AF$149, FALSE))/2)</f>
        <v>0</v>
      </c>
      <c r="Q82" s="227">
        <f t="array" ref="Q82">IF($G82=0, INDEX(LS_previous!$D$4:$AY$138, MATCH('Staging Table'!$A82, LS_previous!$B$4:$B$138, 0), MATCH(Q$4&amp;Q$5, LS_previous!$D$2:$AY$2&amp;LS_previous!$D$3:$AY$3, 0)),SUM(VLOOKUP($A82, LS_previous!$B$4:$AY$138, LS_previous!I$149, FALSE), VLOOKUP('Staging Table'!$A82, LS_previous!$B$4:$AY$138,LS_previous!AG$149, FALSE))/2)</f>
        <v>0</v>
      </c>
      <c r="R82" s="227">
        <f t="array" ref="R82">IF($G82=0, INDEX(LS_previous!$D$4:$AY$138, MATCH('Staging Table'!$A82, LS_previous!$B$4:$B$138, 0), MATCH(R$4&amp;R$5, LS_previous!$D$2:$AY$2&amp;LS_previous!$D$3:$AY$3, 0)),SUM(VLOOKUP($A82, LS_previous!$B$4:$AY$138, LS_previous!J$149, FALSE), VLOOKUP('Staging Table'!$A82, LS_previous!$B$4:$AY$138,LS_previous!AH$149, FALSE))/2)</f>
        <v>0</v>
      </c>
      <c r="S82" s="227">
        <f t="array" ref="S82">IF($G82=0, INDEX(LS_previous!$D$4:$AY$138, MATCH('Staging Table'!$A82, LS_previous!$B$4:$B$138, 0), MATCH(S$4&amp;S$5, LS_previous!$D$2:$AY$2&amp;LS_previous!$D$3:$AY$3, 0)),SUM(VLOOKUP($A82, LS_previous!$B$4:$AY$138, LS_previous!K$149, FALSE), VLOOKUP('Staging Table'!$A82, LS_previous!$B$4:$AY$138,LS_previous!AI$149, FALSE))/2)</f>
        <v>0</v>
      </c>
      <c r="T82" s="227">
        <f t="array" ref="T82">IF($G82=0, INDEX(LS_previous!$D$4:$AY$138, MATCH('Staging Table'!$A82, LS_previous!$B$4:$B$138, 0), MATCH(T$4&amp;T$5, LS_previous!$D$2:$AY$2&amp;LS_previous!$D$3:$AY$3, 0)),SUM(VLOOKUP($A82, LS_previous!$B$4:$AY$138, LS_previous!L$149, FALSE), VLOOKUP('Staging Table'!$A82, LS_previous!$B$4:$AY$138,LS_previous!AJ$149, FALSE))/2)</f>
        <v>0</v>
      </c>
      <c r="U82" s="227">
        <f t="array" ref="U82">IF($G82=0, INDEX(LS_previous!$D$4:$AY$138, MATCH('Staging Table'!$A82, LS_previous!$B$4:$B$138, 0), MATCH(U$4&amp;U$5, LS_previous!$D$2:$AY$2&amp;LS_previous!$D$3:$AY$3, 0)),SUM(VLOOKUP($A82, LS_previous!$B$4:$AY$138, LS_previous!M$149, FALSE), VLOOKUP('Staging Table'!$A82, LS_previous!$B$4:$AY$138,LS_previous!AK$149, FALSE))/2)</f>
        <v>0</v>
      </c>
      <c r="V82" s="227">
        <f t="array" ref="V82">IF($G82=0, INDEX(LS_previous!$D$4:$AY$138, MATCH('Staging Table'!$A82, LS_previous!$B$4:$B$138, 0), MATCH(V$4&amp;V$5, LS_previous!$D$2:$AY$2&amp;LS_previous!$D$3:$AY$3, 0)),SUM(VLOOKUP($A82, LS_previous!$B$4:$AY$138, LS_previous!N$149, FALSE), VLOOKUP('Staging Table'!$A82, LS_previous!$B$4:$AY$138,LS_previous!AL$149, FALSE))/2)</f>
        <v>0</v>
      </c>
      <c r="W82" s="227">
        <f t="array" ref="W82">IF($G82=0, INDEX(LS_previous!$D$4:$AY$138, MATCH('Staging Table'!$A82, LS_previous!$B$4:$B$138, 0), MATCH(W$4&amp;W$5, LS_previous!$D$2:$AY$2&amp;LS_previous!$D$3:$AY$3, 0)),SUM(VLOOKUP($A82, LS_previous!$B$4:$AY$138, LS_previous!O$149, FALSE), VLOOKUP('Staging Table'!$A82, LS_previous!$B$4:$AY$138,LS_previous!AM$149, FALSE))/2)</f>
        <v>0</v>
      </c>
      <c r="X82" s="227">
        <f t="array" ref="X82">IF($G82=0, INDEX(LS_previous!$D$4:$AY$138, MATCH('Staging Table'!$A82, LS_previous!$B$4:$B$138, 0), MATCH(X$4&amp;X$5, LS_previous!$D$2:$AY$2&amp;LS_previous!$D$3:$AY$3, 0)),SUM(VLOOKUP($A82, LS_previous!$B$4:$AY$138, LS_previous!P$149, FALSE), VLOOKUP('Staging Table'!$A82, LS_previous!$B$4:$AY$138,LS_previous!AN$149, FALSE))/2)</f>
        <v>0</v>
      </c>
      <c r="Y82" s="227">
        <f t="array" ref="Y82">IF($G82=0, INDEX(LS_previous!$D$4:$AY$138, MATCH('Staging Table'!$A82, LS_previous!$B$4:$B$138, 0), MATCH(Y$4&amp;Y$5, LS_previous!$D$2:$AY$2&amp;LS_previous!$D$3:$AY$3, 0)),SUM(VLOOKUP($A82, LS_previous!$B$4:$AY$138, LS_previous!Q$149, FALSE), VLOOKUP('Staging Table'!$A82, LS_previous!$B$4:$AY$138,LS_previous!AO$149, FALSE))/2)</f>
        <v>0</v>
      </c>
      <c r="Z82" s="227">
        <f t="array" ref="Z82">IF($G82=0, INDEX(LS_previous!$D$4:$AY$138, MATCH('Staging Table'!$A82, LS_previous!$B$4:$B$138, 0), MATCH(Z$4&amp;Z$5, LS_previous!$D$2:$AY$2&amp;LS_previous!$D$3:$AY$3, 0)),SUM(VLOOKUP($A82, LS_previous!$B$4:$AY$138, LS_previous!R$149, FALSE), VLOOKUP('Staging Table'!$A82, LS_previous!$B$4:$AY$138,LS_previous!AP$149, FALSE))/2)</f>
        <v>0</v>
      </c>
      <c r="AA82" s="227">
        <f t="array" ref="AA82">IF($G82=0, INDEX(LS_previous!$D$4:$AY$138, MATCH('Staging Table'!$A82, LS_previous!$B$4:$B$138, 0), MATCH(AA$4&amp;AA$5, LS_previous!$D$2:$AY$2&amp;LS_previous!$D$3:$AY$3, 0)),SUM(VLOOKUP($A82, LS_previous!$B$4:$AY$138, LS_previous!S$149, FALSE), VLOOKUP('Staging Table'!$A82, LS_previous!$B$4:$AY$138,LS_previous!AQ$149, FALSE))/2)</f>
        <v>0</v>
      </c>
      <c r="AB82" s="227">
        <f t="array" ref="AB82">IF($G82=0, INDEX(LS_previous!$D$4:$AY$138, MATCH('Staging Table'!$A82, LS_previous!$B$4:$B$138, 0), MATCH(AB$4&amp;AB$5, LS_previous!$D$2:$AY$2&amp;LS_previous!$D$3:$AY$3, 0)),SUM(VLOOKUP($A82, LS_previous!$B$4:$AY$138, LS_previous!T$149, FALSE), VLOOKUP('Staging Table'!$A82, LS_previous!$B$4:$AY$138,LS_previous!AR$149, FALSE))/2)</f>
        <v>0</v>
      </c>
      <c r="AC82" s="227">
        <f t="array" ref="AC82">IF($G82=0, INDEX(LS_previous!$D$4:$AY$138, MATCH('Staging Table'!$A82, LS_previous!$B$4:$B$138, 0), MATCH(AC$4&amp;AC$5, LS_previous!$D$2:$AY$2&amp;LS_previous!$D$3:$AY$3, 0)),SUM(VLOOKUP($A82, LS_previous!$B$4:$AY$138, LS_previous!U$149, FALSE), VLOOKUP('Staging Table'!$A82, LS_previous!$B$4:$AY$138,LS_previous!AS$149, FALSE))/2)</f>
        <v>0</v>
      </c>
      <c r="AD82" s="227">
        <f t="array" ref="AD82">IF($G82=0, INDEX(LS_previous!$D$4:$AY$138, MATCH('Staging Table'!$A82, LS_previous!$B$4:$B$138, 0), MATCH(AD$4&amp;AD$5, LS_previous!$D$2:$AY$2&amp;LS_previous!$D$3:$AY$3, 0)),SUM(VLOOKUP($A82, LS_previous!$B$4:$AY$138, LS_previous!V$149, FALSE), VLOOKUP('Staging Table'!$A82, LS_previous!$B$4:$AY$138,LS_previous!AT$149, FALSE))/2)</f>
        <v>0</v>
      </c>
      <c r="AE82" s="227">
        <f t="array" ref="AE82">IF($G82=0, INDEX(LS_previous!$D$4:$AY$138, MATCH('Staging Table'!$A82, LS_previous!$B$4:$B$138, 0), MATCH(AE$4&amp;AE$5, LS_previous!$D$2:$AY$2&amp;LS_previous!$D$3:$AY$3, 0)),SUM(VLOOKUP($A82, LS_previous!$B$4:$AY$138, LS_previous!W$149, FALSE), VLOOKUP('Staging Table'!$A82, LS_previous!$B$4:$AY$138,LS_previous!AU$149, FALSE))/2)</f>
        <v>0</v>
      </c>
      <c r="AF82" s="227">
        <f t="array" ref="AF82">IF($G82=0, INDEX(LS_previous!$D$4:$AY$138, MATCH('Staging Table'!$A82, LS_previous!$B$4:$B$138, 0), MATCH(AF$4&amp;AF$5, LS_previous!$D$2:$AY$2&amp;LS_previous!$D$3:$AY$3, 0)),SUM(VLOOKUP($A82, LS_previous!$B$4:$AY$138, LS_previous!X$149, FALSE), VLOOKUP('Staging Table'!$A82, LS_previous!$B$4:$AY$138,LS_previous!AV$149, FALSE))/2)</f>
        <v>0</v>
      </c>
      <c r="AG82" s="227">
        <f t="array" ref="AG82">IF($G82=0, INDEX(LS_previous!$D$4:$AY$138, MATCH('Staging Table'!$A82, LS_previous!$B$4:$B$138, 0), MATCH(AG$4&amp;AG$5, LS_previous!$D$2:$AY$2&amp;LS_previous!$D$3:$AY$3, 0)),SUM(VLOOKUP($A82, LS_previous!$B$4:$AY$138, LS_previous!Y$149, FALSE), VLOOKUP('Staging Table'!$A82, LS_previous!$B$4:$AY$138,LS_previous!AW$149, FALSE))/2)</f>
        <v>0</v>
      </c>
      <c r="AH82" s="227">
        <f t="array" ref="AH82">IF($G82=0, INDEX(LS_previous!$D$4:$AY$138, MATCH('Staging Table'!$A82, LS_previous!$B$4:$B$138, 0), MATCH(AH$4&amp;AH$5, LS_previous!$D$2:$AY$2&amp;LS_previous!$D$3:$AY$3, 0)),SUM(VLOOKUP($A82, LS_previous!$B$4:$AY$138, LS_previous!Z$149, FALSE), VLOOKUP('Staging Table'!$A82, LS_previous!$B$4:$AY$138,LS_previous!AX$149, FALSE))/2)</f>
        <v>0</v>
      </c>
      <c r="AI82" s="227">
        <f t="array" ref="AI82">IF($G82=0, INDEX(LS_previous!$D$4:$AY$138, MATCH('Staging Table'!$A82, LS_previous!$B$4:$B$138, 0), MATCH(AI$4&amp;AI$5, LS_previous!$D$2:$AY$2&amp;LS_previous!$D$3:$AY$3, 0)),SUM(VLOOKUP($A82, LS_previous!$B$4:$AY$138, LS_previous!AA$149, FALSE), VLOOKUP('Staging Table'!$A82, LS_previous!$B$4:$AY$138,LS_previous!AY$149, FALSE))/2)</f>
        <v>0</v>
      </c>
      <c r="AJ82" s="424">
        <f t="array" ref="AJ82">INDEX(Demand_previous!$D$4:$AY$138, MATCH('Staging Table'!$A82, Demand_previous!$B$4:$B$138, 0), MATCH(AJ$4&amp;AJ$5,Demand_previous!$D$2:$AY$2&amp;Demand_previous!$D$3:$AY$3, 0))/1000</f>
        <v>0</v>
      </c>
      <c r="AK82" s="424">
        <f t="array" ref="AK82">INDEX(Demand_previous!$D$4:$AY$138, MATCH('Staging Table'!$A82, Demand_previous!$B$4:$B$138, 0), MATCH(AK$4&amp;AK$5,Demand_previous!$D$2:$AY$2&amp;Demand_previous!$D$3:$AY$3, 0))/1000</f>
        <v>0</v>
      </c>
      <c r="AL82" s="424">
        <f t="array" ref="AL82">INDEX(Demand_previous!$D$4:$AY$138, MATCH('Staging Table'!$A82, Demand_previous!$B$4:$B$138, 0), MATCH(AL$4&amp;AL$5,Demand_previous!$D$2:$AY$2&amp;Demand_previous!$D$3:$AY$3, 0))/1000</f>
        <v>0</v>
      </c>
      <c r="AM82" s="424">
        <f t="array" ref="AM82">INDEX(Demand_previous!$D$4:$AY$138, MATCH('Staging Table'!$A82, Demand_previous!$B$4:$B$138, 0), MATCH(AM$4&amp;AM$5,Demand_previous!$D$2:$AY$2&amp;Demand_previous!$D$3:$AY$3, 0))/1000</f>
        <v>0</v>
      </c>
      <c r="AN82" s="424">
        <f t="array" ref="AN82">INDEX(Demand_previous!$D$4:$AY$138, MATCH('Staging Table'!$A82, Demand_previous!$B$4:$B$138, 0), MATCH(AN$4&amp;AN$5,Demand_previous!$D$2:$AY$2&amp;Demand_previous!$D$3:$AY$3, 0))/1000</f>
        <v>0</v>
      </c>
      <c r="AO82" s="424">
        <f t="array" ref="AO82">INDEX(Demand_previous!$D$4:$AY$138, MATCH('Staging Table'!$A82, Demand_previous!$B$4:$B$138, 0), MATCH(AO$4&amp;AO$5,Demand_previous!$D$2:$AY$2&amp;Demand_previous!$D$3:$AY$3, 0))/1000</f>
        <v>0</v>
      </c>
      <c r="AP82" s="424">
        <f t="array" ref="AP82">INDEX(Demand_previous!$D$4:$AY$138, MATCH('Staging Table'!$A82, Demand_previous!$B$4:$B$138, 0), MATCH(AP$4&amp;AP$5,Demand_previous!$D$2:$AY$2&amp;Demand_previous!$D$3:$AY$3, 0))/1000</f>
        <v>0</v>
      </c>
      <c r="AQ82" s="424">
        <f t="array" ref="AQ82">INDEX(Demand_previous!$D$4:$AY$138, MATCH('Staging Table'!$A82, Demand_previous!$B$4:$B$138, 0), MATCH(AQ$4&amp;AQ$5,Demand_previous!$D$2:$AY$2&amp;Demand_previous!$D$3:$AY$3, 0))/1000</f>
        <v>0</v>
      </c>
      <c r="AR82" s="424">
        <f t="array" ref="AR82">INDEX(Demand_previous!$D$4:$AY$138, MATCH('Staging Table'!$A82, Demand_previous!$B$4:$B$138, 0), MATCH(AR$4&amp;AR$5,Demand_previous!$D$2:$AY$2&amp;Demand_previous!$D$3:$AY$3, 0))/1000</f>
        <v>0</v>
      </c>
      <c r="AS82" s="424">
        <f t="array" ref="AS82">INDEX(Demand_previous!$D$4:$AY$138, MATCH('Staging Table'!$A82, Demand_previous!$B$4:$B$138, 0), MATCH(AS$4&amp;AS$5,Demand_previous!$D$2:$AY$2&amp;Demand_previous!$D$3:$AY$3, 0))/1000</f>
        <v>0</v>
      </c>
      <c r="AT82" s="424">
        <f t="array" ref="AT82">INDEX(Demand_previous!$D$4:$AY$138, MATCH('Staging Table'!$A82, Demand_previous!$B$4:$B$138, 0), MATCH(AT$4&amp;AT$5,Demand_previous!$D$2:$AY$2&amp;Demand_previous!$D$3:$AY$3, 0))/1000</f>
        <v>0</v>
      </c>
      <c r="AU82" s="424">
        <f t="array" ref="AU82">INDEX(Demand_previous!$D$4:$AY$138, MATCH('Staging Table'!$A82, Demand_previous!$B$4:$B$138, 0), MATCH(AU$4&amp;AU$5,Demand_previous!$D$2:$AY$2&amp;Demand_previous!$D$3:$AY$3, 0))/1000</f>
        <v>0</v>
      </c>
      <c r="AV82" s="227">
        <f>$F82*(VLOOKUP(AV$4, Rates_previous!$G$6:$Q$29, 10, FALSE)+VLOOKUP(AV$4, Rates_previous!$G$6:$Q$29, 11, FALSE))</f>
        <v>9188.2464791784641</v>
      </c>
      <c r="AW82" s="227">
        <f>$F82*(VLOOKUP(AW$4, Rates_previous!$G$6:$Q$29, 10, FALSE)+VLOOKUP(AW$4, Rates_previous!$G$6:$Q$29, 11, FALSE))</f>
        <v>11355.974304523195</v>
      </c>
      <c r="AX82" s="227">
        <f>$F82*(VLOOKUP(AX$4, Rates_previous!$G$6:$Q$29, 10, FALSE)+VLOOKUP(AX$4, Rates_previous!$G$6:$Q$29, 11, FALSE))</f>
        <v>11219.602635527199</v>
      </c>
      <c r="AY82" s="227">
        <f>$F82*(VLOOKUP(AY$4, Rates_previous!$G$6:$Q$29, 10, FALSE)+VLOOKUP(AY$4, Rates_previous!$G$6:$Q$29, 11, FALSE))</f>
        <v>9586.0810473075362</v>
      </c>
      <c r="AZ82" s="227">
        <f>$F82*(VLOOKUP(AZ$4, Rates_previous!$G$6:$Q$29, 10, FALSE)+VLOOKUP(AZ$4, Rates_previous!$G$6:$Q$29, 11, FALSE))</f>
        <v>7858.7270356474191</v>
      </c>
      <c r="BA82" s="227">
        <f>$F82*(VLOOKUP(BA$4, Rates_previous!$G$6:$Q$29, 10, FALSE)+VLOOKUP(BA$4, Rates_previous!$G$6:$Q$29, 11, FALSE))</f>
        <v>9304.4473547487287</v>
      </c>
      <c r="BB82" s="227">
        <f>$F82*(VLOOKUP(BB$4, Rates_previous!$G$6:$Q$29, 10, FALSE)+VLOOKUP(BB$4, Rates_previous!$G$6:$Q$29, 11, FALSE))</f>
        <v>8942.9273223515902</v>
      </c>
      <c r="BC82" s="227">
        <f>$F82*(VLOOKUP(BC$4, Rates_previous!$G$6:$Q$29, 10, FALSE)+VLOOKUP(BC$4, Rates_previous!$G$6:$Q$29, 11, FALSE))</f>
        <v>13123.113019442817</v>
      </c>
      <c r="BD82" s="227">
        <f>$F82*(VLOOKUP(BD$4, Rates_previous!$G$6:$Q$29, 10, FALSE)+VLOOKUP(BD$4, Rates_previous!$G$6:$Q$29, 11, FALSE))</f>
        <v>10353.789324235371</v>
      </c>
      <c r="BE82" s="227">
        <f>$F82*(VLOOKUP(BE$4, Rates_previous!$G$6:$Q$29, 10, FALSE)+VLOOKUP(BE$4, Rates_previous!$G$6:$Q$29, 11, FALSE))</f>
        <v>9091.4960774757765</v>
      </c>
      <c r="BF82" s="227">
        <f>$F82*(VLOOKUP(BF$4, Rates_previous!$G$6:$Q$29, 10, FALSE)+VLOOKUP(BF$4, Rates_previous!$G$6:$Q$29, 11, FALSE))</f>
        <v>10069.195817598431</v>
      </c>
      <c r="BG82" s="227">
        <f>$F82*(VLOOKUP(BG$4, Rates_previous!$G$6:$Q$29, 10, FALSE)+VLOOKUP(BG$4, Rates_previous!$G$6:$Q$29, 11, FALSE))</f>
        <v>9122.2909839227796</v>
      </c>
      <c r="BH82" s="229">
        <f>IF($D82=0,IF(C82=0, MAX(BK82 - (VLOOKUP($A82,TOCA_previous!$A$2:$AI$137,MATCH("RHWM 2018",TOCA_previous!$A$2:$AI$2,0),FALSE)*$F$2*TOCA_previous!C79),0),0), 0)</f>
        <v>0</v>
      </c>
      <c r="BI82" s="266">
        <f>VLOOKUP($A82,REP_previous!$A$1:$D$135,MATCH("FY "&amp;$F$1&amp; " Total Refund",REP_previous!$A$1:$D$1,0),0)</f>
        <v>77732.109326586622</v>
      </c>
      <c r="BJ82" s="241">
        <f>MIN(VLOOKUP($A82,TOCA_previous!$A$2:$AI$137,MATCH("TRL - NLSL - Existing Resource "&amp;$F$1,TOCA_previous!$A$2:$AI$2,0),FALSE)*$F$2,(VLOOKUP($A82,TOCA_previous!$A$2:$AI$137,MATCH("RHWM 2018",TOCA_previous!$A$2:$AI$2,0),FALSE)*$F$2))</f>
        <v>119214.84</v>
      </c>
      <c r="BK82" s="229">
        <f>SUM(L82:AI82)+(F82*RT1SC!$C$3*$F$2)</f>
        <v>119215.893141216</v>
      </c>
      <c r="BL82" s="241">
        <f>VLOOKUP($A82,TOCA_previous!$A$2:$AI$137,MATCH("Above RHWM Not Served with LS "&amp;$F$1,TOCA_previous!$A$2:$AI$2,0),FALSE)*$F$2</f>
        <v>0</v>
      </c>
      <c r="BM82" s="151">
        <f t="shared" si="21"/>
        <v>1.0531412160053151</v>
      </c>
      <c r="BN82" s="242">
        <f>(VLOOKUP($A82,TOCA_previous!$A$2:$AI$137,MATCH("RHWM 2018",TOCA_previous!$A$2:$AI$2,0),FALSE)*$F$2) - $BJ82</f>
        <v>1454.1600000000035</v>
      </c>
      <c r="BO82" s="151">
        <f t="shared" si="22"/>
        <v>-1.0531412160053151</v>
      </c>
      <c r="BP82" s="243">
        <f t="shared" si="23"/>
        <v>0</v>
      </c>
      <c r="BQ82" s="237">
        <f t="shared" si="24"/>
        <v>0</v>
      </c>
      <c r="BR82" s="242">
        <f t="shared" si="25"/>
        <v>-1.0531412160053151</v>
      </c>
      <c r="BS82" s="151">
        <f>VLOOKUP($A82,TOCA_current!$A$2:$AI$137,MATCH(BS$4,TOCA_current!$A$2:$AI$2,0),FALSE)</f>
        <v>1.9824999999999999E-3</v>
      </c>
      <c r="BT82" s="151">
        <f>VLOOKUP($A82,TOCA_current!$A$2:$AI$137,MATCH(BT$4,TOCA_current!$A$2:$AI$2,0),FALSE)</f>
        <v>1.9824999999999999E-3</v>
      </c>
      <c r="BU82" s="236">
        <f t="shared" si="26"/>
        <v>0</v>
      </c>
      <c r="BV82" s="151">
        <f>VLOOKUP($A82,TOCA_current!A78:BG213,MATCH(BV$4,TOCA_current!$A$2:$BG$2,0),FALSE)</f>
        <v>7.0050299999999996E-2</v>
      </c>
      <c r="BW82" s="151">
        <f t="shared" si="27"/>
        <v>7.0050299999999996E-2</v>
      </c>
      <c r="BX82" s="151">
        <f t="shared" si="28"/>
        <v>1.9824999999999999E-3</v>
      </c>
      <c r="BY82" s="226">
        <f>VLOOKUP($A82,IRD!$A$4:$G$139, 7, FALSE)</f>
        <v>0</v>
      </c>
      <c r="BZ82" s="227">
        <f t="array" ref="BZ82">IF($BU82=0, INDEX(LS_current!$D$4:$AY$138, MATCH('Staging Table'!$A82, LS_current!$B$4:$B$138, 0), MATCH(BZ$4&amp;BZ$5, LS_current!$D$2:$AY$2&amp;LS_current!$D$3:$AY$3, 0)),SUM(VLOOKUP($A82, LS_current!$B$4:$AY$138, LS_current!D$148, FALSE), VLOOKUP($A82, LS_current!$B$4:$AY$138,LS_current!D$148, FALSE))/2)</f>
        <v>0</v>
      </c>
      <c r="CA82" s="227">
        <f t="array" ref="CA82">IF($BU82=0, INDEX(LS_current!$D$4:$AY$138, MATCH('Staging Table'!$A82, LS_current!$B$4:$B$138, 0), MATCH(CA$4&amp;CA$5, LS_current!$D$2:$AY$2&amp;LS_current!$D$3:$AY$3, 0)),SUM(VLOOKUP($A82, LS_current!$B$4:$AY$138, LS_current!E$148, FALSE), VLOOKUP($A82, LS_current!$B$4:$AY$138,LS_current!E$148, FALSE))/2)</f>
        <v>0</v>
      </c>
      <c r="CB82" s="227">
        <f t="array" ref="CB82">IF($BU82=0, INDEX(LS_current!$D$4:$AY$138, MATCH('Staging Table'!$A82, LS_current!$B$4:$B$138, 0), MATCH(CB$4&amp;CB$5, LS_current!$D$2:$AY$2&amp;LS_current!$D$3:$AY$3, 0)),SUM(VLOOKUP($A82, LS_current!$B$4:$AY$138, LS_current!F$148, FALSE), VLOOKUP($A82, LS_current!$B$4:$AY$138,LS_current!F$148, FALSE))/2)</f>
        <v>0</v>
      </c>
      <c r="CC82" s="227">
        <f t="array" ref="CC82">IF($BU82=0, INDEX(LS_current!$D$4:$AY$138, MATCH('Staging Table'!$A82, LS_current!$B$4:$B$138, 0), MATCH(CC$4&amp;CC$5, LS_current!$D$2:$AY$2&amp;LS_current!$D$3:$AY$3, 0)),SUM(VLOOKUP($A82, LS_current!$B$4:$AY$138, LS_current!G$148, FALSE), VLOOKUP($A82, LS_current!$B$4:$AY$138,LS_current!G$148, FALSE))/2)</f>
        <v>0</v>
      </c>
      <c r="CD82" s="227">
        <f t="array" ref="CD82">IF($BU82=0, INDEX(LS_current!$D$4:$AY$138, MATCH('Staging Table'!$A82, LS_current!$B$4:$B$138, 0), MATCH(CD$4&amp;CD$5, LS_current!$D$2:$AY$2&amp;LS_current!$D$3:$AY$3, 0)),SUM(VLOOKUP($A82, LS_current!$B$4:$AY$138, LS_current!H$148, FALSE), VLOOKUP($A82, LS_current!$B$4:$AY$138,LS_current!H$148, FALSE))/2)</f>
        <v>0</v>
      </c>
      <c r="CE82" s="227">
        <f t="array" ref="CE82">IF($BU82=0, INDEX(LS_current!$D$4:$AY$138, MATCH('Staging Table'!$A82, LS_current!$B$4:$B$138, 0), MATCH(CE$4&amp;CE$5, LS_current!$D$2:$AY$2&amp;LS_current!$D$3:$AY$3, 0)),SUM(VLOOKUP($A82, LS_current!$B$4:$AY$138, LS_current!I$148, FALSE), VLOOKUP($A82, LS_current!$B$4:$AY$138,LS_current!I$148, FALSE))/2)</f>
        <v>0</v>
      </c>
      <c r="CF82" s="227">
        <f t="array" ref="CF82">IF($BU82=0, INDEX(LS_current!$D$4:$AY$138, MATCH('Staging Table'!$A82, LS_current!$B$4:$B$138, 0), MATCH(CF$4&amp;CF$5, LS_current!$D$2:$AY$2&amp;LS_current!$D$3:$AY$3, 0)),SUM(VLOOKUP($A82, LS_current!$B$4:$AY$138, LS_current!J$148, FALSE), VLOOKUP($A82, LS_current!$B$4:$AY$138,LS_current!J$148, FALSE))/2)</f>
        <v>0</v>
      </c>
      <c r="CG82" s="227">
        <f t="array" ref="CG82">IF($BU82=0, INDEX(LS_current!$D$4:$AY$138, MATCH('Staging Table'!$A82, LS_current!$B$4:$B$138, 0), MATCH(CG$4&amp;CG$5, LS_current!$D$2:$AY$2&amp;LS_current!$D$3:$AY$3, 0)),SUM(VLOOKUP($A82, LS_current!$B$4:$AY$138, LS_current!K$148, FALSE), VLOOKUP($A82, LS_current!$B$4:$AY$138,LS_current!K$148, FALSE))/2)</f>
        <v>0</v>
      </c>
      <c r="CH82" s="227">
        <f t="array" ref="CH82">IF($BU82=0, INDEX(LS_current!$D$4:$AY$138, MATCH('Staging Table'!$A82, LS_current!$B$4:$B$138, 0), MATCH(CH$4&amp;CH$5, LS_current!$D$2:$AY$2&amp;LS_current!$D$3:$AY$3, 0)),SUM(VLOOKUP($A82, LS_current!$B$4:$AY$138, LS_current!L$148, FALSE), VLOOKUP($A82, LS_current!$B$4:$AY$138,LS_current!L$148, FALSE))/2)</f>
        <v>0</v>
      </c>
      <c r="CI82" s="227">
        <f t="array" ref="CI82">IF($BU82=0, INDEX(LS_current!$D$4:$AY$138, MATCH('Staging Table'!$A82, LS_current!$B$4:$B$138, 0), MATCH(CI$4&amp;CI$5, LS_current!$D$2:$AY$2&amp;LS_current!$D$3:$AY$3, 0)),SUM(VLOOKUP($A82, LS_current!$B$4:$AY$138, LS_current!M$148, FALSE), VLOOKUP($A82, LS_current!$B$4:$AY$138,LS_current!M$148, FALSE))/2)</f>
        <v>0</v>
      </c>
      <c r="CJ82" s="227">
        <f t="array" ref="CJ82">IF($BU82=0, INDEX(LS_current!$D$4:$AY$138, MATCH('Staging Table'!$A82, LS_current!$B$4:$B$138, 0), MATCH(CJ$4&amp;CJ$5, LS_current!$D$2:$AY$2&amp;LS_current!$D$3:$AY$3, 0)),SUM(VLOOKUP($A82, LS_current!$B$4:$AY$138, LS_current!N$148, FALSE), VLOOKUP($A82, LS_current!$B$4:$AY$138,LS_current!N$148, FALSE))/2)</f>
        <v>0</v>
      </c>
      <c r="CK82" s="227">
        <f t="array" ref="CK82">IF($BU82=0, INDEX(LS_current!$D$4:$AY$138, MATCH('Staging Table'!$A82, LS_current!$B$4:$B$138, 0), MATCH(CK$4&amp;CK$5, LS_current!$D$2:$AY$2&amp;LS_current!$D$3:$AY$3, 0)),SUM(VLOOKUP($A82, LS_current!$B$4:$AY$138, LS_current!O$148, FALSE), VLOOKUP($A82, LS_current!$B$4:$AY$138,LS_current!O$148, FALSE))/2)</f>
        <v>0</v>
      </c>
      <c r="CL82" s="227">
        <f t="array" ref="CL82">IF($BU82=0, INDEX(LS_current!$D$4:$AY$138, MATCH('Staging Table'!$A82, LS_current!$B$4:$B$138, 0), MATCH(CL$4&amp;CL$5, LS_current!$D$2:$AY$2&amp;LS_current!$D$3:$AY$3, 0)),SUM(VLOOKUP($A82, LS_current!$B$4:$AY$138, LS_current!P$148, FALSE), VLOOKUP($A82, LS_current!$B$4:$AY$138,LS_current!P$148, FALSE))/2)</f>
        <v>0</v>
      </c>
      <c r="CM82" s="227">
        <f t="array" ref="CM82">IF($BU82=0, INDEX(LS_current!$D$4:$AY$138, MATCH('Staging Table'!$A82, LS_current!$B$4:$B$138, 0), MATCH(CM$4&amp;CM$5, LS_current!$D$2:$AY$2&amp;LS_current!$D$3:$AY$3, 0)),SUM(VLOOKUP($A82, LS_current!$B$4:$AY$138, LS_current!Q$148, FALSE), VLOOKUP($A82, LS_current!$B$4:$AY$138,LS_current!Q$148, FALSE))/2)</f>
        <v>0</v>
      </c>
      <c r="CN82" s="227">
        <f t="array" ref="CN82">IF($BU82=0, INDEX(LS_current!$D$4:$AY$138, MATCH('Staging Table'!$A82, LS_current!$B$4:$B$138, 0), MATCH(CN$4&amp;CN$5, LS_current!$D$2:$AY$2&amp;LS_current!$D$3:$AY$3, 0)),SUM(VLOOKUP($A82, LS_current!$B$4:$AY$138, LS_current!R$148, FALSE), VLOOKUP($A82, LS_current!$B$4:$AY$138,LS_current!R$148, FALSE))/2)</f>
        <v>0</v>
      </c>
      <c r="CO82" s="227">
        <f t="array" ref="CO82">IF($BU82=0, INDEX(LS_current!$D$4:$AY$138, MATCH('Staging Table'!$A82, LS_current!$B$4:$B$138, 0), MATCH(CO$4&amp;CO$5, LS_current!$D$2:$AY$2&amp;LS_current!$D$3:$AY$3, 0)),SUM(VLOOKUP($A82, LS_current!$B$4:$AY$138, LS_current!S$148, FALSE), VLOOKUP($A82, LS_current!$B$4:$AY$138,LS_current!S$148, FALSE))/2)</f>
        <v>0</v>
      </c>
      <c r="CP82" s="227">
        <f t="array" ref="CP82">IF($BU82=0, INDEX(LS_current!$D$4:$AY$138, MATCH('Staging Table'!$A82, LS_current!$B$4:$B$138, 0), MATCH(CP$4&amp;CP$5, LS_current!$D$2:$AY$2&amp;LS_current!$D$3:$AY$3, 0)),SUM(VLOOKUP($A82, LS_current!$B$4:$AY$138, LS_current!T$148, FALSE), VLOOKUP($A82, LS_current!$B$4:$AY$138,LS_current!T$148, FALSE))/2)</f>
        <v>0</v>
      </c>
      <c r="CQ82" s="227">
        <f t="array" ref="CQ82">IF($BU82=0, INDEX(LS_current!$D$4:$AY$138, MATCH('Staging Table'!$A82, LS_current!$B$4:$B$138, 0), MATCH(CQ$4&amp;CQ$5, LS_current!$D$2:$AY$2&amp;LS_current!$D$3:$AY$3, 0)),SUM(VLOOKUP($A82, LS_current!$B$4:$AY$138, LS_current!U$148, FALSE), VLOOKUP($A82, LS_current!$B$4:$AY$138,LS_current!U$148, FALSE))/2)</f>
        <v>0</v>
      </c>
      <c r="CR82" s="227">
        <f t="array" ref="CR82">IF($BU82=0, INDEX(LS_current!$D$4:$AY$138, MATCH('Staging Table'!$A82, LS_current!$B$4:$B$138, 0), MATCH(CR$4&amp;CR$5, LS_current!$D$2:$AY$2&amp;LS_current!$D$3:$AY$3, 0)),SUM(VLOOKUP($A82, LS_current!$B$4:$AY$138, LS_current!V$148, FALSE), VLOOKUP($A82, LS_current!$B$4:$AY$138,LS_current!V$148, FALSE))/2)</f>
        <v>0</v>
      </c>
      <c r="CS82" s="227">
        <f t="array" ref="CS82">IF($BU82=0, INDEX(LS_current!$D$4:$AY$138, MATCH('Staging Table'!$A82, LS_current!$B$4:$B$138, 0), MATCH(CS$4&amp;CS$5, LS_current!$D$2:$AY$2&amp;LS_current!$D$3:$AY$3, 0)),SUM(VLOOKUP($A82, LS_current!$B$4:$AY$138, LS_current!W$148, FALSE), VLOOKUP($A82, LS_current!$B$4:$AY$138,LS_current!W$148, FALSE))/2)</f>
        <v>0</v>
      </c>
      <c r="CT82" s="227">
        <f t="array" ref="CT82">IF($BU82=0, INDEX(LS_current!$D$4:$AY$138, MATCH('Staging Table'!$A82, LS_current!$B$4:$B$138, 0), MATCH(CT$4&amp;CT$5, LS_current!$D$2:$AY$2&amp;LS_current!$D$3:$AY$3, 0)),SUM(VLOOKUP($A82, LS_current!$B$4:$AY$138, LS_current!X$148, FALSE), VLOOKUP($A82, LS_current!$B$4:$AY$138,LS_current!X$148, FALSE))/2)</f>
        <v>0</v>
      </c>
      <c r="CU82" s="227">
        <f t="array" ref="CU82">IF($BU82=0, INDEX(LS_current!$D$4:$AY$138, MATCH('Staging Table'!$A82, LS_current!$B$4:$B$138, 0), MATCH(CU$4&amp;CU$5, LS_current!$D$2:$AY$2&amp;LS_current!$D$3:$AY$3, 0)),SUM(VLOOKUP($A82, LS_current!$B$4:$AY$138, LS_current!Y$148, FALSE), VLOOKUP($A82, LS_current!$B$4:$AY$138,LS_current!Y$148, FALSE))/2)</f>
        <v>0</v>
      </c>
      <c r="CV82" s="227">
        <f t="array" ref="CV82">IF($BU82=0, INDEX(LS_current!$D$4:$AY$138, MATCH('Staging Table'!$A82, LS_current!$B$4:$B$138, 0), MATCH(CV$4&amp;CV$5, LS_current!$D$2:$AY$2&amp;LS_current!$D$3:$AY$3, 0)),SUM(VLOOKUP($A82, LS_current!$B$4:$AY$138, LS_current!Z$148, FALSE), VLOOKUP($A82, LS_current!$B$4:$AY$138,LS_current!Z$148, FALSE))/2)</f>
        <v>0</v>
      </c>
      <c r="CW82" s="227">
        <f t="array" ref="CW82">IF($BU82=0, INDEX(LS_current!$D$4:$AY$138, MATCH('Staging Table'!$A82, LS_current!$B$4:$B$138, 0), MATCH(CW$4&amp;CW$5, LS_current!$D$2:$AY$2&amp;LS_current!$D$3:$AY$3, 0)),SUM(VLOOKUP($A82, LS_current!$B$4:$AY$138, LS_current!AA$148, FALSE), VLOOKUP($A82, LS_current!$B$4:$AY$138,LS_current!AA$148, FALSE))/2)</f>
        <v>0</v>
      </c>
      <c r="CX82" s="229">
        <f t="array" ref="CX82">INDEX(Demand_current!$D$4:$AY$138, MATCH($A82, Demand_current!$B$4:$B$138, 0), MATCH(CX$4&amp;CX$5,Demand_current!$D$2:$AY$2&amp;Demand_current!$D$3:$AY$3, 0))/1000</f>
        <v>0</v>
      </c>
      <c r="CY82" s="229">
        <f t="array" ref="CY82">INDEX(Demand_current!$D$4:$AY$138, MATCH($A82, Demand_current!$B$4:$B$138, 0), MATCH(CY$4&amp;CY$5,Demand_current!$D$2:$AY$2&amp;Demand_current!$D$3:$AY$3, 0))/1000</f>
        <v>0</v>
      </c>
      <c r="CZ82" s="229">
        <f t="array" ref="CZ82">INDEX(Demand_current!$D$4:$AY$138, MATCH($A82, Demand_current!$B$4:$B$138, 0), MATCH(CZ$4&amp;CZ$5,Demand_current!$D$2:$AY$2&amp;Demand_current!$D$3:$AY$3, 0))/1000</f>
        <v>0</v>
      </c>
      <c r="DA82" s="229">
        <f t="array" ref="DA82">INDEX(Demand_current!$D$4:$AY$138, MATCH($A82, Demand_current!$B$4:$B$138, 0), MATCH(DA$4&amp;DA$5,Demand_current!$D$2:$AY$2&amp;Demand_current!$D$3:$AY$3, 0))/1000</f>
        <v>0</v>
      </c>
      <c r="DB82" s="229">
        <f t="array" ref="DB82">INDEX(Demand_current!$D$4:$AY$138, MATCH($A82, Demand_current!$B$4:$B$138, 0), MATCH(DB$4&amp;DB$5,Demand_current!$D$2:$AY$2&amp;Demand_current!$D$3:$AY$3, 0))/1000</f>
        <v>0</v>
      </c>
      <c r="DC82" s="229">
        <f t="array" ref="DC82">INDEX(Demand_current!$D$4:$AY$138, MATCH($A82, Demand_current!$B$4:$B$138, 0), MATCH(DC$4&amp;DC$5,Demand_current!$D$2:$AY$2&amp;Demand_current!$D$3:$AY$3, 0))/1000</f>
        <v>0</v>
      </c>
      <c r="DD82" s="229">
        <f t="array" ref="DD82">INDEX(Demand_current!$D$4:$AY$138, MATCH($A82, Demand_current!$B$4:$B$138, 0), MATCH(DD$4&amp;DD$5,Demand_current!$D$2:$AY$2&amp;Demand_current!$D$3:$AY$3, 0))/1000</f>
        <v>0</v>
      </c>
      <c r="DE82" s="229">
        <f t="array" ref="DE82">INDEX(Demand_current!$D$4:$AY$138, MATCH($A82, Demand_current!$B$4:$B$138, 0), MATCH(DE$4&amp;DE$5,Demand_current!$D$2:$AY$2&amp;Demand_current!$D$3:$AY$3, 0))/1000</f>
        <v>0</v>
      </c>
      <c r="DF82" s="229">
        <f t="array" ref="DF82">INDEX(Demand_current!$D$4:$AY$138, MATCH($A82, Demand_current!$B$4:$B$138, 0), MATCH(DF$4&amp;DF$5,Demand_current!$D$2:$AY$2&amp;Demand_current!$D$3:$AY$3, 0))/1000</f>
        <v>0</v>
      </c>
      <c r="DG82" s="229">
        <f t="array" ref="DG82">INDEX(Demand_current!$D$4:$AY$138, MATCH($A82, Demand_current!$B$4:$B$138, 0), MATCH(DG$4&amp;DG$5,Demand_current!$D$2:$AY$2&amp;Demand_current!$D$3:$AY$3, 0))/1000</f>
        <v>0</v>
      </c>
      <c r="DH82" s="229">
        <f t="array" ref="DH82">INDEX(Demand_current!$D$4:$AY$138, MATCH($A82, Demand_current!$B$4:$B$138, 0), MATCH(DH$4&amp;DH$5,Demand_current!$D$2:$AY$2&amp;Demand_current!$D$3:$AY$3, 0))/1000</f>
        <v>0</v>
      </c>
      <c r="DI82" s="229">
        <f t="array" ref="DI82">INDEX(Demand_current!$D$4:$AY$138, MATCH($A82, Demand_current!$B$4:$B$138, 0), MATCH(DI$4&amp;DI$5,Demand_current!$D$2:$AY$2&amp;Demand_current!$D$3:$AY$3, 0))/1000</f>
        <v>0</v>
      </c>
      <c r="DJ82" s="227">
        <f>$BT82*(VLOOKUP(DJ$4, Rates_current!$G$6:$Q$29, 10, FALSE)+VLOOKUP(DJ$4, Rates_current!$G$6:$Q$29, 11, FALSE))</f>
        <v>9153.8313410699993</v>
      </c>
      <c r="DK82" s="227">
        <f>$BT82*(VLOOKUP(DK$4, Rates_current!$G$6:$Q$29, 10, FALSE)+VLOOKUP(DK$4, Rates_current!$G$6:$Q$29, 11, FALSE))</f>
        <v>11628.2213963175</v>
      </c>
      <c r="DL82" s="227">
        <f>$BT82*(VLOOKUP(DL$4, Rates_current!$G$6:$Q$29, 10, FALSE)+VLOOKUP(DL$4, Rates_current!$G$6:$Q$29, 11, FALSE))</f>
        <v>11487.794888570001</v>
      </c>
      <c r="DM82" s="227">
        <f>$BT82*(VLOOKUP(DM$4, Rates_current!$G$6:$Q$29, 10, FALSE)+VLOOKUP(DM$4, Rates_current!$G$6:$Q$29, 11, FALSE))</f>
        <v>9575.7767285700011</v>
      </c>
      <c r="DN82" s="227">
        <f>$BT82*(VLOOKUP(DN$4, Rates_current!$G$6:$Q$29, 10, FALSE)+VLOOKUP(DN$4, Rates_current!$G$6:$Q$29, 11, FALSE))</f>
        <v>8674.6603059999998</v>
      </c>
      <c r="DO82" s="227">
        <f>$BT82*(VLOOKUP(DO$4, Rates_current!$G$6:$Q$29, 10, FALSE)+VLOOKUP(DO$4, Rates_current!$G$6:$Q$29, 11, FALSE))</f>
        <v>9648.9780451024999</v>
      </c>
      <c r="DP82" s="227">
        <f>$BT82*(VLOOKUP(DP$4, Rates_current!$G$6:$Q$29, 10, FALSE)+VLOOKUP(DP$4, Rates_current!$G$6:$Q$29, 11, FALSE))</f>
        <v>7856.2083365999997</v>
      </c>
      <c r="DQ82" s="227">
        <f>$BT82*(VLOOKUP(DQ$4, Rates_current!$G$6:$Q$29, 10, FALSE)+VLOOKUP(DQ$4, Rates_current!$G$6:$Q$29, 11, FALSE))</f>
        <v>10595.268432320001</v>
      </c>
      <c r="DR82" s="227">
        <f>$BT82*(VLOOKUP(DR$4, Rates_current!$G$6:$Q$29, 10, FALSE)+VLOOKUP(DR$4, Rates_current!$G$6:$Q$29, 11, FALSE))</f>
        <v>13518.84192035</v>
      </c>
      <c r="DS82" s="227">
        <f>$BT82*(VLOOKUP(DS$4, Rates_current!$G$6:$Q$29, 10, FALSE)+VLOOKUP(DS$4, Rates_current!$G$6:$Q$29, 11, FALSE))</f>
        <v>10599.200721069999</v>
      </c>
      <c r="DT82" s="227">
        <f>$BT82*(VLOOKUP(DT$4, Rates_current!$G$6:$Q$29, 10, FALSE)+VLOOKUP(DT$4, Rates_current!$G$6:$Q$29, 11, FALSE))</f>
        <v>10321.51095482</v>
      </c>
      <c r="DU82" s="227">
        <f>$BT82*(VLOOKUP(DU$4, Rates_current!$G$6:$Q$29, 10, FALSE)+VLOOKUP(DU$4, Rates_current!$G$6:$Q$29, 11, FALSE))</f>
        <v>9266.5211691000004</v>
      </c>
      <c r="DV82" s="229">
        <f>IF(D82=0,IF(C82=0,MAX(0,DY82 - (VLOOKUP($A82,TOCA_current!$A$2:$AI$137,MATCH("RHWM 2020",TOCA_current!$A$2:$AI$2,0),FALSE)*$BT$2)), 0),0)</f>
        <v>0</v>
      </c>
      <c r="DW82" s="266">
        <f>VLOOKUP($A82,REP_current!$A$1:$D$135,MATCH("FY "&amp;$BT$1&amp; " Total Refund",REP_current!$A$1:$D$1,0),0)</f>
        <v>0</v>
      </c>
      <c r="DX82" s="295">
        <f>MIN(VLOOKUP($A82,TOCA_current!$A$2:$AI$137,MATCH("TRL - NLSL - Existing Resource "&amp;$BT$1,TOCA_current!$A$2:$AI$2,0),FALSE)*$BT$2, VLOOKUP($A82,TOCA_current!$A$2:$AI$137,MATCH("RHWM 2020",TOCA_current!$A$2:$AI$2,0),FALSE)*$BT$2)</f>
        <v>122325.984</v>
      </c>
      <c r="DY82" s="240">
        <f>SUM(BZ82:CW82)+(BT82*RT1SC!$C$4*$BT$2)</f>
        <v>122326.81883135998</v>
      </c>
      <c r="DZ82" s="271">
        <f>VLOOKUP($A82,TOCA_current!$A$2:$AI$137,MATCH("Above RHWM Not Served with LS "&amp;$BT$1,TOCA_current!$A$2:$AI$2,0),FALSE)*$BT$2</f>
        <v>87.84</v>
      </c>
      <c r="EA82" s="244">
        <f t="shared" si="29"/>
        <v>0.83483135998540092</v>
      </c>
      <c r="EB82" s="295">
        <f>(VLOOKUP($A82,TOCA_current!$A$2:$AI$137,MATCH("RHWM 2020",TOCA_current!$A$2:$AI$2,0),FALSE)*$BT$2) - $DX82</f>
        <v>0</v>
      </c>
      <c r="EC82" s="240">
        <f t="shared" si="30"/>
        <v>0</v>
      </c>
      <c r="ED82" s="240">
        <f t="shared" si="31"/>
        <v>0</v>
      </c>
      <c r="EE82" s="240">
        <f t="shared" si="32"/>
        <v>0</v>
      </c>
      <c r="EF82" s="240">
        <f t="shared" si="33"/>
        <v>0</v>
      </c>
    </row>
    <row r="83" spans="1:136">
      <c r="A83" s="166">
        <v>10242</v>
      </c>
      <c r="B83" s="167" t="s">
        <v>84</v>
      </c>
      <c r="C83" s="240">
        <v>0</v>
      </c>
      <c r="D83" s="240">
        <v>0</v>
      </c>
      <c r="E83" s="150">
        <f>VLOOKUP($A83,TOCA_previous!$A$2:$AI$137,MATCH(E$4,TOCA_previous!$A$2:$AI$2,0),FALSE)</f>
        <v>1.3299E-3</v>
      </c>
      <c r="F83" s="151">
        <f>VLOOKUP($A83,TOCA_previous!$A$2:$AI$137,MATCH(F$4,TOCA_previous!$A$2:$AI$2,0),FALSE)</f>
        <v>1.3299E-3</v>
      </c>
      <c r="G83" s="151">
        <f t="shared" si="18"/>
        <v>0</v>
      </c>
      <c r="H83" s="151">
        <f>VLOOKUP($A83,TOCA_previous!$A$2:$AI$137,MATCH(H$4,TOCA_previous!$A$2:$AI$2,0),FALSE)</f>
        <v>7.0000000000000007E-2</v>
      </c>
      <c r="I83" s="151">
        <f t="shared" si="19"/>
        <v>0</v>
      </c>
      <c r="J83" s="151">
        <f t="shared" si="20"/>
        <v>0</v>
      </c>
      <c r="K83" s="226">
        <f>VLOOKUP(A83, IRD!$A$5:$C$139, 3, FALSE)</f>
        <v>37558.894</v>
      </c>
      <c r="L83" s="227">
        <f t="array" ref="L83">IF($G83=0, INDEX(LS_previous!$D$4:$AY$138, MATCH('Staging Table'!$A83, LS_previous!$B$4:$B$138, 0), MATCH(L$4&amp;L$5, LS_previous!$D$2:$AY$2&amp;LS_previous!$D$3:$AY$3, 0)),SUM(VLOOKUP($A83, LS_previous!$B$4:$AY$138, LS_previous!D$149, FALSE), VLOOKUP('Staging Table'!$A83, LS_previous!$B$4:$AY$138,LS_previous!AB$149, FALSE))/2)</f>
        <v>-1964</v>
      </c>
      <c r="M83" s="227">
        <f t="array" ref="M83">IF($G83=0, INDEX(LS_previous!$D$4:$AY$138, MATCH('Staging Table'!$A83, LS_previous!$B$4:$B$138, 0), MATCH(M$4&amp;M$5, LS_previous!$D$2:$AY$2&amp;LS_previous!$D$3:$AY$3, 0)),SUM(VLOOKUP($A83, LS_previous!$B$4:$AY$138, LS_previous!E$149, FALSE), VLOOKUP('Staging Table'!$A83, LS_previous!$B$4:$AY$138,LS_previous!AC$149, FALSE))/2)</f>
        <v>-792</v>
      </c>
      <c r="N83" s="227">
        <f t="array" ref="N83">IF($G83=0, INDEX(LS_previous!$D$4:$AY$138, MATCH('Staging Table'!$A83, LS_previous!$B$4:$B$138, 0), MATCH(N$4&amp;N$5, LS_previous!$D$2:$AY$2&amp;LS_previous!$D$3:$AY$3, 0)),SUM(VLOOKUP($A83, LS_previous!$B$4:$AY$138, LS_previous!F$149, FALSE), VLOOKUP('Staging Table'!$A83, LS_previous!$B$4:$AY$138,LS_previous!AD$149, FALSE))/2)</f>
        <v>-2766</v>
      </c>
      <c r="O83" s="227">
        <f t="array" ref="O83">IF($G83=0, INDEX(LS_previous!$D$4:$AY$138, MATCH('Staging Table'!$A83, LS_previous!$B$4:$B$138, 0), MATCH(O$4&amp;O$5, LS_previous!$D$2:$AY$2&amp;LS_previous!$D$3:$AY$3, 0)),SUM(VLOOKUP($A83, LS_previous!$B$4:$AY$138, LS_previous!G$149, FALSE), VLOOKUP('Staging Table'!$A83, LS_previous!$B$4:$AY$138,LS_previous!AE$149, FALSE))/2)</f>
        <v>-1214</v>
      </c>
      <c r="P83" s="227">
        <f t="array" ref="P83">IF($G83=0, INDEX(LS_previous!$D$4:$AY$138, MATCH('Staging Table'!$A83, LS_previous!$B$4:$B$138, 0), MATCH(P$4&amp;P$5, LS_previous!$D$2:$AY$2&amp;LS_previous!$D$3:$AY$3, 0)),SUM(VLOOKUP($A83, LS_previous!$B$4:$AY$138, LS_previous!H$149, FALSE), VLOOKUP('Staging Table'!$A83, LS_previous!$B$4:$AY$138,LS_previous!AF$149, FALSE))/2)</f>
        <v>-2039</v>
      </c>
      <c r="Q83" s="227">
        <f t="array" ref="Q83">IF($G83=0, INDEX(LS_previous!$D$4:$AY$138, MATCH('Staging Table'!$A83, LS_previous!$B$4:$B$138, 0), MATCH(Q$4&amp;Q$5, LS_previous!$D$2:$AY$2&amp;LS_previous!$D$3:$AY$3, 0)),SUM(VLOOKUP($A83, LS_previous!$B$4:$AY$138, LS_previous!I$149, FALSE), VLOOKUP('Staging Table'!$A83, LS_previous!$B$4:$AY$138,LS_previous!AG$149, FALSE))/2)</f>
        <v>-750</v>
      </c>
      <c r="R83" s="227">
        <f t="array" ref="R83">IF($G83=0, INDEX(LS_previous!$D$4:$AY$138, MATCH('Staging Table'!$A83, LS_previous!$B$4:$B$138, 0), MATCH(R$4&amp;R$5, LS_previous!$D$2:$AY$2&amp;LS_previous!$D$3:$AY$3, 0)),SUM(VLOOKUP($A83, LS_previous!$B$4:$AY$138, LS_previous!J$149, FALSE), VLOOKUP('Staging Table'!$A83, LS_previous!$B$4:$AY$138,LS_previous!AH$149, FALSE))/2)</f>
        <v>-1328</v>
      </c>
      <c r="S83" s="227">
        <f t="array" ref="S83">IF($G83=0, INDEX(LS_previous!$D$4:$AY$138, MATCH('Staging Table'!$A83, LS_previous!$B$4:$B$138, 0), MATCH(S$4&amp;S$5, LS_previous!$D$2:$AY$2&amp;LS_previous!$D$3:$AY$3, 0)),SUM(VLOOKUP($A83, LS_previous!$B$4:$AY$138, LS_previous!K$149, FALSE), VLOOKUP('Staging Table'!$A83, LS_previous!$B$4:$AY$138,LS_previous!AI$149, FALSE))/2)</f>
        <v>-350</v>
      </c>
      <c r="T83" s="227">
        <f t="array" ref="T83">IF($G83=0, INDEX(LS_previous!$D$4:$AY$138, MATCH('Staging Table'!$A83, LS_previous!$B$4:$B$138, 0), MATCH(T$4&amp;T$5, LS_previous!$D$2:$AY$2&amp;LS_previous!$D$3:$AY$3, 0)),SUM(VLOOKUP($A83, LS_previous!$B$4:$AY$138, LS_previous!L$149, FALSE), VLOOKUP('Staging Table'!$A83, LS_previous!$B$4:$AY$138,LS_previous!AJ$149, FALSE))/2)</f>
        <v>-1014</v>
      </c>
      <c r="U83" s="227">
        <f t="array" ref="U83">IF($G83=0, INDEX(LS_previous!$D$4:$AY$138, MATCH('Staging Table'!$A83, LS_previous!$B$4:$B$138, 0), MATCH(U$4&amp;U$5, LS_previous!$D$2:$AY$2&amp;LS_previous!$D$3:$AY$3, 0)),SUM(VLOOKUP($A83, LS_previous!$B$4:$AY$138, LS_previous!M$149, FALSE), VLOOKUP('Staging Table'!$A83, LS_previous!$B$4:$AY$138,LS_previous!AK$149, FALSE))/2)</f>
        <v>-168</v>
      </c>
      <c r="V83" s="227">
        <f t="array" ref="V83">IF($G83=0, INDEX(LS_previous!$D$4:$AY$138, MATCH('Staging Table'!$A83, LS_previous!$B$4:$B$138, 0), MATCH(V$4&amp;V$5, LS_previous!$D$2:$AY$2&amp;LS_previous!$D$3:$AY$3, 0)),SUM(VLOOKUP($A83, LS_previous!$B$4:$AY$138, LS_previous!N$149, FALSE), VLOOKUP('Staging Table'!$A83, LS_previous!$B$4:$AY$138,LS_previous!AL$149, FALSE))/2)</f>
        <v>-1939</v>
      </c>
      <c r="W83" s="227">
        <f t="array" ref="W83">IF($G83=0, INDEX(LS_previous!$D$4:$AY$138, MATCH('Staging Table'!$A83, LS_previous!$B$4:$B$138, 0), MATCH(W$4&amp;W$5, LS_previous!$D$2:$AY$2&amp;LS_previous!$D$3:$AY$3, 0)),SUM(VLOOKUP($A83, LS_previous!$B$4:$AY$138, LS_previous!O$149, FALSE), VLOOKUP('Staging Table'!$A83, LS_previous!$B$4:$AY$138,LS_previous!AM$149, FALSE))/2)</f>
        <v>-791</v>
      </c>
      <c r="X83" s="227">
        <f t="array" ref="X83">IF($G83=0, INDEX(LS_previous!$D$4:$AY$138, MATCH('Staging Table'!$A83, LS_previous!$B$4:$B$138, 0), MATCH(X$4&amp;X$5, LS_previous!$D$2:$AY$2&amp;LS_previous!$D$3:$AY$3, 0)),SUM(VLOOKUP($A83, LS_previous!$B$4:$AY$138, LS_previous!P$149, FALSE), VLOOKUP('Staging Table'!$A83, LS_previous!$B$4:$AY$138,LS_previous!AN$149, FALSE))/2)</f>
        <v>-2034</v>
      </c>
      <c r="Y83" s="227">
        <f t="array" ref="Y83">IF($G83=0, INDEX(LS_previous!$D$4:$AY$138, MATCH('Staging Table'!$A83, LS_previous!$B$4:$B$138, 0), MATCH(Y$4&amp;Y$5, LS_previous!$D$2:$AY$2&amp;LS_previous!$D$3:$AY$3, 0)),SUM(VLOOKUP($A83, LS_previous!$B$4:$AY$138, LS_previous!Q$149, FALSE), VLOOKUP('Staging Table'!$A83, LS_previous!$B$4:$AY$138,LS_previous!AO$149, FALSE))/2)</f>
        <v>-862</v>
      </c>
      <c r="Z83" s="227">
        <f t="array" ref="Z83">IF($G83=0, INDEX(LS_previous!$D$4:$AY$138, MATCH('Staging Table'!$A83, LS_previous!$B$4:$B$138, 0), MATCH(Z$4&amp;Z$5, LS_previous!$D$2:$AY$2&amp;LS_previous!$D$3:$AY$3, 0)),SUM(VLOOKUP($A83, LS_previous!$B$4:$AY$138, LS_previous!R$149, FALSE), VLOOKUP('Staging Table'!$A83, LS_previous!$B$4:$AY$138,LS_previous!AP$149, FALSE))/2)</f>
        <v>-1089</v>
      </c>
      <c r="AA83" s="227">
        <f t="array" ref="AA83">IF($G83=0, INDEX(LS_previous!$D$4:$AY$138, MATCH('Staging Table'!$A83, LS_previous!$B$4:$B$138, 0), MATCH(AA$4&amp;AA$5, LS_previous!$D$2:$AY$2&amp;LS_previous!$D$3:$AY$3, 0)),SUM(VLOOKUP($A83, LS_previous!$B$4:$AY$138, LS_previous!S$149, FALSE), VLOOKUP('Staging Table'!$A83, LS_previous!$B$4:$AY$138,LS_previous!AQ$149, FALSE))/2)</f>
        <v>381</v>
      </c>
      <c r="AB83" s="227">
        <f t="array" ref="AB83">IF($G83=0, INDEX(LS_previous!$D$4:$AY$138, MATCH('Staging Table'!$A83, LS_previous!$B$4:$B$138, 0), MATCH(AB$4&amp;AB$5, LS_previous!$D$2:$AY$2&amp;LS_previous!$D$3:$AY$3, 0)),SUM(VLOOKUP($A83, LS_previous!$B$4:$AY$138, LS_previous!T$149, FALSE), VLOOKUP('Staging Table'!$A83, LS_previous!$B$4:$AY$138,LS_previous!AR$149, FALSE))/2)</f>
        <v>2427</v>
      </c>
      <c r="AC83" s="227">
        <f t="array" ref="AC83">IF($G83=0, INDEX(LS_previous!$D$4:$AY$138, MATCH('Staging Table'!$A83, LS_previous!$B$4:$B$138, 0), MATCH(AC$4&amp;AC$5, LS_previous!$D$2:$AY$2&amp;LS_previous!$D$3:$AY$3, 0)),SUM(VLOOKUP($A83, LS_previous!$B$4:$AY$138, LS_previous!U$149, FALSE), VLOOKUP('Staging Table'!$A83, LS_previous!$B$4:$AY$138,LS_previous!AS$149, FALSE))/2)</f>
        <v>2546</v>
      </c>
      <c r="AD83" s="227">
        <f t="array" ref="AD83">IF($G83=0, INDEX(LS_previous!$D$4:$AY$138, MATCH('Staging Table'!$A83, LS_previous!$B$4:$B$138, 0), MATCH(AD$4&amp;AD$5, LS_previous!$D$2:$AY$2&amp;LS_previous!$D$3:$AY$3, 0)),SUM(VLOOKUP($A83, LS_previous!$B$4:$AY$138, LS_previous!V$149, FALSE), VLOOKUP('Staging Table'!$A83, LS_previous!$B$4:$AY$138,LS_previous!AT$149, FALSE))/2)</f>
        <v>4391</v>
      </c>
      <c r="AE83" s="227">
        <f t="array" ref="AE83">IF($G83=0, INDEX(LS_previous!$D$4:$AY$138, MATCH('Staging Table'!$A83, LS_previous!$B$4:$B$138, 0), MATCH(AE$4&amp;AE$5, LS_previous!$D$2:$AY$2&amp;LS_previous!$D$3:$AY$3, 0)),SUM(VLOOKUP($A83, LS_previous!$B$4:$AY$138, LS_previous!W$149, FALSE), VLOOKUP('Staging Table'!$A83, LS_previous!$B$4:$AY$138,LS_previous!AU$149, FALSE))/2)</f>
        <v>4423</v>
      </c>
      <c r="AF83" s="227">
        <f t="array" ref="AF83">IF($G83=0, INDEX(LS_previous!$D$4:$AY$138, MATCH('Staging Table'!$A83, LS_previous!$B$4:$B$138, 0), MATCH(AF$4&amp;AF$5, LS_previous!$D$2:$AY$2&amp;LS_previous!$D$3:$AY$3, 0)),SUM(VLOOKUP($A83, LS_previous!$B$4:$AY$138, LS_previous!X$149, FALSE), VLOOKUP('Staging Table'!$A83, LS_previous!$B$4:$AY$138,LS_previous!AV$149, FALSE))/2)</f>
        <v>2714</v>
      </c>
      <c r="AG83" s="227">
        <f t="array" ref="AG83">IF($G83=0, INDEX(LS_previous!$D$4:$AY$138, MATCH('Staging Table'!$A83, LS_previous!$B$4:$B$138, 0), MATCH(AG$4&amp;AG$5, LS_previous!$D$2:$AY$2&amp;LS_previous!$D$3:$AY$3, 0)),SUM(VLOOKUP($A83, LS_previous!$B$4:$AY$138, LS_previous!Y$149, FALSE), VLOOKUP('Staging Table'!$A83, LS_previous!$B$4:$AY$138,LS_previous!AW$149, FALSE))/2)</f>
        <v>2949</v>
      </c>
      <c r="AH83" s="227">
        <f t="array" ref="AH83">IF($G83=0, INDEX(LS_previous!$D$4:$AY$138, MATCH('Staging Table'!$A83, LS_previous!$B$4:$B$138, 0), MATCH(AH$4&amp;AH$5, LS_previous!$D$2:$AY$2&amp;LS_previous!$D$3:$AY$3, 0)),SUM(VLOOKUP($A83, LS_previous!$B$4:$AY$138, LS_previous!Z$149, FALSE), VLOOKUP('Staging Table'!$A83, LS_previous!$B$4:$AY$138,LS_previous!AX$149, FALSE))/2)</f>
        <v>310</v>
      </c>
      <c r="AI83" s="227">
        <f t="array" ref="AI83">IF($G83=0, INDEX(LS_previous!$D$4:$AY$138, MATCH('Staging Table'!$A83, LS_previous!$B$4:$B$138, 0), MATCH(AI$4&amp;AI$5, LS_previous!$D$2:$AY$2&amp;LS_previous!$D$3:$AY$3, 0)),SUM(VLOOKUP($A83, LS_previous!$B$4:$AY$138, LS_previous!AA$149, FALSE), VLOOKUP('Staging Table'!$A83, LS_previous!$B$4:$AY$138,LS_previous!AY$149, FALSE))/2)</f>
        <v>1033</v>
      </c>
      <c r="AJ83" s="424">
        <f t="array" ref="AJ83">INDEX(Demand_previous!$D$4:$AY$138, MATCH('Staging Table'!$A83, Demand_previous!$B$4:$B$138, 0), MATCH(AJ$4&amp;AJ$5,Demand_previous!$D$2:$AY$2&amp;Demand_previous!$D$3:$AY$3, 0))/1000</f>
        <v>1.85</v>
      </c>
      <c r="AK83" s="424">
        <f t="array" ref="AK83">INDEX(Demand_previous!$D$4:$AY$138, MATCH('Staging Table'!$A83, Demand_previous!$B$4:$B$138, 0), MATCH(AK$4&amp;AK$5,Demand_previous!$D$2:$AY$2&amp;Demand_previous!$D$3:$AY$3, 0))/1000</f>
        <v>0.86899999999999999</v>
      </c>
      <c r="AL83" s="424">
        <f t="array" ref="AL83">INDEX(Demand_previous!$D$4:$AY$138, MATCH('Staging Table'!$A83, Demand_previous!$B$4:$B$138, 0), MATCH(AL$4&amp;AL$5,Demand_previous!$D$2:$AY$2&amp;Demand_previous!$D$3:$AY$3, 0))/1000</f>
        <v>1.048</v>
      </c>
      <c r="AM83" s="424">
        <f t="array" ref="AM83">INDEX(Demand_previous!$D$4:$AY$138, MATCH('Staging Table'!$A83, Demand_previous!$B$4:$B$138, 0), MATCH(AM$4&amp;AM$5,Demand_previous!$D$2:$AY$2&amp;Demand_previous!$D$3:$AY$3, 0))/1000</f>
        <v>1.5329999999999999</v>
      </c>
      <c r="AN83" s="424">
        <f t="array" ref="AN83">INDEX(Demand_previous!$D$4:$AY$138, MATCH('Staging Table'!$A83, Demand_previous!$B$4:$B$138, 0), MATCH(AN$4&amp;AN$5,Demand_previous!$D$2:$AY$2&amp;Demand_previous!$D$3:$AY$3, 0))/1000</f>
        <v>0.82299999999999995</v>
      </c>
      <c r="AO83" s="424">
        <f t="array" ref="AO83">INDEX(Demand_previous!$D$4:$AY$138, MATCH('Staging Table'!$A83, Demand_previous!$B$4:$B$138, 0), MATCH(AO$4&amp;AO$5,Demand_previous!$D$2:$AY$2&amp;Demand_previous!$D$3:$AY$3, 0))/1000</f>
        <v>1.097</v>
      </c>
      <c r="AP83" s="424">
        <f t="array" ref="AP83">INDEX(Demand_previous!$D$4:$AY$138, MATCH('Staging Table'!$A83, Demand_previous!$B$4:$B$138, 0), MATCH(AP$4&amp;AP$5,Demand_previous!$D$2:$AY$2&amp;Demand_previous!$D$3:$AY$3, 0))/1000</f>
        <v>1.4510000000000001</v>
      </c>
      <c r="AQ83" s="424">
        <f t="array" ref="AQ83">INDEX(Demand_previous!$D$4:$AY$138, MATCH('Staging Table'!$A83, Demand_previous!$B$4:$B$138, 0), MATCH(AQ$4&amp;AQ$5,Demand_previous!$D$2:$AY$2&amp;Demand_previous!$D$3:$AY$3, 0))/1000</f>
        <v>0.35899999999999999</v>
      </c>
      <c r="AR83" s="424">
        <f t="array" ref="AR83">INDEX(Demand_previous!$D$4:$AY$138, MATCH('Staging Table'!$A83, Demand_previous!$B$4:$B$138, 0), MATCH(AR$4&amp;AR$5,Demand_previous!$D$2:$AY$2&amp;Demand_previous!$D$3:$AY$3, 0))/1000</f>
        <v>4.2610000000000001</v>
      </c>
      <c r="AS83" s="424">
        <f t="array" ref="AS83">INDEX(Demand_previous!$D$4:$AY$138, MATCH('Staging Table'!$A83, Demand_previous!$B$4:$B$138, 0), MATCH(AS$4&amp;AS$5,Demand_previous!$D$2:$AY$2&amp;Demand_previous!$D$3:$AY$3, 0))/1000</f>
        <v>2.8039999999999998</v>
      </c>
      <c r="AT83" s="424">
        <f t="array" ref="AT83">INDEX(Demand_previous!$D$4:$AY$138, MATCH('Staging Table'!$A83, Demand_previous!$B$4:$B$138, 0), MATCH(AT$4&amp;AT$5,Demand_previous!$D$2:$AY$2&amp;Demand_previous!$D$3:$AY$3, 0))/1000</f>
        <v>4.2839999999999998</v>
      </c>
      <c r="AU83" s="424">
        <f t="array" ref="AU83">INDEX(Demand_previous!$D$4:$AY$138, MATCH('Staging Table'!$A83, Demand_previous!$B$4:$B$138, 0), MATCH(AU$4&amp;AU$5,Demand_previous!$D$2:$AY$2&amp;Demand_previous!$D$3:$AY$3, 0))/1000</f>
        <v>2.0710000000000002</v>
      </c>
      <c r="AV83" s="227">
        <f>$F83*(VLOOKUP(AV$4, Rates_previous!$G$6:$Q$29, 10, FALSE)+VLOOKUP(AV$4, Rates_previous!$G$6:$Q$29, 11, FALSE))</f>
        <v>6235.685340201795</v>
      </c>
      <c r="AW83" s="227">
        <f>$F83*(VLOOKUP(AW$4, Rates_previous!$G$6:$Q$29, 10, FALSE)+VLOOKUP(AW$4, Rates_previous!$G$6:$Q$29, 11, FALSE))</f>
        <v>7706.8331432870973</v>
      </c>
      <c r="AX83" s="227">
        <f>$F83*(VLOOKUP(AX$4, Rates_previous!$G$6:$Q$29, 10, FALSE)+VLOOKUP(AX$4, Rates_previous!$G$6:$Q$29, 11, FALSE))</f>
        <v>7614.2832950538987</v>
      </c>
      <c r="AY83" s="227">
        <f>$F83*(VLOOKUP(AY$4, Rates_previous!$G$6:$Q$29, 10, FALSE)+VLOOKUP(AY$4, Rates_previous!$G$6:$Q$29, 11, FALSE))</f>
        <v>6505.6793145612837</v>
      </c>
      <c r="AZ83" s="227">
        <f>$F83*(VLOOKUP(AZ$4, Rates_previous!$G$6:$Q$29, 10, FALSE)+VLOOKUP(AZ$4, Rates_previous!$G$6:$Q$29, 11, FALSE))</f>
        <v>5333.3951238556347</v>
      </c>
      <c r="BA83" s="227">
        <f>$F83*(VLOOKUP(BA$4, Rates_previous!$G$6:$Q$29, 10, FALSE)+VLOOKUP(BA$4, Rates_previous!$G$6:$Q$29, 11, FALSE))</f>
        <v>6314.5460997552218</v>
      </c>
      <c r="BB83" s="227">
        <f>$F83*(VLOOKUP(BB$4, Rates_previous!$G$6:$Q$29, 10, FALSE)+VLOOKUP(BB$4, Rates_previous!$G$6:$Q$29, 11, FALSE))</f>
        <v>6069.1973086320568</v>
      </c>
      <c r="BC83" s="227">
        <f>$F83*(VLOOKUP(BC$4, Rates_previous!$G$6:$Q$29, 10, FALSE)+VLOOKUP(BC$4, Rates_previous!$G$6:$Q$29, 11, FALSE))</f>
        <v>8906.1175773407831</v>
      </c>
      <c r="BD83" s="227">
        <f>$F83*(VLOOKUP(BD$4, Rates_previous!$G$6:$Q$29, 10, FALSE)+VLOOKUP(BD$4, Rates_previous!$G$6:$Q$29, 11, FALSE))</f>
        <v>7026.6913769650027</v>
      </c>
      <c r="BE83" s="227">
        <f>$F83*(VLOOKUP(BE$4, Rates_previous!$G$6:$Q$29, 10, FALSE)+VLOOKUP(BE$4, Rates_previous!$G$6:$Q$29, 11, FALSE))</f>
        <v>6170.024818041964</v>
      </c>
      <c r="BF83" s="227">
        <f>$F83*(VLOOKUP(BF$4, Rates_previous!$G$6:$Q$29, 10, FALSE)+VLOOKUP(BF$4, Rates_previous!$G$6:$Q$29, 11, FALSE))</f>
        <v>6833.5494579629276</v>
      </c>
      <c r="BG83" s="227">
        <f>$F83*(VLOOKUP(BG$4, Rates_previous!$G$6:$Q$29, 10, FALSE)+VLOOKUP(BG$4, Rates_previous!$G$6:$Q$29, 11, FALSE))</f>
        <v>6190.9240556842742</v>
      </c>
      <c r="BH83" s="229">
        <f>IF($D83=0,IF(C83=0, MAX(BK83 - (VLOOKUP($A83,TOCA_previous!$A$2:$AI$137,MATCH("RHWM 2018",TOCA_previous!$A$2:$AI$2,0),FALSE)*$F$2*TOCA_previous!C80),0),0), 0)</f>
        <v>873.44809170400549</v>
      </c>
      <c r="BI83" s="266">
        <f>VLOOKUP($A83,REP_previous!$A$1:$D$135,MATCH("FY "&amp;$F$1&amp; " Total Refund",REP_previous!$A$1:$D$1,0),0)</f>
        <v>103518.26046054739</v>
      </c>
      <c r="BJ83" s="241">
        <f>MIN(VLOOKUP($A83,TOCA_previous!$A$2:$AI$137,MATCH("TRL - NLSL - Existing Resource "&amp;$F$1,TOCA_previous!$A$2:$AI$2,0),FALSE)*$F$2,(VLOOKUP($A83,TOCA_previous!$A$2:$AI$137,MATCH("RHWM 2018",TOCA_previous!$A$2:$AI$2,0),FALSE)*$F$2))</f>
        <v>80907.360000000001</v>
      </c>
      <c r="BK83" s="229">
        <f>SUM(L83:AI83)+(F83*RT1SC!$C$3*$F$2)</f>
        <v>82980.928091704001</v>
      </c>
      <c r="BL83" s="241">
        <f>VLOOKUP($A83,TOCA_previous!$A$2:$AI$137,MATCH("Above RHWM Not Served with LS "&amp;$F$1,TOCA_previous!$A$2:$AI$2,0),FALSE)*$F$2</f>
        <v>0</v>
      </c>
      <c r="BM83" s="151">
        <f t="shared" si="21"/>
        <v>2073.5680917040008</v>
      </c>
      <c r="BN83" s="242">
        <f>(VLOOKUP($A83,TOCA_previous!$A$2:$AI$137,MATCH("RHWM 2018",TOCA_previous!$A$2:$AI$2,0),FALSE)*$F$2) - $BJ83</f>
        <v>1200.1199999999953</v>
      </c>
      <c r="BO83" s="151">
        <f t="shared" si="22"/>
        <v>-1200.1199999999953</v>
      </c>
      <c r="BP83" s="243">
        <f t="shared" si="23"/>
        <v>0</v>
      </c>
      <c r="BQ83" s="237">
        <f t="shared" si="24"/>
        <v>0</v>
      </c>
      <c r="BR83" s="242">
        <f t="shared" si="25"/>
        <v>-1200.1199999999953</v>
      </c>
      <c r="BS83" s="151">
        <f>VLOOKUP($A83,TOCA_current!$A$2:$AI$137,MATCH(BS$4,TOCA_current!$A$2:$AI$2,0),FALSE)</f>
        <v>1.3488E-3</v>
      </c>
      <c r="BT83" s="151">
        <f>VLOOKUP($A83,TOCA_current!$A$2:$AI$137,MATCH(BT$4,TOCA_current!$A$2:$AI$2,0),FALSE)</f>
        <v>1.3488E-3</v>
      </c>
      <c r="BU83" s="236">
        <f t="shared" si="26"/>
        <v>0</v>
      </c>
      <c r="BV83" s="151">
        <f>VLOOKUP($A83,TOCA_current!A79:BG214,MATCH(BV$4,TOCA_current!$A$2:$BG$2,0),FALSE)</f>
        <v>7.3265399999999994E-2</v>
      </c>
      <c r="BW83" s="151">
        <f t="shared" si="27"/>
        <v>0</v>
      </c>
      <c r="BX83" s="151">
        <f t="shared" si="28"/>
        <v>0</v>
      </c>
      <c r="BY83" s="226">
        <f>VLOOKUP($A83,IRD!$A$4:$G$139, 7, FALSE)</f>
        <v>37558.894</v>
      </c>
      <c r="BZ83" s="227">
        <f t="array" ref="BZ83">IF($BU83=0, INDEX(LS_current!$D$4:$AY$138, MATCH('Staging Table'!$A83, LS_current!$B$4:$B$138, 0), MATCH(BZ$4&amp;BZ$5, LS_current!$D$2:$AY$2&amp;LS_current!$D$3:$AY$3, 0)),SUM(VLOOKUP($A83, LS_current!$B$4:$AY$138, LS_current!D$148, FALSE), VLOOKUP($A83, LS_current!$B$4:$AY$138,LS_current!D$148, FALSE))/2)</f>
        <v>-1967</v>
      </c>
      <c r="CA83" s="227">
        <f t="array" ref="CA83">IF($BU83=0, INDEX(LS_current!$D$4:$AY$138, MATCH('Staging Table'!$A83, LS_current!$B$4:$B$138, 0), MATCH(CA$4&amp;CA$5, LS_current!$D$2:$AY$2&amp;LS_current!$D$3:$AY$3, 0)),SUM(VLOOKUP($A83, LS_current!$B$4:$AY$138, LS_current!E$148, FALSE), VLOOKUP($A83, LS_current!$B$4:$AY$138,LS_current!E$148, FALSE))/2)</f>
        <v>-781</v>
      </c>
      <c r="CB83" s="227">
        <f t="array" ref="CB83">IF($BU83=0, INDEX(LS_current!$D$4:$AY$138, MATCH('Staging Table'!$A83, LS_current!$B$4:$B$138, 0), MATCH(CB$4&amp;CB$5, LS_current!$D$2:$AY$2&amp;LS_current!$D$3:$AY$3, 0)),SUM(VLOOKUP($A83, LS_current!$B$4:$AY$138, LS_current!F$148, FALSE), VLOOKUP($A83, LS_current!$B$4:$AY$138,LS_current!F$148, FALSE))/2)</f>
        <v>-2870</v>
      </c>
      <c r="CC83" s="227">
        <f t="array" ref="CC83">IF($BU83=0, INDEX(LS_current!$D$4:$AY$138, MATCH('Staging Table'!$A83, LS_current!$B$4:$B$138, 0), MATCH(CC$4&amp;CC$5, LS_current!$D$2:$AY$2&amp;LS_current!$D$3:$AY$3, 0)),SUM(VLOOKUP($A83, LS_current!$B$4:$AY$138, LS_current!G$148, FALSE), VLOOKUP($A83, LS_current!$B$4:$AY$138,LS_current!G$148, FALSE))/2)</f>
        <v>-1314</v>
      </c>
      <c r="CD83" s="227">
        <f t="array" ref="CD83">IF($BU83=0, INDEX(LS_current!$D$4:$AY$138, MATCH('Staging Table'!$A83, LS_current!$B$4:$B$138, 0), MATCH(CD$4&amp;CD$5, LS_current!$D$2:$AY$2&amp;LS_current!$D$3:$AY$3, 0)),SUM(VLOOKUP($A83, LS_current!$B$4:$AY$138, LS_current!H$148, FALSE), VLOOKUP($A83, LS_current!$B$4:$AY$138,LS_current!H$148, FALSE))/2)</f>
        <v>-2149</v>
      </c>
      <c r="CE83" s="227">
        <f t="array" ref="CE83">IF($BU83=0, INDEX(LS_current!$D$4:$AY$138, MATCH('Staging Table'!$A83, LS_current!$B$4:$B$138, 0), MATCH(CE$4&amp;CE$5, LS_current!$D$2:$AY$2&amp;LS_current!$D$3:$AY$3, 0)),SUM(VLOOKUP($A83, LS_current!$B$4:$AY$138, LS_current!I$148, FALSE), VLOOKUP($A83, LS_current!$B$4:$AY$138,LS_current!I$148, FALSE))/2)</f>
        <v>-841</v>
      </c>
      <c r="CF83" s="227">
        <f t="array" ref="CF83">IF($BU83=0, INDEX(LS_current!$D$4:$AY$138, MATCH('Staging Table'!$A83, LS_current!$B$4:$B$138, 0), MATCH(CF$4&amp;CF$5, LS_current!$D$2:$AY$2&amp;LS_current!$D$3:$AY$3, 0)),SUM(VLOOKUP($A83, LS_current!$B$4:$AY$138, LS_current!J$148, FALSE), VLOOKUP($A83, LS_current!$B$4:$AY$138,LS_current!J$148, FALSE))/2)</f>
        <v>-1403</v>
      </c>
      <c r="CG83" s="227">
        <f t="array" ref="CG83">IF($BU83=0, INDEX(LS_current!$D$4:$AY$138, MATCH('Staging Table'!$A83, LS_current!$B$4:$B$138, 0), MATCH(CG$4&amp;CG$5, LS_current!$D$2:$AY$2&amp;LS_current!$D$3:$AY$3, 0)),SUM(VLOOKUP($A83, LS_current!$B$4:$AY$138, LS_current!K$148, FALSE), VLOOKUP($A83, LS_current!$B$4:$AY$138,LS_current!K$148, FALSE))/2)</f>
        <v>-284</v>
      </c>
      <c r="CH83" s="227">
        <f t="array" ref="CH83">IF($BU83=0, INDEX(LS_current!$D$4:$AY$138, MATCH('Staging Table'!$A83, LS_current!$B$4:$B$138, 0), MATCH(CH$4&amp;CH$5, LS_current!$D$2:$AY$2&amp;LS_current!$D$3:$AY$3, 0)),SUM(VLOOKUP($A83, LS_current!$B$4:$AY$138, LS_current!L$148, FALSE), VLOOKUP($A83, LS_current!$B$4:$AY$138,LS_current!L$148, FALSE))/2)</f>
        <v>-1369</v>
      </c>
      <c r="CI83" s="227">
        <f t="array" ref="CI83">IF($BU83=0, INDEX(LS_current!$D$4:$AY$138, MATCH('Staging Table'!$A83, LS_current!$B$4:$B$138, 0), MATCH(CI$4&amp;CI$5, LS_current!$D$2:$AY$2&amp;LS_current!$D$3:$AY$3, 0)),SUM(VLOOKUP($A83, LS_current!$B$4:$AY$138, LS_current!M$148, FALSE), VLOOKUP($A83, LS_current!$B$4:$AY$138,LS_current!M$148, FALSE))/2)</f>
        <v>-382</v>
      </c>
      <c r="CJ83" s="227">
        <f t="array" ref="CJ83">IF($BU83=0, INDEX(LS_current!$D$4:$AY$138, MATCH('Staging Table'!$A83, LS_current!$B$4:$B$138, 0), MATCH(CJ$4&amp;CJ$5, LS_current!$D$2:$AY$2&amp;LS_current!$D$3:$AY$3, 0)),SUM(VLOOKUP($A83, LS_current!$B$4:$AY$138, LS_current!N$148, FALSE), VLOOKUP($A83, LS_current!$B$4:$AY$138,LS_current!N$148, FALSE))/2)</f>
        <v>-2120</v>
      </c>
      <c r="CK83" s="227">
        <f t="array" ref="CK83">IF($BU83=0, INDEX(LS_current!$D$4:$AY$138, MATCH('Staging Table'!$A83, LS_current!$B$4:$B$138, 0), MATCH(CK$4&amp;CK$5, LS_current!$D$2:$AY$2&amp;LS_current!$D$3:$AY$3, 0)),SUM(VLOOKUP($A83, LS_current!$B$4:$AY$138, LS_current!O$148, FALSE), VLOOKUP($A83, LS_current!$B$4:$AY$138,LS_current!O$148, FALSE))/2)</f>
        <v>-860</v>
      </c>
      <c r="CL83" s="227">
        <f t="array" ref="CL83">IF($BU83=0, INDEX(LS_current!$D$4:$AY$138, MATCH('Staging Table'!$A83, LS_current!$B$4:$B$138, 0), MATCH(CL$4&amp;CL$5, LS_current!$D$2:$AY$2&amp;LS_current!$D$3:$AY$3, 0)),SUM(VLOOKUP($A83, LS_current!$B$4:$AY$138, LS_current!P$148, FALSE), VLOOKUP($A83, LS_current!$B$4:$AY$138,LS_current!P$148, FALSE))/2)</f>
        <v>-1494</v>
      </c>
      <c r="CM83" s="227">
        <f t="array" ref="CM83">IF($BU83=0, INDEX(LS_current!$D$4:$AY$138, MATCH('Staging Table'!$A83, LS_current!$B$4:$B$138, 0), MATCH(CM$4&amp;CM$5, LS_current!$D$2:$AY$2&amp;LS_current!$D$3:$AY$3, 0)),SUM(VLOOKUP($A83, LS_current!$B$4:$AY$138, LS_current!Q$148, FALSE), VLOOKUP($A83, LS_current!$B$4:$AY$138,LS_current!Q$148, FALSE))/2)</f>
        <v>-678</v>
      </c>
      <c r="CN83" s="227">
        <f t="array" ref="CN83">IF($BU83=0, INDEX(LS_current!$D$4:$AY$138, MATCH('Staging Table'!$A83, LS_current!$B$4:$B$138, 0), MATCH(CN$4&amp;CN$5, LS_current!$D$2:$AY$2&amp;LS_current!$D$3:$AY$3, 0)),SUM(VLOOKUP($A83, LS_current!$B$4:$AY$138, LS_current!R$148, FALSE), VLOOKUP($A83, LS_current!$B$4:$AY$138,LS_current!R$148, FALSE))/2)</f>
        <v>-91</v>
      </c>
      <c r="CO83" s="227">
        <f t="array" ref="CO83">IF($BU83=0, INDEX(LS_current!$D$4:$AY$138, MATCH('Staging Table'!$A83, LS_current!$B$4:$B$138, 0), MATCH(CO$4&amp;CO$5, LS_current!$D$2:$AY$2&amp;LS_current!$D$3:$AY$3, 0)),SUM(VLOOKUP($A83, LS_current!$B$4:$AY$138, LS_current!S$148, FALSE), VLOOKUP($A83, LS_current!$B$4:$AY$138,LS_current!S$148, FALSE))/2)</f>
        <v>1080</v>
      </c>
      <c r="CP83" s="227">
        <f t="array" ref="CP83">IF($BU83=0, INDEX(LS_current!$D$4:$AY$138, MATCH('Staging Table'!$A83, LS_current!$B$4:$B$138, 0), MATCH(CP$4&amp;CP$5, LS_current!$D$2:$AY$2&amp;LS_current!$D$3:$AY$3, 0)),SUM(VLOOKUP($A83, LS_current!$B$4:$AY$138, LS_current!T$148, FALSE), VLOOKUP($A83, LS_current!$B$4:$AY$138,LS_current!T$148, FALSE))/2)</f>
        <v>1055</v>
      </c>
      <c r="CQ83" s="227">
        <f t="array" ref="CQ83">IF($BU83=0, INDEX(LS_current!$D$4:$AY$138, MATCH('Staging Table'!$A83, LS_current!$B$4:$B$138, 0), MATCH(CQ$4&amp;CQ$5, LS_current!$D$2:$AY$2&amp;LS_current!$D$3:$AY$3, 0)),SUM(VLOOKUP($A83, LS_current!$B$4:$AY$138, LS_current!U$148, FALSE), VLOOKUP($A83, LS_current!$B$4:$AY$138,LS_current!U$148, FALSE))/2)</f>
        <v>1747</v>
      </c>
      <c r="CR83" s="227">
        <f t="array" ref="CR83">IF($BU83=0, INDEX(LS_current!$D$4:$AY$138, MATCH('Staging Table'!$A83, LS_current!$B$4:$B$138, 0), MATCH(CR$4&amp;CR$5, LS_current!$D$2:$AY$2&amp;LS_current!$D$3:$AY$3, 0)),SUM(VLOOKUP($A83, LS_current!$B$4:$AY$138, LS_current!V$148, FALSE), VLOOKUP($A83, LS_current!$B$4:$AY$138,LS_current!V$148, FALSE))/2)</f>
        <v>3460</v>
      </c>
      <c r="CS83" s="227">
        <f t="array" ref="CS83">IF($BU83=0, INDEX(LS_current!$D$4:$AY$138, MATCH('Staging Table'!$A83, LS_current!$B$4:$B$138, 0), MATCH(CS$4&amp;CS$5, LS_current!$D$2:$AY$2&amp;LS_current!$D$3:$AY$3, 0)),SUM(VLOOKUP($A83, LS_current!$B$4:$AY$138, LS_current!W$148, FALSE), VLOOKUP($A83, LS_current!$B$4:$AY$138,LS_current!W$148, FALSE))/2)</f>
        <v>4312</v>
      </c>
      <c r="CT83" s="227">
        <f t="array" ref="CT83">IF($BU83=0, INDEX(LS_current!$D$4:$AY$138, MATCH('Staging Table'!$A83, LS_current!$B$4:$B$138, 0), MATCH(CT$4&amp;CT$5, LS_current!$D$2:$AY$2&amp;LS_current!$D$3:$AY$3, 0)),SUM(VLOOKUP($A83, LS_current!$B$4:$AY$138, LS_current!X$148, FALSE), VLOOKUP($A83, LS_current!$B$4:$AY$138,LS_current!X$148, FALSE))/2)</f>
        <v>2473</v>
      </c>
      <c r="CU83" s="227">
        <f t="array" ref="CU83">IF($BU83=0, INDEX(LS_current!$D$4:$AY$138, MATCH('Staging Table'!$A83, LS_current!$B$4:$B$138, 0), MATCH(CU$4&amp;CU$5, LS_current!$D$2:$AY$2&amp;LS_current!$D$3:$AY$3, 0)),SUM(VLOOKUP($A83, LS_current!$B$4:$AY$138, LS_current!Y$148, FALSE), VLOOKUP($A83, LS_current!$B$4:$AY$138,LS_current!Y$148, FALSE))/2)</f>
        <v>3001</v>
      </c>
      <c r="CV83" s="227">
        <f t="array" ref="CV83">IF($BU83=0, INDEX(LS_current!$D$4:$AY$138, MATCH('Staging Table'!$A83, LS_current!$B$4:$B$138, 0), MATCH(CV$4&amp;CV$5, LS_current!$D$2:$AY$2&amp;LS_current!$D$3:$AY$3, 0)),SUM(VLOOKUP($A83, LS_current!$B$4:$AY$138, LS_current!Z$148, FALSE), VLOOKUP($A83, LS_current!$B$4:$AY$138,LS_current!Z$148, FALSE))/2)</f>
        <v>230</v>
      </c>
      <c r="CW83" s="227">
        <f t="array" ref="CW83">IF($BU83=0, INDEX(LS_current!$D$4:$AY$138, MATCH('Staging Table'!$A83, LS_current!$B$4:$B$138, 0), MATCH(CW$4&amp;CW$5, LS_current!$D$2:$AY$2&amp;LS_current!$D$3:$AY$3, 0)),SUM(VLOOKUP($A83, LS_current!$B$4:$AY$138, LS_current!AA$148, FALSE), VLOOKUP($A83, LS_current!$B$4:$AY$138,LS_current!AA$148, FALSE))/2)</f>
        <v>1000</v>
      </c>
      <c r="CX83" s="229">
        <f t="array" ref="CX83">INDEX(Demand_current!$D$4:$AY$138, MATCH($A83, Demand_current!$B$4:$B$138, 0), MATCH(CX$4&amp;CX$5,Demand_current!$D$2:$AY$2&amp;Demand_current!$D$3:$AY$3, 0))/1000</f>
        <v>2.0369999999999999</v>
      </c>
      <c r="CY83" s="229">
        <f t="array" ref="CY83">INDEX(Demand_current!$D$4:$AY$138, MATCH($A83, Demand_current!$B$4:$B$138, 0), MATCH(CY$4&amp;CY$5,Demand_current!$D$2:$AY$2&amp;Demand_current!$D$3:$AY$3, 0))/1000</f>
        <v>0.86899999999999999</v>
      </c>
      <c r="CZ83" s="229">
        <f t="array" ref="CZ83">INDEX(Demand_current!$D$4:$AY$138, MATCH($A83, Demand_current!$B$4:$B$138, 0), MATCH(CZ$4&amp;CZ$5,Demand_current!$D$2:$AY$2&amp;Demand_current!$D$3:$AY$3, 0))/1000</f>
        <v>1.048</v>
      </c>
      <c r="DA83" s="229">
        <f t="array" ref="DA83">INDEX(Demand_current!$D$4:$AY$138, MATCH($A83, Demand_current!$B$4:$B$138, 0), MATCH(DA$4&amp;DA$5,Demand_current!$D$2:$AY$2&amp;Demand_current!$D$3:$AY$3, 0))/1000</f>
        <v>1.5329999999999999</v>
      </c>
      <c r="DB83" s="229">
        <f t="array" ref="DB83">INDEX(Demand_current!$D$4:$AY$138, MATCH($A83, Demand_current!$B$4:$B$138, 0), MATCH(DB$4&amp;DB$5,Demand_current!$D$2:$AY$2&amp;Demand_current!$D$3:$AY$3, 0))/1000</f>
        <v>1.0680000000000001</v>
      </c>
      <c r="DC83" s="229">
        <f t="array" ref="DC83">INDEX(Demand_current!$D$4:$AY$138, MATCH($A83, Demand_current!$B$4:$B$138, 0), MATCH(DC$4&amp;DC$5,Demand_current!$D$2:$AY$2&amp;Demand_current!$D$3:$AY$3, 0))/1000</f>
        <v>0.91400000000000003</v>
      </c>
      <c r="DD83" s="229">
        <f t="array" ref="DD83">INDEX(Demand_current!$D$4:$AY$138, MATCH($A83, Demand_current!$B$4:$B$138, 0), MATCH(DD$4&amp;DD$5,Demand_current!$D$2:$AY$2&amp;Demand_current!$D$3:$AY$3, 0))/1000</f>
        <v>1.631</v>
      </c>
      <c r="DE83" s="229">
        <f t="array" ref="DE83">INDEX(Demand_current!$D$4:$AY$138, MATCH($A83, Demand_current!$B$4:$B$138, 0), MATCH(DE$4&amp;DE$5,Demand_current!$D$2:$AY$2&amp;Demand_current!$D$3:$AY$3, 0))/1000</f>
        <v>0</v>
      </c>
      <c r="DF83" s="229">
        <f t="array" ref="DF83">INDEX(Demand_current!$D$4:$AY$138, MATCH($A83, Demand_current!$B$4:$B$138, 0), MATCH(DF$4&amp;DF$5,Demand_current!$D$2:$AY$2&amp;Demand_current!$D$3:$AY$3, 0))/1000</f>
        <v>4.2610000000000001</v>
      </c>
      <c r="DG83" s="229">
        <f t="array" ref="DG83">INDEX(Demand_current!$D$4:$AY$138, MATCH($A83, Demand_current!$B$4:$B$138, 0), MATCH(DG$4&amp;DG$5,Demand_current!$D$2:$AY$2&amp;Demand_current!$D$3:$AY$3, 0))/1000</f>
        <v>3.6139999999999999</v>
      </c>
      <c r="DH83" s="229">
        <f t="array" ref="DH83">INDEX(Demand_current!$D$4:$AY$138, MATCH($A83, Demand_current!$B$4:$B$138, 0), MATCH(DH$4&amp;DH$5,Demand_current!$D$2:$AY$2&amp;Demand_current!$D$3:$AY$3, 0))/1000</f>
        <v>3.6349999999999998</v>
      </c>
      <c r="DI83" s="229">
        <f t="array" ref="DI83">INDEX(Demand_current!$D$4:$AY$138, MATCH($A83, Demand_current!$B$4:$B$138, 0), MATCH(DI$4&amp;DI$5,Demand_current!$D$2:$AY$2&amp;Demand_current!$D$3:$AY$3, 0))/1000</f>
        <v>2.516</v>
      </c>
      <c r="DJ83" s="227">
        <f>$BT83*(VLOOKUP(DJ$4, Rates_current!$G$6:$Q$29, 10, FALSE)+VLOOKUP(DJ$4, Rates_current!$G$6:$Q$29, 11, FALSE))</f>
        <v>6227.8374339647999</v>
      </c>
      <c r="DK83" s="227">
        <f>$BT83*(VLOOKUP(DK$4, Rates_current!$G$6:$Q$29, 10, FALSE)+VLOOKUP(DK$4, Rates_current!$G$6:$Q$29, 11, FALSE))</f>
        <v>7911.2963527632</v>
      </c>
      <c r="DL83" s="227">
        <f>$BT83*(VLOOKUP(DL$4, Rates_current!$G$6:$Q$29, 10, FALSE)+VLOOKUP(DL$4, Rates_current!$G$6:$Q$29, 11, FALSE))</f>
        <v>7815.7567443648013</v>
      </c>
      <c r="DM83" s="227">
        <f>$BT83*(VLOOKUP(DM$4, Rates_current!$G$6:$Q$29, 10, FALSE)+VLOOKUP(DM$4, Rates_current!$G$6:$Q$29, 11, FALSE))</f>
        <v>6514.9092819648013</v>
      </c>
      <c r="DN83" s="227">
        <f>$BT83*(VLOOKUP(DN$4, Rates_current!$G$6:$Q$29, 10, FALSE)+VLOOKUP(DN$4, Rates_current!$G$6:$Q$29, 11, FALSE))</f>
        <v>5901.8319398399999</v>
      </c>
      <c r="DO83" s="227">
        <f>$BT83*(VLOOKUP(DO$4, Rates_current!$G$6:$Q$29, 10, FALSE)+VLOOKUP(DO$4, Rates_current!$G$6:$Q$29, 11, FALSE))</f>
        <v>6564.7120238256002</v>
      </c>
      <c r="DP83" s="227">
        <f>$BT83*(VLOOKUP(DP$4, Rates_current!$G$6:$Q$29, 10, FALSE)+VLOOKUP(DP$4, Rates_current!$G$6:$Q$29, 11, FALSE))</f>
        <v>5344.9956138240004</v>
      </c>
      <c r="DQ83" s="227">
        <f>$BT83*(VLOOKUP(DQ$4, Rates_current!$G$6:$Q$29, 10, FALSE)+VLOOKUP(DQ$4, Rates_current!$G$6:$Q$29, 11, FALSE))</f>
        <v>7208.523612364801</v>
      </c>
      <c r="DR83" s="227">
        <f>$BT83*(VLOOKUP(DR$4, Rates_current!$G$6:$Q$29, 10, FALSE)+VLOOKUP(DR$4, Rates_current!$G$6:$Q$29, 11, FALSE))</f>
        <v>9197.5858674240008</v>
      </c>
      <c r="DS83" s="227">
        <f>$BT83*(VLOOKUP(DS$4, Rates_current!$G$6:$Q$29, 10, FALSE)+VLOOKUP(DS$4, Rates_current!$G$6:$Q$29, 11, FALSE))</f>
        <v>7211.198957164801</v>
      </c>
      <c r="DT83" s="227">
        <f>$BT83*(VLOOKUP(DT$4, Rates_current!$G$6:$Q$29, 10, FALSE)+VLOOKUP(DT$4, Rates_current!$G$6:$Q$29, 11, FALSE))</f>
        <v>7022.2718667648005</v>
      </c>
      <c r="DU83" s="227">
        <f>$BT83*(VLOOKUP(DU$4, Rates_current!$G$6:$Q$29, 10, FALSE)+VLOOKUP(DU$4, Rates_current!$G$6:$Q$29, 11, FALSE))</f>
        <v>6304.5063066240009</v>
      </c>
      <c r="DV83" s="229">
        <f>IF(D83=0,IF(C83=0,MAX(0,DY83 - (VLOOKUP($A83,TOCA_current!$A$2:$AI$137,MATCH("RHWM 2020",TOCA_current!$A$2:$AI$2,0),FALSE)*$BT$2)), 0),0)</f>
        <v>0</v>
      </c>
      <c r="DW83" s="266">
        <f>VLOOKUP($A83,REP_current!$A$1:$D$135,MATCH("FY "&amp;$BT$1&amp; " Total Refund",REP_current!$A$1:$D$1,0),0)</f>
        <v>0</v>
      </c>
      <c r="DX83" s="295">
        <f>MIN(VLOOKUP($A83,TOCA_current!$A$2:$AI$137,MATCH("TRL - NLSL - Existing Resource "&amp;$BT$1,TOCA_current!$A$2:$AI$2,0),FALSE)*$BT$2, VLOOKUP($A83,TOCA_current!$A$2:$AI$137,MATCH("RHWM 2020",TOCA_current!$A$2:$AI$2,0),FALSE)*$BT$2)</f>
        <v>83228.399999999994</v>
      </c>
      <c r="DY83" s="240">
        <f>SUM(BZ83:CW83)+(BT83*RT1SC!$C$4*$BT$2)</f>
        <v>82980.429124710397</v>
      </c>
      <c r="DZ83" s="271">
        <f>VLOOKUP($A83,TOCA_current!$A$2:$AI$137,MATCH("Above RHWM Not Served with LS "&amp;$BT$1,TOCA_current!$A$2:$AI$2,0),FALSE)*$BT$2</f>
        <v>0</v>
      </c>
      <c r="EA83" s="244">
        <f t="shared" si="29"/>
        <v>-247.97087528959673</v>
      </c>
      <c r="EB83" s="295">
        <f>(VLOOKUP($A83,TOCA_current!$A$2:$AI$137,MATCH("RHWM 2020",TOCA_current!$A$2:$AI$2,0),FALSE)*$BT$2) - $DX83</f>
        <v>0</v>
      </c>
      <c r="EC83" s="240">
        <f t="shared" si="30"/>
        <v>0</v>
      </c>
      <c r="ED83" s="240">
        <f t="shared" si="31"/>
        <v>247.97087528959673</v>
      </c>
      <c r="EE83" s="240">
        <f t="shared" si="32"/>
        <v>0</v>
      </c>
      <c r="EF83" s="240">
        <f t="shared" si="33"/>
        <v>247.97087528959673</v>
      </c>
    </row>
    <row r="84" spans="1:136">
      <c r="A84" s="166">
        <v>10244</v>
      </c>
      <c r="B84" s="167" t="s">
        <v>85</v>
      </c>
      <c r="C84" s="240">
        <v>0</v>
      </c>
      <c r="D84" s="240">
        <v>0</v>
      </c>
      <c r="E84" s="150">
        <f>VLOOKUP($A84,TOCA_previous!$A$2:$AI$137,MATCH(E$4,TOCA_previous!$A$2:$AI$2,0),FALSE)</f>
        <v>1.21899E-2</v>
      </c>
      <c r="F84" s="151">
        <f>VLOOKUP($A84,TOCA_previous!$A$2:$AI$137,MATCH(F$4,TOCA_previous!$A$2:$AI$2,0),FALSE)</f>
        <v>1.21899E-2</v>
      </c>
      <c r="G84" s="151">
        <f t="shared" si="18"/>
        <v>0</v>
      </c>
      <c r="H84" s="151">
        <f>VLOOKUP($A84,TOCA_previous!$A$2:$AI$137,MATCH(H$4,TOCA_previous!$A$2:$AI$2,0),FALSE)</f>
        <v>5.9126100000000001E-2</v>
      </c>
      <c r="I84" s="151">
        <f t="shared" si="19"/>
        <v>0</v>
      </c>
      <c r="J84" s="151">
        <f t="shared" si="20"/>
        <v>0</v>
      </c>
      <c r="K84" s="226">
        <f>VLOOKUP(A84, IRD!$A$5:$C$139, 3, FALSE)</f>
        <v>0</v>
      </c>
      <c r="L84" s="227">
        <f t="array" ref="L84">IF($G84=0, INDEX(LS_previous!$D$4:$AY$138, MATCH('Staging Table'!$A84, LS_previous!$B$4:$B$138, 0), MATCH(L$4&amp;L$5, LS_previous!$D$2:$AY$2&amp;LS_previous!$D$3:$AY$3, 0)),SUM(VLOOKUP($A84, LS_previous!$B$4:$AY$138, LS_previous!D$149, FALSE), VLOOKUP('Staging Table'!$A84, LS_previous!$B$4:$AY$138,LS_previous!AB$149, FALSE))/2)</f>
        <v>-2873</v>
      </c>
      <c r="M84" s="227">
        <f t="array" ref="M84">IF($G84=0, INDEX(LS_previous!$D$4:$AY$138, MATCH('Staging Table'!$A84, LS_previous!$B$4:$B$138, 0), MATCH(M$4&amp;M$5, LS_previous!$D$2:$AY$2&amp;LS_previous!$D$3:$AY$3, 0)),SUM(VLOOKUP($A84, LS_previous!$B$4:$AY$138, LS_previous!E$149, FALSE), VLOOKUP('Staging Table'!$A84, LS_previous!$B$4:$AY$138,LS_previous!AC$149, FALSE))/2)</f>
        <v>2061</v>
      </c>
      <c r="N84" s="227">
        <f t="array" ref="N84">IF($G84=0, INDEX(LS_previous!$D$4:$AY$138, MATCH('Staging Table'!$A84, LS_previous!$B$4:$B$138, 0), MATCH(N$4&amp;N$5, LS_previous!$D$2:$AY$2&amp;LS_previous!$D$3:$AY$3, 0)),SUM(VLOOKUP($A84, LS_previous!$B$4:$AY$138, LS_previous!F$149, FALSE), VLOOKUP('Staging Table'!$A84, LS_previous!$B$4:$AY$138,LS_previous!AD$149, FALSE))/2)</f>
        <v>-1062</v>
      </c>
      <c r="O84" s="227">
        <f t="array" ref="O84">IF($G84=0, INDEX(LS_previous!$D$4:$AY$138, MATCH('Staging Table'!$A84, LS_previous!$B$4:$B$138, 0), MATCH(O$4&amp;O$5, LS_previous!$D$2:$AY$2&amp;LS_previous!$D$3:$AY$3, 0)),SUM(VLOOKUP($A84, LS_previous!$B$4:$AY$138, LS_previous!G$149, FALSE), VLOOKUP('Staging Table'!$A84, LS_previous!$B$4:$AY$138,LS_previous!AE$149, FALSE))/2)</f>
        <v>6901</v>
      </c>
      <c r="P84" s="227">
        <f t="array" ref="P84">IF($G84=0, INDEX(LS_previous!$D$4:$AY$138, MATCH('Staging Table'!$A84, LS_previous!$B$4:$B$138, 0), MATCH(P$4&amp;P$5, LS_previous!$D$2:$AY$2&amp;LS_previous!$D$3:$AY$3, 0)),SUM(VLOOKUP($A84, LS_previous!$B$4:$AY$138, LS_previous!H$149, FALSE), VLOOKUP('Staging Table'!$A84, LS_previous!$B$4:$AY$138,LS_previous!AF$149, FALSE))/2)</f>
        <v>17014</v>
      </c>
      <c r="Q84" s="227">
        <f t="array" ref="Q84">IF($G84=0, INDEX(LS_previous!$D$4:$AY$138, MATCH('Staging Table'!$A84, LS_previous!$B$4:$B$138, 0), MATCH(Q$4&amp;Q$5, LS_previous!$D$2:$AY$2&amp;LS_previous!$D$3:$AY$3, 0)),SUM(VLOOKUP($A84, LS_previous!$B$4:$AY$138, LS_previous!I$149, FALSE), VLOOKUP('Staging Table'!$A84, LS_previous!$B$4:$AY$138,LS_previous!AG$149, FALSE))/2)</f>
        <v>18985</v>
      </c>
      <c r="R84" s="227">
        <f t="array" ref="R84">IF($G84=0, INDEX(LS_previous!$D$4:$AY$138, MATCH('Staging Table'!$A84, LS_previous!$B$4:$B$138, 0), MATCH(R$4&amp;R$5, LS_previous!$D$2:$AY$2&amp;LS_previous!$D$3:$AY$3, 0)),SUM(VLOOKUP($A84, LS_previous!$B$4:$AY$138, LS_previous!J$149, FALSE), VLOOKUP('Staging Table'!$A84, LS_previous!$B$4:$AY$138,LS_previous!AH$149, FALSE))/2)</f>
        <v>18859</v>
      </c>
      <c r="S84" s="227">
        <f t="array" ref="S84">IF($G84=0, INDEX(LS_previous!$D$4:$AY$138, MATCH('Staging Table'!$A84, LS_previous!$B$4:$B$138, 0), MATCH(S$4&amp;S$5, LS_previous!$D$2:$AY$2&amp;LS_previous!$D$3:$AY$3, 0)),SUM(VLOOKUP($A84, LS_previous!$B$4:$AY$138, LS_previous!K$149, FALSE), VLOOKUP('Staging Table'!$A84, LS_previous!$B$4:$AY$138,LS_previous!AI$149, FALSE))/2)</f>
        <v>18882</v>
      </c>
      <c r="T84" s="227">
        <f t="array" ref="T84">IF($G84=0, INDEX(LS_previous!$D$4:$AY$138, MATCH('Staging Table'!$A84, LS_previous!$B$4:$B$138, 0), MATCH(T$4&amp;T$5, LS_previous!$D$2:$AY$2&amp;LS_previous!$D$3:$AY$3, 0)),SUM(VLOOKUP($A84, LS_previous!$B$4:$AY$138, LS_previous!L$149, FALSE), VLOOKUP('Staging Table'!$A84, LS_previous!$B$4:$AY$138,LS_previous!AJ$149, FALSE))/2)</f>
        <v>24002</v>
      </c>
      <c r="U84" s="227">
        <f t="array" ref="U84">IF($G84=0, INDEX(LS_previous!$D$4:$AY$138, MATCH('Staging Table'!$A84, LS_previous!$B$4:$B$138, 0), MATCH(U$4&amp;U$5, LS_previous!$D$2:$AY$2&amp;LS_previous!$D$3:$AY$3, 0)),SUM(VLOOKUP($A84, LS_previous!$B$4:$AY$138, LS_previous!M$149, FALSE), VLOOKUP('Staging Table'!$A84, LS_previous!$B$4:$AY$138,LS_previous!AK$149, FALSE))/2)</f>
        <v>22217</v>
      </c>
      <c r="V84" s="227">
        <f t="array" ref="V84">IF($G84=0, INDEX(LS_previous!$D$4:$AY$138, MATCH('Staging Table'!$A84, LS_previous!$B$4:$B$138, 0), MATCH(V$4&amp;V$5, LS_previous!$D$2:$AY$2&amp;LS_previous!$D$3:$AY$3, 0)),SUM(VLOOKUP($A84, LS_previous!$B$4:$AY$138, LS_previous!N$149, FALSE), VLOOKUP('Staging Table'!$A84, LS_previous!$B$4:$AY$138,LS_previous!AL$149, FALSE))/2)</f>
        <v>10301</v>
      </c>
      <c r="W84" s="227">
        <f t="array" ref="W84">IF($G84=0, INDEX(LS_previous!$D$4:$AY$138, MATCH('Staging Table'!$A84, LS_previous!$B$4:$B$138, 0), MATCH(W$4&amp;W$5, LS_previous!$D$2:$AY$2&amp;LS_previous!$D$3:$AY$3, 0)),SUM(VLOOKUP($A84, LS_previous!$B$4:$AY$138, LS_previous!O$149, FALSE), VLOOKUP('Staging Table'!$A84, LS_previous!$B$4:$AY$138,LS_previous!AM$149, FALSE))/2)</f>
        <v>11524</v>
      </c>
      <c r="X84" s="227">
        <f t="array" ref="X84">IF($G84=0, INDEX(LS_previous!$D$4:$AY$138, MATCH('Staging Table'!$A84, LS_previous!$B$4:$B$138, 0), MATCH(X$4&amp;X$5, LS_previous!$D$2:$AY$2&amp;LS_previous!$D$3:$AY$3, 0)),SUM(VLOOKUP($A84, LS_previous!$B$4:$AY$138, LS_previous!P$149, FALSE), VLOOKUP('Staging Table'!$A84, LS_previous!$B$4:$AY$138,LS_previous!AN$149, FALSE))/2)</f>
        <v>-175</v>
      </c>
      <c r="Y84" s="227">
        <f t="array" ref="Y84">IF($G84=0, INDEX(LS_previous!$D$4:$AY$138, MATCH('Staging Table'!$A84, LS_previous!$B$4:$B$138, 0), MATCH(Y$4&amp;Y$5, LS_previous!$D$2:$AY$2&amp;LS_previous!$D$3:$AY$3, 0)),SUM(VLOOKUP($A84, LS_previous!$B$4:$AY$138, LS_previous!Q$149, FALSE), VLOOKUP('Staging Table'!$A84, LS_previous!$B$4:$AY$138,LS_previous!AO$149, FALSE))/2)</f>
        <v>4751</v>
      </c>
      <c r="Z84" s="227">
        <f t="array" ref="Z84">IF($G84=0, INDEX(LS_previous!$D$4:$AY$138, MATCH('Staging Table'!$A84, LS_previous!$B$4:$B$138, 0), MATCH(Z$4&amp;Z$5, LS_previous!$D$2:$AY$2&amp;LS_previous!$D$3:$AY$3, 0)),SUM(VLOOKUP($A84, LS_previous!$B$4:$AY$138, LS_previous!R$149, FALSE), VLOOKUP('Staging Table'!$A84, LS_previous!$B$4:$AY$138,LS_previous!AP$149, FALSE))/2)</f>
        <v>-25982</v>
      </c>
      <c r="AA84" s="227">
        <f t="array" ref="AA84">IF($G84=0, INDEX(LS_previous!$D$4:$AY$138, MATCH('Staging Table'!$A84, LS_previous!$B$4:$B$138, 0), MATCH(AA$4&amp;AA$5, LS_previous!$D$2:$AY$2&amp;LS_previous!$D$3:$AY$3, 0)),SUM(VLOOKUP($A84, LS_previous!$B$4:$AY$138, LS_previous!S$149, FALSE), VLOOKUP('Staging Table'!$A84, LS_previous!$B$4:$AY$138,LS_previous!AQ$149, FALSE))/2)</f>
        <v>-11259</v>
      </c>
      <c r="AB84" s="227">
        <f t="array" ref="AB84">IF($G84=0, INDEX(LS_previous!$D$4:$AY$138, MATCH('Staging Table'!$A84, LS_previous!$B$4:$B$138, 0), MATCH(AB$4&amp;AB$5, LS_previous!$D$2:$AY$2&amp;LS_previous!$D$3:$AY$3, 0)),SUM(VLOOKUP($A84, LS_previous!$B$4:$AY$138, LS_previous!T$149, FALSE), VLOOKUP('Staging Table'!$A84, LS_previous!$B$4:$AY$138,LS_previous!AR$149, FALSE))/2)</f>
        <v>-13926</v>
      </c>
      <c r="AC84" s="227">
        <f t="array" ref="AC84">IF($G84=0, INDEX(LS_previous!$D$4:$AY$138, MATCH('Staging Table'!$A84, LS_previous!$B$4:$B$138, 0), MATCH(AC$4&amp;AC$5, LS_previous!$D$2:$AY$2&amp;LS_previous!$D$3:$AY$3, 0)),SUM(VLOOKUP($A84, LS_previous!$B$4:$AY$138, LS_previous!U$149, FALSE), VLOOKUP('Staging Table'!$A84, LS_previous!$B$4:$AY$138,LS_previous!AS$149, FALSE))/2)</f>
        <v>-6065</v>
      </c>
      <c r="AD84" s="227">
        <f t="array" ref="AD84">IF($G84=0, INDEX(LS_previous!$D$4:$AY$138, MATCH('Staging Table'!$A84, LS_previous!$B$4:$B$138, 0), MATCH(AD$4&amp;AD$5, LS_previous!$D$2:$AY$2&amp;LS_previous!$D$3:$AY$3, 0)),SUM(VLOOKUP($A84, LS_previous!$B$4:$AY$138, LS_previous!V$149, FALSE), VLOOKUP('Staging Table'!$A84, LS_previous!$B$4:$AY$138,LS_previous!AT$149, FALSE))/2)</f>
        <v>-9800</v>
      </c>
      <c r="AE84" s="227">
        <f t="array" ref="AE84">IF($G84=0, INDEX(LS_previous!$D$4:$AY$138, MATCH('Staging Table'!$A84, LS_previous!$B$4:$B$138, 0), MATCH(AE$4&amp;AE$5, LS_previous!$D$2:$AY$2&amp;LS_previous!$D$3:$AY$3, 0)),SUM(VLOOKUP($A84, LS_previous!$B$4:$AY$138, LS_previous!W$149, FALSE), VLOOKUP('Staging Table'!$A84, LS_previous!$B$4:$AY$138,LS_previous!AU$149, FALSE))/2)</f>
        <v>-2608</v>
      </c>
      <c r="AF84" s="227">
        <f t="array" ref="AF84">IF($G84=0, INDEX(LS_previous!$D$4:$AY$138, MATCH('Staging Table'!$A84, LS_previous!$B$4:$B$138, 0), MATCH(AF$4&amp;AF$5, LS_previous!$D$2:$AY$2&amp;LS_previous!$D$3:$AY$3, 0)),SUM(VLOOKUP($A84, LS_previous!$B$4:$AY$138, LS_previous!X$149, FALSE), VLOOKUP('Staging Table'!$A84, LS_previous!$B$4:$AY$138,LS_previous!AV$149, FALSE))/2)</f>
        <v>-13743</v>
      </c>
      <c r="AG84" s="227">
        <f t="array" ref="AG84">IF($G84=0, INDEX(LS_previous!$D$4:$AY$138, MATCH('Staging Table'!$A84, LS_previous!$B$4:$B$138, 0), MATCH(AG$4&amp;AG$5, LS_previous!$D$2:$AY$2&amp;LS_previous!$D$3:$AY$3, 0)),SUM(VLOOKUP($A84, LS_previous!$B$4:$AY$138, LS_previous!Y$149, FALSE), VLOOKUP('Staging Table'!$A84, LS_previous!$B$4:$AY$138,LS_previous!AW$149, FALSE))/2)</f>
        <v>-4920</v>
      </c>
      <c r="AH84" s="227">
        <f t="array" ref="AH84">IF($G84=0, INDEX(LS_previous!$D$4:$AY$138, MATCH('Staging Table'!$A84, LS_previous!$B$4:$B$138, 0), MATCH(AH$4&amp;AH$5, LS_previous!$D$2:$AY$2&amp;LS_previous!$D$3:$AY$3, 0)),SUM(VLOOKUP($A84, LS_previous!$B$4:$AY$138, LS_previous!Z$149, FALSE), VLOOKUP('Staging Table'!$A84, LS_previous!$B$4:$AY$138,LS_previous!AX$149, FALSE))/2)</f>
        <v>-9051</v>
      </c>
      <c r="AI84" s="227">
        <f t="array" ref="AI84">IF($G84=0, INDEX(LS_previous!$D$4:$AY$138, MATCH('Staging Table'!$A84, LS_previous!$B$4:$B$138, 0), MATCH(AI$4&amp;AI$5, LS_previous!$D$2:$AY$2&amp;LS_previous!$D$3:$AY$3, 0)),SUM(VLOOKUP($A84, LS_previous!$B$4:$AY$138, LS_previous!AA$149, FALSE), VLOOKUP('Staging Table'!$A84, LS_previous!$B$4:$AY$138,LS_previous!AY$149, FALSE))/2)</f>
        <v>-2738</v>
      </c>
      <c r="AJ84" s="424">
        <f t="array" ref="AJ84">INDEX(Demand_previous!$D$4:$AY$138, MATCH('Staging Table'!$A84, Demand_previous!$B$4:$B$138, 0), MATCH(AJ$4&amp;AJ$5,Demand_previous!$D$2:$AY$2&amp;Demand_previous!$D$3:$AY$3, 0))/1000</f>
        <v>12.606</v>
      </c>
      <c r="AK84" s="424">
        <f t="array" ref="AK84">INDEX(Demand_previous!$D$4:$AY$138, MATCH('Staging Table'!$A84, Demand_previous!$B$4:$B$138, 0), MATCH(AK$4&amp;AK$5,Demand_previous!$D$2:$AY$2&amp;Demand_previous!$D$3:$AY$3, 0))/1000</f>
        <v>11.737</v>
      </c>
      <c r="AL84" s="424">
        <f t="array" ref="AL84">INDEX(Demand_previous!$D$4:$AY$138, MATCH('Staging Table'!$A84, Demand_previous!$B$4:$B$138, 0), MATCH(AL$4&amp;AL$5,Demand_previous!$D$2:$AY$2&amp;Demand_previous!$D$3:$AY$3, 0))/1000</f>
        <v>16.661999999999999</v>
      </c>
      <c r="AM84" s="424">
        <f t="array" ref="AM84">INDEX(Demand_previous!$D$4:$AY$138, MATCH('Staging Table'!$A84, Demand_previous!$B$4:$B$138, 0), MATCH(AM$4&amp;AM$5,Demand_previous!$D$2:$AY$2&amp;Demand_previous!$D$3:$AY$3, 0))/1000</f>
        <v>40.479999999999997</v>
      </c>
      <c r="AN84" s="424">
        <f t="array" ref="AN84">INDEX(Demand_previous!$D$4:$AY$138, MATCH('Staging Table'!$A84, Demand_previous!$B$4:$B$138, 0), MATCH(AN$4&amp;AN$5,Demand_previous!$D$2:$AY$2&amp;Demand_previous!$D$3:$AY$3, 0))/1000</f>
        <v>6.1289999999999996</v>
      </c>
      <c r="AO84" s="424">
        <f t="array" ref="AO84">INDEX(Demand_previous!$D$4:$AY$138, MATCH('Staging Table'!$A84, Demand_previous!$B$4:$B$138, 0), MATCH(AO$4&amp;AO$5,Demand_previous!$D$2:$AY$2&amp;Demand_previous!$D$3:$AY$3, 0))/1000</f>
        <v>24.28</v>
      </c>
      <c r="AP84" s="424">
        <f t="array" ref="AP84">INDEX(Demand_previous!$D$4:$AY$138, MATCH('Staging Table'!$A84, Demand_previous!$B$4:$B$138, 0), MATCH(AP$4&amp;AP$5,Demand_previous!$D$2:$AY$2&amp;Demand_previous!$D$3:$AY$3, 0))/1000</f>
        <v>15.324</v>
      </c>
      <c r="AQ84" s="424">
        <f t="array" ref="AQ84">INDEX(Demand_previous!$D$4:$AY$138, MATCH('Staging Table'!$A84, Demand_previous!$B$4:$B$138, 0), MATCH(AQ$4&amp;AQ$5,Demand_previous!$D$2:$AY$2&amp;Demand_previous!$D$3:$AY$3, 0))/1000</f>
        <v>16.847999999999999</v>
      </c>
      <c r="AR84" s="424">
        <f t="array" ref="AR84">INDEX(Demand_previous!$D$4:$AY$138, MATCH('Staging Table'!$A84, Demand_previous!$B$4:$B$138, 0), MATCH(AR$4&amp;AR$5,Demand_previous!$D$2:$AY$2&amp;Demand_previous!$D$3:$AY$3, 0))/1000</f>
        <v>7.5019999999999998</v>
      </c>
      <c r="AS84" s="424">
        <f t="array" ref="AS84">INDEX(Demand_previous!$D$4:$AY$138, MATCH('Staging Table'!$A84, Demand_previous!$B$4:$B$138, 0), MATCH(AS$4&amp;AS$5,Demand_previous!$D$2:$AY$2&amp;Demand_previous!$D$3:$AY$3, 0))/1000</f>
        <v>9.641</v>
      </c>
      <c r="AT84" s="424">
        <f t="array" ref="AT84">INDEX(Demand_previous!$D$4:$AY$138, MATCH('Staging Table'!$A84, Demand_previous!$B$4:$B$138, 0), MATCH(AT$4&amp;AT$5,Demand_previous!$D$2:$AY$2&amp;Demand_previous!$D$3:$AY$3, 0))/1000</f>
        <v>7.42</v>
      </c>
      <c r="AU84" s="424">
        <f t="array" ref="AU84">INDEX(Demand_previous!$D$4:$AY$138, MATCH('Staging Table'!$A84, Demand_previous!$B$4:$B$138, 0), MATCH(AU$4&amp;AU$5,Demand_previous!$D$2:$AY$2&amp;Demand_previous!$D$3:$AY$3, 0))/1000</f>
        <v>5.9329999999999998</v>
      </c>
      <c r="AV84" s="227">
        <f>$F84*(VLOOKUP(AV$4, Rates_previous!$G$6:$Q$29, 10, FALSE)+VLOOKUP(AV$4, Rates_previous!$G$6:$Q$29, 11, FALSE))</f>
        <v>57156.463439751766</v>
      </c>
      <c r="AW84" s="227">
        <f>$F84*(VLOOKUP(AW$4, Rates_previous!$G$6:$Q$29, 10, FALSE)+VLOOKUP(AW$4, Rates_previous!$G$6:$Q$29, 11, FALSE))</f>
        <v>70641.044690093535</v>
      </c>
      <c r="AX84" s="227">
        <f>$F84*(VLOOKUP(AX$4, Rates_previous!$G$6:$Q$29, 10, FALSE)+VLOOKUP(AX$4, Rates_previous!$G$6:$Q$29, 11, FALSE))</f>
        <v>69792.730234136048</v>
      </c>
      <c r="AY84" s="227">
        <f>$F84*(VLOOKUP(AY$4, Rates_previous!$G$6:$Q$29, 10, FALSE)+VLOOKUP(AY$4, Rates_previous!$G$6:$Q$29, 11, FALSE))</f>
        <v>59631.235639198887</v>
      </c>
      <c r="AZ84" s="227">
        <f>$F84*(VLOOKUP(AZ$4, Rates_previous!$G$6:$Q$29, 10, FALSE)+VLOOKUP(AZ$4, Rates_previous!$G$6:$Q$29, 11, FALSE))</f>
        <v>48886.046484914506</v>
      </c>
      <c r="BA84" s="227">
        <f>$F84*(VLOOKUP(BA$4, Rates_previous!$G$6:$Q$29, 10, FALSE)+VLOOKUP(BA$4, Rates_previous!$G$6:$Q$29, 11, FALSE))</f>
        <v>57879.303332134885</v>
      </c>
      <c r="BB84" s="227">
        <f>$F84*(VLOOKUP(BB$4, Rates_previous!$G$6:$Q$29, 10, FALSE)+VLOOKUP(BB$4, Rates_previous!$G$6:$Q$29, 11, FALSE))</f>
        <v>55630.429560488694</v>
      </c>
      <c r="BC84" s="227">
        <f>$F84*(VLOOKUP(BC$4, Rates_previous!$G$6:$Q$29, 10, FALSE)+VLOOKUP(BC$4, Rates_previous!$G$6:$Q$29, 11, FALSE))</f>
        <v>81633.718817976114</v>
      </c>
      <c r="BD84" s="227">
        <f>$F84*(VLOOKUP(BD$4, Rates_previous!$G$6:$Q$29, 10, FALSE)+VLOOKUP(BD$4, Rates_previous!$G$6:$Q$29, 11, FALSE))</f>
        <v>64406.846541894643</v>
      </c>
      <c r="BE84" s="227">
        <f>$F84*(VLOOKUP(BE$4, Rates_previous!$G$6:$Q$29, 10, FALSE)+VLOOKUP(BE$4, Rates_previous!$G$6:$Q$29, 11, FALSE))</f>
        <v>56554.617286600303</v>
      </c>
      <c r="BF84" s="227">
        <f>$F84*(VLOOKUP(BF$4, Rates_previous!$G$6:$Q$29, 10, FALSE)+VLOOKUP(BF$4, Rates_previous!$G$6:$Q$29, 11, FALSE))</f>
        <v>62636.502396888711</v>
      </c>
      <c r="BG84" s="227">
        <f>$F84*(VLOOKUP(BG$4, Rates_previous!$G$6:$Q$29, 10, FALSE)+VLOOKUP(BG$4, Rates_previous!$G$6:$Q$29, 11, FALSE))</f>
        <v>56746.18027399484</v>
      </c>
      <c r="BH84" s="229">
        <f>IF($D84=0,IF(C84=0, MAX(BK84 - (VLOOKUP($A84,TOCA_previous!$A$2:$AI$137,MATCH("RHWM 2018",TOCA_previous!$A$2:$AI$2,0),FALSE)*$F$2*TOCA_previous!C81),0),0), 0)</f>
        <v>51294.809517303947</v>
      </c>
      <c r="BI84" s="266">
        <f>VLOOKUP($A84,REP_previous!$A$1:$D$135,MATCH("FY "&amp;$F$1&amp; " Total Refund",REP_previous!$A$1:$D$1,0),0)</f>
        <v>483540.84480514302</v>
      </c>
      <c r="BJ84" s="241">
        <f>MIN(VLOOKUP($A84,TOCA_previous!$A$2:$AI$137,MATCH("TRL - NLSL - Existing Resource "&amp;$F$1,TOCA_previous!$A$2:$AI$2,0),FALSE)*$F$2,(VLOOKUP($A84,TOCA_previous!$A$2:$AI$137,MATCH("RHWM 2018",TOCA_previous!$A$2:$AI$2,0),FALSE)*$F$2))</f>
        <v>741595.32</v>
      </c>
      <c r="BK84" s="229">
        <f>SUM(L84:AI84)+(F84*RT1SC!$C$3*$F$2)</f>
        <v>792890.1295173039</v>
      </c>
      <c r="BL84" s="241">
        <f>VLOOKUP($A84,TOCA_previous!$A$2:$AI$137,MATCH("Above RHWM Not Served with LS "&amp;$F$1,TOCA_previous!$A$2:$AI$2,0),FALSE)*$F$2</f>
        <v>55634.76</v>
      </c>
      <c r="BM84" s="151">
        <f t="shared" si="21"/>
        <v>51294.809517303947</v>
      </c>
      <c r="BN84" s="242">
        <f>(VLOOKUP($A84,TOCA_previous!$A$2:$AI$137,MATCH("RHWM 2018",TOCA_previous!$A$2:$AI$2,0),FALSE)*$F$2) - $BJ84</f>
        <v>0</v>
      </c>
      <c r="BO84" s="151">
        <f t="shared" si="22"/>
        <v>0</v>
      </c>
      <c r="BP84" s="243">
        <f t="shared" si="23"/>
        <v>0</v>
      </c>
      <c r="BQ84" s="237">
        <f t="shared" si="24"/>
        <v>0</v>
      </c>
      <c r="BR84" s="242">
        <f t="shared" si="25"/>
        <v>0</v>
      </c>
      <c r="BS84" s="151">
        <f>VLOOKUP($A84,TOCA_current!$A$2:$AI$137,MATCH(BS$4,TOCA_current!$A$2:$AI$2,0),FALSE)</f>
        <v>1.2183299999999999E-2</v>
      </c>
      <c r="BT84" s="151">
        <f>VLOOKUP($A84,TOCA_current!$A$2:$AI$137,MATCH(BT$4,TOCA_current!$A$2:$AI$2,0),FALSE)</f>
        <v>1.2183299999999999E-2</v>
      </c>
      <c r="BU84" s="236">
        <f t="shared" si="26"/>
        <v>0</v>
      </c>
      <c r="BV84" s="151">
        <f>VLOOKUP($A84,TOCA_current!A80:BG215,MATCH(BV$4,TOCA_current!$A$2:$BG$2,0),FALSE)</f>
        <v>6.2080200000000002E-2</v>
      </c>
      <c r="BW84" s="151">
        <f t="shared" si="27"/>
        <v>0</v>
      </c>
      <c r="BX84" s="151">
        <f t="shared" si="28"/>
        <v>0</v>
      </c>
      <c r="BY84" s="226">
        <f>VLOOKUP($A84,IRD!$A$4:$G$139, 7, FALSE)</f>
        <v>0</v>
      </c>
      <c r="BZ84" s="227">
        <f t="array" ref="BZ84">IF($BU84=0, INDEX(LS_current!$D$4:$AY$138, MATCH('Staging Table'!$A84, LS_current!$B$4:$B$138, 0), MATCH(BZ$4&amp;BZ$5, LS_current!$D$2:$AY$2&amp;LS_current!$D$3:$AY$3, 0)),SUM(VLOOKUP($A84, LS_current!$B$4:$AY$138, LS_current!D$148, FALSE), VLOOKUP($A84, LS_current!$B$4:$AY$138,LS_current!D$148, FALSE))/2)</f>
        <v>-4476</v>
      </c>
      <c r="CA84" s="227">
        <f t="array" ref="CA84">IF($BU84=0, INDEX(LS_current!$D$4:$AY$138, MATCH('Staging Table'!$A84, LS_current!$B$4:$B$138, 0), MATCH(CA$4&amp;CA$5, LS_current!$D$2:$AY$2&amp;LS_current!$D$3:$AY$3, 0)),SUM(VLOOKUP($A84, LS_current!$B$4:$AY$138, LS_current!E$148, FALSE), VLOOKUP($A84, LS_current!$B$4:$AY$138,LS_current!E$148, FALSE))/2)</f>
        <v>1094</v>
      </c>
      <c r="CB84" s="227">
        <f t="array" ref="CB84">IF($BU84=0, INDEX(LS_current!$D$4:$AY$138, MATCH('Staging Table'!$A84, LS_current!$B$4:$B$138, 0), MATCH(CB$4&amp;CB$5, LS_current!$D$2:$AY$2&amp;LS_current!$D$3:$AY$3, 0)),SUM(VLOOKUP($A84, LS_current!$B$4:$AY$138, LS_current!F$148, FALSE), VLOOKUP($A84, LS_current!$B$4:$AY$138,LS_current!F$148, FALSE))/2)</f>
        <v>-3219</v>
      </c>
      <c r="CC84" s="227">
        <f t="array" ref="CC84">IF($BU84=0, INDEX(LS_current!$D$4:$AY$138, MATCH('Staging Table'!$A84, LS_current!$B$4:$B$138, 0), MATCH(CC$4&amp;CC$5, LS_current!$D$2:$AY$2&amp;LS_current!$D$3:$AY$3, 0)),SUM(VLOOKUP($A84, LS_current!$B$4:$AY$138, LS_current!G$148, FALSE), VLOOKUP($A84, LS_current!$B$4:$AY$138,LS_current!G$148, FALSE))/2)</f>
        <v>4874</v>
      </c>
      <c r="CD84" s="227">
        <f t="array" ref="CD84">IF($BU84=0, INDEX(LS_current!$D$4:$AY$138, MATCH('Staging Table'!$A84, LS_current!$B$4:$B$138, 0), MATCH(CD$4&amp;CD$5, LS_current!$D$2:$AY$2&amp;LS_current!$D$3:$AY$3, 0)),SUM(VLOOKUP($A84, LS_current!$B$4:$AY$138, LS_current!H$148, FALSE), VLOOKUP($A84, LS_current!$B$4:$AY$138,LS_current!H$148, FALSE))/2)</f>
        <v>14784</v>
      </c>
      <c r="CE84" s="227">
        <f t="array" ref="CE84">IF($BU84=0, INDEX(LS_current!$D$4:$AY$138, MATCH('Staging Table'!$A84, LS_current!$B$4:$B$138, 0), MATCH(CE$4&amp;CE$5, LS_current!$D$2:$AY$2&amp;LS_current!$D$3:$AY$3, 0)),SUM(VLOOKUP($A84, LS_current!$B$4:$AY$138, LS_current!I$148, FALSE), VLOOKUP($A84, LS_current!$B$4:$AY$138,LS_current!I$148, FALSE))/2)</f>
        <v>16939</v>
      </c>
      <c r="CF84" s="227">
        <f t="array" ref="CF84">IF($BU84=0, INDEX(LS_current!$D$4:$AY$138, MATCH('Staging Table'!$A84, LS_current!$B$4:$B$138, 0), MATCH(CF$4&amp;CF$5, LS_current!$D$2:$AY$2&amp;LS_current!$D$3:$AY$3, 0)),SUM(VLOOKUP($A84, LS_current!$B$4:$AY$138, LS_current!J$148, FALSE), VLOOKUP($A84, LS_current!$B$4:$AY$138,LS_current!J$148, FALSE))/2)</f>
        <v>16775</v>
      </c>
      <c r="CG84" s="227">
        <f t="array" ref="CG84">IF($BU84=0, INDEX(LS_current!$D$4:$AY$138, MATCH('Staging Table'!$A84, LS_current!$B$4:$B$138, 0), MATCH(CG$4&amp;CG$5, LS_current!$D$2:$AY$2&amp;LS_current!$D$3:$AY$3, 0)),SUM(VLOOKUP($A84, LS_current!$B$4:$AY$138, LS_current!K$148, FALSE), VLOOKUP($A84, LS_current!$B$4:$AY$138,LS_current!K$148, FALSE))/2)</f>
        <v>18278</v>
      </c>
      <c r="CH84" s="227">
        <f t="array" ref="CH84">IF($BU84=0, INDEX(LS_current!$D$4:$AY$138, MATCH('Staging Table'!$A84, LS_current!$B$4:$B$138, 0), MATCH(CH$4&amp;CH$5, LS_current!$D$2:$AY$2&amp;LS_current!$D$3:$AY$3, 0)),SUM(VLOOKUP($A84, LS_current!$B$4:$AY$138, LS_current!L$148, FALSE), VLOOKUP($A84, LS_current!$B$4:$AY$138,LS_current!L$148, FALSE))/2)</f>
        <v>19281</v>
      </c>
      <c r="CI84" s="227">
        <f t="array" ref="CI84">IF($BU84=0, INDEX(LS_current!$D$4:$AY$138, MATCH('Staging Table'!$A84, LS_current!$B$4:$B$138, 0), MATCH(CI$4&amp;CI$5, LS_current!$D$2:$AY$2&amp;LS_current!$D$3:$AY$3, 0)),SUM(VLOOKUP($A84, LS_current!$B$4:$AY$138, LS_current!M$148, FALSE), VLOOKUP($A84, LS_current!$B$4:$AY$138,LS_current!M$148, FALSE))/2)</f>
        <v>19115</v>
      </c>
      <c r="CJ84" s="227">
        <f t="array" ref="CJ84">IF($BU84=0, INDEX(LS_current!$D$4:$AY$138, MATCH('Staging Table'!$A84, LS_current!$B$4:$B$138, 0), MATCH(CJ$4&amp;CJ$5, LS_current!$D$2:$AY$2&amp;LS_current!$D$3:$AY$3, 0)),SUM(VLOOKUP($A84, LS_current!$B$4:$AY$138, LS_current!N$148, FALSE), VLOOKUP($A84, LS_current!$B$4:$AY$138,LS_current!N$148, FALSE))/2)</f>
        <v>7361</v>
      </c>
      <c r="CK84" s="227">
        <f t="array" ref="CK84">IF($BU84=0, INDEX(LS_current!$D$4:$AY$138, MATCH('Staging Table'!$A84, LS_current!$B$4:$B$138, 0), MATCH(CK$4&amp;CK$5, LS_current!$D$2:$AY$2&amp;LS_current!$D$3:$AY$3, 0)),SUM(VLOOKUP($A84, LS_current!$B$4:$AY$138, LS_current!O$148, FALSE), VLOOKUP($A84, LS_current!$B$4:$AY$138,LS_current!O$148, FALSE))/2)</f>
        <v>9580</v>
      </c>
      <c r="CL84" s="227">
        <f t="array" ref="CL84">IF($BU84=0, INDEX(LS_current!$D$4:$AY$138, MATCH('Staging Table'!$A84, LS_current!$B$4:$B$138, 0), MATCH(CL$4&amp;CL$5, LS_current!$D$2:$AY$2&amp;LS_current!$D$3:$AY$3, 0)),SUM(VLOOKUP($A84, LS_current!$B$4:$AY$138, LS_current!P$148, FALSE), VLOOKUP($A84, LS_current!$B$4:$AY$138,LS_current!P$148, FALSE))/2)</f>
        <v>3179</v>
      </c>
      <c r="CM84" s="227">
        <f t="array" ref="CM84">IF($BU84=0, INDEX(LS_current!$D$4:$AY$138, MATCH('Staging Table'!$A84, LS_current!$B$4:$B$138, 0), MATCH(CM$4&amp;CM$5, LS_current!$D$2:$AY$2&amp;LS_current!$D$3:$AY$3, 0)),SUM(VLOOKUP($A84, LS_current!$B$4:$AY$138, LS_current!Q$148, FALSE), VLOOKUP($A84, LS_current!$B$4:$AY$138,LS_current!Q$148, FALSE))/2)</f>
        <v>5389</v>
      </c>
      <c r="CN84" s="227">
        <f t="array" ref="CN84">IF($BU84=0, INDEX(LS_current!$D$4:$AY$138, MATCH('Staging Table'!$A84, LS_current!$B$4:$B$138, 0), MATCH(CN$4&amp;CN$5, LS_current!$D$2:$AY$2&amp;LS_current!$D$3:$AY$3, 0)),SUM(VLOOKUP($A84, LS_current!$B$4:$AY$138, LS_current!R$148, FALSE), VLOOKUP($A84, LS_current!$B$4:$AY$138,LS_current!R$148, FALSE))/2)</f>
        <v>-17969</v>
      </c>
      <c r="CO84" s="227">
        <f t="array" ref="CO84">IF($BU84=0, INDEX(LS_current!$D$4:$AY$138, MATCH('Staging Table'!$A84, LS_current!$B$4:$B$138, 0), MATCH(CO$4&amp;CO$5, LS_current!$D$2:$AY$2&amp;LS_current!$D$3:$AY$3, 0)),SUM(VLOOKUP($A84, LS_current!$B$4:$AY$138, LS_current!S$148, FALSE), VLOOKUP($A84, LS_current!$B$4:$AY$138,LS_current!S$148, FALSE))/2)</f>
        <v>-6221</v>
      </c>
      <c r="CP84" s="227">
        <f t="array" ref="CP84">IF($BU84=0, INDEX(LS_current!$D$4:$AY$138, MATCH('Staging Table'!$A84, LS_current!$B$4:$B$138, 0), MATCH(CP$4&amp;CP$5, LS_current!$D$2:$AY$2&amp;LS_current!$D$3:$AY$3, 0)),SUM(VLOOKUP($A84, LS_current!$B$4:$AY$138, LS_current!T$148, FALSE), VLOOKUP($A84, LS_current!$B$4:$AY$138,LS_current!T$148, FALSE))/2)</f>
        <v>-27651</v>
      </c>
      <c r="CQ84" s="227">
        <f t="array" ref="CQ84">IF($BU84=0, INDEX(LS_current!$D$4:$AY$138, MATCH('Staging Table'!$A84, LS_current!$B$4:$B$138, 0), MATCH(CQ$4&amp;CQ$5, LS_current!$D$2:$AY$2&amp;LS_current!$D$3:$AY$3, 0)),SUM(VLOOKUP($A84, LS_current!$B$4:$AY$138, LS_current!U$148, FALSE), VLOOKUP($A84, LS_current!$B$4:$AY$138,LS_current!U$148, FALSE))/2)</f>
        <v>-14372</v>
      </c>
      <c r="CR84" s="227">
        <f t="array" ref="CR84">IF($BU84=0, INDEX(LS_current!$D$4:$AY$138, MATCH('Staging Table'!$A84, LS_current!$B$4:$B$138, 0), MATCH(CR$4&amp;CR$5, LS_current!$D$2:$AY$2&amp;LS_current!$D$3:$AY$3, 0)),SUM(VLOOKUP($A84, LS_current!$B$4:$AY$138, LS_current!V$148, FALSE), VLOOKUP($A84, LS_current!$B$4:$AY$138,LS_current!V$148, FALSE))/2)</f>
        <v>-19707</v>
      </c>
      <c r="CS84" s="227">
        <f t="array" ref="CS84">IF($BU84=0, INDEX(LS_current!$D$4:$AY$138, MATCH('Staging Table'!$A84, LS_current!$B$4:$B$138, 0), MATCH(CS$4&amp;CS$5, LS_current!$D$2:$AY$2&amp;LS_current!$D$3:$AY$3, 0)),SUM(VLOOKUP($A84, LS_current!$B$4:$AY$138, LS_current!W$148, FALSE), VLOOKUP($A84, LS_current!$B$4:$AY$138,LS_current!W$148, FALSE))/2)</f>
        <v>-4755</v>
      </c>
      <c r="CT84" s="227">
        <f t="array" ref="CT84">IF($BU84=0, INDEX(LS_current!$D$4:$AY$138, MATCH('Staging Table'!$A84, LS_current!$B$4:$B$138, 0), MATCH(CT$4&amp;CT$5, LS_current!$D$2:$AY$2&amp;LS_current!$D$3:$AY$3, 0)),SUM(VLOOKUP($A84, LS_current!$B$4:$AY$138, LS_current!X$148, FALSE), VLOOKUP($A84, LS_current!$B$4:$AY$138,LS_current!X$148, FALSE))/2)</f>
        <v>-17146</v>
      </c>
      <c r="CU84" s="227">
        <f t="array" ref="CU84">IF($BU84=0, INDEX(LS_current!$D$4:$AY$138, MATCH('Staging Table'!$A84, LS_current!$B$4:$B$138, 0), MATCH(CU$4&amp;CU$5, LS_current!$D$2:$AY$2&amp;LS_current!$D$3:$AY$3, 0)),SUM(VLOOKUP($A84, LS_current!$B$4:$AY$138, LS_current!Y$148, FALSE), VLOOKUP($A84, LS_current!$B$4:$AY$138,LS_current!Y$148, FALSE))/2)</f>
        <v>-5783</v>
      </c>
      <c r="CV84" s="227">
        <f t="array" ref="CV84">IF($BU84=0, INDEX(LS_current!$D$4:$AY$138, MATCH('Staging Table'!$A84, LS_current!$B$4:$B$138, 0), MATCH(CV$4&amp;CV$5, LS_current!$D$2:$AY$2&amp;LS_current!$D$3:$AY$3, 0)),SUM(VLOOKUP($A84, LS_current!$B$4:$AY$138, LS_current!Z$148, FALSE), VLOOKUP($A84, LS_current!$B$4:$AY$138,LS_current!Z$148, FALSE))/2)</f>
        <v>-11214</v>
      </c>
      <c r="CW84" s="227">
        <f t="array" ref="CW84">IF($BU84=0, INDEX(LS_current!$D$4:$AY$138, MATCH('Staging Table'!$A84, LS_current!$B$4:$B$138, 0), MATCH(CW$4&amp;CW$5, LS_current!$D$2:$AY$2&amp;LS_current!$D$3:$AY$3, 0)),SUM(VLOOKUP($A84, LS_current!$B$4:$AY$138, LS_current!AA$148, FALSE), VLOOKUP($A84, LS_current!$B$4:$AY$138,LS_current!AA$148, FALSE))/2)</f>
        <v>-4135</v>
      </c>
      <c r="CX84" s="229">
        <f t="array" ref="CX84">INDEX(Demand_current!$D$4:$AY$138, MATCH($A84, Demand_current!$B$4:$B$138, 0), MATCH(CX$4&amp;CX$5,Demand_current!$D$2:$AY$2&amp;Demand_current!$D$3:$AY$3, 0))/1000</f>
        <v>15.956</v>
      </c>
      <c r="CY84" s="229">
        <f t="array" ref="CY84">INDEX(Demand_current!$D$4:$AY$138, MATCH($A84, Demand_current!$B$4:$B$138, 0), MATCH(CY$4&amp;CY$5,Demand_current!$D$2:$AY$2&amp;Demand_current!$D$3:$AY$3, 0))/1000</f>
        <v>11.737</v>
      </c>
      <c r="CZ84" s="229">
        <f t="array" ref="CZ84">INDEX(Demand_current!$D$4:$AY$138, MATCH($A84, Demand_current!$B$4:$B$138, 0), MATCH(CZ$4&amp;CZ$5,Demand_current!$D$2:$AY$2&amp;Demand_current!$D$3:$AY$3, 0))/1000</f>
        <v>16.661999999999999</v>
      </c>
      <c r="DA84" s="229">
        <f t="array" ref="DA84">INDEX(Demand_current!$D$4:$AY$138, MATCH($A84, Demand_current!$B$4:$B$138, 0), MATCH(DA$4&amp;DA$5,Demand_current!$D$2:$AY$2&amp;Demand_current!$D$3:$AY$3, 0))/1000</f>
        <v>40.479999999999997</v>
      </c>
      <c r="DB84" s="229">
        <f t="array" ref="DB84">INDEX(Demand_current!$D$4:$AY$138, MATCH($A84, Demand_current!$B$4:$B$138, 0), MATCH(DB$4&amp;DB$5,Demand_current!$D$2:$AY$2&amp;Demand_current!$D$3:$AY$3, 0))/1000</f>
        <v>12.143000000000001</v>
      </c>
      <c r="DC84" s="229">
        <f t="array" ref="DC84">INDEX(Demand_current!$D$4:$AY$138, MATCH($A84, Demand_current!$B$4:$B$138, 0), MATCH(DC$4&amp;DC$5,Demand_current!$D$2:$AY$2&amp;Demand_current!$D$3:$AY$3, 0))/1000</f>
        <v>19.821999999999999</v>
      </c>
      <c r="DD84" s="229">
        <f t="array" ref="DD84">INDEX(Demand_current!$D$4:$AY$138, MATCH($A84, Demand_current!$B$4:$B$138, 0), MATCH(DD$4&amp;DD$5,Demand_current!$D$2:$AY$2&amp;Demand_current!$D$3:$AY$3, 0))/1000</f>
        <v>19.04</v>
      </c>
      <c r="DE84" s="229">
        <f t="array" ref="DE84">INDEX(Demand_current!$D$4:$AY$138, MATCH($A84, Demand_current!$B$4:$B$138, 0), MATCH(DE$4&amp;DE$5,Demand_current!$D$2:$AY$2&amp;Demand_current!$D$3:$AY$3, 0))/1000</f>
        <v>13.99</v>
      </c>
      <c r="DF84" s="229">
        <f t="array" ref="DF84">INDEX(Demand_current!$D$4:$AY$138, MATCH($A84, Demand_current!$B$4:$B$138, 0), MATCH(DF$4&amp;DF$5,Demand_current!$D$2:$AY$2&amp;Demand_current!$D$3:$AY$3, 0))/1000</f>
        <v>7.5019999999999998</v>
      </c>
      <c r="DG84" s="229">
        <f t="array" ref="DG84">INDEX(Demand_current!$D$4:$AY$138, MATCH($A84, Demand_current!$B$4:$B$138, 0), MATCH(DG$4&amp;DG$5,Demand_current!$D$2:$AY$2&amp;Demand_current!$D$3:$AY$3, 0))/1000</f>
        <v>12.613</v>
      </c>
      <c r="DH84" s="229">
        <f t="array" ref="DH84">INDEX(Demand_current!$D$4:$AY$138, MATCH($A84, Demand_current!$B$4:$B$138, 0), MATCH(DH$4&amp;DH$5,Demand_current!$D$2:$AY$2&amp;Demand_current!$D$3:$AY$3, 0))/1000</f>
        <v>4.5839999999999996</v>
      </c>
      <c r="DI84" s="229">
        <f t="array" ref="DI84">INDEX(Demand_current!$D$4:$AY$138, MATCH($A84, Demand_current!$B$4:$B$138, 0), MATCH(DI$4&amp;DI$5,Demand_current!$D$2:$AY$2&amp;Demand_current!$D$3:$AY$3, 0))/1000</f>
        <v>9.0990000000000002</v>
      </c>
      <c r="DJ84" s="227">
        <f>$BT84*(VLOOKUP(DJ$4, Rates_current!$G$6:$Q$29, 10, FALSE)+VLOOKUP(DJ$4, Rates_current!$G$6:$Q$29, 11, FALSE))</f>
        <v>56254.160594026791</v>
      </c>
      <c r="DK84" s="227">
        <f>$BT84*(VLOOKUP(DK$4, Rates_current!$G$6:$Q$29, 10, FALSE)+VLOOKUP(DK$4, Rates_current!$G$6:$Q$29, 11, FALSE))</f>
        <v>71460.33278070869</v>
      </c>
      <c r="DL84" s="227">
        <f>$BT84*(VLOOKUP(DL$4, Rates_current!$G$6:$Q$29, 10, FALSE)+VLOOKUP(DL$4, Rates_current!$G$6:$Q$29, 11, FALSE))</f>
        <v>70597.352567926806</v>
      </c>
      <c r="DM84" s="227">
        <f>$BT84*(VLOOKUP(DM$4, Rates_current!$G$6:$Q$29, 10, FALSE)+VLOOKUP(DM$4, Rates_current!$G$6:$Q$29, 11, FALSE))</f>
        <v>58847.193249526805</v>
      </c>
      <c r="DN84" s="227">
        <f>$BT84*(VLOOKUP(DN$4, Rates_current!$G$6:$Q$29, 10, FALSE)+VLOOKUP(DN$4, Rates_current!$G$6:$Q$29, 11, FALSE))</f>
        <v>53309.452159439992</v>
      </c>
      <c r="DO84" s="227">
        <f>$BT84*(VLOOKUP(DO$4, Rates_current!$G$6:$Q$29, 10, FALSE)+VLOOKUP(DO$4, Rates_current!$G$6:$Q$29, 11, FALSE))</f>
        <v>59297.046263252094</v>
      </c>
      <c r="DP84" s="227">
        <f>$BT84*(VLOOKUP(DP$4, Rates_current!$G$6:$Q$29, 10, FALSE)+VLOOKUP(DP$4, Rates_current!$G$6:$Q$29, 11, FALSE))</f>
        <v>48279.719055383997</v>
      </c>
      <c r="DQ84" s="227">
        <f>$BT84*(VLOOKUP(DQ$4, Rates_current!$G$6:$Q$29, 10, FALSE)+VLOOKUP(DQ$4, Rates_current!$G$6:$Q$29, 11, FALSE))</f>
        <v>65112.400449676803</v>
      </c>
      <c r="DR84" s="227">
        <f>$BT84*(VLOOKUP(DR$4, Rates_current!$G$6:$Q$29, 10, FALSE)+VLOOKUP(DR$4, Rates_current!$G$6:$Q$29, 11, FALSE))</f>
        <v>83078.994586733999</v>
      </c>
      <c r="DS84" s="227">
        <f>$BT84*(VLOOKUP(DS$4, Rates_current!$G$6:$Q$29, 10, FALSE)+VLOOKUP(DS$4, Rates_current!$G$6:$Q$29, 11, FALSE))</f>
        <v>65136.566025226799</v>
      </c>
      <c r="DT84" s="227">
        <f>$BT84*(VLOOKUP(DT$4, Rates_current!$G$6:$Q$29, 10, FALSE)+VLOOKUP(DT$4, Rates_current!$G$6:$Q$29, 11, FALSE))</f>
        <v>63430.045102576805</v>
      </c>
      <c r="DU84" s="227">
        <f>$BT84*(VLOOKUP(DU$4, Rates_current!$G$6:$Q$29, 10, FALSE)+VLOOKUP(DU$4, Rates_current!$G$6:$Q$29, 11, FALSE))</f>
        <v>56946.687192684003</v>
      </c>
      <c r="DV84" s="229">
        <f>IF(D84=0,IF(C84=0,MAX(0,DY84 - (VLOOKUP($A84,TOCA_current!$A$2:$AI$137,MATCH("RHWM 2020",TOCA_current!$A$2:$AI$2,0),FALSE)*$BT$2)), 0),0)</f>
        <v>0</v>
      </c>
      <c r="DW84" s="266">
        <f>VLOOKUP($A84,REP_current!$A$1:$D$135,MATCH("FY "&amp;$BT$1&amp; " Total Refund",REP_current!$A$1:$D$1,0),0)</f>
        <v>0</v>
      </c>
      <c r="DX84" s="295">
        <f>MIN(VLOOKUP($A84,TOCA_current!$A$2:$AI$137,MATCH("TRL - NLSL - Existing Resource "&amp;$BT$1,TOCA_current!$A$2:$AI$2,0),FALSE)*$BT$2, VLOOKUP($A84,TOCA_current!$A$2:$AI$137,MATCH("RHWM 2020",TOCA_current!$A$2:$AI$2,0),FALSE)*$BT$2)</f>
        <v>751752.28799999994</v>
      </c>
      <c r="DY84" s="240">
        <f>SUM(BZ84:CW84)+(BT84*RT1SC!$C$4*$BT$2)</f>
        <v>751750.97824368638</v>
      </c>
      <c r="DZ84" s="271">
        <f>VLOOKUP($A84,TOCA_current!$A$2:$AI$137,MATCH("Above RHWM Not Served with LS "&amp;$BT$1,TOCA_current!$A$2:$AI$2,0),FALSE)*$BT$2</f>
        <v>96773.327999999994</v>
      </c>
      <c r="EA84" s="244">
        <f t="shared" si="29"/>
        <v>-1.3097563135670498</v>
      </c>
      <c r="EB84" s="295">
        <f>(VLOOKUP($A84,TOCA_current!$A$2:$AI$137,MATCH("RHWM 2020",TOCA_current!$A$2:$AI$2,0),FALSE)*$BT$2) - $DX84</f>
        <v>0</v>
      </c>
      <c r="EC84" s="240">
        <f t="shared" si="30"/>
        <v>0</v>
      </c>
      <c r="ED84" s="240">
        <f t="shared" si="31"/>
        <v>0</v>
      </c>
      <c r="EE84" s="240">
        <f t="shared" si="32"/>
        <v>0</v>
      </c>
      <c r="EF84" s="240">
        <f t="shared" si="33"/>
        <v>0</v>
      </c>
    </row>
    <row r="85" spans="1:136">
      <c r="A85" s="166">
        <v>10246</v>
      </c>
      <c r="B85" s="167" t="s">
        <v>86</v>
      </c>
      <c r="C85" s="240">
        <v>0</v>
      </c>
      <c r="D85" s="240">
        <v>0</v>
      </c>
      <c r="E85" s="150">
        <f>VLOOKUP($A85,TOCA_previous!$A$2:$AI$137,MATCH(E$4,TOCA_previous!$A$2:$AI$2,0),FALSE)</f>
        <v>1.2733E-3</v>
      </c>
      <c r="F85" s="151">
        <f>VLOOKUP($A85,TOCA_previous!$A$2:$AI$137,MATCH(F$4,TOCA_previous!$A$2:$AI$2,0),FALSE)</f>
        <v>1.2733E-3</v>
      </c>
      <c r="G85" s="151">
        <f t="shared" si="18"/>
        <v>0</v>
      </c>
      <c r="H85" s="151">
        <f>VLOOKUP($A85,TOCA_previous!$A$2:$AI$137,MATCH(H$4,TOCA_previous!$A$2:$AI$2,0),FALSE)</f>
        <v>6.5102900000000005E-2</v>
      </c>
      <c r="I85" s="151">
        <f t="shared" si="19"/>
        <v>0</v>
      </c>
      <c r="J85" s="151">
        <f t="shared" si="20"/>
        <v>0</v>
      </c>
      <c r="K85" s="226">
        <f>VLOOKUP(A85, IRD!$A$5:$C$139, 3, FALSE)</f>
        <v>0</v>
      </c>
      <c r="L85" s="227">
        <f t="array" ref="L85">IF($G85=0, INDEX(LS_previous!$D$4:$AY$138, MATCH('Staging Table'!$A85, LS_previous!$B$4:$B$138, 0), MATCH(L$4&amp;L$5, LS_previous!$D$2:$AY$2&amp;LS_previous!$D$3:$AY$3, 0)),SUM(VLOOKUP($A85, LS_previous!$B$4:$AY$138, LS_previous!D$149, FALSE), VLOOKUP('Staging Table'!$A85, LS_previous!$B$4:$AY$138,LS_previous!AB$149, FALSE))/2)</f>
        <v>-126</v>
      </c>
      <c r="M85" s="227">
        <f t="array" ref="M85">IF($G85=0, INDEX(LS_previous!$D$4:$AY$138, MATCH('Staging Table'!$A85, LS_previous!$B$4:$B$138, 0), MATCH(M$4&amp;M$5, LS_previous!$D$2:$AY$2&amp;LS_previous!$D$3:$AY$3, 0)),SUM(VLOOKUP($A85, LS_previous!$B$4:$AY$138, LS_previous!E$149, FALSE), VLOOKUP('Staging Table'!$A85, LS_previous!$B$4:$AY$138,LS_previous!AC$149, FALSE))/2)</f>
        <v>189</v>
      </c>
      <c r="N85" s="227">
        <f t="array" ref="N85">IF($G85=0, INDEX(LS_previous!$D$4:$AY$138, MATCH('Staging Table'!$A85, LS_previous!$B$4:$B$138, 0), MATCH(N$4&amp;N$5, LS_previous!$D$2:$AY$2&amp;LS_previous!$D$3:$AY$3, 0)),SUM(VLOOKUP($A85, LS_previous!$B$4:$AY$138, LS_previous!F$149, FALSE), VLOOKUP('Staging Table'!$A85, LS_previous!$B$4:$AY$138,LS_previous!AD$149, FALSE))/2)</f>
        <v>-31</v>
      </c>
      <c r="O85" s="227">
        <f t="array" ref="O85">IF($G85=0, INDEX(LS_previous!$D$4:$AY$138, MATCH('Staging Table'!$A85, LS_previous!$B$4:$B$138, 0), MATCH(O$4&amp;O$5, LS_previous!$D$2:$AY$2&amp;LS_previous!$D$3:$AY$3, 0)),SUM(VLOOKUP($A85, LS_previous!$B$4:$AY$138, LS_previous!G$149, FALSE), VLOOKUP('Staging Table'!$A85, LS_previous!$B$4:$AY$138,LS_previous!AE$149, FALSE))/2)</f>
        <v>471</v>
      </c>
      <c r="P85" s="227">
        <f t="array" ref="P85">IF($G85=0, INDEX(LS_previous!$D$4:$AY$138, MATCH('Staging Table'!$A85, LS_previous!$B$4:$B$138, 0), MATCH(P$4&amp;P$5, LS_previous!$D$2:$AY$2&amp;LS_previous!$D$3:$AY$3, 0)),SUM(VLOOKUP($A85, LS_previous!$B$4:$AY$138, LS_previous!H$149, FALSE), VLOOKUP('Staging Table'!$A85, LS_previous!$B$4:$AY$138,LS_previous!AF$149, FALSE))/2)</f>
        <v>677</v>
      </c>
      <c r="Q85" s="227">
        <f t="array" ref="Q85">IF($G85=0, INDEX(LS_previous!$D$4:$AY$138, MATCH('Staging Table'!$A85, LS_previous!$B$4:$B$138, 0), MATCH(Q$4&amp;Q$5, LS_previous!$D$2:$AY$2&amp;LS_previous!$D$3:$AY$3, 0)),SUM(VLOOKUP($A85, LS_previous!$B$4:$AY$138, LS_previous!I$149, FALSE), VLOOKUP('Staging Table'!$A85, LS_previous!$B$4:$AY$138,LS_previous!AG$149, FALSE))/2)</f>
        <v>1163</v>
      </c>
      <c r="R85" s="227">
        <f t="array" ref="R85">IF($G85=0, INDEX(LS_previous!$D$4:$AY$138, MATCH('Staging Table'!$A85, LS_previous!$B$4:$B$138, 0), MATCH(R$4&amp;R$5, LS_previous!$D$2:$AY$2&amp;LS_previous!$D$3:$AY$3, 0)),SUM(VLOOKUP($A85, LS_previous!$B$4:$AY$138, LS_previous!J$149, FALSE), VLOOKUP('Staging Table'!$A85, LS_previous!$B$4:$AY$138,LS_previous!AH$149, FALSE))/2)</f>
        <v>1200</v>
      </c>
      <c r="S85" s="227">
        <f t="array" ref="S85">IF($G85=0, INDEX(LS_previous!$D$4:$AY$138, MATCH('Staging Table'!$A85, LS_previous!$B$4:$B$138, 0), MATCH(S$4&amp;S$5, LS_previous!$D$2:$AY$2&amp;LS_previous!$D$3:$AY$3, 0)),SUM(VLOOKUP($A85, LS_previous!$B$4:$AY$138, LS_previous!K$149, FALSE), VLOOKUP('Staging Table'!$A85, LS_previous!$B$4:$AY$138,LS_previous!AI$149, FALSE))/2)</f>
        <v>1105</v>
      </c>
      <c r="T85" s="227">
        <f t="array" ref="T85">IF($G85=0, INDEX(LS_previous!$D$4:$AY$138, MATCH('Staging Table'!$A85, LS_previous!$B$4:$B$138, 0), MATCH(T$4&amp;T$5, LS_previous!$D$2:$AY$2&amp;LS_previous!$D$3:$AY$3, 0)),SUM(VLOOKUP($A85, LS_previous!$B$4:$AY$138, LS_previous!L$149, FALSE), VLOOKUP('Staging Table'!$A85, LS_previous!$B$4:$AY$138,LS_previous!AJ$149, FALSE))/2)</f>
        <v>1546</v>
      </c>
      <c r="U85" s="227">
        <f t="array" ref="U85">IF($G85=0, INDEX(LS_previous!$D$4:$AY$138, MATCH('Staging Table'!$A85, LS_previous!$B$4:$B$138, 0), MATCH(U$4&amp;U$5, LS_previous!$D$2:$AY$2&amp;LS_previous!$D$3:$AY$3, 0)),SUM(VLOOKUP($A85, LS_previous!$B$4:$AY$138, LS_previous!M$149, FALSE), VLOOKUP('Staging Table'!$A85, LS_previous!$B$4:$AY$138,LS_previous!AK$149, FALSE))/2)</f>
        <v>1222</v>
      </c>
      <c r="V85" s="227">
        <f t="array" ref="V85">IF($G85=0, INDEX(LS_previous!$D$4:$AY$138, MATCH('Staging Table'!$A85, LS_previous!$B$4:$B$138, 0), MATCH(V$4&amp;V$5, LS_previous!$D$2:$AY$2&amp;LS_previous!$D$3:$AY$3, 0)),SUM(VLOOKUP($A85, LS_previous!$B$4:$AY$138, LS_previous!N$149, FALSE), VLOOKUP('Staging Table'!$A85, LS_previous!$B$4:$AY$138,LS_previous!AL$149, FALSE))/2)</f>
        <v>147</v>
      </c>
      <c r="W85" s="227">
        <f t="array" ref="W85">IF($G85=0, INDEX(LS_previous!$D$4:$AY$138, MATCH('Staging Table'!$A85, LS_previous!$B$4:$B$138, 0), MATCH(W$4&amp;W$5, LS_previous!$D$2:$AY$2&amp;LS_previous!$D$3:$AY$3, 0)),SUM(VLOOKUP($A85, LS_previous!$B$4:$AY$138, LS_previous!O$149, FALSE), VLOOKUP('Staging Table'!$A85, LS_previous!$B$4:$AY$138,LS_previous!AM$149, FALSE))/2)</f>
        <v>576</v>
      </c>
      <c r="X85" s="227">
        <f t="array" ref="X85">IF($G85=0, INDEX(LS_previous!$D$4:$AY$138, MATCH('Staging Table'!$A85, LS_previous!$B$4:$B$138, 0), MATCH(X$4&amp;X$5, LS_previous!$D$2:$AY$2&amp;LS_previous!$D$3:$AY$3, 0)),SUM(VLOOKUP($A85, LS_previous!$B$4:$AY$138, LS_previous!P$149, FALSE), VLOOKUP('Staging Table'!$A85, LS_previous!$B$4:$AY$138,LS_previous!AN$149, FALSE))/2)</f>
        <v>-110</v>
      </c>
      <c r="Y85" s="227">
        <f t="array" ref="Y85">IF($G85=0, INDEX(LS_previous!$D$4:$AY$138, MATCH('Staging Table'!$A85, LS_previous!$B$4:$B$138, 0), MATCH(Y$4&amp;Y$5, LS_previous!$D$2:$AY$2&amp;LS_previous!$D$3:$AY$3, 0)),SUM(VLOOKUP($A85, LS_previous!$B$4:$AY$138, LS_previous!Q$149, FALSE), VLOOKUP('Staging Table'!$A85, LS_previous!$B$4:$AY$138,LS_previous!AO$149, FALSE))/2)</f>
        <v>250</v>
      </c>
      <c r="Z85" s="227">
        <f t="array" ref="Z85">IF($G85=0, INDEX(LS_previous!$D$4:$AY$138, MATCH('Staging Table'!$A85, LS_previous!$B$4:$B$138, 0), MATCH(Z$4&amp;Z$5, LS_previous!$D$2:$AY$2&amp;LS_previous!$D$3:$AY$3, 0)),SUM(VLOOKUP($A85, LS_previous!$B$4:$AY$138, LS_previous!R$149, FALSE), VLOOKUP('Staging Table'!$A85, LS_previous!$B$4:$AY$138,LS_previous!AP$149, FALSE))/2)</f>
        <v>-2699</v>
      </c>
      <c r="AA85" s="227">
        <f t="array" ref="AA85">IF($G85=0, INDEX(LS_previous!$D$4:$AY$138, MATCH('Staging Table'!$A85, LS_previous!$B$4:$B$138, 0), MATCH(AA$4&amp;AA$5, LS_previous!$D$2:$AY$2&amp;LS_previous!$D$3:$AY$3, 0)),SUM(VLOOKUP($A85, LS_previous!$B$4:$AY$138, LS_previous!S$149, FALSE), VLOOKUP('Staging Table'!$A85, LS_previous!$B$4:$AY$138,LS_previous!AQ$149, FALSE))/2)</f>
        <v>-1006</v>
      </c>
      <c r="AB85" s="227">
        <f t="array" ref="AB85">IF($G85=0, INDEX(LS_previous!$D$4:$AY$138, MATCH('Staging Table'!$A85, LS_previous!$B$4:$B$138, 0), MATCH(AB$4&amp;AB$5, LS_previous!$D$2:$AY$2&amp;LS_previous!$D$3:$AY$3, 0)),SUM(VLOOKUP($A85, LS_previous!$B$4:$AY$138, LS_previous!T$149, FALSE), VLOOKUP('Staging Table'!$A85, LS_previous!$B$4:$AY$138,LS_previous!AR$149, FALSE))/2)</f>
        <v>-1555</v>
      </c>
      <c r="AC85" s="227">
        <f t="array" ref="AC85">IF($G85=0, INDEX(LS_previous!$D$4:$AY$138, MATCH('Staging Table'!$A85, LS_previous!$B$4:$B$138, 0), MATCH(AC$4&amp;AC$5, LS_previous!$D$2:$AY$2&amp;LS_previous!$D$3:$AY$3, 0)),SUM(VLOOKUP($A85, LS_previous!$B$4:$AY$138, LS_previous!U$149, FALSE), VLOOKUP('Staging Table'!$A85, LS_previous!$B$4:$AY$138,LS_previous!AS$149, FALSE))/2)</f>
        <v>-574</v>
      </c>
      <c r="AD85" s="227">
        <f t="array" ref="AD85">IF($G85=0, INDEX(LS_previous!$D$4:$AY$138, MATCH('Staging Table'!$A85, LS_previous!$B$4:$B$138, 0), MATCH(AD$4&amp;AD$5, LS_previous!$D$2:$AY$2&amp;LS_previous!$D$3:$AY$3, 0)),SUM(VLOOKUP($A85, LS_previous!$B$4:$AY$138, LS_previous!V$149, FALSE), VLOOKUP('Staging Table'!$A85, LS_previous!$B$4:$AY$138,LS_previous!AT$149, FALSE))/2)</f>
        <v>-920</v>
      </c>
      <c r="AE85" s="227">
        <f t="array" ref="AE85">IF($G85=0, INDEX(LS_previous!$D$4:$AY$138, MATCH('Staging Table'!$A85, LS_previous!$B$4:$B$138, 0), MATCH(AE$4&amp;AE$5, LS_previous!$D$2:$AY$2&amp;LS_previous!$D$3:$AY$3, 0)),SUM(VLOOKUP($A85, LS_previous!$B$4:$AY$138, LS_previous!W$149, FALSE), VLOOKUP('Staging Table'!$A85, LS_previous!$B$4:$AY$138,LS_previous!AU$149, FALSE))/2)</f>
        <v>-107</v>
      </c>
      <c r="AF85" s="227">
        <f t="array" ref="AF85">IF($G85=0, INDEX(LS_previous!$D$4:$AY$138, MATCH('Staging Table'!$A85, LS_previous!$B$4:$B$138, 0), MATCH(AF$4&amp;AF$5, LS_previous!$D$2:$AY$2&amp;LS_previous!$D$3:$AY$3, 0)),SUM(VLOOKUP($A85, LS_previous!$B$4:$AY$138, LS_previous!X$149, FALSE), VLOOKUP('Staging Table'!$A85, LS_previous!$B$4:$AY$138,LS_previous!AV$149, FALSE))/2)</f>
        <v>-1421</v>
      </c>
      <c r="AG85" s="227">
        <f t="array" ref="AG85">IF($G85=0, INDEX(LS_previous!$D$4:$AY$138, MATCH('Staging Table'!$A85, LS_previous!$B$4:$B$138, 0), MATCH(AG$4&amp;AG$5, LS_previous!$D$2:$AY$2&amp;LS_previous!$D$3:$AY$3, 0)),SUM(VLOOKUP($A85, LS_previous!$B$4:$AY$138, LS_previous!Y$149, FALSE), VLOOKUP('Staging Table'!$A85, LS_previous!$B$4:$AY$138,LS_previous!AW$149, FALSE))/2)</f>
        <v>-249</v>
      </c>
      <c r="AH85" s="227">
        <f t="array" ref="AH85">IF($G85=0, INDEX(LS_previous!$D$4:$AY$138, MATCH('Staging Table'!$A85, LS_previous!$B$4:$B$138, 0), MATCH(AH$4&amp;AH$5, LS_previous!$D$2:$AY$2&amp;LS_previous!$D$3:$AY$3, 0)),SUM(VLOOKUP($A85, LS_previous!$B$4:$AY$138, LS_previous!Z$149, FALSE), VLOOKUP('Staging Table'!$A85, LS_previous!$B$4:$AY$138,LS_previous!AX$149, FALSE))/2)</f>
        <v>-805</v>
      </c>
      <c r="AI85" s="227">
        <f t="array" ref="AI85">IF($G85=0, INDEX(LS_previous!$D$4:$AY$138, MATCH('Staging Table'!$A85, LS_previous!$B$4:$B$138, 0), MATCH(AI$4&amp;AI$5, LS_previous!$D$2:$AY$2&amp;LS_previous!$D$3:$AY$3, 0)),SUM(VLOOKUP($A85, LS_previous!$B$4:$AY$138, LS_previous!AA$149, FALSE), VLOOKUP('Staging Table'!$A85, LS_previous!$B$4:$AY$138,LS_previous!AY$149, FALSE))/2)</f>
        <v>-115</v>
      </c>
      <c r="AJ85" s="424">
        <f t="array" ref="AJ85">INDEX(Demand_previous!$D$4:$AY$138, MATCH('Staging Table'!$A85, Demand_previous!$B$4:$B$138, 0), MATCH(AJ$4&amp;AJ$5,Demand_previous!$D$2:$AY$2&amp;Demand_previous!$D$3:$AY$3, 0))/1000</f>
        <v>0</v>
      </c>
      <c r="AK85" s="424">
        <f t="array" ref="AK85">INDEX(Demand_previous!$D$4:$AY$138, MATCH('Staging Table'!$A85, Demand_previous!$B$4:$B$138, 0), MATCH(AK$4&amp;AK$5,Demand_previous!$D$2:$AY$2&amp;Demand_previous!$D$3:$AY$3, 0))/1000</f>
        <v>0.26800000000000002</v>
      </c>
      <c r="AL85" s="424">
        <f t="array" ref="AL85">INDEX(Demand_previous!$D$4:$AY$138, MATCH('Staging Table'!$A85, Demand_previous!$B$4:$B$138, 0), MATCH(AL$4&amp;AL$5,Demand_previous!$D$2:$AY$2&amp;Demand_previous!$D$3:$AY$3, 0))/1000</f>
        <v>2.7639999999999998</v>
      </c>
      <c r="AM85" s="424">
        <f t="array" ref="AM85">INDEX(Demand_previous!$D$4:$AY$138, MATCH('Staging Table'!$A85, Demand_previous!$B$4:$B$138, 0), MATCH(AM$4&amp;AM$5,Demand_previous!$D$2:$AY$2&amp;Demand_previous!$D$3:$AY$3, 0))/1000</f>
        <v>1.7849999999999999</v>
      </c>
      <c r="AN85" s="424">
        <f t="array" ref="AN85">INDEX(Demand_previous!$D$4:$AY$138, MATCH('Staging Table'!$A85, Demand_previous!$B$4:$B$138, 0), MATCH(AN$4&amp;AN$5,Demand_previous!$D$2:$AY$2&amp;Demand_previous!$D$3:$AY$3, 0))/1000</f>
        <v>1.153</v>
      </c>
      <c r="AO85" s="424">
        <f t="array" ref="AO85">INDEX(Demand_previous!$D$4:$AY$138, MATCH('Staging Table'!$A85, Demand_previous!$B$4:$B$138, 0), MATCH(AO$4&amp;AO$5,Demand_previous!$D$2:$AY$2&amp;Demand_previous!$D$3:$AY$3, 0))/1000</f>
        <v>2.8490000000000002</v>
      </c>
      <c r="AP85" s="424">
        <f t="array" ref="AP85">INDEX(Demand_previous!$D$4:$AY$138, MATCH('Staging Table'!$A85, Demand_previous!$B$4:$B$138, 0), MATCH(AP$4&amp;AP$5,Demand_previous!$D$2:$AY$2&amp;Demand_previous!$D$3:$AY$3, 0))/1000</f>
        <v>9.8000000000000004E-2</v>
      </c>
      <c r="AQ85" s="424">
        <f t="array" ref="AQ85">INDEX(Demand_previous!$D$4:$AY$138, MATCH('Staging Table'!$A85, Demand_previous!$B$4:$B$138, 0), MATCH(AQ$4&amp;AQ$5,Demand_previous!$D$2:$AY$2&amp;Demand_previous!$D$3:$AY$3, 0))/1000</f>
        <v>1.823</v>
      </c>
      <c r="AR85" s="424">
        <f t="array" ref="AR85">INDEX(Demand_previous!$D$4:$AY$138, MATCH('Staging Table'!$A85, Demand_previous!$B$4:$B$138, 0), MATCH(AR$4&amp;AR$5,Demand_previous!$D$2:$AY$2&amp;Demand_previous!$D$3:$AY$3, 0))/1000</f>
        <v>0.83399999999999996</v>
      </c>
      <c r="AS85" s="424">
        <f t="array" ref="AS85">INDEX(Demand_previous!$D$4:$AY$138, MATCH('Staging Table'!$A85, Demand_previous!$B$4:$B$138, 0), MATCH(AS$4&amp;AS$5,Demand_previous!$D$2:$AY$2&amp;Demand_previous!$D$3:$AY$3, 0))/1000</f>
        <v>0</v>
      </c>
      <c r="AT85" s="424">
        <f t="array" ref="AT85">INDEX(Demand_previous!$D$4:$AY$138, MATCH('Staging Table'!$A85, Demand_previous!$B$4:$B$138, 0), MATCH(AT$4&amp;AT$5,Demand_previous!$D$2:$AY$2&amp;Demand_previous!$D$3:$AY$3, 0))/1000</f>
        <v>0.82699999999999996</v>
      </c>
      <c r="AU85" s="424">
        <f t="array" ref="AU85">INDEX(Demand_previous!$D$4:$AY$138, MATCH('Staging Table'!$A85, Demand_previous!$B$4:$B$138, 0), MATCH(AU$4&amp;AU$5,Demand_previous!$D$2:$AY$2&amp;Demand_previous!$D$3:$AY$3, 0))/1000</f>
        <v>0</v>
      </c>
      <c r="AV85" s="227">
        <f>$F85*(VLOOKUP(AV$4, Rates_previous!$G$6:$Q$29, 10, FALSE)+VLOOKUP(AV$4, Rates_previous!$G$6:$Q$29, 11, FALSE))</f>
        <v>5970.2971228505503</v>
      </c>
      <c r="AW85" s="227">
        <f>$F85*(VLOOKUP(AW$4, Rates_previous!$G$6:$Q$29, 10, FALSE)+VLOOKUP(AW$4, Rates_previous!$G$6:$Q$29, 11, FALSE))</f>
        <v>7378.8334772144235</v>
      </c>
      <c r="AX85" s="227">
        <f>$F85*(VLOOKUP(AX$4, Rates_previous!$G$6:$Q$29, 10, FALSE)+VLOOKUP(AX$4, Rates_previous!$G$6:$Q$29, 11, FALSE))</f>
        <v>7290.2225126642079</v>
      </c>
      <c r="AY85" s="227">
        <f>$F85*(VLOOKUP(AY$4, Rates_previous!$G$6:$Q$29, 10, FALSE)+VLOOKUP(AY$4, Rates_previous!$G$6:$Q$29, 11, FALSE))</f>
        <v>6228.8002641032281</v>
      </c>
      <c r="AZ85" s="227">
        <f>$F85*(VLOOKUP(AZ$4, Rates_previous!$G$6:$Q$29, 10, FALSE)+VLOOKUP(AZ$4, Rates_previous!$G$6:$Q$29, 11, FALSE))</f>
        <v>5106.4080090272801</v>
      </c>
      <c r="BA85" s="227">
        <f>$F85*(VLOOKUP(BA$4, Rates_previous!$G$6:$Q$29, 10, FALSE)+VLOOKUP(BA$4, Rates_previous!$G$6:$Q$29, 11, FALSE))</f>
        <v>6045.8016007356373</v>
      </c>
      <c r="BB85" s="227">
        <f>$F85*(VLOOKUP(BB$4, Rates_previous!$G$6:$Q$29, 10, FALSE)+VLOOKUP(BB$4, Rates_previous!$G$6:$Q$29, 11, FALSE))</f>
        <v>5810.8947538019384</v>
      </c>
      <c r="BC85" s="227">
        <f>$F85*(VLOOKUP(BC$4, Rates_previous!$G$6:$Q$29, 10, FALSE)+VLOOKUP(BC$4, Rates_previous!$G$6:$Q$29, 11, FALSE))</f>
        <v>8527.0768563260553</v>
      </c>
      <c r="BD85" s="227">
        <f>$F85*(VLOOKUP(BD$4, Rates_previous!$G$6:$Q$29, 10, FALSE)+VLOOKUP(BD$4, Rates_previous!$G$6:$Q$29, 11, FALSE))</f>
        <v>6727.638266252754</v>
      </c>
      <c r="BE85" s="227">
        <f>$F85*(VLOOKUP(BE$4, Rates_previous!$G$6:$Q$29, 10, FALSE)+VLOOKUP(BE$4, Rates_previous!$G$6:$Q$29, 11, FALSE))</f>
        <v>5907.4310856551865</v>
      </c>
      <c r="BF85" s="227">
        <f>$F85*(VLOOKUP(BF$4, Rates_previous!$G$6:$Q$29, 10, FALSE)+VLOOKUP(BF$4, Rates_previous!$G$6:$Q$29, 11, FALSE))</f>
        <v>6542.7163883180656</v>
      </c>
      <c r="BG85" s="227">
        <f>$F85*(VLOOKUP(BG$4, Rates_previous!$G$6:$Q$29, 10, FALSE)+VLOOKUP(BG$4, Rates_previous!$G$6:$Q$29, 11, FALSE))</f>
        <v>5927.4408602923431</v>
      </c>
      <c r="BH85" s="229">
        <f>IF($D85=0,IF(C85=0, MAX(BK85 - (VLOOKUP($A85,TOCA_previous!$A$2:$AI$137,MATCH("RHWM 2018",TOCA_previous!$A$2:$AI$2,0),FALSE)*$F$2*TOCA_previous!C82),0),0), 0)</f>
        <v>0</v>
      </c>
      <c r="BI85" s="266">
        <f>VLOOKUP($A85,REP_previous!$A$1:$D$135,MATCH("FY "&amp;$F$1&amp; " Total Refund",REP_previous!$A$1:$D$1,0),0)</f>
        <v>102600.73460245307</v>
      </c>
      <c r="BJ85" s="241">
        <f>MIN(VLOOKUP($A85,TOCA_previous!$A$2:$AI$137,MATCH("TRL - NLSL - Existing Resource "&amp;$F$1,TOCA_previous!$A$2:$AI$2,0),FALSE)*$F$2,(VLOOKUP($A85,TOCA_previous!$A$2:$AI$137,MATCH("RHWM 2018",TOCA_previous!$A$2:$AI$2,0),FALSE)*$F$2))</f>
        <v>77464.679999999993</v>
      </c>
      <c r="BK85" s="229">
        <f>SUM(L85:AI85)+(F85*RT1SC!$C$3*$F$2)</f>
        <v>76291.562327367996</v>
      </c>
      <c r="BL85" s="241">
        <f>VLOOKUP($A85,TOCA_previous!$A$2:$AI$137,MATCH("Above RHWM Not Served with LS "&amp;$F$1,TOCA_previous!$A$2:$AI$2,0),FALSE)*$F$2</f>
        <v>0</v>
      </c>
      <c r="BM85" s="151">
        <f t="shared" si="21"/>
        <v>-1173.1176726319973</v>
      </c>
      <c r="BN85" s="242">
        <f>(VLOOKUP($A85,TOCA_previous!$A$2:$AI$137,MATCH("RHWM 2018",TOCA_previous!$A$2:$AI$2,0),FALSE)*$F$2) - $BJ85</f>
        <v>0</v>
      </c>
      <c r="BO85" s="151">
        <f t="shared" si="22"/>
        <v>0</v>
      </c>
      <c r="BP85" s="243">
        <f t="shared" si="23"/>
        <v>1173.1176726319973</v>
      </c>
      <c r="BQ85" s="237">
        <f t="shared" si="24"/>
        <v>0</v>
      </c>
      <c r="BR85" s="242">
        <f t="shared" si="25"/>
        <v>1173.1176726319973</v>
      </c>
      <c r="BS85" s="151">
        <f>VLOOKUP($A85,TOCA_current!$A$2:$AI$137,MATCH(BS$4,TOCA_current!$A$2:$AI$2,0),FALSE)</f>
        <v>1.2505999999999999E-3</v>
      </c>
      <c r="BT85" s="151">
        <f>VLOOKUP($A85,TOCA_current!$A$2:$AI$137,MATCH(BT$4,TOCA_current!$A$2:$AI$2,0),FALSE)</f>
        <v>1.2505999999999999E-3</v>
      </c>
      <c r="BU85" s="236">
        <f t="shared" si="26"/>
        <v>0</v>
      </c>
      <c r="BV85" s="151">
        <f>VLOOKUP($A85,TOCA_current!A81:BG216,MATCH(BV$4,TOCA_current!$A$2:$BG$2,0),FALSE)</f>
        <v>5.5E-2</v>
      </c>
      <c r="BW85" s="151">
        <f t="shared" si="27"/>
        <v>0</v>
      </c>
      <c r="BX85" s="151">
        <f t="shared" si="28"/>
        <v>0</v>
      </c>
      <c r="BY85" s="226">
        <f>VLOOKUP($A85,IRD!$A$4:$G$139, 7, FALSE)</f>
        <v>0</v>
      </c>
      <c r="BZ85" s="227">
        <f t="array" ref="BZ85">IF($BU85=0, INDEX(LS_current!$D$4:$AY$138, MATCH('Staging Table'!$A85, LS_current!$B$4:$B$138, 0), MATCH(BZ$4&amp;BZ$5, LS_current!$D$2:$AY$2&amp;LS_current!$D$3:$AY$3, 0)),SUM(VLOOKUP($A85, LS_current!$B$4:$AY$138, LS_current!D$148, FALSE), VLOOKUP($A85, LS_current!$B$4:$AY$138,LS_current!D$148, FALSE))/2)</f>
        <v>-6</v>
      </c>
      <c r="CA85" s="227">
        <f t="array" ref="CA85">IF($BU85=0, INDEX(LS_current!$D$4:$AY$138, MATCH('Staging Table'!$A85, LS_current!$B$4:$B$138, 0), MATCH(CA$4&amp;CA$5, LS_current!$D$2:$AY$2&amp;LS_current!$D$3:$AY$3, 0)),SUM(VLOOKUP($A85, LS_current!$B$4:$AY$138, LS_current!E$148, FALSE), VLOOKUP($A85, LS_current!$B$4:$AY$138,LS_current!E$148, FALSE))/2)</f>
        <v>265</v>
      </c>
      <c r="CB85" s="227">
        <f t="array" ref="CB85">IF($BU85=0, INDEX(LS_current!$D$4:$AY$138, MATCH('Staging Table'!$A85, LS_current!$B$4:$B$138, 0), MATCH(CB$4&amp;CB$5, LS_current!$D$2:$AY$2&amp;LS_current!$D$3:$AY$3, 0)),SUM(VLOOKUP($A85, LS_current!$B$4:$AY$138, LS_current!F$148, FALSE), VLOOKUP($A85, LS_current!$B$4:$AY$138,LS_current!F$148, FALSE))/2)</f>
        <v>20</v>
      </c>
      <c r="CC85" s="227">
        <f t="array" ref="CC85">IF($BU85=0, INDEX(LS_current!$D$4:$AY$138, MATCH('Staging Table'!$A85, LS_current!$B$4:$B$138, 0), MATCH(CC$4&amp;CC$5, LS_current!$D$2:$AY$2&amp;LS_current!$D$3:$AY$3, 0)),SUM(VLOOKUP($A85, LS_current!$B$4:$AY$138, LS_current!G$148, FALSE), VLOOKUP($A85, LS_current!$B$4:$AY$138,LS_current!G$148, FALSE))/2)</f>
        <v>463</v>
      </c>
      <c r="CD85" s="227">
        <f t="array" ref="CD85">IF($BU85=0, INDEX(LS_current!$D$4:$AY$138, MATCH('Staging Table'!$A85, LS_current!$B$4:$B$138, 0), MATCH(CD$4&amp;CD$5, LS_current!$D$2:$AY$2&amp;LS_current!$D$3:$AY$3, 0)),SUM(VLOOKUP($A85, LS_current!$B$4:$AY$138, LS_current!H$148, FALSE), VLOOKUP($A85, LS_current!$B$4:$AY$138,LS_current!H$148, FALSE))/2)</f>
        <v>718</v>
      </c>
      <c r="CE85" s="227">
        <f t="array" ref="CE85">IF($BU85=0, INDEX(LS_current!$D$4:$AY$138, MATCH('Staging Table'!$A85, LS_current!$B$4:$B$138, 0), MATCH(CE$4&amp;CE$5, LS_current!$D$2:$AY$2&amp;LS_current!$D$3:$AY$3, 0)),SUM(VLOOKUP($A85, LS_current!$B$4:$AY$138, LS_current!I$148, FALSE), VLOOKUP($A85, LS_current!$B$4:$AY$138,LS_current!I$148, FALSE))/2)</f>
        <v>1165</v>
      </c>
      <c r="CF85" s="227">
        <f t="array" ref="CF85">IF($BU85=0, INDEX(LS_current!$D$4:$AY$138, MATCH('Staging Table'!$A85, LS_current!$B$4:$B$138, 0), MATCH(CF$4&amp;CF$5, LS_current!$D$2:$AY$2&amp;LS_current!$D$3:$AY$3, 0)),SUM(VLOOKUP($A85, LS_current!$B$4:$AY$138, LS_current!J$148, FALSE), VLOOKUP($A85, LS_current!$B$4:$AY$138,LS_current!J$148, FALSE))/2)</f>
        <v>1252</v>
      </c>
      <c r="CG85" s="227">
        <f t="array" ref="CG85">IF($BU85=0, INDEX(LS_current!$D$4:$AY$138, MATCH('Staging Table'!$A85, LS_current!$B$4:$B$138, 0), MATCH(CG$4&amp;CG$5, LS_current!$D$2:$AY$2&amp;LS_current!$D$3:$AY$3, 0)),SUM(VLOOKUP($A85, LS_current!$B$4:$AY$138, LS_current!K$148, FALSE), VLOOKUP($A85, LS_current!$B$4:$AY$138,LS_current!K$148, FALSE))/2)</f>
        <v>1241</v>
      </c>
      <c r="CH85" s="227">
        <f t="array" ref="CH85">IF($BU85=0, INDEX(LS_current!$D$4:$AY$138, MATCH('Staging Table'!$A85, LS_current!$B$4:$B$138, 0), MATCH(CH$4&amp;CH$5, LS_current!$D$2:$AY$2&amp;LS_current!$D$3:$AY$3, 0)),SUM(VLOOKUP($A85, LS_current!$B$4:$AY$138, LS_current!L$148, FALSE), VLOOKUP($A85, LS_current!$B$4:$AY$138,LS_current!L$148, FALSE))/2)</f>
        <v>1319</v>
      </c>
      <c r="CI85" s="227">
        <f t="array" ref="CI85">IF($BU85=0, INDEX(LS_current!$D$4:$AY$138, MATCH('Staging Table'!$A85, LS_current!$B$4:$B$138, 0), MATCH(CI$4&amp;CI$5, LS_current!$D$2:$AY$2&amp;LS_current!$D$3:$AY$3, 0)),SUM(VLOOKUP($A85, LS_current!$B$4:$AY$138, LS_current!M$148, FALSE), VLOOKUP($A85, LS_current!$B$4:$AY$138,LS_current!M$148, FALSE))/2)</f>
        <v>1083</v>
      </c>
      <c r="CJ85" s="227">
        <f t="array" ref="CJ85">IF($BU85=0, INDEX(LS_current!$D$4:$AY$138, MATCH('Staging Table'!$A85, LS_current!$B$4:$B$138, 0), MATCH(CJ$4&amp;CJ$5, LS_current!$D$2:$AY$2&amp;LS_current!$D$3:$AY$3, 0)),SUM(VLOOKUP($A85, LS_current!$B$4:$AY$138, LS_current!N$148, FALSE), VLOOKUP($A85, LS_current!$B$4:$AY$138,LS_current!N$148, FALSE))/2)</f>
        <v>100</v>
      </c>
      <c r="CK85" s="227">
        <f t="array" ref="CK85">IF($BU85=0, INDEX(LS_current!$D$4:$AY$138, MATCH('Staging Table'!$A85, LS_current!$B$4:$B$138, 0), MATCH(CK$4&amp;CK$5, LS_current!$D$2:$AY$2&amp;LS_current!$D$3:$AY$3, 0)),SUM(VLOOKUP($A85, LS_current!$B$4:$AY$138, LS_current!O$148, FALSE), VLOOKUP($A85, LS_current!$B$4:$AY$138,LS_current!O$148, FALSE))/2)</f>
        <v>582</v>
      </c>
      <c r="CL85" s="227">
        <f t="array" ref="CL85">IF($BU85=0, INDEX(LS_current!$D$4:$AY$138, MATCH('Staging Table'!$A85, LS_current!$B$4:$B$138, 0), MATCH(CL$4&amp;CL$5, LS_current!$D$2:$AY$2&amp;LS_current!$D$3:$AY$3, 0)),SUM(VLOOKUP($A85, LS_current!$B$4:$AY$138, LS_current!P$148, FALSE), VLOOKUP($A85, LS_current!$B$4:$AY$138,LS_current!P$148, FALSE))/2)</f>
        <v>509</v>
      </c>
      <c r="CM85" s="227">
        <f t="array" ref="CM85">IF($BU85=0, INDEX(LS_current!$D$4:$AY$138, MATCH('Staging Table'!$A85, LS_current!$B$4:$B$138, 0), MATCH(CM$4&amp;CM$5, LS_current!$D$2:$AY$2&amp;LS_current!$D$3:$AY$3, 0)),SUM(VLOOKUP($A85, LS_current!$B$4:$AY$138, LS_current!Q$148, FALSE), VLOOKUP($A85, LS_current!$B$4:$AY$138,LS_current!Q$148, FALSE))/2)</f>
        <v>487</v>
      </c>
      <c r="CN85" s="227">
        <f t="array" ref="CN85">IF($BU85=0, INDEX(LS_current!$D$4:$AY$138, MATCH('Staging Table'!$A85, LS_current!$B$4:$B$138, 0), MATCH(CN$4&amp;CN$5, LS_current!$D$2:$AY$2&amp;LS_current!$D$3:$AY$3, 0)),SUM(VLOOKUP($A85, LS_current!$B$4:$AY$138, LS_current!R$148, FALSE), VLOOKUP($A85, LS_current!$B$4:$AY$138,LS_current!R$148, FALSE))/2)</f>
        <v>-1601</v>
      </c>
      <c r="CO85" s="227">
        <f t="array" ref="CO85">IF($BU85=0, INDEX(LS_current!$D$4:$AY$138, MATCH('Staging Table'!$A85, LS_current!$B$4:$B$138, 0), MATCH(CO$4&amp;CO$5, LS_current!$D$2:$AY$2&amp;LS_current!$D$3:$AY$3, 0)),SUM(VLOOKUP($A85, LS_current!$B$4:$AY$138, LS_current!S$148, FALSE), VLOOKUP($A85, LS_current!$B$4:$AY$138,LS_current!S$148, FALSE))/2)</f>
        <v>-261</v>
      </c>
      <c r="CP85" s="227">
        <f t="array" ref="CP85">IF($BU85=0, INDEX(LS_current!$D$4:$AY$138, MATCH('Staging Table'!$A85, LS_current!$B$4:$B$138, 0), MATCH(CP$4&amp;CP$5, LS_current!$D$2:$AY$2&amp;LS_current!$D$3:$AY$3, 0)),SUM(VLOOKUP($A85, LS_current!$B$4:$AY$138, LS_current!T$148, FALSE), VLOOKUP($A85, LS_current!$B$4:$AY$138,LS_current!T$148, FALSE))/2)</f>
        <v>-2689</v>
      </c>
      <c r="CQ85" s="227">
        <f t="array" ref="CQ85">IF($BU85=0, INDEX(LS_current!$D$4:$AY$138, MATCH('Staging Table'!$A85, LS_current!$B$4:$B$138, 0), MATCH(CQ$4&amp;CQ$5, LS_current!$D$2:$AY$2&amp;LS_current!$D$3:$AY$3, 0)),SUM(VLOOKUP($A85, LS_current!$B$4:$AY$138, LS_current!U$148, FALSE), VLOOKUP($A85, LS_current!$B$4:$AY$138,LS_current!U$148, FALSE))/2)</f>
        <v>-1240</v>
      </c>
      <c r="CR85" s="227">
        <f t="array" ref="CR85">IF($BU85=0, INDEX(LS_current!$D$4:$AY$138, MATCH('Staging Table'!$A85, LS_current!$B$4:$B$138, 0), MATCH(CR$4&amp;CR$5, LS_current!$D$2:$AY$2&amp;LS_current!$D$3:$AY$3, 0)),SUM(VLOOKUP($A85, LS_current!$B$4:$AY$138, LS_current!V$148, FALSE), VLOOKUP($A85, LS_current!$B$4:$AY$138,LS_current!V$148, FALSE))/2)</f>
        <v>-1661</v>
      </c>
      <c r="CS85" s="227">
        <f t="array" ref="CS85">IF($BU85=0, INDEX(LS_current!$D$4:$AY$138, MATCH('Staging Table'!$A85, LS_current!$B$4:$B$138, 0), MATCH(CS$4&amp;CS$5, LS_current!$D$2:$AY$2&amp;LS_current!$D$3:$AY$3, 0)),SUM(VLOOKUP($A85, LS_current!$B$4:$AY$138, LS_current!W$148, FALSE), VLOOKUP($A85, LS_current!$B$4:$AY$138,LS_current!W$148, FALSE))/2)</f>
        <v>-146</v>
      </c>
      <c r="CT85" s="227">
        <f t="array" ref="CT85">IF($BU85=0, INDEX(LS_current!$D$4:$AY$138, MATCH('Staging Table'!$A85, LS_current!$B$4:$B$138, 0), MATCH(CT$4&amp;CT$5, LS_current!$D$2:$AY$2&amp;LS_current!$D$3:$AY$3, 0)),SUM(VLOOKUP($A85, LS_current!$B$4:$AY$138, LS_current!X$148, FALSE), VLOOKUP($A85, LS_current!$B$4:$AY$138,LS_current!X$148, FALSE))/2)</f>
        <v>-1506</v>
      </c>
      <c r="CU85" s="227">
        <f t="array" ref="CU85">IF($BU85=0, INDEX(LS_current!$D$4:$AY$138, MATCH('Staging Table'!$A85, LS_current!$B$4:$B$138, 0), MATCH(CU$4&amp;CU$5, LS_current!$D$2:$AY$2&amp;LS_current!$D$3:$AY$3, 0)),SUM(VLOOKUP($A85, LS_current!$B$4:$AY$138, LS_current!Y$148, FALSE), VLOOKUP($A85, LS_current!$B$4:$AY$138,LS_current!Y$148, FALSE))/2)</f>
        <v>-133</v>
      </c>
      <c r="CV85" s="227">
        <f t="array" ref="CV85">IF($BU85=0, INDEX(LS_current!$D$4:$AY$138, MATCH('Staging Table'!$A85, LS_current!$B$4:$B$138, 0), MATCH(CV$4&amp;CV$5, LS_current!$D$2:$AY$2&amp;LS_current!$D$3:$AY$3, 0)),SUM(VLOOKUP($A85, LS_current!$B$4:$AY$138, LS_current!Z$148, FALSE), VLOOKUP($A85, LS_current!$B$4:$AY$138,LS_current!Z$148, FALSE))/2)</f>
        <v>-759</v>
      </c>
      <c r="CW85" s="227">
        <f t="array" ref="CW85">IF($BU85=0, INDEX(LS_current!$D$4:$AY$138, MATCH('Staging Table'!$A85, LS_current!$B$4:$B$138, 0), MATCH(CW$4&amp;CW$5, LS_current!$D$2:$AY$2&amp;LS_current!$D$3:$AY$3, 0)),SUM(VLOOKUP($A85, LS_current!$B$4:$AY$138, LS_current!AA$148, FALSE), VLOOKUP($A85, LS_current!$B$4:$AY$138,LS_current!AA$148, FALSE))/2)</f>
        <v>-79</v>
      </c>
      <c r="CX85" s="229">
        <f t="array" ref="CX85">INDEX(Demand_current!$D$4:$AY$138, MATCH($A85, Demand_current!$B$4:$B$138, 0), MATCH(CX$4&amp;CX$5,Demand_current!$D$2:$AY$2&amp;Demand_current!$D$3:$AY$3, 0))/1000</f>
        <v>0</v>
      </c>
      <c r="CY85" s="229">
        <f t="array" ref="CY85">INDEX(Demand_current!$D$4:$AY$138, MATCH($A85, Demand_current!$B$4:$B$138, 0), MATCH(CY$4&amp;CY$5,Demand_current!$D$2:$AY$2&amp;Demand_current!$D$3:$AY$3, 0))/1000</f>
        <v>0.26800000000000002</v>
      </c>
      <c r="CZ85" s="229">
        <f t="array" ref="CZ85">INDEX(Demand_current!$D$4:$AY$138, MATCH($A85, Demand_current!$B$4:$B$138, 0), MATCH(CZ$4&amp;CZ$5,Demand_current!$D$2:$AY$2&amp;Demand_current!$D$3:$AY$3, 0))/1000</f>
        <v>2.7639999999999998</v>
      </c>
      <c r="DA85" s="229">
        <f t="array" ref="DA85">INDEX(Demand_current!$D$4:$AY$138, MATCH($A85, Demand_current!$B$4:$B$138, 0), MATCH(DA$4&amp;DA$5,Demand_current!$D$2:$AY$2&amp;Demand_current!$D$3:$AY$3, 0))/1000</f>
        <v>1.7849999999999999</v>
      </c>
      <c r="DB85" s="229">
        <f t="array" ref="DB85">INDEX(Demand_current!$D$4:$AY$138, MATCH($A85, Demand_current!$B$4:$B$138, 0), MATCH(DB$4&amp;DB$5,Demand_current!$D$2:$AY$2&amp;Demand_current!$D$3:$AY$3, 0))/1000</f>
        <v>1.6950000000000001</v>
      </c>
      <c r="DC85" s="229">
        <f t="array" ref="DC85">INDEX(Demand_current!$D$4:$AY$138, MATCH($A85, Demand_current!$B$4:$B$138, 0), MATCH(DC$4&amp;DC$5,Demand_current!$D$2:$AY$2&amp;Demand_current!$D$3:$AY$3, 0))/1000</f>
        <v>2.4630000000000001</v>
      </c>
      <c r="DD85" s="229">
        <f t="array" ref="DD85">INDEX(Demand_current!$D$4:$AY$138, MATCH($A85, Demand_current!$B$4:$B$138, 0), MATCH(DD$4&amp;DD$5,Demand_current!$D$2:$AY$2&amp;Demand_current!$D$3:$AY$3, 0))/1000</f>
        <v>0.47599999999999998</v>
      </c>
      <c r="DE85" s="229">
        <f t="array" ref="DE85">INDEX(Demand_current!$D$4:$AY$138, MATCH($A85, Demand_current!$B$4:$B$138, 0), MATCH(DE$4&amp;DE$5,Demand_current!$D$2:$AY$2&amp;Demand_current!$D$3:$AY$3, 0))/1000</f>
        <v>1.5329999999999999</v>
      </c>
      <c r="DF85" s="229">
        <f t="array" ref="DF85">INDEX(Demand_current!$D$4:$AY$138, MATCH($A85, Demand_current!$B$4:$B$138, 0), MATCH(DF$4&amp;DF$5,Demand_current!$D$2:$AY$2&amp;Demand_current!$D$3:$AY$3, 0))/1000</f>
        <v>0.83399999999999996</v>
      </c>
      <c r="DG85" s="229">
        <f t="array" ref="DG85">INDEX(Demand_current!$D$4:$AY$138, MATCH($A85, Demand_current!$B$4:$B$138, 0), MATCH(DG$4&amp;DG$5,Demand_current!$D$2:$AY$2&amp;Demand_current!$D$3:$AY$3, 0))/1000</f>
        <v>0.26100000000000001</v>
      </c>
      <c r="DH85" s="229">
        <f t="array" ref="DH85">INDEX(Demand_current!$D$4:$AY$138, MATCH($A85, Demand_current!$B$4:$B$138, 0), MATCH(DH$4&amp;DH$5,Demand_current!$D$2:$AY$2&amp;Demand_current!$D$3:$AY$3, 0))/1000</f>
        <v>0.56000000000000005</v>
      </c>
      <c r="DI85" s="229">
        <f t="array" ref="DI85">INDEX(Demand_current!$D$4:$AY$138, MATCH($A85, Demand_current!$B$4:$B$138, 0), MATCH(DI$4&amp;DI$5,Demand_current!$D$2:$AY$2&amp;Demand_current!$D$3:$AY$3, 0))/1000</f>
        <v>0</v>
      </c>
      <c r="DJ85" s="227">
        <f>$BT85*(VLOOKUP(DJ$4, Rates_current!$G$6:$Q$29, 10, FALSE)+VLOOKUP(DJ$4, Rates_current!$G$6:$Q$29, 11, FALSE))</f>
        <v>5774.4168853175988</v>
      </c>
      <c r="DK85" s="227">
        <f>$BT85*(VLOOKUP(DK$4, Rates_current!$G$6:$Q$29, 10, FALSE)+VLOOKUP(DK$4, Rates_current!$G$6:$Q$29, 11, FALSE))</f>
        <v>7335.3108086933998</v>
      </c>
      <c r="DL85" s="227">
        <f>$BT85*(VLOOKUP(DL$4, Rates_current!$G$6:$Q$29, 10, FALSE)+VLOOKUP(DL$4, Rates_current!$G$6:$Q$29, 11, FALSE))</f>
        <v>7246.7270051176001</v>
      </c>
      <c r="DM85" s="227">
        <f>$BT85*(VLOOKUP(DM$4, Rates_current!$G$6:$Q$29, 10, FALSE)+VLOOKUP(DM$4, Rates_current!$G$6:$Q$29, 11, FALSE))</f>
        <v>6040.5883363175999</v>
      </c>
      <c r="DN85" s="227">
        <f>$BT85*(VLOOKUP(DN$4, Rates_current!$G$6:$Q$29, 10, FALSE)+VLOOKUP(DN$4, Rates_current!$G$6:$Q$29, 11, FALSE))</f>
        <v>5472.1463700799995</v>
      </c>
      <c r="DO85" s="227">
        <f>$BT85*(VLOOKUP(DO$4, Rates_current!$G$6:$Q$29, 10, FALSE)+VLOOKUP(DO$4, Rates_current!$G$6:$Q$29, 11, FALSE))</f>
        <v>6086.7651668121998</v>
      </c>
      <c r="DP85" s="227">
        <f>$BT85*(VLOOKUP(DP$4, Rates_current!$G$6:$Q$29, 10, FALSE)+VLOOKUP(DP$4, Rates_current!$G$6:$Q$29, 11, FALSE))</f>
        <v>4955.8507670879999</v>
      </c>
      <c r="DQ85" s="227">
        <f>$BT85*(VLOOKUP(DQ$4, Rates_current!$G$6:$Q$29, 10, FALSE)+VLOOKUP(DQ$4, Rates_current!$G$6:$Q$29, 11, FALSE))</f>
        <v>6683.7037586176002</v>
      </c>
      <c r="DR85" s="227">
        <f>$BT85*(VLOOKUP(DR$4, Rates_current!$G$6:$Q$29, 10, FALSE)+VLOOKUP(DR$4, Rates_current!$G$6:$Q$29, 11, FALSE))</f>
        <v>8527.9514277880007</v>
      </c>
      <c r="DS85" s="227">
        <f>$BT85*(VLOOKUP(DS$4, Rates_current!$G$6:$Q$29, 10, FALSE)+VLOOKUP(DS$4, Rates_current!$G$6:$Q$29, 11, FALSE))</f>
        <v>6686.1843237175999</v>
      </c>
      <c r="DT85" s="227">
        <f>$BT85*(VLOOKUP(DT$4, Rates_current!$G$6:$Q$29, 10, FALSE)+VLOOKUP(DT$4, Rates_current!$G$6:$Q$29, 11, FALSE))</f>
        <v>6511.0121564176006</v>
      </c>
      <c r="DU85" s="227">
        <f>$BT85*(VLOOKUP(DU$4, Rates_current!$G$6:$Q$29, 10, FALSE)+VLOOKUP(DU$4, Rates_current!$G$6:$Q$29, 11, FALSE))</f>
        <v>5845.5038456880002</v>
      </c>
      <c r="DV85" s="229">
        <f>IF(D85=0,IF(C85=0,MAX(0,DY85 - (VLOOKUP($A85,TOCA_current!$A$2:$AI$137,MATCH("RHWM 2020",TOCA_current!$A$2:$AI$2,0),FALSE)*$BT$2)), 0),0)</f>
        <v>0</v>
      </c>
      <c r="DW85" s="266">
        <f>VLOOKUP($A85,REP_current!$A$1:$D$135,MATCH("FY "&amp;$BT$1&amp; " Total Refund",REP_current!$A$1:$D$1,0),0)</f>
        <v>0</v>
      </c>
      <c r="DX85" s="295">
        <f>MIN(VLOOKUP($A85,TOCA_current!$A$2:$AI$137,MATCH("TRL - NLSL - Existing Resource "&amp;$BT$1,TOCA_current!$A$2:$AI$2,0),FALSE)*$BT$2, VLOOKUP($A85,TOCA_current!$A$2:$AI$137,MATCH("RHWM 2020",TOCA_current!$A$2:$AI$2,0),FALSE)*$BT$2)</f>
        <v>77167.44</v>
      </c>
      <c r="DY85" s="240">
        <f>SUM(BZ85:CW85)+(BT85*RT1SC!$C$4*$BT$2)</f>
        <v>76289.163748044797</v>
      </c>
      <c r="DZ85" s="271">
        <f>VLOOKUP($A85,TOCA_current!$A$2:$AI$137,MATCH("Above RHWM Not Served with LS "&amp;$BT$1,TOCA_current!$A$2:$AI$2,0),FALSE)*$BT$2</f>
        <v>0</v>
      </c>
      <c r="EA85" s="244">
        <f t="shared" si="29"/>
        <v>-878.27625195520523</v>
      </c>
      <c r="EB85" s="295">
        <f>(VLOOKUP($A85,TOCA_current!$A$2:$AI$137,MATCH("RHWM 2020",TOCA_current!$A$2:$AI$2,0),FALSE)*$BT$2) - $DX85</f>
        <v>1352.7360000000044</v>
      </c>
      <c r="EC85" s="240">
        <f t="shared" si="30"/>
        <v>0</v>
      </c>
      <c r="ED85" s="240">
        <f t="shared" si="31"/>
        <v>878.27625195520523</v>
      </c>
      <c r="EE85" s="240">
        <f t="shared" si="32"/>
        <v>0</v>
      </c>
      <c r="EF85" s="240">
        <f t="shared" si="33"/>
        <v>878.27625195520523</v>
      </c>
    </row>
    <row r="86" spans="1:136">
      <c r="A86" s="166">
        <v>10247</v>
      </c>
      <c r="B86" s="167" t="s">
        <v>87</v>
      </c>
      <c r="C86" s="240">
        <v>0</v>
      </c>
      <c r="D86" s="240">
        <v>0</v>
      </c>
      <c r="E86" s="150">
        <f>VLOOKUP($A86,TOCA_previous!$A$2:$AI$137,MATCH(E$4,TOCA_previous!$A$2:$AI$2,0),FALSE)</f>
        <v>1.13244E-2</v>
      </c>
      <c r="F86" s="151">
        <f>VLOOKUP($A86,TOCA_previous!$A$2:$AI$137,MATCH(F$4,TOCA_previous!$A$2:$AI$2,0),FALSE)</f>
        <v>1.13244E-2</v>
      </c>
      <c r="G86" s="151">
        <f t="shared" si="18"/>
        <v>0</v>
      </c>
      <c r="H86" s="151">
        <f>VLOOKUP($A86,TOCA_previous!$A$2:$AI$137,MATCH(H$4,TOCA_previous!$A$2:$AI$2,0),FALSE)</f>
        <v>5.1255599999999998E-2</v>
      </c>
      <c r="I86" s="151">
        <f t="shared" si="19"/>
        <v>0</v>
      </c>
      <c r="J86" s="151">
        <f t="shared" si="20"/>
        <v>0</v>
      </c>
      <c r="K86" s="226">
        <f>VLOOKUP(A86, IRD!$A$5:$C$139, 3, FALSE)</f>
        <v>0</v>
      </c>
      <c r="L86" s="227">
        <f t="array" ref="L86">IF($G86=0, INDEX(LS_previous!$D$4:$AY$138, MATCH('Staging Table'!$A86, LS_previous!$B$4:$B$138, 0), MATCH(L$4&amp;L$5, LS_previous!$D$2:$AY$2&amp;LS_previous!$D$3:$AY$3, 0)),SUM(VLOOKUP($A86, LS_previous!$B$4:$AY$138, LS_previous!D$149, FALSE), VLOOKUP('Staging Table'!$A86, LS_previous!$B$4:$AY$138,LS_previous!AB$149, FALSE))/2)</f>
        <v>-2540</v>
      </c>
      <c r="M86" s="227">
        <f t="array" ref="M86">IF($G86=0, INDEX(LS_previous!$D$4:$AY$138, MATCH('Staging Table'!$A86, LS_previous!$B$4:$B$138, 0), MATCH(M$4&amp;M$5, LS_previous!$D$2:$AY$2&amp;LS_previous!$D$3:$AY$3, 0)),SUM(VLOOKUP($A86, LS_previous!$B$4:$AY$138, LS_previous!E$149, FALSE), VLOOKUP('Staging Table'!$A86, LS_previous!$B$4:$AY$138,LS_previous!AC$149, FALSE))/2)</f>
        <v>165</v>
      </c>
      <c r="N86" s="227">
        <f t="array" ref="N86">IF($G86=0, INDEX(LS_previous!$D$4:$AY$138, MATCH('Staging Table'!$A86, LS_previous!$B$4:$B$138, 0), MATCH(N$4&amp;N$5, LS_previous!$D$2:$AY$2&amp;LS_previous!$D$3:$AY$3, 0)),SUM(VLOOKUP($A86, LS_previous!$B$4:$AY$138, LS_previous!F$149, FALSE), VLOOKUP('Staging Table'!$A86, LS_previous!$B$4:$AY$138,LS_previous!AD$149, FALSE))/2)</f>
        <v>-2807</v>
      </c>
      <c r="O86" s="227">
        <f t="array" ref="O86">IF($G86=0, INDEX(LS_previous!$D$4:$AY$138, MATCH('Staging Table'!$A86, LS_previous!$B$4:$B$138, 0), MATCH(O$4&amp;O$5, LS_previous!$D$2:$AY$2&amp;LS_previous!$D$3:$AY$3, 0)),SUM(VLOOKUP($A86, LS_previous!$B$4:$AY$138, LS_previous!G$149, FALSE), VLOOKUP('Staging Table'!$A86, LS_previous!$B$4:$AY$138,LS_previous!AE$149, FALSE))/2)</f>
        <v>1875</v>
      </c>
      <c r="P86" s="227">
        <f t="array" ref="P86">IF($G86=0, INDEX(LS_previous!$D$4:$AY$138, MATCH('Staging Table'!$A86, LS_previous!$B$4:$B$138, 0), MATCH(P$4&amp;P$5, LS_previous!$D$2:$AY$2&amp;LS_previous!$D$3:$AY$3, 0)),SUM(VLOOKUP($A86, LS_previous!$B$4:$AY$138, LS_previous!H$149, FALSE), VLOOKUP('Staging Table'!$A86, LS_previous!$B$4:$AY$138,LS_previous!AF$149, FALSE))/2)</f>
        <v>3954</v>
      </c>
      <c r="Q86" s="227">
        <f t="array" ref="Q86">IF($G86=0, INDEX(LS_previous!$D$4:$AY$138, MATCH('Staging Table'!$A86, LS_previous!$B$4:$B$138, 0), MATCH(Q$4&amp;Q$5, LS_previous!$D$2:$AY$2&amp;LS_previous!$D$3:$AY$3, 0)),SUM(VLOOKUP($A86, LS_previous!$B$4:$AY$138, LS_previous!I$149, FALSE), VLOOKUP('Staging Table'!$A86, LS_previous!$B$4:$AY$138,LS_previous!AG$149, FALSE))/2)</f>
        <v>5049</v>
      </c>
      <c r="R86" s="227">
        <f t="array" ref="R86">IF($G86=0, INDEX(LS_previous!$D$4:$AY$138, MATCH('Staging Table'!$A86, LS_previous!$B$4:$B$138, 0), MATCH(R$4&amp;R$5, LS_previous!$D$2:$AY$2&amp;LS_previous!$D$3:$AY$3, 0)),SUM(VLOOKUP($A86, LS_previous!$B$4:$AY$138, LS_previous!J$149, FALSE), VLOOKUP('Staging Table'!$A86, LS_previous!$B$4:$AY$138,LS_previous!AH$149, FALSE))/2)</f>
        <v>10697</v>
      </c>
      <c r="S86" s="227">
        <f t="array" ref="S86">IF($G86=0, INDEX(LS_previous!$D$4:$AY$138, MATCH('Staging Table'!$A86, LS_previous!$B$4:$B$138, 0), MATCH(S$4&amp;S$5, LS_previous!$D$2:$AY$2&amp;LS_previous!$D$3:$AY$3, 0)),SUM(VLOOKUP($A86, LS_previous!$B$4:$AY$138, LS_previous!K$149, FALSE), VLOOKUP('Staging Table'!$A86, LS_previous!$B$4:$AY$138,LS_previous!AI$149, FALSE))/2)</f>
        <v>9648</v>
      </c>
      <c r="T86" s="227">
        <f t="array" ref="T86">IF($G86=0, INDEX(LS_previous!$D$4:$AY$138, MATCH('Staging Table'!$A86, LS_previous!$B$4:$B$138, 0), MATCH(T$4&amp;T$5, LS_previous!$D$2:$AY$2&amp;LS_previous!$D$3:$AY$3, 0)),SUM(VLOOKUP($A86, LS_previous!$B$4:$AY$138, LS_previous!L$149, FALSE), VLOOKUP('Staging Table'!$A86, LS_previous!$B$4:$AY$138,LS_previous!AJ$149, FALSE))/2)</f>
        <v>12869</v>
      </c>
      <c r="U86" s="227">
        <f t="array" ref="U86">IF($G86=0, INDEX(LS_previous!$D$4:$AY$138, MATCH('Staging Table'!$A86, LS_previous!$B$4:$B$138, 0), MATCH(U$4&amp;U$5, LS_previous!$D$2:$AY$2&amp;LS_previous!$D$3:$AY$3, 0)),SUM(VLOOKUP($A86, LS_previous!$B$4:$AY$138, LS_previous!M$149, FALSE), VLOOKUP('Staging Table'!$A86, LS_previous!$B$4:$AY$138,LS_previous!AK$149, FALSE))/2)</f>
        <v>9141</v>
      </c>
      <c r="V86" s="227">
        <f t="array" ref="V86">IF($G86=0, INDEX(LS_previous!$D$4:$AY$138, MATCH('Staging Table'!$A86, LS_previous!$B$4:$B$138, 0), MATCH(V$4&amp;V$5, LS_previous!$D$2:$AY$2&amp;LS_previous!$D$3:$AY$3, 0)),SUM(VLOOKUP($A86, LS_previous!$B$4:$AY$138, LS_previous!N$149, FALSE), VLOOKUP('Staging Table'!$A86, LS_previous!$B$4:$AY$138,LS_previous!AL$149, FALSE))/2)</f>
        <v>3519</v>
      </c>
      <c r="W86" s="227">
        <f t="array" ref="W86">IF($G86=0, INDEX(LS_previous!$D$4:$AY$138, MATCH('Staging Table'!$A86, LS_previous!$B$4:$B$138, 0), MATCH(W$4&amp;W$5, LS_previous!$D$2:$AY$2&amp;LS_previous!$D$3:$AY$3, 0)),SUM(VLOOKUP($A86, LS_previous!$B$4:$AY$138, LS_previous!O$149, FALSE), VLOOKUP('Staging Table'!$A86, LS_previous!$B$4:$AY$138,LS_previous!AM$149, FALSE))/2)</f>
        <v>3601</v>
      </c>
      <c r="X86" s="227">
        <f t="array" ref="X86">IF($G86=0, INDEX(LS_previous!$D$4:$AY$138, MATCH('Staging Table'!$A86, LS_previous!$B$4:$B$138, 0), MATCH(X$4&amp;X$5, LS_previous!$D$2:$AY$2&amp;LS_previous!$D$3:$AY$3, 0)),SUM(VLOOKUP($A86, LS_previous!$B$4:$AY$138, LS_previous!P$149, FALSE), VLOOKUP('Staging Table'!$A86, LS_previous!$B$4:$AY$138,LS_previous!AN$149, FALSE))/2)</f>
        <v>259</v>
      </c>
      <c r="Y86" s="227">
        <f t="array" ref="Y86">IF($G86=0, INDEX(LS_previous!$D$4:$AY$138, MATCH('Staging Table'!$A86, LS_previous!$B$4:$B$138, 0), MATCH(Y$4&amp;Y$5, LS_previous!$D$2:$AY$2&amp;LS_previous!$D$3:$AY$3, 0)),SUM(VLOOKUP($A86, LS_previous!$B$4:$AY$138, LS_previous!Q$149, FALSE), VLOOKUP('Staging Table'!$A86, LS_previous!$B$4:$AY$138,LS_previous!AO$149, FALSE))/2)</f>
        <v>2313</v>
      </c>
      <c r="Z86" s="227">
        <f t="array" ref="Z86">IF($G86=0, INDEX(LS_previous!$D$4:$AY$138, MATCH('Staging Table'!$A86, LS_previous!$B$4:$B$138, 0), MATCH(Z$4&amp;Z$5, LS_previous!$D$2:$AY$2&amp;LS_previous!$D$3:$AY$3, 0)),SUM(VLOOKUP($A86, LS_previous!$B$4:$AY$138, LS_previous!R$149, FALSE), VLOOKUP('Staging Table'!$A86, LS_previous!$B$4:$AY$138,LS_previous!AP$149, FALSE))/2)</f>
        <v>-22448</v>
      </c>
      <c r="AA86" s="227">
        <f t="array" ref="AA86">IF($G86=0, INDEX(LS_previous!$D$4:$AY$138, MATCH('Staging Table'!$A86, LS_previous!$B$4:$B$138, 0), MATCH(AA$4&amp;AA$5, LS_previous!$D$2:$AY$2&amp;LS_previous!$D$3:$AY$3, 0)),SUM(VLOOKUP($A86, LS_previous!$B$4:$AY$138, LS_previous!S$149, FALSE), VLOOKUP('Staging Table'!$A86, LS_previous!$B$4:$AY$138,LS_previous!AQ$149, FALSE))/2)</f>
        <v>-10668</v>
      </c>
      <c r="AB86" s="227">
        <f t="array" ref="AB86">IF($G86=0, INDEX(LS_previous!$D$4:$AY$138, MATCH('Staging Table'!$A86, LS_previous!$B$4:$B$138, 0), MATCH(AB$4&amp;AB$5, LS_previous!$D$2:$AY$2&amp;LS_previous!$D$3:$AY$3, 0)),SUM(VLOOKUP($A86, LS_previous!$B$4:$AY$138, LS_previous!T$149, FALSE), VLOOKUP('Staging Table'!$A86, LS_previous!$B$4:$AY$138,LS_previous!AR$149, FALSE))/2)</f>
        <v>-14464</v>
      </c>
      <c r="AC86" s="227">
        <f t="array" ref="AC86">IF($G86=0, INDEX(LS_previous!$D$4:$AY$138, MATCH('Staging Table'!$A86, LS_previous!$B$4:$B$138, 0), MATCH(AC$4&amp;AC$5, LS_previous!$D$2:$AY$2&amp;LS_previous!$D$3:$AY$3, 0)),SUM(VLOOKUP($A86, LS_previous!$B$4:$AY$138, LS_previous!U$149, FALSE), VLOOKUP('Staging Table'!$A86, LS_previous!$B$4:$AY$138,LS_previous!AS$149, FALSE))/2)</f>
        <v>-6387</v>
      </c>
      <c r="AD86" s="227">
        <f t="array" ref="AD86">IF($G86=0, INDEX(LS_previous!$D$4:$AY$138, MATCH('Staging Table'!$A86, LS_previous!$B$4:$B$138, 0), MATCH(AD$4&amp;AD$5, LS_previous!$D$2:$AY$2&amp;LS_previous!$D$3:$AY$3, 0)),SUM(VLOOKUP($A86, LS_previous!$B$4:$AY$138, LS_previous!V$149, FALSE), VLOOKUP('Staging Table'!$A86, LS_previous!$B$4:$AY$138,LS_previous!AT$149, FALSE))/2)</f>
        <v>-10074</v>
      </c>
      <c r="AE86" s="227">
        <f t="array" ref="AE86">IF($G86=0, INDEX(LS_previous!$D$4:$AY$138, MATCH('Staging Table'!$A86, LS_previous!$B$4:$B$138, 0), MATCH(AE$4&amp;AE$5, LS_previous!$D$2:$AY$2&amp;LS_previous!$D$3:$AY$3, 0)),SUM(VLOOKUP($A86, LS_previous!$B$4:$AY$138, LS_previous!W$149, FALSE), VLOOKUP('Staging Table'!$A86, LS_previous!$B$4:$AY$138,LS_previous!AU$149, FALSE))/2)</f>
        <v>-2835</v>
      </c>
      <c r="AF86" s="227">
        <f t="array" ref="AF86">IF($G86=0, INDEX(LS_previous!$D$4:$AY$138, MATCH('Staging Table'!$A86, LS_previous!$B$4:$B$138, 0), MATCH(AF$4&amp;AF$5, LS_previous!$D$2:$AY$2&amp;LS_previous!$D$3:$AY$3, 0)),SUM(VLOOKUP($A86, LS_previous!$B$4:$AY$138, LS_previous!X$149, FALSE), VLOOKUP('Staging Table'!$A86, LS_previous!$B$4:$AY$138,LS_previous!AV$149, FALSE))/2)</f>
        <v>-13519</v>
      </c>
      <c r="AG86" s="227">
        <f t="array" ref="AG86">IF($G86=0, INDEX(LS_previous!$D$4:$AY$138, MATCH('Staging Table'!$A86, LS_previous!$B$4:$B$138, 0), MATCH(AG$4&amp;AG$5, LS_previous!$D$2:$AY$2&amp;LS_previous!$D$3:$AY$3, 0)),SUM(VLOOKUP($A86, LS_previous!$B$4:$AY$138, LS_previous!Y$149, FALSE), VLOOKUP('Staging Table'!$A86, LS_previous!$B$4:$AY$138,LS_previous!AW$149, FALSE))/2)</f>
        <v>-4883</v>
      </c>
      <c r="AH86" s="227">
        <f t="array" ref="AH86">IF($G86=0, INDEX(LS_previous!$D$4:$AY$138, MATCH('Staging Table'!$A86, LS_previous!$B$4:$B$138, 0), MATCH(AH$4&amp;AH$5, LS_previous!$D$2:$AY$2&amp;LS_previous!$D$3:$AY$3, 0)),SUM(VLOOKUP($A86, LS_previous!$B$4:$AY$138, LS_previous!Z$149, FALSE), VLOOKUP('Staging Table'!$A86, LS_previous!$B$4:$AY$138,LS_previous!AX$149, FALSE))/2)</f>
        <v>-8504</v>
      </c>
      <c r="AI86" s="227">
        <f t="array" ref="AI86">IF($G86=0, INDEX(LS_previous!$D$4:$AY$138, MATCH('Staging Table'!$A86, LS_previous!$B$4:$B$138, 0), MATCH(AI$4&amp;AI$5, LS_previous!$D$2:$AY$2&amp;LS_previous!$D$3:$AY$3, 0)),SUM(VLOOKUP($A86, LS_previous!$B$4:$AY$138, LS_previous!AA$149, FALSE), VLOOKUP('Staging Table'!$A86, LS_previous!$B$4:$AY$138,LS_previous!AY$149, FALSE))/2)</f>
        <v>-3279</v>
      </c>
      <c r="AJ86" s="424">
        <f t="array" ref="AJ86">INDEX(Demand_previous!$D$4:$AY$138, MATCH('Staging Table'!$A86, Demand_previous!$B$4:$B$138, 0), MATCH(AJ$4&amp;AJ$5,Demand_previous!$D$2:$AY$2&amp;Demand_previous!$D$3:$AY$3, 0))/1000</f>
        <v>6.484</v>
      </c>
      <c r="AK86" s="424">
        <f t="array" ref="AK86">INDEX(Demand_previous!$D$4:$AY$138, MATCH('Staging Table'!$A86, Demand_previous!$B$4:$B$138, 0), MATCH(AK$4&amp;AK$5,Demand_previous!$D$2:$AY$2&amp;Demand_previous!$D$3:$AY$3, 0))/1000</f>
        <v>5.1669999999999998</v>
      </c>
      <c r="AL86" s="424">
        <f t="array" ref="AL86">INDEX(Demand_previous!$D$4:$AY$138, MATCH('Staging Table'!$A86, Demand_previous!$B$4:$B$138, 0), MATCH(AL$4&amp;AL$5,Demand_previous!$D$2:$AY$2&amp;Demand_previous!$D$3:$AY$3, 0))/1000</f>
        <v>27.059000000000001</v>
      </c>
      <c r="AM86" s="424">
        <f t="array" ref="AM86">INDEX(Demand_previous!$D$4:$AY$138, MATCH('Staging Table'!$A86, Demand_previous!$B$4:$B$138, 0), MATCH(AM$4&amp;AM$5,Demand_previous!$D$2:$AY$2&amp;Demand_previous!$D$3:$AY$3, 0))/1000</f>
        <v>23.378</v>
      </c>
      <c r="AN86" s="424">
        <f t="array" ref="AN86">INDEX(Demand_previous!$D$4:$AY$138, MATCH('Staging Table'!$A86, Demand_previous!$B$4:$B$138, 0), MATCH(AN$4&amp;AN$5,Demand_previous!$D$2:$AY$2&amp;Demand_previous!$D$3:$AY$3, 0))/1000</f>
        <v>11.71</v>
      </c>
      <c r="AO86" s="424">
        <f t="array" ref="AO86">INDEX(Demand_previous!$D$4:$AY$138, MATCH('Staging Table'!$A86, Demand_previous!$B$4:$B$138, 0), MATCH(AO$4&amp;AO$5,Demand_previous!$D$2:$AY$2&amp;Demand_previous!$D$3:$AY$3, 0))/1000</f>
        <v>27.77</v>
      </c>
      <c r="AP86" s="424">
        <f t="array" ref="AP86">INDEX(Demand_previous!$D$4:$AY$138, MATCH('Staging Table'!$A86, Demand_previous!$B$4:$B$138, 0), MATCH(AP$4&amp;AP$5,Demand_previous!$D$2:$AY$2&amp;Demand_previous!$D$3:$AY$3, 0))/1000</f>
        <v>11.984999999999999</v>
      </c>
      <c r="AQ86" s="424">
        <f t="array" ref="AQ86">INDEX(Demand_previous!$D$4:$AY$138, MATCH('Staging Table'!$A86, Demand_previous!$B$4:$B$138, 0), MATCH(AQ$4&amp;AQ$5,Demand_previous!$D$2:$AY$2&amp;Demand_previous!$D$3:$AY$3, 0))/1000</f>
        <v>12.352</v>
      </c>
      <c r="AR86" s="424">
        <f t="array" ref="AR86">INDEX(Demand_previous!$D$4:$AY$138, MATCH('Staging Table'!$A86, Demand_previous!$B$4:$B$138, 0), MATCH(AR$4&amp;AR$5,Demand_previous!$D$2:$AY$2&amp;Demand_previous!$D$3:$AY$3, 0))/1000</f>
        <v>7.1680000000000001</v>
      </c>
      <c r="AS86" s="424">
        <f t="array" ref="AS86">INDEX(Demand_previous!$D$4:$AY$138, MATCH('Staging Table'!$A86, Demand_previous!$B$4:$B$138, 0), MATCH(AS$4&amp;AS$5,Demand_previous!$D$2:$AY$2&amp;Demand_previous!$D$3:$AY$3, 0))/1000</f>
        <v>8.7569999999999997</v>
      </c>
      <c r="AT86" s="424">
        <f t="array" ref="AT86">INDEX(Demand_previous!$D$4:$AY$138, MATCH('Staging Table'!$A86, Demand_previous!$B$4:$B$138, 0), MATCH(AT$4&amp;AT$5,Demand_previous!$D$2:$AY$2&amp;Demand_previous!$D$3:$AY$3, 0))/1000</f>
        <v>15.365</v>
      </c>
      <c r="AU86" s="424">
        <f t="array" ref="AU86">INDEX(Demand_previous!$D$4:$AY$138, MATCH('Staging Table'!$A86, Demand_previous!$B$4:$B$138, 0), MATCH(AU$4&amp;AU$5,Demand_previous!$D$2:$AY$2&amp;Demand_previous!$D$3:$AY$3, 0))/1000</f>
        <v>0</v>
      </c>
      <c r="AV86" s="227">
        <f>$F86*(VLOOKUP(AV$4, Rates_previous!$G$6:$Q$29, 10, FALSE)+VLOOKUP(AV$4, Rates_previous!$G$6:$Q$29, 11, FALSE))</f>
        <v>53098.27435640365</v>
      </c>
      <c r="AW86" s="227">
        <f>$F86*(VLOOKUP(AW$4, Rates_previous!$G$6:$Q$29, 10, FALSE)+VLOOKUP(AW$4, Rates_previous!$G$6:$Q$29, 11, FALSE))</f>
        <v>65625.431421791422</v>
      </c>
      <c r="AX86" s="227">
        <f>$F86*(VLOOKUP(AX$4, Rates_previous!$G$6:$Q$29, 10, FALSE)+VLOOKUP(AX$4, Rates_previous!$G$6:$Q$29, 11, FALSE))</f>
        <v>64837.348482223009</v>
      </c>
      <c r="AY86" s="227">
        <f>$F86*(VLOOKUP(AY$4, Rates_previous!$G$6:$Q$29, 10, FALSE)+VLOOKUP(AY$4, Rates_previous!$G$6:$Q$29, 11, FALSE))</f>
        <v>55397.334258077906</v>
      </c>
      <c r="AZ86" s="227">
        <f>$F86*(VLOOKUP(AZ$4, Rates_previous!$G$6:$Q$29, 10, FALSE)+VLOOKUP(AZ$4, Rates_previous!$G$6:$Q$29, 11, FALSE))</f>
        <v>45415.068607106361</v>
      </c>
      <c r="BA86" s="227">
        <f>$F86*(VLOOKUP(BA$4, Rates_previous!$G$6:$Q$29, 10, FALSE)+VLOOKUP(BA$4, Rates_previous!$G$6:$Q$29, 11, FALSE))</f>
        <v>53769.791602427278</v>
      </c>
      <c r="BB86" s="227">
        <f>$F86*(VLOOKUP(BB$4, Rates_previous!$G$6:$Q$29, 10, FALSE)+VLOOKUP(BB$4, Rates_previous!$G$6:$Q$29, 11, FALSE))</f>
        <v>51680.59102328962</v>
      </c>
      <c r="BC86" s="227">
        <f>$F86*(VLOOKUP(BC$4, Rates_previous!$G$6:$Q$29, 10, FALSE)+VLOOKUP(BC$4, Rates_previous!$G$6:$Q$29, 11, FALSE))</f>
        <v>75837.610266063595</v>
      </c>
      <c r="BD86" s="227">
        <f>$F86*(VLOOKUP(BD$4, Rates_previous!$G$6:$Q$29, 10, FALSE)+VLOOKUP(BD$4, Rates_previous!$G$6:$Q$29, 11, FALSE))</f>
        <v>59833.870087452044</v>
      </c>
      <c r="BE86" s="227">
        <f>$F86*(VLOOKUP(BE$4, Rates_previous!$G$6:$Q$29, 10, FALSE)+VLOOKUP(BE$4, Rates_previous!$G$6:$Q$29, 11, FALSE))</f>
        <v>52539.160124396134</v>
      </c>
      <c r="BF86" s="227">
        <f>$F86*(VLOOKUP(BF$4, Rates_previous!$G$6:$Q$29, 10, FALSE)+VLOOKUP(BF$4, Rates_previous!$G$6:$Q$29, 11, FALSE))</f>
        <v>58189.2228601815</v>
      </c>
      <c r="BG86" s="227">
        <f>$F86*(VLOOKUP(BG$4, Rates_previous!$G$6:$Q$29, 10, FALSE)+VLOOKUP(BG$4, Rates_previous!$G$6:$Q$29, 11, FALSE))</f>
        <v>52717.121870960975</v>
      </c>
      <c r="BH86" s="229">
        <f>IF($D86=0,IF(C86=0, MAX(BK86 - (VLOOKUP($A86,TOCA_previous!$A$2:$AI$137,MATCH("RHWM 2018",TOCA_previous!$A$2:$AI$2,0),FALSE)*$F$2*TOCA_previous!C83),0),0), 0)</f>
        <v>0</v>
      </c>
      <c r="BI86" s="266">
        <f>VLOOKUP($A86,REP_previous!$A$1:$D$135,MATCH("FY "&amp;$F$1&amp; " Total Refund",REP_previous!$A$1:$D$1,0),0)</f>
        <v>993325.82931685599</v>
      </c>
      <c r="BJ86" s="241">
        <f>MIN(VLOOKUP($A86,TOCA_previous!$A$2:$AI$137,MATCH("TRL - NLSL - Existing Resource "&amp;$F$1,TOCA_previous!$A$2:$AI$2,0),FALSE)*$F$2,(VLOOKUP($A86,TOCA_previous!$A$2:$AI$137,MATCH("RHWM 2018",TOCA_previous!$A$2:$AI$2,0),FALSE)*$F$2))</f>
        <v>688938.96</v>
      </c>
      <c r="BK86" s="229">
        <f>SUM(L86:AI86)+(F86*RT1SC!$C$3*$F$2)</f>
        <v>649622.83501142391</v>
      </c>
      <c r="BL86" s="241">
        <f>VLOOKUP($A86,TOCA_previous!$A$2:$AI$137,MATCH("Above RHWM Not Served with LS "&amp;$F$1,TOCA_previous!$A$2:$AI$2,0),FALSE)*$F$2</f>
        <v>17301</v>
      </c>
      <c r="BM86" s="151">
        <f t="shared" si="21"/>
        <v>-39316.124988576048</v>
      </c>
      <c r="BN86" s="242">
        <f>(VLOOKUP($A86,TOCA_previous!$A$2:$AI$137,MATCH("RHWM 2018",TOCA_previous!$A$2:$AI$2,0),FALSE)*$F$2) - $BJ86</f>
        <v>0</v>
      </c>
      <c r="BO86" s="151">
        <f t="shared" si="22"/>
        <v>0</v>
      </c>
      <c r="BP86" s="243">
        <f t="shared" si="23"/>
        <v>22015.124988576048</v>
      </c>
      <c r="BQ86" s="237">
        <f t="shared" si="24"/>
        <v>0</v>
      </c>
      <c r="BR86" s="242">
        <f t="shared" si="25"/>
        <v>22015.124988576048</v>
      </c>
      <c r="BS86" s="151">
        <f>VLOOKUP($A86,TOCA_current!$A$2:$AI$137,MATCH(BS$4,TOCA_current!$A$2:$AI$2,0),FALSE)</f>
        <v>1.1278099999999999E-2</v>
      </c>
      <c r="BT86" s="151">
        <f>VLOOKUP($A86,TOCA_current!$A$2:$AI$137,MATCH(BT$4,TOCA_current!$A$2:$AI$2,0),FALSE)</f>
        <v>1.1278099999999999E-2</v>
      </c>
      <c r="BU86" s="236">
        <f t="shared" si="26"/>
        <v>0</v>
      </c>
      <c r="BV86" s="151">
        <f>VLOOKUP($A86,TOCA_current!A82:BG217,MATCH(BV$4,TOCA_current!$A$2:$BG$2,0),FALSE)</f>
        <v>0.05</v>
      </c>
      <c r="BW86" s="151">
        <f t="shared" si="27"/>
        <v>0</v>
      </c>
      <c r="BX86" s="151">
        <f t="shared" si="28"/>
        <v>0</v>
      </c>
      <c r="BY86" s="226">
        <f>VLOOKUP($A86,IRD!$A$4:$G$139, 7, FALSE)</f>
        <v>0</v>
      </c>
      <c r="BZ86" s="227">
        <f t="array" ref="BZ86">IF($BU86=0, INDEX(LS_current!$D$4:$AY$138, MATCH('Staging Table'!$A86, LS_current!$B$4:$B$138, 0), MATCH(BZ$4&amp;BZ$5, LS_current!$D$2:$AY$2&amp;LS_current!$D$3:$AY$3, 0)),SUM(VLOOKUP($A86, LS_current!$B$4:$AY$138, LS_current!D$148, FALSE), VLOOKUP($A86, LS_current!$B$4:$AY$138,LS_current!D$148, FALSE))/2)</f>
        <v>-1119</v>
      </c>
      <c r="CA86" s="227">
        <f t="array" ref="CA86">IF($BU86=0, INDEX(LS_current!$D$4:$AY$138, MATCH('Staging Table'!$A86, LS_current!$B$4:$B$138, 0), MATCH(CA$4&amp;CA$5, LS_current!$D$2:$AY$2&amp;LS_current!$D$3:$AY$3, 0)),SUM(VLOOKUP($A86, LS_current!$B$4:$AY$138, LS_current!E$148, FALSE), VLOOKUP($A86, LS_current!$B$4:$AY$138,LS_current!E$148, FALSE))/2)</f>
        <v>1237</v>
      </c>
      <c r="CB86" s="227">
        <f t="array" ref="CB86">IF($BU86=0, INDEX(LS_current!$D$4:$AY$138, MATCH('Staging Table'!$A86, LS_current!$B$4:$B$138, 0), MATCH(CB$4&amp;CB$5, LS_current!$D$2:$AY$2&amp;LS_current!$D$3:$AY$3, 0)),SUM(VLOOKUP($A86, LS_current!$B$4:$AY$138, LS_current!F$148, FALSE), VLOOKUP($A86, LS_current!$B$4:$AY$138,LS_current!F$148, FALSE))/2)</f>
        <v>-2139</v>
      </c>
      <c r="CC86" s="227">
        <f t="array" ref="CC86">IF($BU86=0, INDEX(LS_current!$D$4:$AY$138, MATCH('Staging Table'!$A86, LS_current!$B$4:$B$138, 0), MATCH(CC$4&amp;CC$5, LS_current!$D$2:$AY$2&amp;LS_current!$D$3:$AY$3, 0)),SUM(VLOOKUP($A86, LS_current!$B$4:$AY$138, LS_current!G$148, FALSE), VLOOKUP($A86, LS_current!$B$4:$AY$138,LS_current!G$148, FALSE))/2)</f>
        <v>2106</v>
      </c>
      <c r="CD86" s="227">
        <f t="array" ref="CD86">IF($BU86=0, INDEX(LS_current!$D$4:$AY$138, MATCH('Staging Table'!$A86, LS_current!$B$4:$B$138, 0), MATCH(CD$4&amp;CD$5, LS_current!$D$2:$AY$2&amp;LS_current!$D$3:$AY$3, 0)),SUM(VLOOKUP($A86, LS_current!$B$4:$AY$138, LS_current!H$148, FALSE), VLOOKUP($A86, LS_current!$B$4:$AY$138,LS_current!H$148, FALSE))/2)</f>
        <v>4551</v>
      </c>
      <c r="CE86" s="227">
        <f t="array" ref="CE86">IF($BU86=0, INDEX(LS_current!$D$4:$AY$138, MATCH('Staging Table'!$A86, LS_current!$B$4:$B$138, 0), MATCH(CE$4&amp;CE$5, LS_current!$D$2:$AY$2&amp;LS_current!$D$3:$AY$3, 0)),SUM(VLOOKUP($A86, LS_current!$B$4:$AY$138, LS_current!I$148, FALSE), VLOOKUP($A86, LS_current!$B$4:$AY$138,LS_current!I$148, FALSE))/2)</f>
        <v>5407</v>
      </c>
      <c r="CF86" s="227">
        <f t="array" ref="CF86">IF($BU86=0, INDEX(LS_current!$D$4:$AY$138, MATCH('Staging Table'!$A86, LS_current!$B$4:$B$138, 0), MATCH(CF$4&amp;CF$5, LS_current!$D$2:$AY$2&amp;LS_current!$D$3:$AY$3, 0)),SUM(VLOOKUP($A86, LS_current!$B$4:$AY$138, LS_current!J$148, FALSE), VLOOKUP($A86, LS_current!$B$4:$AY$138,LS_current!J$148, FALSE))/2)</f>
        <v>11509</v>
      </c>
      <c r="CG86" s="227">
        <f t="array" ref="CG86">IF($BU86=0, INDEX(LS_current!$D$4:$AY$138, MATCH('Staging Table'!$A86, LS_current!$B$4:$B$138, 0), MATCH(CG$4&amp;CG$5, LS_current!$D$2:$AY$2&amp;LS_current!$D$3:$AY$3, 0)),SUM(VLOOKUP($A86, LS_current!$B$4:$AY$138, LS_current!K$148, FALSE), VLOOKUP($A86, LS_current!$B$4:$AY$138,LS_current!K$148, FALSE))/2)</f>
        <v>11229</v>
      </c>
      <c r="CH86" s="227">
        <f t="array" ref="CH86">IF($BU86=0, INDEX(LS_current!$D$4:$AY$138, MATCH('Staging Table'!$A86, LS_current!$B$4:$B$138, 0), MATCH(CH$4&amp;CH$5, LS_current!$D$2:$AY$2&amp;LS_current!$D$3:$AY$3, 0)),SUM(VLOOKUP($A86, LS_current!$B$4:$AY$138, LS_current!L$148, FALSE), VLOOKUP($A86, LS_current!$B$4:$AY$138,LS_current!L$148, FALSE))/2)</f>
        <v>11181</v>
      </c>
      <c r="CI86" s="227">
        <f t="array" ref="CI86">IF($BU86=0, INDEX(LS_current!$D$4:$AY$138, MATCH('Staging Table'!$A86, LS_current!$B$4:$B$138, 0), MATCH(CI$4&amp;CI$5, LS_current!$D$2:$AY$2&amp;LS_current!$D$3:$AY$3, 0)),SUM(VLOOKUP($A86, LS_current!$B$4:$AY$138, LS_current!M$148, FALSE), VLOOKUP($A86, LS_current!$B$4:$AY$138,LS_current!M$148, FALSE))/2)</f>
        <v>8223</v>
      </c>
      <c r="CJ86" s="227">
        <f t="array" ref="CJ86">IF($BU86=0, INDEX(LS_current!$D$4:$AY$138, MATCH('Staging Table'!$A86, LS_current!$B$4:$B$138, 0), MATCH(CJ$4&amp;CJ$5, LS_current!$D$2:$AY$2&amp;LS_current!$D$3:$AY$3, 0)),SUM(VLOOKUP($A86, LS_current!$B$4:$AY$138, LS_current!N$148, FALSE), VLOOKUP($A86, LS_current!$B$4:$AY$138,LS_current!N$148, FALSE))/2)</f>
        <v>3473</v>
      </c>
      <c r="CK86" s="227">
        <f t="array" ref="CK86">IF($BU86=0, INDEX(LS_current!$D$4:$AY$138, MATCH('Staging Table'!$A86, LS_current!$B$4:$B$138, 0), MATCH(CK$4&amp;CK$5, LS_current!$D$2:$AY$2&amp;LS_current!$D$3:$AY$3, 0)),SUM(VLOOKUP($A86, LS_current!$B$4:$AY$138, LS_current!O$148, FALSE), VLOOKUP($A86, LS_current!$B$4:$AY$138,LS_current!O$148, FALSE))/2)</f>
        <v>3993</v>
      </c>
      <c r="CL86" s="227">
        <f t="array" ref="CL86">IF($BU86=0, INDEX(LS_current!$D$4:$AY$138, MATCH('Staging Table'!$A86, LS_current!$B$4:$B$138, 0), MATCH(CL$4&amp;CL$5, LS_current!$D$2:$AY$2&amp;LS_current!$D$3:$AY$3, 0)),SUM(VLOOKUP($A86, LS_current!$B$4:$AY$138, LS_current!P$148, FALSE), VLOOKUP($A86, LS_current!$B$4:$AY$138,LS_current!P$148, FALSE))/2)</f>
        <v>6162</v>
      </c>
      <c r="CM86" s="227">
        <f t="array" ref="CM86">IF($BU86=0, INDEX(LS_current!$D$4:$AY$138, MATCH('Staging Table'!$A86, LS_current!$B$4:$B$138, 0), MATCH(CM$4&amp;CM$5, LS_current!$D$2:$AY$2&amp;LS_current!$D$3:$AY$3, 0)),SUM(VLOOKUP($A86, LS_current!$B$4:$AY$138, LS_current!Q$148, FALSE), VLOOKUP($A86, LS_current!$B$4:$AY$138,LS_current!Q$148, FALSE))/2)</f>
        <v>4820</v>
      </c>
      <c r="CN86" s="227">
        <f t="array" ref="CN86">IF($BU86=0, INDEX(LS_current!$D$4:$AY$138, MATCH('Staging Table'!$A86, LS_current!$B$4:$B$138, 0), MATCH(CN$4&amp;CN$5, LS_current!$D$2:$AY$2&amp;LS_current!$D$3:$AY$3, 0)),SUM(VLOOKUP($A86, LS_current!$B$4:$AY$138, LS_current!R$148, FALSE), VLOOKUP($A86, LS_current!$B$4:$AY$138,LS_current!R$148, FALSE))/2)</f>
        <v>-12404</v>
      </c>
      <c r="CO86" s="227">
        <f t="array" ref="CO86">IF($BU86=0, INDEX(LS_current!$D$4:$AY$138, MATCH('Staging Table'!$A86, LS_current!$B$4:$B$138, 0), MATCH(CO$4&amp;CO$5, LS_current!$D$2:$AY$2&amp;LS_current!$D$3:$AY$3, 0)),SUM(VLOOKUP($A86, LS_current!$B$4:$AY$138, LS_current!S$148, FALSE), VLOOKUP($A86, LS_current!$B$4:$AY$138,LS_current!S$148, FALSE))/2)</f>
        <v>-3679</v>
      </c>
      <c r="CP86" s="227">
        <f t="array" ref="CP86">IF($BU86=0, INDEX(LS_current!$D$4:$AY$138, MATCH('Staging Table'!$A86, LS_current!$B$4:$B$138, 0), MATCH(CP$4&amp;CP$5, LS_current!$D$2:$AY$2&amp;LS_current!$D$3:$AY$3, 0)),SUM(VLOOKUP($A86, LS_current!$B$4:$AY$138, LS_current!T$148, FALSE), VLOOKUP($A86, LS_current!$B$4:$AY$138,LS_current!T$148, FALSE))/2)</f>
        <v>-24412</v>
      </c>
      <c r="CQ86" s="227">
        <f t="array" ref="CQ86">IF($BU86=0, INDEX(LS_current!$D$4:$AY$138, MATCH('Staging Table'!$A86, LS_current!$B$4:$B$138, 0), MATCH(CQ$4&amp;CQ$5, LS_current!$D$2:$AY$2&amp;LS_current!$D$3:$AY$3, 0)),SUM(VLOOKUP($A86, LS_current!$B$4:$AY$138, LS_current!U$148, FALSE), VLOOKUP($A86, LS_current!$B$4:$AY$138,LS_current!U$148, FALSE))/2)</f>
        <v>-12089</v>
      </c>
      <c r="CR86" s="227">
        <f t="array" ref="CR86">IF($BU86=0, INDEX(LS_current!$D$4:$AY$138, MATCH('Staging Table'!$A86, LS_current!$B$4:$B$138, 0), MATCH(CR$4&amp;CR$5, LS_current!$D$2:$AY$2&amp;LS_current!$D$3:$AY$3, 0)),SUM(VLOOKUP($A86, LS_current!$B$4:$AY$138, LS_current!V$148, FALSE), VLOOKUP($A86, LS_current!$B$4:$AY$138,LS_current!V$148, FALSE))/2)</f>
        <v>-16442</v>
      </c>
      <c r="CS86" s="227">
        <f t="array" ref="CS86">IF($BU86=0, INDEX(LS_current!$D$4:$AY$138, MATCH('Staging Table'!$A86, LS_current!$B$4:$B$138, 0), MATCH(CS$4&amp;CS$5, LS_current!$D$2:$AY$2&amp;LS_current!$D$3:$AY$3, 0)),SUM(VLOOKUP($A86, LS_current!$B$4:$AY$138, LS_current!W$148, FALSE), VLOOKUP($A86, LS_current!$B$4:$AY$138,LS_current!W$148, FALSE))/2)</f>
        <v>-2756</v>
      </c>
      <c r="CT86" s="227">
        <f t="array" ref="CT86">IF($BU86=0, INDEX(LS_current!$D$4:$AY$138, MATCH('Staging Table'!$A86, LS_current!$B$4:$B$138, 0), MATCH(CT$4&amp;CT$5, LS_current!$D$2:$AY$2&amp;LS_current!$D$3:$AY$3, 0)),SUM(VLOOKUP($A86, LS_current!$B$4:$AY$138, LS_current!X$148, FALSE), VLOOKUP($A86, LS_current!$B$4:$AY$138,LS_current!X$148, FALSE))/2)</f>
        <v>-13975</v>
      </c>
      <c r="CU86" s="227">
        <f t="array" ref="CU86">IF($BU86=0, INDEX(LS_current!$D$4:$AY$138, MATCH('Staging Table'!$A86, LS_current!$B$4:$B$138, 0), MATCH(CU$4&amp;CU$5, LS_current!$D$2:$AY$2&amp;LS_current!$D$3:$AY$3, 0)),SUM(VLOOKUP($A86, LS_current!$B$4:$AY$138, LS_current!Y$148, FALSE), VLOOKUP($A86, LS_current!$B$4:$AY$138,LS_current!Y$148, FALSE))/2)</f>
        <v>-3486</v>
      </c>
      <c r="CV86" s="227">
        <f t="array" ref="CV86">IF($BU86=0, INDEX(LS_current!$D$4:$AY$138, MATCH('Staging Table'!$A86, LS_current!$B$4:$B$138, 0), MATCH(CV$4&amp;CV$5, LS_current!$D$2:$AY$2&amp;LS_current!$D$3:$AY$3, 0)),SUM(VLOOKUP($A86, LS_current!$B$4:$AY$138, LS_current!Z$148, FALSE), VLOOKUP($A86, LS_current!$B$4:$AY$138,LS_current!Z$148, FALSE))/2)</f>
        <v>-7806</v>
      </c>
      <c r="CW86" s="227">
        <f t="array" ref="CW86">IF($BU86=0, INDEX(LS_current!$D$4:$AY$138, MATCH('Staging Table'!$A86, LS_current!$B$4:$B$138, 0), MATCH(CW$4&amp;CW$5, LS_current!$D$2:$AY$2&amp;LS_current!$D$3:$AY$3, 0)),SUM(VLOOKUP($A86, LS_current!$B$4:$AY$138, LS_current!AA$148, FALSE), VLOOKUP($A86, LS_current!$B$4:$AY$138,LS_current!AA$148, FALSE))/2)</f>
        <v>-2553</v>
      </c>
      <c r="CX86" s="229">
        <f t="array" ref="CX86">INDEX(Demand_current!$D$4:$AY$138, MATCH($A86, Demand_current!$B$4:$B$138, 0), MATCH(CX$4&amp;CX$5,Demand_current!$D$2:$AY$2&amp;Demand_current!$D$3:$AY$3, 0))/1000</f>
        <v>9.4220000000000006</v>
      </c>
      <c r="CY86" s="229">
        <f t="array" ref="CY86">INDEX(Demand_current!$D$4:$AY$138, MATCH($A86, Demand_current!$B$4:$B$138, 0), MATCH(CY$4&amp;CY$5,Demand_current!$D$2:$AY$2&amp;Demand_current!$D$3:$AY$3, 0))/1000</f>
        <v>5.1669999999999998</v>
      </c>
      <c r="CZ86" s="229">
        <f t="array" ref="CZ86">INDEX(Demand_current!$D$4:$AY$138, MATCH($A86, Demand_current!$B$4:$B$138, 0), MATCH(CZ$4&amp;CZ$5,Demand_current!$D$2:$AY$2&amp;Demand_current!$D$3:$AY$3, 0))/1000</f>
        <v>27.059000000000001</v>
      </c>
      <c r="DA86" s="229">
        <f t="array" ref="DA86">INDEX(Demand_current!$D$4:$AY$138, MATCH($A86, Demand_current!$B$4:$B$138, 0), MATCH(DA$4&amp;DA$5,Demand_current!$D$2:$AY$2&amp;Demand_current!$D$3:$AY$3, 0))/1000</f>
        <v>23.378</v>
      </c>
      <c r="DB86" s="229">
        <f t="array" ref="DB86">INDEX(Demand_current!$D$4:$AY$138, MATCH($A86, Demand_current!$B$4:$B$138, 0), MATCH(DB$4&amp;DB$5,Demand_current!$D$2:$AY$2&amp;Demand_current!$D$3:$AY$3, 0))/1000</f>
        <v>16.138000000000002</v>
      </c>
      <c r="DC86" s="229">
        <f t="array" ref="DC86">INDEX(Demand_current!$D$4:$AY$138, MATCH($A86, Demand_current!$B$4:$B$138, 0), MATCH(DC$4&amp;DC$5,Demand_current!$D$2:$AY$2&amp;Demand_current!$D$3:$AY$3, 0))/1000</f>
        <v>24.338000000000001</v>
      </c>
      <c r="DD86" s="229">
        <f t="array" ref="DD86">INDEX(Demand_current!$D$4:$AY$138, MATCH($A86, Demand_current!$B$4:$B$138, 0), MATCH(DD$4&amp;DD$5,Demand_current!$D$2:$AY$2&amp;Demand_current!$D$3:$AY$3, 0))/1000</f>
        <v>15.305</v>
      </c>
      <c r="DE86" s="229">
        <f t="array" ref="DE86">INDEX(Demand_current!$D$4:$AY$138, MATCH($A86, Demand_current!$B$4:$B$138, 0), MATCH(DE$4&amp;DE$5,Demand_current!$D$2:$AY$2&amp;Demand_current!$D$3:$AY$3, 0))/1000</f>
        <v>9.7390000000000008</v>
      </c>
      <c r="DF86" s="229">
        <f t="array" ref="DF86">INDEX(Demand_current!$D$4:$AY$138, MATCH($A86, Demand_current!$B$4:$B$138, 0), MATCH(DF$4&amp;DF$5,Demand_current!$D$2:$AY$2&amp;Demand_current!$D$3:$AY$3, 0))/1000</f>
        <v>7.1680000000000001</v>
      </c>
      <c r="DG86" s="229">
        <f t="array" ref="DG86">INDEX(Demand_current!$D$4:$AY$138, MATCH($A86, Demand_current!$B$4:$B$138, 0), MATCH(DG$4&amp;DG$5,Demand_current!$D$2:$AY$2&amp;Demand_current!$D$3:$AY$3, 0))/1000</f>
        <v>11.196</v>
      </c>
      <c r="DH86" s="229">
        <f t="array" ref="DH86">INDEX(Demand_current!$D$4:$AY$138, MATCH($A86, Demand_current!$B$4:$B$138, 0), MATCH(DH$4&amp;DH$5,Demand_current!$D$2:$AY$2&amp;Demand_current!$D$3:$AY$3, 0))/1000</f>
        <v>13.007</v>
      </c>
      <c r="DI86" s="229">
        <f t="array" ref="DI86">INDEX(Demand_current!$D$4:$AY$138, MATCH($A86, Demand_current!$B$4:$B$138, 0), MATCH(DI$4&amp;DI$5,Demand_current!$D$2:$AY$2&amp;Demand_current!$D$3:$AY$3, 0))/1000</f>
        <v>0</v>
      </c>
      <c r="DJ86" s="227">
        <f>$BT86*(VLOOKUP(DJ$4, Rates_current!$G$6:$Q$29, 10, FALSE)+VLOOKUP(DJ$4, Rates_current!$G$6:$Q$29, 11, FALSE))</f>
        <v>52074.565068207594</v>
      </c>
      <c r="DK86" s="227">
        <f>$BT86*(VLOOKUP(DK$4, Rates_current!$G$6:$Q$29, 10, FALSE)+VLOOKUP(DK$4, Rates_current!$G$6:$Q$29, 11, FALSE))</f>
        <v>66150.942612765895</v>
      </c>
      <c r="DL86" s="227">
        <f>$BT86*(VLOOKUP(DL$4, Rates_current!$G$6:$Q$29, 10, FALSE)+VLOOKUP(DL$4, Rates_current!$G$6:$Q$29, 11, FALSE))</f>
        <v>65352.080470507601</v>
      </c>
      <c r="DM86" s="227">
        <f>$BT86*(VLOOKUP(DM$4, Rates_current!$G$6:$Q$29, 10, FALSE)+VLOOKUP(DM$4, Rates_current!$G$6:$Q$29, 11, FALSE))</f>
        <v>54474.939481707603</v>
      </c>
      <c r="DN86" s="227">
        <f>$BT86*(VLOOKUP(DN$4, Rates_current!$G$6:$Q$29, 10, FALSE)+VLOOKUP(DN$4, Rates_current!$G$6:$Q$29, 11, FALSE))</f>
        <v>49348.643832079993</v>
      </c>
      <c r="DO86" s="227">
        <f>$BT86*(VLOOKUP(DO$4, Rates_current!$G$6:$Q$29, 10, FALSE)+VLOOKUP(DO$4, Rates_current!$G$6:$Q$29, 11, FALSE))</f>
        <v>54891.369125079698</v>
      </c>
      <c r="DP86" s="227">
        <f>$BT86*(VLOOKUP(DP$4, Rates_current!$G$6:$Q$29, 10, FALSE)+VLOOKUP(DP$4, Rates_current!$G$6:$Q$29, 11, FALSE))</f>
        <v>44692.611975287997</v>
      </c>
      <c r="DQ86" s="227">
        <f>$BT86*(VLOOKUP(DQ$4, Rates_current!$G$6:$Q$29, 10, FALSE)+VLOOKUP(DQ$4, Rates_current!$G$6:$Q$29, 11, FALSE))</f>
        <v>60274.651655257599</v>
      </c>
      <c r="DR86" s="227">
        <f>$BT86*(VLOOKUP(DR$4, Rates_current!$G$6:$Q$29, 10, FALSE)+VLOOKUP(DR$4, Rates_current!$G$6:$Q$29, 11, FALSE))</f>
        <v>76906.356147237995</v>
      </c>
      <c r="DS86" s="227">
        <f>$BT86*(VLOOKUP(DS$4, Rates_current!$G$6:$Q$29, 10, FALSE)+VLOOKUP(DS$4, Rates_current!$G$6:$Q$29, 11, FALSE))</f>
        <v>60297.021766607599</v>
      </c>
      <c r="DT86" s="227">
        <f>$BT86*(VLOOKUP(DT$4, Rates_current!$G$6:$Q$29, 10, FALSE)+VLOOKUP(DT$4, Rates_current!$G$6:$Q$29, 11, FALSE))</f>
        <v>58717.292660557599</v>
      </c>
      <c r="DU86" s="227">
        <f>$BT86*(VLOOKUP(DU$4, Rates_current!$G$6:$Q$29, 10, FALSE)+VLOOKUP(DU$4, Rates_current!$G$6:$Q$29, 11, FALSE))</f>
        <v>52715.638031388</v>
      </c>
      <c r="DV86" s="229">
        <f>IF(D86=0,IF(C86=0,MAX(0,DY86 - (VLOOKUP($A86,TOCA_current!$A$2:$AI$137,MATCH("RHWM 2020",TOCA_current!$A$2:$AI$2,0),FALSE)*$BT$2)), 0),0)</f>
        <v>0</v>
      </c>
      <c r="DW86" s="266">
        <f>VLOOKUP($A86,REP_current!$A$1:$D$135,MATCH("FY "&amp;$BT$1&amp; " Total Refund",REP_current!$A$1:$D$1,0),0)</f>
        <v>0</v>
      </c>
      <c r="DX86" s="295">
        <f>MIN(VLOOKUP($A86,TOCA_current!$A$2:$AI$137,MATCH("TRL - NLSL - Existing Resource "&amp;$BT$1,TOCA_current!$A$2:$AI$2,0),FALSE)*$BT$2, VLOOKUP($A86,TOCA_current!$A$2:$AI$137,MATCH("RHWM 2020",TOCA_current!$A$2:$AI$2,0),FALSE)*$BT$2)</f>
        <v>695894.83199999994</v>
      </c>
      <c r="DY86" s="240">
        <f>SUM(BZ86:CW86)+(BT86*RT1SC!$C$4*$BT$2)</f>
        <v>666927.13894676475</v>
      </c>
      <c r="DZ86" s="271">
        <f>VLOOKUP($A86,TOCA_current!$A$2:$AI$137,MATCH("Above RHWM Not Served with LS "&amp;$BT$1,TOCA_current!$A$2:$AI$2,0),FALSE)*$BT$2</f>
        <v>0</v>
      </c>
      <c r="EA86" s="244">
        <f t="shared" si="29"/>
        <v>-28967.693053235183</v>
      </c>
      <c r="EB86" s="295">
        <f>(VLOOKUP($A86,TOCA_current!$A$2:$AI$137,MATCH("RHWM 2020",TOCA_current!$A$2:$AI$2,0),FALSE)*$BT$2) - $DX86</f>
        <v>2477.0879999999888</v>
      </c>
      <c r="EC86" s="240">
        <f t="shared" si="30"/>
        <v>0</v>
      </c>
      <c r="ED86" s="240">
        <f t="shared" si="31"/>
        <v>28967.693053235183</v>
      </c>
      <c r="EE86" s="240">
        <f t="shared" si="32"/>
        <v>0</v>
      </c>
      <c r="EF86" s="240">
        <f t="shared" si="33"/>
        <v>28967.693053235183</v>
      </c>
    </row>
    <row r="87" spans="1:136">
      <c r="A87" s="166">
        <v>10256</v>
      </c>
      <c r="B87" s="167" t="s">
        <v>88</v>
      </c>
      <c r="C87" s="240">
        <v>0</v>
      </c>
      <c r="D87" s="240">
        <v>0</v>
      </c>
      <c r="E87" s="150">
        <f>VLOOKUP($A87,TOCA_previous!$A$2:$AI$137,MATCH(E$4,TOCA_previous!$A$2:$AI$2,0),FALSE)</f>
        <v>6.4378999999999999E-3</v>
      </c>
      <c r="F87" s="151">
        <f>VLOOKUP($A87,TOCA_previous!$A$2:$AI$137,MATCH(F$4,TOCA_previous!$A$2:$AI$2,0),FALSE)</f>
        <v>6.4378999999999999E-3</v>
      </c>
      <c r="G87" s="151">
        <f t="shared" si="18"/>
        <v>0</v>
      </c>
      <c r="H87" s="151">
        <f>VLOOKUP($A87,TOCA_previous!$A$2:$AI$137,MATCH(H$4,TOCA_previous!$A$2:$AI$2,0),FALSE)</f>
        <v>6.5000000000000002E-2</v>
      </c>
      <c r="I87" s="151">
        <f t="shared" si="19"/>
        <v>0</v>
      </c>
      <c r="J87" s="151">
        <f t="shared" si="20"/>
        <v>0</v>
      </c>
      <c r="K87" s="226">
        <f>VLOOKUP(A87, IRD!$A$5:$C$139, 3, FALSE)</f>
        <v>41489.314000000006</v>
      </c>
      <c r="L87" s="227">
        <f t="array" ref="L87">IF($G87=0, INDEX(LS_previous!$D$4:$AY$138, MATCH('Staging Table'!$A87, LS_previous!$B$4:$B$138, 0), MATCH(L$4&amp;L$5, LS_previous!$D$2:$AY$2&amp;LS_previous!$D$3:$AY$3, 0)),SUM(VLOOKUP($A87, LS_previous!$B$4:$AY$138, LS_previous!D$149, FALSE), VLOOKUP('Staging Table'!$A87, LS_previous!$B$4:$AY$138,LS_previous!AB$149, FALSE))/2)</f>
        <v>-1319</v>
      </c>
      <c r="M87" s="227">
        <f t="array" ref="M87">IF($G87=0, INDEX(LS_previous!$D$4:$AY$138, MATCH('Staging Table'!$A87, LS_previous!$B$4:$B$138, 0), MATCH(M$4&amp;M$5, LS_previous!$D$2:$AY$2&amp;LS_previous!$D$3:$AY$3, 0)),SUM(VLOOKUP($A87, LS_previous!$B$4:$AY$138, LS_previous!E$149, FALSE), VLOOKUP('Staging Table'!$A87, LS_previous!$B$4:$AY$138,LS_previous!AC$149, FALSE))/2)</f>
        <v>1015</v>
      </c>
      <c r="N87" s="227">
        <f t="array" ref="N87">IF($G87=0, INDEX(LS_previous!$D$4:$AY$138, MATCH('Staging Table'!$A87, LS_previous!$B$4:$B$138, 0), MATCH(N$4&amp;N$5, LS_previous!$D$2:$AY$2&amp;LS_previous!$D$3:$AY$3, 0)),SUM(VLOOKUP($A87, LS_previous!$B$4:$AY$138, LS_previous!F$149, FALSE), VLOOKUP('Staging Table'!$A87, LS_previous!$B$4:$AY$138,LS_previous!AD$149, FALSE))/2)</f>
        <v>-2328</v>
      </c>
      <c r="O87" s="227">
        <f t="array" ref="O87">IF($G87=0, INDEX(LS_previous!$D$4:$AY$138, MATCH('Staging Table'!$A87, LS_previous!$B$4:$B$138, 0), MATCH(O$4&amp;O$5, LS_previous!$D$2:$AY$2&amp;LS_previous!$D$3:$AY$3, 0)),SUM(VLOOKUP($A87, LS_previous!$B$4:$AY$138, LS_previous!G$149, FALSE), VLOOKUP('Staging Table'!$A87, LS_previous!$B$4:$AY$138,LS_previous!AE$149, FALSE))/2)</f>
        <v>2016</v>
      </c>
      <c r="P87" s="227">
        <f t="array" ref="P87">IF($G87=0, INDEX(LS_previous!$D$4:$AY$138, MATCH('Staging Table'!$A87, LS_previous!$B$4:$B$138, 0), MATCH(P$4&amp;P$5, LS_previous!$D$2:$AY$2&amp;LS_previous!$D$3:$AY$3, 0)),SUM(VLOOKUP($A87, LS_previous!$B$4:$AY$138, LS_previous!H$149, FALSE), VLOOKUP('Staging Table'!$A87, LS_previous!$B$4:$AY$138,LS_previous!AF$149, FALSE))/2)</f>
        <v>3880</v>
      </c>
      <c r="Q87" s="227">
        <f t="array" ref="Q87">IF($G87=0, INDEX(LS_previous!$D$4:$AY$138, MATCH('Staging Table'!$A87, LS_previous!$B$4:$B$138, 0), MATCH(Q$4&amp;Q$5, LS_previous!$D$2:$AY$2&amp;LS_previous!$D$3:$AY$3, 0)),SUM(VLOOKUP($A87, LS_previous!$B$4:$AY$138, LS_previous!I$149, FALSE), VLOOKUP('Staging Table'!$A87, LS_previous!$B$4:$AY$138,LS_previous!AG$149, FALSE))/2)</f>
        <v>5548</v>
      </c>
      <c r="R87" s="227">
        <f t="array" ref="R87">IF($G87=0, INDEX(LS_previous!$D$4:$AY$138, MATCH('Staging Table'!$A87, LS_previous!$B$4:$B$138, 0), MATCH(R$4&amp;R$5, LS_previous!$D$2:$AY$2&amp;LS_previous!$D$3:$AY$3, 0)),SUM(VLOOKUP($A87, LS_previous!$B$4:$AY$138, LS_previous!J$149, FALSE), VLOOKUP('Staging Table'!$A87, LS_previous!$B$4:$AY$138,LS_previous!AH$149, FALSE))/2)</f>
        <v>5132</v>
      </c>
      <c r="S87" s="227">
        <f t="array" ref="S87">IF($G87=0, INDEX(LS_previous!$D$4:$AY$138, MATCH('Staging Table'!$A87, LS_previous!$B$4:$B$138, 0), MATCH(S$4&amp;S$5, LS_previous!$D$2:$AY$2&amp;LS_previous!$D$3:$AY$3, 0)),SUM(VLOOKUP($A87, LS_previous!$B$4:$AY$138, LS_previous!K$149, FALSE), VLOOKUP('Staging Table'!$A87, LS_previous!$B$4:$AY$138,LS_previous!AI$149, FALSE))/2)</f>
        <v>6386</v>
      </c>
      <c r="T87" s="227">
        <f t="array" ref="T87">IF($G87=0, INDEX(LS_previous!$D$4:$AY$138, MATCH('Staging Table'!$A87, LS_previous!$B$4:$B$138, 0), MATCH(T$4&amp;T$5, LS_previous!$D$2:$AY$2&amp;LS_previous!$D$3:$AY$3, 0)),SUM(VLOOKUP($A87, LS_previous!$B$4:$AY$138, LS_previous!L$149, FALSE), VLOOKUP('Staging Table'!$A87, LS_previous!$B$4:$AY$138,LS_previous!AJ$149, FALSE))/2)</f>
        <v>6033</v>
      </c>
      <c r="U87" s="227">
        <f t="array" ref="U87">IF($G87=0, INDEX(LS_previous!$D$4:$AY$138, MATCH('Staging Table'!$A87, LS_previous!$B$4:$B$138, 0), MATCH(U$4&amp;U$5, LS_previous!$D$2:$AY$2&amp;LS_previous!$D$3:$AY$3, 0)),SUM(VLOOKUP($A87, LS_previous!$B$4:$AY$138, LS_previous!M$149, FALSE), VLOOKUP('Staging Table'!$A87, LS_previous!$B$4:$AY$138,LS_previous!AK$149, FALSE))/2)</f>
        <v>5549</v>
      </c>
      <c r="V87" s="227">
        <f t="array" ref="V87">IF($G87=0, INDEX(LS_previous!$D$4:$AY$138, MATCH('Staging Table'!$A87, LS_previous!$B$4:$B$138, 0), MATCH(V$4&amp;V$5, LS_previous!$D$2:$AY$2&amp;LS_previous!$D$3:$AY$3, 0)),SUM(VLOOKUP($A87, LS_previous!$B$4:$AY$138, LS_previous!N$149, FALSE), VLOOKUP('Staging Table'!$A87, LS_previous!$B$4:$AY$138,LS_previous!AL$149, FALSE))/2)</f>
        <v>1964</v>
      </c>
      <c r="W87" s="227">
        <f t="array" ref="W87">IF($G87=0, INDEX(LS_previous!$D$4:$AY$138, MATCH('Staging Table'!$A87, LS_previous!$B$4:$B$138, 0), MATCH(W$4&amp;W$5, LS_previous!$D$2:$AY$2&amp;LS_previous!$D$3:$AY$3, 0)),SUM(VLOOKUP($A87, LS_previous!$B$4:$AY$138, LS_previous!O$149, FALSE), VLOOKUP('Staging Table'!$A87, LS_previous!$B$4:$AY$138,LS_previous!AM$149, FALSE))/2)</f>
        <v>3122</v>
      </c>
      <c r="X87" s="227">
        <f t="array" ref="X87">IF($G87=0, INDEX(LS_previous!$D$4:$AY$138, MATCH('Staging Table'!$A87, LS_previous!$B$4:$B$138, 0), MATCH(X$4&amp;X$5, LS_previous!$D$2:$AY$2&amp;LS_previous!$D$3:$AY$3, 0)),SUM(VLOOKUP($A87, LS_previous!$B$4:$AY$138, LS_previous!P$149, FALSE), VLOOKUP('Staging Table'!$A87, LS_previous!$B$4:$AY$138,LS_previous!AN$149, FALSE))/2)</f>
        <v>404</v>
      </c>
      <c r="Y87" s="227">
        <f t="array" ref="Y87">IF($G87=0, INDEX(LS_previous!$D$4:$AY$138, MATCH('Staging Table'!$A87, LS_previous!$B$4:$B$138, 0), MATCH(Y$4&amp;Y$5, LS_previous!$D$2:$AY$2&amp;LS_previous!$D$3:$AY$3, 0)),SUM(VLOOKUP($A87, LS_previous!$B$4:$AY$138, LS_previous!Q$149, FALSE), VLOOKUP('Staging Table'!$A87, LS_previous!$B$4:$AY$138,LS_previous!AO$149, FALSE))/2)</f>
        <v>2281</v>
      </c>
      <c r="Z87" s="227">
        <f t="array" ref="Z87">IF($G87=0, INDEX(LS_previous!$D$4:$AY$138, MATCH('Staging Table'!$A87, LS_previous!$B$4:$B$138, 0), MATCH(Z$4&amp;Z$5, LS_previous!$D$2:$AY$2&amp;LS_previous!$D$3:$AY$3, 0)),SUM(VLOOKUP($A87, LS_previous!$B$4:$AY$138, LS_previous!R$149, FALSE), VLOOKUP('Staging Table'!$A87, LS_previous!$B$4:$AY$138,LS_previous!AP$149, FALSE))/2)</f>
        <v>-6274</v>
      </c>
      <c r="AA87" s="227">
        <f t="array" ref="AA87">IF($G87=0, INDEX(LS_previous!$D$4:$AY$138, MATCH('Staging Table'!$A87, LS_previous!$B$4:$B$138, 0), MATCH(AA$4&amp;AA$5, LS_previous!$D$2:$AY$2&amp;LS_previous!$D$3:$AY$3, 0)),SUM(VLOOKUP($A87, LS_previous!$B$4:$AY$138, LS_previous!S$149, FALSE), VLOOKUP('Staging Table'!$A87, LS_previous!$B$4:$AY$138,LS_previous!AQ$149, FALSE))/2)</f>
        <v>-1193</v>
      </c>
      <c r="AB87" s="227">
        <f t="array" ref="AB87">IF($G87=0, INDEX(LS_previous!$D$4:$AY$138, MATCH('Staging Table'!$A87, LS_previous!$B$4:$B$138, 0), MATCH(AB$4&amp;AB$5, LS_previous!$D$2:$AY$2&amp;LS_previous!$D$3:$AY$3, 0)),SUM(VLOOKUP($A87, LS_previous!$B$4:$AY$138, LS_previous!T$149, FALSE), VLOOKUP('Staging Table'!$A87, LS_previous!$B$4:$AY$138,LS_previous!AR$149, FALSE))/2)</f>
        <v>-1801</v>
      </c>
      <c r="AC87" s="227">
        <f t="array" ref="AC87">IF($G87=0, INDEX(LS_previous!$D$4:$AY$138, MATCH('Staging Table'!$A87, LS_previous!$B$4:$B$138, 0), MATCH(AC$4&amp;AC$5, LS_previous!$D$2:$AY$2&amp;LS_previous!$D$3:$AY$3, 0)),SUM(VLOOKUP($A87, LS_previous!$B$4:$AY$138, LS_previous!U$149, FALSE), VLOOKUP('Staging Table'!$A87, LS_previous!$B$4:$AY$138,LS_previous!AS$149, FALSE))/2)</f>
        <v>806</v>
      </c>
      <c r="AD87" s="227">
        <f t="array" ref="AD87">IF($G87=0, INDEX(LS_previous!$D$4:$AY$138, MATCH('Staging Table'!$A87, LS_previous!$B$4:$B$138, 0), MATCH(AD$4&amp;AD$5, LS_previous!$D$2:$AY$2&amp;LS_previous!$D$3:$AY$3, 0)),SUM(VLOOKUP($A87, LS_previous!$B$4:$AY$138, LS_previous!V$149, FALSE), VLOOKUP('Staging Table'!$A87, LS_previous!$B$4:$AY$138,LS_previous!AT$149, FALSE))/2)</f>
        <v>2402</v>
      </c>
      <c r="AE87" s="227">
        <f t="array" ref="AE87">IF($G87=0, INDEX(LS_previous!$D$4:$AY$138, MATCH('Staging Table'!$A87, LS_previous!$B$4:$B$138, 0), MATCH(AE$4&amp;AE$5, LS_previous!$D$2:$AY$2&amp;LS_previous!$D$3:$AY$3, 0)),SUM(VLOOKUP($A87, LS_previous!$B$4:$AY$138, LS_previous!W$149, FALSE), VLOOKUP('Staging Table'!$A87, LS_previous!$B$4:$AY$138,LS_previous!AU$149, FALSE))/2)</f>
        <v>4834</v>
      </c>
      <c r="AF87" s="227">
        <f t="array" ref="AF87">IF($G87=0, INDEX(LS_previous!$D$4:$AY$138, MATCH('Staging Table'!$A87, LS_previous!$B$4:$B$138, 0), MATCH(AF$4&amp;AF$5, LS_previous!$D$2:$AY$2&amp;LS_previous!$D$3:$AY$3, 0)),SUM(VLOOKUP($A87, LS_previous!$B$4:$AY$138, LS_previous!X$149, FALSE), VLOOKUP('Staging Table'!$A87, LS_previous!$B$4:$AY$138,LS_previous!AV$149, FALSE))/2)</f>
        <v>76</v>
      </c>
      <c r="AG87" s="227">
        <f t="array" ref="AG87">IF($G87=0, INDEX(LS_previous!$D$4:$AY$138, MATCH('Staging Table'!$A87, LS_previous!$B$4:$B$138, 0), MATCH(AG$4&amp;AG$5, LS_previous!$D$2:$AY$2&amp;LS_previous!$D$3:$AY$3, 0)),SUM(VLOOKUP($A87, LS_previous!$B$4:$AY$138, LS_previous!Y$149, FALSE), VLOOKUP('Staging Table'!$A87, LS_previous!$B$4:$AY$138,LS_previous!AW$149, FALSE))/2)</f>
        <v>2774</v>
      </c>
      <c r="AH87" s="227">
        <f t="array" ref="AH87">IF($G87=0, INDEX(LS_previous!$D$4:$AY$138, MATCH('Staging Table'!$A87, LS_previous!$B$4:$B$138, 0), MATCH(AH$4&amp;AH$5, LS_previous!$D$2:$AY$2&amp;LS_previous!$D$3:$AY$3, 0)),SUM(VLOOKUP($A87, LS_previous!$B$4:$AY$138, LS_previous!Z$149, FALSE), VLOOKUP('Staging Table'!$A87, LS_previous!$B$4:$AY$138,LS_previous!AX$149, FALSE))/2)</f>
        <v>-1451</v>
      </c>
      <c r="AI87" s="227">
        <f t="array" ref="AI87">IF($G87=0, INDEX(LS_previous!$D$4:$AY$138, MATCH('Staging Table'!$A87, LS_previous!$B$4:$B$138, 0), MATCH(AI$4&amp;AI$5, LS_previous!$D$2:$AY$2&amp;LS_previous!$D$3:$AY$3, 0)),SUM(VLOOKUP($A87, LS_previous!$B$4:$AY$138, LS_previous!AA$149, FALSE), VLOOKUP('Staging Table'!$A87, LS_previous!$B$4:$AY$138,LS_previous!AY$149, FALSE))/2)</f>
        <v>1295</v>
      </c>
      <c r="AJ87" s="424">
        <f t="array" ref="AJ87">INDEX(Demand_previous!$D$4:$AY$138, MATCH('Staging Table'!$A87, Demand_previous!$B$4:$B$138, 0), MATCH(AJ$4&amp;AJ$5,Demand_previous!$D$2:$AY$2&amp;Demand_previous!$D$3:$AY$3, 0))/1000</f>
        <v>8.3930000000000007</v>
      </c>
      <c r="AK87" s="424">
        <f t="array" ref="AK87">INDEX(Demand_previous!$D$4:$AY$138, MATCH('Staging Table'!$A87, Demand_previous!$B$4:$B$138, 0), MATCH(AK$4&amp;AK$5,Demand_previous!$D$2:$AY$2&amp;Demand_previous!$D$3:$AY$3, 0))/1000</f>
        <v>6.7450000000000001</v>
      </c>
      <c r="AL87" s="424">
        <f t="array" ref="AL87">INDEX(Demand_previous!$D$4:$AY$138, MATCH('Staging Table'!$A87, Demand_previous!$B$4:$B$138, 0), MATCH(AL$4&amp;AL$5,Demand_previous!$D$2:$AY$2&amp;Demand_previous!$D$3:$AY$3, 0))/1000</f>
        <v>17.614000000000001</v>
      </c>
      <c r="AM87" s="424">
        <f t="array" ref="AM87">INDEX(Demand_previous!$D$4:$AY$138, MATCH('Staging Table'!$A87, Demand_previous!$B$4:$B$138, 0), MATCH(AM$4&amp;AM$5,Demand_previous!$D$2:$AY$2&amp;Demand_previous!$D$3:$AY$3, 0))/1000</f>
        <v>17.167999999999999</v>
      </c>
      <c r="AN87" s="424">
        <f t="array" ref="AN87">INDEX(Demand_previous!$D$4:$AY$138, MATCH('Staging Table'!$A87, Demand_previous!$B$4:$B$138, 0), MATCH(AN$4&amp;AN$5,Demand_previous!$D$2:$AY$2&amp;Demand_previous!$D$3:$AY$3, 0))/1000</f>
        <v>4.7350000000000003</v>
      </c>
      <c r="AO87" s="424">
        <f t="array" ref="AO87">INDEX(Demand_previous!$D$4:$AY$138, MATCH('Staging Table'!$A87, Demand_previous!$B$4:$B$138, 0), MATCH(AO$4&amp;AO$5,Demand_previous!$D$2:$AY$2&amp;Demand_previous!$D$3:$AY$3, 0))/1000</f>
        <v>9.1120000000000001</v>
      </c>
      <c r="AP87" s="424">
        <f t="array" ref="AP87">INDEX(Demand_previous!$D$4:$AY$138, MATCH('Staging Table'!$A87, Demand_previous!$B$4:$B$138, 0), MATCH(AP$4&amp;AP$5,Demand_previous!$D$2:$AY$2&amp;Demand_previous!$D$3:$AY$3, 0))/1000</f>
        <v>7.1189999999999998</v>
      </c>
      <c r="AQ87" s="424">
        <f t="array" ref="AQ87">INDEX(Demand_previous!$D$4:$AY$138, MATCH('Staging Table'!$A87, Demand_previous!$B$4:$B$138, 0), MATCH(AQ$4&amp;AQ$5,Demand_previous!$D$2:$AY$2&amp;Demand_previous!$D$3:$AY$3, 0))/1000</f>
        <v>3.141</v>
      </c>
      <c r="AR87" s="424">
        <f t="array" ref="AR87">INDEX(Demand_previous!$D$4:$AY$138, MATCH('Staging Table'!$A87, Demand_previous!$B$4:$B$138, 0), MATCH(AR$4&amp;AR$5,Demand_previous!$D$2:$AY$2&amp;Demand_previous!$D$3:$AY$3, 0))/1000</f>
        <v>6.2679999999999998</v>
      </c>
      <c r="AS87" s="424">
        <f t="array" ref="AS87">INDEX(Demand_previous!$D$4:$AY$138, MATCH('Staging Table'!$A87, Demand_previous!$B$4:$B$138, 0), MATCH(AS$4&amp;AS$5,Demand_previous!$D$2:$AY$2&amp;Demand_previous!$D$3:$AY$3, 0))/1000</f>
        <v>5.2149999999999999</v>
      </c>
      <c r="AT87" s="424">
        <f t="array" ref="AT87">INDEX(Demand_previous!$D$4:$AY$138, MATCH('Staging Table'!$A87, Demand_previous!$B$4:$B$138, 0), MATCH(AT$4&amp;AT$5,Demand_previous!$D$2:$AY$2&amp;Demand_previous!$D$3:$AY$3, 0))/1000</f>
        <v>6.9169999999999998</v>
      </c>
      <c r="AU87" s="424">
        <f t="array" ref="AU87">INDEX(Demand_previous!$D$4:$AY$138, MATCH('Staging Table'!$A87, Demand_previous!$B$4:$B$138, 0), MATCH(AU$4&amp;AU$5,Demand_previous!$D$2:$AY$2&amp;Demand_previous!$D$3:$AY$3, 0))/1000</f>
        <v>1.167</v>
      </c>
      <c r="AV87" s="227">
        <f>$F87*(VLOOKUP(AV$4, Rates_previous!$G$6:$Q$29, 10, FALSE)+VLOOKUP(AV$4, Rates_previous!$G$6:$Q$29, 11, FALSE))</f>
        <v>30186.26863048736</v>
      </c>
      <c r="AW87" s="227">
        <f>$F87*(VLOOKUP(AW$4, Rates_previous!$G$6:$Q$29, 10, FALSE)+VLOOKUP(AW$4, Rates_previous!$G$6:$Q$29, 11, FALSE))</f>
        <v>37307.933749280404</v>
      </c>
      <c r="AX87" s="227">
        <f>$F87*(VLOOKUP(AX$4, Rates_previous!$G$6:$Q$29, 10, FALSE)+VLOOKUP(AX$4, Rates_previous!$G$6:$Q$29, 11, FALSE))</f>
        <v>36859.910087395663</v>
      </c>
      <c r="AY87" s="227">
        <f>$F87*(VLOOKUP(AY$4, Rates_previous!$G$6:$Q$29, 10, FALSE)+VLOOKUP(AY$4, Rates_previous!$G$6:$Q$29, 11, FALSE))</f>
        <v>31493.279839998562</v>
      </c>
      <c r="AZ87" s="227">
        <f>$F87*(VLOOKUP(AZ$4, Rates_previous!$G$6:$Q$29, 10, FALSE)+VLOOKUP(AZ$4, Rates_previous!$G$6:$Q$29, 11, FALSE))</f>
        <v>25818.380681156621</v>
      </c>
      <c r="BA87" s="227">
        <f>$F87*(VLOOKUP(BA$4, Rates_previous!$G$6:$Q$29, 10, FALSE)+VLOOKUP(BA$4, Rates_previous!$G$6:$Q$29, 11, FALSE))</f>
        <v>30568.024915868969</v>
      </c>
      <c r="BB87" s="227">
        <f>$F87*(VLOOKUP(BB$4, Rates_previous!$G$6:$Q$29, 10, FALSE)+VLOOKUP(BB$4, Rates_previous!$G$6:$Q$29, 11, FALSE))</f>
        <v>29380.318334643445</v>
      </c>
      <c r="BC87" s="227">
        <f>$F87*(VLOOKUP(BC$4, Rates_previous!$G$6:$Q$29, 10, FALSE)+VLOOKUP(BC$4, Rates_previous!$G$6:$Q$29, 11, FALSE))</f>
        <v>43113.538124041079</v>
      </c>
      <c r="BD87" s="227">
        <f>$F87*(VLOOKUP(BD$4, Rates_previous!$G$6:$Q$29, 10, FALSE)+VLOOKUP(BD$4, Rates_previous!$G$6:$Q$29, 11, FALSE))</f>
        <v>34015.442075165796</v>
      </c>
      <c r="BE87" s="227">
        <f>$F87*(VLOOKUP(BE$4, Rates_previous!$G$6:$Q$29, 10, FALSE)+VLOOKUP(BE$4, Rates_previous!$G$6:$Q$29, 11, FALSE))</f>
        <v>29868.413246163142</v>
      </c>
      <c r="BF87" s="227">
        <f>$F87*(VLOOKUP(BF$4, Rates_previous!$G$6:$Q$29, 10, FALSE)+VLOOKUP(BF$4, Rates_previous!$G$6:$Q$29, 11, FALSE))</f>
        <v>33080.46323439321</v>
      </c>
      <c r="BG87" s="227">
        <f>$F87*(VLOOKUP(BG$4, Rates_previous!$G$6:$Q$29, 10, FALSE)+VLOOKUP(BG$4, Rates_previous!$G$6:$Q$29, 11, FALSE))</f>
        <v>29969.584162786519</v>
      </c>
      <c r="BH87" s="229">
        <f>IF($D87=0,IF(C87=0, MAX(BK87 - (VLOOKUP($A87,TOCA_previous!$A$2:$AI$137,MATCH("RHWM 2018",TOCA_previous!$A$2:$AI$2,0),FALSE)*$F$2*TOCA_previous!C84),0),0), 0)</f>
        <v>29896.362795384019</v>
      </c>
      <c r="BI87" s="266">
        <f>VLOOKUP($A87,REP_previous!$A$1:$D$135,MATCH("FY "&amp;$F$1&amp; " Total Refund",REP_previous!$A$1:$D$1,0),0)</f>
        <v>542621.00665827445</v>
      </c>
      <c r="BJ87" s="241">
        <f>MIN(VLOOKUP($A87,TOCA_previous!$A$2:$AI$137,MATCH("TRL - NLSL - Existing Resource "&amp;$F$1,TOCA_previous!$A$2:$AI$2,0),FALSE)*$F$2,(VLOOKUP($A87,TOCA_previous!$A$2:$AI$137,MATCH("RHWM 2018",TOCA_previous!$A$2:$AI$2,0),FALSE)*$F$2))</f>
        <v>391659.60000000003</v>
      </c>
      <c r="BK87" s="229">
        <f>SUM(L87:AI87)+(F87*RT1SC!$C$3*$F$2)</f>
        <v>432812.56279538397</v>
      </c>
      <c r="BL87" s="241">
        <f>VLOOKUP($A87,TOCA_previous!$A$2:$AI$137,MATCH("Above RHWM Not Served with LS "&amp;$F$1,TOCA_previous!$A$2:$AI$2,0),FALSE)*$F$2</f>
        <v>0</v>
      </c>
      <c r="BM87" s="151">
        <f t="shared" si="21"/>
        <v>41152.962795383937</v>
      </c>
      <c r="BN87" s="242">
        <f>(VLOOKUP($A87,TOCA_previous!$A$2:$AI$137,MATCH("RHWM 2018",TOCA_previous!$A$2:$AI$2,0),FALSE)*$F$2) - $BJ87</f>
        <v>11256.599999999919</v>
      </c>
      <c r="BO87" s="151">
        <f t="shared" si="22"/>
        <v>-11256.599999999919</v>
      </c>
      <c r="BP87" s="243">
        <f t="shared" si="23"/>
        <v>0</v>
      </c>
      <c r="BQ87" s="237">
        <f t="shared" si="24"/>
        <v>0</v>
      </c>
      <c r="BR87" s="242">
        <f t="shared" si="25"/>
        <v>-11256.599999999919</v>
      </c>
      <c r="BS87" s="151">
        <f>VLOOKUP($A87,TOCA_current!$A$2:$AI$137,MATCH(BS$4,TOCA_current!$A$2:$AI$2,0),FALSE)</f>
        <v>6.5953000000000001E-3</v>
      </c>
      <c r="BT87" s="151">
        <f>VLOOKUP($A87,TOCA_current!$A$2:$AI$137,MATCH(BT$4,TOCA_current!$A$2:$AI$2,0),FALSE)</f>
        <v>6.5953000000000001E-3</v>
      </c>
      <c r="BU87" s="236">
        <f t="shared" si="26"/>
        <v>0</v>
      </c>
      <c r="BV87" s="151">
        <f>VLOOKUP($A87,TOCA_current!A83:BG218,MATCH(BV$4,TOCA_current!$A$2:$BG$2,0),FALSE)</f>
        <v>6.5000000000000002E-2</v>
      </c>
      <c r="BW87" s="151">
        <f t="shared" si="27"/>
        <v>0</v>
      </c>
      <c r="BX87" s="151">
        <f t="shared" si="28"/>
        <v>0</v>
      </c>
      <c r="BY87" s="226">
        <f>VLOOKUP($A87,IRD!$A$4:$G$139, 7, FALSE)</f>
        <v>41489.314000000006</v>
      </c>
      <c r="BZ87" s="227">
        <f t="array" ref="BZ87">IF($BU87=0, INDEX(LS_current!$D$4:$AY$138, MATCH('Staging Table'!$A87, LS_current!$B$4:$B$138, 0), MATCH(BZ$4&amp;BZ$5, LS_current!$D$2:$AY$2&amp;LS_current!$D$3:$AY$3, 0)),SUM(VLOOKUP($A87, LS_current!$B$4:$AY$138, LS_current!D$148, FALSE), VLOOKUP($A87, LS_current!$B$4:$AY$138,LS_current!D$148, FALSE))/2)</f>
        <v>-1531</v>
      </c>
      <c r="CA87" s="227">
        <f t="array" ref="CA87">IF($BU87=0, INDEX(LS_current!$D$4:$AY$138, MATCH('Staging Table'!$A87, LS_current!$B$4:$B$138, 0), MATCH(CA$4&amp;CA$5, LS_current!$D$2:$AY$2&amp;LS_current!$D$3:$AY$3, 0)),SUM(VLOOKUP($A87, LS_current!$B$4:$AY$138, LS_current!E$148, FALSE), VLOOKUP($A87, LS_current!$B$4:$AY$138,LS_current!E$148, FALSE))/2)</f>
        <v>961</v>
      </c>
      <c r="CB87" s="227">
        <f t="array" ref="CB87">IF($BU87=0, INDEX(LS_current!$D$4:$AY$138, MATCH('Staging Table'!$A87, LS_current!$B$4:$B$138, 0), MATCH(CB$4&amp;CB$5, LS_current!$D$2:$AY$2&amp;LS_current!$D$3:$AY$3, 0)),SUM(VLOOKUP($A87, LS_current!$B$4:$AY$138, LS_current!F$148, FALSE), VLOOKUP($A87, LS_current!$B$4:$AY$138,LS_current!F$148, FALSE))/2)</f>
        <v>-3073</v>
      </c>
      <c r="CC87" s="227">
        <f t="array" ref="CC87">IF($BU87=0, INDEX(LS_current!$D$4:$AY$138, MATCH('Staging Table'!$A87, LS_current!$B$4:$B$138, 0), MATCH(CC$4&amp;CC$5, LS_current!$D$2:$AY$2&amp;LS_current!$D$3:$AY$3, 0)),SUM(VLOOKUP($A87, LS_current!$B$4:$AY$138, LS_current!G$148, FALSE), VLOOKUP($A87, LS_current!$B$4:$AY$138,LS_current!G$148, FALSE))/2)</f>
        <v>1385</v>
      </c>
      <c r="CD87" s="227">
        <f t="array" ref="CD87">IF($BU87=0, INDEX(LS_current!$D$4:$AY$138, MATCH('Staging Table'!$A87, LS_current!$B$4:$B$138, 0), MATCH(CD$4&amp;CD$5, LS_current!$D$2:$AY$2&amp;LS_current!$D$3:$AY$3, 0)),SUM(VLOOKUP($A87, LS_current!$B$4:$AY$138, LS_current!H$148, FALSE), VLOOKUP($A87, LS_current!$B$4:$AY$138,LS_current!H$148, FALSE))/2)</f>
        <v>3109</v>
      </c>
      <c r="CE87" s="227">
        <f t="array" ref="CE87">IF($BU87=0, INDEX(LS_current!$D$4:$AY$138, MATCH('Staging Table'!$A87, LS_current!$B$4:$B$138, 0), MATCH(CE$4&amp;CE$5, LS_current!$D$2:$AY$2&amp;LS_current!$D$3:$AY$3, 0)),SUM(VLOOKUP($A87, LS_current!$B$4:$AY$138, LS_current!I$148, FALSE), VLOOKUP($A87, LS_current!$B$4:$AY$138,LS_current!I$148, FALSE))/2)</f>
        <v>4962</v>
      </c>
      <c r="CF87" s="227">
        <f t="array" ref="CF87">IF($BU87=0, INDEX(LS_current!$D$4:$AY$138, MATCH('Staging Table'!$A87, LS_current!$B$4:$B$138, 0), MATCH(CF$4&amp;CF$5, LS_current!$D$2:$AY$2&amp;LS_current!$D$3:$AY$3, 0)),SUM(VLOOKUP($A87, LS_current!$B$4:$AY$138, LS_current!J$148, FALSE), VLOOKUP($A87, LS_current!$B$4:$AY$138,LS_current!J$148, FALSE))/2)</f>
        <v>4568</v>
      </c>
      <c r="CG87" s="227">
        <f t="array" ref="CG87">IF($BU87=0, INDEX(LS_current!$D$4:$AY$138, MATCH('Staging Table'!$A87, LS_current!$B$4:$B$138, 0), MATCH(CG$4&amp;CG$5, LS_current!$D$2:$AY$2&amp;LS_current!$D$3:$AY$3, 0)),SUM(VLOOKUP($A87, LS_current!$B$4:$AY$138, LS_current!K$148, FALSE), VLOOKUP($A87, LS_current!$B$4:$AY$138,LS_current!K$148, FALSE))/2)</f>
        <v>6587</v>
      </c>
      <c r="CH87" s="227">
        <f t="array" ref="CH87">IF($BU87=0, INDEX(LS_current!$D$4:$AY$138, MATCH('Staging Table'!$A87, LS_current!$B$4:$B$138, 0), MATCH(CH$4&amp;CH$5, LS_current!$D$2:$AY$2&amp;LS_current!$D$3:$AY$3, 0)),SUM(VLOOKUP($A87, LS_current!$B$4:$AY$138, LS_current!L$148, FALSE), VLOOKUP($A87, LS_current!$B$4:$AY$138,LS_current!L$148, FALSE))/2)</f>
        <v>4135</v>
      </c>
      <c r="CI87" s="227">
        <f t="array" ref="CI87">IF($BU87=0, INDEX(LS_current!$D$4:$AY$138, MATCH('Staging Table'!$A87, LS_current!$B$4:$B$138, 0), MATCH(CI$4&amp;CI$5, LS_current!$D$2:$AY$2&amp;LS_current!$D$3:$AY$3, 0)),SUM(VLOOKUP($A87, LS_current!$B$4:$AY$138, LS_current!M$148, FALSE), VLOOKUP($A87, LS_current!$B$4:$AY$138,LS_current!M$148, FALSE))/2)</f>
        <v>4407</v>
      </c>
      <c r="CJ87" s="227">
        <f t="array" ref="CJ87">IF($BU87=0, INDEX(LS_current!$D$4:$AY$138, MATCH('Staging Table'!$A87, LS_current!$B$4:$B$138, 0), MATCH(CJ$4&amp;CJ$5, LS_current!$D$2:$AY$2&amp;LS_current!$D$3:$AY$3, 0)),SUM(VLOOKUP($A87, LS_current!$B$4:$AY$138, LS_current!N$148, FALSE), VLOOKUP($A87, LS_current!$B$4:$AY$138,LS_current!N$148, FALSE))/2)</f>
        <v>884</v>
      </c>
      <c r="CK87" s="227">
        <f t="array" ref="CK87">IF($BU87=0, INDEX(LS_current!$D$4:$AY$138, MATCH('Staging Table'!$A87, LS_current!$B$4:$B$138, 0), MATCH(CK$4&amp;CK$5, LS_current!$D$2:$AY$2&amp;LS_current!$D$3:$AY$3, 0)),SUM(VLOOKUP($A87, LS_current!$B$4:$AY$138, LS_current!O$148, FALSE), VLOOKUP($A87, LS_current!$B$4:$AY$138,LS_current!O$148, FALSE))/2)</f>
        <v>2670</v>
      </c>
      <c r="CL87" s="227">
        <f t="array" ref="CL87">IF($BU87=0, INDEX(LS_current!$D$4:$AY$138, MATCH('Staging Table'!$A87, LS_current!$B$4:$B$138, 0), MATCH(CL$4&amp;CL$5, LS_current!$D$2:$AY$2&amp;LS_current!$D$3:$AY$3, 0)),SUM(VLOOKUP($A87, LS_current!$B$4:$AY$138, LS_current!P$148, FALSE), VLOOKUP($A87, LS_current!$B$4:$AY$138,LS_current!P$148, FALSE))/2)</f>
        <v>2853</v>
      </c>
      <c r="CM87" s="227">
        <f t="array" ref="CM87">IF($BU87=0, INDEX(LS_current!$D$4:$AY$138, MATCH('Staging Table'!$A87, LS_current!$B$4:$B$138, 0), MATCH(CM$4&amp;CM$5, LS_current!$D$2:$AY$2&amp;LS_current!$D$3:$AY$3, 0)),SUM(VLOOKUP($A87, LS_current!$B$4:$AY$138, LS_current!Q$148, FALSE), VLOOKUP($A87, LS_current!$B$4:$AY$138,LS_current!Q$148, FALSE))/2)</f>
        <v>3077</v>
      </c>
      <c r="CN87" s="227">
        <f t="array" ref="CN87">IF($BU87=0, INDEX(LS_current!$D$4:$AY$138, MATCH('Staging Table'!$A87, LS_current!$B$4:$B$138, 0), MATCH(CN$4&amp;CN$5, LS_current!$D$2:$AY$2&amp;LS_current!$D$3:$AY$3, 0)),SUM(VLOOKUP($A87, LS_current!$B$4:$AY$138, LS_current!R$148, FALSE), VLOOKUP($A87, LS_current!$B$4:$AY$138,LS_current!R$148, FALSE))/2)</f>
        <v>-1669</v>
      </c>
      <c r="CO87" s="227">
        <f t="array" ref="CO87">IF($BU87=0, INDEX(LS_current!$D$4:$AY$138, MATCH('Staging Table'!$A87, LS_current!$B$4:$B$138, 0), MATCH(CO$4&amp;CO$5, LS_current!$D$2:$AY$2&amp;LS_current!$D$3:$AY$3, 0)),SUM(VLOOKUP($A87, LS_current!$B$4:$AY$138, LS_current!S$148, FALSE), VLOOKUP($A87, LS_current!$B$4:$AY$138,LS_current!S$148, FALSE))/2)</f>
        <v>2067</v>
      </c>
      <c r="CP87" s="227">
        <f t="array" ref="CP87">IF($BU87=0, INDEX(LS_current!$D$4:$AY$138, MATCH('Staging Table'!$A87, LS_current!$B$4:$B$138, 0), MATCH(CP$4&amp;CP$5, LS_current!$D$2:$AY$2&amp;LS_current!$D$3:$AY$3, 0)),SUM(VLOOKUP($A87, LS_current!$B$4:$AY$138, LS_current!T$148, FALSE), VLOOKUP($A87, LS_current!$B$4:$AY$138,LS_current!T$148, FALSE))/2)</f>
        <v>-8736</v>
      </c>
      <c r="CQ87" s="227">
        <f t="array" ref="CQ87">IF($BU87=0, INDEX(LS_current!$D$4:$AY$138, MATCH('Staging Table'!$A87, LS_current!$B$4:$B$138, 0), MATCH(CQ$4&amp;CQ$5, LS_current!$D$2:$AY$2&amp;LS_current!$D$3:$AY$3, 0)),SUM(VLOOKUP($A87, LS_current!$B$4:$AY$138, LS_current!U$148, FALSE), VLOOKUP($A87, LS_current!$B$4:$AY$138,LS_current!U$148, FALSE))/2)</f>
        <v>-3217</v>
      </c>
      <c r="CR87" s="227">
        <f t="array" ref="CR87">IF($BU87=0, INDEX(LS_current!$D$4:$AY$138, MATCH('Staging Table'!$A87, LS_current!$B$4:$B$138, 0), MATCH(CR$4&amp;CR$5, LS_current!$D$2:$AY$2&amp;LS_current!$D$3:$AY$3, 0)),SUM(VLOOKUP($A87, LS_current!$B$4:$AY$138, LS_current!V$148, FALSE), VLOOKUP($A87, LS_current!$B$4:$AY$138,LS_current!V$148, FALSE))/2)</f>
        <v>-2343</v>
      </c>
      <c r="CS87" s="227">
        <f t="array" ref="CS87">IF($BU87=0, INDEX(LS_current!$D$4:$AY$138, MATCH('Staging Table'!$A87, LS_current!$B$4:$B$138, 0), MATCH(CS$4&amp;CS$5, LS_current!$D$2:$AY$2&amp;LS_current!$D$3:$AY$3, 0)),SUM(VLOOKUP($A87, LS_current!$B$4:$AY$138, LS_current!W$148, FALSE), VLOOKUP($A87, LS_current!$B$4:$AY$138,LS_current!W$148, FALSE))/2)</f>
        <v>4187</v>
      </c>
      <c r="CT87" s="227">
        <f t="array" ref="CT87">IF($BU87=0, INDEX(LS_current!$D$4:$AY$138, MATCH('Staging Table'!$A87, LS_current!$B$4:$B$138, 0), MATCH(CT$4&amp;CT$5, LS_current!$D$2:$AY$2&amp;LS_current!$D$3:$AY$3, 0)),SUM(VLOOKUP($A87, LS_current!$B$4:$AY$138, LS_current!X$148, FALSE), VLOOKUP($A87, LS_current!$B$4:$AY$138,LS_current!X$148, FALSE))/2)</f>
        <v>-1324</v>
      </c>
      <c r="CU87" s="227">
        <f t="array" ref="CU87">IF($BU87=0, INDEX(LS_current!$D$4:$AY$138, MATCH('Staging Table'!$A87, LS_current!$B$4:$B$138, 0), MATCH(CU$4&amp;CU$5, LS_current!$D$2:$AY$2&amp;LS_current!$D$3:$AY$3, 0)),SUM(VLOOKUP($A87, LS_current!$B$4:$AY$138, LS_current!Y$148, FALSE), VLOOKUP($A87, LS_current!$B$4:$AY$138,LS_current!Y$148, FALSE))/2)</f>
        <v>2916</v>
      </c>
      <c r="CV87" s="227">
        <f t="array" ref="CV87">IF($BU87=0, INDEX(LS_current!$D$4:$AY$138, MATCH('Staging Table'!$A87, LS_current!$B$4:$B$138, 0), MATCH(CV$4&amp;CV$5, LS_current!$D$2:$AY$2&amp;LS_current!$D$3:$AY$3, 0)),SUM(VLOOKUP($A87, LS_current!$B$4:$AY$138, LS_current!Z$148, FALSE), VLOOKUP($A87, LS_current!$B$4:$AY$138,LS_current!Z$148, FALSE))/2)</f>
        <v>-2036</v>
      </c>
      <c r="CW87" s="227">
        <f t="array" ref="CW87">IF($BU87=0, INDEX(LS_current!$D$4:$AY$138, MATCH('Staging Table'!$A87, LS_current!$B$4:$B$138, 0), MATCH(CW$4&amp;CW$5, LS_current!$D$2:$AY$2&amp;LS_current!$D$3:$AY$3, 0)),SUM(VLOOKUP($A87, LS_current!$B$4:$AY$138, LS_current!AA$148, FALSE), VLOOKUP($A87, LS_current!$B$4:$AY$138,LS_current!AA$148, FALSE))/2)</f>
        <v>1022</v>
      </c>
      <c r="CX87" s="229">
        <f t="array" ref="CX87">INDEX(Demand_current!$D$4:$AY$138, MATCH($A87, Demand_current!$B$4:$B$138, 0), MATCH(CX$4&amp;CX$5,Demand_current!$D$2:$AY$2&amp;Demand_current!$D$3:$AY$3, 0))/1000</f>
        <v>10.042999999999999</v>
      </c>
      <c r="CY87" s="229">
        <f t="array" ref="CY87">INDEX(Demand_current!$D$4:$AY$138, MATCH($A87, Demand_current!$B$4:$B$138, 0), MATCH(CY$4&amp;CY$5,Demand_current!$D$2:$AY$2&amp;Demand_current!$D$3:$AY$3, 0))/1000</f>
        <v>6.7450000000000001</v>
      </c>
      <c r="CZ87" s="229">
        <f t="array" ref="CZ87">INDEX(Demand_current!$D$4:$AY$138, MATCH($A87, Demand_current!$B$4:$B$138, 0), MATCH(CZ$4&amp;CZ$5,Demand_current!$D$2:$AY$2&amp;Demand_current!$D$3:$AY$3, 0))/1000</f>
        <v>17.614000000000001</v>
      </c>
      <c r="DA87" s="229">
        <f t="array" ref="DA87">INDEX(Demand_current!$D$4:$AY$138, MATCH($A87, Demand_current!$B$4:$B$138, 0), MATCH(DA$4&amp;DA$5,Demand_current!$D$2:$AY$2&amp;Demand_current!$D$3:$AY$3, 0))/1000</f>
        <v>17.167999999999999</v>
      </c>
      <c r="DB87" s="229">
        <f t="array" ref="DB87">INDEX(Demand_current!$D$4:$AY$138, MATCH($A87, Demand_current!$B$4:$B$138, 0), MATCH(DB$4&amp;DB$5,Demand_current!$D$2:$AY$2&amp;Demand_current!$D$3:$AY$3, 0))/1000</f>
        <v>7.0839999999999996</v>
      </c>
      <c r="DC87" s="229">
        <f t="array" ref="DC87">INDEX(Demand_current!$D$4:$AY$138, MATCH($A87, Demand_current!$B$4:$B$138, 0), MATCH(DC$4&amp;DC$5,Demand_current!$D$2:$AY$2&amp;Demand_current!$D$3:$AY$3, 0))/1000</f>
        <v>7.1970000000000001</v>
      </c>
      <c r="DD87" s="229">
        <f t="array" ref="DD87">INDEX(Demand_current!$D$4:$AY$138, MATCH($A87, Demand_current!$B$4:$B$138, 0), MATCH(DD$4&amp;DD$5,Demand_current!$D$2:$AY$2&amp;Demand_current!$D$3:$AY$3, 0))/1000</f>
        <v>8.9960000000000004</v>
      </c>
      <c r="DE87" s="229">
        <f t="array" ref="DE87">INDEX(Demand_current!$D$4:$AY$138, MATCH($A87, Demand_current!$B$4:$B$138, 0), MATCH(DE$4&amp;DE$5,Demand_current!$D$2:$AY$2&amp;Demand_current!$D$3:$AY$3, 0))/1000</f>
        <v>1.0820000000000001</v>
      </c>
      <c r="DF87" s="229">
        <f t="array" ref="DF87">INDEX(Demand_current!$D$4:$AY$138, MATCH($A87, Demand_current!$B$4:$B$138, 0), MATCH(DF$4&amp;DF$5,Demand_current!$D$2:$AY$2&amp;Demand_current!$D$3:$AY$3, 0))/1000</f>
        <v>6.2679999999999998</v>
      </c>
      <c r="DG87" s="229">
        <f t="array" ref="DG87">INDEX(Demand_current!$D$4:$AY$138, MATCH($A87, Demand_current!$B$4:$B$138, 0), MATCH(DG$4&amp;DG$5,Demand_current!$D$2:$AY$2&amp;Demand_current!$D$3:$AY$3, 0))/1000</f>
        <v>7.3449999999999998</v>
      </c>
      <c r="DH87" s="229">
        <f t="array" ref="DH87">INDEX(Demand_current!$D$4:$AY$138, MATCH($A87, Demand_current!$B$4:$B$138, 0), MATCH(DH$4&amp;DH$5,Demand_current!$D$2:$AY$2&amp;Demand_current!$D$3:$AY$3, 0))/1000</f>
        <v>4.92</v>
      </c>
      <c r="DI87" s="229">
        <f t="array" ref="DI87">INDEX(Demand_current!$D$4:$AY$138, MATCH($A87, Demand_current!$B$4:$B$138, 0), MATCH(DI$4&amp;DI$5,Demand_current!$D$2:$AY$2&amp;Demand_current!$D$3:$AY$3, 0))/1000</f>
        <v>3.0329999999999999</v>
      </c>
      <c r="DJ87" s="227">
        <f>$BT87*(VLOOKUP(DJ$4, Rates_current!$G$6:$Q$29, 10, FALSE)+VLOOKUP(DJ$4, Rates_current!$G$6:$Q$29, 11, FALSE))</f>
        <v>30452.592102778799</v>
      </c>
      <c r="DK87" s="227">
        <f>$BT87*(VLOOKUP(DK$4, Rates_current!$G$6:$Q$29, 10, FALSE)+VLOOKUP(DK$4, Rates_current!$G$6:$Q$29, 11, FALSE))</f>
        <v>38684.291841176702</v>
      </c>
      <c r="DL87" s="227">
        <f>$BT87*(VLOOKUP(DL$4, Rates_current!$G$6:$Q$29, 10, FALSE)+VLOOKUP(DL$4, Rates_current!$G$6:$Q$29, 11, FALSE))</f>
        <v>38217.126672678802</v>
      </c>
      <c r="DM87" s="227">
        <f>$BT87*(VLOOKUP(DM$4, Rates_current!$G$6:$Q$29, 10, FALSE)+VLOOKUP(DM$4, Rates_current!$G$6:$Q$29, 11, FALSE))</f>
        <v>31856.302778278805</v>
      </c>
      <c r="DN87" s="227">
        <f>$BT87*(VLOOKUP(DN$4, Rates_current!$G$6:$Q$29, 10, FALSE)+VLOOKUP(DN$4, Rates_current!$G$6:$Q$29, 11, FALSE))</f>
        <v>28858.50548104</v>
      </c>
      <c r="DO87" s="227">
        <f>$BT87*(VLOOKUP(DO$4, Rates_current!$G$6:$Q$29, 10, FALSE)+VLOOKUP(DO$4, Rates_current!$G$6:$Q$29, 11, FALSE))</f>
        <v>32099.8259272961</v>
      </c>
      <c r="DP87" s="227">
        <f>$BT87*(VLOOKUP(DP$4, Rates_current!$G$6:$Q$29, 10, FALSE)+VLOOKUP(DP$4, Rates_current!$G$6:$Q$29, 11, FALSE))</f>
        <v>26135.712909144</v>
      </c>
      <c r="DQ87" s="227">
        <f>$BT87*(VLOOKUP(DQ$4, Rates_current!$G$6:$Q$29, 10, FALSE)+VLOOKUP(DQ$4, Rates_current!$G$6:$Q$29, 11, FALSE))</f>
        <v>35247.906124428802</v>
      </c>
      <c r="DR87" s="227">
        <f>$BT87*(VLOOKUP(DR$4, Rates_current!$G$6:$Q$29, 10, FALSE)+VLOOKUP(DR$4, Rates_current!$G$6:$Q$29, 11, FALSE))</f>
        <v>44973.930954494004</v>
      </c>
      <c r="DS87" s="227">
        <f>$BT87*(VLOOKUP(DS$4, Rates_current!$G$6:$Q$29, 10, FALSE)+VLOOKUP(DS$4, Rates_current!$G$6:$Q$29, 11, FALSE))</f>
        <v>35260.987901978806</v>
      </c>
      <c r="DT87" s="227">
        <f>$BT87*(VLOOKUP(DT$4, Rates_current!$G$6:$Q$29, 10, FALSE)+VLOOKUP(DT$4, Rates_current!$G$6:$Q$29, 11, FALSE))</f>
        <v>34337.180933328804</v>
      </c>
      <c r="DU87" s="227">
        <f>$BT87*(VLOOKUP(DU$4, Rates_current!$G$6:$Q$29, 10, FALSE)+VLOOKUP(DU$4, Rates_current!$G$6:$Q$29, 11, FALSE))</f>
        <v>30827.484018444004</v>
      </c>
      <c r="DV87" s="229">
        <f>IF(D87=0,IF(C87=0,MAX(0,DY87 - (VLOOKUP($A87,TOCA_current!$A$2:$AI$137,MATCH("RHWM 2020",TOCA_current!$A$2:$AI$2,0),FALSE)*$BT$2)), 0),0)</f>
        <v>24374.430919782433</v>
      </c>
      <c r="DW87" s="266">
        <f>VLOOKUP($A87,REP_current!$A$1:$D$135,MATCH("FY "&amp;$BT$1&amp; " Total Refund",REP_current!$A$1:$D$1,0),0)</f>
        <v>0</v>
      </c>
      <c r="DX87" s="295">
        <f>MIN(VLOOKUP($A87,TOCA_current!$A$2:$AI$137,MATCH("TRL - NLSL - Existing Resource "&amp;$BT$1,TOCA_current!$A$2:$AI$2,0),FALSE)*$BT$2, VLOOKUP($A87,TOCA_current!$A$2:$AI$137,MATCH("RHWM 2020",TOCA_current!$A$2:$AI$2,0),FALSE)*$BT$2)</f>
        <v>406953.93599999999</v>
      </c>
      <c r="DY87" s="240">
        <f>SUM(BZ87:CW87)+(BT87*RT1SC!$C$4*$BT$2)</f>
        <v>432812.8629197824</v>
      </c>
      <c r="DZ87" s="271">
        <f>VLOOKUP($A87,TOCA_current!$A$2:$AI$137,MATCH("Above RHWM Not Served with LS "&amp;$BT$1,TOCA_current!$A$2:$AI$2,0),FALSE)*$BT$2</f>
        <v>0</v>
      </c>
      <c r="EA87" s="244">
        <f t="shared" si="29"/>
        <v>25858.926919782418</v>
      </c>
      <c r="EB87" s="295">
        <f>(VLOOKUP($A87,TOCA_current!$A$2:$AI$137,MATCH("RHWM 2020",TOCA_current!$A$2:$AI$2,0),FALSE)*$BT$2) - $DX87</f>
        <v>1484.4959999999846</v>
      </c>
      <c r="EC87" s="240">
        <f t="shared" si="30"/>
        <v>-1484.4959999999846</v>
      </c>
      <c r="ED87" s="240">
        <f t="shared" si="31"/>
        <v>0</v>
      </c>
      <c r="EE87" s="240">
        <f t="shared" si="32"/>
        <v>0</v>
      </c>
      <c r="EF87" s="240">
        <f t="shared" si="33"/>
        <v>-1484.4959999999846</v>
      </c>
    </row>
    <row r="88" spans="1:136">
      <c r="A88" s="166">
        <v>10258</v>
      </c>
      <c r="B88" s="167" t="s">
        <v>89</v>
      </c>
      <c r="C88" s="240">
        <v>0</v>
      </c>
      <c r="D88" s="240">
        <v>0</v>
      </c>
      <c r="E88" s="150">
        <f>VLOOKUP($A88,TOCA_previous!$A$2:$AI$137,MATCH(E$4,TOCA_previous!$A$2:$AI$2,0),FALSE)</f>
        <v>5.3771000000000001E-3</v>
      </c>
      <c r="F88" s="151">
        <f>VLOOKUP($A88,TOCA_previous!$A$2:$AI$137,MATCH(F$4,TOCA_previous!$A$2:$AI$2,0),FALSE)</f>
        <v>5.3771000000000001E-3</v>
      </c>
      <c r="G88" s="151">
        <f t="shared" si="18"/>
        <v>0</v>
      </c>
      <c r="H88" s="151">
        <f>VLOOKUP($A88,TOCA_previous!$A$2:$AI$137,MATCH(H$4,TOCA_previous!$A$2:$AI$2,0),FALSE)</f>
        <v>6.8016499999999994E-2</v>
      </c>
      <c r="I88" s="151">
        <f t="shared" si="19"/>
        <v>0</v>
      </c>
      <c r="J88" s="151">
        <f t="shared" si="20"/>
        <v>0</v>
      </c>
      <c r="K88" s="226">
        <f>VLOOKUP(A88, IRD!$A$5:$C$139, 3, FALSE)</f>
        <v>18387.022000000001</v>
      </c>
      <c r="L88" s="227">
        <f t="array" ref="L88">IF($G88=0, INDEX(LS_previous!$D$4:$AY$138, MATCH('Staging Table'!$A88, LS_previous!$B$4:$B$138, 0), MATCH(L$4&amp;L$5, LS_previous!$D$2:$AY$2&amp;LS_previous!$D$3:$AY$3, 0)),SUM(VLOOKUP($A88, LS_previous!$B$4:$AY$138, LS_previous!D$149, FALSE), VLOOKUP('Staging Table'!$A88, LS_previous!$B$4:$AY$138,LS_previous!AB$149, FALSE))/2)</f>
        <v>-4008</v>
      </c>
      <c r="M88" s="227">
        <f t="array" ref="M88">IF($G88=0, INDEX(LS_previous!$D$4:$AY$138, MATCH('Staging Table'!$A88, LS_previous!$B$4:$B$138, 0), MATCH(M$4&amp;M$5, LS_previous!$D$2:$AY$2&amp;LS_previous!$D$3:$AY$3, 0)),SUM(VLOOKUP($A88, LS_previous!$B$4:$AY$138, LS_previous!E$149, FALSE), VLOOKUP('Staging Table'!$A88, LS_previous!$B$4:$AY$138,LS_previous!AC$149, FALSE))/2)</f>
        <v>-1738</v>
      </c>
      <c r="N88" s="227">
        <f t="array" ref="N88">IF($G88=0, INDEX(LS_previous!$D$4:$AY$138, MATCH('Staging Table'!$A88, LS_previous!$B$4:$B$138, 0), MATCH(N$4&amp;N$5, LS_previous!$D$2:$AY$2&amp;LS_previous!$D$3:$AY$3, 0)),SUM(VLOOKUP($A88, LS_previous!$B$4:$AY$138, LS_previous!F$149, FALSE), VLOOKUP('Staging Table'!$A88, LS_previous!$B$4:$AY$138,LS_previous!AD$149, FALSE))/2)</f>
        <v>-1690</v>
      </c>
      <c r="O88" s="227">
        <f t="array" ref="O88">IF($G88=0, INDEX(LS_previous!$D$4:$AY$138, MATCH('Staging Table'!$A88, LS_previous!$B$4:$B$138, 0), MATCH(O$4&amp;O$5, LS_previous!$D$2:$AY$2&amp;LS_previous!$D$3:$AY$3, 0)),SUM(VLOOKUP($A88, LS_previous!$B$4:$AY$138, LS_previous!G$149, FALSE), VLOOKUP('Staging Table'!$A88, LS_previous!$B$4:$AY$138,LS_previous!AE$149, FALSE))/2)</f>
        <v>1662</v>
      </c>
      <c r="P88" s="227">
        <f t="array" ref="P88">IF($G88=0, INDEX(LS_previous!$D$4:$AY$138, MATCH('Staging Table'!$A88, LS_previous!$B$4:$B$138, 0), MATCH(P$4&amp;P$5, LS_previous!$D$2:$AY$2&amp;LS_previous!$D$3:$AY$3, 0)),SUM(VLOOKUP($A88, LS_previous!$B$4:$AY$138, LS_previous!H$149, FALSE), VLOOKUP('Staging Table'!$A88, LS_previous!$B$4:$AY$138,LS_previous!AF$149, FALSE))/2)</f>
        <v>4959</v>
      </c>
      <c r="Q88" s="227">
        <f t="array" ref="Q88">IF($G88=0, INDEX(LS_previous!$D$4:$AY$138, MATCH('Staging Table'!$A88, LS_previous!$B$4:$B$138, 0), MATCH(Q$4&amp;Q$5, LS_previous!$D$2:$AY$2&amp;LS_previous!$D$3:$AY$3, 0)),SUM(VLOOKUP($A88, LS_previous!$B$4:$AY$138, LS_previous!I$149, FALSE), VLOOKUP('Staging Table'!$A88, LS_previous!$B$4:$AY$138,LS_previous!AG$149, FALSE))/2)</f>
        <v>5438</v>
      </c>
      <c r="R88" s="227">
        <f t="array" ref="R88">IF($G88=0, INDEX(LS_previous!$D$4:$AY$138, MATCH('Staging Table'!$A88, LS_previous!$B$4:$B$138, 0), MATCH(R$4&amp;R$5, LS_previous!$D$2:$AY$2&amp;LS_previous!$D$3:$AY$3, 0)),SUM(VLOOKUP($A88, LS_previous!$B$4:$AY$138, LS_previous!J$149, FALSE), VLOOKUP('Staging Table'!$A88, LS_previous!$B$4:$AY$138,LS_previous!AH$149, FALSE))/2)</f>
        <v>7932</v>
      </c>
      <c r="S88" s="227">
        <f t="array" ref="S88">IF($G88=0, INDEX(LS_previous!$D$4:$AY$138, MATCH('Staging Table'!$A88, LS_previous!$B$4:$B$138, 0), MATCH(S$4&amp;S$5, LS_previous!$D$2:$AY$2&amp;LS_previous!$D$3:$AY$3, 0)),SUM(VLOOKUP($A88, LS_previous!$B$4:$AY$138, LS_previous!K$149, FALSE), VLOOKUP('Staging Table'!$A88, LS_previous!$B$4:$AY$138,LS_previous!AI$149, FALSE))/2)</f>
        <v>7683</v>
      </c>
      <c r="T88" s="227">
        <f t="array" ref="T88">IF($G88=0, INDEX(LS_previous!$D$4:$AY$138, MATCH('Staging Table'!$A88, LS_previous!$B$4:$B$138, 0), MATCH(T$4&amp;T$5, LS_previous!$D$2:$AY$2&amp;LS_previous!$D$3:$AY$3, 0)),SUM(VLOOKUP($A88, LS_previous!$B$4:$AY$138, LS_previous!L$149, FALSE), VLOOKUP('Staging Table'!$A88, LS_previous!$B$4:$AY$138,LS_previous!AJ$149, FALSE))/2)</f>
        <v>6528</v>
      </c>
      <c r="U88" s="227">
        <f t="array" ref="U88">IF($G88=0, INDEX(LS_previous!$D$4:$AY$138, MATCH('Staging Table'!$A88, LS_previous!$B$4:$B$138, 0), MATCH(U$4&amp;U$5, LS_previous!$D$2:$AY$2&amp;LS_previous!$D$3:$AY$3, 0)),SUM(VLOOKUP($A88, LS_previous!$B$4:$AY$138, LS_previous!M$149, FALSE), VLOOKUP('Staging Table'!$A88, LS_previous!$B$4:$AY$138,LS_previous!AK$149, FALSE))/2)</f>
        <v>6164</v>
      </c>
      <c r="V88" s="227">
        <f t="array" ref="V88">IF($G88=0, INDEX(LS_previous!$D$4:$AY$138, MATCH('Staging Table'!$A88, LS_previous!$B$4:$B$138, 0), MATCH(V$4&amp;V$5, LS_previous!$D$2:$AY$2&amp;LS_previous!$D$3:$AY$3, 0)),SUM(VLOOKUP($A88, LS_previous!$B$4:$AY$138, LS_previous!N$149, FALSE), VLOOKUP('Staging Table'!$A88, LS_previous!$B$4:$AY$138,LS_previous!AL$149, FALSE))/2)</f>
        <v>1450</v>
      </c>
      <c r="W88" s="227">
        <f t="array" ref="W88">IF($G88=0, INDEX(LS_previous!$D$4:$AY$138, MATCH('Staging Table'!$A88, LS_previous!$B$4:$B$138, 0), MATCH(W$4&amp;W$5, LS_previous!$D$2:$AY$2&amp;LS_previous!$D$3:$AY$3, 0)),SUM(VLOOKUP($A88, LS_previous!$B$4:$AY$138, LS_previous!O$149, FALSE), VLOOKUP('Staging Table'!$A88, LS_previous!$B$4:$AY$138,LS_previous!AM$149, FALSE))/2)</f>
        <v>2563</v>
      </c>
      <c r="X88" s="227">
        <f t="array" ref="X88">IF($G88=0, INDEX(LS_previous!$D$4:$AY$138, MATCH('Staging Table'!$A88, LS_previous!$B$4:$B$138, 0), MATCH(X$4&amp;X$5, LS_previous!$D$2:$AY$2&amp;LS_previous!$D$3:$AY$3, 0)),SUM(VLOOKUP($A88, LS_previous!$B$4:$AY$138, LS_previous!P$149, FALSE), VLOOKUP('Staging Table'!$A88, LS_previous!$B$4:$AY$138,LS_previous!AN$149, FALSE))/2)</f>
        <v>-3894</v>
      </c>
      <c r="Y88" s="227">
        <f t="array" ref="Y88">IF($G88=0, INDEX(LS_previous!$D$4:$AY$138, MATCH('Staging Table'!$A88, LS_previous!$B$4:$B$138, 0), MATCH(Y$4&amp;Y$5, LS_previous!$D$2:$AY$2&amp;LS_previous!$D$3:$AY$3, 0)),SUM(VLOOKUP($A88, LS_previous!$B$4:$AY$138, LS_previous!Q$149, FALSE), VLOOKUP('Staging Table'!$A88, LS_previous!$B$4:$AY$138,LS_previous!AO$149, FALSE))/2)</f>
        <v>-1207</v>
      </c>
      <c r="Z88" s="227">
        <f t="array" ref="Z88">IF($G88=0, INDEX(LS_previous!$D$4:$AY$138, MATCH('Staging Table'!$A88, LS_previous!$B$4:$B$138, 0), MATCH(Z$4&amp;Z$5, LS_previous!$D$2:$AY$2&amp;LS_previous!$D$3:$AY$3, 0)),SUM(VLOOKUP($A88, LS_previous!$B$4:$AY$138, LS_previous!R$149, FALSE), VLOOKUP('Staging Table'!$A88, LS_previous!$B$4:$AY$138,LS_previous!AP$149, FALSE))/2)</f>
        <v>-12321</v>
      </c>
      <c r="AA88" s="227">
        <f t="array" ref="AA88">IF($G88=0, INDEX(LS_previous!$D$4:$AY$138, MATCH('Staging Table'!$A88, LS_previous!$B$4:$B$138, 0), MATCH(AA$4&amp;AA$5, LS_previous!$D$2:$AY$2&amp;LS_previous!$D$3:$AY$3, 0)),SUM(VLOOKUP($A88, LS_previous!$B$4:$AY$138, LS_previous!S$149, FALSE), VLOOKUP('Staging Table'!$A88, LS_previous!$B$4:$AY$138,LS_previous!AQ$149, FALSE))/2)</f>
        <v>-6277</v>
      </c>
      <c r="AB88" s="227">
        <f t="array" ref="AB88">IF($G88=0, INDEX(LS_previous!$D$4:$AY$138, MATCH('Staging Table'!$A88, LS_previous!$B$4:$B$138, 0), MATCH(AB$4&amp;AB$5, LS_previous!$D$2:$AY$2&amp;LS_previous!$D$3:$AY$3, 0)),SUM(VLOOKUP($A88, LS_previous!$B$4:$AY$138, LS_previous!T$149, FALSE), VLOOKUP('Staging Table'!$A88, LS_previous!$B$4:$AY$138,LS_previous!AR$149, FALSE))/2)</f>
        <v>-7212</v>
      </c>
      <c r="AC88" s="227">
        <f t="array" ref="AC88">IF($G88=0, INDEX(LS_previous!$D$4:$AY$138, MATCH('Staging Table'!$A88, LS_previous!$B$4:$B$138, 0), MATCH(AC$4&amp;AC$5, LS_previous!$D$2:$AY$2&amp;LS_previous!$D$3:$AY$3, 0)),SUM(VLOOKUP($A88, LS_previous!$B$4:$AY$138, LS_previous!U$149, FALSE), VLOOKUP('Staging Table'!$A88, LS_previous!$B$4:$AY$138,LS_previous!AS$149, FALSE))/2)</f>
        <v>-3285</v>
      </c>
      <c r="AD88" s="227">
        <f t="array" ref="AD88">IF($G88=0, INDEX(LS_previous!$D$4:$AY$138, MATCH('Staging Table'!$A88, LS_previous!$B$4:$B$138, 0), MATCH(AD$4&amp;AD$5, LS_previous!$D$2:$AY$2&amp;LS_previous!$D$3:$AY$3, 0)),SUM(VLOOKUP($A88, LS_previous!$B$4:$AY$138, LS_previous!V$149, FALSE), VLOOKUP('Staging Table'!$A88, LS_previous!$B$4:$AY$138,LS_previous!AT$149, FALSE))/2)</f>
        <v>-9</v>
      </c>
      <c r="AE88" s="227">
        <f t="array" ref="AE88">IF($G88=0, INDEX(LS_previous!$D$4:$AY$138, MATCH('Staging Table'!$A88, LS_previous!$B$4:$B$138, 0), MATCH(AE$4&amp;AE$5, LS_previous!$D$2:$AY$2&amp;LS_previous!$D$3:$AY$3, 0)),SUM(VLOOKUP($A88, LS_previous!$B$4:$AY$138, LS_previous!W$149, FALSE), VLOOKUP('Staging Table'!$A88, LS_previous!$B$4:$AY$138,LS_previous!AU$149, FALSE))/2)</f>
        <v>1488</v>
      </c>
      <c r="AF88" s="227">
        <f t="array" ref="AF88">IF($G88=0, INDEX(LS_previous!$D$4:$AY$138, MATCH('Staging Table'!$A88, LS_previous!$B$4:$B$138, 0), MATCH(AF$4&amp;AF$5, LS_previous!$D$2:$AY$2&amp;LS_previous!$D$3:$AY$3, 0)),SUM(VLOOKUP($A88, LS_previous!$B$4:$AY$138, LS_previous!X$149, FALSE), VLOOKUP('Staging Table'!$A88, LS_previous!$B$4:$AY$138,LS_previous!AV$149, FALSE))/2)</f>
        <v>-2484</v>
      </c>
      <c r="AG88" s="227">
        <f t="array" ref="AG88">IF($G88=0, INDEX(LS_previous!$D$4:$AY$138, MATCH('Staging Table'!$A88, LS_previous!$B$4:$B$138, 0), MATCH(AG$4&amp;AG$5, LS_previous!$D$2:$AY$2&amp;LS_previous!$D$3:$AY$3, 0)),SUM(VLOOKUP($A88, LS_previous!$B$4:$AY$138, LS_previous!Y$149, FALSE), VLOOKUP('Staging Table'!$A88, LS_previous!$B$4:$AY$138,LS_previous!AW$149, FALSE))/2)</f>
        <v>-212</v>
      </c>
      <c r="AH88" s="227">
        <f t="array" ref="AH88">IF($G88=0, INDEX(LS_previous!$D$4:$AY$138, MATCH('Staging Table'!$A88, LS_previous!$B$4:$B$138, 0), MATCH(AH$4&amp;AH$5, LS_previous!$D$2:$AY$2&amp;LS_previous!$D$3:$AY$3, 0)),SUM(VLOOKUP($A88, LS_previous!$B$4:$AY$138, LS_previous!Z$149, FALSE), VLOOKUP('Staging Table'!$A88, LS_previous!$B$4:$AY$138,LS_previous!AX$149, FALSE))/2)</f>
        <v>-4912</v>
      </c>
      <c r="AI88" s="227">
        <f t="array" ref="AI88">IF($G88=0, INDEX(LS_previous!$D$4:$AY$138, MATCH('Staging Table'!$A88, LS_previous!$B$4:$B$138, 0), MATCH(AI$4&amp;AI$5, LS_previous!$D$2:$AY$2&amp;LS_previous!$D$3:$AY$3, 0)),SUM(VLOOKUP($A88, LS_previous!$B$4:$AY$138, LS_previous!AA$149, FALSE), VLOOKUP('Staging Table'!$A88, LS_previous!$B$4:$AY$138,LS_previous!AY$149, FALSE))/2)</f>
        <v>-1731</v>
      </c>
      <c r="AJ88" s="424">
        <f t="array" ref="AJ88">INDEX(Demand_previous!$D$4:$AY$138, MATCH('Staging Table'!$A88, Demand_previous!$B$4:$B$138, 0), MATCH(AJ$4&amp;AJ$5,Demand_previous!$D$2:$AY$2&amp;Demand_previous!$D$3:$AY$3, 0))/1000</f>
        <v>4.9539999999999997</v>
      </c>
      <c r="AK88" s="424">
        <f t="array" ref="AK88">INDEX(Demand_previous!$D$4:$AY$138, MATCH('Staging Table'!$A88, Demand_previous!$B$4:$B$138, 0), MATCH(AK$4&amp;AK$5,Demand_previous!$D$2:$AY$2&amp;Demand_previous!$D$3:$AY$3, 0))/1000</f>
        <v>7.048</v>
      </c>
      <c r="AL88" s="424">
        <f t="array" ref="AL88">INDEX(Demand_previous!$D$4:$AY$138, MATCH('Staging Table'!$A88, Demand_previous!$B$4:$B$138, 0), MATCH(AL$4&amp;AL$5,Demand_previous!$D$2:$AY$2&amp;Demand_previous!$D$3:$AY$3, 0))/1000</f>
        <v>8.5500000000000007</v>
      </c>
      <c r="AM88" s="424">
        <f t="array" ref="AM88">INDEX(Demand_previous!$D$4:$AY$138, MATCH('Staging Table'!$A88, Demand_previous!$B$4:$B$138, 0), MATCH(AM$4&amp;AM$5,Demand_previous!$D$2:$AY$2&amp;Demand_previous!$D$3:$AY$3, 0))/1000</f>
        <v>13.744999999999999</v>
      </c>
      <c r="AN88" s="424">
        <f t="array" ref="AN88">INDEX(Demand_previous!$D$4:$AY$138, MATCH('Staging Table'!$A88, Demand_previous!$B$4:$B$138, 0), MATCH(AN$4&amp;AN$5,Demand_previous!$D$2:$AY$2&amp;Demand_previous!$D$3:$AY$3, 0))/1000</f>
        <v>4.6840000000000002</v>
      </c>
      <c r="AO88" s="424">
        <f t="array" ref="AO88">INDEX(Demand_previous!$D$4:$AY$138, MATCH('Staging Table'!$A88, Demand_previous!$B$4:$B$138, 0), MATCH(AO$4&amp;AO$5,Demand_previous!$D$2:$AY$2&amp;Demand_previous!$D$3:$AY$3, 0))/1000</f>
        <v>10.478</v>
      </c>
      <c r="AP88" s="424">
        <f t="array" ref="AP88">INDEX(Demand_previous!$D$4:$AY$138, MATCH('Staging Table'!$A88, Demand_previous!$B$4:$B$138, 0), MATCH(AP$4&amp;AP$5,Demand_previous!$D$2:$AY$2&amp;Demand_previous!$D$3:$AY$3, 0))/1000</f>
        <v>4.8959999999999999</v>
      </c>
      <c r="AQ88" s="424">
        <f t="array" ref="AQ88">INDEX(Demand_previous!$D$4:$AY$138, MATCH('Staging Table'!$A88, Demand_previous!$B$4:$B$138, 0), MATCH(AQ$4&amp;AQ$5,Demand_previous!$D$2:$AY$2&amp;Demand_previous!$D$3:$AY$3, 0))/1000</f>
        <v>4.8579999999999997</v>
      </c>
      <c r="AR88" s="424">
        <f t="array" ref="AR88">INDEX(Demand_previous!$D$4:$AY$138, MATCH('Staging Table'!$A88, Demand_previous!$B$4:$B$138, 0), MATCH(AR$4&amp;AR$5,Demand_previous!$D$2:$AY$2&amp;Demand_previous!$D$3:$AY$3, 0))/1000</f>
        <v>8.8290000000000006</v>
      </c>
      <c r="AS88" s="424">
        <f t="array" ref="AS88">INDEX(Demand_previous!$D$4:$AY$138, MATCH('Staging Table'!$A88, Demand_previous!$B$4:$B$138, 0), MATCH(AS$4&amp;AS$5,Demand_previous!$D$2:$AY$2&amp;Demand_previous!$D$3:$AY$3, 0))/1000</f>
        <v>6.4649999999999999</v>
      </c>
      <c r="AT88" s="424">
        <f t="array" ref="AT88">INDEX(Demand_previous!$D$4:$AY$138, MATCH('Staging Table'!$A88, Demand_previous!$B$4:$B$138, 0), MATCH(AT$4&amp;AT$5,Demand_previous!$D$2:$AY$2&amp;Demand_previous!$D$3:$AY$3, 0))/1000</f>
        <v>6.2789999999999999</v>
      </c>
      <c r="AU88" s="424">
        <f t="array" ref="AU88">INDEX(Demand_previous!$D$4:$AY$138, MATCH('Staging Table'!$A88, Demand_previous!$B$4:$B$138, 0), MATCH(AU$4&amp;AU$5,Demand_previous!$D$2:$AY$2&amp;Demand_previous!$D$3:$AY$3, 0))/1000</f>
        <v>6.8239999999999998</v>
      </c>
      <c r="AV88" s="227">
        <f>$F88*(VLOOKUP(AV$4, Rates_previous!$G$6:$Q$29, 10, FALSE)+VLOOKUP(AV$4, Rates_previous!$G$6:$Q$29, 11, FALSE))</f>
        <v>25212.349532144581</v>
      </c>
      <c r="AW88" s="227">
        <f>$F88*(VLOOKUP(AW$4, Rates_previous!$G$6:$Q$29, 10, FALSE)+VLOOKUP(AW$4, Rates_previous!$G$6:$Q$29, 11, FALSE))</f>
        <v>31160.547781614448</v>
      </c>
      <c r="AX88" s="227">
        <f>$F88*(VLOOKUP(AX$4, Rates_previous!$G$6:$Q$29, 10, FALSE)+VLOOKUP(AX$4, Rates_previous!$G$6:$Q$29, 11, FALSE))</f>
        <v>30786.346872572616</v>
      </c>
      <c r="AY88" s="227">
        <f>$F88*(VLOOKUP(AY$4, Rates_previous!$G$6:$Q$29, 10, FALSE)+VLOOKUP(AY$4, Rates_previous!$G$6:$Q$29, 11, FALSE))</f>
        <v>26303.998979116837</v>
      </c>
      <c r="AZ88" s="227">
        <f>$F88*(VLOOKUP(AZ$4, Rates_previous!$G$6:$Q$29, 10, FALSE)+VLOOKUP(AZ$4, Rates_previous!$G$6:$Q$29, 11, FALSE))</f>
        <v>21564.176945999046</v>
      </c>
      <c r="BA88" s="227">
        <f>$F88*(VLOOKUP(BA$4, Rates_previous!$G$6:$Q$29, 10, FALSE)+VLOOKUP(BA$4, Rates_previous!$G$6:$Q$29, 11, FALSE))</f>
        <v>25531.202220463048</v>
      </c>
      <c r="BB88" s="227">
        <f>$F88*(VLOOKUP(BB$4, Rates_previous!$G$6:$Q$29, 10, FALSE)+VLOOKUP(BB$4, Rates_previous!$G$6:$Q$29, 11, FALSE))</f>
        <v>24539.199073799107</v>
      </c>
      <c r="BC88" s="227">
        <f>$F88*(VLOOKUP(BC$4, Rates_previous!$G$6:$Q$29, 10, FALSE)+VLOOKUP(BC$4, Rates_previous!$G$6:$Q$29, 11, FALSE))</f>
        <v>36009.53817965195</v>
      </c>
      <c r="BD88" s="227">
        <f>$F88*(VLOOKUP(BD$4, Rates_previous!$G$6:$Q$29, 10, FALSE)+VLOOKUP(BD$4, Rates_previous!$G$6:$Q$29, 11, FALSE))</f>
        <v>28410.573880050015</v>
      </c>
      <c r="BE88" s="227">
        <f>$F88*(VLOOKUP(BE$4, Rates_previous!$G$6:$Q$29, 10, FALSE)+VLOOKUP(BE$4, Rates_previous!$G$6:$Q$29, 11, FALSE))</f>
        <v>24946.868523267498</v>
      </c>
      <c r="BF88" s="227">
        <f>$F88*(VLOOKUP(BF$4, Rates_previous!$G$6:$Q$29, 10, FALSE)+VLOOKUP(BF$4, Rates_previous!$G$6:$Q$29, 11, FALSE))</f>
        <v>27629.655455607535</v>
      </c>
      <c r="BG88" s="227">
        <f>$F88*(VLOOKUP(BG$4, Rates_previous!$G$6:$Q$29, 10, FALSE)+VLOOKUP(BG$4, Rates_previous!$G$6:$Q$29, 11, FALSE))</f>
        <v>25031.369080246572</v>
      </c>
      <c r="BH88" s="229">
        <f>IF($D88=0,IF(C88=0, MAX(BK88 - (VLOOKUP($A88,TOCA_previous!$A$2:$AI$137,MATCH("RHWM 2018",TOCA_previous!$A$2:$AI$2,0),FALSE)*$F$2*TOCA_previous!C85),0),0), 0)</f>
        <v>0</v>
      </c>
      <c r="BI88" s="266">
        <f>VLOOKUP($A88,REP_previous!$A$1:$D$135,MATCH("FY "&amp;$F$1&amp; " Total Refund",REP_previous!$A$1:$D$1,0),0)</f>
        <v>213295.22609715705</v>
      </c>
      <c r="BJ88" s="241">
        <f>MIN(VLOOKUP($A88,TOCA_previous!$A$2:$AI$137,MATCH("TRL - NLSL - Existing Resource "&amp;$F$1,TOCA_previous!$A$2:$AI$2,0),FALSE)*$F$2,(VLOOKUP($A88,TOCA_previous!$A$2:$AI$137,MATCH("RHWM 2018",TOCA_previous!$A$2:$AI$2,0),FALSE)*$F$2))</f>
        <v>327124.68000000005</v>
      </c>
      <c r="BK88" s="229">
        <f>SUM(L88:AI88)+(F88*RT1SC!$C$3*$F$2)</f>
        <v>322012.83129701595</v>
      </c>
      <c r="BL88" s="241">
        <f>VLOOKUP($A88,TOCA_previous!$A$2:$AI$137,MATCH("Above RHWM Not Served with LS "&amp;$F$1,TOCA_previous!$A$2:$AI$2,0),FALSE)*$F$2</f>
        <v>15181.080000000002</v>
      </c>
      <c r="BM88" s="151">
        <f t="shared" si="21"/>
        <v>-5111.8487029841053</v>
      </c>
      <c r="BN88" s="242">
        <f>(VLOOKUP($A88,TOCA_previous!$A$2:$AI$137,MATCH("RHWM 2018",TOCA_previous!$A$2:$AI$2,0),FALSE)*$F$2) - $BJ88</f>
        <v>0</v>
      </c>
      <c r="BO88" s="151">
        <f t="shared" si="22"/>
        <v>0</v>
      </c>
      <c r="BP88" s="243">
        <f t="shared" si="23"/>
        <v>0</v>
      </c>
      <c r="BQ88" s="237">
        <f t="shared" si="24"/>
        <v>0</v>
      </c>
      <c r="BR88" s="242">
        <f t="shared" si="25"/>
        <v>0</v>
      </c>
      <c r="BS88" s="151">
        <f>VLOOKUP($A88,TOCA_current!$A$2:$AI$137,MATCH(BS$4,TOCA_current!$A$2:$AI$2,0),FALSE)</f>
        <v>5.3742E-3</v>
      </c>
      <c r="BT88" s="151">
        <f>VLOOKUP($A88,TOCA_current!$A$2:$AI$137,MATCH(BT$4,TOCA_current!$A$2:$AI$2,0),FALSE)</f>
        <v>5.3742E-3</v>
      </c>
      <c r="BU88" s="236">
        <f t="shared" si="26"/>
        <v>0</v>
      </c>
      <c r="BV88" s="151">
        <f>VLOOKUP($A88,TOCA_current!A84:BG219,MATCH(BV$4,TOCA_current!$A$2:$BG$2,0),FALSE)</f>
        <v>6.0308300000000002E-2</v>
      </c>
      <c r="BW88" s="151">
        <f t="shared" si="27"/>
        <v>0</v>
      </c>
      <c r="BX88" s="151">
        <f t="shared" si="28"/>
        <v>0</v>
      </c>
      <c r="BY88" s="226">
        <f>VLOOKUP($A88,IRD!$A$4:$G$139, 7, FALSE)</f>
        <v>18387.022000000001</v>
      </c>
      <c r="BZ88" s="227">
        <f t="array" ref="BZ88">IF($BU88=0, INDEX(LS_current!$D$4:$AY$138, MATCH('Staging Table'!$A88, LS_current!$B$4:$B$138, 0), MATCH(BZ$4&amp;BZ$5, LS_current!$D$2:$AY$2&amp;LS_current!$D$3:$AY$3, 0)),SUM(VLOOKUP($A88, LS_current!$B$4:$AY$138, LS_current!D$148, FALSE), VLOOKUP($A88, LS_current!$B$4:$AY$138,LS_current!D$148, FALSE))/2)</f>
        <v>-3060</v>
      </c>
      <c r="CA88" s="227">
        <f t="array" ref="CA88">IF($BU88=0, INDEX(LS_current!$D$4:$AY$138, MATCH('Staging Table'!$A88, LS_current!$B$4:$B$138, 0), MATCH(CA$4&amp;CA$5, LS_current!$D$2:$AY$2&amp;LS_current!$D$3:$AY$3, 0)),SUM(VLOOKUP($A88, LS_current!$B$4:$AY$138, LS_current!E$148, FALSE), VLOOKUP($A88, LS_current!$B$4:$AY$138,LS_current!E$148, FALSE))/2)</f>
        <v>-999</v>
      </c>
      <c r="CB88" s="227">
        <f t="array" ref="CB88">IF($BU88=0, INDEX(LS_current!$D$4:$AY$138, MATCH('Staging Table'!$A88, LS_current!$B$4:$B$138, 0), MATCH(CB$4&amp;CB$5, LS_current!$D$2:$AY$2&amp;LS_current!$D$3:$AY$3, 0)),SUM(VLOOKUP($A88, LS_current!$B$4:$AY$138, LS_current!F$148, FALSE), VLOOKUP($A88, LS_current!$B$4:$AY$138,LS_current!F$148, FALSE))/2)</f>
        <v>-1125</v>
      </c>
      <c r="CC88" s="227">
        <f t="array" ref="CC88">IF($BU88=0, INDEX(LS_current!$D$4:$AY$138, MATCH('Staging Table'!$A88, LS_current!$B$4:$B$138, 0), MATCH(CC$4&amp;CC$5, LS_current!$D$2:$AY$2&amp;LS_current!$D$3:$AY$3, 0)),SUM(VLOOKUP($A88, LS_current!$B$4:$AY$138, LS_current!G$148, FALSE), VLOOKUP($A88, LS_current!$B$4:$AY$138,LS_current!G$148, FALSE))/2)</f>
        <v>1985</v>
      </c>
      <c r="CD88" s="227">
        <f t="array" ref="CD88">IF($BU88=0, INDEX(LS_current!$D$4:$AY$138, MATCH('Staging Table'!$A88, LS_current!$B$4:$B$138, 0), MATCH(CD$4&amp;CD$5, LS_current!$D$2:$AY$2&amp;LS_current!$D$3:$AY$3, 0)),SUM(VLOOKUP($A88, LS_current!$B$4:$AY$138, LS_current!H$148, FALSE), VLOOKUP($A88, LS_current!$B$4:$AY$138,LS_current!H$148, FALSE))/2)</f>
        <v>5492</v>
      </c>
      <c r="CE88" s="227">
        <f t="array" ref="CE88">IF($BU88=0, INDEX(LS_current!$D$4:$AY$138, MATCH('Staging Table'!$A88, LS_current!$B$4:$B$138, 0), MATCH(CE$4&amp;CE$5, LS_current!$D$2:$AY$2&amp;LS_current!$D$3:$AY$3, 0)),SUM(VLOOKUP($A88, LS_current!$B$4:$AY$138, LS_current!I$148, FALSE), VLOOKUP($A88, LS_current!$B$4:$AY$138,LS_current!I$148, FALSE))/2)</f>
        <v>5839</v>
      </c>
      <c r="CF88" s="227">
        <f t="array" ref="CF88">IF($BU88=0, INDEX(LS_current!$D$4:$AY$138, MATCH('Staging Table'!$A88, LS_current!$B$4:$B$138, 0), MATCH(CF$4&amp;CF$5, LS_current!$D$2:$AY$2&amp;LS_current!$D$3:$AY$3, 0)),SUM(VLOOKUP($A88, LS_current!$B$4:$AY$138, LS_current!J$148, FALSE), VLOOKUP($A88, LS_current!$B$4:$AY$138,LS_current!J$148, FALSE))/2)</f>
        <v>8590</v>
      </c>
      <c r="CG88" s="227">
        <f t="array" ref="CG88">IF($BU88=0, INDEX(LS_current!$D$4:$AY$138, MATCH('Staging Table'!$A88, LS_current!$B$4:$B$138, 0), MATCH(CG$4&amp;CG$5, LS_current!$D$2:$AY$2&amp;LS_current!$D$3:$AY$3, 0)),SUM(VLOOKUP($A88, LS_current!$B$4:$AY$138, LS_current!K$148, FALSE), VLOOKUP($A88, LS_current!$B$4:$AY$138,LS_current!K$148, FALSE))/2)</f>
        <v>8660</v>
      </c>
      <c r="CH88" s="227">
        <f t="array" ref="CH88">IF($BU88=0, INDEX(LS_current!$D$4:$AY$138, MATCH('Staging Table'!$A88, LS_current!$B$4:$B$138, 0), MATCH(CH$4&amp;CH$5, LS_current!$D$2:$AY$2&amp;LS_current!$D$3:$AY$3, 0)),SUM(VLOOKUP($A88, LS_current!$B$4:$AY$138, LS_current!L$148, FALSE), VLOOKUP($A88, LS_current!$B$4:$AY$138,LS_current!L$148, FALSE))/2)</f>
        <v>5979</v>
      </c>
      <c r="CI88" s="227">
        <f t="array" ref="CI88">IF($BU88=0, INDEX(LS_current!$D$4:$AY$138, MATCH('Staging Table'!$A88, LS_current!$B$4:$B$138, 0), MATCH(CI$4&amp;CI$5, LS_current!$D$2:$AY$2&amp;LS_current!$D$3:$AY$3, 0)),SUM(VLOOKUP($A88, LS_current!$B$4:$AY$138, LS_current!M$148, FALSE), VLOOKUP($A88, LS_current!$B$4:$AY$138,LS_current!M$148, FALSE))/2)</f>
        <v>5926</v>
      </c>
      <c r="CJ88" s="227">
        <f t="array" ref="CJ88">IF($BU88=0, INDEX(LS_current!$D$4:$AY$138, MATCH('Staging Table'!$A88, LS_current!$B$4:$B$138, 0), MATCH(CJ$4&amp;CJ$5, LS_current!$D$2:$AY$2&amp;LS_current!$D$3:$AY$3, 0)),SUM(VLOOKUP($A88, LS_current!$B$4:$AY$138, LS_current!N$148, FALSE), VLOOKUP($A88, LS_current!$B$4:$AY$138,LS_current!N$148, FALSE))/2)</f>
        <v>1713</v>
      </c>
      <c r="CK88" s="227">
        <f t="array" ref="CK88">IF($BU88=0, INDEX(LS_current!$D$4:$AY$138, MATCH('Staging Table'!$A88, LS_current!$B$4:$B$138, 0), MATCH(CK$4&amp;CK$5, LS_current!$D$2:$AY$2&amp;LS_current!$D$3:$AY$3, 0)),SUM(VLOOKUP($A88, LS_current!$B$4:$AY$138, LS_current!O$148, FALSE), VLOOKUP($A88, LS_current!$B$4:$AY$138,LS_current!O$148, FALSE))/2)</f>
        <v>2962</v>
      </c>
      <c r="CL88" s="227">
        <f t="array" ref="CL88">IF($BU88=0, INDEX(LS_current!$D$4:$AY$138, MATCH('Staging Table'!$A88, LS_current!$B$4:$B$138, 0), MATCH(CL$4&amp;CL$5, LS_current!$D$2:$AY$2&amp;LS_current!$D$3:$AY$3, 0)),SUM(VLOOKUP($A88, LS_current!$B$4:$AY$138, LS_current!P$148, FALSE), VLOOKUP($A88, LS_current!$B$4:$AY$138,LS_current!P$148, FALSE))/2)</f>
        <v>-821</v>
      </c>
      <c r="CM88" s="227">
        <f t="array" ref="CM88">IF($BU88=0, INDEX(LS_current!$D$4:$AY$138, MATCH('Staging Table'!$A88, LS_current!$B$4:$B$138, 0), MATCH(CM$4&amp;CM$5, LS_current!$D$2:$AY$2&amp;LS_current!$D$3:$AY$3, 0)),SUM(VLOOKUP($A88, LS_current!$B$4:$AY$138, LS_current!Q$148, FALSE), VLOOKUP($A88, LS_current!$B$4:$AY$138,LS_current!Q$148, FALSE))/2)</f>
        <v>210</v>
      </c>
      <c r="CN88" s="227">
        <f t="array" ref="CN88">IF($BU88=0, INDEX(LS_current!$D$4:$AY$138, MATCH('Staging Table'!$A88, LS_current!$B$4:$B$138, 0), MATCH(CN$4&amp;CN$5, LS_current!$D$2:$AY$2&amp;LS_current!$D$3:$AY$3, 0)),SUM(VLOOKUP($A88, LS_current!$B$4:$AY$138, LS_current!R$148, FALSE), VLOOKUP($A88, LS_current!$B$4:$AY$138,LS_current!R$148, FALSE))/2)</f>
        <v>-7288</v>
      </c>
      <c r="CO88" s="227">
        <f t="array" ref="CO88">IF($BU88=0, INDEX(LS_current!$D$4:$AY$138, MATCH('Staging Table'!$A88, LS_current!$B$4:$B$138, 0), MATCH(CO$4&amp;CO$5, LS_current!$D$2:$AY$2&amp;LS_current!$D$3:$AY$3, 0)),SUM(VLOOKUP($A88, LS_current!$B$4:$AY$138, LS_current!S$148, FALSE), VLOOKUP($A88, LS_current!$B$4:$AY$138,LS_current!S$148, FALSE))/2)</f>
        <v>-2734</v>
      </c>
      <c r="CP88" s="227">
        <f t="array" ref="CP88">IF($BU88=0, INDEX(LS_current!$D$4:$AY$138, MATCH('Staging Table'!$A88, LS_current!$B$4:$B$138, 0), MATCH(CP$4&amp;CP$5, LS_current!$D$2:$AY$2&amp;LS_current!$D$3:$AY$3, 0)),SUM(VLOOKUP($A88, LS_current!$B$4:$AY$138, LS_current!T$148, FALSE), VLOOKUP($A88, LS_current!$B$4:$AY$138,LS_current!T$148, FALSE))/2)</f>
        <v>-11689</v>
      </c>
      <c r="CQ88" s="227">
        <f t="array" ref="CQ88">IF($BU88=0, INDEX(LS_current!$D$4:$AY$138, MATCH('Staging Table'!$A88, LS_current!$B$4:$B$138, 0), MATCH(CQ$4&amp;CQ$5, LS_current!$D$2:$AY$2&amp;LS_current!$D$3:$AY$3, 0)),SUM(VLOOKUP($A88, LS_current!$B$4:$AY$138, LS_current!U$148, FALSE), VLOOKUP($A88, LS_current!$B$4:$AY$138,LS_current!U$148, FALSE))/2)</f>
        <v>-5797</v>
      </c>
      <c r="CR88" s="227">
        <f t="array" ref="CR88">IF($BU88=0, INDEX(LS_current!$D$4:$AY$138, MATCH('Staging Table'!$A88, LS_current!$B$4:$B$138, 0), MATCH(CR$4&amp;CR$5, LS_current!$D$2:$AY$2&amp;LS_current!$D$3:$AY$3, 0)),SUM(VLOOKUP($A88, LS_current!$B$4:$AY$138, LS_current!V$148, FALSE), VLOOKUP($A88, LS_current!$B$4:$AY$138,LS_current!V$148, FALSE))/2)</f>
        <v>-2784</v>
      </c>
      <c r="CS88" s="227">
        <f t="array" ref="CS88">IF($BU88=0, INDEX(LS_current!$D$4:$AY$138, MATCH('Staging Table'!$A88, LS_current!$B$4:$B$138, 0), MATCH(CS$4&amp;CS$5, LS_current!$D$2:$AY$2&amp;LS_current!$D$3:$AY$3, 0)),SUM(VLOOKUP($A88, LS_current!$B$4:$AY$138, LS_current!W$148, FALSE), VLOOKUP($A88, LS_current!$B$4:$AY$138,LS_current!W$148, FALSE))/2)</f>
        <v>1767</v>
      </c>
      <c r="CT88" s="227">
        <f t="array" ref="CT88">IF($BU88=0, INDEX(LS_current!$D$4:$AY$138, MATCH('Staging Table'!$A88, LS_current!$B$4:$B$138, 0), MATCH(CT$4&amp;CT$5, LS_current!$D$2:$AY$2&amp;LS_current!$D$3:$AY$3, 0)),SUM(VLOOKUP($A88, LS_current!$B$4:$AY$138, LS_current!X$148, FALSE), VLOOKUP($A88, LS_current!$B$4:$AY$138,LS_current!X$148, FALSE))/2)</f>
        <v>-2425</v>
      </c>
      <c r="CU88" s="227">
        <f t="array" ref="CU88">IF($BU88=0, INDEX(LS_current!$D$4:$AY$138, MATCH('Staging Table'!$A88, LS_current!$B$4:$B$138, 0), MATCH(CU$4&amp;CU$5, LS_current!$D$2:$AY$2&amp;LS_current!$D$3:$AY$3, 0)),SUM(VLOOKUP($A88, LS_current!$B$4:$AY$138, LS_current!Y$148, FALSE), VLOOKUP($A88, LS_current!$B$4:$AY$138,LS_current!Y$148, FALSE))/2)</f>
        <v>668</v>
      </c>
      <c r="CV88" s="227">
        <f t="array" ref="CV88">IF($BU88=0, INDEX(LS_current!$D$4:$AY$138, MATCH('Staging Table'!$A88, LS_current!$B$4:$B$138, 0), MATCH(CV$4&amp;CV$5, LS_current!$D$2:$AY$2&amp;LS_current!$D$3:$AY$3, 0)),SUM(VLOOKUP($A88, LS_current!$B$4:$AY$138, LS_current!Z$148, FALSE), VLOOKUP($A88, LS_current!$B$4:$AY$138,LS_current!Z$148, FALSE))/2)</f>
        <v>-4333</v>
      </c>
      <c r="CW88" s="227">
        <f t="array" ref="CW88">IF($BU88=0, INDEX(LS_current!$D$4:$AY$138, MATCH('Staging Table'!$A88, LS_current!$B$4:$B$138, 0), MATCH(CW$4&amp;CW$5, LS_current!$D$2:$AY$2&amp;LS_current!$D$3:$AY$3, 0)),SUM(VLOOKUP($A88, LS_current!$B$4:$AY$138, LS_current!AA$148, FALSE), VLOOKUP($A88, LS_current!$B$4:$AY$138,LS_current!AA$148, FALSE))/2)</f>
        <v>-1151</v>
      </c>
      <c r="CX88" s="229">
        <f t="array" ref="CX88">INDEX(Demand_current!$D$4:$AY$138, MATCH($A88, Demand_current!$B$4:$B$138, 0), MATCH(CX$4&amp;CX$5,Demand_current!$D$2:$AY$2&amp;Demand_current!$D$3:$AY$3, 0))/1000</f>
        <v>6.56</v>
      </c>
      <c r="CY88" s="229">
        <f t="array" ref="CY88">INDEX(Demand_current!$D$4:$AY$138, MATCH($A88, Demand_current!$B$4:$B$138, 0), MATCH(CY$4&amp;CY$5,Demand_current!$D$2:$AY$2&amp;Demand_current!$D$3:$AY$3, 0))/1000</f>
        <v>7.048</v>
      </c>
      <c r="CZ88" s="229">
        <f t="array" ref="CZ88">INDEX(Demand_current!$D$4:$AY$138, MATCH($A88, Demand_current!$B$4:$B$138, 0), MATCH(CZ$4&amp;CZ$5,Demand_current!$D$2:$AY$2&amp;Demand_current!$D$3:$AY$3, 0))/1000</f>
        <v>8.5500000000000007</v>
      </c>
      <c r="DA88" s="229">
        <f t="array" ref="DA88">INDEX(Demand_current!$D$4:$AY$138, MATCH($A88, Demand_current!$B$4:$B$138, 0), MATCH(DA$4&amp;DA$5,Demand_current!$D$2:$AY$2&amp;Demand_current!$D$3:$AY$3, 0))/1000</f>
        <v>13.744999999999999</v>
      </c>
      <c r="DB88" s="229">
        <f t="array" ref="DB88">INDEX(Demand_current!$D$4:$AY$138, MATCH($A88, Demand_current!$B$4:$B$138, 0), MATCH(DB$4&amp;DB$5,Demand_current!$D$2:$AY$2&amp;Demand_current!$D$3:$AY$3, 0))/1000</f>
        <v>7.1769999999999996</v>
      </c>
      <c r="DC88" s="229">
        <f t="array" ref="DC88">INDEX(Demand_current!$D$4:$AY$138, MATCH($A88, Demand_current!$B$4:$B$138, 0), MATCH(DC$4&amp;DC$5,Demand_current!$D$2:$AY$2&amp;Demand_current!$D$3:$AY$3, 0))/1000</f>
        <v>8.5549999999999997</v>
      </c>
      <c r="DD88" s="229">
        <f t="array" ref="DD88">INDEX(Demand_current!$D$4:$AY$138, MATCH($A88, Demand_current!$B$4:$B$138, 0), MATCH(DD$4&amp;DD$5,Demand_current!$D$2:$AY$2&amp;Demand_current!$D$3:$AY$3, 0))/1000</f>
        <v>6.5620000000000003</v>
      </c>
      <c r="DE88" s="229">
        <f t="array" ref="DE88">INDEX(Demand_current!$D$4:$AY$138, MATCH($A88, Demand_current!$B$4:$B$138, 0), MATCH(DE$4&amp;DE$5,Demand_current!$D$2:$AY$2&amp;Demand_current!$D$3:$AY$3, 0))/1000</f>
        <v>3.327</v>
      </c>
      <c r="DF88" s="229">
        <f t="array" ref="DF88">INDEX(Demand_current!$D$4:$AY$138, MATCH($A88, Demand_current!$B$4:$B$138, 0), MATCH(DF$4&amp;DF$5,Demand_current!$D$2:$AY$2&amp;Demand_current!$D$3:$AY$3, 0))/1000</f>
        <v>8.8290000000000006</v>
      </c>
      <c r="DG88" s="229">
        <f t="array" ref="DG88">INDEX(Demand_current!$D$4:$AY$138, MATCH($A88, Demand_current!$B$4:$B$138, 0), MATCH(DG$4&amp;DG$5,Demand_current!$D$2:$AY$2&amp;Demand_current!$D$3:$AY$3, 0))/1000</f>
        <v>8.5549999999999997</v>
      </c>
      <c r="DH88" s="229">
        <f t="array" ref="DH88">INDEX(Demand_current!$D$4:$AY$138, MATCH($A88, Demand_current!$B$4:$B$138, 0), MATCH(DH$4&amp;DH$5,Demand_current!$D$2:$AY$2&amp;Demand_current!$D$3:$AY$3, 0))/1000</f>
        <v>4.3650000000000002</v>
      </c>
      <c r="DI88" s="229">
        <f t="array" ref="DI88">INDEX(Demand_current!$D$4:$AY$138, MATCH($A88, Demand_current!$B$4:$B$138, 0), MATCH(DI$4&amp;DI$5,Demand_current!$D$2:$AY$2&amp;Demand_current!$D$3:$AY$3, 0))/1000</f>
        <v>8.5250000000000004</v>
      </c>
      <c r="DJ88" s="227">
        <f>$BT88*(VLOOKUP(DJ$4, Rates_current!$G$6:$Q$29, 10, FALSE)+VLOOKUP(DJ$4, Rates_current!$G$6:$Q$29, 11, FALSE))</f>
        <v>24814.386074743197</v>
      </c>
      <c r="DK88" s="227">
        <f>$BT88*(VLOOKUP(DK$4, Rates_current!$G$6:$Q$29, 10, FALSE)+VLOOKUP(DK$4, Rates_current!$G$6:$Q$29, 11, FALSE))</f>
        <v>31522.0113130338</v>
      </c>
      <c r="DL88" s="227">
        <f>$BT88*(VLOOKUP(DL$4, Rates_current!$G$6:$Q$29, 10, FALSE)+VLOOKUP(DL$4, Rates_current!$G$6:$Q$29, 11, FALSE))</f>
        <v>31141.340373343202</v>
      </c>
      <c r="DM88" s="227">
        <f>$BT88*(VLOOKUP(DM$4, Rates_current!$G$6:$Q$29, 10, FALSE)+VLOOKUP(DM$4, Rates_current!$G$6:$Q$29, 11, FALSE))</f>
        <v>25958.203931743203</v>
      </c>
      <c r="DN88" s="227">
        <f>$BT88*(VLOOKUP(DN$4, Rates_current!$G$6:$Q$29, 10, FALSE)+VLOOKUP(DN$4, Rates_current!$G$6:$Q$29, 11, FALSE))</f>
        <v>23515.43980656</v>
      </c>
      <c r="DO88" s="227">
        <f>$BT88*(VLOOKUP(DO$4, Rates_current!$G$6:$Q$29, 10, FALSE)+VLOOKUP(DO$4, Rates_current!$G$6:$Q$29, 11, FALSE))</f>
        <v>26156.639500625399</v>
      </c>
      <c r="DP88" s="227">
        <f>$BT88*(VLOOKUP(DP$4, Rates_current!$G$6:$Q$29, 10, FALSE)+VLOOKUP(DP$4, Rates_current!$G$6:$Q$29, 11, FALSE))</f>
        <v>21296.764107216</v>
      </c>
      <c r="DQ88" s="227">
        <f>$BT88*(VLOOKUP(DQ$4, Rates_current!$G$6:$Q$29, 10, FALSE)+VLOOKUP(DQ$4, Rates_current!$G$6:$Q$29, 11, FALSE))</f>
        <v>28721.862097843201</v>
      </c>
      <c r="DR88" s="227">
        <f>$BT88*(VLOOKUP(DR$4, Rates_current!$G$6:$Q$29, 10, FALSE)+VLOOKUP(DR$4, Rates_current!$G$6:$Q$29, 11, FALSE))</f>
        <v>36647.142622116</v>
      </c>
      <c r="DS88" s="227">
        <f>$BT88*(VLOOKUP(DS$4, Rates_current!$G$6:$Q$29, 10, FALSE)+VLOOKUP(DS$4, Rates_current!$G$6:$Q$29, 11, FALSE))</f>
        <v>28732.521823543204</v>
      </c>
      <c r="DT88" s="227">
        <f>$BT88*(VLOOKUP(DT$4, Rates_current!$G$6:$Q$29, 10, FALSE)+VLOOKUP(DT$4, Rates_current!$G$6:$Q$29, 11, FALSE))</f>
        <v>27979.754942443204</v>
      </c>
      <c r="DU88" s="227">
        <f>$BT88*(VLOOKUP(DU$4, Rates_current!$G$6:$Q$29, 10, FALSE)+VLOOKUP(DU$4, Rates_current!$G$6:$Q$29, 11, FALSE))</f>
        <v>25119.867877416003</v>
      </c>
      <c r="DV88" s="229">
        <f>IF(D88=0,IF(C88=0,MAX(0,DY88 - (VLOOKUP($A88,TOCA_current!$A$2:$AI$137,MATCH("RHWM 2020",TOCA_current!$A$2:$AI$2,0),FALSE)*$BT$2)), 0),0)</f>
        <v>5586.1629172735848</v>
      </c>
      <c r="DW88" s="266">
        <f>VLOOKUP($A88,REP_current!$A$1:$D$135,MATCH("FY "&amp;$BT$1&amp; " Total Refund",REP_current!$A$1:$D$1,0),0)</f>
        <v>0</v>
      </c>
      <c r="DX88" s="295">
        <f>MIN(VLOOKUP($A88,TOCA_current!$A$2:$AI$137,MATCH("TRL - NLSL - Existing Resource "&amp;$BT$1,TOCA_current!$A$2:$AI$2,0),FALSE)*$BT$2, VLOOKUP($A88,TOCA_current!$A$2:$AI$137,MATCH("RHWM 2020",TOCA_current!$A$2:$AI$2,0),FALSE)*$BT$2)</f>
        <v>331604.78399999999</v>
      </c>
      <c r="DY88" s="240">
        <f>SUM(BZ88:CW88)+(BT88*RT1SC!$C$4*$BT$2)</f>
        <v>337190.94691727357</v>
      </c>
      <c r="DZ88" s="271">
        <f>VLOOKUP($A88,TOCA_current!$A$2:$AI$137,MATCH("Above RHWM Not Served with LS "&amp;$BT$1,TOCA_current!$A$2:$AI$2,0),FALSE)*$BT$2</f>
        <v>0</v>
      </c>
      <c r="EA88" s="244">
        <f t="shared" si="29"/>
        <v>5586.1629172735848</v>
      </c>
      <c r="EB88" s="295">
        <f>(VLOOKUP($A88,TOCA_current!$A$2:$AI$137,MATCH("RHWM 2020",TOCA_current!$A$2:$AI$2,0),FALSE)*$BT$2) - $DX88</f>
        <v>0</v>
      </c>
      <c r="EC88" s="240">
        <f t="shared" si="30"/>
        <v>0</v>
      </c>
      <c r="ED88" s="240">
        <f t="shared" si="31"/>
        <v>0</v>
      </c>
      <c r="EE88" s="240">
        <f t="shared" si="32"/>
        <v>0</v>
      </c>
      <c r="EF88" s="240">
        <f t="shared" si="33"/>
        <v>0</v>
      </c>
    </row>
    <row r="89" spans="1:136">
      <c r="A89" s="166">
        <v>10259</v>
      </c>
      <c r="B89" s="167" t="s">
        <v>90</v>
      </c>
      <c r="C89" s="240">
        <v>0</v>
      </c>
      <c r="D89" s="240">
        <v>0</v>
      </c>
      <c r="E89" s="150">
        <f>VLOOKUP($A89,TOCA_previous!$A$2:$AI$137,MATCH(E$4,TOCA_previous!$A$2:$AI$2,0),FALSE)</f>
        <v>3.8233E-3</v>
      </c>
      <c r="F89" s="151">
        <f>VLOOKUP($A89,TOCA_previous!$A$2:$AI$137,MATCH(F$4,TOCA_previous!$A$2:$AI$2,0),FALSE)</f>
        <v>3.8233E-3</v>
      </c>
      <c r="G89" s="151">
        <f t="shared" si="18"/>
        <v>0</v>
      </c>
      <c r="H89" s="151">
        <f>VLOOKUP($A89,TOCA_previous!$A$2:$AI$137,MATCH(H$4,TOCA_previous!$A$2:$AI$2,0),FALSE)</f>
        <v>6.67185E-2</v>
      </c>
      <c r="I89" s="151">
        <f t="shared" si="19"/>
        <v>0</v>
      </c>
      <c r="J89" s="151">
        <f t="shared" si="20"/>
        <v>0</v>
      </c>
      <c r="K89" s="226">
        <f>VLOOKUP(A89, IRD!$A$5:$C$139, 3, FALSE)</f>
        <v>0</v>
      </c>
      <c r="L89" s="227">
        <f t="array" ref="L89">IF($G89=0, INDEX(LS_previous!$D$4:$AY$138, MATCH('Staging Table'!$A89, LS_previous!$B$4:$B$138, 0), MATCH(L$4&amp;L$5, LS_previous!$D$2:$AY$2&amp;LS_previous!$D$3:$AY$3, 0)),SUM(VLOOKUP($A89, LS_previous!$B$4:$AY$138, LS_previous!D$149, FALSE), VLOOKUP('Staging Table'!$A89, LS_previous!$B$4:$AY$138,LS_previous!AB$149, FALSE))/2)</f>
        <v>-699</v>
      </c>
      <c r="M89" s="227">
        <f t="array" ref="M89">IF($G89=0, INDEX(LS_previous!$D$4:$AY$138, MATCH('Staging Table'!$A89, LS_previous!$B$4:$B$138, 0), MATCH(M$4&amp;M$5, LS_previous!$D$2:$AY$2&amp;LS_previous!$D$3:$AY$3, 0)),SUM(VLOOKUP($A89, LS_previous!$B$4:$AY$138, LS_previous!E$149, FALSE), VLOOKUP('Staging Table'!$A89, LS_previous!$B$4:$AY$138,LS_previous!AC$149, FALSE))/2)</f>
        <v>198</v>
      </c>
      <c r="N89" s="227">
        <f t="array" ref="N89">IF($G89=0, INDEX(LS_previous!$D$4:$AY$138, MATCH('Staging Table'!$A89, LS_previous!$B$4:$B$138, 0), MATCH(N$4&amp;N$5, LS_previous!$D$2:$AY$2&amp;LS_previous!$D$3:$AY$3, 0)),SUM(VLOOKUP($A89, LS_previous!$B$4:$AY$138, LS_previous!F$149, FALSE), VLOOKUP('Staging Table'!$A89, LS_previous!$B$4:$AY$138,LS_previous!AD$149, FALSE))/2)</f>
        <v>-1411</v>
      </c>
      <c r="O89" s="227">
        <f t="array" ref="O89">IF($G89=0, INDEX(LS_previous!$D$4:$AY$138, MATCH('Staging Table'!$A89, LS_previous!$B$4:$B$138, 0), MATCH(O$4&amp;O$5, LS_previous!$D$2:$AY$2&amp;LS_previous!$D$3:$AY$3, 0)),SUM(VLOOKUP($A89, LS_previous!$B$4:$AY$138, LS_previous!G$149, FALSE), VLOOKUP('Staging Table'!$A89, LS_previous!$B$4:$AY$138,LS_previous!AE$149, FALSE))/2)</f>
        <v>677</v>
      </c>
      <c r="P89" s="227">
        <f t="array" ref="P89">IF($G89=0, INDEX(LS_previous!$D$4:$AY$138, MATCH('Staging Table'!$A89, LS_previous!$B$4:$B$138, 0), MATCH(P$4&amp;P$5, LS_previous!$D$2:$AY$2&amp;LS_previous!$D$3:$AY$3, 0)),SUM(VLOOKUP($A89, LS_previous!$B$4:$AY$138, LS_previous!H$149, FALSE), VLOOKUP('Staging Table'!$A89, LS_previous!$B$4:$AY$138,LS_previous!AF$149, FALSE))/2)</f>
        <v>1947</v>
      </c>
      <c r="Q89" s="227">
        <f t="array" ref="Q89">IF($G89=0, INDEX(LS_previous!$D$4:$AY$138, MATCH('Staging Table'!$A89, LS_previous!$B$4:$B$138, 0), MATCH(Q$4&amp;Q$5, LS_previous!$D$2:$AY$2&amp;LS_previous!$D$3:$AY$3, 0)),SUM(VLOOKUP($A89, LS_previous!$B$4:$AY$138, LS_previous!I$149, FALSE), VLOOKUP('Staging Table'!$A89, LS_previous!$B$4:$AY$138,LS_previous!AG$149, FALSE))/2)</f>
        <v>2536</v>
      </c>
      <c r="R89" s="227">
        <f t="array" ref="R89">IF($G89=0, INDEX(LS_previous!$D$4:$AY$138, MATCH('Staging Table'!$A89, LS_previous!$B$4:$B$138, 0), MATCH(R$4&amp;R$5, LS_previous!$D$2:$AY$2&amp;LS_previous!$D$3:$AY$3, 0)),SUM(VLOOKUP($A89, LS_previous!$B$4:$AY$138, LS_previous!J$149, FALSE), VLOOKUP('Staging Table'!$A89, LS_previous!$B$4:$AY$138,LS_previous!AH$149, FALSE))/2)</f>
        <v>3795</v>
      </c>
      <c r="S89" s="227">
        <f t="array" ref="S89">IF($G89=0, INDEX(LS_previous!$D$4:$AY$138, MATCH('Staging Table'!$A89, LS_previous!$B$4:$B$138, 0), MATCH(S$4&amp;S$5, LS_previous!$D$2:$AY$2&amp;LS_previous!$D$3:$AY$3, 0)),SUM(VLOOKUP($A89, LS_previous!$B$4:$AY$138, LS_previous!K$149, FALSE), VLOOKUP('Staging Table'!$A89, LS_previous!$B$4:$AY$138,LS_previous!AI$149, FALSE))/2)</f>
        <v>3704</v>
      </c>
      <c r="T89" s="227">
        <f t="array" ref="T89">IF($G89=0, INDEX(LS_previous!$D$4:$AY$138, MATCH('Staging Table'!$A89, LS_previous!$B$4:$B$138, 0), MATCH(T$4&amp;T$5, LS_previous!$D$2:$AY$2&amp;LS_previous!$D$3:$AY$3, 0)),SUM(VLOOKUP($A89, LS_previous!$B$4:$AY$138, LS_previous!L$149, FALSE), VLOOKUP('Staging Table'!$A89, LS_previous!$B$4:$AY$138,LS_previous!AJ$149, FALSE))/2)</f>
        <v>3487</v>
      </c>
      <c r="U89" s="227">
        <f t="array" ref="U89">IF($G89=0, INDEX(LS_previous!$D$4:$AY$138, MATCH('Staging Table'!$A89, LS_previous!$B$4:$B$138, 0), MATCH(U$4&amp;U$5, LS_previous!$D$2:$AY$2&amp;LS_previous!$D$3:$AY$3, 0)),SUM(VLOOKUP($A89, LS_previous!$B$4:$AY$138, LS_previous!M$149, FALSE), VLOOKUP('Staging Table'!$A89, LS_previous!$B$4:$AY$138,LS_previous!AK$149, FALSE))/2)</f>
        <v>3133</v>
      </c>
      <c r="V89" s="227">
        <f t="array" ref="V89">IF($G89=0, INDEX(LS_previous!$D$4:$AY$138, MATCH('Staging Table'!$A89, LS_previous!$B$4:$B$138, 0), MATCH(V$4&amp;V$5, LS_previous!$D$2:$AY$2&amp;LS_previous!$D$3:$AY$3, 0)),SUM(VLOOKUP($A89, LS_previous!$B$4:$AY$138, LS_previous!N$149, FALSE), VLOOKUP('Staging Table'!$A89, LS_previous!$B$4:$AY$138,LS_previous!AL$149, FALSE))/2)</f>
        <v>954</v>
      </c>
      <c r="W89" s="227">
        <f t="array" ref="W89">IF($G89=0, INDEX(LS_previous!$D$4:$AY$138, MATCH('Staging Table'!$A89, LS_previous!$B$4:$B$138, 0), MATCH(W$4&amp;W$5, LS_previous!$D$2:$AY$2&amp;LS_previous!$D$3:$AY$3, 0)),SUM(VLOOKUP($A89, LS_previous!$B$4:$AY$138, LS_previous!O$149, FALSE), VLOOKUP('Staging Table'!$A89, LS_previous!$B$4:$AY$138,LS_previous!AM$149, FALSE))/2)</f>
        <v>1464</v>
      </c>
      <c r="X89" s="227">
        <f t="array" ref="X89">IF($G89=0, INDEX(LS_previous!$D$4:$AY$138, MATCH('Staging Table'!$A89, LS_previous!$B$4:$B$138, 0), MATCH(X$4&amp;X$5, LS_previous!$D$2:$AY$2&amp;LS_previous!$D$3:$AY$3, 0)),SUM(VLOOKUP($A89, LS_previous!$B$4:$AY$138, LS_previous!P$149, FALSE), VLOOKUP('Staging Table'!$A89, LS_previous!$B$4:$AY$138,LS_previous!AN$149, FALSE))/2)</f>
        <v>-644</v>
      </c>
      <c r="Y89" s="227">
        <f t="array" ref="Y89">IF($G89=0, INDEX(LS_previous!$D$4:$AY$138, MATCH('Staging Table'!$A89, LS_previous!$B$4:$B$138, 0), MATCH(Y$4&amp;Y$5, LS_previous!$D$2:$AY$2&amp;LS_previous!$D$3:$AY$3, 0)),SUM(VLOOKUP($A89, LS_previous!$B$4:$AY$138, LS_previous!Q$149, FALSE), VLOOKUP('Staging Table'!$A89, LS_previous!$B$4:$AY$138,LS_previous!AO$149, FALSE))/2)</f>
        <v>421</v>
      </c>
      <c r="Z89" s="227">
        <f t="array" ref="Z89">IF($G89=0, INDEX(LS_previous!$D$4:$AY$138, MATCH('Staging Table'!$A89, LS_previous!$B$4:$B$138, 0), MATCH(Z$4&amp;Z$5, LS_previous!$D$2:$AY$2&amp;LS_previous!$D$3:$AY$3, 0)),SUM(VLOOKUP($A89, LS_previous!$B$4:$AY$138, LS_previous!R$149, FALSE), VLOOKUP('Staging Table'!$A89, LS_previous!$B$4:$AY$138,LS_previous!AP$149, FALSE))/2)</f>
        <v>-6193</v>
      </c>
      <c r="AA89" s="227">
        <f t="array" ref="AA89">IF($G89=0, INDEX(LS_previous!$D$4:$AY$138, MATCH('Staging Table'!$A89, LS_previous!$B$4:$B$138, 0), MATCH(AA$4&amp;AA$5, LS_previous!$D$2:$AY$2&amp;LS_previous!$D$3:$AY$3, 0)),SUM(VLOOKUP($A89, LS_previous!$B$4:$AY$138, LS_previous!S$149, FALSE), VLOOKUP('Staging Table'!$A89, LS_previous!$B$4:$AY$138,LS_previous!AQ$149, FALSE))/2)</f>
        <v>-2411</v>
      </c>
      <c r="AB89" s="227">
        <f t="array" ref="AB89">IF($G89=0, INDEX(LS_previous!$D$4:$AY$138, MATCH('Staging Table'!$A89, LS_previous!$B$4:$B$138, 0), MATCH(AB$4&amp;AB$5, LS_previous!$D$2:$AY$2&amp;LS_previous!$D$3:$AY$3, 0)),SUM(VLOOKUP($A89, LS_previous!$B$4:$AY$138, LS_previous!T$149, FALSE), VLOOKUP('Staging Table'!$A89, LS_previous!$B$4:$AY$138,LS_previous!AR$149, FALSE))/2)</f>
        <v>-1988</v>
      </c>
      <c r="AC89" s="227">
        <f t="array" ref="AC89">IF($G89=0, INDEX(LS_previous!$D$4:$AY$138, MATCH('Staging Table'!$A89, LS_previous!$B$4:$B$138, 0), MATCH(AC$4&amp;AC$5, LS_previous!$D$2:$AY$2&amp;LS_previous!$D$3:$AY$3, 0)),SUM(VLOOKUP($A89, LS_previous!$B$4:$AY$138, LS_previous!U$149, FALSE), VLOOKUP('Staging Table'!$A89, LS_previous!$B$4:$AY$138,LS_previous!AS$149, FALSE))/2)</f>
        <v>-190</v>
      </c>
      <c r="AD89" s="227">
        <f t="array" ref="AD89">IF($G89=0, INDEX(LS_previous!$D$4:$AY$138, MATCH('Staging Table'!$A89, LS_previous!$B$4:$B$138, 0), MATCH(AD$4&amp;AD$5, LS_previous!$D$2:$AY$2&amp;LS_previous!$D$3:$AY$3, 0)),SUM(VLOOKUP($A89, LS_previous!$B$4:$AY$138, LS_previous!V$149, FALSE), VLOOKUP('Staging Table'!$A89, LS_previous!$B$4:$AY$138,LS_previous!AT$149, FALSE))/2)</f>
        <v>1065</v>
      </c>
      <c r="AE89" s="227">
        <f t="array" ref="AE89">IF($G89=0, INDEX(LS_previous!$D$4:$AY$138, MATCH('Staging Table'!$A89, LS_previous!$B$4:$B$138, 0), MATCH(AE$4&amp;AE$5, LS_previous!$D$2:$AY$2&amp;LS_previous!$D$3:$AY$3, 0)),SUM(VLOOKUP($A89, LS_previous!$B$4:$AY$138, LS_previous!W$149, FALSE), VLOOKUP('Staging Table'!$A89, LS_previous!$B$4:$AY$138,LS_previous!AU$149, FALSE))/2)</f>
        <v>1859</v>
      </c>
      <c r="AF89" s="227">
        <f t="array" ref="AF89">IF($G89=0, INDEX(LS_previous!$D$4:$AY$138, MATCH('Staging Table'!$A89, LS_previous!$B$4:$B$138, 0), MATCH(AF$4&amp;AF$5, LS_previous!$D$2:$AY$2&amp;LS_previous!$D$3:$AY$3, 0)),SUM(VLOOKUP($A89, LS_previous!$B$4:$AY$138, LS_previous!X$149, FALSE), VLOOKUP('Staging Table'!$A89, LS_previous!$B$4:$AY$138,LS_previous!AV$149, FALSE))/2)</f>
        <v>-911</v>
      </c>
      <c r="AG89" s="227">
        <f t="array" ref="AG89">IF($G89=0, INDEX(LS_previous!$D$4:$AY$138, MATCH('Staging Table'!$A89, LS_previous!$B$4:$B$138, 0), MATCH(AG$4&amp;AG$5, LS_previous!$D$2:$AY$2&amp;LS_previous!$D$3:$AY$3, 0)),SUM(VLOOKUP($A89, LS_previous!$B$4:$AY$138, LS_previous!Y$149, FALSE), VLOOKUP('Staging Table'!$A89, LS_previous!$B$4:$AY$138,LS_previous!AW$149, FALSE))/2)</f>
        <v>587</v>
      </c>
      <c r="AH89" s="227">
        <f t="array" ref="AH89">IF($G89=0, INDEX(LS_previous!$D$4:$AY$138, MATCH('Staging Table'!$A89, LS_previous!$B$4:$B$138, 0), MATCH(AH$4&amp;AH$5, LS_previous!$D$2:$AY$2&amp;LS_previous!$D$3:$AY$3, 0)),SUM(VLOOKUP($A89, LS_previous!$B$4:$AY$138, LS_previous!Z$149, FALSE), VLOOKUP('Staging Table'!$A89, LS_previous!$B$4:$AY$138,LS_previous!AX$149, FALSE))/2)</f>
        <v>-1698</v>
      </c>
      <c r="AI89" s="227">
        <f t="array" ref="AI89">IF($G89=0, INDEX(LS_previous!$D$4:$AY$138, MATCH('Staging Table'!$A89, LS_previous!$B$4:$B$138, 0), MATCH(AI$4&amp;AI$5, LS_previous!$D$2:$AY$2&amp;LS_previous!$D$3:$AY$3, 0)),SUM(VLOOKUP($A89, LS_previous!$B$4:$AY$138, LS_previous!AA$149, FALSE), VLOOKUP('Staging Table'!$A89, LS_previous!$B$4:$AY$138,LS_previous!AY$149, FALSE))/2)</f>
        <v>18</v>
      </c>
      <c r="AJ89" s="424">
        <f t="array" ref="AJ89">INDEX(Demand_previous!$D$4:$AY$138, MATCH('Staging Table'!$A89, Demand_previous!$B$4:$B$138, 0), MATCH(AJ$4&amp;AJ$5,Demand_previous!$D$2:$AY$2&amp;Demand_previous!$D$3:$AY$3, 0))/1000</f>
        <v>3.8719999999999999</v>
      </c>
      <c r="AK89" s="424">
        <f t="array" ref="AK89">INDEX(Demand_previous!$D$4:$AY$138, MATCH('Staging Table'!$A89, Demand_previous!$B$4:$B$138, 0), MATCH(AK$4&amp;AK$5,Demand_previous!$D$2:$AY$2&amp;Demand_previous!$D$3:$AY$3, 0))/1000</f>
        <v>6.1749999999999998</v>
      </c>
      <c r="AL89" s="424">
        <f t="array" ref="AL89">INDEX(Demand_previous!$D$4:$AY$138, MATCH('Staging Table'!$A89, Demand_previous!$B$4:$B$138, 0), MATCH(AL$4&amp;AL$5,Demand_previous!$D$2:$AY$2&amp;Demand_previous!$D$3:$AY$3, 0))/1000</f>
        <v>5.907</v>
      </c>
      <c r="AM89" s="424">
        <f t="array" ref="AM89">INDEX(Demand_previous!$D$4:$AY$138, MATCH('Staging Table'!$A89, Demand_previous!$B$4:$B$138, 0), MATCH(AM$4&amp;AM$5,Demand_previous!$D$2:$AY$2&amp;Demand_previous!$D$3:$AY$3, 0))/1000</f>
        <v>9.0039999999999996</v>
      </c>
      <c r="AN89" s="424">
        <f t="array" ref="AN89">INDEX(Demand_previous!$D$4:$AY$138, MATCH('Staging Table'!$A89, Demand_previous!$B$4:$B$138, 0), MATCH(AN$4&amp;AN$5,Demand_previous!$D$2:$AY$2&amp;Demand_previous!$D$3:$AY$3, 0))/1000</f>
        <v>3.6539999999999999</v>
      </c>
      <c r="AO89" s="424">
        <f t="array" ref="AO89">INDEX(Demand_previous!$D$4:$AY$138, MATCH('Staging Table'!$A89, Demand_previous!$B$4:$B$138, 0), MATCH(AO$4&amp;AO$5,Demand_previous!$D$2:$AY$2&amp;Demand_previous!$D$3:$AY$3, 0))/1000</f>
        <v>6.6790000000000003</v>
      </c>
      <c r="AP89" s="424">
        <f t="array" ref="AP89">INDEX(Demand_previous!$D$4:$AY$138, MATCH('Staging Table'!$A89, Demand_previous!$B$4:$B$138, 0), MATCH(AP$4&amp;AP$5,Demand_previous!$D$2:$AY$2&amp;Demand_previous!$D$3:$AY$3, 0))/1000</f>
        <v>4.0880000000000001</v>
      </c>
      <c r="AQ89" s="424">
        <f t="array" ref="AQ89">INDEX(Demand_previous!$D$4:$AY$138, MATCH('Staging Table'!$A89, Demand_previous!$B$4:$B$138, 0), MATCH(AQ$4&amp;AQ$5,Demand_previous!$D$2:$AY$2&amp;Demand_previous!$D$3:$AY$3, 0))/1000</f>
        <v>6.0359999999999996</v>
      </c>
      <c r="AR89" s="424">
        <f t="array" ref="AR89">INDEX(Demand_previous!$D$4:$AY$138, MATCH('Staging Table'!$A89, Demand_previous!$B$4:$B$138, 0), MATCH(AR$4&amp;AR$5,Demand_previous!$D$2:$AY$2&amp;Demand_previous!$D$3:$AY$3, 0))/1000</f>
        <v>6.63</v>
      </c>
      <c r="AS89" s="424">
        <f t="array" ref="AS89">INDEX(Demand_previous!$D$4:$AY$138, MATCH('Staging Table'!$A89, Demand_previous!$B$4:$B$138, 0), MATCH(AS$4&amp;AS$5,Demand_previous!$D$2:$AY$2&amp;Demand_previous!$D$3:$AY$3, 0))/1000</f>
        <v>5.4710000000000001</v>
      </c>
      <c r="AT89" s="424">
        <f t="array" ref="AT89">INDEX(Demand_previous!$D$4:$AY$138, MATCH('Staging Table'!$A89, Demand_previous!$B$4:$B$138, 0), MATCH(AT$4&amp;AT$5,Demand_previous!$D$2:$AY$2&amp;Demand_previous!$D$3:$AY$3, 0))/1000</f>
        <v>5.8579999999999997</v>
      </c>
      <c r="AU89" s="424">
        <f t="array" ref="AU89">INDEX(Demand_previous!$D$4:$AY$138, MATCH('Staging Table'!$A89, Demand_previous!$B$4:$B$138, 0), MATCH(AU$4&amp;AU$5,Demand_previous!$D$2:$AY$2&amp;Demand_previous!$D$3:$AY$3, 0))/1000</f>
        <v>6.8049999999999997</v>
      </c>
      <c r="AV89" s="227">
        <f>$F89*(VLOOKUP(AV$4, Rates_previous!$G$6:$Q$29, 10, FALSE)+VLOOKUP(AV$4, Rates_previous!$G$6:$Q$29, 11, FALSE))</f>
        <v>17926.833416943773</v>
      </c>
      <c r="AW89" s="227">
        <f>$F89*(VLOOKUP(AW$4, Rates_previous!$G$6:$Q$29, 10, FALSE)+VLOOKUP(AW$4, Rates_previous!$G$6:$Q$29, 11, FALSE))</f>
        <v>22156.203591796046</v>
      </c>
      <c r="AX89" s="227">
        <f>$F89*(VLOOKUP(AX$4, Rates_previous!$G$6:$Q$29, 10, FALSE)+VLOOKUP(AX$4, Rates_previous!$G$6:$Q$29, 11, FALSE))</f>
        <v>21890.13408675808</v>
      </c>
      <c r="AY89" s="227">
        <f>$F89*(VLOOKUP(AY$4, Rates_previous!$G$6:$Q$29, 10, FALSE)+VLOOKUP(AY$4, Rates_previous!$G$6:$Q$29, 11, FALSE))</f>
        <v>18703.033102761226</v>
      </c>
      <c r="AZ89" s="227">
        <f>$F89*(VLOOKUP(AZ$4, Rates_previous!$G$6:$Q$29, 10, FALSE)+VLOOKUP(AZ$4, Rates_previous!$G$6:$Q$29, 11, FALSE))</f>
        <v>15332.859295463755</v>
      </c>
      <c r="BA89" s="227">
        <f>$F89*(VLOOKUP(BA$4, Rates_previous!$G$6:$Q$29, 10, FALSE)+VLOOKUP(BA$4, Rates_previous!$G$6:$Q$29, 11, FALSE))</f>
        <v>18153.548464692187</v>
      </c>
      <c r="BB89" s="227">
        <f>$F89*(VLOOKUP(BB$4, Rates_previous!$G$6:$Q$29, 10, FALSE)+VLOOKUP(BB$4, Rates_previous!$G$6:$Q$29, 11, FALSE))</f>
        <v>17448.200669293139</v>
      </c>
      <c r="BC89" s="227">
        <f>$F89*(VLOOKUP(BC$4, Rates_previous!$G$6:$Q$29, 10, FALSE)+VLOOKUP(BC$4, Rates_previous!$G$6:$Q$29, 11, FALSE))</f>
        <v>25603.999799569156</v>
      </c>
      <c r="BD89" s="227">
        <f>$F89*(VLOOKUP(BD$4, Rates_previous!$G$6:$Q$29, 10, FALSE)+VLOOKUP(BD$4, Rates_previous!$G$6:$Q$29, 11, FALSE))</f>
        <v>20200.879119896454</v>
      </c>
      <c r="BE89" s="227">
        <f>$F89*(VLOOKUP(BE$4, Rates_previous!$G$6:$Q$29, 10, FALSE)+VLOOKUP(BE$4, Rates_previous!$G$6:$Q$29, 11, FALSE))</f>
        <v>17738.067438769714</v>
      </c>
      <c r="BF89" s="227">
        <f>$F89*(VLOOKUP(BF$4, Rates_previous!$G$6:$Q$29, 10, FALSE)+VLOOKUP(BF$4, Rates_previous!$G$6:$Q$29, 11, FALSE))</f>
        <v>19645.619702706717</v>
      </c>
      <c r="BG89" s="227">
        <f>$F89*(VLOOKUP(BG$4, Rates_previous!$G$6:$Q$29, 10, FALSE)+VLOOKUP(BG$4, Rates_previous!$G$6:$Q$29, 11, FALSE))</f>
        <v>17798.150193321067</v>
      </c>
      <c r="BH89" s="229">
        <f>IF($D89=0,IF(C89=0, MAX(BK89 - (VLOOKUP($A89,TOCA_previous!$A$2:$AI$137,MATCH("RHWM 2018",TOCA_previous!$A$2:$AI$2,0),FALSE)*$F$2*TOCA_previous!C86),0),0), 0)</f>
        <v>9702.0122753680043</v>
      </c>
      <c r="BI89" s="266">
        <f>VLOOKUP($A89,REP_previous!$A$1:$D$135,MATCH("FY "&amp;$F$1&amp; " Total Refund",REP_previous!$A$1:$D$1,0),0)</f>
        <v>151660.12124328365</v>
      </c>
      <c r="BJ89" s="241">
        <f>MIN(VLOOKUP($A89,TOCA_previous!$A$2:$AI$137,MATCH("TRL - NLSL - Existing Resource "&amp;$F$1,TOCA_previous!$A$2:$AI$2,0),FALSE)*$F$2,(VLOOKUP($A89,TOCA_previous!$A$2:$AI$137,MATCH("RHWM 2018",TOCA_previous!$A$2:$AI$2,0),FALSE)*$F$2))</f>
        <v>232595.52</v>
      </c>
      <c r="BK89" s="229">
        <f>SUM(L89:AI89)+(F89*RT1SC!$C$3*$F$2)</f>
        <v>242297.53227536799</v>
      </c>
      <c r="BL89" s="241">
        <f>VLOOKUP($A89,TOCA_previous!$A$2:$AI$137,MATCH("Above RHWM Not Served with LS "&amp;$F$1,TOCA_previous!$A$2:$AI$2,0),FALSE)*$F$2</f>
        <v>0</v>
      </c>
      <c r="BM89" s="151">
        <f t="shared" si="21"/>
        <v>9702.0122753680043</v>
      </c>
      <c r="BN89" s="242">
        <f>(VLOOKUP($A89,TOCA_previous!$A$2:$AI$137,MATCH("RHWM 2018",TOCA_previous!$A$2:$AI$2,0),FALSE)*$F$2) - $BJ89</f>
        <v>0</v>
      </c>
      <c r="BO89" s="151">
        <f t="shared" si="22"/>
        <v>0</v>
      </c>
      <c r="BP89" s="243">
        <f t="shared" si="23"/>
        <v>0</v>
      </c>
      <c r="BQ89" s="237">
        <f t="shared" si="24"/>
        <v>0</v>
      </c>
      <c r="BR89" s="242">
        <f t="shared" si="25"/>
        <v>0</v>
      </c>
      <c r="BS89" s="151">
        <f>VLOOKUP($A89,TOCA_current!$A$2:$AI$137,MATCH(BS$4,TOCA_current!$A$2:$AI$2,0),FALSE)</f>
        <v>3.8213000000000001E-3</v>
      </c>
      <c r="BT89" s="151">
        <f>VLOOKUP($A89,TOCA_current!$A$2:$AI$137,MATCH(BT$4,TOCA_current!$A$2:$AI$2,0),FALSE)</f>
        <v>3.8213000000000001E-3</v>
      </c>
      <c r="BU89" s="236">
        <f t="shared" si="26"/>
        <v>0</v>
      </c>
      <c r="BV89" s="151">
        <f>VLOOKUP($A89,TOCA_current!A85:BG220,MATCH(BV$4,TOCA_current!$A$2:$BG$2,0),FALSE)</f>
        <v>6.52591E-2</v>
      </c>
      <c r="BW89" s="151">
        <f t="shared" si="27"/>
        <v>0</v>
      </c>
      <c r="BX89" s="151">
        <f t="shared" si="28"/>
        <v>0</v>
      </c>
      <c r="BY89" s="226">
        <f>VLOOKUP($A89,IRD!$A$4:$G$139, 7, FALSE)</f>
        <v>0</v>
      </c>
      <c r="BZ89" s="227">
        <f t="array" ref="BZ89">IF($BU89=0, INDEX(LS_current!$D$4:$AY$138, MATCH('Staging Table'!$A89, LS_current!$B$4:$B$138, 0), MATCH(BZ$4&amp;BZ$5, LS_current!$D$2:$AY$2&amp;LS_current!$D$3:$AY$3, 0)),SUM(VLOOKUP($A89, LS_current!$B$4:$AY$138, LS_current!D$148, FALSE), VLOOKUP($A89, LS_current!$B$4:$AY$138,LS_current!D$148, FALSE))/2)</f>
        <v>-537</v>
      </c>
      <c r="CA89" s="227">
        <f t="array" ref="CA89">IF($BU89=0, INDEX(LS_current!$D$4:$AY$138, MATCH('Staging Table'!$A89, LS_current!$B$4:$B$138, 0), MATCH(CA$4&amp;CA$5, LS_current!$D$2:$AY$2&amp;LS_current!$D$3:$AY$3, 0)),SUM(VLOOKUP($A89, LS_current!$B$4:$AY$138, LS_current!E$148, FALSE), VLOOKUP($A89, LS_current!$B$4:$AY$138,LS_current!E$148, FALSE))/2)</f>
        <v>319</v>
      </c>
      <c r="CB89" s="227">
        <f t="array" ref="CB89">IF($BU89=0, INDEX(LS_current!$D$4:$AY$138, MATCH('Staging Table'!$A89, LS_current!$B$4:$B$138, 0), MATCH(CB$4&amp;CB$5, LS_current!$D$2:$AY$2&amp;LS_current!$D$3:$AY$3, 0)),SUM(VLOOKUP($A89, LS_current!$B$4:$AY$138, LS_current!F$148, FALSE), VLOOKUP($A89, LS_current!$B$4:$AY$138,LS_current!F$148, FALSE))/2)</f>
        <v>-1503</v>
      </c>
      <c r="CC89" s="227">
        <f t="array" ref="CC89">IF($BU89=0, INDEX(LS_current!$D$4:$AY$138, MATCH('Staging Table'!$A89, LS_current!$B$4:$B$138, 0), MATCH(CC$4&amp;CC$5, LS_current!$D$2:$AY$2&amp;LS_current!$D$3:$AY$3, 0)),SUM(VLOOKUP($A89, LS_current!$B$4:$AY$138, LS_current!G$148, FALSE), VLOOKUP($A89, LS_current!$B$4:$AY$138,LS_current!G$148, FALSE))/2)</f>
        <v>511</v>
      </c>
      <c r="CD89" s="227">
        <f t="array" ref="CD89">IF($BU89=0, INDEX(LS_current!$D$4:$AY$138, MATCH('Staging Table'!$A89, LS_current!$B$4:$B$138, 0), MATCH(CD$4&amp;CD$5, LS_current!$D$2:$AY$2&amp;LS_current!$D$3:$AY$3, 0)),SUM(VLOOKUP($A89, LS_current!$B$4:$AY$138, LS_current!H$148, FALSE), VLOOKUP($A89, LS_current!$B$4:$AY$138,LS_current!H$148, FALSE))/2)</f>
        <v>1832</v>
      </c>
      <c r="CE89" s="227">
        <f t="array" ref="CE89">IF($BU89=0, INDEX(LS_current!$D$4:$AY$138, MATCH('Staging Table'!$A89, LS_current!$B$4:$B$138, 0), MATCH(CE$4&amp;CE$5, LS_current!$D$2:$AY$2&amp;LS_current!$D$3:$AY$3, 0)),SUM(VLOOKUP($A89, LS_current!$B$4:$AY$138, LS_current!I$148, FALSE), VLOOKUP($A89, LS_current!$B$4:$AY$138,LS_current!I$148, FALSE))/2)</f>
        <v>2398</v>
      </c>
      <c r="CF89" s="227">
        <f t="array" ref="CF89">IF($BU89=0, INDEX(LS_current!$D$4:$AY$138, MATCH('Staging Table'!$A89, LS_current!$B$4:$B$138, 0), MATCH(CF$4&amp;CF$5, LS_current!$D$2:$AY$2&amp;LS_current!$D$3:$AY$3, 0)),SUM(VLOOKUP($A89, LS_current!$B$4:$AY$138, LS_current!J$148, FALSE), VLOOKUP($A89, LS_current!$B$4:$AY$138,LS_current!J$148, FALSE))/2)</f>
        <v>3750</v>
      </c>
      <c r="CG89" s="227">
        <f t="array" ref="CG89">IF($BU89=0, INDEX(LS_current!$D$4:$AY$138, MATCH('Staging Table'!$A89, LS_current!$B$4:$B$138, 0), MATCH(CG$4&amp;CG$5, LS_current!$D$2:$AY$2&amp;LS_current!$D$3:$AY$3, 0)),SUM(VLOOKUP($A89, LS_current!$B$4:$AY$138, LS_current!K$148, FALSE), VLOOKUP($A89, LS_current!$B$4:$AY$138,LS_current!K$148, FALSE))/2)</f>
        <v>3994</v>
      </c>
      <c r="CH89" s="227">
        <f t="array" ref="CH89">IF($BU89=0, INDEX(LS_current!$D$4:$AY$138, MATCH('Staging Table'!$A89, LS_current!$B$4:$B$138, 0), MATCH(CH$4&amp;CH$5, LS_current!$D$2:$AY$2&amp;LS_current!$D$3:$AY$3, 0)),SUM(VLOOKUP($A89, LS_current!$B$4:$AY$138, LS_current!L$148, FALSE), VLOOKUP($A89, LS_current!$B$4:$AY$138,LS_current!L$148, FALSE))/2)</f>
        <v>2623</v>
      </c>
      <c r="CI89" s="227">
        <f t="array" ref="CI89">IF($BU89=0, INDEX(LS_current!$D$4:$AY$138, MATCH('Staging Table'!$A89, LS_current!$B$4:$B$138, 0), MATCH(CI$4&amp;CI$5, LS_current!$D$2:$AY$2&amp;LS_current!$D$3:$AY$3, 0)),SUM(VLOOKUP($A89, LS_current!$B$4:$AY$138, LS_current!M$148, FALSE), VLOOKUP($A89, LS_current!$B$4:$AY$138,LS_current!M$148, FALSE))/2)</f>
        <v>2609</v>
      </c>
      <c r="CJ89" s="227">
        <f t="array" ref="CJ89">IF($BU89=0, INDEX(LS_current!$D$4:$AY$138, MATCH('Staging Table'!$A89, LS_current!$B$4:$B$138, 0), MATCH(CJ$4&amp;CJ$5, LS_current!$D$2:$AY$2&amp;LS_current!$D$3:$AY$3, 0)),SUM(VLOOKUP($A89, LS_current!$B$4:$AY$138, LS_current!N$148, FALSE), VLOOKUP($A89, LS_current!$B$4:$AY$138,LS_current!N$148, FALSE))/2)</f>
        <v>608</v>
      </c>
      <c r="CK89" s="227">
        <f t="array" ref="CK89">IF($BU89=0, INDEX(LS_current!$D$4:$AY$138, MATCH('Staging Table'!$A89, LS_current!$B$4:$B$138, 0), MATCH(CK$4&amp;CK$5, LS_current!$D$2:$AY$2&amp;LS_current!$D$3:$AY$3, 0)),SUM(VLOOKUP($A89, LS_current!$B$4:$AY$138, LS_current!O$148, FALSE), VLOOKUP($A89, LS_current!$B$4:$AY$138,LS_current!O$148, FALSE))/2)</f>
        <v>1365</v>
      </c>
      <c r="CL89" s="227">
        <f t="array" ref="CL89">IF($BU89=0, INDEX(LS_current!$D$4:$AY$138, MATCH('Staging Table'!$A89, LS_current!$B$4:$B$138, 0), MATCH(CL$4&amp;CL$5, LS_current!$D$2:$AY$2&amp;LS_current!$D$3:$AY$3, 0)),SUM(VLOOKUP($A89, LS_current!$B$4:$AY$138, LS_current!P$148, FALSE), VLOOKUP($A89, LS_current!$B$4:$AY$138,LS_current!P$148, FALSE))/2)</f>
        <v>1048</v>
      </c>
      <c r="CM89" s="227">
        <f t="array" ref="CM89">IF($BU89=0, INDEX(LS_current!$D$4:$AY$138, MATCH('Staging Table'!$A89, LS_current!$B$4:$B$138, 0), MATCH(CM$4&amp;CM$5, LS_current!$D$2:$AY$2&amp;LS_current!$D$3:$AY$3, 0)),SUM(VLOOKUP($A89, LS_current!$B$4:$AY$138, LS_current!Q$148, FALSE), VLOOKUP($A89, LS_current!$B$4:$AY$138,LS_current!Q$148, FALSE))/2)</f>
        <v>1034</v>
      </c>
      <c r="CN89" s="227">
        <f t="array" ref="CN89">IF($BU89=0, INDEX(LS_current!$D$4:$AY$138, MATCH('Staging Table'!$A89, LS_current!$B$4:$B$138, 0), MATCH(CN$4&amp;CN$5, LS_current!$D$2:$AY$2&amp;LS_current!$D$3:$AY$3, 0)),SUM(VLOOKUP($A89, LS_current!$B$4:$AY$138, LS_current!R$148, FALSE), VLOOKUP($A89, LS_current!$B$4:$AY$138,LS_current!R$148, FALSE))/2)</f>
        <v>-3126</v>
      </c>
      <c r="CO89" s="227">
        <f t="array" ref="CO89">IF($BU89=0, INDEX(LS_current!$D$4:$AY$138, MATCH('Staging Table'!$A89, LS_current!$B$4:$B$138, 0), MATCH(CO$4&amp;CO$5, LS_current!$D$2:$AY$2&amp;LS_current!$D$3:$AY$3, 0)),SUM(VLOOKUP($A89, LS_current!$B$4:$AY$138, LS_current!S$148, FALSE), VLOOKUP($A89, LS_current!$B$4:$AY$138,LS_current!S$148, FALSE))/2)</f>
        <v>-296</v>
      </c>
      <c r="CP89" s="227">
        <f t="array" ref="CP89">IF($BU89=0, INDEX(LS_current!$D$4:$AY$138, MATCH('Staging Table'!$A89, LS_current!$B$4:$B$138, 0), MATCH(CP$4&amp;CP$5, LS_current!$D$2:$AY$2&amp;LS_current!$D$3:$AY$3, 0)),SUM(VLOOKUP($A89, LS_current!$B$4:$AY$138, LS_current!T$148, FALSE), VLOOKUP($A89, LS_current!$B$4:$AY$138,LS_current!T$148, FALSE))/2)</f>
        <v>-5684</v>
      </c>
      <c r="CQ89" s="227">
        <f t="array" ref="CQ89">IF($BU89=0, INDEX(LS_current!$D$4:$AY$138, MATCH('Staging Table'!$A89, LS_current!$B$4:$B$138, 0), MATCH(CQ$4&amp;CQ$5, LS_current!$D$2:$AY$2&amp;LS_current!$D$3:$AY$3, 0)),SUM(VLOOKUP($A89, LS_current!$B$4:$AY$138, LS_current!U$148, FALSE), VLOOKUP($A89, LS_current!$B$4:$AY$138,LS_current!U$148, FALSE))/2)</f>
        <v>-2350</v>
      </c>
      <c r="CR89" s="227">
        <f t="array" ref="CR89">IF($BU89=0, INDEX(LS_current!$D$4:$AY$138, MATCH('Staging Table'!$A89, LS_current!$B$4:$B$138, 0), MATCH(CR$4&amp;CR$5, LS_current!$D$2:$AY$2&amp;LS_current!$D$3:$AY$3, 0)),SUM(VLOOKUP($A89, LS_current!$B$4:$AY$138, LS_current!V$148, FALSE), VLOOKUP($A89, LS_current!$B$4:$AY$138,LS_current!V$148, FALSE))/2)</f>
        <v>-1402</v>
      </c>
      <c r="CS89" s="227">
        <f t="array" ref="CS89">IF($BU89=0, INDEX(LS_current!$D$4:$AY$138, MATCH('Staging Table'!$A89, LS_current!$B$4:$B$138, 0), MATCH(CS$4&amp;CS$5, LS_current!$D$2:$AY$2&amp;LS_current!$D$3:$AY$3, 0)),SUM(VLOOKUP($A89, LS_current!$B$4:$AY$138, LS_current!W$148, FALSE), VLOOKUP($A89, LS_current!$B$4:$AY$138,LS_current!W$148, FALSE))/2)</f>
        <v>1633</v>
      </c>
      <c r="CT89" s="227">
        <f t="array" ref="CT89">IF($BU89=0, INDEX(LS_current!$D$4:$AY$138, MATCH('Staging Table'!$A89, LS_current!$B$4:$B$138, 0), MATCH(CT$4&amp;CT$5, LS_current!$D$2:$AY$2&amp;LS_current!$D$3:$AY$3, 0)),SUM(VLOOKUP($A89, LS_current!$B$4:$AY$138, LS_current!X$148, FALSE), VLOOKUP($A89, LS_current!$B$4:$AY$138,LS_current!X$148, FALSE))/2)</f>
        <v>-1401</v>
      </c>
      <c r="CU89" s="227">
        <f t="array" ref="CU89">IF($BU89=0, INDEX(LS_current!$D$4:$AY$138, MATCH('Staging Table'!$A89, LS_current!$B$4:$B$138, 0), MATCH(CU$4&amp;CU$5, LS_current!$D$2:$AY$2&amp;LS_current!$D$3:$AY$3, 0)),SUM(VLOOKUP($A89, LS_current!$B$4:$AY$138, LS_current!Y$148, FALSE), VLOOKUP($A89, LS_current!$B$4:$AY$138,LS_current!Y$148, FALSE))/2)</f>
        <v>828</v>
      </c>
      <c r="CV89" s="227">
        <f t="array" ref="CV89">IF($BU89=0, INDEX(LS_current!$D$4:$AY$138, MATCH('Staging Table'!$A89, LS_current!$B$4:$B$138, 0), MATCH(CV$4&amp;CV$5, LS_current!$D$2:$AY$2&amp;LS_current!$D$3:$AY$3, 0)),SUM(VLOOKUP($A89, LS_current!$B$4:$AY$138, LS_current!Z$148, FALSE), VLOOKUP($A89, LS_current!$B$4:$AY$138,LS_current!Z$148, FALSE))/2)</f>
        <v>-1760</v>
      </c>
      <c r="CW89" s="227">
        <f t="array" ref="CW89">IF($BU89=0, INDEX(LS_current!$D$4:$AY$138, MATCH('Staging Table'!$A89, LS_current!$B$4:$B$138, 0), MATCH(CW$4&amp;CW$5, LS_current!$D$2:$AY$2&amp;LS_current!$D$3:$AY$3, 0)),SUM(VLOOKUP($A89, LS_current!$B$4:$AY$138, LS_current!AA$148, FALSE), VLOOKUP($A89, LS_current!$B$4:$AY$138,LS_current!AA$148, FALSE))/2)</f>
        <v>16</v>
      </c>
      <c r="CX89" s="229">
        <f t="array" ref="CX89">INDEX(Demand_current!$D$4:$AY$138, MATCH($A89, Demand_current!$B$4:$B$138, 0), MATCH(CX$4&amp;CX$5,Demand_current!$D$2:$AY$2&amp;Demand_current!$D$3:$AY$3, 0))/1000</f>
        <v>4.8479999999999999</v>
      </c>
      <c r="CY89" s="229">
        <f t="array" ref="CY89">INDEX(Demand_current!$D$4:$AY$138, MATCH($A89, Demand_current!$B$4:$B$138, 0), MATCH(CY$4&amp;CY$5,Demand_current!$D$2:$AY$2&amp;Demand_current!$D$3:$AY$3, 0))/1000</f>
        <v>6.1749999999999998</v>
      </c>
      <c r="CZ89" s="229">
        <f t="array" ref="CZ89">INDEX(Demand_current!$D$4:$AY$138, MATCH($A89, Demand_current!$B$4:$B$138, 0), MATCH(CZ$4&amp;CZ$5,Demand_current!$D$2:$AY$2&amp;Demand_current!$D$3:$AY$3, 0))/1000</f>
        <v>5.907</v>
      </c>
      <c r="DA89" s="229">
        <f t="array" ref="DA89">INDEX(Demand_current!$D$4:$AY$138, MATCH($A89, Demand_current!$B$4:$B$138, 0), MATCH(DA$4&amp;DA$5,Demand_current!$D$2:$AY$2&amp;Demand_current!$D$3:$AY$3, 0))/1000</f>
        <v>9.0039999999999996</v>
      </c>
      <c r="DB89" s="229">
        <f t="array" ref="DB89">INDEX(Demand_current!$D$4:$AY$138, MATCH($A89, Demand_current!$B$4:$B$138, 0), MATCH(DB$4&amp;DB$5,Demand_current!$D$2:$AY$2&amp;Demand_current!$D$3:$AY$3, 0))/1000</f>
        <v>5.0259999999999998</v>
      </c>
      <c r="DC89" s="229">
        <f t="array" ref="DC89">INDEX(Demand_current!$D$4:$AY$138, MATCH($A89, Demand_current!$B$4:$B$138, 0), MATCH(DC$4&amp;DC$5,Demand_current!$D$2:$AY$2&amp;Demand_current!$D$3:$AY$3, 0))/1000</f>
        <v>5.5720000000000001</v>
      </c>
      <c r="DD89" s="229">
        <f t="array" ref="DD89">INDEX(Demand_current!$D$4:$AY$138, MATCH($A89, Demand_current!$B$4:$B$138, 0), MATCH(DD$4&amp;DD$5,Demand_current!$D$2:$AY$2&amp;Demand_current!$D$3:$AY$3, 0))/1000</f>
        <v>5.1050000000000004</v>
      </c>
      <c r="DE89" s="229">
        <f t="array" ref="DE89">INDEX(Demand_current!$D$4:$AY$138, MATCH($A89, Demand_current!$B$4:$B$138, 0), MATCH(DE$4&amp;DE$5,Demand_current!$D$2:$AY$2&amp;Demand_current!$D$3:$AY$3, 0))/1000</f>
        <v>5.0620000000000003</v>
      </c>
      <c r="DF89" s="229">
        <f t="array" ref="DF89">INDEX(Demand_current!$D$4:$AY$138, MATCH($A89, Demand_current!$B$4:$B$138, 0), MATCH(DF$4&amp;DF$5,Demand_current!$D$2:$AY$2&amp;Demand_current!$D$3:$AY$3, 0))/1000</f>
        <v>6.63</v>
      </c>
      <c r="DG89" s="229">
        <f t="array" ref="DG89">INDEX(Demand_current!$D$4:$AY$138, MATCH($A89, Demand_current!$B$4:$B$138, 0), MATCH(DG$4&amp;DG$5,Demand_current!$D$2:$AY$2&amp;Demand_current!$D$3:$AY$3, 0))/1000</f>
        <v>6.6890000000000001</v>
      </c>
      <c r="DH89" s="229">
        <f t="array" ref="DH89">INDEX(Demand_current!$D$4:$AY$138, MATCH($A89, Demand_current!$B$4:$B$138, 0), MATCH(DH$4&amp;DH$5,Demand_current!$D$2:$AY$2&amp;Demand_current!$D$3:$AY$3, 0))/1000</f>
        <v>4.7690000000000001</v>
      </c>
      <c r="DI89" s="229">
        <f t="array" ref="DI89">INDEX(Demand_current!$D$4:$AY$138, MATCH($A89, Demand_current!$B$4:$B$138, 0), MATCH(DI$4&amp;DI$5,Demand_current!$D$2:$AY$2&amp;Demand_current!$D$3:$AY$3, 0))/1000</f>
        <v>7.8129999999999997</v>
      </c>
      <c r="DJ89" s="227">
        <f>$BT89*(VLOOKUP(DJ$4, Rates_current!$G$6:$Q$29, 10, FALSE)+VLOOKUP(DJ$4, Rates_current!$G$6:$Q$29, 11, FALSE))</f>
        <v>17644.154201074798</v>
      </c>
      <c r="DK89" s="227">
        <f>$BT89*(VLOOKUP(DK$4, Rates_current!$G$6:$Q$29, 10, FALSE)+VLOOKUP(DK$4, Rates_current!$G$6:$Q$29, 11, FALSE))</f>
        <v>22413.580036190702</v>
      </c>
      <c r="DL89" s="227">
        <f>$BT89*(VLOOKUP(DL$4, Rates_current!$G$6:$Q$29, 10, FALSE)+VLOOKUP(DL$4, Rates_current!$G$6:$Q$29, 11, FALSE))</f>
        <v>22142.905728974802</v>
      </c>
      <c r="DM89" s="227">
        <f>$BT89*(VLOOKUP(DM$4, Rates_current!$G$6:$Q$29, 10, FALSE)+VLOOKUP(DM$4, Rates_current!$G$6:$Q$29, 11, FALSE))</f>
        <v>18457.460586574802</v>
      </c>
      <c r="DN89" s="227">
        <f>$BT89*(VLOOKUP(DN$4, Rates_current!$G$6:$Q$29, 10, FALSE)+VLOOKUP(DN$4, Rates_current!$G$6:$Q$29, 11, FALSE))</f>
        <v>16720.544477840001</v>
      </c>
      <c r="DO89" s="227">
        <f>$BT89*(VLOOKUP(DO$4, Rates_current!$G$6:$Q$29, 10, FALSE)+VLOOKUP(DO$4, Rates_current!$G$6:$Q$29, 11, FALSE))</f>
        <v>18598.557278058099</v>
      </c>
      <c r="DP89" s="227">
        <f>$BT89*(VLOOKUP(DP$4, Rates_current!$G$6:$Q$29, 10, FALSE)+VLOOKUP(DP$4, Rates_current!$G$6:$Q$29, 11, FALSE))</f>
        <v>15142.965405624</v>
      </c>
      <c r="DQ89" s="227">
        <f>$BT89*(VLOOKUP(DQ$4, Rates_current!$G$6:$Q$29, 10, FALSE)+VLOOKUP(DQ$4, Rates_current!$G$6:$Q$29, 11, FALSE))</f>
        <v>20422.546915724801</v>
      </c>
      <c r="DR89" s="227">
        <f>$BT89*(VLOOKUP(DR$4, Rates_current!$G$6:$Q$29, 10, FALSE)+VLOOKUP(DR$4, Rates_current!$G$6:$Q$29, 11, FALSE))</f>
        <v>26057.780897974004</v>
      </c>
      <c r="DS89" s="227">
        <f>$BT89*(VLOOKUP(DS$4, Rates_current!$G$6:$Q$29, 10, FALSE)+VLOOKUP(DS$4, Rates_current!$G$6:$Q$29, 11, FALSE))</f>
        <v>20430.126464274803</v>
      </c>
      <c r="DT89" s="227">
        <f>$BT89*(VLOOKUP(DT$4, Rates_current!$G$6:$Q$29, 10, FALSE)+VLOOKUP(DT$4, Rates_current!$G$6:$Q$29, 11, FALSE))</f>
        <v>19894.875062624804</v>
      </c>
      <c r="DU89" s="227">
        <f>$BT89*(VLOOKUP(DU$4, Rates_current!$G$6:$Q$29, 10, FALSE)+VLOOKUP(DU$4, Rates_current!$G$6:$Q$29, 11, FALSE))</f>
        <v>17861.365620924003</v>
      </c>
      <c r="DV89" s="229">
        <f>IF(D89=0,IF(C89=0,MAX(0,DY89 - (VLOOKUP($A89,TOCA_current!$A$2:$AI$137,MATCH("RHWM 2020",TOCA_current!$A$2:$AI$2,0),FALSE)*$BT$2)), 0),0)</f>
        <v>6506.9595259903872</v>
      </c>
      <c r="DW89" s="266">
        <f>VLOOKUP($A89,REP_current!$A$1:$D$135,MATCH("FY "&amp;$BT$1&amp; " Total Refund",REP_current!$A$1:$D$1,0),0)</f>
        <v>0</v>
      </c>
      <c r="DX89" s="295">
        <f>MIN(VLOOKUP($A89,TOCA_current!$A$2:$AI$137,MATCH("TRL - NLSL - Existing Resource "&amp;$BT$1,TOCA_current!$A$2:$AI$2,0),FALSE)*$BT$2, VLOOKUP($A89,TOCA_current!$A$2:$AI$137,MATCH("RHWM 2020",TOCA_current!$A$2:$AI$2,0),FALSE)*$BT$2)</f>
        <v>235788.91200000001</v>
      </c>
      <c r="DY89" s="240">
        <f>SUM(BZ89:CW89)+(BT89*RT1SC!$C$4*$BT$2)</f>
        <v>242295.8715259904</v>
      </c>
      <c r="DZ89" s="271">
        <f>VLOOKUP($A89,TOCA_current!$A$2:$AI$137,MATCH("Above RHWM Not Served with LS "&amp;$BT$1,TOCA_current!$A$2:$AI$2,0),FALSE)*$BT$2</f>
        <v>0</v>
      </c>
      <c r="EA89" s="244">
        <f t="shared" si="29"/>
        <v>6506.9595259903872</v>
      </c>
      <c r="EB89" s="295">
        <f>(VLOOKUP($A89,TOCA_current!$A$2:$AI$137,MATCH("RHWM 2020",TOCA_current!$A$2:$AI$2,0),FALSE)*$BT$2) - $DX89</f>
        <v>0</v>
      </c>
      <c r="EC89" s="240">
        <f t="shared" si="30"/>
        <v>0</v>
      </c>
      <c r="ED89" s="240">
        <f t="shared" si="31"/>
        <v>0</v>
      </c>
      <c r="EE89" s="240">
        <f t="shared" si="32"/>
        <v>0</v>
      </c>
      <c r="EF89" s="240">
        <f t="shared" si="33"/>
        <v>0</v>
      </c>
    </row>
    <row r="90" spans="1:136">
      <c r="A90" s="166">
        <v>10260</v>
      </c>
      <c r="B90" s="167" t="s">
        <v>91</v>
      </c>
      <c r="C90" s="240">
        <v>0</v>
      </c>
      <c r="D90" s="240">
        <v>0</v>
      </c>
      <c r="E90" s="150">
        <f>VLOOKUP($A90,TOCA_previous!$A$2:$AI$137,MATCH(E$4,TOCA_previous!$A$2:$AI$2,0),FALSE)</f>
        <v>3.7241000000000002E-3</v>
      </c>
      <c r="F90" s="151">
        <f>VLOOKUP($A90,TOCA_previous!$A$2:$AI$137,MATCH(F$4,TOCA_previous!$A$2:$AI$2,0),FALSE)</f>
        <v>3.7241000000000002E-3</v>
      </c>
      <c r="G90" s="151">
        <f t="shared" si="18"/>
        <v>0</v>
      </c>
      <c r="H90" s="151">
        <f>VLOOKUP($A90,TOCA_previous!$A$2:$AI$137,MATCH(H$4,TOCA_previous!$A$2:$AI$2,0),FALSE)</f>
        <v>0</v>
      </c>
      <c r="I90" s="151">
        <f t="shared" si="19"/>
        <v>0</v>
      </c>
      <c r="J90" s="151">
        <f t="shared" si="20"/>
        <v>0</v>
      </c>
      <c r="K90" s="226">
        <f>VLOOKUP(A90, IRD!$A$5:$C$139, 3, FALSE)</f>
        <v>0</v>
      </c>
      <c r="L90" s="227">
        <f t="array" ref="L90">IF($G90=0, INDEX(LS_previous!$D$4:$AY$138, MATCH('Staging Table'!$A90, LS_previous!$B$4:$B$138, 0), MATCH(L$4&amp;L$5, LS_previous!$D$2:$AY$2&amp;LS_previous!$D$3:$AY$3, 0)),SUM(VLOOKUP($A90, LS_previous!$B$4:$AY$138, LS_previous!D$149, FALSE), VLOOKUP('Staging Table'!$A90, LS_previous!$B$4:$AY$138,LS_previous!AB$149, FALSE))/2)</f>
        <v>-101</v>
      </c>
      <c r="M90" s="227">
        <f t="array" ref="M90">IF($G90=0, INDEX(LS_previous!$D$4:$AY$138, MATCH('Staging Table'!$A90, LS_previous!$B$4:$B$138, 0), MATCH(M$4&amp;M$5, LS_previous!$D$2:$AY$2&amp;LS_previous!$D$3:$AY$3, 0)),SUM(VLOOKUP($A90, LS_previous!$B$4:$AY$138, LS_previous!E$149, FALSE), VLOOKUP('Staging Table'!$A90, LS_previous!$B$4:$AY$138,LS_previous!AC$149, FALSE))/2)</f>
        <v>341</v>
      </c>
      <c r="N90" s="227">
        <f t="array" ref="N90">IF($G90=0, INDEX(LS_previous!$D$4:$AY$138, MATCH('Staging Table'!$A90, LS_previous!$B$4:$B$138, 0), MATCH(N$4&amp;N$5, LS_previous!$D$2:$AY$2&amp;LS_previous!$D$3:$AY$3, 0)),SUM(VLOOKUP($A90, LS_previous!$B$4:$AY$138, LS_previous!F$149, FALSE), VLOOKUP('Staging Table'!$A90, LS_previous!$B$4:$AY$138,LS_previous!AD$149, FALSE))/2)</f>
        <v>-1464</v>
      </c>
      <c r="O90" s="227">
        <f t="array" ref="O90">IF($G90=0, INDEX(LS_previous!$D$4:$AY$138, MATCH('Staging Table'!$A90, LS_previous!$B$4:$B$138, 0), MATCH(O$4&amp;O$5, LS_previous!$D$2:$AY$2&amp;LS_previous!$D$3:$AY$3, 0)),SUM(VLOOKUP($A90, LS_previous!$B$4:$AY$138, LS_previous!G$149, FALSE), VLOOKUP('Staging Table'!$A90, LS_previous!$B$4:$AY$138,LS_previous!AE$149, FALSE))/2)</f>
        <v>274</v>
      </c>
      <c r="P90" s="227">
        <f t="array" ref="P90">IF($G90=0, INDEX(LS_previous!$D$4:$AY$138, MATCH('Staging Table'!$A90, LS_previous!$B$4:$B$138, 0), MATCH(P$4&amp;P$5, LS_previous!$D$2:$AY$2&amp;LS_previous!$D$3:$AY$3, 0)),SUM(VLOOKUP($A90, LS_previous!$B$4:$AY$138, LS_previous!H$149, FALSE), VLOOKUP('Staging Table'!$A90, LS_previous!$B$4:$AY$138,LS_previous!AF$149, FALSE))/2)</f>
        <v>1240</v>
      </c>
      <c r="Q90" s="227">
        <f t="array" ref="Q90">IF($G90=0, INDEX(LS_previous!$D$4:$AY$138, MATCH('Staging Table'!$A90, LS_previous!$B$4:$B$138, 0), MATCH(Q$4&amp;Q$5, LS_previous!$D$2:$AY$2&amp;LS_previous!$D$3:$AY$3, 0)),SUM(VLOOKUP($A90, LS_previous!$B$4:$AY$138, LS_previous!I$149, FALSE), VLOOKUP('Staging Table'!$A90, LS_previous!$B$4:$AY$138,LS_previous!AG$149, FALSE))/2)</f>
        <v>1716</v>
      </c>
      <c r="R90" s="227">
        <f t="array" ref="R90">IF($G90=0, INDEX(LS_previous!$D$4:$AY$138, MATCH('Staging Table'!$A90, LS_previous!$B$4:$B$138, 0), MATCH(R$4&amp;R$5, LS_previous!$D$2:$AY$2&amp;LS_previous!$D$3:$AY$3, 0)),SUM(VLOOKUP($A90, LS_previous!$B$4:$AY$138, LS_previous!J$149, FALSE), VLOOKUP('Staging Table'!$A90, LS_previous!$B$4:$AY$138,LS_previous!AH$149, FALSE))/2)</f>
        <v>3451</v>
      </c>
      <c r="S90" s="227">
        <f t="array" ref="S90">IF($G90=0, INDEX(LS_previous!$D$4:$AY$138, MATCH('Staging Table'!$A90, LS_previous!$B$4:$B$138, 0), MATCH(S$4&amp;S$5, LS_previous!$D$2:$AY$2&amp;LS_previous!$D$3:$AY$3, 0)),SUM(VLOOKUP($A90, LS_previous!$B$4:$AY$138, LS_previous!K$149, FALSE), VLOOKUP('Staging Table'!$A90, LS_previous!$B$4:$AY$138,LS_previous!AI$149, FALSE))/2)</f>
        <v>2993</v>
      </c>
      <c r="T90" s="227">
        <f t="array" ref="T90">IF($G90=0, INDEX(LS_previous!$D$4:$AY$138, MATCH('Staging Table'!$A90, LS_previous!$B$4:$B$138, 0), MATCH(T$4&amp;T$5, LS_previous!$D$2:$AY$2&amp;LS_previous!$D$3:$AY$3, 0)),SUM(VLOOKUP($A90, LS_previous!$B$4:$AY$138, LS_previous!L$149, FALSE), VLOOKUP('Staging Table'!$A90, LS_previous!$B$4:$AY$138,LS_previous!AJ$149, FALSE))/2)</f>
        <v>3300</v>
      </c>
      <c r="U90" s="227">
        <f t="array" ref="U90">IF($G90=0, INDEX(LS_previous!$D$4:$AY$138, MATCH('Staging Table'!$A90, LS_previous!$B$4:$B$138, 0), MATCH(U$4&amp;U$5, LS_previous!$D$2:$AY$2&amp;LS_previous!$D$3:$AY$3, 0)),SUM(VLOOKUP($A90, LS_previous!$B$4:$AY$138, LS_previous!M$149, FALSE), VLOOKUP('Staging Table'!$A90, LS_previous!$B$4:$AY$138,LS_previous!AK$149, FALSE))/2)</f>
        <v>2636</v>
      </c>
      <c r="V90" s="227">
        <f t="array" ref="V90">IF($G90=0, INDEX(LS_previous!$D$4:$AY$138, MATCH('Staging Table'!$A90, LS_previous!$B$4:$B$138, 0), MATCH(V$4&amp;V$5, LS_previous!$D$2:$AY$2&amp;LS_previous!$D$3:$AY$3, 0)),SUM(VLOOKUP($A90, LS_previous!$B$4:$AY$138, LS_previous!N$149, FALSE), VLOOKUP('Staging Table'!$A90, LS_previous!$B$4:$AY$138,LS_previous!AL$149, FALSE))/2)</f>
        <v>1320</v>
      </c>
      <c r="W90" s="227">
        <f t="array" ref="W90">IF($G90=0, INDEX(LS_previous!$D$4:$AY$138, MATCH('Staging Table'!$A90, LS_previous!$B$4:$B$138, 0), MATCH(W$4&amp;W$5, LS_previous!$D$2:$AY$2&amp;LS_previous!$D$3:$AY$3, 0)),SUM(VLOOKUP($A90, LS_previous!$B$4:$AY$138, LS_previous!O$149, FALSE), VLOOKUP('Staging Table'!$A90, LS_previous!$B$4:$AY$138,LS_previous!AM$149, FALSE))/2)</f>
        <v>1280</v>
      </c>
      <c r="X90" s="227">
        <f t="array" ref="X90">IF($G90=0, INDEX(LS_previous!$D$4:$AY$138, MATCH('Staging Table'!$A90, LS_previous!$B$4:$B$138, 0), MATCH(X$4&amp;X$5, LS_previous!$D$2:$AY$2&amp;LS_previous!$D$3:$AY$3, 0)),SUM(VLOOKUP($A90, LS_previous!$B$4:$AY$138, LS_previous!P$149, FALSE), VLOOKUP('Staging Table'!$A90, LS_previous!$B$4:$AY$138,LS_previous!AN$149, FALSE))/2)</f>
        <v>-47</v>
      </c>
      <c r="Y90" s="227">
        <f t="array" ref="Y90">IF($G90=0, INDEX(LS_previous!$D$4:$AY$138, MATCH('Staging Table'!$A90, LS_previous!$B$4:$B$138, 0), MATCH(Y$4&amp;Y$5, LS_previous!$D$2:$AY$2&amp;LS_previous!$D$3:$AY$3, 0)),SUM(VLOOKUP($A90, LS_previous!$B$4:$AY$138, LS_previous!Q$149, FALSE), VLOOKUP('Staging Table'!$A90, LS_previous!$B$4:$AY$138,LS_previous!AO$149, FALSE))/2)</f>
        <v>439</v>
      </c>
      <c r="Z90" s="227">
        <f t="array" ref="Z90">IF($G90=0, INDEX(LS_previous!$D$4:$AY$138, MATCH('Staging Table'!$A90, LS_previous!$B$4:$B$138, 0), MATCH(Z$4&amp;Z$5, LS_previous!$D$2:$AY$2&amp;LS_previous!$D$3:$AY$3, 0)),SUM(VLOOKUP($A90, LS_previous!$B$4:$AY$138, LS_previous!R$149, FALSE), VLOOKUP('Staging Table'!$A90, LS_previous!$B$4:$AY$138,LS_previous!AP$149, FALSE))/2)</f>
        <v>-5516</v>
      </c>
      <c r="AA90" s="227">
        <f t="array" ref="AA90">IF($G90=0, INDEX(LS_previous!$D$4:$AY$138, MATCH('Staging Table'!$A90, LS_previous!$B$4:$B$138, 0), MATCH(AA$4&amp;AA$5, LS_previous!$D$2:$AY$2&amp;LS_previous!$D$3:$AY$3, 0)),SUM(VLOOKUP($A90, LS_previous!$B$4:$AY$138, LS_previous!S$149, FALSE), VLOOKUP('Staging Table'!$A90, LS_previous!$B$4:$AY$138,LS_previous!AQ$149, FALSE))/2)</f>
        <v>-2485</v>
      </c>
      <c r="AB90" s="227">
        <f t="array" ref="AB90">IF($G90=0, INDEX(LS_previous!$D$4:$AY$138, MATCH('Staging Table'!$A90, LS_previous!$B$4:$B$138, 0), MATCH(AB$4&amp;AB$5, LS_previous!$D$2:$AY$2&amp;LS_previous!$D$3:$AY$3, 0)),SUM(VLOOKUP($A90, LS_previous!$B$4:$AY$138, LS_previous!T$149, FALSE), VLOOKUP('Staging Table'!$A90, LS_previous!$B$4:$AY$138,LS_previous!AR$149, FALSE))/2)</f>
        <v>-1582</v>
      </c>
      <c r="AC90" s="227">
        <f t="array" ref="AC90">IF($G90=0, INDEX(LS_previous!$D$4:$AY$138, MATCH('Staging Table'!$A90, LS_previous!$B$4:$B$138, 0), MATCH(AC$4&amp;AC$5, LS_previous!$D$2:$AY$2&amp;LS_previous!$D$3:$AY$3, 0)),SUM(VLOOKUP($A90, LS_previous!$B$4:$AY$138, LS_previous!U$149, FALSE), VLOOKUP('Staging Table'!$A90, LS_previous!$B$4:$AY$138,LS_previous!AS$149, FALSE))/2)</f>
        <v>-320</v>
      </c>
      <c r="AD90" s="227">
        <f t="array" ref="AD90">IF($G90=0, INDEX(LS_previous!$D$4:$AY$138, MATCH('Staging Table'!$A90, LS_previous!$B$4:$B$138, 0), MATCH(AD$4&amp;AD$5, LS_previous!$D$2:$AY$2&amp;LS_previous!$D$3:$AY$3, 0)),SUM(VLOOKUP($A90, LS_previous!$B$4:$AY$138, LS_previous!V$149, FALSE), VLOOKUP('Staging Table'!$A90, LS_previous!$B$4:$AY$138,LS_previous!AT$149, FALSE))/2)</f>
        <v>1651</v>
      </c>
      <c r="AE90" s="227">
        <f t="array" ref="AE90">IF($G90=0, INDEX(LS_previous!$D$4:$AY$138, MATCH('Staging Table'!$A90, LS_previous!$B$4:$B$138, 0), MATCH(AE$4&amp;AE$5, LS_previous!$D$2:$AY$2&amp;LS_previous!$D$3:$AY$3, 0)),SUM(VLOOKUP($A90, LS_previous!$B$4:$AY$138, LS_previous!W$149, FALSE), VLOOKUP('Staging Table'!$A90, LS_previous!$B$4:$AY$138,LS_previous!AU$149, FALSE))/2)</f>
        <v>1755</v>
      </c>
      <c r="AF90" s="227">
        <f t="array" ref="AF90">IF($G90=0, INDEX(LS_previous!$D$4:$AY$138, MATCH('Staging Table'!$A90, LS_previous!$B$4:$B$138, 0), MATCH(AF$4&amp;AF$5, LS_previous!$D$2:$AY$2&amp;LS_previous!$D$3:$AY$3, 0)),SUM(VLOOKUP($A90, LS_previous!$B$4:$AY$138, LS_previous!X$149, FALSE), VLOOKUP('Staging Table'!$A90, LS_previous!$B$4:$AY$138,LS_previous!AV$149, FALSE))/2)</f>
        <v>284</v>
      </c>
      <c r="AG90" s="227">
        <f t="array" ref="AG90">IF($G90=0, INDEX(LS_previous!$D$4:$AY$138, MATCH('Staging Table'!$A90, LS_previous!$B$4:$B$138, 0), MATCH(AG$4&amp;AG$5, LS_previous!$D$2:$AY$2&amp;LS_previous!$D$3:$AY$3, 0)),SUM(VLOOKUP($A90, LS_previous!$B$4:$AY$138, LS_previous!Y$149, FALSE), VLOOKUP('Staging Table'!$A90, LS_previous!$B$4:$AY$138,LS_previous!AW$149, FALSE))/2)</f>
        <v>866</v>
      </c>
      <c r="AH90" s="227">
        <f t="array" ref="AH90">IF($G90=0, INDEX(LS_previous!$D$4:$AY$138, MATCH('Staging Table'!$A90, LS_previous!$B$4:$B$138, 0), MATCH(AH$4&amp;AH$5, LS_previous!$D$2:$AY$2&amp;LS_previous!$D$3:$AY$3, 0)),SUM(VLOOKUP($A90, LS_previous!$B$4:$AY$138, LS_previous!Z$149, FALSE), VLOOKUP('Staging Table'!$A90, LS_previous!$B$4:$AY$138,LS_previous!AX$149, FALSE))/2)</f>
        <v>-726</v>
      </c>
      <c r="AI90" s="227">
        <f t="array" ref="AI90">IF($G90=0, INDEX(LS_previous!$D$4:$AY$138, MATCH('Staging Table'!$A90, LS_previous!$B$4:$B$138, 0), MATCH(AI$4&amp;AI$5, LS_previous!$D$2:$AY$2&amp;LS_previous!$D$3:$AY$3, 0)),SUM(VLOOKUP($A90, LS_previous!$B$4:$AY$138, LS_previous!AA$149, FALSE), VLOOKUP('Staging Table'!$A90, LS_previous!$B$4:$AY$138,LS_previous!AY$149, FALSE))/2)</f>
        <v>295</v>
      </c>
      <c r="AJ90" s="424">
        <f t="array" ref="AJ90">INDEX(Demand_previous!$D$4:$AY$138, MATCH('Staging Table'!$A90, Demand_previous!$B$4:$B$138, 0), MATCH(AJ$4&amp;AJ$5,Demand_previous!$D$2:$AY$2&amp;Demand_previous!$D$3:$AY$3, 0))/1000</f>
        <v>2.66</v>
      </c>
      <c r="AK90" s="424">
        <f t="array" ref="AK90">INDEX(Demand_previous!$D$4:$AY$138, MATCH('Staging Table'!$A90, Demand_previous!$B$4:$B$138, 0), MATCH(AK$4&amp;AK$5,Demand_previous!$D$2:$AY$2&amp;Demand_previous!$D$3:$AY$3, 0))/1000</f>
        <v>2.452</v>
      </c>
      <c r="AL90" s="424">
        <f t="array" ref="AL90">INDEX(Demand_previous!$D$4:$AY$138, MATCH('Staging Table'!$A90, Demand_previous!$B$4:$B$138, 0), MATCH(AL$4&amp;AL$5,Demand_previous!$D$2:$AY$2&amp;Demand_previous!$D$3:$AY$3, 0))/1000</f>
        <v>4.8339999999999996</v>
      </c>
      <c r="AM90" s="424">
        <f t="array" ref="AM90">INDEX(Demand_previous!$D$4:$AY$138, MATCH('Staging Table'!$A90, Demand_previous!$B$4:$B$138, 0), MATCH(AM$4&amp;AM$5,Demand_previous!$D$2:$AY$2&amp;Demand_previous!$D$3:$AY$3, 0))/1000</f>
        <v>5.15</v>
      </c>
      <c r="AN90" s="424">
        <f t="array" ref="AN90">INDEX(Demand_previous!$D$4:$AY$138, MATCH('Staging Table'!$A90, Demand_previous!$B$4:$B$138, 0), MATCH(AN$4&amp;AN$5,Demand_previous!$D$2:$AY$2&amp;Demand_previous!$D$3:$AY$3, 0))/1000</f>
        <v>1.8360000000000001</v>
      </c>
      <c r="AO90" s="424">
        <f t="array" ref="AO90">INDEX(Demand_previous!$D$4:$AY$138, MATCH('Staging Table'!$A90, Demand_previous!$B$4:$B$138, 0), MATCH(AO$4&amp;AO$5,Demand_previous!$D$2:$AY$2&amp;Demand_previous!$D$3:$AY$3, 0))/1000</f>
        <v>3.911</v>
      </c>
      <c r="AP90" s="424">
        <f t="array" ref="AP90">INDEX(Demand_previous!$D$4:$AY$138, MATCH('Staging Table'!$A90, Demand_previous!$B$4:$B$138, 0), MATCH(AP$4&amp;AP$5,Demand_previous!$D$2:$AY$2&amp;Demand_previous!$D$3:$AY$3, 0))/1000</f>
        <v>2.4119999999999999</v>
      </c>
      <c r="AQ90" s="424">
        <f t="array" ref="AQ90">INDEX(Demand_previous!$D$4:$AY$138, MATCH('Staging Table'!$A90, Demand_previous!$B$4:$B$138, 0), MATCH(AQ$4&amp;AQ$5,Demand_previous!$D$2:$AY$2&amp;Demand_previous!$D$3:$AY$3, 0))/1000</f>
        <v>2.375</v>
      </c>
      <c r="AR90" s="424">
        <f t="array" ref="AR90">INDEX(Demand_previous!$D$4:$AY$138, MATCH('Staging Table'!$A90, Demand_previous!$B$4:$B$138, 0), MATCH(AR$4&amp;AR$5,Demand_previous!$D$2:$AY$2&amp;Demand_previous!$D$3:$AY$3, 0))/1000</f>
        <v>3.367</v>
      </c>
      <c r="AS90" s="424">
        <f t="array" ref="AS90">INDEX(Demand_previous!$D$4:$AY$138, MATCH('Staging Table'!$A90, Demand_previous!$B$4:$B$138, 0), MATCH(AS$4&amp;AS$5,Demand_previous!$D$2:$AY$2&amp;Demand_previous!$D$3:$AY$3, 0))/1000</f>
        <v>3.6960000000000002</v>
      </c>
      <c r="AT90" s="424">
        <f t="array" ref="AT90">INDEX(Demand_previous!$D$4:$AY$138, MATCH('Staging Table'!$A90, Demand_previous!$B$4:$B$138, 0), MATCH(AT$4&amp;AT$5,Demand_previous!$D$2:$AY$2&amp;Demand_previous!$D$3:$AY$3, 0))/1000</f>
        <v>4.46</v>
      </c>
      <c r="AU90" s="424">
        <f t="array" ref="AU90">INDEX(Demand_previous!$D$4:$AY$138, MATCH('Staging Table'!$A90, Demand_previous!$B$4:$B$138, 0), MATCH(AU$4&amp;AU$5,Demand_previous!$D$2:$AY$2&amp;Demand_previous!$D$3:$AY$3, 0))/1000</f>
        <v>3.2509999999999999</v>
      </c>
      <c r="AV90" s="227">
        <f>$F90*(VLOOKUP(AV$4, Rates_previous!$G$6:$Q$29, 10, FALSE)+VLOOKUP(AV$4, Rates_previous!$G$6:$Q$29, 11, FALSE))</f>
        <v>17461.700710914738</v>
      </c>
      <c r="AW90" s="227">
        <f>$F90*(VLOOKUP(AW$4, Rates_previous!$G$6:$Q$29, 10, FALSE)+VLOOKUP(AW$4, Rates_previous!$G$6:$Q$29, 11, FALSE))</f>
        <v>21581.334919103301</v>
      </c>
      <c r="AX90" s="227">
        <f>$F90*(VLOOKUP(AX$4, Rates_previous!$G$6:$Q$29, 10, FALSE)+VLOOKUP(AX$4, Rates_previous!$G$6:$Q$29, 11, FALSE))</f>
        <v>21322.168899248234</v>
      </c>
      <c r="AY90" s="227">
        <f>$F90*(VLOOKUP(AY$4, Rates_previous!$G$6:$Q$29, 10, FALSE)+VLOOKUP(AY$4, Rates_previous!$G$6:$Q$29, 11, FALSE))</f>
        <v>18217.760986057358</v>
      </c>
      <c r="AZ90" s="227">
        <f>$F90*(VLOOKUP(AZ$4, Rates_previous!$G$6:$Q$29, 10, FALSE)+VLOOKUP(AZ$4, Rates_previous!$G$6:$Q$29, 11, FALSE))</f>
        <v>14935.030288556109</v>
      </c>
      <c r="BA90" s="227">
        <f>$F90*(VLOOKUP(BA$4, Rates_previous!$G$6:$Q$29, 10, FALSE)+VLOOKUP(BA$4, Rates_previous!$G$6:$Q$29, 11, FALSE))</f>
        <v>17682.533371004152</v>
      </c>
      <c r="BB90" s="227">
        <f>$F90*(VLOOKUP(BB$4, Rates_previous!$G$6:$Q$29, 10, FALSE)+VLOOKUP(BB$4, Rates_previous!$G$6:$Q$29, 11, FALSE))</f>
        <v>16995.486650933639</v>
      </c>
      <c r="BC90" s="227">
        <f>$F90*(VLOOKUP(BC$4, Rates_previous!$G$6:$Q$29, 10, FALSE)+VLOOKUP(BC$4, Rates_previous!$G$6:$Q$29, 11, FALSE))</f>
        <v>24939.674012914365</v>
      </c>
      <c r="BD90" s="227">
        <f>$F90*(VLOOKUP(BD$4, Rates_previous!$G$6:$Q$29, 10, FALSE)+VLOOKUP(BD$4, Rates_previous!$G$6:$Q$29, 11, FALSE))</f>
        <v>19676.743632570393</v>
      </c>
      <c r="BE90" s="227">
        <f>$F90*(VLOOKUP(BE$4, Rates_previous!$G$6:$Q$29, 10, FALSE)+VLOOKUP(BE$4, Rates_previous!$G$6:$Q$29, 11, FALSE))</f>
        <v>17277.832487307376</v>
      </c>
      <c r="BF90" s="227">
        <f>$F90*(VLOOKUP(BF$4, Rates_previous!$G$6:$Q$29, 10, FALSE)+VLOOKUP(BF$4, Rates_previous!$G$6:$Q$29, 11, FALSE))</f>
        <v>19135.891071809714</v>
      </c>
      <c r="BG90" s="227">
        <f>$F90*(VLOOKUP(BG$4, Rates_previous!$G$6:$Q$29, 10, FALSE)+VLOOKUP(BG$4, Rates_previous!$G$6:$Q$29, 11, FALSE))</f>
        <v>17336.356324365599</v>
      </c>
      <c r="BH90" s="229">
        <f>IF($D90=0,IF(C90=0, MAX(BK90 - (VLOOKUP($A90,TOCA_previous!$A$2:$AI$137,MATCH("RHWM 2018",TOCA_previous!$A$2:$AI$2,0),FALSE)*$F$2*TOCA_previous!C87),0),0), 0)</f>
        <v>11602.636660135991</v>
      </c>
      <c r="BI90" s="266">
        <f>VLOOKUP($A90,REP_previous!$A$1:$D$135,MATCH("FY "&amp;$F$1&amp; " Total Refund",REP_previous!$A$1:$D$1,0),0)</f>
        <v>147725.12162846563</v>
      </c>
      <c r="BJ90" s="241">
        <f>MIN(VLOOKUP($A90,TOCA_previous!$A$2:$AI$137,MATCH("TRL - NLSL - Existing Resource "&amp;$F$1,TOCA_previous!$A$2:$AI$2,0),FALSE)*$F$2,(VLOOKUP($A90,TOCA_previous!$A$2:$AI$137,MATCH("RHWM 2018",TOCA_previous!$A$2:$AI$2,0),FALSE)*$F$2))</f>
        <v>226559.88</v>
      </c>
      <c r="BK90" s="229">
        <f>SUM(L90:AI90)+(F90*RT1SC!$C$3*$F$2)</f>
        <v>238162.516660136</v>
      </c>
      <c r="BL90" s="241">
        <f>VLOOKUP($A90,TOCA_previous!$A$2:$AI$137,MATCH("Above RHWM Not Served with LS "&amp;$F$1,TOCA_previous!$A$2:$AI$2,0),FALSE)*$F$2</f>
        <v>0</v>
      </c>
      <c r="BM90" s="151">
        <f t="shared" si="21"/>
        <v>11602.636660135991</v>
      </c>
      <c r="BN90" s="242">
        <f>(VLOOKUP($A90,TOCA_previous!$A$2:$AI$137,MATCH("RHWM 2018",TOCA_previous!$A$2:$AI$2,0),FALSE)*$F$2) - $BJ90</f>
        <v>0</v>
      </c>
      <c r="BO90" s="151">
        <f t="shared" si="22"/>
        <v>0</v>
      </c>
      <c r="BP90" s="243">
        <f t="shared" si="23"/>
        <v>0</v>
      </c>
      <c r="BQ90" s="237">
        <f t="shared" si="24"/>
        <v>0</v>
      </c>
      <c r="BR90" s="242">
        <f t="shared" si="25"/>
        <v>0</v>
      </c>
      <c r="BS90" s="151">
        <f>VLOOKUP($A90,TOCA_current!$A$2:$AI$137,MATCH(BS$4,TOCA_current!$A$2:$AI$2,0),FALSE)</f>
        <v>3.7220999999999999E-3</v>
      </c>
      <c r="BT90" s="151">
        <f>VLOOKUP($A90,TOCA_current!$A$2:$AI$137,MATCH(BT$4,TOCA_current!$A$2:$AI$2,0),FALSE)</f>
        <v>3.7220999999999999E-3</v>
      </c>
      <c r="BU90" s="236">
        <f t="shared" si="26"/>
        <v>0</v>
      </c>
      <c r="BV90" s="151">
        <f>VLOOKUP($A90,TOCA_current!A86:BG221,MATCH(BV$4,TOCA_current!$A$2:$BG$2,0),FALSE)</f>
        <v>0</v>
      </c>
      <c r="BW90" s="151">
        <f t="shared" si="27"/>
        <v>0</v>
      </c>
      <c r="BX90" s="151">
        <f t="shared" si="28"/>
        <v>0</v>
      </c>
      <c r="BY90" s="226">
        <f>VLOOKUP($A90,IRD!$A$4:$G$139, 7, FALSE)</f>
        <v>0</v>
      </c>
      <c r="BZ90" s="227">
        <f t="array" ref="BZ90">IF($BU90=0, INDEX(LS_current!$D$4:$AY$138, MATCH('Staging Table'!$A90, LS_current!$B$4:$B$138, 0), MATCH(BZ$4&amp;BZ$5, LS_current!$D$2:$AY$2&amp;LS_current!$D$3:$AY$3, 0)),SUM(VLOOKUP($A90, LS_current!$B$4:$AY$138, LS_current!D$148, FALSE), VLOOKUP($A90, LS_current!$B$4:$AY$138,LS_current!D$148, FALSE))/2)</f>
        <v>-662</v>
      </c>
      <c r="CA90" s="227">
        <f t="array" ref="CA90">IF($BU90=0, INDEX(LS_current!$D$4:$AY$138, MATCH('Staging Table'!$A90, LS_current!$B$4:$B$138, 0), MATCH(CA$4&amp;CA$5, LS_current!$D$2:$AY$2&amp;LS_current!$D$3:$AY$3, 0)),SUM(VLOOKUP($A90, LS_current!$B$4:$AY$138, LS_current!E$148, FALSE), VLOOKUP($A90, LS_current!$B$4:$AY$138,LS_current!E$148, FALSE))/2)</f>
        <v>-60</v>
      </c>
      <c r="CB90" s="227">
        <f t="array" ref="CB90">IF($BU90=0, INDEX(LS_current!$D$4:$AY$138, MATCH('Staging Table'!$A90, LS_current!$B$4:$B$138, 0), MATCH(CB$4&amp;CB$5, LS_current!$D$2:$AY$2&amp;LS_current!$D$3:$AY$3, 0)),SUM(VLOOKUP($A90, LS_current!$B$4:$AY$138, LS_current!F$148, FALSE), VLOOKUP($A90, LS_current!$B$4:$AY$138,LS_current!F$148, FALSE))/2)</f>
        <v>-2219</v>
      </c>
      <c r="CC90" s="227">
        <f t="array" ref="CC90">IF($BU90=0, INDEX(LS_current!$D$4:$AY$138, MATCH('Staging Table'!$A90, LS_current!$B$4:$B$138, 0), MATCH(CC$4&amp;CC$5, LS_current!$D$2:$AY$2&amp;LS_current!$D$3:$AY$3, 0)),SUM(VLOOKUP($A90, LS_current!$B$4:$AY$138, LS_current!G$148, FALSE), VLOOKUP($A90, LS_current!$B$4:$AY$138,LS_current!G$148, FALSE))/2)</f>
        <v>-422</v>
      </c>
      <c r="CD90" s="227">
        <f t="array" ref="CD90">IF($BU90=0, INDEX(LS_current!$D$4:$AY$138, MATCH('Staging Table'!$A90, LS_current!$B$4:$B$138, 0), MATCH(CD$4&amp;CD$5, LS_current!$D$2:$AY$2&amp;LS_current!$D$3:$AY$3, 0)),SUM(VLOOKUP($A90, LS_current!$B$4:$AY$138, LS_current!H$148, FALSE), VLOOKUP($A90, LS_current!$B$4:$AY$138,LS_current!H$148, FALSE))/2)</f>
        <v>463</v>
      </c>
      <c r="CE90" s="227">
        <f t="array" ref="CE90">IF($BU90=0, INDEX(LS_current!$D$4:$AY$138, MATCH('Staging Table'!$A90, LS_current!$B$4:$B$138, 0), MATCH(CE$4&amp;CE$5, LS_current!$D$2:$AY$2&amp;LS_current!$D$3:$AY$3, 0)),SUM(VLOOKUP($A90, LS_current!$B$4:$AY$138, LS_current!I$148, FALSE), VLOOKUP($A90, LS_current!$B$4:$AY$138,LS_current!I$148, FALSE))/2)</f>
        <v>1009</v>
      </c>
      <c r="CF90" s="227">
        <f t="array" ref="CF90">IF($BU90=0, INDEX(LS_current!$D$4:$AY$138, MATCH('Staging Table'!$A90, LS_current!$B$4:$B$138, 0), MATCH(CF$4&amp;CF$5, LS_current!$D$2:$AY$2&amp;LS_current!$D$3:$AY$3, 0)),SUM(VLOOKUP($A90, LS_current!$B$4:$AY$138, LS_current!J$148, FALSE), VLOOKUP($A90, LS_current!$B$4:$AY$138,LS_current!J$148, FALSE))/2)</f>
        <v>2715</v>
      </c>
      <c r="CG90" s="227">
        <f t="array" ref="CG90">IF($BU90=0, INDEX(LS_current!$D$4:$AY$138, MATCH('Staging Table'!$A90, LS_current!$B$4:$B$138, 0), MATCH(CG$4&amp;CG$5, LS_current!$D$2:$AY$2&amp;LS_current!$D$3:$AY$3, 0)),SUM(VLOOKUP($A90, LS_current!$B$4:$AY$138, LS_current!K$148, FALSE), VLOOKUP($A90, LS_current!$B$4:$AY$138,LS_current!K$148, FALSE))/2)</f>
        <v>2731</v>
      </c>
      <c r="CH90" s="227">
        <f t="array" ref="CH90">IF($BU90=0, INDEX(LS_current!$D$4:$AY$138, MATCH('Staging Table'!$A90, LS_current!$B$4:$B$138, 0), MATCH(CH$4&amp;CH$5, LS_current!$D$2:$AY$2&amp;LS_current!$D$3:$AY$3, 0)),SUM(VLOOKUP($A90, LS_current!$B$4:$AY$138, LS_current!L$148, FALSE), VLOOKUP($A90, LS_current!$B$4:$AY$138,LS_current!L$148, FALSE))/2)</f>
        <v>1793</v>
      </c>
      <c r="CI90" s="227">
        <f t="array" ref="CI90">IF($BU90=0, INDEX(LS_current!$D$4:$AY$138, MATCH('Staging Table'!$A90, LS_current!$B$4:$B$138, 0), MATCH(CI$4&amp;CI$5, LS_current!$D$2:$AY$2&amp;LS_current!$D$3:$AY$3, 0)),SUM(VLOOKUP($A90, LS_current!$B$4:$AY$138, LS_current!M$148, FALSE), VLOOKUP($A90, LS_current!$B$4:$AY$138,LS_current!M$148, FALSE))/2)</f>
        <v>1633</v>
      </c>
      <c r="CJ90" s="227">
        <f t="array" ref="CJ90">IF($BU90=0, INDEX(LS_current!$D$4:$AY$138, MATCH('Staging Table'!$A90, LS_current!$B$4:$B$138, 0), MATCH(CJ$4&amp;CJ$5, LS_current!$D$2:$AY$2&amp;LS_current!$D$3:$AY$3, 0)),SUM(VLOOKUP($A90, LS_current!$B$4:$AY$138, LS_current!N$148, FALSE), VLOOKUP($A90, LS_current!$B$4:$AY$138,LS_current!N$148, FALSE))/2)</f>
        <v>291</v>
      </c>
      <c r="CK90" s="227">
        <f t="array" ref="CK90">IF($BU90=0, INDEX(LS_current!$D$4:$AY$138, MATCH('Staging Table'!$A90, LS_current!$B$4:$B$138, 0), MATCH(CK$4&amp;CK$5, LS_current!$D$2:$AY$2&amp;LS_current!$D$3:$AY$3, 0)),SUM(VLOOKUP($A90, LS_current!$B$4:$AY$138, LS_current!O$148, FALSE), VLOOKUP($A90, LS_current!$B$4:$AY$138,LS_current!O$148, FALSE))/2)</f>
        <v>639</v>
      </c>
      <c r="CL90" s="227">
        <f t="array" ref="CL90">IF($BU90=0, INDEX(LS_current!$D$4:$AY$138, MATCH('Staging Table'!$A90, LS_current!$B$4:$B$138, 0), MATCH(CL$4&amp;CL$5, LS_current!$D$2:$AY$2&amp;LS_current!$D$3:$AY$3, 0)),SUM(VLOOKUP($A90, LS_current!$B$4:$AY$138, LS_current!P$148, FALSE), VLOOKUP($A90, LS_current!$B$4:$AY$138,LS_current!P$148, FALSE))/2)</f>
        <v>910</v>
      </c>
      <c r="CM90" s="227">
        <f t="array" ref="CM90">IF($BU90=0, INDEX(LS_current!$D$4:$AY$138, MATCH('Staging Table'!$A90, LS_current!$B$4:$B$138, 0), MATCH(CM$4&amp;CM$5, LS_current!$D$2:$AY$2&amp;LS_current!$D$3:$AY$3, 0)),SUM(VLOOKUP($A90, LS_current!$B$4:$AY$138, LS_current!Q$148, FALSE), VLOOKUP($A90, LS_current!$B$4:$AY$138,LS_current!Q$148, FALSE))/2)</f>
        <v>531</v>
      </c>
      <c r="CN90" s="227">
        <f t="array" ref="CN90">IF($BU90=0, INDEX(LS_current!$D$4:$AY$138, MATCH('Staging Table'!$A90, LS_current!$B$4:$B$138, 0), MATCH(CN$4&amp;CN$5, LS_current!$D$2:$AY$2&amp;LS_current!$D$3:$AY$3, 0)),SUM(VLOOKUP($A90, LS_current!$B$4:$AY$138, LS_current!R$148, FALSE), VLOOKUP($A90, LS_current!$B$4:$AY$138,LS_current!R$148, FALSE))/2)</f>
        <v>-3195</v>
      </c>
      <c r="CO90" s="227">
        <f t="array" ref="CO90">IF($BU90=0, INDEX(LS_current!$D$4:$AY$138, MATCH('Staging Table'!$A90, LS_current!$B$4:$B$138, 0), MATCH(CO$4&amp;CO$5, LS_current!$D$2:$AY$2&amp;LS_current!$D$3:$AY$3, 0)),SUM(VLOOKUP($A90, LS_current!$B$4:$AY$138, LS_current!S$148, FALSE), VLOOKUP($A90, LS_current!$B$4:$AY$138,LS_current!S$148, FALSE))/2)</f>
        <v>-997</v>
      </c>
      <c r="CP90" s="227">
        <f t="array" ref="CP90">IF($BU90=0, INDEX(LS_current!$D$4:$AY$138, MATCH('Staging Table'!$A90, LS_current!$B$4:$B$138, 0), MATCH(CP$4&amp;CP$5, LS_current!$D$2:$AY$2&amp;LS_current!$D$3:$AY$3, 0)),SUM(VLOOKUP($A90, LS_current!$B$4:$AY$138, LS_current!T$148, FALSE), VLOOKUP($A90, LS_current!$B$4:$AY$138,LS_current!T$148, FALSE))/2)</f>
        <v>-5874</v>
      </c>
      <c r="CQ90" s="227">
        <f t="array" ref="CQ90">IF($BU90=0, INDEX(LS_current!$D$4:$AY$138, MATCH('Staging Table'!$A90, LS_current!$B$4:$B$138, 0), MATCH(CQ$4&amp;CQ$5, LS_current!$D$2:$AY$2&amp;LS_current!$D$3:$AY$3, 0)),SUM(VLOOKUP($A90, LS_current!$B$4:$AY$138, LS_current!U$148, FALSE), VLOOKUP($A90, LS_current!$B$4:$AY$138,LS_current!U$148, FALSE))/2)</f>
        <v>-2931</v>
      </c>
      <c r="CR90" s="227">
        <f t="array" ref="CR90">IF($BU90=0, INDEX(LS_current!$D$4:$AY$138, MATCH('Staging Table'!$A90, LS_current!$B$4:$B$138, 0), MATCH(CR$4&amp;CR$5, LS_current!$D$2:$AY$2&amp;LS_current!$D$3:$AY$3, 0)),SUM(VLOOKUP($A90, LS_current!$B$4:$AY$138, LS_current!V$148, FALSE), VLOOKUP($A90, LS_current!$B$4:$AY$138,LS_current!V$148, FALSE))/2)</f>
        <v>-1444</v>
      </c>
      <c r="CS90" s="227">
        <f t="array" ref="CS90">IF($BU90=0, INDEX(LS_current!$D$4:$AY$138, MATCH('Staging Table'!$A90, LS_current!$B$4:$B$138, 0), MATCH(CS$4&amp;CS$5, LS_current!$D$2:$AY$2&amp;LS_current!$D$3:$AY$3, 0)),SUM(VLOOKUP($A90, LS_current!$B$4:$AY$138, LS_current!W$148, FALSE), VLOOKUP($A90, LS_current!$B$4:$AY$138,LS_current!W$148, FALSE))/2)</f>
        <v>989</v>
      </c>
      <c r="CT90" s="227">
        <f t="array" ref="CT90">IF($BU90=0, INDEX(LS_current!$D$4:$AY$138, MATCH('Staging Table'!$A90, LS_current!$B$4:$B$138, 0), MATCH(CT$4&amp;CT$5, LS_current!$D$2:$AY$2&amp;LS_current!$D$3:$AY$3, 0)),SUM(VLOOKUP($A90, LS_current!$B$4:$AY$138, LS_current!X$148, FALSE), VLOOKUP($A90, LS_current!$B$4:$AY$138,LS_current!X$148, FALSE))/2)</f>
        <v>-886</v>
      </c>
      <c r="CU90" s="227">
        <f t="array" ref="CU90">IF($BU90=0, INDEX(LS_current!$D$4:$AY$138, MATCH('Staging Table'!$A90, LS_current!$B$4:$B$138, 0), MATCH(CU$4&amp;CU$5, LS_current!$D$2:$AY$2&amp;LS_current!$D$3:$AY$3, 0)),SUM(VLOOKUP($A90, LS_current!$B$4:$AY$138, LS_current!Y$148, FALSE), VLOOKUP($A90, LS_current!$B$4:$AY$138,LS_current!Y$148, FALSE))/2)</f>
        <v>555</v>
      </c>
      <c r="CV90" s="227">
        <f t="array" ref="CV90">IF($BU90=0, INDEX(LS_current!$D$4:$AY$138, MATCH('Staging Table'!$A90, LS_current!$B$4:$B$138, 0), MATCH(CV$4&amp;CV$5, LS_current!$D$2:$AY$2&amp;LS_current!$D$3:$AY$3, 0)),SUM(VLOOKUP($A90, LS_current!$B$4:$AY$138, LS_current!Z$148, FALSE), VLOOKUP($A90, LS_current!$B$4:$AY$138,LS_current!Z$148, FALSE))/2)</f>
        <v>-1451</v>
      </c>
      <c r="CW90" s="227">
        <f t="array" ref="CW90">IF($BU90=0, INDEX(LS_current!$D$4:$AY$138, MATCH('Staging Table'!$A90, LS_current!$B$4:$B$138, 0), MATCH(CW$4&amp;CW$5, LS_current!$D$2:$AY$2&amp;LS_current!$D$3:$AY$3, 0)),SUM(VLOOKUP($A90, LS_current!$B$4:$AY$138, LS_current!AA$148, FALSE), VLOOKUP($A90, LS_current!$B$4:$AY$138,LS_current!AA$148, FALSE))/2)</f>
        <v>-239</v>
      </c>
      <c r="CX90" s="229">
        <f t="array" ref="CX90">INDEX(Demand_current!$D$4:$AY$138, MATCH($A90, Demand_current!$B$4:$B$138, 0), MATCH(CX$4&amp;CX$5,Demand_current!$D$2:$AY$2&amp;Demand_current!$D$3:$AY$3, 0))/1000</f>
        <v>3.6619999999999999</v>
      </c>
      <c r="CY90" s="229">
        <f t="array" ref="CY90">INDEX(Demand_current!$D$4:$AY$138, MATCH($A90, Demand_current!$B$4:$B$138, 0), MATCH(CY$4&amp;CY$5,Demand_current!$D$2:$AY$2&amp;Demand_current!$D$3:$AY$3, 0))/1000</f>
        <v>2.452</v>
      </c>
      <c r="CZ90" s="229">
        <f t="array" ref="CZ90">INDEX(Demand_current!$D$4:$AY$138, MATCH($A90, Demand_current!$B$4:$B$138, 0), MATCH(CZ$4&amp;CZ$5,Demand_current!$D$2:$AY$2&amp;Demand_current!$D$3:$AY$3, 0))/1000</f>
        <v>4.8339999999999996</v>
      </c>
      <c r="DA90" s="229">
        <f t="array" ref="DA90">INDEX(Demand_current!$D$4:$AY$138, MATCH($A90, Demand_current!$B$4:$B$138, 0), MATCH(DA$4&amp;DA$5,Demand_current!$D$2:$AY$2&amp;Demand_current!$D$3:$AY$3, 0))/1000</f>
        <v>5.15</v>
      </c>
      <c r="DB90" s="229">
        <f t="array" ref="DB90">INDEX(Demand_current!$D$4:$AY$138, MATCH($A90, Demand_current!$B$4:$B$138, 0), MATCH(DB$4&amp;DB$5,Demand_current!$D$2:$AY$2&amp;Demand_current!$D$3:$AY$3, 0))/1000</f>
        <v>3.1619999999999999</v>
      </c>
      <c r="DC90" s="229">
        <f t="array" ref="DC90">INDEX(Demand_current!$D$4:$AY$138, MATCH($A90, Demand_current!$B$4:$B$138, 0), MATCH(DC$4&amp;DC$5,Demand_current!$D$2:$AY$2&amp;Demand_current!$D$3:$AY$3, 0))/1000</f>
        <v>2.798</v>
      </c>
      <c r="DD90" s="229">
        <f t="array" ref="DD90">INDEX(Demand_current!$D$4:$AY$138, MATCH($A90, Demand_current!$B$4:$B$138, 0), MATCH(DD$4&amp;DD$5,Demand_current!$D$2:$AY$2&amp;Demand_current!$D$3:$AY$3, 0))/1000</f>
        <v>3.4580000000000002</v>
      </c>
      <c r="DE90" s="229">
        <f t="array" ref="DE90">INDEX(Demand_current!$D$4:$AY$138, MATCH($A90, Demand_current!$B$4:$B$138, 0), MATCH(DE$4&amp;DE$5,Demand_current!$D$2:$AY$2&amp;Demand_current!$D$3:$AY$3, 0))/1000</f>
        <v>1.377</v>
      </c>
      <c r="DF90" s="229">
        <f t="array" ref="DF90">INDEX(Demand_current!$D$4:$AY$138, MATCH($A90, Demand_current!$B$4:$B$138, 0), MATCH(DF$4&amp;DF$5,Demand_current!$D$2:$AY$2&amp;Demand_current!$D$3:$AY$3, 0))/1000</f>
        <v>3.367</v>
      </c>
      <c r="DG90" s="229">
        <f t="array" ref="DG90">INDEX(Demand_current!$D$4:$AY$138, MATCH($A90, Demand_current!$B$4:$B$138, 0), MATCH(DG$4&amp;DG$5,Demand_current!$D$2:$AY$2&amp;Demand_current!$D$3:$AY$3, 0))/1000</f>
        <v>4.9409999999999998</v>
      </c>
      <c r="DH90" s="229">
        <f t="array" ref="DH90">INDEX(Demand_current!$D$4:$AY$138, MATCH($A90, Demand_current!$B$4:$B$138, 0), MATCH(DH$4&amp;DH$5,Demand_current!$D$2:$AY$2&amp;Demand_current!$D$3:$AY$3, 0))/1000</f>
        <v>3.2949999999999999</v>
      </c>
      <c r="DI90" s="229">
        <f t="array" ref="DI90">INDEX(Demand_current!$D$4:$AY$138, MATCH($A90, Demand_current!$B$4:$B$138, 0), MATCH(DI$4&amp;DI$5,Demand_current!$D$2:$AY$2&amp;Demand_current!$D$3:$AY$3, 0))/1000</f>
        <v>4.33</v>
      </c>
      <c r="DJ90" s="227">
        <f>$BT90*(VLOOKUP(DJ$4, Rates_current!$G$6:$Q$29, 10, FALSE)+VLOOKUP(DJ$4, Rates_current!$G$6:$Q$29, 11, FALSE))</f>
        <v>17186.116335231596</v>
      </c>
      <c r="DK90" s="227">
        <f>$BT90*(VLOOKUP(DK$4, Rates_current!$G$6:$Q$29, 10, FALSE)+VLOOKUP(DK$4, Rates_current!$G$6:$Q$29, 11, FALSE))</f>
        <v>21831.729058881898</v>
      </c>
      <c r="DL90" s="227">
        <f>$BT90*(VLOOKUP(DL$4, Rates_current!$G$6:$Q$29, 10, FALSE)+VLOOKUP(DL$4, Rates_current!$G$6:$Q$29, 11, FALSE))</f>
        <v>21568.081389531602</v>
      </c>
      <c r="DM90" s="227">
        <f>$BT90*(VLOOKUP(DM$4, Rates_current!$G$6:$Q$29, 10, FALSE)+VLOOKUP(DM$4, Rates_current!$G$6:$Q$29, 11, FALSE))</f>
        <v>17978.3094887316</v>
      </c>
      <c r="DN90" s="227">
        <f>$BT90*(VLOOKUP(DN$4, Rates_current!$G$6:$Q$29, 10, FALSE)+VLOOKUP(DN$4, Rates_current!$G$6:$Q$29, 11, FALSE))</f>
        <v>16286.483291279999</v>
      </c>
      <c r="DO90" s="227">
        <f>$BT90*(VLOOKUP(DO$4, Rates_current!$G$6:$Q$29, 10, FALSE)+VLOOKUP(DO$4, Rates_current!$G$6:$Q$29, 11, FALSE))</f>
        <v>18115.743345107698</v>
      </c>
      <c r="DP90" s="227">
        <f>$BT90*(VLOOKUP(DP$4, Rates_current!$G$6:$Q$29, 10, FALSE)+VLOOKUP(DP$4, Rates_current!$G$6:$Q$29, 11, FALSE))</f>
        <v>14749.857780408</v>
      </c>
      <c r="DQ90" s="227">
        <f>$BT90*(VLOOKUP(DQ$4, Rates_current!$G$6:$Q$29, 10, FALSE)+VLOOKUP(DQ$4, Rates_current!$G$6:$Q$29, 11, FALSE))</f>
        <v>19892.382664281602</v>
      </c>
      <c r="DR90" s="227">
        <f>$BT90*(VLOOKUP(DR$4, Rates_current!$G$6:$Q$29, 10, FALSE)+VLOOKUP(DR$4, Rates_current!$G$6:$Q$29, 11, FALSE))</f>
        <v>25381.327370358002</v>
      </c>
      <c r="DS90" s="227">
        <f>$BT90*(VLOOKUP(DS$4, Rates_current!$G$6:$Q$29, 10, FALSE)+VLOOKUP(DS$4, Rates_current!$G$6:$Q$29, 11, FALSE))</f>
        <v>19899.765449631603</v>
      </c>
      <c r="DT90" s="227">
        <f>$BT90*(VLOOKUP(DT$4, Rates_current!$G$6:$Q$29, 10, FALSE)+VLOOKUP(DT$4, Rates_current!$G$6:$Q$29, 11, FALSE))</f>
        <v>19378.409041581603</v>
      </c>
      <c r="DU90" s="227">
        <f>$BT90*(VLOOKUP(DU$4, Rates_current!$G$6:$Q$29, 10, FALSE)+VLOOKUP(DU$4, Rates_current!$G$6:$Q$29, 11, FALSE))</f>
        <v>17397.689000508002</v>
      </c>
      <c r="DV90" s="229">
        <f>IF(D90=0,IF(C90=0,MAX(0,DY90 - (VLOOKUP($A90,TOCA_current!$A$2:$AI$137,MATCH("RHWM 2020",TOCA_current!$A$2:$AI$2,0),FALSE)*$BT$2)), 0),0)</f>
        <v>0</v>
      </c>
      <c r="DW90" s="266">
        <f>VLOOKUP($A90,REP_current!$A$1:$D$135,MATCH("FY "&amp;$BT$1&amp; " Total Refund",REP_current!$A$1:$D$1,0),0)</f>
        <v>0</v>
      </c>
      <c r="DX90" s="295">
        <f>MIN(VLOOKUP($A90,TOCA_current!$A$2:$AI$137,MATCH("TRL - NLSL - Existing Resource "&amp;$BT$1,TOCA_current!$A$2:$AI$2,0),FALSE)*$BT$2, VLOOKUP($A90,TOCA_current!$A$2:$AI$137,MATCH("RHWM 2020",TOCA_current!$A$2:$AI$2,0),FALSE)*$BT$2)</f>
        <v>229666.46400000001</v>
      </c>
      <c r="DY90" s="240">
        <f>SUM(BZ90:CW90)+(BT90*RT1SC!$C$4*$BT$2)</f>
        <v>223544.90283591679</v>
      </c>
      <c r="DZ90" s="271">
        <f>VLOOKUP($A90,TOCA_current!$A$2:$AI$137,MATCH("Above RHWM Not Served with LS "&amp;$BT$1,TOCA_current!$A$2:$AI$2,0),FALSE)*$BT$2</f>
        <v>14616.575999999999</v>
      </c>
      <c r="EA90" s="244">
        <f t="shared" si="29"/>
        <v>-6121.5611640832212</v>
      </c>
      <c r="EB90" s="295">
        <f>(VLOOKUP($A90,TOCA_current!$A$2:$AI$137,MATCH("RHWM 2020",TOCA_current!$A$2:$AI$2,0),FALSE)*$BT$2) - $DX90</f>
        <v>0</v>
      </c>
      <c r="EC90" s="240">
        <f t="shared" si="30"/>
        <v>0</v>
      </c>
      <c r="ED90" s="240">
        <f t="shared" si="31"/>
        <v>0</v>
      </c>
      <c r="EE90" s="240">
        <f t="shared" si="32"/>
        <v>0</v>
      </c>
      <c r="EF90" s="240">
        <f t="shared" si="33"/>
        <v>0</v>
      </c>
    </row>
    <row r="91" spans="1:136">
      <c r="A91" s="166">
        <v>10273</v>
      </c>
      <c r="B91" s="167" t="s">
        <v>92</v>
      </c>
      <c r="C91" s="240">
        <v>0</v>
      </c>
      <c r="D91" s="240">
        <v>0</v>
      </c>
      <c r="E91" s="150">
        <f>VLOOKUP($A91,TOCA_previous!$A$2:$AI$137,MATCH(E$4,TOCA_previous!$A$2:$AI$2,0),FALSE)</f>
        <v>8.3330000000000003E-4</v>
      </c>
      <c r="F91" s="151">
        <f>VLOOKUP($A91,TOCA_previous!$A$2:$AI$137,MATCH(F$4,TOCA_previous!$A$2:$AI$2,0),FALSE)</f>
        <v>8.3330000000000003E-4</v>
      </c>
      <c r="G91" s="151">
        <f t="shared" si="18"/>
        <v>0</v>
      </c>
      <c r="H91" s="151">
        <f>VLOOKUP($A91,TOCA_previous!$A$2:$AI$137,MATCH(H$4,TOCA_previous!$A$2:$AI$2,0),FALSE)</f>
        <v>9.6212199999999998E-2</v>
      </c>
      <c r="I91" s="151">
        <f t="shared" si="19"/>
        <v>0</v>
      </c>
      <c r="J91" s="151">
        <f t="shared" si="20"/>
        <v>0</v>
      </c>
      <c r="K91" s="226">
        <f>VLOOKUP(A91, IRD!$A$5:$C$139, 3, FALSE)</f>
        <v>9522.0249999999996</v>
      </c>
      <c r="L91" s="227">
        <f t="array" ref="L91">IF($G91=0, INDEX(LS_previous!$D$4:$AY$138, MATCH('Staging Table'!$A91, LS_previous!$B$4:$B$138, 0), MATCH(L$4&amp;L$5, LS_previous!$D$2:$AY$2&amp;LS_previous!$D$3:$AY$3, 0)),SUM(VLOOKUP($A91, LS_previous!$B$4:$AY$138, LS_previous!D$149, FALSE), VLOOKUP('Staging Table'!$A91, LS_previous!$B$4:$AY$138,LS_previous!AB$149, FALSE))/2)</f>
        <v>-424</v>
      </c>
      <c r="M91" s="227">
        <f t="array" ref="M91">IF($G91=0, INDEX(LS_previous!$D$4:$AY$138, MATCH('Staging Table'!$A91, LS_previous!$B$4:$B$138, 0), MATCH(M$4&amp;M$5, LS_previous!$D$2:$AY$2&amp;LS_previous!$D$3:$AY$3, 0)),SUM(VLOOKUP($A91, LS_previous!$B$4:$AY$138, LS_previous!E$149, FALSE), VLOOKUP('Staging Table'!$A91, LS_previous!$B$4:$AY$138,LS_previous!AC$149, FALSE))/2)</f>
        <v>-173</v>
      </c>
      <c r="N91" s="227">
        <f t="array" ref="N91">IF($G91=0, INDEX(LS_previous!$D$4:$AY$138, MATCH('Staging Table'!$A91, LS_previous!$B$4:$B$138, 0), MATCH(N$4&amp;N$5, LS_previous!$D$2:$AY$2&amp;LS_previous!$D$3:$AY$3, 0)),SUM(VLOOKUP($A91, LS_previous!$B$4:$AY$138, LS_previous!F$149, FALSE), VLOOKUP('Staging Table'!$A91, LS_previous!$B$4:$AY$138,LS_previous!AD$149, FALSE))/2)</f>
        <v>-1457</v>
      </c>
      <c r="O91" s="227">
        <f t="array" ref="O91">IF($G91=0, INDEX(LS_previous!$D$4:$AY$138, MATCH('Staging Table'!$A91, LS_previous!$B$4:$B$138, 0), MATCH(O$4&amp;O$5, LS_previous!$D$2:$AY$2&amp;LS_previous!$D$3:$AY$3, 0)),SUM(VLOOKUP($A91, LS_previous!$B$4:$AY$138, LS_previous!G$149, FALSE), VLOOKUP('Staging Table'!$A91, LS_previous!$B$4:$AY$138,LS_previous!AE$149, FALSE))/2)</f>
        <v>-526</v>
      </c>
      <c r="P91" s="227">
        <f t="array" ref="P91">IF($G91=0, INDEX(LS_previous!$D$4:$AY$138, MATCH('Staging Table'!$A91, LS_previous!$B$4:$B$138, 0), MATCH(P$4&amp;P$5, LS_previous!$D$2:$AY$2&amp;LS_previous!$D$3:$AY$3, 0)),SUM(VLOOKUP($A91, LS_previous!$B$4:$AY$138, LS_previous!H$149, FALSE), VLOOKUP('Staging Table'!$A91, LS_previous!$B$4:$AY$138,LS_previous!AF$149, FALSE))/2)</f>
        <v>-970</v>
      </c>
      <c r="Q91" s="227">
        <f t="array" ref="Q91">IF($G91=0, INDEX(LS_previous!$D$4:$AY$138, MATCH('Staging Table'!$A91, LS_previous!$B$4:$B$138, 0), MATCH(Q$4&amp;Q$5, LS_previous!$D$2:$AY$2&amp;LS_previous!$D$3:$AY$3, 0)),SUM(VLOOKUP($A91, LS_previous!$B$4:$AY$138, LS_previous!I$149, FALSE), VLOOKUP('Staging Table'!$A91, LS_previous!$B$4:$AY$138,LS_previous!AG$149, FALSE))/2)</f>
        <v>-377</v>
      </c>
      <c r="R91" s="227">
        <f t="array" ref="R91">IF($G91=0, INDEX(LS_previous!$D$4:$AY$138, MATCH('Staging Table'!$A91, LS_previous!$B$4:$B$138, 0), MATCH(R$4&amp;R$5, LS_previous!$D$2:$AY$2&amp;LS_previous!$D$3:$AY$3, 0)),SUM(VLOOKUP($A91, LS_previous!$B$4:$AY$138, LS_previous!J$149, FALSE), VLOOKUP('Staging Table'!$A91, LS_previous!$B$4:$AY$138,LS_previous!AH$149, FALSE))/2)</f>
        <v>-522</v>
      </c>
      <c r="S91" s="227">
        <f t="array" ref="S91">IF($G91=0, INDEX(LS_previous!$D$4:$AY$138, MATCH('Staging Table'!$A91, LS_previous!$B$4:$B$138, 0), MATCH(S$4&amp;S$5, LS_previous!$D$2:$AY$2&amp;LS_previous!$D$3:$AY$3, 0)),SUM(VLOOKUP($A91, LS_previous!$B$4:$AY$138, LS_previous!K$149, FALSE), VLOOKUP('Staging Table'!$A91, LS_previous!$B$4:$AY$138,LS_previous!AI$149, FALSE))/2)</f>
        <v>-131</v>
      </c>
      <c r="T91" s="227">
        <f t="array" ref="T91">IF($G91=0, INDEX(LS_previous!$D$4:$AY$138, MATCH('Staging Table'!$A91, LS_previous!$B$4:$B$138, 0), MATCH(T$4&amp;T$5, LS_previous!$D$2:$AY$2&amp;LS_previous!$D$3:$AY$3, 0)),SUM(VLOOKUP($A91, LS_previous!$B$4:$AY$138, LS_previous!L$149, FALSE), VLOOKUP('Staging Table'!$A91, LS_previous!$B$4:$AY$138,LS_previous!AJ$149, FALSE))/2)</f>
        <v>-568</v>
      </c>
      <c r="U91" s="227">
        <f t="array" ref="U91">IF($G91=0, INDEX(LS_previous!$D$4:$AY$138, MATCH('Staging Table'!$A91, LS_previous!$B$4:$B$138, 0), MATCH(U$4&amp;U$5, LS_previous!$D$2:$AY$2&amp;LS_previous!$D$3:$AY$3, 0)),SUM(VLOOKUP($A91, LS_previous!$B$4:$AY$138, LS_previous!M$149, FALSE), VLOOKUP('Staging Table'!$A91, LS_previous!$B$4:$AY$138,LS_previous!AK$149, FALSE))/2)</f>
        <v>-124</v>
      </c>
      <c r="V91" s="227">
        <f t="array" ref="V91">IF($G91=0, INDEX(LS_previous!$D$4:$AY$138, MATCH('Staging Table'!$A91, LS_previous!$B$4:$B$138, 0), MATCH(V$4&amp;V$5, LS_previous!$D$2:$AY$2&amp;LS_previous!$D$3:$AY$3, 0)),SUM(VLOOKUP($A91, LS_previous!$B$4:$AY$138, LS_previous!N$149, FALSE), VLOOKUP('Staging Table'!$A91, LS_previous!$B$4:$AY$138,LS_previous!AL$149, FALSE))/2)</f>
        <v>-1323</v>
      </c>
      <c r="W91" s="227">
        <f t="array" ref="W91">IF($G91=0, INDEX(LS_previous!$D$4:$AY$138, MATCH('Staging Table'!$A91, LS_previous!$B$4:$B$138, 0), MATCH(W$4&amp;W$5, LS_previous!$D$2:$AY$2&amp;LS_previous!$D$3:$AY$3, 0)),SUM(VLOOKUP($A91, LS_previous!$B$4:$AY$138, LS_previous!O$149, FALSE), VLOOKUP('Staging Table'!$A91, LS_previous!$B$4:$AY$138,LS_previous!AM$149, FALSE))/2)</f>
        <v>-504</v>
      </c>
      <c r="X91" s="227">
        <f t="array" ref="X91">IF($G91=0, INDEX(LS_previous!$D$4:$AY$138, MATCH('Staging Table'!$A91, LS_previous!$B$4:$B$138, 0), MATCH(X$4&amp;X$5, LS_previous!$D$2:$AY$2&amp;LS_previous!$D$3:$AY$3, 0)),SUM(VLOOKUP($A91, LS_previous!$B$4:$AY$138, LS_previous!P$149, FALSE), VLOOKUP('Staging Table'!$A91, LS_previous!$B$4:$AY$138,LS_previous!AN$149, FALSE))/2)</f>
        <v>-791</v>
      </c>
      <c r="Y91" s="227">
        <f t="array" ref="Y91">IF($G91=0, INDEX(LS_previous!$D$4:$AY$138, MATCH('Staging Table'!$A91, LS_previous!$B$4:$B$138, 0), MATCH(Y$4&amp;Y$5, LS_previous!$D$2:$AY$2&amp;LS_previous!$D$3:$AY$3, 0)),SUM(VLOOKUP($A91, LS_previous!$B$4:$AY$138, LS_previous!Q$149, FALSE), VLOOKUP('Staging Table'!$A91, LS_previous!$B$4:$AY$138,LS_previous!AO$149, FALSE))/2)</f>
        <v>-328</v>
      </c>
      <c r="Z91" s="227">
        <f t="array" ref="Z91">IF($G91=0, INDEX(LS_previous!$D$4:$AY$138, MATCH('Staging Table'!$A91, LS_previous!$B$4:$B$138, 0), MATCH(Z$4&amp;Z$5, LS_previous!$D$2:$AY$2&amp;LS_previous!$D$3:$AY$3, 0)),SUM(VLOOKUP($A91, LS_previous!$B$4:$AY$138, LS_previous!R$149, FALSE), VLOOKUP('Staging Table'!$A91, LS_previous!$B$4:$AY$138,LS_previous!AP$149, FALSE))/2)</f>
        <v>-900</v>
      </c>
      <c r="AA91" s="227">
        <f t="array" ref="AA91">IF($G91=0, INDEX(LS_previous!$D$4:$AY$138, MATCH('Staging Table'!$A91, LS_previous!$B$4:$B$138, 0), MATCH(AA$4&amp;AA$5, LS_previous!$D$2:$AY$2&amp;LS_previous!$D$3:$AY$3, 0)),SUM(VLOOKUP($A91, LS_previous!$B$4:$AY$138, LS_previous!S$149, FALSE), VLOOKUP('Staging Table'!$A91, LS_previous!$B$4:$AY$138,LS_previous!AQ$149, FALSE))/2)</f>
        <v>-305</v>
      </c>
      <c r="AB91" s="227">
        <f t="array" ref="AB91">IF($G91=0, INDEX(LS_previous!$D$4:$AY$138, MATCH('Staging Table'!$A91, LS_previous!$B$4:$B$138, 0), MATCH(AB$4&amp;AB$5, LS_previous!$D$2:$AY$2&amp;LS_previous!$D$3:$AY$3, 0)),SUM(VLOOKUP($A91, LS_previous!$B$4:$AY$138, LS_previous!T$149, FALSE), VLOOKUP('Staging Table'!$A91, LS_previous!$B$4:$AY$138,LS_previous!AR$149, FALSE))/2)</f>
        <v>568</v>
      </c>
      <c r="AC91" s="227">
        <f t="array" ref="AC91">IF($G91=0, INDEX(LS_previous!$D$4:$AY$138, MATCH('Staging Table'!$A91, LS_previous!$B$4:$B$138, 0), MATCH(AC$4&amp;AC$5, LS_previous!$D$2:$AY$2&amp;LS_previous!$D$3:$AY$3, 0)),SUM(VLOOKUP($A91, LS_previous!$B$4:$AY$138, LS_previous!U$149, FALSE), VLOOKUP('Staging Table'!$A91, LS_previous!$B$4:$AY$138,LS_previous!AS$149, FALSE))/2)</f>
        <v>820</v>
      </c>
      <c r="AD91" s="227">
        <f t="array" ref="AD91">IF($G91=0, INDEX(LS_previous!$D$4:$AY$138, MATCH('Staging Table'!$A91, LS_previous!$B$4:$B$138, 0), MATCH(AD$4&amp;AD$5, LS_previous!$D$2:$AY$2&amp;LS_previous!$D$3:$AY$3, 0)),SUM(VLOOKUP($A91, LS_previous!$B$4:$AY$138, LS_previous!V$149, FALSE), VLOOKUP('Staging Table'!$A91, LS_previous!$B$4:$AY$138,LS_previous!AT$149, FALSE))/2)</f>
        <v>1846</v>
      </c>
      <c r="AE91" s="227">
        <f t="array" ref="AE91">IF($G91=0, INDEX(LS_previous!$D$4:$AY$138, MATCH('Staging Table'!$A91, LS_previous!$B$4:$B$138, 0), MATCH(AE$4&amp;AE$5, LS_previous!$D$2:$AY$2&amp;LS_previous!$D$3:$AY$3, 0)),SUM(VLOOKUP($A91, LS_previous!$B$4:$AY$138, LS_previous!W$149, FALSE), VLOOKUP('Staging Table'!$A91, LS_previous!$B$4:$AY$138,LS_previous!AU$149, FALSE))/2)</f>
        <v>1659</v>
      </c>
      <c r="AF91" s="227">
        <f t="array" ref="AF91">IF($G91=0, INDEX(LS_previous!$D$4:$AY$138, MATCH('Staging Table'!$A91, LS_previous!$B$4:$B$138, 0), MATCH(AF$4&amp;AF$5, LS_previous!$D$2:$AY$2&amp;LS_previous!$D$3:$AY$3, 0)),SUM(VLOOKUP($A91, LS_previous!$B$4:$AY$138, LS_previous!X$149, FALSE), VLOOKUP('Staging Table'!$A91, LS_previous!$B$4:$AY$138,LS_previous!AV$149, FALSE))/2)</f>
        <v>1605</v>
      </c>
      <c r="AG91" s="227">
        <f t="array" ref="AG91">IF($G91=0, INDEX(LS_previous!$D$4:$AY$138, MATCH('Staging Table'!$A91, LS_previous!$B$4:$B$138, 0), MATCH(AG$4&amp;AG$5, LS_previous!$D$2:$AY$2&amp;LS_previous!$D$3:$AY$3, 0)),SUM(VLOOKUP($A91, LS_previous!$B$4:$AY$138, LS_previous!Y$149, FALSE), VLOOKUP('Staging Table'!$A91, LS_previous!$B$4:$AY$138,LS_previous!AW$149, FALSE))/2)</f>
        <v>1386</v>
      </c>
      <c r="AH91" s="227">
        <f t="array" ref="AH91">IF($G91=0, INDEX(LS_previous!$D$4:$AY$138, MATCH('Staging Table'!$A91, LS_previous!$B$4:$B$138, 0), MATCH(AH$4&amp;AH$5, LS_previous!$D$2:$AY$2&amp;LS_previous!$D$3:$AY$3, 0)),SUM(VLOOKUP($A91, LS_previous!$B$4:$AY$138, LS_previous!Z$149, FALSE), VLOOKUP('Staging Table'!$A91, LS_previous!$B$4:$AY$138,LS_previous!AX$149, FALSE))/2)</f>
        <v>685</v>
      </c>
      <c r="AI91" s="227">
        <f t="array" ref="AI91">IF($G91=0, INDEX(LS_previous!$D$4:$AY$138, MATCH('Staging Table'!$A91, LS_previous!$B$4:$B$138, 0), MATCH(AI$4&amp;AI$5, LS_previous!$D$2:$AY$2&amp;LS_previous!$D$3:$AY$3, 0)),SUM(VLOOKUP($A91, LS_previous!$B$4:$AY$138, LS_previous!AA$149, FALSE), VLOOKUP('Staging Table'!$A91, LS_previous!$B$4:$AY$138,LS_previous!AY$149, FALSE))/2)</f>
        <v>916</v>
      </c>
      <c r="AJ91" s="424">
        <f t="array" ref="AJ91">INDEX(Demand_previous!$D$4:$AY$138, MATCH('Staging Table'!$A91, Demand_previous!$B$4:$B$138, 0), MATCH(AJ$4&amp;AJ$5,Demand_previous!$D$2:$AY$2&amp;Demand_previous!$D$3:$AY$3, 0))/1000</f>
        <v>1.3160000000000001</v>
      </c>
      <c r="AK91" s="424">
        <f t="array" ref="AK91">INDEX(Demand_previous!$D$4:$AY$138, MATCH('Staging Table'!$A91, Demand_previous!$B$4:$B$138, 0), MATCH(AK$4&amp;AK$5,Demand_previous!$D$2:$AY$2&amp;Demand_previous!$D$3:$AY$3, 0))/1000</f>
        <v>1.091</v>
      </c>
      <c r="AL91" s="424">
        <f t="array" ref="AL91">INDEX(Demand_previous!$D$4:$AY$138, MATCH('Staging Table'!$A91, Demand_previous!$B$4:$B$138, 0), MATCH(AL$4&amp;AL$5,Demand_previous!$D$2:$AY$2&amp;Demand_previous!$D$3:$AY$3, 0))/1000</f>
        <v>2.004</v>
      </c>
      <c r="AM91" s="424">
        <f t="array" ref="AM91">INDEX(Demand_previous!$D$4:$AY$138, MATCH('Staging Table'!$A91, Demand_previous!$B$4:$B$138, 0), MATCH(AM$4&amp;AM$5,Demand_previous!$D$2:$AY$2&amp;Demand_previous!$D$3:$AY$3, 0))/1000</f>
        <v>1.38</v>
      </c>
      <c r="AN91" s="424">
        <f t="array" ref="AN91">INDEX(Demand_previous!$D$4:$AY$138, MATCH('Staging Table'!$A91, Demand_previous!$B$4:$B$138, 0), MATCH(AN$4&amp;AN$5,Demand_previous!$D$2:$AY$2&amp;Demand_previous!$D$3:$AY$3, 0))/1000</f>
        <v>1.1910000000000001</v>
      </c>
      <c r="AO91" s="424">
        <f t="array" ref="AO91">INDEX(Demand_previous!$D$4:$AY$138, MATCH('Staging Table'!$A91, Demand_previous!$B$4:$B$138, 0), MATCH(AO$4&amp;AO$5,Demand_previous!$D$2:$AY$2&amp;Demand_previous!$D$3:$AY$3, 0))/1000</f>
        <v>1.0549999999999999</v>
      </c>
      <c r="AP91" s="424">
        <f t="array" ref="AP91">INDEX(Demand_previous!$D$4:$AY$138, MATCH('Staging Table'!$A91, Demand_previous!$B$4:$B$138, 0), MATCH(AP$4&amp;AP$5,Demand_previous!$D$2:$AY$2&amp;Demand_previous!$D$3:$AY$3, 0))/1000</f>
        <v>0.34499999999999997</v>
      </c>
      <c r="AQ91" s="424">
        <f t="array" ref="AQ91">INDEX(Demand_previous!$D$4:$AY$138, MATCH('Staging Table'!$A91, Demand_previous!$B$4:$B$138, 0), MATCH(AQ$4&amp;AQ$5,Demand_previous!$D$2:$AY$2&amp;Demand_previous!$D$3:$AY$3, 0))/1000</f>
        <v>1.581</v>
      </c>
      <c r="AR91" s="424">
        <f t="array" ref="AR91">INDEX(Demand_previous!$D$4:$AY$138, MATCH('Staging Table'!$A91, Demand_previous!$B$4:$B$138, 0), MATCH(AR$4&amp;AR$5,Demand_previous!$D$2:$AY$2&amp;Demand_previous!$D$3:$AY$3, 0))/1000</f>
        <v>2.1709999999999998</v>
      </c>
      <c r="AS91" s="424">
        <f t="array" ref="AS91">INDEX(Demand_previous!$D$4:$AY$138, MATCH('Staging Table'!$A91, Demand_previous!$B$4:$B$138, 0), MATCH(AS$4&amp;AS$5,Demand_previous!$D$2:$AY$2&amp;Demand_previous!$D$3:$AY$3, 0))/1000</f>
        <v>1.5049999999999999</v>
      </c>
      <c r="AT91" s="424">
        <f t="array" ref="AT91">INDEX(Demand_previous!$D$4:$AY$138, MATCH('Staging Table'!$A91, Demand_previous!$B$4:$B$138, 0), MATCH(AT$4&amp;AT$5,Demand_previous!$D$2:$AY$2&amp;Demand_previous!$D$3:$AY$3, 0))/1000</f>
        <v>2.3809999999999998</v>
      </c>
      <c r="AU91" s="424">
        <f t="array" ref="AU91">INDEX(Demand_previous!$D$4:$AY$138, MATCH('Staging Table'!$A91, Demand_previous!$B$4:$B$138, 0), MATCH(AU$4&amp;AU$5,Demand_previous!$D$2:$AY$2&amp;Demand_previous!$D$3:$AY$3, 0))/1000</f>
        <v>1.653</v>
      </c>
      <c r="AV91" s="227">
        <f>$F91*(VLOOKUP(AV$4, Rates_previous!$G$6:$Q$29, 10, FALSE)+VLOOKUP(AV$4, Rates_previous!$G$6:$Q$29, 11, FALSE))</f>
        <v>3907.2085073991702</v>
      </c>
      <c r="AW91" s="227">
        <f>$F91*(VLOOKUP(AW$4, Rates_previous!$G$6:$Q$29, 10, FALSE)+VLOOKUP(AW$4, Rates_previous!$G$6:$Q$29, 11, FALSE))</f>
        <v>4829.0127515611239</v>
      </c>
      <c r="AX91" s="227">
        <f>$F91*(VLOOKUP(AX$4, Rates_previous!$G$6:$Q$29, 10, FALSE)+VLOOKUP(AX$4, Rates_previous!$G$6:$Q$29, 11, FALSE))</f>
        <v>4771.0220841931077</v>
      </c>
      <c r="AY91" s="227">
        <f>$F91*(VLOOKUP(AY$4, Rates_previous!$G$6:$Q$29, 10, FALSE)+VLOOKUP(AY$4, Rates_previous!$G$6:$Q$29, 11, FALSE))</f>
        <v>4076.383617432828</v>
      </c>
      <c r="AZ91" s="227">
        <f>$F91*(VLOOKUP(AZ$4, Rates_previous!$G$6:$Q$29, 10, FALSE)+VLOOKUP(AZ$4, Rates_previous!$G$6:$Q$29, 11, FALSE))</f>
        <v>3341.8438654852998</v>
      </c>
      <c r="BA91" s="227">
        <f>$F91*(VLOOKUP(BA$4, Rates_previous!$G$6:$Q$29, 10, FALSE)+VLOOKUP(BA$4, Rates_previous!$G$6:$Q$29, 11, FALSE))</f>
        <v>3956.6217496999975</v>
      </c>
      <c r="BB91" s="227">
        <f>$F91*(VLOOKUP(BB$4, Rates_previous!$G$6:$Q$29, 10, FALSE)+VLOOKUP(BB$4, Rates_previous!$G$6:$Q$29, 11, FALSE))</f>
        <v>3802.8890272073791</v>
      </c>
      <c r="BC91" s="227">
        <f>$F91*(VLOOKUP(BC$4, Rates_previous!$G$6:$Q$29, 10, FALSE)+VLOOKUP(BC$4, Rates_previous!$G$6:$Q$29, 11, FALSE))</f>
        <v>5580.4705445507752</v>
      </c>
      <c r="BD91" s="227">
        <f>$F91*(VLOOKUP(BD$4, Rates_previous!$G$6:$Q$29, 10, FALSE)+VLOOKUP(BD$4, Rates_previous!$G$6:$Q$29, 11, FALSE))</f>
        <v>4402.8437660161944</v>
      </c>
      <c r="BE91" s="227">
        <f>$F91*(VLOOKUP(BE$4, Rates_previous!$G$6:$Q$29, 10, FALSE)+VLOOKUP(BE$4, Rates_previous!$G$6:$Q$29, 11, FALSE))</f>
        <v>3866.0663815883668</v>
      </c>
      <c r="BF91" s="227">
        <f>$F91*(VLOOKUP(BF$4, Rates_previous!$G$6:$Q$29, 10, FALSE)+VLOOKUP(BF$4, Rates_previous!$G$6:$Q$29, 11, FALSE))</f>
        <v>4281.8232674039464</v>
      </c>
      <c r="BG91" s="227">
        <f>$F91*(VLOOKUP(BG$4, Rates_previous!$G$6:$Q$29, 10, FALSE)+VLOOKUP(BG$4, Rates_previous!$G$6:$Q$29, 11, FALSE))</f>
        <v>3879.1616028285634</v>
      </c>
      <c r="BH91" s="229">
        <f>IF($D91=0,IF(C91=0, MAX(BK91 - (VLOOKUP($A91,TOCA_previous!$A$2:$AI$137,MATCH("RHWM 2018",TOCA_previous!$A$2:$AI$2,0),FALSE)*$F$2*TOCA_previous!C88),0),0), 0)</f>
        <v>63.227904968000075</v>
      </c>
      <c r="BI91" s="266">
        <f>VLOOKUP($A91,REP_previous!$A$1:$D$135,MATCH("FY "&amp;$F$1&amp; " Total Refund",REP_previous!$A$1:$D$1,0),0)</f>
        <v>68396.315801605931</v>
      </c>
      <c r="BJ91" s="241">
        <f>MIN(VLOOKUP($A91,TOCA_previous!$A$2:$AI$137,MATCH("TRL - NLSL - Existing Resource "&amp;$F$1,TOCA_previous!$A$2:$AI$2,0),FALSE)*$F$2,(VLOOKUP($A91,TOCA_previous!$A$2:$AI$137,MATCH("RHWM 2018",TOCA_previous!$A$2:$AI$2,0),FALSE)*$F$2))</f>
        <v>50694.12</v>
      </c>
      <c r="BK91" s="229">
        <f>SUM(L91:AI91)+(F91*RT1SC!$C$3*$F$2)</f>
        <v>50757.347904968003</v>
      </c>
      <c r="BL91" s="241">
        <f>VLOOKUP($A91,TOCA_previous!$A$2:$AI$137,MATCH("Above RHWM Not Served with LS "&amp;$F$1,TOCA_previous!$A$2:$AI$2,0),FALSE)*$F$2</f>
        <v>18982.919999999998</v>
      </c>
      <c r="BM91" s="151">
        <f t="shared" si="21"/>
        <v>63.227904968000075</v>
      </c>
      <c r="BN91" s="242">
        <f>(VLOOKUP($A91,TOCA_previous!$A$2:$AI$137,MATCH("RHWM 2018",TOCA_previous!$A$2:$AI$2,0),FALSE)*$F$2) - $BJ91</f>
        <v>0</v>
      </c>
      <c r="BO91" s="151">
        <f t="shared" si="22"/>
        <v>0</v>
      </c>
      <c r="BP91" s="243">
        <f t="shared" si="23"/>
        <v>0</v>
      </c>
      <c r="BQ91" s="237">
        <f t="shared" si="24"/>
        <v>0</v>
      </c>
      <c r="BR91" s="242">
        <f t="shared" si="25"/>
        <v>0</v>
      </c>
      <c r="BS91" s="151">
        <f>VLOOKUP($A91,TOCA_current!$A$2:$AI$137,MATCH(BS$4,TOCA_current!$A$2:$AI$2,0),FALSE)</f>
        <v>8.3279999999999997E-4</v>
      </c>
      <c r="BT91" s="151">
        <f>VLOOKUP($A91,TOCA_current!$A$2:$AI$137,MATCH(BT$4,TOCA_current!$A$2:$AI$2,0),FALSE)</f>
        <v>8.3279999999999997E-4</v>
      </c>
      <c r="BU91" s="236">
        <f t="shared" si="26"/>
        <v>0</v>
      </c>
      <c r="BV91" s="151">
        <f>VLOOKUP($A91,TOCA_current!A87:BG222,MATCH(BV$4,TOCA_current!$A$2:$BG$2,0),FALSE)</f>
        <v>9.6480300000000005E-2</v>
      </c>
      <c r="BW91" s="151">
        <f t="shared" si="27"/>
        <v>0</v>
      </c>
      <c r="BX91" s="151">
        <f t="shared" si="28"/>
        <v>0</v>
      </c>
      <c r="BY91" s="226">
        <f>VLOOKUP($A91,IRD!$A$4:$G$139, 7, FALSE)</f>
        <v>9522.0249999999996</v>
      </c>
      <c r="BZ91" s="227">
        <f t="array" ref="BZ91">IF($BU91=0, INDEX(LS_current!$D$4:$AY$138, MATCH('Staging Table'!$A91, LS_current!$B$4:$B$138, 0), MATCH(BZ$4&amp;BZ$5, LS_current!$D$2:$AY$2&amp;LS_current!$D$3:$AY$3, 0)),SUM(VLOOKUP($A91, LS_current!$B$4:$AY$138, LS_current!D$148, FALSE), VLOOKUP($A91, LS_current!$B$4:$AY$138,LS_current!D$148, FALSE))/2)</f>
        <v>-443</v>
      </c>
      <c r="CA91" s="227">
        <f t="array" ref="CA91">IF($BU91=0, INDEX(LS_current!$D$4:$AY$138, MATCH('Staging Table'!$A91, LS_current!$B$4:$B$138, 0), MATCH(CA$4&amp;CA$5, LS_current!$D$2:$AY$2&amp;LS_current!$D$3:$AY$3, 0)),SUM(VLOOKUP($A91, LS_current!$B$4:$AY$138, LS_current!E$148, FALSE), VLOOKUP($A91, LS_current!$B$4:$AY$138,LS_current!E$148, FALSE))/2)</f>
        <v>-126</v>
      </c>
      <c r="CB91" s="227">
        <f t="array" ref="CB91">IF($BU91=0, INDEX(LS_current!$D$4:$AY$138, MATCH('Staging Table'!$A91, LS_current!$B$4:$B$138, 0), MATCH(CB$4&amp;CB$5, LS_current!$D$2:$AY$2&amp;LS_current!$D$3:$AY$3, 0)),SUM(VLOOKUP($A91, LS_current!$B$4:$AY$138, LS_current!F$148, FALSE), VLOOKUP($A91, LS_current!$B$4:$AY$138,LS_current!F$148, FALSE))/2)</f>
        <v>-1495</v>
      </c>
      <c r="CC91" s="227">
        <f t="array" ref="CC91">IF($BU91=0, INDEX(LS_current!$D$4:$AY$138, MATCH('Staging Table'!$A91, LS_current!$B$4:$B$138, 0), MATCH(CC$4&amp;CC$5, LS_current!$D$2:$AY$2&amp;LS_current!$D$3:$AY$3, 0)),SUM(VLOOKUP($A91, LS_current!$B$4:$AY$138, LS_current!G$148, FALSE), VLOOKUP($A91, LS_current!$B$4:$AY$138,LS_current!G$148, FALSE))/2)</f>
        <v>-577</v>
      </c>
      <c r="CD91" s="227">
        <f t="array" ref="CD91">IF($BU91=0, INDEX(LS_current!$D$4:$AY$138, MATCH('Staging Table'!$A91, LS_current!$B$4:$B$138, 0), MATCH(CD$4&amp;CD$5, LS_current!$D$2:$AY$2&amp;LS_current!$D$3:$AY$3, 0)),SUM(VLOOKUP($A91, LS_current!$B$4:$AY$138, LS_current!H$148, FALSE), VLOOKUP($A91, LS_current!$B$4:$AY$138,LS_current!H$148, FALSE))/2)</f>
        <v>-1013</v>
      </c>
      <c r="CE91" s="227">
        <f t="array" ref="CE91">IF($BU91=0, INDEX(LS_current!$D$4:$AY$138, MATCH('Staging Table'!$A91, LS_current!$B$4:$B$138, 0), MATCH(CE$4&amp;CE$5, LS_current!$D$2:$AY$2&amp;LS_current!$D$3:$AY$3, 0)),SUM(VLOOKUP($A91, LS_current!$B$4:$AY$138, LS_current!I$148, FALSE), VLOOKUP($A91, LS_current!$B$4:$AY$138,LS_current!I$148, FALSE))/2)</f>
        <v>-423</v>
      </c>
      <c r="CF91" s="227">
        <f t="array" ref="CF91">IF($BU91=0, INDEX(LS_current!$D$4:$AY$138, MATCH('Staging Table'!$A91, LS_current!$B$4:$B$138, 0), MATCH(CF$4&amp;CF$5, LS_current!$D$2:$AY$2&amp;LS_current!$D$3:$AY$3, 0)),SUM(VLOOKUP($A91, LS_current!$B$4:$AY$138, LS_current!J$148, FALSE), VLOOKUP($A91, LS_current!$B$4:$AY$138,LS_current!J$148, FALSE))/2)</f>
        <v>-550</v>
      </c>
      <c r="CG91" s="227">
        <f t="array" ref="CG91">IF($BU91=0, INDEX(LS_current!$D$4:$AY$138, MATCH('Staging Table'!$A91, LS_current!$B$4:$B$138, 0), MATCH(CG$4&amp;CG$5, LS_current!$D$2:$AY$2&amp;LS_current!$D$3:$AY$3, 0)),SUM(VLOOKUP($A91, LS_current!$B$4:$AY$138, LS_current!K$148, FALSE), VLOOKUP($A91, LS_current!$B$4:$AY$138,LS_current!K$148, FALSE))/2)</f>
        <v>-82</v>
      </c>
      <c r="CH91" s="227">
        <f t="array" ref="CH91">IF($BU91=0, INDEX(LS_current!$D$4:$AY$138, MATCH('Staging Table'!$A91, LS_current!$B$4:$B$138, 0), MATCH(CH$4&amp;CH$5, LS_current!$D$2:$AY$2&amp;LS_current!$D$3:$AY$3, 0)),SUM(VLOOKUP($A91, LS_current!$B$4:$AY$138, LS_current!L$148, FALSE), VLOOKUP($A91, LS_current!$B$4:$AY$138,LS_current!L$148, FALSE))/2)</f>
        <v>-810</v>
      </c>
      <c r="CI91" s="227">
        <f t="array" ref="CI91">IF($BU91=0, INDEX(LS_current!$D$4:$AY$138, MATCH('Staging Table'!$A91, LS_current!$B$4:$B$138, 0), MATCH(CI$4&amp;CI$5, LS_current!$D$2:$AY$2&amp;LS_current!$D$3:$AY$3, 0)),SUM(VLOOKUP($A91, LS_current!$B$4:$AY$138, LS_current!M$148, FALSE), VLOOKUP($A91, LS_current!$B$4:$AY$138,LS_current!M$148, FALSE))/2)</f>
        <v>-269</v>
      </c>
      <c r="CJ91" s="227">
        <f t="array" ref="CJ91">IF($BU91=0, INDEX(LS_current!$D$4:$AY$138, MATCH('Staging Table'!$A91, LS_current!$B$4:$B$138, 0), MATCH(CJ$4&amp;CJ$5, LS_current!$D$2:$AY$2&amp;LS_current!$D$3:$AY$3, 0)),SUM(VLOOKUP($A91, LS_current!$B$4:$AY$138, LS_current!N$148, FALSE), VLOOKUP($A91, LS_current!$B$4:$AY$138,LS_current!N$148, FALSE))/2)</f>
        <v>-1382</v>
      </c>
      <c r="CK91" s="227">
        <f t="array" ref="CK91">IF($BU91=0, INDEX(LS_current!$D$4:$AY$138, MATCH('Staging Table'!$A91, LS_current!$B$4:$B$138, 0), MATCH(CK$4&amp;CK$5, LS_current!$D$2:$AY$2&amp;LS_current!$D$3:$AY$3, 0)),SUM(VLOOKUP($A91, LS_current!$B$4:$AY$138, LS_current!O$148, FALSE), VLOOKUP($A91, LS_current!$B$4:$AY$138,LS_current!O$148, FALSE))/2)</f>
        <v>-575</v>
      </c>
      <c r="CL91" s="227">
        <f t="array" ref="CL91">IF($BU91=0, INDEX(LS_current!$D$4:$AY$138, MATCH('Staging Table'!$A91, LS_current!$B$4:$B$138, 0), MATCH(CL$4&amp;CL$5, LS_current!$D$2:$AY$2&amp;LS_current!$D$3:$AY$3, 0)),SUM(VLOOKUP($A91, LS_current!$B$4:$AY$138, LS_current!P$148, FALSE), VLOOKUP($A91, LS_current!$B$4:$AY$138,LS_current!P$148, FALSE))/2)</f>
        <v>-476</v>
      </c>
      <c r="CM91" s="227">
        <f t="array" ref="CM91">IF($BU91=0, INDEX(LS_current!$D$4:$AY$138, MATCH('Staging Table'!$A91, LS_current!$B$4:$B$138, 0), MATCH(CM$4&amp;CM$5, LS_current!$D$2:$AY$2&amp;LS_current!$D$3:$AY$3, 0)),SUM(VLOOKUP($A91, LS_current!$B$4:$AY$138, LS_current!Q$148, FALSE), VLOOKUP($A91, LS_current!$B$4:$AY$138,LS_current!Q$148, FALSE))/2)</f>
        <v>-173</v>
      </c>
      <c r="CN91" s="227">
        <f t="array" ref="CN91">IF($BU91=0, INDEX(LS_current!$D$4:$AY$138, MATCH('Staging Table'!$A91, LS_current!$B$4:$B$138, 0), MATCH(CN$4&amp;CN$5, LS_current!$D$2:$AY$2&amp;LS_current!$D$3:$AY$3, 0)),SUM(VLOOKUP($A91, LS_current!$B$4:$AY$138, LS_current!R$148, FALSE), VLOOKUP($A91, LS_current!$B$4:$AY$138,LS_current!R$148, FALSE))/2)</f>
        <v>-215</v>
      </c>
      <c r="CO91" s="227">
        <f t="array" ref="CO91">IF($BU91=0, INDEX(LS_current!$D$4:$AY$138, MATCH('Staging Table'!$A91, LS_current!$B$4:$B$138, 0), MATCH(CO$4&amp;CO$5, LS_current!$D$2:$AY$2&amp;LS_current!$D$3:$AY$3, 0)),SUM(VLOOKUP($A91, LS_current!$B$4:$AY$138, LS_current!S$148, FALSE), VLOOKUP($A91, LS_current!$B$4:$AY$138,LS_current!S$148, FALSE))/2)</f>
        <v>106</v>
      </c>
      <c r="CP91" s="227">
        <f t="array" ref="CP91">IF($BU91=0, INDEX(LS_current!$D$4:$AY$138, MATCH('Staging Table'!$A91, LS_current!$B$4:$B$138, 0), MATCH(CP$4&amp;CP$5, LS_current!$D$2:$AY$2&amp;LS_current!$D$3:$AY$3, 0)),SUM(VLOOKUP($A91, LS_current!$B$4:$AY$138, LS_current!T$148, FALSE), VLOOKUP($A91, LS_current!$B$4:$AY$138,LS_current!T$148, FALSE))/2)</f>
        <v>-257</v>
      </c>
      <c r="CQ91" s="227">
        <f t="array" ref="CQ91">IF($BU91=0, INDEX(LS_current!$D$4:$AY$138, MATCH('Staging Table'!$A91, LS_current!$B$4:$B$138, 0), MATCH(CQ$4&amp;CQ$5, LS_current!$D$2:$AY$2&amp;LS_current!$D$3:$AY$3, 0)),SUM(VLOOKUP($A91, LS_current!$B$4:$AY$138, LS_current!U$148, FALSE), VLOOKUP($A91, LS_current!$B$4:$AY$138,LS_current!U$148, FALSE))/2)</f>
        <v>335</v>
      </c>
      <c r="CR91" s="227">
        <f t="array" ref="CR91">IF($BU91=0, INDEX(LS_current!$D$4:$AY$138, MATCH('Staging Table'!$A91, LS_current!$B$4:$B$138, 0), MATCH(CR$4&amp;CR$5, LS_current!$D$2:$AY$2&amp;LS_current!$D$3:$AY$3, 0)),SUM(VLOOKUP($A91, LS_current!$B$4:$AY$138, LS_current!V$148, FALSE), VLOOKUP($A91, LS_current!$B$4:$AY$138,LS_current!V$148, FALSE))/2)</f>
        <v>1255</v>
      </c>
      <c r="CS91" s="227">
        <f t="array" ref="CS91">IF($BU91=0, INDEX(LS_current!$D$4:$AY$138, MATCH('Staging Table'!$A91, LS_current!$B$4:$B$138, 0), MATCH(CS$4&amp;CS$5, LS_current!$D$2:$AY$2&amp;LS_current!$D$3:$AY$3, 0)),SUM(VLOOKUP($A91, LS_current!$B$4:$AY$138, LS_current!W$148, FALSE), VLOOKUP($A91, LS_current!$B$4:$AY$138,LS_current!W$148, FALSE))/2)</f>
        <v>1629</v>
      </c>
      <c r="CT91" s="227">
        <f t="array" ref="CT91">IF($BU91=0, INDEX(LS_current!$D$4:$AY$138, MATCH('Staging Table'!$A91, LS_current!$B$4:$B$138, 0), MATCH(CT$4&amp;CT$5, LS_current!$D$2:$AY$2&amp;LS_current!$D$3:$AY$3, 0)),SUM(VLOOKUP($A91, LS_current!$B$4:$AY$138, LS_current!X$148, FALSE), VLOOKUP($A91, LS_current!$B$4:$AY$138,LS_current!X$148, FALSE))/2)</f>
        <v>1514</v>
      </c>
      <c r="CU91" s="227">
        <f t="array" ref="CU91">IF($BU91=0, INDEX(LS_current!$D$4:$AY$138, MATCH('Staging Table'!$A91, LS_current!$B$4:$B$138, 0), MATCH(CU$4&amp;CU$5, LS_current!$D$2:$AY$2&amp;LS_current!$D$3:$AY$3, 0)),SUM(VLOOKUP($A91, LS_current!$B$4:$AY$138, LS_current!Y$148, FALSE), VLOOKUP($A91, LS_current!$B$4:$AY$138,LS_current!Y$148, FALSE))/2)</f>
        <v>1389</v>
      </c>
      <c r="CV91" s="227">
        <f t="array" ref="CV91">IF($BU91=0, INDEX(LS_current!$D$4:$AY$138, MATCH('Staging Table'!$A91, LS_current!$B$4:$B$138, 0), MATCH(CV$4&amp;CV$5, LS_current!$D$2:$AY$2&amp;LS_current!$D$3:$AY$3, 0)),SUM(VLOOKUP($A91, LS_current!$B$4:$AY$138, LS_current!Z$148, FALSE), VLOOKUP($A91, LS_current!$B$4:$AY$138,LS_current!Z$148, FALSE))/2)</f>
        <v>619</v>
      </c>
      <c r="CW91" s="227">
        <f t="array" ref="CW91">IF($BU91=0, INDEX(LS_current!$D$4:$AY$138, MATCH('Staging Table'!$A91, LS_current!$B$4:$B$138, 0), MATCH(CW$4&amp;CW$5, LS_current!$D$2:$AY$2&amp;LS_current!$D$3:$AY$3, 0)),SUM(VLOOKUP($A91, LS_current!$B$4:$AY$138, LS_current!AA$148, FALSE), VLOOKUP($A91, LS_current!$B$4:$AY$138,LS_current!AA$148, FALSE))/2)</f>
        <v>936</v>
      </c>
      <c r="CX91" s="229">
        <f t="array" ref="CX91">INDEX(Demand_current!$D$4:$AY$138, MATCH($A91, Demand_current!$B$4:$B$138, 0), MATCH(CX$4&amp;CX$5,Demand_current!$D$2:$AY$2&amp;Demand_current!$D$3:$AY$3, 0))/1000</f>
        <v>1.585</v>
      </c>
      <c r="CY91" s="229">
        <f t="array" ref="CY91">INDEX(Demand_current!$D$4:$AY$138, MATCH($A91, Demand_current!$B$4:$B$138, 0), MATCH(CY$4&amp;CY$5,Demand_current!$D$2:$AY$2&amp;Demand_current!$D$3:$AY$3, 0))/1000</f>
        <v>1.091</v>
      </c>
      <c r="CZ91" s="229">
        <f t="array" ref="CZ91">INDEX(Demand_current!$D$4:$AY$138, MATCH($A91, Demand_current!$B$4:$B$138, 0), MATCH(CZ$4&amp;CZ$5,Demand_current!$D$2:$AY$2&amp;Demand_current!$D$3:$AY$3, 0))/1000</f>
        <v>2.004</v>
      </c>
      <c r="DA91" s="229">
        <f t="array" ref="DA91">INDEX(Demand_current!$D$4:$AY$138, MATCH($A91, Demand_current!$B$4:$B$138, 0), MATCH(DA$4&amp;DA$5,Demand_current!$D$2:$AY$2&amp;Demand_current!$D$3:$AY$3, 0))/1000</f>
        <v>1.38</v>
      </c>
      <c r="DB91" s="229">
        <f t="array" ref="DB91">INDEX(Demand_current!$D$4:$AY$138, MATCH($A91, Demand_current!$B$4:$B$138, 0), MATCH(DB$4&amp;DB$5,Demand_current!$D$2:$AY$2&amp;Demand_current!$D$3:$AY$3, 0))/1000</f>
        <v>1.4379999999999999</v>
      </c>
      <c r="DC91" s="229">
        <f t="array" ref="DC91">INDEX(Demand_current!$D$4:$AY$138, MATCH($A91, Demand_current!$B$4:$B$138, 0), MATCH(DC$4&amp;DC$5,Demand_current!$D$2:$AY$2&amp;Demand_current!$D$3:$AY$3, 0))/1000</f>
        <v>0.86599999999999999</v>
      </c>
      <c r="DD91" s="229">
        <f t="array" ref="DD91">INDEX(Demand_current!$D$4:$AY$138, MATCH($A91, Demand_current!$B$4:$B$138, 0), MATCH(DD$4&amp;DD$5,Demand_current!$D$2:$AY$2&amp;Demand_current!$D$3:$AY$3, 0))/1000</f>
        <v>0.58799999999999997</v>
      </c>
      <c r="DE91" s="229">
        <f t="array" ref="DE91">INDEX(Demand_current!$D$4:$AY$138, MATCH($A91, Demand_current!$B$4:$B$138, 0), MATCH(DE$4&amp;DE$5,Demand_current!$D$2:$AY$2&amp;Demand_current!$D$3:$AY$3, 0))/1000</f>
        <v>1.2390000000000001</v>
      </c>
      <c r="DF91" s="229">
        <f t="array" ref="DF91">INDEX(Demand_current!$D$4:$AY$138, MATCH($A91, Demand_current!$B$4:$B$138, 0), MATCH(DF$4&amp;DF$5,Demand_current!$D$2:$AY$2&amp;Demand_current!$D$3:$AY$3, 0))/1000</f>
        <v>2.1709999999999998</v>
      </c>
      <c r="DG91" s="229">
        <f t="array" ref="DG91">INDEX(Demand_current!$D$4:$AY$138, MATCH($A91, Demand_current!$B$4:$B$138, 0), MATCH(DG$4&amp;DG$5,Demand_current!$D$2:$AY$2&amp;Demand_current!$D$3:$AY$3, 0))/1000</f>
        <v>2.0089999999999999</v>
      </c>
      <c r="DH91" s="229">
        <f t="array" ref="DH91">INDEX(Demand_current!$D$4:$AY$138, MATCH($A91, Demand_current!$B$4:$B$138, 0), MATCH(DH$4&amp;DH$5,Demand_current!$D$2:$AY$2&amp;Demand_current!$D$3:$AY$3, 0))/1000</f>
        <v>1.899</v>
      </c>
      <c r="DI91" s="229">
        <f t="array" ref="DI91">INDEX(Demand_current!$D$4:$AY$138, MATCH($A91, Demand_current!$B$4:$B$138, 0), MATCH(DI$4&amp;DI$5,Demand_current!$D$2:$AY$2&amp;Demand_current!$D$3:$AY$3, 0))/1000</f>
        <v>2.069</v>
      </c>
      <c r="DJ91" s="227">
        <f>$BT91*(VLOOKUP(DJ$4, Rates_current!$G$6:$Q$29, 10, FALSE)+VLOOKUP(DJ$4, Rates_current!$G$6:$Q$29, 11, FALSE))</f>
        <v>3845.3017608287996</v>
      </c>
      <c r="DK91" s="227">
        <f>$BT91*(VLOOKUP(DK$4, Rates_current!$G$6:$Q$29, 10, FALSE)+VLOOKUP(DK$4, Rates_current!$G$6:$Q$29, 11, FALSE))</f>
        <v>4884.7328014391996</v>
      </c>
      <c r="DL91" s="227">
        <f>$BT91*(VLOOKUP(DL$4, Rates_current!$G$6:$Q$29, 10, FALSE)+VLOOKUP(DL$4, Rates_current!$G$6:$Q$29, 11, FALSE))</f>
        <v>4825.7430432288002</v>
      </c>
      <c r="DM91" s="227">
        <f>$BT91*(VLOOKUP(DM$4, Rates_current!$G$6:$Q$29, 10, FALSE)+VLOOKUP(DM$4, Rates_current!$G$6:$Q$29, 11, FALSE))</f>
        <v>4022.5507488288004</v>
      </c>
      <c r="DN91" s="227">
        <f>$BT91*(VLOOKUP(DN$4, Rates_current!$G$6:$Q$29, 10, FALSE)+VLOOKUP(DN$4, Rates_current!$G$6:$Q$29, 11, FALSE))</f>
        <v>3644.0136710399997</v>
      </c>
      <c r="DO91" s="227">
        <f>$BT91*(VLOOKUP(DO$4, Rates_current!$G$6:$Q$29, 10, FALSE)+VLOOKUP(DO$4, Rates_current!$G$6:$Q$29, 11, FALSE))</f>
        <v>4053.3008403335998</v>
      </c>
      <c r="DP91" s="227">
        <f>$BT91*(VLOOKUP(DP$4, Rates_current!$G$6:$Q$29, 10, FALSE)+VLOOKUP(DP$4, Rates_current!$G$6:$Q$29, 11, FALSE))</f>
        <v>3300.201918144</v>
      </c>
      <c r="DQ91" s="227">
        <f>$BT91*(VLOOKUP(DQ$4, Rates_current!$G$6:$Q$29, 10, FALSE)+VLOOKUP(DQ$4, Rates_current!$G$6:$Q$29, 11, FALSE))</f>
        <v>4450.8144012288003</v>
      </c>
      <c r="DR91" s="227">
        <f>$BT91*(VLOOKUP(DR$4, Rates_current!$G$6:$Q$29, 10, FALSE)+VLOOKUP(DR$4, Rates_current!$G$6:$Q$29, 11, FALSE))</f>
        <v>5678.9364697440005</v>
      </c>
      <c r="DS91" s="227">
        <f>$BT91*(VLOOKUP(DS$4, Rates_current!$G$6:$Q$29, 10, FALSE)+VLOOKUP(DS$4, Rates_current!$G$6:$Q$29, 11, FALSE))</f>
        <v>4452.4662600288002</v>
      </c>
      <c r="DT91" s="227">
        <f>$BT91*(VLOOKUP(DT$4, Rates_current!$G$6:$Q$29, 10, FALSE)+VLOOKUP(DT$4, Rates_current!$G$6:$Q$29, 11, FALSE))</f>
        <v>4335.8155476288002</v>
      </c>
      <c r="DU91" s="227">
        <f>$BT91*(VLOOKUP(DU$4, Rates_current!$G$6:$Q$29, 10, FALSE)+VLOOKUP(DU$4, Rates_current!$G$6:$Q$29, 11, FALSE))</f>
        <v>3892.6400149440001</v>
      </c>
      <c r="DV91" s="229">
        <f>IF(D91=0,IF(C91=0,MAX(0,DY91 - (VLOOKUP($A91,TOCA_current!$A$2:$AI$137,MATCH("RHWM 2020",TOCA_current!$A$2:$AI$2,0),FALSE)*$BT$2)), 0),0)</f>
        <v>0</v>
      </c>
      <c r="DW91" s="266">
        <f>VLOOKUP($A91,REP_current!$A$1:$D$135,MATCH("FY "&amp;$BT$1&amp; " Total Refund",REP_current!$A$1:$D$1,0),0)</f>
        <v>0</v>
      </c>
      <c r="DX91" s="295">
        <f>MIN(VLOOKUP($A91,TOCA_current!$A$2:$AI$137,MATCH("TRL - NLSL - Existing Resource "&amp;$BT$1,TOCA_current!$A$2:$AI$2,0),FALSE)*$BT$2, VLOOKUP($A91,TOCA_current!$A$2:$AI$137,MATCH("RHWM 2020",TOCA_current!$A$2:$AI$2,0),FALSE)*$BT$2)</f>
        <v>51386.399999999994</v>
      </c>
      <c r="DY91" s="240">
        <f>SUM(BZ91:CW91)+(BT91*RT1SC!$C$4*$BT$2)</f>
        <v>50303.5194061824</v>
      </c>
      <c r="DZ91" s="271">
        <f>VLOOKUP($A91,TOCA_current!$A$2:$AI$137,MATCH("Above RHWM Not Served with LS "&amp;$BT$1,TOCA_current!$A$2:$AI$2,0),FALSE)*$BT$2</f>
        <v>19438.992000000002</v>
      </c>
      <c r="EA91" s="244">
        <f t="shared" si="29"/>
        <v>-1082.8805938175938</v>
      </c>
      <c r="EB91" s="295">
        <f>(VLOOKUP($A91,TOCA_current!$A$2:$AI$137,MATCH("RHWM 2020",TOCA_current!$A$2:$AI$2,0),FALSE)*$BT$2) - $DX91</f>
        <v>0</v>
      </c>
      <c r="EC91" s="240">
        <f t="shared" si="30"/>
        <v>0</v>
      </c>
      <c r="ED91" s="240">
        <f t="shared" si="31"/>
        <v>0</v>
      </c>
      <c r="EE91" s="240">
        <f t="shared" si="32"/>
        <v>0</v>
      </c>
      <c r="EF91" s="240">
        <f t="shared" si="33"/>
        <v>0</v>
      </c>
    </row>
    <row r="92" spans="1:136">
      <c r="A92" s="166">
        <v>10278</v>
      </c>
      <c r="B92" s="167" t="s">
        <v>93</v>
      </c>
      <c r="C92" s="240">
        <v>1</v>
      </c>
      <c r="D92" s="240">
        <v>0</v>
      </c>
      <c r="E92" s="150">
        <f>VLOOKUP($A92,TOCA_previous!$A$2:$AI$137,MATCH(E$4,TOCA_previous!$A$2:$AI$2,0),FALSE)</f>
        <v>4.7860000000000003E-3</v>
      </c>
      <c r="F92" s="151">
        <f>VLOOKUP($A92,TOCA_previous!$A$2:$AI$137,MATCH(F$4,TOCA_previous!$A$2:$AI$2,0),FALSE)</f>
        <v>4.7860000000000003E-3</v>
      </c>
      <c r="G92" s="151">
        <f t="shared" si="18"/>
        <v>0</v>
      </c>
      <c r="H92" s="151">
        <f>VLOOKUP($A92,TOCA_previous!$A$2:$AI$137,MATCH(H$4,TOCA_previous!$A$2:$AI$2,0),FALSE)</f>
        <v>7.0000000000000007E-2</v>
      </c>
      <c r="I92" s="151">
        <f t="shared" si="19"/>
        <v>7.0000000000000007E-2</v>
      </c>
      <c r="J92" s="151">
        <f t="shared" si="20"/>
        <v>4.7860000000000003E-3</v>
      </c>
      <c r="K92" s="226">
        <f>VLOOKUP(A92, IRD!$A$5:$C$139, 3, FALSE)</f>
        <v>0</v>
      </c>
      <c r="L92" s="227">
        <f t="array" ref="L92">IF($G92=0, INDEX(LS_previous!$D$4:$AY$138, MATCH('Staging Table'!$A92, LS_previous!$B$4:$B$138, 0), MATCH(L$4&amp;L$5, LS_previous!$D$2:$AY$2&amp;LS_previous!$D$3:$AY$3, 0)),SUM(VLOOKUP($A92, LS_previous!$B$4:$AY$138, LS_previous!D$149, FALSE), VLOOKUP('Staging Table'!$A92, LS_previous!$B$4:$AY$138,LS_previous!AB$149, FALSE))/2)</f>
        <v>0</v>
      </c>
      <c r="M92" s="227">
        <f t="array" ref="M92">IF($G92=0, INDEX(LS_previous!$D$4:$AY$138, MATCH('Staging Table'!$A92, LS_previous!$B$4:$B$138, 0), MATCH(M$4&amp;M$5, LS_previous!$D$2:$AY$2&amp;LS_previous!$D$3:$AY$3, 0)),SUM(VLOOKUP($A92, LS_previous!$B$4:$AY$138, LS_previous!E$149, FALSE), VLOOKUP('Staging Table'!$A92, LS_previous!$B$4:$AY$138,LS_previous!AC$149, FALSE))/2)</f>
        <v>0</v>
      </c>
      <c r="N92" s="227">
        <f t="array" ref="N92">IF($G92=0, INDEX(LS_previous!$D$4:$AY$138, MATCH('Staging Table'!$A92, LS_previous!$B$4:$B$138, 0), MATCH(N$4&amp;N$5, LS_previous!$D$2:$AY$2&amp;LS_previous!$D$3:$AY$3, 0)),SUM(VLOOKUP($A92, LS_previous!$B$4:$AY$138, LS_previous!F$149, FALSE), VLOOKUP('Staging Table'!$A92, LS_previous!$B$4:$AY$138,LS_previous!AD$149, FALSE))/2)</f>
        <v>0</v>
      </c>
      <c r="O92" s="227">
        <f t="array" ref="O92">IF($G92=0, INDEX(LS_previous!$D$4:$AY$138, MATCH('Staging Table'!$A92, LS_previous!$B$4:$B$138, 0), MATCH(O$4&amp;O$5, LS_previous!$D$2:$AY$2&amp;LS_previous!$D$3:$AY$3, 0)),SUM(VLOOKUP($A92, LS_previous!$B$4:$AY$138, LS_previous!G$149, FALSE), VLOOKUP('Staging Table'!$A92, LS_previous!$B$4:$AY$138,LS_previous!AE$149, FALSE))/2)</f>
        <v>0</v>
      </c>
      <c r="P92" s="227">
        <f t="array" ref="P92">IF($G92=0, INDEX(LS_previous!$D$4:$AY$138, MATCH('Staging Table'!$A92, LS_previous!$B$4:$B$138, 0), MATCH(P$4&amp;P$5, LS_previous!$D$2:$AY$2&amp;LS_previous!$D$3:$AY$3, 0)),SUM(VLOOKUP($A92, LS_previous!$B$4:$AY$138, LS_previous!H$149, FALSE), VLOOKUP('Staging Table'!$A92, LS_previous!$B$4:$AY$138,LS_previous!AF$149, FALSE))/2)</f>
        <v>0</v>
      </c>
      <c r="Q92" s="227">
        <f t="array" ref="Q92">IF($G92=0, INDEX(LS_previous!$D$4:$AY$138, MATCH('Staging Table'!$A92, LS_previous!$B$4:$B$138, 0), MATCH(Q$4&amp;Q$5, LS_previous!$D$2:$AY$2&amp;LS_previous!$D$3:$AY$3, 0)),SUM(VLOOKUP($A92, LS_previous!$B$4:$AY$138, LS_previous!I$149, FALSE), VLOOKUP('Staging Table'!$A92, LS_previous!$B$4:$AY$138,LS_previous!AG$149, FALSE))/2)</f>
        <v>0</v>
      </c>
      <c r="R92" s="227">
        <f t="array" ref="R92">IF($G92=0, INDEX(LS_previous!$D$4:$AY$138, MATCH('Staging Table'!$A92, LS_previous!$B$4:$B$138, 0), MATCH(R$4&amp;R$5, LS_previous!$D$2:$AY$2&amp;LS_previous!$D$3:$AY$3, 0)),SUM(VLOOKUP($A92, LS_previous!$B$4:$AY$138, LS_previous!J$149, FALSE), VLOOKUP('Staging Table'!$A92, LS_previous!$B$4:$AY$138,LS_previous!AH$149, FALSE))/2)</f>
        <v>0</v>
      </c>
      <c r="S92" s="227">
        <f t="array" ref="S92">IF($G92=0, INDEX(LS_previous!$D$4:$AY$138, MATCH('Staging Table'!$A92, LS_previous!$B$4:$B$138, 0), MATCH(S$4&amp;S$5, LS_previous!$D$2:$AY$2&amp;LS_previous!$D$3:$AY$3, 0)),SUM(VLOOKUP($A92, LS_previous!$B$4:$AY$138, LS_previous!K$149, FALSE), VLOOKUP('Staging Table'!$A92, LS_previous!$B$4:$AY$138,LS_previous!AI$149, FALSE))/2)</f>
        <v>0</v>
      </c>
      <c r="T92" s="227">
        <f t="array" ref="T92">IF($G92=0, INDEX(LS_previous!$D$4:$AY$138, MATCH('Staging Table'!$A92, LS_previous!$B$4:$B$138, 0), MATCH(T$4&amp;T$5, LS_previous!$D$2:$AY$2&amp;LS_previous!$D$3:$AY$3, 0)),SUM(VLOOKUP($A92, LS_previous!$B$4:$AY$138, LS_previous!L$149, FALSE), VLOOKUP('Staging Table'!$A92, LS_previous!$B$4:$AY$138,LS_previous!AJ$149, FALSE))/2)</f>
        <v>0</v>
      </c>
      <c r="U92" s="227">
        <f t="array" ref="U92">IF($G92=0, INDEX(LS_previous!$D$4:$AY$138, MATCH('Staging Table'!$A92, LS_previous!$B$4:$B$138, 0), MATCH(U$4&amp;U$5, LS_previous!$D$2:$AY$2&amp;LS_previous!$D$3:$AY$3, 0)),SUM(VLOOKUP($A92, LS_previous!$B$4:$AY$138, LS_previous!M$149, FALSE), VLOOKUP('Staging Table'!$A92, LS_previous!$B$4:$AY$138,LS_previous!AK$149, FALSE))/2)</f>
        <v>0</v>
      </c>
      <c r="V92" s="227">
        <f t="array" ref="V92">IF($G92=0, INDEX(LS_previous!$D$4:$AY$138, MATCH('Staging Table'!$A92, LS_previous!$B$4:$B$138, 0), MATCH(V$4&amp;V$5, LS_previous!$D$2:$AY$2&amp;LS_previous!$D$3:$AY$3, 0)),SUM(VLOOKUP($A92, LS_previous!$B$4:$AY$138, LS_previous!N$149, FALSE), VLOOKUP('Staging Table'!$A92, LS_previous!$B$4:$AY$138,LS_previous!AL$149, FALSE))/2)</f>
        <v>0</v>
      </c>
      <c r="W92" s="227">
        <f t="array" ref="W92">IF($G92=0, INDEX(LS_previous!$D$4:$AY$138, MATCH('Staging Table'!$A92, LS_previous!$B$4:$B$138, 0), MATCH(W$4&amp;W$5, LS_previous!$D$2:$AY$2&amp;LS_previous!$D$3:$AY$3, 0)),SUM(VLOOKUP($A92, LS_previous!$B$4:$AY$138, LS_previous!O$149, FALSE), VLOOKUP('Staging Table'!$A92, LS_previous!$B$4:$AY$138,LS_previous!AM$149, FALSE))/2)</f>
        <v>0</v>
      </c>
      <c r="X92" s="227">
        <f t="array" ref="X92">IF($G92=0, INDEX(LS_previous!$D$4:$AY$138, MATCH('Staging Table'!$A92, LS_previous!$B$4:$B$138, 0), MATCH(X$4&amp;X$5, LS_previous!$D$2:$AY$2&amp;LS_previous!$D$3:$AY$3, 0)),SUM(VLOOKUP($A92, LS_previous!$B$4:$AY$138, LS_previous!P$149, FALSE), VLOOKUP('Staging Table'!$A92, LS_previous!$B$4:$AY$138,LS_previous!AN$149, FALSE))/2)</f>
        <v>0</v>
      </c>
      <c r="Y92" s="227">
        <f t="array" ref="Y92">IF($G92=0, INDEX(LS_previous!$D$4:$AY$138, MATCH('Staging Table'!$A92, LS_previous!$B$4:$B$138, 0), MATCH(Y$4&amp;Y$5, LS_previous!$D$2:$AY$2&amp;LS_previous!$D$3:$AY$3, 0)),SUM(VLOOKUP($A92, LS_previous!$B$4:$AY$138, LS_previous!Q$149, FALSE), VLOOKUP('Staging Table'!$A92, LS_previous!$B$4:$AY$138,LS_previous!AO$149, FALSE))/2)</f>
        <v>0</v>
      </c>
      <c r="Z92" s="227">
        <f t="array" ref="Z92">IF($G92=0, INDEX(LS_previous!$D$4:$AY$138, MATCH('Staging Table'!$A92, LS_previous!$B$4:$B$138, 0), MATCH(Z$4&amp;Z$5, LS_previous!$D$2:$AY$2&amp;LS_previous!$D$3:$AY$3, 0)),SUM(VLOOKUP($A92, LS_previous!$B$4:$AY$138, LS_previous!R$149, FALSE), VLOOKUP('Staging Table'!$A92, LS_previous!$B$4:$AY$138,LS_previous!AP$149, FALSE))/2)</f>
        <v>0</v>
      </c>
      <c r="AA92" s="227">
        <f t="array" ref="AA92">IF($G92=0, INDEX(LS_previous!$D$4:$AY$138, MATCH('Staging Table'!$A92, LS_previous!$B$4:$B$138, 0), MATCH(AA$4&amp;AA$5, LS_previous!$D$2:$AY$2&amp;LS_previous!$D$3:$AY$3, 0)),SUM(VLOOKUP($A92, LS_previous!$B$4:$AY$138, LS_previous!S$149, FALSE), VLOOKUP('Staging Table'!$A92, LS_previous!$B$4:$AY$138,LS_previous!AQ$149, FALSE))/2)</f>
        <v>0</v>
      </c>
      <c r="AB92" s="227">
        <f t="array" ref="AB92">IF($G92=0, INDEX(LS_previous!$D$4:$AY$138, MATCH('Staging Table'!$A92, LS_previous!$B$4:$B$138, 0), MATCH(AB$4&amp;AB$5, LS_previous!$D$2:$AY$2&amp;LS_previous!$D$3:$AY$3, 0)),SUM(VLOOKUP($A92, LS_previous!$B$4:$AY$138, LS_previous!T$149, FALSE), VLOOKUP('Staging Table'!$A92, LS_previous!$B$4:$AY$138,LS_previous!AR$149, FALSE))/2)</f>
        <v>0</v>
      </c>
      <c r="AC92" s="227">
        <f t="array" ref="AC92">IF($G92=0, INDEX(LS_previous!$D$4:$AY$138, MATCH('Staging Table'!$A92, LS_previous!$B$4:$B$138, 0), MATCH(AC$4&amp;AC$5, LS_previous!$D$2:$AY$2&amp;LS_previous!$D$3:$AY$3, 0)),SUM(VLOOKUP($A92, LS_previous!$B$4:$AY$138, LS_previous!U$149, FALSE), VLOOKUP('Staging Table'!$A92, LS_previous!$B$4:$AY$138,LS_previous!AS$149, FALSE))/2)</f>
        <v>0</v>
      </c>
      <c r="AD92" s="227">
        <f t="array" ref="AD92">IF($G92=0, INDEX(LS_previous!$D$4:$AY$138, MATCH('Staging Table'!$A92, LS_previous!$B$4:$B$138, 0), MATCH(AD$4&amp;AD$5, LS_previous!$D$2:$AY$2&amp;LS_previous!$D$3:$AY$3, 0)),SUM(VLOOKUP($A92, LS_previous!$B$4:$AY$138, LS_previous!V$149, FALSE), VLOOKUP('Staging Table'!$A92, LS_previous!$B$4:$AY$138,LS_previous!AT$149, FALSE))/2)</f>
        <v>0</v>
      </c>
      <c r="AE92" s="227">
        <f t="array" ref="AE92">IF($G92=0, INDEX(LS_previous!$D$4:$AY$138, MATCH('Staging Table'!$A92, LS_previous!$B$4:$B$138, 0), MATCH(AE$4&amp;AE$5, LS_previous!$D$2:$AY$2&amp;LS_previous!$D$3:$AY$3, 0)),SUM(VLOOKUP($A92, LS_previous!$B$4:$AY$138, LS_previous!W$149, FALSE), VLOOKUP('Staging Table'!$A92, LS_previous!$B$4:$AY$138,LS_previous!AU$149, FALSE))/2)</f>
        <v>0</v>
      </c>
      <c r="AF92" s="227">
        <f t="array" ref="AF92">IF($G92=0, INDEX(LS_previous!$D$4:$AY$138, MATCH('Staging Table'!$A92, LS_previous!$B$4:$B$138, 0), MATCH(AF$4&amp;AF$5, LS_previous!$D$2:$AY$2&amp;LS_previous!$D$3:$AY$3, 0)),SUM(VLOOKUP($A92, LS_previous!$B$4:$AY$138, LS_previous!X$149, FALSE), VLOOKUP('Staging Table'!$A92, LS_previous!$B$4:$AY$138,LS_previous!AV$149, FALSE))/2)</f>
        <v>0</v>
      </c>
      <c r="AG92" s="227">
        <f t="array" ref="AG92">IF($G92=0, INDEX(LS_previous!$D$4:$AY$138, MATCH('Staging Table'!$A92, LS_previous!$B$4:$B$138, 0), MATCH(AG$4&amp;AG$5, LS_previous!$D$2:$AY$2&amp;LS_previous!$D$3:$AY$3, 0)),SUM(VLOOKUP($A92, LS_previous!$B$4:$AY$138, LS_previous!Y$149, FALSE), VLOOKUP('Staging Table'!$A92, LS_previous!$B$4:$AY$138,LS_previous!AW$149, FALSE))/2)</f>
        <v>0</v>
      </c>
      <c r="AH92" s="227">
        <f t="array" ref="AH92">IF($G92=0, INDEX(LS_previous!$D$4:$AY$138, MATCH('Staging Table'!$A92, LS_previous!$B$4:$B$138, 0), MATCH(AH$4&amp;AH$5, LS_previous!$D$2:$AY$2&amp;LS_previous!$D$3:$AY$3, 0)),SUM(VLOOKUP($A92, LS_previous!$B$4:$AY$138, LS_previous!Z$149, FALSE), VLOOKUP('Staging Table'!$A92, LS_previous!$B$4:$AY$138,LS_previous!AX$149, FALSE))/2)</f>
        <v>0</v>
      </c>
      <c r="AI92" s="227">
        <f t="array" ref="AI92">IF($G92=0, INDEX(LS_previous!$D$4:$AY$138, MATCH('Staging Table'!$A92, LS_previous!$B$4:$B$138, 0), MATCH(AI$4&amp;AI$5, LS_previous!$D$2:$AY$2&amp;LS_previous!$D$3:$AY$3, 0)),SUM(VLOOKUP($A92, LS_previous!$B$4:$AY$138, LS_previous!AA$149, FALSE), VLOOKUP('Staging Table'!$A92, LS_previous!$B$4:$AY$138,LS_previous!AY$149, FALSE))/2)</f>
        <v>0</v>
      </c>
      <c r="AJ92" s="424">
        <f t="array" ref="AJ92">INDEX(Demand_previous!$D$4:$AY$138, MATCH('Staging Table'!$A92, Demand_previous!$B$4:$B$138, 0), MATCH(AJ$4&amp;AJ$5,Demand_previous!$D$2:$AY$2&amp;Demand_previous!$D$3:$AY$3, 0))/1000</f>
        <v>0</v>
      </c>
      <c r="AK92" s="424">
        <f t="array" ref="AK92">INDEX(Demand_previous!$D$4:$AY$138, MATCH('Staging Table'!$A92, Demand_previous!$B$4:$B$138, 0), MATCH(AK$4&amp;AK$5,Demand_previous!$D$2:$AY$2&amp;Demand_previous!$D$3:$AY$3, 0))/1000</f>
        <v>0</v>
      </c>
      <c r="AL92" s="424">
        <f t="array" ref="AL92">INDEX(Demand_previous!$D$4:$AY$138, MATCH('Staging Table'!$A92, Demand_previous!$B$4:$B$138, 0), MATCH(AL$4&amp;AL$5,Demand_previous!$D$2:$AY$2&amp;Demand_previous!$D$3:$AY$3, 0))/1000</f>
        <v>0</v>
      </c>
      <c r="AM92" s="424">
        <f t="array" ref="AM92">INDEX(Demand_previous!$D$4:$AY$138, MATCH('Staging Table'!$A92, Demand_previous!$B$4:$B$138, 0), MATCH(AM$4&amp;AM$5,Demand_previous!$D$2:$AY$2&amp;Demand_previous!$D$3:$AY$3, 0))/1000</f>
        <v>0</v>
      </c>
      <c r="AN92" s="424">
        <f t="array" ref="AN92">INDEX(Demand_previous!$D$4:$AY$138, MATCH('Staging Table'!$A92, Demand_previous!$B$4:$B$138, 0), MATCH(AN$4&amp;AN$5,Demand_previous!$D$2:$AY$2&amp;Demand_previous!$D$3:$AY$3, 0))/1000</f>
        <v>0</v>
      </c>
      <c r="AO92" s="424">
        <f t="array" ref="AO92">INDEX(Demand_previous!$D$4:$AY$138, MATCH('Staging Table'!$A92, Demand_previous!$B$4:$B$138, 0), MATCH(AO$4&amp;AO$5,Demand_previous!$D$2:$AY$2&amp;Demand_previous!$D$3:$AY$3, 0))/1000</f>
        <v>0</v>
      </c>
      <c r="AP92" s="424">
        <f t="array" ref="AP92">INDEX(Demand_previous!$D$4:$AY$138, MATCH('Staging Table'!$A92, Demand_previous!$B$4:$B$138, 0), MATCH(AP$4&amp;AP$5,Demand_previous!$D$2:$AY$2&amp;Demand_previous!$D$3:$AY$3, 0))/1000</f>
        <v>0</v>
      </c>
      <c r="AQ92" s="424">
        <f t="array" ref="AQ92">INDEX(Demand_previous!$D$4:$AY$138, MATCH('Staging Table'!$A92, Demand_previous!$B$4:$B$138, 0), MATCH(AQ$4&amp;AQ$5,Demand_previous!$D$2:$AY$2&amp;Demand_previous!$D$3:$AY$3, 0))/1000</f>
        <v>0</v>
      </c>
      <c r="AR92" s="424">
        <f t="array" ref="AR92">INDEX(Demand_previous!$D$4:$AY$138, MATCH('Staging Table'!$A92, Demand_previous!$B$4:$B$138, 0), MATCH(AR$4&amp;AR$5,Demand_previous!$D$2:$AY$2&amp;Demand_previous!$D$3:$AY$3, 0))/1000</f>
        <v>0</v>
      </c>
      <c r="AS92" s="424">
        <f t="array" ref="AS92">INDEX(Demand_previous!$D$4:$AY$138, MATCH('Staging Table'!$A92, Demand_previous!$B$4:$B$138, 0), MATCH(AS$4&amp;AS$5,Demand_previous!$D$2:$AY$2&amp;Demand_previous!$D$3:$AY$3, 0))/1000</f>
        <v>0</v>
      </c>
      <c r="AT92" s="424">
        <f t="array" ref="AT92">INDEX(Demand_previous!$D$4:$AY$138, MATCH('Staging Table'!$A92, Demand_previous!$B$4:$B$138, 0), MATCH(AT$4&amp;AT$5,Demand_previous!$D$2:$AY$2&amp;Demand_previous!$D$3:$AY$3, 0))/1000</f>
        <v>0</v>
      </c>
      <c r="AU92" s="424">
        <f t="array" ref="AU92">INDEX(Demand_previous!$D$4:$AY$138, MATCH('Staging Table'!$A92, Demand_previous!$B$4:$B$138, 0), MATCH(AU$4&amp;AU$5,Demand_previous!$D$2:$AY$2&amp;Demand_previous!$D$3:$AY$3, 0))/1000</f>
        <v>0</v>
      </c>
      <c r="AV92" s="227">
        <f>$F92*(VLOOKUP(AV$4, Rates_previous!$G$6:$Q$29, 10, FALSE)+VLOOKUP(AV$4, Rates_previous!$G$6:$Q$29, 11, FALSE))</f>
        <v>22440.777530796146</v>
      </c>
      <c r="AW92" s="227">
        <f>$F92*(VLOOKUP(AW$4, Rates_previous!$G$6:$Q$29, 10, FALSE)+VLOOKUP(AW$4, Rates_previous!$G$6:$Q$29, 11, FALSE))</f>
        <v>27735.09543858339</v>
      </c>
      <c r="AX92" s="227">
        <f>$F92*(VLOOKUP(AX$4, Rates_previous!$G$6:$Q$29, 10, FALSE)+VLOOKUP(AX$4, Rates_previous!$G$6:$Q$29, 11, FALSE))</f>
        <v>27402.030115142465</v>
      </c>
      <c r="AY92" s="227">
        <f>$F92*(VLOOKUP(AY$4, Rates_previous!$G$6:$Q$29, 10, FALSE)+VLOOKUP(AY$4, Rates_previous!$G$6:$Q$29, 11, FALSE))</f>
        <v>23412.42288855576</v>
      </c>
      <c r="AZ92" s="227">
        <f>$F92*(VLOOKUP(AZ$4, Rates_previous!$G$6:$Q$29, 10, FALSE)+VLOOKUP(AZ$4, Rates_previous!$G$6:$Q$29, 11, FALSE))</f>
        <v>19193.64543407254</v>
      </c>
      <c r="BA92" s="227">
        <f>$F92*(VLOOKUP(BA$4, Rates_previous!$G$6:$Q$29, 10, FALSE)+VLOOKUP(BA$4, Rates_previous!$G$6:$Q$29, 11, FALSE))</f>
        <v>22724.579016037667</v>
      </c>
      <c r="BB92" s="227">
        <f>$F92*(VLOOKUP(BB$4, Rates_previous!$G$6:$Q$29, 10, FALSE)+VLOOKUP(BB$4, Rates_previous!$G$6:$Q$29, 11, FALSE))</f>
        <v>21841.625926094464</v>
      </c>
      <c r="BC92" s="227">
        <f>$F92*(VLOOKUP(BC$4, Rates_previous!$G$6:$Q$29, 10, FALSE)+VLOOKUP(BC$4, Rates_previous!$G$6:$Q$29, 11, FALSE))</f>
        <v>32051.040473082936</v>
      </c>
      <c r="BD92" s="227">
        <f>$F92*(VLOOKUP(BD$4, Rates_previous!$G$6:$Q$29, 10, FALSE)+VLOOKUP(BD$4, Rates_previous!$G$6:$Q$29, 11, FALSE))</f>
        <v>25287.423813936766</v>
      </c>
      <c r="BE92" s="227">
        <f>$F92*(VLOOKUP(BE$4, Rates_previous!$G$6:$Q$29, 10, FALSE)+VLOOKUP(BE$4, Rates_previous!$G$6:$Q$29, 11, FALSE))</f>
        <v>22204.480621963186</v>
      </c>
      <c r="BF92" s="227">
        <f>$F92*(VLOOKUP(BF$4, Rates_previous!$G$6:$Q$29, 10, FALSE)+VLOOKUP(BF$4, Rates_previous!$G$6:$Q$29, 11, FALSE))</f>
        <v>24592.35108339768</v>
      </c>
      <c r="BG92" s="227">
        <f>$F92*(VLOOKUP(BG$4, Rates_previous!$G$6:$Q$29, 10, FALSE)+VLOOKUP(BG$4, Rates_previous!$G$6:$Q$29, 11, FALSE))</f>
        <v>22279.692105049206</v>
      </c>
      <c r="BH92" s="229">
        <f>IF($D92=0,IF(C92=0, MAX(BK92 - (VLOOKUP($A92,TOCA_previous!$A$2:$AI$137,MATCH("RHWM 2018",TOCA_previous!$A$2:$AI$2,0),FALSE)*$F$2*TOCA_previous!C89),0),0), 0)</f>
        <v>0</v>
      </c>
      <c r="BI92" s="266">
        <f>VLOOKUP($A92,REP_previous!$A$1:$D$135,MATCH("FY "&amp;$F$1&amp; " Total Refund",REP_previous!$A$1:$D$1,0),0)</f>
        <v>324752.59868186503</v>
      </c>
      <c r="BJ92" s="241">
        <f>MIN(VLOOKUP($A92,TOCA_previous!$A$2:$AI$137,MATCH("TRL - NLSL - Existing Resource "&amp;$F$1,TOCA_previous!$A$2:$AI$2,0),FALSE)*$F$2,(VLOOKUP($A92,TOCA_previous!$A$2:$AI$137,MATCH("RHWM 2018",TOCA_previous!$A$2:$AI$2,0),FALSE)*$F$2))</f>
        <v>291164.88</v>
      </c>
      <c r="BK92" s="229">
        <f>SUM(L92:AI92)+(F92*RT1SC!$C$3*$F$2)</f>
        <v>291165.16869456001</v>
      </c>
      <c r="BL92" s="241">
        <f>VLOOKUP($A92,TOCA_previous!$A$2:$AI$137,MATCH("Above RHWM Not Served with LS "&amp;$F$1,TOCA_previous!$A$2:$AI$2,0),FALSE)*$F$2</f>
        <v>0</v>
      </c>
      <c r="BM92" s="151">
        <f t="shared" si="21"/>
        <v>0.28869456000393257</v>
      </c>
      <c r="BN92" s="242">
        <f>(VLOOKUP($A92,TOCA_previous!$A$2:$AI$137,MATCH("RHWM 2018",TOCA_previous!$A$2:$AI$2,0),FALSE)*$F$2) - $BJ92</f>
        <v>18509.880000000005</v>
      </c>
      <c r="BO92" s="151">
        <f t="shared" si="22"/>
        <v>-0.28869456000393257</v>
      </c>
      <c r="BP92" s="243">
        <f t="shared" si="23"/>
        <v>0</v>
      </c>
      <c r="BQ92" s="237">
        <f t="shared" si="24"/>
        <v>0</v>
      </c>
      <c r="BR92" s="242">
        <f t="shared" si="25"/>
        <v>-0.28869456000393257</v>
      </c>
      <c r="BS92" s="151">
        <f>VLOOKUP($A92,TOCA_current!$A$2:$AI$137,MATCH(BS$4,TOCA_current!$A$2:$AI$2,0),FALSE)</f>
        <v>5.0753999999999999E-3</v>
      </c>
      <c r="BT92" s="151">
        <f>VLOOKUP($A92,TOCA_current!$A$2:$AI$137,MATCH(BT$4,TOCA_current!$A$2:$AI$2,0),FALSE)</f>
        <v>5.0753999999999999E-3</v>
      </c>
      <c r="BU92" s="236">
        <f t="shared" si="26"/>
        <v>0</v>
      </c>
      <c r="BV92" s="151">
        <f>VLOOKUP($A92,TOCA_current!A88:BG223,MATCH(BV$4,TOCA_current!$A$2:$BG$2,0),FALSE)</f>
        <v>6.5000000000000002E-2</v>
      </c>
      <c r="BW92" s="151">
        <f t="shared" si="27"/>
        <v>6.5000000000000002E-2</v>
      </c>
      <c r="BX92" s="151">
        <f t="shared" si="28"/>
        <v>5.0753999999999999E-3</v>
      </c>
      <c r="BY92" s="226">
        <f>VLOOKUP($A92,IRD!$A$4:$G$139, 7, FALSE)</f>
        <v>0</v>
      </c>
      <c r="BZ92" s="227">
        <f t="array" ref="BZ92">IF($BU92=0, INDEX(LS_current!$D$4:$AY$138, MATCH('Staging Table'!$A92, LS_current!$B$4:$B$138, 0), MATCH(BZ$4&amp;BZ$5, LS_current!$D$2:$AY$2&amp;LS_current!$D$3:$AY$3, 0)),SUM(VLOOKUP($A92, LS_current!$B$4:$AY$138, LS_current!D$148, FALSE), VLOOKUP($A92, LS_current!$B$4:$AY$138,LS_current!D$148, FALSE))/2)</f>
        <v>0</v>
      </c>
      <c r="CA92" s="227">
        <f t="array" ref="CA92">IF($BU92=0, INDEX(LS_current!$D$4:$AY$138, MATCH('Staging Table'!$A92, LS_current!$B$4:$B$138, 0), MATCH(CA$4&amp;CA$5, LS_current!$D$2:$AY$2&amp;LS_current!$D$3:$AY$3, 0)),SUM(VLOOKUP($A92, LS_current!$B$4:$AY$138, LS_current!E$148, FALSE), VLOOKUP($A92, LS_current!$B$4:$AY$138,LS_current!E$148, FALSE))/2)</f>
        <v>0</v>
      </c>
      <c r="CB92" s="227">
        <f t="array" ref="CB92">IF($BU92=0, INDEX(LS_current!$D$4:$AY$138, MATCH('Staging Table'!$A92, LS_current!$B$4:$B$138, 0), MATCH(CB$4&amp;CB$5, LS_current!$D$2:$AY$2&amp;LS_current!$D$3:$AY$3, 0)),SUM(VLOOKUP($A92, LS_current!$B$4:$AY$138, LS_current!F$148, FALSE), VLOOKUP($A92, LS_current!$B$4:$AY$138,LS_current!F$148, FALSE))/2)</f>
        <v>0</v>
      </c>
      <c r="CC92" s="227">
        <f t="array" ref="CC92">IF($BU92=0, INDEX(LS_current!$D$4:$AY$138, MATCH('Staging Table'!$A92, LS_current!$B$4:$B$138, 0), MATCH(CC$4&amp;CC$5, LS_current!$D$2:$AY$2&amp;LS_current!$D$3:$AY$3, 0)),SUM(VLOOKUP($A92, LS_current!$B$4:$AY$138, LS_current!G$148, FALSE), VLOOKUP($A92, LS_current!$B$4:$AY$138,LS_current!G$148, FALSE))/2)</f>
        <v>0</v>
      </c>
      <c r="CD92" s="227">
        <f t="array" ref="CD92">IF($BU92=0, INDEX(LS_current!$D$4:$AY$138, MATCH('Staging Table'!$A92, LS_current!$B$4:$B$138, 0), MATCH(CD$4&amp;CD$5, LS_current!$D$2:$AY$2&amp;LS_current!$D$3:$AY$3, 0)),SUM(VLOOKUP($A92, LS_current!$B$4:$AY$138, LS_current!H$148, FALSE), VLOOKUP($A92, LS_current!$B$4:$AY$138,LS_current!H$148, FALSE))/2)</f>
        <v>0</v>
      </c>
      <c r="CE92" s="227">
        <f t="array" ref="CE92">IF($BU92=0, INDEX(LS_current!$D$4:$AY$138, MATCH('Staging Table'!$A92, LS_current!$B$4:$B$138, 0), MATCH(CE$4&amp;CE$5, LS_current!$D$2:$AY$2&amp;LS_current!$D$3:$AY$3, 0)),SUM(VLOOKUP($A92, LS_current!$B$4:$AY$138, LS_current!I$148, FALSE), VLOOKUP($A92, LS_current!$B$4:$AY$138,LS_current!I$148, FALSE))/2)</f>
        <v>0</v>
      </c>
      <c r="CF92" s="227">
        <f t="array" ref="CF92">IF($BU92=0, INDEX(LS_current!$D$4:$AY$138, MATCH('Staging Table'!$A92, LS_current!$B$4:$B$138, 0), MATCH(CF$4&amp;CF$5, LS_current!$D$2:$AY$2&amp;LS_current!$D$3:$AY$3, 0)),SUM(VLOOKUP($A92, LS_current!$B$4:$AY$138, LS_current!J$148, FALSE), VLOOKUP($A92, LS_current!$B$4:$AY$138,LS_current!J$148, FALSE))/2)</f>
        <v>0</v>
      </c>
      <c r="CG92" s="227">
        <f t="array" ref="CG92">IF($BU92=0, INDEX(LS_current!$D$4:$AY$138, MATCH('Staging Table'!$A92, LS_current!$B$4:$B$138, 0), MATCH(CG$4&amp;CG$5, LS_current!$D$2:$AY$2&amp;LS_current!$D$3:$AY$3, 0)),SUM(VLOOKUP($A92, LS_current!$B$4:$AY$138, LS_current!K$148, FALSE), VLOOKUP($A92, LS_current!$B$4:$AY$138,LS_current!K$148, FALSE))/2)</f>
        <v>0</v>
      </c>
      <c r="CH92" s="227">
        <f t="array" ref="CH92">IF($BU92=0, INDEX(LS_current!$D$4:$AY$138, MATCH('Staging Table'!$A92, LS_current!$B$4:$B$138, 0), MATCH(CH$4&amp;CH$5, LS_current!$D$2:$AY$2&amp;LS_current!$D$3:$AY$3, 0)),SUM(VLOOKUP($A92, LS_current!$B$4:$AY$138, LS_current!L$148, FALSE), VLOOKUP($A92, LS_current!$B$4:$AY$138,LS_current!L$148, FALSE))/2)</f>
        <v>0</v>
      </c>
      <c r="CI92" s="227">
        <f t="array" ref="CI92">IF($BU92=0, INDEX(LS_current!$D$4:$AY$138, MATCH('Staging Table'!$A92, LS_current!$B$4:$B$138, 0), MATCH(CI$4&amp;CI$5, LS_current!$D$2:$AY$2&amp;LS_current!$D$3:$AY$3, 0)),SUM(VLOOKUP($A92, LS_current!$B$4:$AY$138, LS_current!M$148, FALSE), VLOOKUP($A92, LS_current!$B$4:$AY$138,LS_current!M$148, FALSE))/2)</f>
        <v>0</v>
      </c>
      <c r="CJ92" s="227">
        <f t="array" ref="CJ92">IF($BU92=0, INDEX(LS_current!$D$4:$AY$138, MATCH('Staging Table'!$A92, LS_current!$B$4:$B$138, 0), MATCH(CJ$4&amp;CJ$5, LS_current!$D$2:$AY$2&amp;LS_current!$D$3:$AY$3, 0)),SUM(VLOOKUP($A92, LS_current!$B$4:$AY$138, LS_current!N$148, FALSE), VLOOKUP($A92, LS_current!$B$4:$AY$138,LS_current!N$148, FALSE))/2)</f>
        <v>0</v>
      </c>
      <c r="CK92" s="227">
        <f t="array" ref="CK92">IF($BU92=0, INDEX(LS_current!$D$4:$AY$138, MATCH('Staging Table'!$A92, LS_current!$B$4:$B$138, 0), MATCH(CK$4&amp;CK$5, LS_current!$D$2:$AY$2&amp;LS_current!$D$3:$AY$3, 0)),SUM(VLOOKUP($A92, LS_current!$B$4:$AY$138, LS_current!O$148, FALSE), VLOOKUP($A92, LS_current!$B$4:$AY$138,LS_current!O$148, FALSE))/2)</f>
        <v>0</v>
      </c>
      <c r="CL92" s="227">
        <f t="array" ref="CL92">IF($BU92=0, INDEX(LS_current!$D$4:$AY$138, MATCH('Staging Table'!$A92, LS_current!$B$4:$B$138, 0), MATCH(CL$4&amp;CL$5, LS_current!$D$2:$AY$2&amp;LS_current!$D$3:$AY$3, 0)),SUM(VLOOKUP($A92, LS_current!$B$4:$AY$138, LS_current!P$148, FALSE), VLOOKUP($A92, LS_current!$B$4:$AY$138,LS_current!P$148, FALSE))/2)</f>
        <v>0</v>
      </c>
      <c r="CM92" s="227">
        <f t="array" ref="CM92">IF($BU92=0, INDEX(LS_current!$D$4:$AY$138, MATCH('Staging Table'!$A92, LS_current!$B$4:$B$138, 0), MATCH(CM$4&amp;CM$5, LS_current!$D$2:$AY$2&amp;LS_current!$D$3:$AY$3, 0)),SUM(VLOOKUP($A92, LS_current!$B$4:$AY$138, LS_current!Q$148, FALSE), VLOOKUP($A92, LS_current!$B$4:$AY$138,LS_current!Q$148, FALSE))/2)</f>
        <v>0</v>
      </c>
      <c r="CN92" s="227">
        <f t="array" ref="CN92">IF($BU92=0, INDEX(LS_current!$D$4:$AY$138, MATCH('Staging Table'!$A92, LS_current!$B$4:$B$138, 0), MATCH(CN$4&amp;CN$5, LS_current!$D$2:$AY$2&amp;LS_current!$D$3:$AY$3, 0)),SUM(VLOOKUP($A92, LS_current!$B$4:$AY$138, LS_current!R$148, FALSE), VLOOKUP($A92, LS_current!$B$4:$AY$138,LS_current!R$148, FALSE))/2)</f>
        <v>0</v>
      </c>
      <c r="CO92" s="227">
        <f t="array" ref="CO92">IF($BU92=0, INDEX(LS_current!$D$4:$AY$138, MATCH('Staging Table'!$A92, LS_current!$B$4:$B$138, 0), MATCH(CO$4&amp;CO$5, LS_current!$D$2:$AY$2&amp;LS_current!$D$3:$AY$3, 0)),SUM(VLOOKUP($A92, LS_current!$B$4:$AY$138, LS_current!S$148, FALSE), VLOOKUP($A92, LS_current!$B$4:$AY$138,LS_current!S$148, FALSE))/2)</f>
        <v>0</v>
      </c>
      <c r="CP92" s="227">
        <f t="array" ref="CP92">IF($BU92=0, INDEX(LS_current!$D$4:$AY$138, MATCH('Staging Table'!$A92, LS_current!$B$4:$B$138, 0), MATCH(CP$4&amp;CP$5, LS_current!$D$2:$AY$2&amp;LS_current!$D$3:$AY$3, 0)),SUM(VLOOKUP($A92, LS_current!$B$4:$AY$138, LS_current!T$148, FALSE), VLOOKUP($A92, LS_current!$B$4:$AY$138,LS_current!T$148, FALSE))/2)</f>
        <v>0</v>
      </c>
      <c r="CQ92" s="227">
        <f t="array" ref="CQ92">IF($BU92=0, INDEX(LS_current!$D$4:$AY$138, MATCH('Staging Table'!$A92, LS_current!$B$4:$B$138, 0), MATCH(CQ$4&amp;CQ$5, LS_current!$D$2:$AY$2&amp;LS_current!$D$3:$AY$3, 0)),SUM(VLOOKUP($A92, LS_current!$B$4:$AY$138, LS_current!U$148, FALSE), VLOOKUP($A92, LS_current!$B$4:$AY$138,LS_current!U$148, FALSE))/2)</f>
        <v>0</v>
      </c>
      <c r="CR92" s="227">
        <f t="array" ref="CR92">IF($BU92=0, INDEX(LS_current!$D$4:$AY$138, MATCH('Staging Table'!$A92, LS_current!$B$4:$B$138, 0), MATCH(CR$4&amp;CR$5, LS_current!$D$2:$AY$2&amp;LS_current!$D$3:$AY$3, 0)),SUM(VLOOKUP($A92, LS_current!$B$4:$AY$138, LS_current!V$148, FALSE), VLOOKUP($A92, LS_current!$B$4:$AY$138,LS_current!V$148, FALSE))/2)</f>
        <v>0</v>
      </c>
      <c r="CS92" s="227">
        <f t="array" ref="CS92">IF($BU92=0, INDEX(LS_current!$D$4:$AY$138, MATCH('Staging Table'!$A92, LS_current!$B$4:$B$138, 0), MATCH(CS$4&amp;CS$5, LS_current!$D$2:$AY$2&amp;LS_current!$D$3:$AY$3, 0)),SUM(VLOOKUP($A92, LS_current!$B$4:$AY$138, LS_current!W$148, FALSE), VLOOKUP($A92, LS_current!$B$4:$AY$138,LS_current!W$148, FALSE))/2)</f>
        <v>0</v>
      </c>
      <c r="CT92" s="227">
        <f t="array" ref="CT92">IF($BU92=0, INDEX(LS_current!$D$4:$AY$138, MATCH('Staging Table'!$A92, LS_current!$B$4:$B$138, 0), MATCH(CT$4&amp;CT$5, LS_current!$D$2:$AY$2&amp;LS_current!$D$3:$AY$3, 0)),SUM(VLOOKUP($A92, LS_current!$B$4:$AY$138, LS_current!X$148, FALSE), VLOOKUP($A92, LS_current!$B$4:$AY$138,LS_current!X$148, FALSE))/2)</f>
        <v>0</v>
      </c>
      <c r="CU92" s="227">
        <f t="array" ref="CU92">IF($BU92=0, INDEX(LS_current!$D$4:$AY$138, MATCH('Staging Table'!$A92, LS_current!$B$4:$B$138, 0), MATCH(CU$4&amp;CU$5, LS_current!$D$2:$AY$2&amp;LS_current!$D$3:$AY$3, 0)),SUM(VLOOKUP($A92, LS_current!$B$4:$AY$138, LS_current!Y$148, FALSE), VLOOKUP($A92, LS_current!$B$4:$AY$138,LS_current!Y$148, FALSE))/2)</f>
        <v>0</v>
      </c>
      <c r="CV92" s="227">
        <f t="array" ref="CV92">IF($BU92=0, INDEX(LS_current!$D$4:$AY$138, MATCH('Staging Table'!$A92, LS_current!$B$4:$B$138, 0), MATCH(CV$4&amp;CV$5, LS_current!$D$2:$AY$2&amp;LS_current!$D$3:$AY$3, 0)),SUM(VLOOKUP($A92, LS_current!$B$4:$AY$138, LS_current!Z$148, FALSE), VLOOKUP($A92, LS_current!$B$4:$AY$138,LS_current!Z$148, FALSE))/2)</f>
        <v>0</v>
      </c>
      <c r="CW92" s="227">
        <f t="array" ref="CW92">IF($BU92=0, INDEX(LS_current!$D$4:$AY$138, MATCH('Staging Table'!$A92, LS_current!$B$4:$B$138, 0), MATCH(CW$4&amp;CW$5, LS_current!$D$2:$AY$2&amp;LS_current!$D$3:$AY$3, 0)),SUM(VLOOKUP($A92, LS_current!$B$4:$AY$138, LS_current!AA$148, FALSE), VLOOKUP($A92, LS_current!$B$4:$AY$138,LS_current!AA$148, FALSE))/2)</f>
        <v>0</v>
      </c>
      <c r="CX92" s="229">
        <f t="array" ref="CX92">INDEX(Demand_current!$D$4:$AY$138, MATCH($A92, Demand_current!$B$4:$B$138, 0), MATCH(CX$4&amp;CX$5,Demand_current!$D$2:$AY$2&amp;Demand_current!$D$3:$AY$3, 0))/1000</f>
        <v>0</v>
      </c>
      <c r="CY92" s="229">
        <f t="array" ref="CY92">INDEX(Demand_current!$D$4:$AY$138, MATCH($A92, Demand_current!$B$4:$B$138, 0), MATCH(CY$4&amp;CY$5,Demand_current!$D$2:$AY$2&amp;Demand_current!$D$3:$AY$3, 0))/1000</f>
        <v>0</v>
      </c>
      <c r="CZ92" s="229">
        <f t="array" ref="CZ92">INDEX(Demand_current!$D$4:$AY$138, MATCH($A92, Demand_current!$B$4:$B$138, 0), MATCH(CZ$4&amp;CZ$5,Demand_current!$D$2:$AY$2&amp;Demand_current!$D$3:$AY$3, 0))/1000</f>
        <v>0</v>
      </c>
      <c r="DA92" s="229">
        <f t="array" ref="DA92">INDEX(Demand_current!$D$4:$AY$138, MATCH($A92, Demand_current!$B$4:$B$138, 0), MATCH(DA$4&amp;DA$5,Demand_current!$D$2:$AY$2&amp;Demand_current!$D$3:$AY$3, 0))/1000</f>
        <v>0</v>
      </c>
      <c r="DB92" s="229">
        <f t="array" ref="DB92">INDEX(Demand_current!$D$4:$AY$138, MATCH($A92, Demand_current!$B$4:$B$138, 0), MATCH(DB$4&amp;DB$5,Demand_current!$D$2:$AY$2&amp;Demand_current!$D$3:$AY$3, 0))/1000</f>
        <v>0</v>
      </c>
      <c r="DC92" s="229">
        <f t="array" ref="DC92">INDEX(Demand_current!$D$4:$AY$138, MATCH($A92, Demand_current!$B$4:$B$138, 0), MATCH(DC$4&amp;DC$5,Demand_current!$D$2:$AY$2&amp;Demand_current!$D$3:$AY$3, 0))/1000</f>
        <v>0</v>
      </c>
      <c r="DD92" s="229">
        <f t="array" ref="DD92">INDEX(Demand_current!$D$4:$AY$138, MATCH($A92, Demand_current!$B$4:$B$138, 0), MATCH(DD$4&amp;DD$5,Demand_current!$D$2:$AY$2&amp;Demand_current!$D$3:$AY$3, 0))/1000</f>
        <v>0</v>
      </c>
      <c r="DE92" s="229">
        <f t="array" ref="DE92">INDEX(Demand_current!$D$4:$AY$138, MATCH($A92, Demand_current!$B$4:$B$138, 0), MATCH(DE$4&amp;DE$5,Demand_current!$D$2:$AY$2&amp;Demand_current!$D$3:$AY$3, 0))/1000</f>
        <v>0</v>
      </c>
      <c r="DF92" s="229">
        <f t="array" ref="DF92">INDEX(Demand_current!$D$4:$AY$138, MATCH($A92, Demand_current!$B$4:$B$138, 0), MATCH(DF$4&amp;DF$5,Demand_current!$D$2:$AY$2&amp;Demand_current!$D$3:$AY$3, 0))/1000</f>
        <v>0</v>
      </c>
      <c r="DG92" s="229">
        <f t="array" ref="DG92">INDEX(Demand_current!$D$4:$AY$138, MATCH($A92, Demand_current!$B$4:$B$138, 0), MATCH(DG$4&amp;DG$5,Demand_current!$D$2:$AY$2&amp;Demand_current!$D$3:$AY$3, 0))/1000</f>
        <v>0</v>
      </c>
      <c r="DH92" s="229">
        <f t="array" ref="DH92">INDEX(Demand_current!$D$4:$AY$138, MATCH($A92, Demand_current!$B$4:$B$138, 0), MATCH(DH$4&amp;DH$5,Demand_current!$D$2:$AY$2&amp;Demand_current!$D$3:$AY$3, 0))/1000</f>
        <v>0</v>
      </c>
      <c r="DI92" s="229">
        <f t="array" ref="DI92">INDEX(Demand_current!$D$4:$AY$138, MATCH($A92, Demand_current!$B$4:$B$138, 0), MATCH(DI$4&amp;DI$5,Demand_current!$D$2:$AY$2&amp;Demand_current!$D$3:$AY$3, 0))/1000</f>
        <v>0</v>
      </c>
      <c r="DJ92" s="227">
        <f>$BT92*(VLOOKUP(DJ$4, Rates_current!$G$6:$Q$29, 10, FALSE)+VLOOKUP(DJ$4, Rates_current!$G$6:$Q$29, 11, FALSE))</f>
        <v>23434.731696578398</v>
      </c>
      <c r="DK92" s="227">
        <f>$BT92*(VLOOKUP(DK$4, Rates_current!$G$6:$Q$29, 10, FALSE)+VLOOKUP(DK$4, Rates_current!$G$6:$Q$29, 11, FALSE))</f>
        <v>29769.419861220598</v>
      </c>
      <c r="DL92" s="227">
        <f>$BT92*(VLOOKUP(DL$4, Rates_current!$G$6:$Q$29, 10, FALSE)+VLOOKUP(DL$4, Rates_current!$G$6:$Q$29, 11, FALSE))</f>
        <v>29409.913834778403</v>
      </c>
      <c r="DM92" s="227">
        <f>$BT92*(VLOOKUP(DM$4, Rates_current!$G$6:$Q$29, 10, FALSE)+VLOOKUP(DM$4, Rates_current!$G$6:$Q$29, 11, FALSE))</f>
        <v>24514.954455578401</v>
      </c>
      <c r="DN92" s="227">
        <f>$BT92*(VLOOKUP(DN$4, Rates_current!$G$6:$Q$29, 10, FALSE)+VLOOKUP(DN$4, Rates_current!$G$6:$Q$29, 11, FALSE))</f>
        <v>22208.005506719997</v>
      </c>
      <c r="DO92" s="227">
        <f>$BT92*(VLOOKUP(DO$4, Rates_current!$G$6:$Q$29, 10, FALSE)+VLOOKUP(DO$4, Rates_current!$G$6:$Q$29, 11, FALSE))</f>
        <v>24702.3572106498</v>
      </c>
      <c r="DP92" s="227">
        <f>$BT92*(VLOOKUP(DP$4, Rates_current!$G$6:$Q$29, 10, FALSE)+VLOOKUP(DP$4, Rates_current!$G$6:$Q$29, 11, FALSE))</f>
        <v>20112.685897391999</v>
      </c>
      <c r="DQ92" s="227">
        <f>$BT92*(VLOOKUP(DQ$4, Rates_current!$G$6:$Q$29, 10, FALSE)+VLOOKUP(DQ$4, Rates_current!$G$6:$Q$29, 11, FALSE))</f>
        <v>27124.956066278402</v>
      </c>
      <c r="DR92" s="227">
        <f>$BT92*(VLOOKUP(DR$4, Rates_current!$G$6:$Q$29, 10, FALSE)+VLOOKUP(DR$4, Rates_current!$G$6:$Q$29, 11, FALSE))</f>
        <v>34609.599133691998</v>
      </c>
      <c r="DS92" s="227">
        <f>$BT92*(VLOOKUP(DS$4, Rates_current!$G$6:$Q$29, 10, FALSE)+VLOOKUP(DS$4, Rates_current!$G$6:$Q$29, 11, FALSE))</f>
        <v>27135.023122178402</v>
      </c>
      <c r="DT92" s="227">
        <f>$BT92*(VLOOKUP(DT$4, Rates_current!$G$6:$Q$29, 10, FALSE)+VLOOKUP(DT$4, Rates_current!$G$6:$Q$29, 11, FALSE))</f>
        <v>26424.1093064784</v>
      </c>
      <c r="DU92" s="227">
        <f>$BT92*(VLOOKUP(DU$4, Rates_current!$G$6:$Q$29, 10, FALSE)+VLOOKUP(DU$4, Rates_current!$G$6:$Q$29, 11, FALSE))</f>
        <v>23723.229024792003</v>
      </c>
      <c r="DV92" s="229">
        <f>IF(D92=0,IF(C92=0,MAX(0,DY92 - (VLOOKUP($A92,TOCA_current!$A$2:$AI$137,MATCH("RHWM 2020",TOCA_current!$A$2:$AI$2,0),FALSE)*$BT$2)), 0),0)</f>
        <v>0</v>
      </c>
      <c r="DW92" s="266">
        <f>VLOOKUP($A92,REP_current!$A$1:$D$135,MATCH("FY "&amp;$BT$1&amp; " Total Refund",REP_current!$A$1:$D$1,0),0)</f>
        <v>0</v>
      </c>
      <c r="DX92" s="295">
        <f>MIN(VLOOKUP($A92,TOCA_current!$A$2:$AI$137,MATCH("TRL - NLSL - Existing Resource "&amp;$BT$1,TOCA_current!$A$2:$AI$2,0),FALSE)*$BT$2, VLOOKUP($A92,TOCA_current!$A$2:$AI$137,MATCH("RHWM 2020",TOCA_current!$A$2:$AI$2,0),FALSE)*$BT$2)</f>
        <v>313167.16800000001</v>
      </c>
      <c r="DY92" s="240">
        <f>SUM(BZ92:CW92)+(BT92*RT1SC!$C$4*$BT$2)</f>
        <v>313168.99687096319</v>
      </c>
      <c r="DZ92" s="271">
        <f>VLOOKUP($A92,TOCA_current!$A$2:$AI$137,MATCH("Above RHWM Not Served with LS "&amp;$BT$1,TOCA_current!$A$2:$AI$2,0),FALSE)*$BT$2</f>
        <v>0</v>
      </c>
      <c r="EA92" s="244">
        <f t="shared" si="29"/>
        <v>1.8288709631888196</v>
      </c>
      <c r="EB92" s="295">
        <f>(VLOOKUP($A92,TOCA_current!$A$2:$AI$137,MATCH("RHWM 2020",TOCA_current!$A$2:$AI$2,0),FALSE)*$BT$2) - $DX92</f>
        <v>755.42399999999907</v>
      </c>
      <c r="EC92" s="240">
        <f t="shared" si="30"/>
        <v>-1.8288709631888196</v>
      </c>
      <c r="ED92" s="240">
        <f t="shared" si="31"/>
        <v>0</v>
      </c>
      <c r="EE92" s="240">
        <f t="shared" si="32"/>
        <v>0</v>
      </c>
      <c r="EF92" s="240">
        <f t="shared" si="33"/>
        <v>-1.8288709631888196</v>
      </c>
    </row>
    <row r="93" spans="1:136">
      <c r="A93" s="166">
        <v>10279</v>
      </c>
      <c r="B93" s="167" t="s">
        <v>94</v>
      </c>
      <c r="C93" s="240">
        <v>0</v>
      </c>
      <c r="D93" s="240">
        <v>0</v>
      </c>
      <c r="E93" s="150">
        <f>VLOOKUP($A93,TOCA_previous!$A$2:$AI$137,MATCH(E$4,TOCA_previous!$A$2:$AI$2,0),FALSE)</f>
        <v>9.1759000000000007E-3</v>
      </c>
      <c r="F93" s="151">
        <f>VLOOKUP($A93,TOCA_previous!$A$2:$AI$137,MATCH(F$4,TOCA_previous!$A$2:$AI$2,0),FALSE)</f>
        <v>9.1759000000000007E-3</v>
      </c>
      <c r="G93" s="151">
        <f t="shared" si="18"/>
        <v>0</v>
      </c>
      <c r="H93" s="151">
        <f>VLOOKUP($A93,TOCA_previous!$A$2:$AI$137,MATCH(H$4,TOCA_previous!$A$2:$AI$2,0),FALSE)</f>
        <v>0</v>
      </c>
      <c r="I93" s="151">
        <f t="shared" si="19"/>
        <v>0</v>
      </c>
      <c r="J93" s="151">
        <f t="shared" si="20"/>
        <v>0</v>
      </c>
      <c r="K93" s="226">
        <f>VLOOKUP(A93, IRD!$A$5:$C$139, 3, FALSE)</f>
        <v>0</v>
      </c>
      <c r="L93" s="227">
        <f t="array" ref="L93">IF($G93=0, INDEX(LS_previous!$D$4:$AY$138, MATCH('Staging Table'!$A93, LS_previous!$B$4:$B$138, 0), MATCH(L$4&amp;L$5, LS_previous!$D$2:$AY$2&amp;LS_previous!$D$3:$AY$3, 0)),SUM(VLOOKUP($A93, LS_previous!$B$4:$AY$138, LS_previous!D$149, FALSE), VLOOKUP('Staging Table'!$A93, LS_previous!$B$4:$AY$138,LS_previous!AB$149, FALSE))/2)</f>
        <v>5566</v>
      </c>
      <c r="M93" s="227">
        <f t="array" ref="M93">IF($G93=0, INDEX(LS_previous!$D$4:$AY$138, MATCH('Staging Table'!$A93, LS_previous!$B$4:$B$138, 0), MATCH(M$4&amp;M$5, LS_previous!$D$2:$AY$2&amp;LS_previous!$D$3:$AY$3, 0)),SUM(VLOOKUP($A93, LS_previous!$B$4:$AY$138, LS_previous!E$149, FALSE), VLOOKUP('Staging Table'!$A93, LS_previous!$B$4:$AY$138,LS_previous!AC$149, FALSE))/2)</f>
        <v>6016</v>
      </c>
      <c r="N93" s="227">
        <f t="array" ref="N93">IF($G93=0, INDEX(LS_previous!$D$4:$AY$138, MATCH('Staging Table'!$A93, LS_previous!$B$4:$B$138, 0), MATCH(N$4&amp;N$5, LS_previous!$D$2:$AY$2&amp;LS_previous!$D$3:$AY$3, 0)),SUM(VLOOKUP($A93, LS_previous!$B$4:$AY$138, LS_previous!F$149, FALSE), VLOOKUP('Staging Table'!$A93, LS_previous!$B$4:$AY$138,LS_previous!AD$149, FALSE))/2)</f>
        <v>1103</v>
      </c>
      <c r="O93" s="227">
        <f t="array" ref="O93">IF($G93=0, INDEX(LS_previous!$D$4:$AY$138, MATCH('Staging Table'!$A93, LS_previous!$B$4:$B$138, 0), MATCH(O$4&amp;O$5, LS_previous!$D$2:$AY$2&amp;LS_previous!$D$3:$AY$3, 0)),SUM(VLOOKUP($A93, LS_previous!$B$4:$AY$138, LS_previous!G$149, FALSE), VLOOKUP('Staging Table'!$A93, LS_previous!$B$4:$AY$138,LS_previous!AE$149, FALSE))/2)</f>
        <v>5321</v>
      </c>
      <c r="P93" s="227">
        <f t="array" ref="P93">IF($G93=0, INDEX(LS_previous!$D$4:$AY$138, MATCH('Staging Table'!$A93, LS_previous!$B$4:$B$138, 0), MATCH(P$4&amp;P$5, LS_previous!$D$2:$AY$2&amp;LS_previous!$D$3:$AY$3, 0)),SUM(VLOOKUP($A93, LS_previous!$B$4:$AY$138, LS_previous!H$149, FALSE), VLOOKUP('Staging Table'!$A93, LS_previous!$B$4:$AY$138,LS_previous!AF$149, FALSE))/2)</f>
        <v>6125</v>
      </c>
      <c r="Q93" s="227">
        <f t="array" ref="Q93">IF($G93=0, INDEX(LS_previous!$D$4:$AY$138, MATCH('Staging Table'!$A93, LS_previous!$B$4:$B$138, 0), MATCH(Q$4&amp;Q$5, LS_previous!$D$2:$AY$2&amp;LS_previous!$D$3:$AY$3, 0)),SUM(VLOOKUP($A93, LS_previous!$B$4:$AY$138, LS_previous!I$149, FALSE), VLOOKUP('Staging Table'!$A93, LS_previous!$B$4:$AY$138,LS_previous!AG$149, FALSE))/2)</f>
        <v>10128</v>
      </c>
      <c r="R93" s="227">
        <f t="array" ref="R93">IF($G93=0, INDEX(LS_previous!$D$4:$AY$138, MATCH('Staging Table'!$A93, LS_previous!$B$4:$B$138, 0), MATCH(R$4&amp;R$5, LS_previous!$D$2:$AY$2&amp;LS_previous!$D$3:$AY$3, 0)),SUM(VLOOKUP($A93, LS_previous!$B$4:$AY$138, LS_previous!J$149, FALSE), VLOOKUP('Staging Table'!$A93, LS_previous!$B$4:$AY$138,LS_previous!AH$149, FALSE))/2)</f>
        <v>12201</v>
      </c>
      <c r="S93" s="227">
        <f t="array" ref="S93">IF($G93=0, INDEX(LS_previous!$D$4:$AY$138, MATCH('Staging Table'!$A93, LS_previous!$B$4:$B$138, 0), MATCH(S$4&amp;S$5, LS_previous!$D$2:$AY$2&amp;LS_previous!$D$3:$AY$3, 0)),SUM(VLOOKUP($A93, LS_previous!$B$4:$AY$138, LS_previous!K$149, FALSE), VLOOKUP('Staging Table'!$A93, LS_previous!$B$4:$AY$138,LS_previous!AI$149, FALSE))/2)</f>
        <v>11299</v>
      </c>
      <c r="T93" s="227">
        <f t="array" ref="T93">IF($G93=0, INDEX(LS_previous!$D$4:$AY$138, MATCH('Staging Table'!$A93, LS_previous!$B$4:$B$138, 0), MATCH(T$4&amp;T$5, LS_previous!$D$2:$AY$2&amp;LS_previous!$D$3:$AY$3, 0)),SUM(VLOOKUP($A93, LS_previous!$B$4:$AY$138, LS_previous!L$149, FALSE), VLOOKUP('Staging Table'!$A93, LS_previous!$B$4:$AY$138,LS_previous!AJ$149, FALSE))/2)</f>
        <v>13074</v>
      </c>
      <c r="U93" s="227">
        <f t="array" ref="U93">IF($G93=0, INDEX(LS_previous!$D$4:$AY$138, MATCH('Staging Table'!$A93, LS_previous!$B$4:$B$138, 0), MATCH(U$4&amp;U$5, LS_previous!$D$2:$AY$2&amp;LS_previous!$D$3:$AY$3, 0)),SUM(VLOOKUP($A93, LS_previous!$B$4:$AY$138, LS_previous!M$149, FALSE), VLOOKUP('Staging Table'!$A93, LS_previous!$B$4:$AY$138,LS_previous!AK$149, FALSE))/2)</f>
        <v>10755</v>
      </c>
      <c r="V93" s="227">
        <f t="array" ref="V93">IF($G93=0, INDEX(LS_previous!$D$4:$AY$138, MATCH('Staging Table'!$A93, LS_previous!$B$4:$B$138, 0), MATCH(V$4&amp;V$5, LS_previous!$D$2:$AY$2&amp;LS_previous!$D$3:$AY$3, 0)),SUM(VLOOKUP($A93, LS_previous!$B$4:$AY$138, LS_previous!N$149, FALSE), VLOOKUP('Staging Table'!$A93, LS_previous!$B$4:$AY$138,LS_previous!AL$149, FALSE))/2)</f>
        <v>6941</v>
      </c>
      <c r="W93" s="227">
        <f t="array" ref="W93">IF($G93=0, INDEX(LS_previous!$D$4:$AY$138, MATCH('Staging Table'!$A93, LS_previous!$B$4:$B$138, 0), MATCH(W$4&amp;W$5, LS_previous!$D$2:$AY$2&amp;LS_previous!$D$3:$AY$3, 0)),SUM(VLOOKUP($A93, LS_previous!$B$4:$AY$138, LS_previous!O$149, FALSE), VLOOKUP('Staging Table'!$A93, LS_previous!$B$4:$AY$138,LS_previous!AM$149, FALSE))/2)</f>
        <v>8897</v>
      </c>
      <c r="X93" s="227">
        <f t="array" ref="X93">IF($G93=0, INDEX(LS_previous!$D$4:$AY$138, MATCH('Staging Table'!$A93, LS_previous!$B$4:$B$138, 0), MATCH(X$4&amp;X$5, LS_previous!$D$2:$AY$2&amp;LS_previous!$D$3:$AY$3, 0)),SUM(VLOOKUP($A93, LS_previous!$B$4:$AY$138, LS_previous!P$149, FALSE), VLOOKUP('Staging Table'!$A93, LS_previous!$B$4:$AY$138,LS_previous!AN$149, FALSE))/2)</f>
        <v>7384</v>
      </c>
      <c r="Y93" s="227">
        <f t="array" ref="Y93">IF($G93=0, INDEX(LS_previous!$D$4:$AY$138, MATCH('Staging Table'!$A93, LS_previous!$B$4:$B$138, 0), MATCH(Y$4&amp;Y$5, LS_previous!$D$2:$AY$2&amp;LS_previous!$D$3:$AY$3, 0)),SUM(VLOOKUP($A93, LS_previous!$B$4:$AY$138, LS_previous!Q$149, FALSE), VLOOKUP('Staging Table'!$A93, LS_previous!$B$4:$AY$138,LS_previous!AO$149, FALSE))/2)</f>
        <v>7412</v>
      </c>
      <c r="Z93" s="227">
        <f t="array" ref="Z93">IF($G93=0, INDEX(LS_previous!$D$4:$AY$138, MATCH('Staging Table'!$A93, LS_previous!$B$4:$B$138, 0), MATCH(Z$4&amp;Z$5, LS_previous!$D$2:$AY$2&amp;LS_previous!$D$3:$AY$3, 0)),SUM(VLOOKUP($A93, LS_previous!$B$4:$AY$138, LS_previous!R$149, FALSE), VLOOKUP('Staging Table'!$A93, LS_previous!$B$4:$AY$138,LS_previous!AP$149, FALSE))/2)</f>
        <v>-6632</v>
      </c>
      <c r="AA93" s="227">
        <f t="array" ref="AA93">IF($G93=0, INDEX(LS_previous!$D$4:$AY$138, MATCH('Staging Table'!$A93, LS_previous!$B$4:$B$138, 0), MATCH(AA$4&amp;AA$5, LS_previous!$D$2:$AY$2&amp;LS_previous!$D$3:$AY$3, 0)),SUM(VLOOKUP($A93, LS_previous!$B$4:$AY$138, LS_previous!S$149, FALSE), VLOOKUP('Staging Table'!$A93, LS_previous!$B$4:$AY$138,LS_previous!AQ$149, FALSE))/2)</f>
        <v>2261</v>
      </c>
      <c r="AB93" s="227">
        <f t="array" ref="AB93">IF($G93=0, INDEX(LS_previous!$D$4:$AY$138, MATCH('Staging Table'!$A93, LS_previous!$B$4:$B$138, 0), MATCH(AB$4&amp;AB$5, LS_previous!$D$2:$AY$2&amp;LS_previous!$D$3:$AY$3, 0)),SUM(VLOOKUP($A93, LS_previous!$B$4:$AY$138, LS_previous!T$149, FALSE), VLOOKUP('Staging Table'!$A93, LS_previous!$B$4:$AY$138,LS_previous!AR$149, FALSE))/2)</f>
        <v>2675</v>
      </c>
      <c r="AC93" s="227">
        <f t="array" ref="AC93">IF($G93=0, INDEX(LS_previous!$D$4:$AY$138, MATCH('Staging Table'!$A93, LS_previous!$B$4:$B$138, 0), MATCH(AC$4&amp;AC$5, LS_previous!$D$2:$AY$2&amp;LS_previous!$D$3:$AY$3, 0)),SUM(VLOOKUP($A93, LS_previous!$B$4:$AY$138, LS_previous!U$149, FALSE), VLOOKUP('Staging Table'!$A93, LS_previous!$B$4:$AY$138,LS_previous!AS$149, FALSE))/2)</f>
        <v>5243</v>
      </c>
      <c r="AD93" s="227">
        <f t="array" ref="AD93">IF($G93=0, INDEX(LS_previous!$D$4:$AY$138, MATCH('Staging Table'!$A93, LS_previous!$B$4:$B$138, 0), MATCH(AD$4&amp;AD$5, LS_previous!$D$2:$AY$2&amp;LS_previous!$D$3:$AY$3, 0)),SUM(VLOOKUP($A93, LS_previous!$B$4:$AY$138, LS_previous!V$149, FALSE), VLOOKUP('Staging Table'!$A93, LS_previous!$B$4:$AY$138,LS_previous!AT$149, FALSE))/2)</f>
        <v>9941</v>
      </c>
      <c r="AE93" s="227">
        <f t="array" ref="AE93">IF($G93=0, INDEX(LS_previous!$D$4:$AY$138, MATCH('Staging Table'!$A93, LS_previous!$B$4:$B$138, 0), MATCH(AE$4&amp;AE$5, LS_previous!$D$2:$AY$2&amp;LS_previous!$D$3:$AY$3, 0)),SUM(VLOOKUP($A93, LS_previous!$B$4:$AY$138, LS_previous!W$149, FALSE), VLOOKUP('Staging Table'!$A93, LS_previous!$B$4:$AY$138,LS_previous!AU$149, FALSE))/2)</f>
        <v>10275</v>
      </c>
      <c r="AF93" s="227">
        <f t="array" ref="AF93">IF($G93=0, INDEX(LS_previous!$D$4:$AY$138, MATCH('Staging Table'!$A93, LS_previous!$B$4:$B$138, 0), MATCH(AF$4&amp;AF$5, LS_previous!$D$2:$AY$2&amp;LS_previous!$D$3:$AY$3, 0)),SUM(VLOOKUP($A93, LS_previous!$B$4:$AY$138, LS_previous!X$149, FALSE), VLOOKUP('Staging Table'!$A93, LS_previous!$B$4:$AY$138,LS_previous!AV$149, FALSE))/2)</f>
        <v>5472</v>
      </c>
      <c r="AG93" s="227">
        <f t="array" ref="AG93">IF($G93=0, INDEX(LS_previous!$D$4:$AY$138, MATCH('Staging Table'!$A93, LS_previous!$B$4:$B$138, 0), MATCH(AG$4&amp;AG$5, LS_previous!$D$2:$AY$2&amp;LS_previous!$D$3:$AY$3, 0)),SUM(VLOOKUP($A93, LS_previous!$B$4:$AY$138, LS_previous!Y$149, FALSE), VLOOKUP('Staging Table'!$A93, LS_previous!$B$4:$AY$138,LS_previous!AW$149, FALSE))/2)</f>
        <v>9507</v>
      </c>
      <c r="AH93" s="227">
        <f t="array" ref="AH93">IF($G93=0, INDEX(LS_previous!$D$4:$AY$138, MATCH('Staging Table'!$A93, LS_previous!$B$4:$B$138, 0), MATCH(AH$4&amp;AH$5, LS_previous!$D$2:$AY$2&amp;LS_previous!$D$3:$AY$3, 0)),SUM(VLOOKUP($A93, LS_previous!$B$4:$AY$138, LS_previous!Z$149, FALSE), VLOOKUP('Staging Table'!$A93, LS_previous!$B$4:$AY$138,LS_previous!AX$149, FALSE))/2)</f>
        <v>6337</v>
      </c>
      <c r="AI93" s="227">
        <f t="array" ref="AI93">IF($G93=0, INDEX(LS_previous!$D$4:$AY$138, MATCH('Staging Table'!$A93, LS_previous!$B$4:$B$138, 0), MATCH(AI$4&amp;AI$5, LS_previous!$D$2:$AY$2&amp;LS_previous!$D$3:$AY$3, 0)),SUM(VLOOKUP($A93, LS_previous!$B$4:$AY$138, LS_previous!AA$149, FALSE), VLOOKUP('Staging Table'!$A93, LS_previous!$B$4:$AY$138,LS_previous!AY$149, FALSE))/2)</f>
        <v>7886</v>
      </c>
      <c r="AJ93" s="424">
        <f t="array" ref="AJ93">INDEX(Demand_previous!$D$4:$AY$138, MATCH('Staging Table'!$A93, Demand_previous!$B$4:$B$138, 0), MATCH(AJ$4&amp;AJ$5,Demand_previous!$D$2:$AY$2&amp;Demand_previous!$D$3:$AY$3, 0))/1000</f>
        <v>0</v>
      </c>
      <c r="AK93" s="424">
        <f t="array" ref="AK93">INDEX(Demand_previous!$D$4:$AY$138, MATCH('Staging Table'!$A93, Demand_previous!$B$4:$B$138, 0), MATCH(AK$4&amp;AK$5,Demand_previous!$D$2:$AY$2&amp;Demand_previous!$D$3:$AY$3, 0))/1000</f>
        <v>0</v>
      </c>
      <c r="AL93" s="424">
        <f t="array" ref="AL93">INDEX(Demand_previous!$D$4:$AY$138, MATCH('Staging Table'!$A93, Demand_previous!$B$4:$B$138, 0), MATCH(AL$4&amp;AL$5,Demand_previous!$D$2:$AY$2&amp;Demand_previous!$D$3:$AY$3, 0))/1000</f>
        <v>0</v>
      </c>
      <c r="AM93" s="424">
        <f t="array" ref="AM93">INDEX(Demand_previous!$D$4:$AY$138, MATCH('Staging Table'!$A93, Demand_previous!$B$4:$B$138, 0), MATCH(AM$4&amp;AM$5,Demand_previous!$D$2:$AY$2&amp;Demand_previous!$D$3:$AY$3, 0))/1000</f>
        <v>0</v>
      </c>
      <c r="AN93" s="424">
        <f t="array" ref="AN93">INDEX(Demand_previous!$D$4:$AY$138, MATCH('Staging Table'!$A93, Demand_previous!$B$4:$B$138, 0), MATCH(AN$4&amp;AN$5,Demand_previous!$D$2:$AY$2&amp;Demand_previous!$D$3:$AY$3, 0))/1000</f>
        <v>0</v>
      </c>
      <c r="AO93" s="424">
        <f t="array" ref="AO93">INDEX(Demand_previous!$D$4:$AY$138, MATCH('Staging Table'!$A93, Demand_previous!$B$4:$B$138, 0), MATCH(AO$4&amp;AO$5,Demand_previous!$D$2:$AY$2&amp;Demand_previous!$D$3:$AY$3, 0))/1000</f>
        <v>0</v>
      </c>
      <c r="AP93" s="424">
        <f t="array" ref="AP93">INDEX(Demand_previous!$D$4:$AY$138, MATCH('Staging Table'!$A93, Demand_previous!$B$4:$B$138, 0), MATCH(AP$4&amp;AP$5,Demand_previous!$D$2:$AY$2&amp;Demand_previous!$D$3:$AY$3, 0))/1000</f>
        <v>0</v>
      </c>
      <c r="AQ93" s="424">
        <f t="array" ref="AQ93">INDEX(Demand_previous!$D$4:$AY$138, MATCH('Staging Table'!$A93, Demand_previous!$B$4:$B$138, 0), MATCH(AQ$4&amp;AQ$5,Demand_previous!$D$2:$AY$2&amp;Demand_previous!$D$3:$AY$3, 0))/1000</f>
        <v>0</v>
      </c>
      <c r="AR93" s="424">
        <f t="array" ref="AR93">INDEX(Demand_previous!$D$4:$AY$138, MATCH('Staging Table'!$A93, Demand_previous!$B$4:$B$138, 0), MATCH(AR$4&amp;AR$5,Demand_previous!$D$2:$AY$2&amp;Demand_previous!$D$3:$AY$3, 0))/1000</f>
        <v>0</v>
      </c>
      <c r="AS93" s="424">
        <f t="array" ref="AS93">INDEX(Demand_previous!$D$4:$AY$138, MATCH('Staging Table'!$A93, Demand_previous!$B$4:$B$138, 0), MATCH(AS$4&amp;AS$5,Demand_previous!$D$2:$AY$2&amp;Demand_previous!$D$3:$AY$3, 0))/1000</f>
        <v>0</v>
      </c>
      <c r="AT93" s="424">
        <f t="array" ref="AT93">INDEX(Demand_previous!$D$4:$AY$138, MATCH('Staging Table'!$A93, Demand_previous!$B$4:$B$138, 0), MATCH(AT$4&amp;AT$5,Demand_previous!$D$2:$AY$2&amp;Demand_previous!$D$3:$AY$3, 0))/1000</f>
        <v>0</v>
      </c>
      <c r="AU93" s="424">
        <f t="array" ref="AU93">INDEX(Demand_previous!$D$4:$AY$138, MATCH('Staging Table'!$A93, Demand_previous!$B$4:$B$138, 0), MATCH(AU$4&amp;AU$5,Demand_previous!$D$2:$AY$2&amp;Demand_previous!$D$3:$AY$3, 0))/1000</f>
        <v>0</v>
      </c>
      <c r="AV93" s="227">
        <f>$F93*(VLOOKUP(AV$4, Rates_previous!$G$6:$Q$29, 10, FALSE)+VLOOKUP(AV$4, Rates_previous!$G$6:$Q$29, 11, FALSE))</f>
        <v>43024.306423909817</v>
      </c>
      <c r="AW93" s="227">
        <f>$F93*(VLOOKUP(AW$4, Rates_previous!$G$6:$Q$29, 10, FALSE)+VLOOKUP(AW$4, Rates_previous!$G$6:$Q$29, 11, FALSE))</f>
        <v>53174.77271936844</v>
      </c>
      <c r="AX93" s="227">
        <f>$F93*(VLOOKUP(AX$4, Rates_previous!$G$6:$Q$29, 10, FALSE)+VLOOKUP(AX$4, Rates_previous!$G$6:$Q$29, 11, FALSE))</f>
        <v>52536.207299109017</v>
      </c>
      <c r="AY93" s="227">
        <f>$F93*(VLOOKUP(AY$4, Rates_previous!$G$6:$Q$29, 10, FALSE)+VLOOKUP(AY$4, Rates_previous!$G$6:$Q$29, 11, FALSE))</f>
        <v>44887.181609506646</v>
      </c>
      <c r="AZ93" s="227">
        <f>$F93*(VLOOKUP(AZ$4, Rates_previous!$G$6:$Q$29, 10, FALSE)+VLOOKUP(AZ$4, Rates_previous!$G$6:$Q$29, 11, FALSE))</f>
        <v>36798.782101651945</v>
      </c>
      <c r="BA93" s="227">
        <f>$F93*(VLOOKUP(BA$4, Rates_previous!$G$6:$Q$29, 10, FALSE)+VLOOKUP(BA$4, Rates_previous!$G$6:$Q$29, 11, FALSE))</f>
        <v>43568.421352540754</v>
      </c>
      <c r="BB93" s="227">
        <f>$F93*(VLOOKUP(BB$4, Rates_previous!$G$6:$Q$29, 10, FALSE)+VLOOKUP(BB$4, Rates_previous!$G$6:$Q$29, 11, FALSE))</f>
        <v>41875.590333315959</v>
      </c>
      <c r="BC93" s="227">
        <f>$F93*(VLOOKUP(BC$4, Rates_previous!$G$6:$Q$29, 10, FALSE)+VLOOKUP(BC$4, Rates_previous!$G$6:$Q$29, 11, FALSE))</f>
        <v>61449.465582315446</v>
      </c>
      <c r="BD93" s="227">
        <f>$F93*(VLOOKUP(BD$4, Rates_previous!$G$6:$Q$29, 10, FALSE)+VLOOKUP(BD$4, Rates_previous!$G$6:$Q$29, 11, FALSE))</f>
        <v>48482.00421527421</v>
      </c>
      <c r="BE93" s="227">
        <f>$F93*(VLOOKUP(BE$4, Rates_previous!$G$6:$Q$29, 10, FALSE)+VLOOKUP(BE$4, Rates_previous!$G$6:$Q$29, 11, FALSE))</f>
        <v>42571.269063742584</v>
      </c>
      <c r="BF93" s="227">
        <f>$F93*(VLOOKUP(BF$4, Rates_previous!$G$6:$Q$29, 10, FALSE)+VLOOKUP(BF$4, Rates_previous!$G$6:$Q$29, 11, FALSE))</f>
        <v>47149.38451862699</v>
      </c>
      <c r="BG93" s="227">
        <f>$F93*(VLOOKUP(BG$4, Rates_previous!$G$6:$Q$29, 10, FALSE)+VLOOKUP(BG$4, Rates_previous!$G$6:$Q$29, 11, FALSE))</f>
        <v>42715.467360367955</v>
      </c>
      <c r="BH93" s="229">
        <f>IF($D93=0,IF(C93=0, MAX(BK93 - (VLOOKUP($A93,TOCA_previous!$A$2:$AI$137,MATCH("RHWM 2018",TOCA_previous!$A$2:$AI$2,0),FALSE)*$F$2*TOCA_previous!C90),0),0), 0)</f>
        <v>165188.86072386405</v>
      </c>
      <c r="BI93" s="266">
        <f>VLOOKUP($A93,REP_previous!$A$1:$D$135,MATCH("FY "&amp;$F$1&amp; " Total Refund",REP_previous!$A$1:$D$1,0),0)</f>
        <v>533169.08164215623</v>
      </c>
      <c r="BJ93" s="241">
        <f>MIN(VLOOKUP($A93,TOCA_previous!$A$2:$AI$137,MATCH("TRL - NLSL - Existing Resource "&amp;$F$1,TOCA_previous!$A$2:$AI$2,0),FALSE)*$F$2,(VLOOKUP($A93,TOCA_previous!$A$2:$AI$137,MATCH("RHWM 2018",TOCA_previous!$A$2:$AI$2,0),FALSE)*$F$2))</f>
        <v>558231</v>
      </c>
      <c r="BK93" s="229">
        <f>SUM(L93:AI93)+(F93*RT1SC!$C$3*$F$2)</f>
        <v>723419.86072386405</v>
      </c>
      <c r="BL93" s="241">
        <f>VLOOKUP($A93,TOCA_previous!$A$2:$AI$137,MATCH("Above RHWM Not Served with LS "&amp;$F$1,TOCA_previous!$A$2:$AI$2,0),FALSE)*$F$2</f>
        <v>67723.56</v>
      </c>
      <c r="BM93" s="151">
        <f t="shared" si="21"/>
        <v>165188.86072386405</v>
      </c>
      <c r="BN93" s="242">
        <f>(VLOOKUP($A93,TOCA_previous!$A$2:$AI$137,MATCH("RHWM 2018",TOCA_previous!$A$2:$AI$2,0),FALSE)*$F$2) - $BJ93</f>
        <v>0</v>
      </c>
      <c r="BO93" s="151">
        <f t="shared" si="22"/>
        <v>0</v>
      </c>
      <c r="BP93" s="243">
        <f t="shared" si="23"/>
        <v>0</v>
      </c>
      <c r="BQ93" s="237">
        <f t="shared" si="24"/>
        <v>0</v>
      </c>
      <c r="BR93" s="242">
        <f t="shared" si="25"/>
        <v>0</v>
      </c>
      <c r="BS93" s="151">
        <f>VLOOKUP($A93,TOCA_current!$A$2:$AI$137,MATCH(BS$4,TOCA_current!$A$2:$AI$2,0),FALSE)</f>
        <v>9.1710000000000003E-3</v>
      </c>
      <c r="BT93" s="151">
        <f>VLOOKUP($A93,TOCA_current!$A$2:$AI$137,MATCH(BT$4,TOCA_current!$A$2:$AI$2,0),FALSE)</f>
        <v>9.1710000000000003E-3</v>
      </c>
      <c r="BU93" s="236">
        <f t="shared" si="26"/>
        <v>0</v>
      </c>
      <c r="BV93" s="151">
        <f>VLOOKUP($A93,TOCA_current!A89:BG224,MATCH(BV$4,TOCA_current!$A$2:$BG$2,0),FALSE)</f>
        <v>0</v>
      </c>
      <c r="BW93" s="151">
        <f t="shared" si="27"/>
        <v>0</v>
      </c>
      <c r="BX93" s="151">
        <f t="shared" si="28"/>
        <v>0</v>
      </c>
      <c r="BY93" s="226">
        <f>VLOOKUP($A93,IRD!$A$4:$G$139, 7, FALSE)</f>
        <v>0</v>
      </c>
      <c r="BZ93" s="227">
        <f t="array" ref="BZ93">IF($BU93=0, INDEX(LS_current!$D$4:$AY$138, MATCH('Staging Table'!$A93, LS_current!$B$4:$B$138, 0), MATCH(BZ$4&amp;BZ$5, LS_current!$D$2:$AY$2&amp;LS_current!$D$3:$AY$3, 0)),SUM(VLOOKUP($A93, LS_current!$B$4:$AY$138, LS_current!D$148, FALSE), VLOOKUP($A93, LS_current!$B$4:$AY$138,LS_current!D$148, FALSE))/2)</f>
        <v>552</v>
      </c>
      <c r="CA93" s="227">
        <f t="array" ref="CA93">IF($BU93=0, INDEX(LS_current!$D$4:$AY$138, MATCH('Staging Table'!$A93, LS_current!$B$4:$B$138, 0), MATCH(CA$4&amp;CA$5, LS_current!$D$2:$AY$2&amp;LS_current!$D$3:$AY$3, 0)),SUM(VLOOKUP($A93, LS_current!$B$4:$AY$138, LS_current!E$148, FALSE), VLOOKUP($A93, LS_current!$B$4:$AY$138,LS_current!E$148, FALSE))/2)</f>
        <v>2620</v>
      </c>
      <c r="CB93" s="227">
        <f t="array" ref="CB93">IF($BU93=0, INDEX(LS_current!$D$4:$AY$138, MATCH('Staging Table'!$A93, LS_current!$B$4:$B$138, 0), MATCH(CB$4&amp;CB$5, LS_current!$D$2:$AY$2&amp;LS_current!$D$3:$AY$3, 0)),SUM(VLOOKUP($A93, LS_current!$B$4:$AY$138, LS_current!F$148, FALSE), VLOOKUP($A93, LS_current!$B$4:$AY$138,LS_current!F$148, FALSE))/2)</f>
        <v>-4003</v>
      </c>
      <c r="CC93" s="227">
        <f t="array" ref="CC93">IF($BU93=0, INDEX(LS_current!$D$4:$AY$138, MATCH('Staging Table'!$A93, LS_current!$B$4:$B$138, 0), MATCH(CC$4&amp;CC$5, LS_current!$D$2:$AY$2&amp;LS_current!$D$3:$AY$3, 0)),SUM(VLOOKUP($A93, LS_current!$B$4:$AY$138, LS_current!G$148, FALSE), VLOOKUP($A93, LS_current!$B$4:$AY$138,LS_current!G$148, FALSE))/2)</f>
        <v>1002</v>
      </c>
      <c r="CD93" s="227">
        <f t="array" ref="CD93">IF($BU93=0, INDEX(LS_current!$D$4:$AY$138, MATCH('Staging Table'!$A93, LS_current!$B$4:$B$138, 0), MATCH(CD$4&amp;CD$5, LS_current!$D$2:$AY$2&amp;LS_current!$D$3:$AY$3, 0)),SUM(VLOOKUP($A93, LS_current!$B$4:$AY$138, LS_current!H$148, FALSE), VLOOKUP($A93, LS_current!$B$4:$AY$138,LS_current!H$148, FALSE))/2)</f>
        <v>964</v>
      </c>
      <c r="CE93" s="227">
        <f t="array" ref="CE93">IF($BU93=0, INDEX(LS_current!$D$4:$AY$138, MATCH('Staging Table'!$A93, LS_current!$B$4:$B$138, 0), MATCH(CE$4&amp;CE$5, LS_current!$D$2:$AY$2&amp;LS_current!$D$3:$AY$3, 0)),SUM(VLOOKUP($A93, LS_current!$B$4:$AY$138, LS_current!I$148, FALSE), VLOOKUP($A93, LS_current!$B$4:$AY$138,LS_current!I$148, FALSE))/2)</f>
        <v>5594</v>
      </c>
      <c r="CF93" s="227">
        <f t="array" ref="CF93">IF($BU93=0, INDEX(LS_current!$D$4:$AY$138, MATCH('Staging Table'!$A93, LS_current!$B$4:$B$138, 0), MATCH(CF$4&amp;CF$5, LS_current!$D$2:$AY$2&amp;LS_current!$D$3:$AY$3, 0)),SUM(VLOOKUP($A93, LS_current!$B$4:$AY$138, LS_current!J$148, FALSE), VLOOKUP($A93, LS_current!$B$4:$AY$138,LS_current!J$148, FALSE))/2)</f>
        <v>7011</v>
      </c>
      <c r="CG93" s="227">
        <f t="array" ref="CG93">IF($BU93=0, INDEX(LS_current!$D$4:$AY$138, MATCH('Staging Table'!$A93, LS_current!$B$4:$B$138, 0), MATCH(CG$4&amp;CG$5, LS_current!$D$2:$AY$2&amp;LS_current!$D$3:$AY$3, 0)),SUM(VLOOKUP($A93, LS_current!$B$4:$AY$138, LS_current!K$148, FALSE), VLOOKUP($A93, LS_current!$B$4:$AY$138,LS_current!K$148, FALSE))/2)</f>
        <v>7989</v>
      </c>
      <c r="CH93" s="227">
        <f t="array" ref="CH93">IF($BU93=0, INDEX(LS_current!$D$4:$AY$138, MATCH('Staging Table'!$A93, LS_current!$B$4:$B$138, 0), MATCH(CH$4&amp;CH$5, LS_current!$D$2:$AY$2&amp;LS_current!$D$3:$AY$3, 0)),SUM(VLOOKUP($A93, LS_current!$B$4:$AY$138, LS_current!L$148, FALSE), VLOOKUP($A93, LS_current!$B$4:$AY$138,LS_current!L$148, FALSE))/2)</f>
        <v>5991</v>
      </c>
      <c r="CI93" s="227">
        <f t="array" ref="CI93">IF($BU93=0, INDEX(LS_current!$D$4:$AY$138, MATCH('Staging Table'!$A93, LS_current!$B$4:$B$138, 0), MATCH(CI$4&amp;CI$5, LS_current!$D$2:$AY$2&amp;LS_current!$D$3:$AY$3, 0)),SUM(VLOOKUP($A93, LS_current!$B$4:$AY$138, LS_current!M$148, FALSE), VLOOKUP($A93, LS_current!$B$4:$AY$138,LS_current!M$148, FALSE))/2)</f>
        <v>5820</v>
      </c>
      <c r="CJ93" s="227">
        <f t="array" ref="CJ93">IF($BU93=0, INDEX(LS_current!$D$4:$AY$138, MATCH('Staging Table'!$A93, LS_current!$B$4:$B$138, 0), MATCH(CJ$4&amp;CJ$5, LS_current!$D$2:$AY$2&amp;LS_current!$D$3:$AY$3, 0)),SUM(VLOOKUP($A93, LS_current!$B$4:$AY$138, LS_current!N$148, FALSE), VLOOKUP($A93, LS_current!$B$4:$AY$138,LS_current!N$148, FALSE))/2)</f>
        <v>1154</v>
      </c>
      <c r="CK93" s="227">
        <f t="array" ref="CK93">IF($BU93=0, INDEX(LS_current!$D$4:$AY$138, MATCH('Staging Table'!$A93, LS_current!$B$4:$B$138, 0), MATCH(CK$4&amp;CK$5, LS_current!$D$2:$AY$2&amp;LS_current!$D$3:$AY$3, 0)),SUM(VLOOKUP($A93, LS_current!$B$4:$AY$138, LS_current!O$148, FALSE), VLOOKUP($A93, LS_current!$B$4:$AY$138,LS_current!O$148, FALSE))/2)</f>
        <v>4540</v>
      </c>
      <c r="CL93" s="227">
        <f t="array" ref="CL93">IF($BU93=0, INDEX(LS_current!$D$4:$AY$138, MATCH('Staging Table'!$A93, LS_current!$B$4:$B$138, 0), MATCH(CL$4&amp;CL$5, LS_current!$D$2:$AY$2&amp;LS_current!$D$3:$AY$3, 0)),SUM(VLOOKUP($A93, LS_current!$B$4:$AY$138, LS_current!P$148, FALSE), VLOOKUP($A93, LS_current!$B$4:$AY$138,LS_current!P$148, FALSE))/2)</f>
        <v>6240</v>
      </c>
      <c r="CM93" s="227">
        <f t="array" ref="CM93">IF($BU93=0, INDEX(LS_current!$D$4:$AY$138, MATCH('Staging Table'!$A93, LS_current!$B$4:$B$138, 0), MATCH(CM$4&amp;CM$5, LS_current!$D$2:$AY$2&amp;LS_current!$D$3:$AY$3, 0)),SUM(VLOOKUP($A93, LS_current!$B$4:$AY$138, LS_current!Q$148, FALSE), VLOOKUP($A93, LS_current!$B$4:$AY$138,LS_current!Q$148, FALSE))/2)</f>
        <v>5293</v>
      </c>
      <c r="CN93" s="227">
        <f t="array" ref="CN93">IF($BU93=0, INDEX(LS_current!$D$4:$AY$138, MATCH('Staging Table'!$A93, LS_current!$B$4:$B$138, 0), MATCH(CN$4&amp;CN$5, LS_current!$D$2:$AY$2&amp;LS_current!$D$3:$AY$3, 0)),SUM(VLOOKUP($A93, LS_current!$B$4:$AY$138, LS_current!R$148, FALSE), VLOOKUP($A93, LS_current!$B$4:$AY$138,LS_current!R$148, FALSE))/2)</f>
        <v>-4036</v>
      </c>
      <c r="CO93" s="227">
        <f t="array" ref="CO93">IF($BU93=0, INDEX(LS_current!$D$4:$AY$138, MATCH('Staging Table'!$A93, LS_current!$B$4:$B$138, 0), MATCH(CO$4&amp;CO$5, LS_current!$D$2:$AY$2&amp;LS_current!$D$3:$AY$3, 0)),SUM(VLOOKUP($A93, LS_current!$B$4:$AY$138, LS_current!S$148, FALSE), VLOOKUP($A93, LS_current!$B$4:$AY$138,LS_current!S$148, FALSE))/2)</f>
        <v>3012</v>
      </c>
      <c r="CP93" s="227">
        <f t="array" ref="CP93">IF($BU93=0, INDEX(LS_current!$D$4:$AY$138, MATCH('Staging Table'!$A93, LS_current!$B$4:$B$138, 0), MATCH(CP$4&amp;CP$5, LS_current!$D$2:$AY$2&amp;LS_current!$D$3:$AY$3, 0)),SUM(VLOOKUP($A93, LS_current!$B$4:$AY$138, LS_current!T$148, FALSE), VLOOKUP($A93, LS_current!$B$4:$AY$138,LS_current!T$148, FALSE))/2)</f>
        <v>-11277</v>
      </c>
      <c r="CQ93" s="227">
        <f t="array" ref="CQ93">IF($BU93=0, INDEX(LS_current!$D$4:$AY$138, MATCH('Staging Table'!$A93, LS_current!$B$4:$B$138, 0), MATCH(CQ$4&amp;CQ$5, LS_current!$D$2:$AY$2&amp;LS_current!$D$3:$AY$3, 0)),SUM(VLOOKUP($A93, LS_current!$B$4:$AY$138, LS_current!U$148, FALSE), VLOOKUP($A93, LS_current!$B$4:$AY$138,LS_current!U$148, FALSE))/2)</f>
        <v>-3656</v>
      </c>
      <c r="CR93" s="227">
        <f t="array" ref="CR93">IF($BU93=0, INDEX(LS_current!$D$4:$AY$138, MATCH('Staging Table'!$A93, LS_current!$B$4:$B$138, 0), MATCH(CR$4&amp;CR$5, LS_current!$D$2:$AY$2&amp;LS_current!$D$3:$AY$3, 0)),SUM(VLOOKUP($A93, LS_current!$B$4:$AY$138, LS_current!V$148, FALSE), VLOOKUP($A93, LS_current!$B$4:$AY$138,LS_current!V$148, FALSE))/2)</f>
        <v>-1185</v>
      </c>
      <c r="CS93" s="227">
        <f t="array" ref="CS93">IF($BU93=0, INDEX(LS_current!$D$4:$AY$138, MATCH('Staging Table'!$A93, LS_current!$B$4:$B$138, 0), MATCH(CS$4&amp;CS$5, LS_current!$D$2:$AY$2&amp;LS_current!$D$3:$AY$3, 0)),SUM(VLOOKUP($A93, LS_current!$B$4:$AY$138, LS_current!W$148, FALSE), VLOOKUP($A93, LS_current!$B$4:$AY$138,LS_current!W$148, FALSE))/2)</f>
        <v>5851</v>
      </c>
      <c r="CT93" s="227">
        <f t="array" ref="CT93">IF($BU93=0, INDEX(LS_current!$D$4:$AY$138, MATCH('Staging Table'!$A93, LS_current!$B$4:$B$138, 0), MATCH(CT$4&amp;CT$5, LS_current!$D$2:$AY$2&amp;LS_current!$D$3:$AY$3, 0)),SUM(VLOOKUP($A93, LS_current!$B$4:$AY$138, LS_current!X$148, FALSE), VLOOKUP($A93, LS_current!$B$4:$AY$138,LS_current!X$148, FALSE))/2)</f>
        <v>-663</v>
      </c>
      <c r="CU93" s="227">
        <f t="array" ref="CU93">IF($BU93=0, INDEX(LS_current!$D$4:$AY$138, MATCH('Staging Table'!$A93, LS_current!$B$4:$B$138, 0), MATCH(CU$4&amp;CU$5, LS_current!$D$2:$AY$2&amp;LS_current!$D$3:$AY$3, 0)),SUM(VLOOKUP($A93, LS_current!$B$4:$AY$138, LS_current!Y$148, FALSE), VLOOKUP($A93, LS_current!$B$4:$AY$138,LS_current!Y$148, FALSE))/2)</f>
        <v>5955</v>
      </c>
      <c r="CV93" s="227">
        <f t="array" ref="CV93">IF($BU93=0, INDEX(LS_current!$D$4:$AY$138, MATCH('Staging Table'!$A93, LS_current!$B$4:$B$138, 0), MATCH(CV$4&amp;CV$5, LS_current!$D$2:$AY$2&amp;LS_current!$D$3:$AY$3, 0)),SUM(VLOOKUP($A93, LS_current!$B$4:$AY$138, LS_current!Z$148, FALSE), VLOOKUP($A93, LS_current!$B$4:$AY$138,LS_current!Z$148, FALSE))/2)</f>
        <v>1180</v>
      </c>
      <c r="CW93" s="227">
        <f t="array" ref="CW93">IF($BU93=0, INDEX(LS_current!$D$4:$AY$138, MATCH('Staging Table'!$A93, LS_current!$B$4:$B$138, 0), MATCH(CW$4&amp;CW$5, LS_current!$D$2:$AY$2&amp;LS_current!$D$3:$AY$3, 0)),SUM(VLOOKUP($A93, LS_current!$B$4:$AY$138, LS_current!AA$148, FALSE), VLOOKUP($A93, LS_current!$B$4:$AY$138,LS_current!AA$148, FALSE))/2)</f>
        <v>4096</v>
      </c>
      <c r="CX93" s="229">
        <f t="array" ref="CX93">INDEX(Demand_current!$D$4:$AY$138, MATCH($A93, Demand_current!$B$4:$B$138, 0), MATCH(CX$4&amp;CX$5,Demand_current!$D$2:$AY$2&amp;Demand_current!$D$3:$AY$3, 0))/1000</f>
        <v>0</v>
      </c>
      <c r="CY93" s="229">
        <f t="array" ref="CY93">INDEX(Demand_current!$D$4:$AY$138, MATCH($A93, Demand_current!$B$4:$B$138, 0), MATCH(CY$4&amp;CY$5,Demand_current!$D$2:$AY$2&amp;Demand_current!$D$3:$AY$3, 0))/1000</f>
        <v>0</v>
      </c>
      <c r="CZ93" s="229">
        <f t="array" ref="CZ93">INDEX(Demand_current!$D$4:$AY$138, MATCH($A93, Demand_current!$B$4:$B$138, 0), MATCH(CZ$4&amp;CZ$5,Demand_current!$D$2:$AY$2&amp;Demand_current!$D$3:$AY$3, 0))/1000</f>
        <v>0</v>
      </c>
      <c r="DA93" s="229">
        <f t="array" ref="DA93">INDEX(Demand_current!$D$4:$AY$138, MATCH($A93, Demand_current!$B$4:$B$138, 0), MATCH(DA$4&amp;DA$5,Demand_current!$D$2:$AY$2&amp;Demand_current!$D$3:$AY$3, 0))/1000</f>
        <v>0</v>
      </c>
      <c r="DB93" s="229">
        <f t="array" ref="DB93">INDEX(Demand_current!$D$4:$AY$138, MATCH($A93, Demand_current!$B$4:$B$138, 0), MATCH(DB$4&amp;DB$5,Demand_current!$D$2:$AY$2&amp;Demand_current!$D$3:$AY$3, 0))/1000</f>
        <v>0</v>
      </c>
      <c r="DC93" s="229">
        <f t="array" ref="DC93">INDEX(Demand_current!$D$4:$AY$138, MATCH($A93, Demand_current!$B$4:$B$138, 0), MATCH(DC$4&amp;DC$5,Demand_current!$D$2:$AY$2&amp;Demand_current!$D$3:$AY$3, 0))/1000</f>
        <v>0</v>
      </c>
      <c r="DD93" s="229">
        <f t="array" ref="DD93">INDEX(Demand_current!$D$4:$AY$138, MATCH($A93, Demand_current!$B$4:$B$138, 0), MATCH(DD$4&amp;DD$5,Demand_current!$D$2:$AY$2&amp;Demand_current!$D$3:$AY$3, 0))/1000</f>
        <v>0</v>
      </c>
      <c r="DE93" s="229">
        <f t="array" ref="DE93">INDEX(Demand_current!$D$4:$AY$138, MATCH($A93, Demand_current!$B$4:$B$138, 0), MATCH(DE$4&amp;DE$5,Demand_current!$D$2:$AY$2&amp;Demand_current!$D$3:$AY$3, 0))/1000</f>
        <v>0</v>
      </c>
      <c r="DF93" s="229">
        <f t="array" ref="DF93">INDEX(Demand_current!$D$4:$AY$138, MATCH($A93, Demand_current!$B$4:$B$138, 0), MATCH(DF$4&amp;DF$5,Demand_current!$D$2:$AY$2&amp;Demand_current!$D$3:$AY$3, 0))/1000</f>
        <v>0</v>
      </c>
      <c r="DG93" s="229">
        <f t="array" ref="DG93">INDEX(Demand_current!$D$4:$AY$138, MATCH($A93, Demand_current!$B$4:$B$138, 0), MATCH(DG$4&amp;DG$5,Demand_current!$D$2:$AY$2&amp;Demand_current!$D$3:$AY$3, 0))/1000</f>
        <v>0</v>
      </c>
      <c r="DH93" s="229">
        <f t="array" ref="DH93">INDEX(Demand_current!$D$4:$AY$138, MATCH($A93, Demand_current!$B$4:$B$138, 0), MATCH(DH$4&amp;DH$5,Demand_current!$D$2:$AY$2&amp;Demand_current!$D$3:$AY$3, 0))/1000</f>
        <v>0</v>
      </c>
      <c r="DI93" s="229">
        <f t="array" ref="DI93">INDEX(Demand_current!$D$4:$AY$138, MATCH($A93, Demand_current!$B$4:$B$138, 0), MATCH(DI$4&amp;DI$5,Demand_current!$D$2:$AY$2&amp;Demand_current!$D$3:$AY$3, 0))/1000</f>
        <v>0</v>
      </c>
      <c r="DJ93" s="227">
        <f>$BT93*(VLOOKUP(DJ$4, Rates_current!$G$6:$Q$29, 10, FALSE)+VLOOKUP(DJ$4, Rates_current!$G$6:$Q$29, 11, FALSE))</f>
        <v>42345.416004515995</v>
      </c>
      <c r="DK93" s="227">
        <f>$BT93*(VLOOKUP(DK$4, Rates_current!$G$6:$Q$29, 10, FALSE)+VLOOKUP(DK$4, Rates_current!$G$6:$Q$29, 11, FALSE))</f>
        <v>53791.888234869002</v>
      </c>
      <c r="DL93" s="227">
        <f>$BT93*(VLOOKUP(DL$4, Rates_current!$G$6:$Q$29, 10, FALSE)+VLOOKUP(DL$4, Rates_current!$G$6:$Q$29, 11, FALSE))</f>
        <v>53142.278397516005</v>
      </c>
      <c r="DM93" s="227">
        <f>$BT93*(VLOOKUP(DM$4, Rates_current!$G$6:$Q$29, 10, FALSE)+VLOOKUP(DM$4, Rates_current!$G$6:$Q$29, 11, FALSE))</f>
        <v>44297.325789516006</v>
      </c>
      <c r="DN93" s="227">
        <f>$BT93*(VLOOKUP(DN$4, Rates_current!$G$6:$Q$29, 10, FALSE)+VLOOKUP(DN$4, Rates_current!$G$6:$Q$29, 11, FALSE))</f>
        <v>40128.781672799996</v>
      </c>
      <c r="DO93" s="227">
        <f>$BT93*(VLOOKUP(DO$4, Rates_current!$G$6:$Q$29, 10, FALSE)+VLOOKUP(DO$4, Rates_current!$G$6:$Q$29, 11, FALSE))</f>
        <v>44635.953418227</v>
      </c>
      <c r="DP93" s="227">
        <f>$BT93*(VLOOKUP(DP$4, Rates_current!$G$6:$Q$29, 10, FALSE)+VLOOKUP(DP$4, Rates_current!$G$6:$Q$29, 11, FALSE))</f>
        <v>36342.641440079999</v>
      </c>
      <c r="DQ93" s="227">
        <f>$BT93*(VLOOKUP(DQ$4, Rates_current!$G$6:$Q$29, 10, FALSE)+VLOOKUP(DQ$4, Rates_current!$G$6:$Q$29, 11, FALSE))</f>
        <v>49013.471270016009</v>
      </c>
      <c r="DR93" s="227">
        <f>$BT93*(VLOOKUP(DR$4, Rates_current!$G$6:$Q$29, 10, FALSE)+VLOOKUP(DR$4, Rates_current!$G$6:$Q$29, 11, FALSE))</f>
        <v>62537.855864580008</v>
      </c>
      <c r="DS93" s="227">
        <f>$BT93*(VLOOKUP(DS$4, Rates_current!$G$6:$Q$29, 10, FALSE)+VLOOKUP(DS$4, Rates_current!$G$6:$Q$29, 11, FALSE))</f>
        <v>49031.661948516004</v>
      </c>
      <c r="DT93" s="227">
        <f>$BT93*(VLOOKUP(DT$4, Rates_current!$G$6:$Q$29, 10, FALSE)+VLOOKUP(DT$4, Rates_current!$G$6:$Q$29, 11, FALSE))</f>
        <v>47747.075393016006</v>
      </c>
      <c r="DU93" s="227">
        <f>$BT93*(VLOOKUP(DU$4, Rates_current!$G$6:$Q$29, 10, FALSE)+VLOOKUP(DU$4, Rates_current!$G$6:$Q$29, 11, FALSE))</f>
        <v>42866.716591080003</v>
      </c>
      <c r="DV93" s="229">
        <f>IF(D93=0,IF(C93=0,MAX(0,DY93 - (VLOOKUP($A93,TOCA_current!$A$2:$AI$137,MATCH("RHWM 2020",TOCA_current!$A$2:$AI$2,0),FALSE)*$BT$2)), 0),0)</f>
        <v>50042.239264767966</v>
      </c>
      <c r="DW93" s="266">
        <f>VLOOKUP($A93,REP_current!$A$1:$D$135,MATCH("FY "&amp;$BT$1&amp; " Total Refund",REP_current!$A$1:$D$1,0),0)</f>
        <v>0</v>
      </c>
      <c r="DX93" s="295">
        <f>MIN(VLOOKUP($A93,TOCA_current!$A$2:$AI$137,MATCH("TRL - NLSL - Existing Resource "&amp;$BT$1,TOCA_current!$A$2:$AI$2,0),FALSE)*$BT$2, VLOOKUP($A93,TOCA_current!$A$2:$AI$137,MATCH("RHWM 2020",TOCA_current!$A$2:$AI$2,0),FALSE)*$BT$2)</f>
        <v>565882.848</v>
      </c>
      <c r="DY93" s="240">
        <f>SUM(BZ93:CW93)+(BT93*RT1SC!$C$4*$BT$2)</f>
        <v>615925.08726476796</v>
      </c>
      <c r="DZ93" s="271">
        <f>VLOOKUP($A93,TOCA_current!$A$2:$AI$137,MATCH("Above RHWM Not Served with LS "&amp;$BT$1,TOCA_current!$A$2:$AI$2,0),FALSE)*$BT$2</f>
        <v>175223.23199999999</v>
      </c>
      <c r="EA93" s="244">
        <f t="shared" si="29"/>
        <v>50042.239264767966</v>
      </c>
      <c r="EB93" s="295">
        <f>(VLOOKUP($A93,TOCA_current!$A$2:$AI$137,MATCH("RHWM 2020",TOCA_current!$A$2:$AI$2,0),FALSE)*$BT$2) - $DX93</f>
        <v>0</v>
      </c>
      <c r="EC93" s="240">
        <f t="shared" si="30"/>
        <v>0</v>
      </c>
      <c r="ED93" s="240">
        <f t="shared" si="31"/>
        <v>0</v>
      </c>
      <c r="EE93" s="240">
        <f t="shared" si="32"/>
        <v>0</v>
      </c>
      <c r="EF93" s="240">
        <f t="shared" si="33"/>
        <v>0</v>
      </c>
    </row>
    <row r="94" spans="1:136">
      <c r="A94" s="166">
        <v>10284</v>
      </c>
      <c r="B94" s="167" t="s">
        <v>95</v>
      </c>
      <c r="C94" s="240">
        <v>0</v>
      </c>
      <c r="D94" s="240">
        <v>0</v>
      </c>
      <c r="E94" s="150">
        <f>VLOOKUP($A94,TOCA_previous!$A$2:$AI$137,MATCH(E$4,TOCA_previous!$A$2:$AI$2,0),FALSE)</f>
        <v>1.408E-3</v>
      </c>
      <c r="F94" s="151">
        <f>VLOOKUP($A94,TOCA_previous!$A$2:$AI$137,MATCH(F$4,TOCA_previous!$A$2:$AI$2,0),FALSE)</f>
        <v>1.408E-3</v>
      </c>
      <c r="G94" s="151">
        <f t="shared" si="18"/>
        <v>0</v>
      </c>
      <c r="H94" s="151">
        <f>VLOOKUP($A94,TOCA_previous!$A$2:$AI$137,MATCH(H$4,TOCA_previous!$A$2:$AI$2,0),FALSE)</f>
        <v>5.5E-2</v>
      </c>
      <c r="I94" s="151">
        <f t="shared" si="19"/>
        <v>0</v>
      </c>
      <c r="J94" s="151">
        <f t="shared" si="20"/>
        <v>0</v>
      </c>
      <c r="K94" s="226">
        <f>VLOOKUP(A94, IRD!$A$5:$C$139, 3, FALSE)</f>
        <v>0</v>
      </c>
      <c r="L94" s="227">
        <f t="array" ref="L94">IF($G94=0, INDEX(LS_previous!$D$4:$AY$138, MATCH('Staging Table'!$A94, LS_previous!$B$4:$B$138, 0), MATCH(L$4&amp;L$5, LS_previous!$D$2:$AY$2&amp;LS_previous!$D$3:$AY$3, 0)),SUM(VLOOKUP($A94, LS_previous!$B$4:$AY$138, LS_previous!D$149, FALSE), VLOOKUP('Staging Table'!$A94, LS_previous!$B$4:$AY$138,LS_previous!AB$149, FALSE))/2)</f>
        <v>-219</v>
      </c>
      <c r="M94" s="227">
        <f t="array" ref="M94">IF($G94=0, INDEX(LS_previous!$D$4:$AY$138, MATCH('Staging Table'!$A94, LS_previous!$B$4:$B$138, 0), MATCH(M$4&amp;M$5, LS_previous!$D$2:$AY$2&amp;LS_previous!$D$3:$AY$3, 0)),SUM(VLOOKUP($A94, LS_previous!$B$4:$AY$138, LS_previous!E$149, FALSE), VLOOKUP('Staging Table'!$A94, LS_previous!$B$4:$AY$138,LS_previous!AC$149, FALSE))/2)</f>
        <v>216</v>
      </c>
      <c r="N94" s="227">
        <f t="array" ref="N94">IF($G94=0, INDEX(LS_previous!$D$4:$AY$138, MATCH('Staging Table'!$A94, LS_previous!$B$4:$B$138, 0), MATCH(N$4&amp;N$5, LS_previous!$D$2:$AY$2&amp;LS_previous!$D$3:$AY$3, 0)),SUM(VLOOKUP($A94, LS_previous!$B$4:$AY$138, LS_previous!F$149, FALSE), VLOOKUP('Staging Table'!$A94, LS_previous!$B$4:$AY$138,LS_previous!AD$149, FALSE))/2)</f>
        <v>155</v>
      </c>
      <c r="O94" s="227">
        <f t="array" ref="O94">IF($G94=0, INDEX(LS_previous!$D$4:$AY$138, MATCH('Staging Table'!$A94, LS_previous!$B$4:$B$138, 0), MATCH(O$4&amp;O$5, LS_previous!$D$2:$AY$2&amp;LS_previous!$D$3:$AY$3, 0)),SUM(VLOOKUP($A94, LS_previous!$B$4:$AY$138, LS_previous!G$149, FALSE), VLOOKUP('Staging Table'!$A94, LS_previous!$B$4:$AY$138,LS_previous!AE$149, FALSE))/2)</f>
        <v>727</v>
      </c>
      <c r="P94" s="227">
        <f t="array" ref="P94">IF($G94=0, INDEX(LS_previous!$D$4:$AY$138, MATCH('Staging Table'!$A94, LS_previous!$B$4:$B$138, 0), MATCH(P$4&amp;P$5, LS_previous!$D$2:$AY$2&amp;LS_previous!$D$3:$AY$3, 0)),SUM(VLOOKUP($A94, LS_previous!$B$4:$AY$138, LS_previous!H$149, FALSE), VLOOKUP('Staging Table'!$A94, LS_previous!$B$4:$AY$138,LS_previous!AF$149, FALSE))/2)</f>
        <v>713</v>
      </c>
      <c r="Q94" s="227">
        <f t="array" ref="Q94">IF($G94=0, INDEX(LS_previous!$D$4:$AY$138, MATCH('Staging Table'!$A94, LS_previous!$B$4:$B$138, 0), MATCH(Q$4&amp;Q$5, LS_previous!$D$2:$AY$2&amp;LS_previous!$D$3:$AY$3, 0)),SUM(VLOOKUP($A94, LS_previous!$B$4:$AY$138, LS_previous!I$149, FALSE), VLOOKUP('Staging Table'!$A94, LS_previous!$B$4:$AY$138,LS_previous!AG$149, FALSE))/2)</f>
        <v>1305</v>
      </c>
      <c r="R94" s="227">
        <f t="array" ref="R94">IF($G94=0, INDEX(LS_previous!$D$4:$AY$138, MATCH('Staging Table'!$A94, LS_previous!$B$4:$B$138, 0), MATCH(R$4&amp;R$5, LS_previous!$D$2:$AY$2&amp;LS_previous!$D$3:$AY$3, 0)),SUM(VLOOKUP($A94, LS_previous!$B$4:$AY$138, LS_previous!J$149, FALSE), VLOOKUP('Staging Table'!$A94, LS_previous!$B$4:$AY$138,LS_previous!AH$149, FALSE))/2)</f>
        <v>1881</v>
      </c>
      <c r="S94" s="227">
        <f t="array" ref="S94">IF($G94=0, INDEX(LS_previous!$D$4:$AY$138, MATCH('Staging Table'!$A94, LS_previous!$B$4:$B$138, 0), MATCH(S$4&amp;S$5, LS_previous!$D$2:$AY$2&amp;LS_previous!$D$3:$AY$3, 0)),SUM(VLOOKUP($A94, LS_previous!$B$4:$AY$138, LS_previous!K$149, FALSE), VLOOKUP('Staging Table'!$A94, LS_previous!$B$4:$AY$138,LS_previous!AI$149, FALSE))/2)</f>
        <v>1652</v>
      </c>
      <c r="T94" s="227">
        <f t="array" ref="T94">IF($G94=0, INDEX(LS_previous!$D$4:$AY$138, MATCH('Staging Table'!$A94, LS_previous!$B$4:$B$138, 0), MATCH(T$4&amp;T$5, LS_previous!$D$2:$AY$2&amp;LS_previous!$D$3:$AY$3, 0)),SUM(VLOOKUP($A94, LS_previous!$B$4:$AY$138, LS_previous!L$149, FALSE), VLOOKUP('Staging Table'!$A94, LS_previous!$B$4:$AY$138,LS_previous!AJ$149, FALSE))/2)</f>
        <v>1980</v>
      </c>
      <c r="U94" s="227">
        <f t="array" ref="U94">IF($G94=0, INDEX(LS_previous!$D$4:$AY$138, MATCH('Staging Table'!$A94, LS_previous!$B$4:$B$138, 0), MATCH(U$4&amp;U$5, LS_previous!$D$2:$AY$2&amp;LS_previous!$D$3:$AY$3, 0)),SUM(VLOOKUP($A94, LS_previous!$B$4:$AY$138, LS_previous!M$149, FALSE), VLOOKUP('Staging Table'!$A94, LS_previous!$B$4:$AY$138,LS_previous!AK$149, FALSE))/2)</f>
        <v>1601</v>
      </c>
      <c r="V94" s="227">
        <f t="array" ref="V94">IF($G94=0, INDEX(LS_previous!$D$4:$AY$138, MATCH('Staging Table'!$A94, LS_previous!$B$4:$B$138, 0), MATCH(V$4&amp;V$5, LS_previous!$D$2:$AY$2&amp;LS_previous!$D$3:$AY$3, 0)),SUM(VLOOKUP($A94, LS_previous!$B$4:$AY$138, LS_previous!N$149, FALSE), VLOOKUP('Staging Table'!$A94, LS_previous!$B$4:$AY$138,LS_previous!AL$149, FALSE))/2)</f>
        <v>445</v>
      </c>
      <c r="W94" s="227">
        <f t="array" ref="W94">IF($G94=0, INDEX(LS_previous!$D$4:$AY$138, MATCH('Staging Table'!$A94, LS_previous!$B$4:$B$138, 0), MATCH(W$4&amp;W$5, LS_previous!$D$2:$AY$2&amp;LS_previous!$D$3:$AY$3, 0)),SUM(VLOOKUP($A94, LS_previous!$B$4:$AY$138, LS_previous!O$149, FALSE), VLOOKUP('Staging Table'!$A94, LS_previous!$B$4:$AY$138,LS_previous!AM$149, FALSE))/2)</f>
        <v>888</v>
      </c>
      <c r="X94" s="227">
        <f t="array" ref="X94">IF($G94=0, INDEX(LS_previous!$D$4:$AY$138, MATCH('Staging Table'!$A94, LS_previous!$B$4:$B$138, 0), MATCH(X$4&amp;X$5, LS_previous!$D$2:$AY$2&amp;LS_previous!$D$3:$AY$3, 0)),SUM(VLOOKUP($A94, LS_previous!$B$4:$AY$138, LS_previous!P$149, FALSE), VLOOKUP('Staging Table'!$A94, LS_previous!$B$4:$AY$138,LS_previous!AN$149, FALSE))/2)</f>
        <v>3</v>
      </c>
      <c r="Y94" s="227">
        <f t="array" ref="Y94">IF($G94=0, INDEX(LS_previous!$D$4:$AY$138, MATCH('Staging Table'!$A94, LS_previous!$B$4:$B$138, 0), MATCH(Y$4&amp;Y$5, LS_previous!$D$2:$AY$2&amp;LS_previous!$D$3:$AY$3, 0)),SUM(VLOOKUP($A94, LS_previous!$B$4:$AY$138, LS_previous!Q$149, FALSE), VLOOKUP('Staging Table'!$A94, LS_previous!$B$4:$AY$138,LS_previous!AO$149, FALSE))/2)</f>
        <v>447</v>
      </c>
      <c r="Z94" s="227">
        <f t="array" ref="Z94">IF($G94=0, INDEX(LS_previous!$D$4:$AY$138, MATCH('Staging Table'!$A94, LS_previous!$B$4:$B$138, 0), MATCH(Z$4&amp;Z$5, LS_previous!$D$2:$AY$2&amp;LS_previous!$D$3:$AY$3, 0)),SUM(VLOOKUP($A94, LS_previous!$B$4:$AY$138, LS_previous!R$149, FALSE), VLOOKUP('Staging Table'!$A94, LS_previous!$B$4:$AY$138,LS_previous!AP$149, FALSE))/2)</f>
        <v>-2898</v>
      </c>
      <c r="AA94" s="227">
        <f t="array" ref="AA94">IF($G94=0, INDEX(LS_previous!$D$4:$AY$138, MATCH('Staging Table'!$A94, LS_previous!$B$4:$B$138, 0), MATCH(AA$4&amp;AA$5, LS_previous!$D$2:$AY$2&amp;LS_previous!$D$3:$AY$3, 0)),SUM(VLOOKUP($A94, LS_previous!$B$4:$AY$138, LS_previous!S$149, FALSE), VLOOKUP('Staging Table'!$A94, LS_previous!$B$4:$AY$138,LS_previous!AQ$149, FALSE))/2)</f>
        <v>-1045</v>
      </c>
      <c r="AB94" s="227">
        <f t="array" ref="AB94">IF($G94=0, INDEX(LS_previous!$D$4:$AY$138, MATCH('Staging Table'!$A94, LS_previous!$B$4:$B$138, 0), MATCH(AB$4&amp;AB$5, LS_previous!$D$2:$AY$2&amp;LS_previous!$D$3:$AY$3, 0)),SUM(VLOOKUP($A94, LS_previous!$B$4:$AY$138, LS_previous!T$149, FALSE), VLOOKUP('Staging Table'!$A94, LS_previous!$B$4:$AY$138,LS_previous!AR$149, FALSE))/2)</f>
        <v>-1770</v>
      </c>
      <c r="AC94" s="227">
        <f t="array" ref="AC94">IF($G94=0, INDEX(LS_previous!$D$4:$AY$138, MATCH('Staging Table'!$A94, LS_previous!$B$4:$B$138, 0), MATCH(AC$4&amp;AC$5, LS_previous!$D$2:$AY$2&amp;LS_previous!$D$3:$AY$3, 0)),SUM(VLOOKUP($A94, LS_previous!$B$4:$AY$138, LS_previous!U$149, FALSE), VLOOKUP('Staging Table'!$A94, LS_previous!$B$4:$AY$138,LS_previous!AS$149, FALSE))/2)</f>
        <v>-651</v>
      </c>
      <c r="AD94" s="227">
        <f t="array" ref="AD94">IF($G94=0, INDEX(LS_previous!$D$4:$AY$138, MATCH('Staging Table'!$A94, LS_previous!$B$4:$B$138, 0), MATCH(AD$4&amp;AD$5, LS_previous!$D$2:$AY$2&amp;LS_previous!$D$3:$AY$3, 0)),SUM(VLOOKUP($A94, LS_previous!$B$4:$AY$138, LS_previous!V$149, FALSE), VLOOKUP('Staging Table'!$A94, LS_previous!$B$4:$AY$138,LS_previous!AT$149, FALSE))/2)</f>
        <v>-1197</v>
      </c>
      <c r="AE94" s="227">
        <f t="array" ref="AE94">IF($G94=0, INDEX(LS_previous!$D$4:$AY$138, MATCH('Staging Table'!$A94, LS_previous!$B$4:$B$138, 0), MATCH(AE$4&amp;AE$5, LS_previous!$D$2:$AY$2&amp;LS_previous!$D$3:$AY$3, 0)),SUM(VLOOKUP($A94, LS_previous!$B$4:$AY$138, LS_previous!W$149, FALSE), VLOOKUP('Staging Table'!$A94, LS_previous!$B$4:$AY$138,LS_previous!AU$149, FALSE))/2)</f>
        <v>-266</v>
      </c>
      <c r="AF94" s="227">
        <f t="array" ref="AF94">IF($G94=0, INDEX(LS_previous!$D$4:$AY$138, MATCH('Staging Table'!$A94, LS_previous!$B$4:$B$138, 0), MATCH(AF$4&amp;AF$5, LS_previous!$D$2:$AY$2&amp;LS_previous!$D$3:$AY$3, 0)),SUM(VLOOKUP($A94, LS_previous!$B$4:$AY$138, LS_previous!X$149, FALSE), VLOOKUP('Staging Table'!$A94, LS_previous!$B$4:$AY$138,LS_previous!AV$149, FALSE))/2)</f>
        <v>-1779</v>
      </c>
      <c r="AG94" s="227">
        <f t="array" ref="AG94">IF($G94=0, INDEX(LS_previous!$D$4:$AY$138, MATCH('Staging Table'!$A94, LS_previous!$B$4:$B$138, 0), MATCH(AG$4&amp;AG$5, LS_previous!$D$2:$AY$2&amp;LS_previous!$D$3:$AY$3, 0)),SUM(VLOOKUP($A94, LS_previous!$B$4:$AY$138, LS_previous!Y$149, FALSE), VLOOKUP('Staging Table'!$A94, LS_previous!$B$4:$AY$138,LS_previous!AW$149, FALSE))/2)</f>
        <v>-425</v>
      </c>
      <c r="AH94" s="227">
        <f t="array" ref="AH94">IF($G94=0, INDEX(LS_previous!$D$4:$AY$138, MATCH('Staging Table'!$A94, LS_previous!$B$4:$B$138, 0), MATCH(AH$4&amp;AH$5, LS_previous!$D$2:$AY$2&amp;LS_previous!$D$3:$AY$3, 0)),SUM(VLOOKUP($A94, LS_previous!$B$4:$AY$138, LS_previous!Z$149, FALSE), VLOOKUP('Staging Table'!$A94, LS_previous!$B$4:$AY$138,LS_previous!AX$149, FALSE))/2)</f>
        <v>-1138</v>
      </c>
      <c r="AI94" s="227">
        <f t="array" ref="AI94">IF($G94=0, INDEX(LS_previous!$D$4:$AY$138, MATCH('Staging Table'!$A94, LS_previous!$B$4:$B$138, 0), MATCH(AI$4&amp;AI$5, LS_previous!$D$2:$AY$2&amp;LS_previous!$D$3:$AY$3, 0)),SUM(VLOOKUP($A94, LS_previous!$B$4:$AY$138, LS_previous!AA$149, FALSE), VLOOKUP('Staging Table'!$A94, LS_previous!$B$4:$AY$138,LS_previous!AY$149, FALSE))/2)</f>
        <v>-313</v>
      </c>
      <c r="AJ94" s="424">
        <f t="array" ref="AJ94">INDEX(Demand_previous!$D$4:$AY$138, MATCH('Staging Table'!$A94, Demand_previous!$B$4:$B$138, 0), MATCH(AJ$4&amp;AJ$5,Demand_previous!$D$2:$AY$2&amp;Demand_previous!$D$3:$AY$3, 0))/1000</f>
        <v>0.30299999999999999</v>
      </c>
      <c r="AK94" s="424">
        <f t="array" ref="AK94">INDEX(Demand_previous!$D$4:$AY$138, MATCH('Staging Table'!$A94, Demand_previous!$B$4:$B$138, 0), MATCH(AK$4&amp;AK$5,Demand_previous!$D$2:$AY$2&amp;Demand_previous!$D$3:$AY$3, 0))/1000</f>
        <v>0.72799999999999998</v>
      </c>
      <c r="AL94" s="424">
        <f t="array" ref="AL94">INDEX(Demand_previous!$D$4:$AY$138, MATCH('Staging Table'!$A94, Demand_previous!$B$4:$B$138, 0), MATCH(AL$4&amp;AL$5,Demand_previous!$D$2:$AY$2&amp;Demand_previous!$D$3:$AY$3, 0))/1000</f>
        <v>4.1550000000000002</v>
      </c>
      <c r="AM94" s="424">
        <f t="array" ref="AM94">INDEX(Demand_previous!$D$4:$AY$138, MATCH('Staging Table'!$A94, Demand_previous!$B$4:$B$138, 0), MATCH(AM$4&amp;AM$5,Demand_previous!$D$2:$AY$2&amp;Demand_previous!$D$3:$AY$3, 0))/1000</f>
        <v>3.4369999999999998</v>
      </c>
      <c r="AN94" s="424">
        <f t="array" ref="AN94">INDEX(Demand_previous!$D$4:$AY$138, MATCH('Staging Table'!$A94, Demand_previous!$B$4:$B$138, 0), MATCH(AN$4&amp;AN$5,Demand_previous!$D$2:$AY$2&amp;Demand_previous!$D$3:$AY$3, 0))/1000</f>
        <v>0.84599999999999997</v>
      </c>
      <c r="AO94" s="424">
        <f t="array" ref="AO94">INDEX(Demand_previous!$D$4:$AY$138, MATCH('Staging Table'!$A94, Demand_previous!$B$4:$B$138, 0), MATCH(AO$4&amp;AO$5,Demand_previous!$D$2:$AY$2&amp;Demand_previous!$D$3:$AY$3, 0))/1000</f>
        <v>3.0030000000000001</v>
      </c>
      <c r="AP94" s="424">
        <f t="array" ref="AP94">INDEX(Demand_previous!$D$4:$AY$138, MATCH('Staging Table'!$A94, Demand_previous!$B$4:$B$138, 0), MATCH(AP$4&amp;AP$5,Demand_previous!$D$2:$AY$2&amp;Demand_previous!$D$3:$AY$3, 0))/1000</f>
        <v>0</v>
      </c>
      <c r="AQ94" s="424">
        <f t="array" ref="AQ94">INDEX(Demand_previous!$D$4:$AY$138, MATCH('Staging Table'!$A94, Demand_previous!$B$4:$B$138, 0), MATCH(AQ$4&amp;AQ$5,Demand_previous!$D$2:$AY$2&amp;Demand_previous!$D$3:$AY$3, 0))/1000</f>
        <v>0</v>
      </c>
      <c r="AR94" s="424">
        <f t="array" ref="AR94">INDEX(Demand_previous!$D$4:$AY$138, MATCH('Staging Table'!$A94, Demand_previous!$B$4:$B$138, 0), MATCH(AR$4&amp;AR$5,Demand_previous!$D$2:$AY$2&amp;Demand_previous!$D$3:$AY$3, 0))/1000</f>
        <v>0.35299999999999998</v>
      </c>
      <c r="AS94" s="424">
        <f t="array" ref="AS94">INDEX(Demand_previous!$D$4:$AY$138, MATCH('Staging Table'!$A94, Demand_previous!$B$4:$B$138, 0), MATCH(AS$4&amp;AS$5,Demand_previous!$D$2:$AY$2&amp;Demand_previous!$D$3:$AY$3, 0))/1000</f>
        <v>0.78900000000000003</v>
      </c>
      <c r="AT94" s="424">
        <f t="array" ref="AT94">INDEX(Demand_previous!$D$4:$AY$138, MATCH('Staging Table'!$A94, Demand_previous!$B$4:$B$138, 0), MATCH(AT$4&amp;AT$5,Demand_previous!$D$2:$AY$2&amp;Demand_previous!$D$3:$AY$3, 0))/1000</f>
        <v>1.7749999999999999</v>
      </c>
      <c r="AU94" s="424">
        <f t="array" ref="AU94">INDEX(Demand_previous!$D$4:$AY$138, MATCH('Staging Table'!$A94, Demand_previous!$B$4:$B$138, 0), MATCH(AU$4&amp;AU$5,Demand_previous!$D$2:$AY$2&amp;Demand_previous!$D$3:$AY$3, 0))/1000</f>
        <v>0</v>
      </c>
      <c r="AV94" s="227">
        <f>$F94*(VLOOKUP(AV$4, Rates_previous!$G$6:$Q$29, 10, FALSE)+VLOOKUP(AV$4, Rates_previous!$G$6:$Q$29, 11, FALSE))</f>
        <v>6601.8835694444151</v>
      </c>
      <c r="AW94" s="227">
        <f>$F94*(VLOOKUP(AW$4, Rates_previous!$G$6:$Q$29, 10, FALSE)+VLOOKUP(AW$4, Rates_previous!$G$6:$Q$29, 11, FALSE))</f>
        <v>8159.4263220905577</v>
      </c>
      <c r="AX94" s="227">
        <f>$F94*(VLOOKUP(AX$4, Rates_previous!$G$6:$Q$29, 10, FALSE)+VLOOKUP(AX$4, Rates_previous!$G$6:$Q$29, 11, FALSE))</f>
        <v>8061.4413711075194</v>
      </c>
      <c r="AY94" s="227">
        <f>$F94*(VLOOKUP(AY$4, Rates_previous!$G$6:$Q$29, 10, FALSE)+VLOOKUP(AY$4, Rates_previous!$G$6:$Q$29, 11, FALSE))</f>
        <v>6887.73326934528</v>
      </c>
      <c r="AZ94" s="227">
        <f>$F94*(VLOOKUP(AZ$4, Rates_previous!$G$6:$Q$29, 10, FALSE)+VLOOKUP(AZ$4, Rates_previous!$G$6:$Q$29, 11, FALSE))</f>
        <v>5646.6052593343356</v>
      </c>
      <c r="BA94" s="227">
        <f>$F94*(VLOOKUP(BA$4, Rates_previous!$G$6:$Q$29, 10, FALSE)+VLOOKUP(BA$4, Rates_previous!$G$6:$Q$29, 11, FALSE))</f>
        <v>6685.3755233140482</v>
      </c>
      <c r="BB94" s="227">
        <f>$F94*(VLOOKUP(BB$4, Rates_previous!$G$6:$Q$29, 10, FALSE)+VLOOKUP(BB$4, Rates_previous!$G$6:$Q$29, 11, FALSE))</f>
        <v>6425.6183251025914</v>
      </c>
      <c r="BC94" s="227">
        <f>$F94*(VLOOKUP(BC$4, Rates_previous!$G$6:$Q$29, 10, FALSE)+VLOOKUP(BC$4, Rates_previous!$G$6:$Q$29, 11, FALSE))</f>
        <v>9429.1401976808957</v>
      </c>
      <c r="BD94" s="227">
        <f>$F94*(VLOOKUP(BD$4, Rates_previous!$G$6:$Q$29, 10, FALSE)+VLOOKUP(BD$4, Rates_previous!$G$6:$Q$29, 11, FALSE))</f>
        <v>7439.342400756992</v>
      </c>
      <c r="BE94" s="227">
        <f>$F94*(VLOOKUP(BE$4, Rates_previous!$G$6:$Q$29, 10, FALSE)+VLOOKUP(BE$4, Rates_previous!$G$6:$Q$29, 11, FALSE))</f>
        <v>6532.3670530138243</v>
      </c>
      <c r="BF94" s="227">
        <f>$F94*(VLOOKUP(BF$4, Rates_previous!$G$6:$Q$29, 10, FALSE)+VLOOKUP(BF$4, Rates_previous!$G$6:$Q$29, 11, FALSE))</f>
        <v>7234.8579869251844</v>
      </c>
      <c r="BG94" s="227">
        <f>$F94*(VLOOKUP(BG$4, Rates_previous!$G$6:$Q$29, 10, FALSE)+VLOOKUP(BG$4, Rates_previous!$G$6:$Q$29, 11, FALSE))</f>
        <v>6554.4936238840955</v>
      </c>
      <c r="BH94" s="229">
        <f>IF($D94=0,IF(C94=0, MAX(BK94 - (VLOOKUP($A94,TOCA_previous!$A$2:$AI$137,MATCH("RHWM 2018",TOCA_previous!$A$2:$AI$2,0),FALSE)*$F$2*TOCA_previous!C91),0),0), 0)</f>
        <v>0</v>
      </c>
      <c r="BI94" s="266">
        <f>VLOOKUP($A94,REP_previous!$A$1:$D$135,MATCH("FY "&amp;$F$1&amp; " Total Refund",REP_previous!$A$1:$D$1,0),0)</f>
        <v>55851.607436126746</v>
      </c>
      <c r="BJ94" s="241">
        <f>MIN(VLOOKUP($A94,TOCA_previous!$A$2:$AI$137,MATCH("TRL - NLSL - Existing Resource "&amp;$F$1,TOCA_previous!$A$2:$AI$2,0),FALSE)*$F$2,(VLOOKUP($A94,TOCA_previous!$A$2:$AI$137,MATCH("RHWM 2018",TOCA_previous!$A$2:$AI$2,0),FALSE)*$F$2))</f>
        <v>85655.28</v>
      </c>
      <c r="BK94" s="229">
        <f>SUM(L94:AI94)+(F94*RT1SC!$C$3*$F$2)</f>
        <v>85970.286151679989</v>
      </c>
      <c r="BL94" s="241">
        <f>VLOOKUP($A94,TOCA_previous!$A$2:$AI$137,MATCH("Above RHWM Not Served with LS "&amp;$F$1,TOCA_previous!$A$2:$AI$2,0),FALSE)*$F$2</f>
        <v>0</v>
      </c>
      <c r="BM94" s="151">
        <f t="shared" si="21"/>
        <v>315.00615167999058</v>
      </c>
      <c r="BN94" s="242">
        <f>(VLOOKUP($A94,TOCA_previous!$A$2:$AI$137,MATCH("RHWM 2018",TOCA_previous!$A$2:$AI$2,0),FALSE)*$F$2) - $BJ94</f>
        <v>1900.9199999999983</v>
      </c>
      <c r="BO94" s="151">
        <f t="shared" si="22"/>
        <v>-315.00615167999058</v>
      </c>
      <c r="BP94" s="243">
        <f t="shared" si="23"/>
        <v>0</v>
      </c>
      <c r="BQ94" s="237">
        <f t="shared" si="24"/>
        <v>0</v>
      </c>
      <c r="BR94" s="242">
        <f t="shared" si="25"/>
        <v>-315.00615167999058</v>
      </c>
      <c r="BS94" s="151">
        <f>VLOOKUP($A94,TOCA_current!$A$2:$AI$137,MATCH(BS$4,TOCA_current!$A$2:$AI$2,0),FALSE)</f>
        <v>1.3988E-3</v>
      </c>
      <c r="BT94" s="151">
        <f>VLOOKUP($A94,TOCA_current!$A$2:$AI$137,MATCH(BT$4,TOCA_current!$A$2:$AI$2,0),FALSE)</f>
        <v>1.3988E-3</v>
      </c>
      <c r="BU94" s="236">
        <f t="shared" si="26"/>
        <v>0</v>
      </c>
      <c r="BV94" s="151">
        <f>VLOOKUP($A94,TOCA_current!A90:BG225,MATCH(BV$4,TOCA_current!$A$2:$BG$2,0),FALSE)</f>
        <v>0.05</v>
      </c>
      <c r="BW94" s="151">
        <f t="shared" si="27"/>
        <v>0</v>
      </c>
      <c r="BX94" s="151">
        <f t="shared" si="28"/>
        <v>0</v>
      </c>
      <c r="BY94" s="226">
        <f>VLOOKUP($A94,IRD!$A$4:$G$139, 7, FALSE)</f>
        <v>0</v>
      </c>
      <c r="BZ94" s="227">
        <f t="array" ref="BZ94">IF($BU94=0, INDEX(LS_current!$D$4:$AY$138, MATCH('Staging Table'!$A94, LS_current!$B$4:$B$138, 0), MATCH(BZ$4&amp;BZ$5, LS_current!$D$2:$AY$2&amp;LS_current!$D$3:$AY$3, 0)),SUM(VLOOKUP($A94, LS_current!$B$4:$AY$138, LS_current!D$148, FALSE), VLOOKUP($A94, LS_current!$B$4:$AY$138,LS_current!D$148, FALSE))/2)</f>
        <v>-134</v>
      </c>
      <c r="CA94" s="227">
        <f t="array" ref="CA94">IF($BU94=0, INDEX(LS_current!$D$4:$AY$138, MATCH('Staging Table'!$A94, LS_current!$B$4:$B$138, 0), MATCH(CA$4&amp;CA$5, LS_current!$D$2:$AY$2&amp;LS_current!$D$3:$AY$3, 0)),SUM(VLOOKUP($A94, LS_current!$B$4:$AY$138, LS_current!E$148, FALSE), VLOOKUP($A94, LS_current!$B$4:$AY$138,LS_current!E$148, FALSE))/2)</f>
        <v>274</v>
      </c>
      <c r="CB94" s="227">
        <f t="array" ref="CB94">IF($BU94=0, INDEX(LS_current!$D$4:$AY$138, MATCH('Staging Table'!$A94, LS_current!$B$4:$B$138, 0), MATCH(CB$4&amp;CB$5, LS_current!$D$2:$AY$2&amp;LS_current!$D$3:$AY$3, 0)),SUM(VLOOKUP($A94, LS_current!$B$4:$AY$138, LS_current!F$148, FALSE), VLOOKUP($A94, LS_current!$B$4:$AY$138,LS_current!F$148, FALSE))/2)</f>
        <v>152</v>
      </c>
      <c r="CC94" s="227">
        <f t="array" ref="CC94">IF($BU94=0, INDEX(LS_current!$D$4:$AY$138, MATCH('Staging Table'!$A94, LS_current!$B$4:$B$138, 0), MATCH(CC$4&amp;CC$5, LS_current!$D$2:$AY$2&amp;LS_current!$D$3:$AY$3, 0)),SUM(VLOOKUP($A94, LS_current!$B$4:$AY$138, LS_current!G$148, FALSE), VLOOKUP($A94, LS_current!$B$4:$AY$138,LS_current!G$148, FALSE))/2)</f>
        <v>685</v>
      </c>
      <c r="CD94" s="227">
        <f t="array" ref="CD94">IF($BU94=0, INDEX(LS_current!$D$4:$AY$138, MATCH('Staging Table'!$A94, LS_current!$B$4:$B$138, 0), MATCH(CD$4&amp;CD$5, LS_current!$D$2:$AY$2&amp;LS_current!$D$3:$AY$3, 0)),SUM(VLOOKUP($A94, LS_current!$B$4:$AY$138, LS_current!H$148, FALSE), VLOOKUP($A94, LS_current!$B$4:$AY$138,LS_current!H$148, FALSE))/2)</f>
        <v>701</v>
      </c>
      <c r="CE94" s="227">
        <f t="array" ref="CE94">IF($BU94=0, INDEX(LS_current!$D$4:$AY$138, MATCH('Staging Table'!$A94, LS_current!$B$4:$B$138, 0), MATCH(CE$4&amp;CE$5, LS_current!$D$2:$AY$2&amp;LS_current!$D$3:$AY$3, 0)),SUM(VLOOKUP($A94, LS_current!$B$4:$AY$138, LS_current!I$148, FALSE), VLOOKUP($A94, LS_current!$B$4:$AY$138,LS_current!I$148, FALSE))/2)</f>
        <v>1273</v>
      </c>
      <c r="CF94" s="227">
        <f t="array" ref="CF94">IF($BU94=0, INDEX(LS_current!$D$4:$AY$138, MATCH('Staging Table'!$A94, LS_current!$B$4:$B$138, 0), MATCH(CF$4&amp;CF$5, LS_current!$D$2:$AY$2&amp;LS_current!$D$3:$AY$3, 0)),SUM(VLOOKUP($A94, LS_current!$B$4:$AY$138, LS_current!J$148, FALSE), VLOOKUP($A94, LS_current!$B$4:$AY$138,LS_current!J$148, FALSE))/2)</f>
        <v>1890</v>
      </c>
      <c r="CG94" s="227">
        <f t="array" ref="CG94">IF($BU94=0, INDEX(LS_current!$D$4:$AY$138, MATCH('Staging Table'!$A94, LS_current!$B$4:$B$138, 0), MATCH(CG$4&amp;CG$5, LS_current!$D$2:$AY$2&amp;LS_current!$D$3:$AY$3, 0)),SUM(VLOOKUP($A94, LS_current!$B$4:$AY$138, LS_current!K$148, FALSE), VLOOKUP($A94, LS_current!$B$4:$AY$138,LS_current!K$148, FALSE))/2)</f>
        <v>1774</v>
      </c>
      <c r="CH94" s="227">
        <f t="array" ref="CH94">IF($BU94=0, INDEX(LS_current!$D$4:$AY$138, MATCH('Staging Table'!$A94, LS_current!$B$4:$B$138, 0), MATCH(CH$4&amp;CH$5, LS_current!$D$2:$AY$2&amp;LS_current!$D$3:$AY$3, 0)),SUM(VLOOKUP($A94, LS_current!$B$4:$AY$138, LS_current!L$148, FALSE), VLOOKUP($A94, LS_current!$B$4:$AY$138,LS_current!L$148, FALSE))/2)</f>
        <v>1685</v>
      </c>
      <c r="CI94" s="227">
        <f t="array" ref="CI94">IF($BU94=0, INDEX(LS_current!$D$4:$AY$138, MATCH('Staging Table'!$A94, LS_current!$B$4:$B$138, 0), MATCH(CI$4&amp;CI$5, LS_current!$D$2:$AY$2&amp;LS_current!$D$3:$AY$3, 0)),SUM(VLOOKUP($A94, LS_current!$B$4:$AY$138, LS_current!M$148, FALSE), VLOOKUP($A94, LS_current!$B$4:$AY$138,LS_current!M$148, FALSE))/2)</f>
        <v>1422</v>
      </c>
      <c r="CJ94" s="227">
        <f t="array" ref="CJ94">IF($BU94=0, INDEX(LS_current!$D$4:$AY$138, MATCH('Staging Table'!$A94, LS_current!$B$4:$B$138, 0), MATCH(CJ$4&amp;CJ$5, LS_current!$D$2:$AY$2&amp;LS_current!$D$3:$AY$3, 0)),SUM(VLOOKUP($A94, LS_current!$B$4:$AY$138, LS_current!N$148, FALSE), VLOOKUP($A94, LS_current!$B$4:$AY$138,LS_current!N$148, FALSE))/2)</f>
        <v>344</v>
      </c>
      <c r="CK94" s="227">
        <f t="array" ref="CK94">IF($BU94=0, INDEX(LS_current!$D$4:$AY$138, MATCH('Staging Table'!$A94, LS_current!$B$4:$B$138, 0), MATCH(CK$4&amp;CK$5, LS_current!$D$2:$AY$2&amp;LS_current!$D$3:$AY$3, 0)),SUM(VLOOKUP($A94, LS_current!$B$4:$AY$138, LS_current!O$148, FALSE), VLOOKUP($A94, LS_current!$B$4:$AY$138,LS_current!O$148, FALSE))/2)</f>
        <v>867</v>
      </c>
      <c r="CL94" s="227">
        <f t="array" ref="CL94">IF($BU94=0, INDEX(LS_current!$D$4:$AY$138, MATCH('Staging Table'!$A94, LS_current!$B$4:$B$138, 0), MATCH(CL$4&amp;CL$5, LS_current!$D$2:$AY$2&amp;LS_current!$D$3:$AY$3, 0)),SUM(VLOOKUP($A94, LS_current!$B$4:$AY$138, LS_current!P$148, FALSE), VLOOKUP($A94, LS_current!$B$4:$AY$138,LS_current!P$148, FALSE))/2)</f>
        <v>647</v>
      </c>
      <c r="CM94" s="227">
        <f t="array" ref="CM94">IF($BU94=0, INDEX(LS_current!$D$4:$AY$138, MATCH('Staging Table'!$A94, LS_current!$B$4:$B$138, 0), MATCH(CM$4&amp;CM$5, LS_current!$D$2:$AY$2&amp;LS_current!$D$3:$AY$3, 0)),SUM(VLOOKUP($A94, LS_current!$B$4:$AY$138, LS_current!Q$148, FALSE), VLOOKUP($A94, LS_current!$B$4:$AY$138,LS_current!Q$148, FALSE))/2)</f>
        <v>685</v>
      </c>
      <c r="CN94" s="227">
        <f t="array" ref="CN94">IF($BU94=0, INDEX(LS_current!$D$4:$AY$138, MATCH('Staging Table'!$A94, LS_current!$B$4:$B$138, 0), MATCH(CN$4&amp;CN$5, LS_current!$D$2:$AY$2&amp;LS_current!$D$3:$AY$3, 0)),SUM(VLOOKUP($A94, LS_current!$B$4:$AY$138, LS_current!R$148, FALSE), VLOOKUP($A94, LS_current!$B$4:$AY$138,LS_current!R$148, FALSE))/2)</f>
        <v>-1740</v>
      </c>
      <c r="CO94" s="227">
        <f t="array" ref="CO94">IF($BU94=0, INDEX(LS_current!$D$4:$AY$138, MATCH('Staging Table'!$A94, LS_current!$B$4:$B$138, 0), MATCH(CO$4&amp;CO$5, LS_current!$D$2:$AY$2&amp;LS_current!$D$3:$AY$3, 0)),SUM(VLOOKUP($A94, LS_current!$B$4:$AY$138, LS_current!S$148, FALSE), VLOOKUP($A94, LS_current!$B$4:$AY$138,LS_current!S$148, FALSE))/2)</f>
        <v>-250</v>
      </c>
      <c r="CP94" s="227">
        <f t="array" ref="CP94">IF($BU94=0, INDEX(LS_current!$D$4:$AY$138, MATCH('Staging Table'!$A94, LS_current!$B$4:$B$138, 0), MATCH(CP$4&amp;CP$5, LS_current!$D$2:$AY$2&amp;LS_current!$D$3:$AY$3, 0)),SUM(VLOOKUP($A94, LS_current!$B$4:$AY$138, LS_current!T$148, FALSE), VLOOKUP($A94, LS_current!$B$4:$AY$138,LS_current!T$148, FALSE))/2)</f>
        <v>-3094</v>
      </c>
      <c r="CQ94" s="227">
        <f t="array" ref="CQ94">IF($BU94=0, INDEX(LS_current!$D$4:$AY$138, MATCH('Staging Table'!$A94, LS_current!$B$4:$B$138, 0), MATCH(CQ$4&amp;CQ$5, LS_current!$D$2:$AY$2&amp;LS_current!$D$3:$AY$3, 0)),SUM(VLOOKUP($A94, LS_current!$B$4:$AY$138, LS_current!U$148, FALSE), VLOOKUP($A94, LS_current!$B$4:$AY$138,LS_current!U$148, FALSE))/2)</f>
        <v>-1426</v>
      </c>
      <c r="CR94" s="227">
        <f t="array" ref="CR94">IF($BU94=0, INDEX(LS_current!$D$4:$AY$138, MATCH('Staging Table'!$A94, LS_current!$B$4:$B$138, 0), MATCH(CR$4&amp;CR$5, LS_current!$D$2:$AY$2&amp;LS_current!$D$3:$AY$3, 0)),SUM(VLOOKUP($A94, LS_current!$B$4:$AY$138, LS_current!V$148, FALSE), VLOOKUP($A94, LS_current!$B$4:$AY$138,LS_current!V$148, FALSE))/2)</f>
        <v>-2075</v>
      </c>
      <c r="CS94" s="227">
        <f t="array" ref="CS94">IF($BU94=0, INDEX(LS_current!$D$4:$AY$138, MATCH('Staging Table'!$A94, LS_current!$B$4:$B$138, 0), MATCH(CS$4&amp;CS$5, LS_current!$D$2:$AY$2&amp;LS_current!$D$3:$AY$3, 0)),SUM(VLOOKUP($A94, LS_current!$B$4:$AY$138, LS_current!W$148, FALSE), VLOOKUP($A94, LS_current!$B$4:$AY$138,LS_current!W$148, FALSE))/2)</f>
        <v>-335</v>
      </c>
      <c r="CT94" s="227">
        <f t="array" ref="CT94">IF($BU94=0, INDEX(LS_current!$D$4:$AY$138, MATCH('Staging Table'!$A94, LS_current!$B$4:$B$138, 0), MATCH(CT$4&amp;CT$5, LS_current!$D$2:$AY$2&amp;LS_current!$D$3:$AY$3, 0)),SUM(VLOOKUP($A94, LS_current!$B$4:$AY$138, LS_current!X$148, FALSE), VLOOKUP($A94, LS_current!$B$4:$AY$138,LS_current!X$148, FALSE))/2)</f>
        <v>-1929</v>
      </c>
      <c r="CU94" s="227">
        <f t="array" ref="CU94">IF($BU94=0, INDEX(LS_current!$D$4:$AY$138, MATCH('Staging Table'!$A94, LS_current!$B$4:$B$138, 0), MATCH(CU$4&amp;CU$5, LS_current!$D$2:$AY$2&amp;LS_current!$D$3:$AY$3, 0)),SUM(VLOOKUP($A94, LS_current!$B$4:$AY$138, LS_current!Y$148, FALSE), VLOOKUP($A94, LS_current!$B$4:$AY$138,LS_current!Y$148, FALSE))/2)</f>
        <v>-322</v>
      </c>
      <c r="CV94" s="227">
        <f t="array" ref="CV94">IF($BU94=0, INDEX(LS_current!$D$4:$AY$138, MATCH('Staging Table'!$A94, LS_current!$B$4:$B$138, 0), MATCH(CV$4&amp;CV$5, LS_current!$D$2:$AY$2&amp;LS_current!$D$3:$AY$3, 0)),SUM(VLOOKUP($A94, LS_current!$B$4:$AY$138, LS_current!Z$148, FALSE), VLOOKUP($A94, LS_current!$B$4:$AY$138,LS_current!Z$148, FALSE))/2)</f>
        <v>-1135</v>
      </c>
      <c r="CW94" s="227">
        <f t="array" ref="CW94">IF($BU94=0, INDEX(LS_current!$D$4:$AY$138, MATCH('Staging Table'!$A94, LS_current!$B$4:$B$138, 0), MATCH(CW$4&amp;CW$5, LS_current!$D$2:$AY$2&amp;LS_current!$D$3:$AY$3, 0)),SUM(VLOOKUP($A94, LS_current!$B$4:$AY$138, LS_current!AA$148, FALSE), VLOOKUP($A94, LS_current!$B$4:$AY$138,LS_current!AA$148, FALSE))/2)</f>
        <v>-299</v>
      </c>
      <c r="CX94" s="229">
        <f t="array" ref="CX94">INDEX(Demand_current!$D$4:$AY$138, MATCH($A94, Demand_current!$B$4:$B$138, 0), MATCH(CX$4&amp;CX$5,Demand_current!$D$2:$AY$2&amp;Demand_current!$D$3:$AY$3, 0))/1000</f>
        <v>0.66600000000000004</v>
      </c>
      <c r="CY94" s="229">
        <f t="array" ref="CY94">INDEX(Demand_current!$D$4:$AY$138, MATCH($A94, Demand_current!$B$4:$B$138, 0), MATCH(CY$4&amp;CY$5,Demand_current!$D$2:$AY$2&amp;Demand_current!$D$3:$AY$3, 0))/1000</f>
        <v>0.72799999999999998</v>
      </c>
      <c r="CZ94" s="229">
        <f t="array" ref="CZ94">INDEX(Demand_current!$D$4:$AY$138, MATCH($A94, Demand_current!$B$4:$B$138, 0), MATCH(CZ$4&amp;CZ$5,Demand_current!$D$2:$AY$2&amp;Demand_current!$D$3:$AY$3, 0))/1000</f>
        <v>4.1550000000000002</v>
      </c>
      <c r="DA94" s="229">
        <f t="array" ref="DA94">INDEX(Demand_current!$D$4:$AY$138, MATCH($A94, Demand_current!$B$4:$B$138, 0), MATCH(DA$4&amp;DA$5,Demand_current!$D$2:$AY$2&amp;Demand_current!$D$3:$AY$3, 0))/1000</f>
        <v>3.4369999999999998</v>
      </c>
      <c r="DB94" s="229">
        <f t="array" ref="DB94">INDEX(Demand_current!$D$4:$AY$138, MATCH($A94, Demand_current!$B$4:$B$138, 0), MATCH(DB$4&amp;DB$5,Demand_current!$D$2:$AY$2&amp;Demand_current!$D$3:$AY$3, 0))/1000</f>
        <v>1.4239999999999999</v>
      </c>
      <c r="DC94" s="229">
        <f t="array" ref="DC94">INDEX(Demand_current!$D$4:$AY$138, MATCH($A94, Demand_current!$B$4:$B$138, 0), MATCH(DC$4&amp;DC$5,Demand_current!$D$2:$AY$2&amp;Demand_current!$D$3:$AY$3, 0))/1000</f>
        <v>2.5870000000000002</v>
      </c>
      <c r="DD94" s="229">
        <f t="array" ref="DD94">INDEX(Demand_current!$D$4:$AY$138, MATCH($A94, Demand_current!$B$4:$B$138, 0), MATCH(DD$4&amp;DD$5,Demand_current!$D$2:$AY$2&amp;Demand_current!$D$3:$AY$3, 0))/1000</f>
        <v>0</v>
      </c>
      <c r="DE94" s="229">
        <f t="array" ref="DE94">INDEX(Demand_current!$D$4:$AY$138, MATCH($A94, Demand_current!$B$4:$B$138, 0), MATCH(DE$4&amp;DE$5,Demand_current!$D$2:$AY$2&amp;Demand_current!$D$3:$AY$3, 0))/1000</f>
        <v>0</v>
      </c>
      <c r="DF94" s="229">
        <f t="array" ref="DF94">INDEX(Demand_current!$D$4:$AY$138, MATCH($A94, Demand_current!$B$4:$B$138, 0), MATCH(DF$4&amp;DF$5,Demand_current!$D$2:$AY$2&amp;Demand_current!$D$3:$AY$3, 0))/1000</f>
        <v>0.35299999999999998</v>
      </c>
      <c r="DG94" s="229">
        <f t="array" ref="DG94">INDEX(Demand_current!$D$4:$AY$138, MATCH($A94, Demand_current!$B$4:$B$138, 0), MATCH(DG$4&amp;DG$5,Demand_current!$D$2:$AY$2&amp;Demand_current!$D$3:$AY$3, 0))/1000</f>
        <v>1.085</v>
      </c>
      <c r="DH94" s="229">
        <f t="array" ref="DH94">INDEX(Demand_current!$D$4:$AY$138, MATCH($A94, Demand_current!$B$4:$B$138, 0), MATCH(DH$4&amp;DH$5,Demand_current!$D$2:$AY$2&amp;Demand_current!$D$3:$AY$3, 0))/1000</f>
        <v>1.5029999999999999</v>
      </c>
      <c r="DI94" s="229">
        <f t="array" ref="DI94">INDEX(Demand_current!$D$4:$AY$138, MATCH($A94, Demand_current!$B$4:$B$138, 0), MATCH(DI$4&amp;DI$5,Demand_current!$D$2:$AY$2&amp;Demand_current!$D$3:$AY$3, 0))/1000</f>
        <v>0</v>
      </c>
      <c r="DJ94" s="227">
        <f>$BT94*(VLOOKUP(DJ$4, Rates_current!$G$6:$Q$29, 10, FALSE)+VLOOKUP(DJ$4, Rates_current!$G$6:$Q$29, 11, FALSE))</f>
        <v>6458.7032937647991</v>
      </c>
      <c r="DK94" s="227">
        <f>$BT94*(VLOOKUP(DK$4, Rates_current!$G$6:$Q$29, 10, FALSE)+VLOOKUP(DK$4, Rates_current!$G$6:$Q$29, 11, FALSE))</f>
        <v>8204.5680147132007</v>
      </c>
      <c r="DL94" s="227">
        <f>$BT94*(VLOOKUP(DL$4, Rates_current!$G$6:$Q$29, 10, FALSE)+VLOOKUP(DL$4, Rates_current!$G$6:$Q$29, 11, FALSE))</f>
        <v>8105.4867541648</v>
      </c>
      <c r="DM94" s="227">
        <f>$BT94*(VLOOKUP(DM$4, Rates_current!$G$6:$Q$29, 10, FALSE)+VLOOKUP(DM$4, Rates_current!$G$6:$Q$29, 11, FALSE))</f>
        <v>6756.4168917648003</v>
      </c>
      <c r="DN94" s="227">
        <f>$BT94*(VLOOKUP(DN$4, Rates_current!$G$6:$Q$29, 10, FALSE)+VLOOKUP(DN$4, Rates_current!$G$6:$Q$29, 11, FALSE))</f>
        <v>6120.6127798399993</v>
      </c>
      <c r="DO94" s="227">
        <f>$BT94*(VLOOKUP(DO$4, Rates_current!$G$6:$Q$29, 10, FALSE)+VLOOKUP(DO$4, Rates_current!$G$6:$Q$29, 11, FALSE))</f>
        <v>6808.0658206755998</v>
      </c>
      <c r="DP94" s="227">
        <f>$BT94*(VLOOKUP(DP$4, Rates_current!$G$6:$Q$29, 10, FALSE)+VLOOKUP(DP$4, Rates_current!$G$6:$Q$29, 11, FALSE))</f>
        <v>5543.1345378239994</v>
      </c>
      <c r="DQ94" s="227">
        <f>$BT94*(VLOOKUP(DQ$4, Rates_current!$G$6:$Q$29, 10, FALSE)+VLOOKUP(DQ$4, Rates_current!$G$6:$Q$29, 11, FALSE))</f>
        <v>7475.7434971648008</v>
      </c>
      <c r="DR94" s="227">
        <f>$BT94*(VLOOKUP(DR$4, Rates_current!$G$6:$Q$29, 10, FALSE)+VLOOKUP(DR$4, Rates_current!$G$6:$Q$29, 11, FALSE))</f>
        <v>9538.5402664240009</v>
      </c>
      <c r="DS94" s="227">
        <f>$BT94*(VLOOKUP(DS$4, Rates_current!$G$6:$Q$29, 10, FALSE)+VLOOKUP(DS$4, Rates_current!$G$6:$Q$29, 11, FALSE))</f>
        <v>7478.5180169648002</v>
      </c>
      <c r="DT94" s="227">
        <f>$BT94*(VLOOKUP(DT$4, Rates_current!$G$6:$Q$29, 10, FALSE)+VLOOKUP(DT$4, Rates_current!$G$6:$Q$29, 11, FALSE))</f>
        <v>7282.5874015648005</v>
      </c>
      <c r="DU94" s="227">
        <f>$BT94*(VLOOKUP(DU$4, Rates_current!$G$6:$Q$29, 10, FALSE)+VLOOKUP(DU$4, Rates_current!$G$6:$Q$29, 11, FALSE))</f>
        <v>6538.2142806240008</v>
      </c>
      <c r="DV94" s="229">
        <f>IF(D94=0,IF(C94=0,MAX(0,DY94 - (VLOOKUP($A94,TOCA_current!$A$2:$AI$137,MATCH("RHWM 2020",TOCA_current!$A$2:$AI$2,0),FALSE)*$BT$2)), 0),0)</f>
        <v>0</v>
      </c>
      <c r="DW94" s="266">
        <f>VLOOKUP($A94,REP_current!$A$1:$D$135,MATCH("FY "&amp;$BT$1&amp; " Total Refund",REP_current!$A$1:$D$1,0),0)</f>
        <v>0</v>
      </c>
      <c r="DX94" s="295">
        <f>MIN(VLOOKUP($A94,TOCA_current!$A$2:$AI$137,MATCH("TRL - NLSL - Existing Resource "&amp;$BT$1,TOCA_current!$A$2:$AI$2,0),FALSE)*$BT$2, VLOOKUP($A94,TOCA_current!$A$2:$AI$137,MATCH("RHWM 2020",TOCA_current!$A$2:$AI$2,0),FALSE)*$BT$2)</f>
        <v>86311.584000000003</v>
      </c>
      <c r="DY94" s="240">
        <f>SUM(BZ94:CW94)+(BT94*RT1SC!$C$4*$BT$2)</f>
        <v>85970.594795110403</v>
      </c>
      <c r="DZ94" s="271">
        <f>VLOOKUP($A94,TOCA_current!$A$2:$AI$137,MATCH("Above RHWM Not Served with LS "&amp;$BT$1,TOCA_current!$A$2:$AI$2,0),FALSE)*$BT$2</f>
        <v>0</v>
      </c>
      <c r="EA94" s="244">
        <f t="shared" si="29"/>
        <v>-340.98920488959993</v>
      </c>
      <c r="EB94" s="295">
        <f>(VLOOKUP($A94,TOCA_current!$A$2:$AI$137,MATCH("RHWM 2020",TOCA_current!$A$2:$AI$2,0),FALSE)*$BT$2) - $DX94</f>
        <v>2450.7360000000044</v>
      </c>
      <c r="EC94" s="240">
        <f t="shared" si="30"/>
        <v>0</v>
      </c>
      <c r="ED94" s="240">
        <f t="shared" si="31"/>
        <v>340.98920488959993</v>
      </c>
      <c r="EE94" s="240">
        <f t="shared" si="32"/>
        <v>0</v>
      </c>
      <c r="EF94" s="240">
        <f t="shared" si="33"/>
        <v>340.98920488959993</v>
      </c>
    </row>
    <row r="95" spans="1:136">
      <c r="A95" s="166">
        <v>10285</v>
      </c>
      <c r="B95" s="167" t="s">
        <v>96</v>
      </c>
      <c r="C95" s="240">
        <v>1</v>
      </c>
      <c r="D95" s="240">
        <v>0</v>
      </c>
      <c r="E95" s="150">
        <f>VLOOKUP($A95,TOCA_previous!$A$2:$AI$137,MATCH(E$4,TOCA_previous!$A$2:$AI$2,0),FALSE)</f>
        <v>9.2500000000000004E-4</v>
      </c>
      <c r="F95" s="151">
        <f>VLOOKUP($A95,TOCA_previous!$A$2:$AI$137,MATCH(F$4,TOCA_previous!$A$2:$AI$2,0),FALSE)</f>
        <v>9.2500000000000004E-4</v>
      </c>
      <c r="G95" s="151">
        <f t="shared" si="18"/>
        <v>0</v>
      </c>
      <c r="H95" s="151">
        <f>VLOOKUP($A95,TOCA_previous!$A$2:$AI$137,MATCH(H$4,TOCA_previous!$A$2:$AI$2,0),FALSE)</f>
        <v>7.2244699999999995E-2</v>
      </c>
      <c r="I95" s="151">
        <f t="shared" si="19"/>
        <v>7.2244699999999995E-2</v>
      </c>
      <c r="J95" s="151">
        <f t="shared" si="20"/>
        <v>9.2500000000000004E-4</v>
      </c>
      <c r="K95" s="226">
        <f>VLOOKUP(A95, IRD!$A$5:$C$139, 3, FALSE)</f>
        <v>0</v>
      </c>
      <c r="L95" s="227">
        <f t="array" ref="L95">IF($G95=0, INDEX(LS_previous!$D$4:$AY$138, MATCH('Staging Table'!$A95, LS_previous!$B$4:$B$138, 0), MATCH(L$4&amp;L$5, LS_previous!$D$2:$AY$2&amp;LS_previous!$D$3:$AY$3, 0)),SUM(VLOOKUP($A95, LS_previous!$B$4:$AY$138, LS_previous!D$149, FALSE), VLOOKUP('Staging Table'!$A95, LS_previous!$B$4:$AY$138,LS_previous!AB$149, FALSE))/2)</f>
        <v>0</v>
      </c>
      <c r="M95" s="227">
        <f t="array" ref="M95">IF($G95=0, INDEX(LS_previous!$D$4:$AY$138, MATCH('Staging Table'!$A95, LS_previous!$B$4:$B$138, 0), MATCH(M$4&amp;M$5, LS_previous!$D$2:$AY$2&amp;LS_previous!$D$3:$AY$3, 0)),SUM(VLOOKUP($A95, LS_previous!$B$4:$AY$138, LS_previous!E$149, FALSE), VLOOKUP('Staging Table'!$A95, LS_previous!$B$4:$AY$138,LS_previous!AC$149, FALSE))/2)</f>
        <v>0</v>
      </c>
      <c r="N95" s="227">
        <f t="array" ref="N95">IF($G95=0, INDEX(LS_previous!$D$4:$AY$138, MATCH('Staging Table'!$A95, LS_previous!$B$4:$B$138, 0), MATCH(N$4&amp;N$5, LS_previous!$D$2:$AY$2&amp;LS_previous!$D$3:$AY$3, 0)),SUM(VLOOKUP($A95, LS_previous!$B$4:$AY$138, LS_previous!F$149, FALSE), VLOOKUP('Staging Table'!$A95, LS_previous!$B$4:$AY$138,LS_previous!AD$149, FALSE))/2)</f>
        <v>0</v>
      </c>
      <c r="O95" s="227">
        <f t="array" ref="O95">IF($G95=0, INDEX(LS_previous!$D$4:$AY$138, MATCH('Staging Table'!$A95, LS_previous!$B$4:$B$138, 0), MATCH(O$4&amp;O$5, LS_previous!$D$2:$AY$2&amp;LS_previous!$D$3:$AY$3, 0)),SUM(VLOOKUP($A95, LS_previous!$B$4:$AY$138, LS_previous!G$149, FALSE), VLOOKUP('Staging Table'!$A95, LS_previous!$B$4:$AY$138,LS_previous!AE$149, FALSE))/2)</f>
        <v>0</v>
      </c>
      <c r="P95" s="227">
        <f t="array" ref="P95">IF($G95=0, INDEX(LS_previous!$D$4:$AY$138, MATCH('Staging Table'!$A95, LS_previous!$B$4:$B$138, 0), MATCH(P$4&amp;P$5, LS_previous!$D$2:$AY$2&amp;LS_previous!$D$3:$AY$3, 0)),SUM(VLOOKUP($A95, LS_previous!$B$4:$AY$138, LS_previous!H$149, FALSE), VLOOKUP('Staging Table'!$A95, LS_previous!$B$4:$AY$138,LS_previous!AF$149, FALSE))/2)</f>
        <v>0</v>
      </c>
      <c r="Q95" s="227">
        <f t="array" ref="Q95">IF($G95=0, INDEX(LS_previous!$D$4:$AY$138, MATCH('Staging Table'!$A95, LS_previous!$B$4:$B$138, 0), MATCH(Q$4&amp;Q$5, LS_previous!$D$2:$AY$2&amp;LS_previous!$D$3:$AY$3, 0)),SUM(VLOOKUP($A95, LS_previous!$B$4:$AY$138, LS_previous!I$149, FALSE), VLOOKUP('Staging Table'!$A95, LS_previous!$B$4:$AY$138,LS_previous!AG$149, FALSE))/2)</f>
        <v>0</v>
      </c>
      <c r="R95" s="227">
        <f t="array" ref="R95">IF($G95=0, INDEX(LS_previous!$D$4:$AY$138, MATCH('Staging Table'!$A95, LS_previous!$B$4:$B$138, 0), MATCH(R$4&amp;R$5, LS_previous!$D$2:$AY$2&amp;LS_previous!$D$3:$AY$3, 0)),SUM(VLOOKUP($A95, LS_previous!$B$4:$AY$138, LS_previous!J$149, FALSE), VLOOKUP('Staging Table'!$A95, LS_previous!$B$4:$AY$138,LS_previous!AH$149, FALSE))/2)</f>
        <v>0</v>
      </c>
      <c r="S95" s="227">
        <f t="array" ref="S95">IF($G95=0, INDEX(LS_previous!$D$4:$AY$138, MATCH('Staging Table'!$A95, LS_previous!$B$4:$B$138, 0), MATCH(S$4&amp;S$5, LS_previous!$D$2:$AY$2&amp;LS_previous!$D$3:$AY$3, 0)),SUM(VLOOKUP($A95, LS_previous!$B$4:$AY$138, LS_previous!K$149, FALSE), VLOOKUP('Staging Table'!$A95, LS_previous!$B$4:$AY$138,LS_previous!AI$149, FALSE))/2)</f>
        <v>0</v>
      </c>
      <c r="T95" s="227">
        <f t="array" ref="T95">IF($G95=0, INDEX(LS_previous!$D$4:$AY$138, MATCH('Staging Table'!$A95, LS_previous!$B$4:$B$138, 0), MATCH(T$4&amp;T$5, LS_previous!$D$2:$AY$2&amp;LS_previous!$D$3:$AY$3, 0)),SUM(VLOOKUP($A95, LS_previous!$B$4:$AY$138, LS_previous!L$149, FALSE), VLOOKUP('Staging Table'!$A95, LS_previous!$B$4:$AY$138,LS_previous!AJ$149, FALSE))/2)</f>
        <v>0</v>
      </c>
      <c r="U95" s="227">
        <f t="array" ref="U95">IF($G95=0, INDEX(LS_previous!$D$4:$AY$138, MATCH('Staging Table'!$A95, LS_previous!$B$4:$B$138, 0), MATCH(U$4&amp;U$5, LS_previous!$D$2:$AY$2&amp;LS_previous!$D$3:$AY$3, 0)),SUM(VLOOKUP($A95, LS_previous!$B$4:$AY$138, LS_previous!M$149, FALSE), VLOOKUP('Staging Table'!$A95, LS_previous!$B$4:$AY$138,LS_previous!AK$149, FALSE))/2)</f>
        <v>0</v>
      </c>
      <c r="V95" s="227">
        <f t="array" ref="V95">IF($G95=0, INDEX(LS_previous!$D$4:$AY$138, MATCH('Staging Table'!$A95, LS_previous!$B$4:$B$138, 0), MATCH(V$4&amp;V$5, LS_previous!$D$2:$AY$2&amp;LS_previous!$D$3:$AY$3, 0)),SUM(VLOOKUP($A95, LS_previous!$B$4:$AY$138, LS_previous!N$149, FALSE), VLOOKUP('Staging Table'!$A95, LS_previous!$B$4:$AY$138,LS_previous!AL$149, FALSE))/2)</f>
        <v>0</v>
      </c>
      <c r="W95" s="227">
        <f t="array" ref="W95">IF($G95=0, INDEX(LS_previous!$D$4:$AY$138, MATCH('Staging Table'!$A95, LS_previous!$B$4:$B$138, 0), MATCH(W$4&amp;W$5, LS_previous!$D$2:$AY$2&amp;LS_previous!$D$3:$AY$3, 0)),SUM(VLOOKUP($A95, LS_previous!$B$4:$AY$138, LS_previous!O$149, FALSE), VLOOKUP('Staging Table'!$A95, LS_previous!$B$4:$AY$138,LS_previous!AM$149, FALSE))/2)</f>
        <v>0</v>
      </c>
      <c r="X95" s="227">
        <f t="array" ref="X95">IF($G95=0, INDEX(LS_previous!$D$4:$AY$138, MATCH('Staging Table'!$A95, LS_previous!$B$4:$B$138, 0), MATCH(X$4&amp;X$5, LS_previous!$D$2:$AY$2&amp;LS_previous!$D$3:$AY$3, 0)),SUM(VLOOKUP($A95, LS_previous!$B$4:$AY$138, LS_previous!P$149, FALSE), VLOOKUP('Staging Table'!$A95, LS_previous!$B$4:$AY$138,LS_previous!AN$149, FALSE))/2)</f>
        <v>0</v>
      </c>
      <c r="Y95" s="227">
        <f t="array" ref="Y95">IF($G95=0, INDEX(LS_previous!$D$4:$AY$138, MATCH('Staging Table'!$A95, LS_previous!$B$4:$B$138, 0), MATCH(Y$4&amp;Y$5, LS_previous!$D$2:$AY$2&amp;LS_previous!$D$3:$AY$3, 0)),SUM(VLOOKUP($A95, LS_previous!$B$4:$AY$138, LS_previous!Q$149, FALSE), VLOOKUP('Staging Table'!$A95, LS_previous!$B$4:$AY$138,LS_previous!AO$149, FALSE))/2)</f>
        <v>0</v>
      </c>
      <c r="Z95" s="227">
        <f t="array" ref="Z95">IF($G95=0, INDEX(LS_previous!$D$4:$AY$138, MATCH('Staging Table'!$A95, LS_previous!$B$4:$B$138, 0), MATCH(Z$4&amp;Z$5, LS_previous!$D$2:$AY$2&amp;LS_previous!$D$3:$AY$3, 0)),SUM(VLOOKUP($A95, LS_previous!$B$4:$AY$138, LS_previous!R$149, FALSE), VLOOKUP('Staging Table'!$A95, LS_previous!$B$4:$AY$138,LS_previous!AP$149, FALSE))/2)</f>
        <v>0</v>
      </c>
      <c r="AA95" s="227">
        <f t="array" ref="AA95">IF($G95=0, INDEX(LS_previous!$D$4:$AY$138, MATCH('Staging Table'!$A95, LS_previous!$B$4:$B$138, 0), MATCH(AA$4&amp;AA$5, LS_previous!$D$2:$AY$2&amp;LS_previous!$D$3:$AY$3, 0)),SUM(VLOOKUP($A95, LS_previous!$B$4:$AY$138, LS_previous!S$149, FALSE), VLOOKUP('Staging Table'!$A95, LS_previous!$B$4:$AY$138,LS_previous!AQ$149, FALSE))/2)</f>
        <v>0</v>
      </c>
      <c r="AB95" s="227">
        <f t="array" ref="AB95">IF($G95=0, INDEX(LS_previous!$D$4:$AY$138, MATCH('Staging Table'!$A95, LS_previous!$B$4:$B$138, 0), MATCH(AB$4&amp;AB$5, LS_previous!$D$2:$AY$2&amp;LS_previous!$D$3:$AY$3, 0)),SUM(VLOOKUP($A95, LS_previous!$B$4:$AY$138, LS_previous!T$149, FALSE), VLOOKUP('Staging Table'!$A95, LS_previous!$B$4:$AY$138,LS_previous!AR$149, FALSE))/2)</f>
        <v>0</v>
      </c>
      <c r="AC95" s="227">
        <f t="array" ref="AC95">IF($G95=0, INDEX(LS_previous!$D$4:$AY$138, MATCH('Staging Table'!$A95, LS_previous!$B$4:$B$138, 0), MATCH(AC$4&amp;AC$5, LS_previous!$D$2:$AY$2&amp;LS_previous!$D$3:$AY$3, 0)),SUM(VLOOKUP($A95, LS_previous!$B$4:$AY$138, LS_previous!U$149, FALSE), VLOOKUP('Staging Table'!$A95, LS_previous!$B$4:$AY$138,LS_previous!AS$149, FALSE))/2)</f>
        <v>0</v>
      </c>
      <c r="AD95" s="227">
        <f t="array" ref="AD95">IF($G95=0, INDEX(LS_previous!$D$4:$AY$138, MATCH('Staging Table'!$A95, LS_previous!$B$4:$B$138, 0), MATCH(AD$4&amp;AD$5, LS_previous!$D$2:$AY$2&amp;LS_previous!$D$3:$AY$3, 0)),SUM(VLOOKUP($A95, LS_previous!$B$4:$AY$138, LS_previous!V$149, FALSE), VLOOKUP('Staging Table'!$A95, LS_previous!$B$4:$AY$138,LS_previous!AT$149, FALSE))/2)</f>
        <v>0</v>
      </c>
      <c r="AE95" s="227">
        <f t="array" ref="AE95">IF($G95=0, INDEX(LS_previous!$D$4:$AY$138, MATCH('Staging Table'!$A95, LS_previous!$B$4:$B$138, 0), MATCH(AE$4&amp;AE$5, LS_previous!$D$2:$AY$2&amp;LS_previous!$D$3:$AY$3, 0)),SUM(VLOOKUP($A95, LS_previous!$B$4:$AY$138, LS_previous!W$149, FALSE), VLOOKUP('Staging Table'!$A95, LS_previous!$B$4:$AY$138,LS_previous!AU$149, FALSE))/2)</f>
        <v>0</v>
      </c>
      <c r="AF95" s="227">
        <f t="array" ref="AF95">IF($G95=0, INDEX(LS_previous!$D$4:$AY$138, MATCH('Staging Table'!$A95, LS_previous!$B$4:$B$138, 0), MATCH(AF$4&amp;AF$5, LS_previous!$D$2:$AY$2&amp;LS_previous!$D$3:$AY$3, 0)),SUM(VLOOKUP($A95, LS_previous!$B$4:$AY$138, LS_previous!X$149, FALSE), VLOOKUP('Staging Table'!$A95, LS_previous!$B$4:$AY$138,LS_previous!AV$149, FALSE))/2)</f>
        <v>0</v>
      </c>
      <c r="AG95" s="227">
        <f t="array" ref="AG95">IF($G95=0, INDEX(LS_previous!$D$4:$AY$138, MATCH('Staging Table'!$A95, LS_previous!$B$4:$B$138, 0), MATCH(AG$4&amp;AG$5, LS_previous!$D$2:$AY$2&amp;LS_previous!$D$3:$AY$3, 0)),SUM(VLOOKUP($A95, LS_previous!$B$4:$AY$138, LS_previous!Y$149, FALSE), VLOOKUP('Staging Table'!$A95, LS_previous!$B$4:$AY$138,LS_previous!AW$149, FALSE))/2)</f>
        <v>0</v>
      </c>
      <c r="AH95" s="227">
        <f t="array" ref="AH95">IF($G95=0, INDEX(LS_previous!$D$4:$AY$138, MATCH('Staging Table'!$A95, LS_previous!$B$4:$B$138, 0), MATCH(AH$4&amp;AH$5, LS_previous!$D$2:$AY$2&amp;LS_previous!$D$3:$AY$3, 0)),SUM(VLOOKUP($A95, LS_previous!$B$4:$AY$138, LS_previous!Z$149, FALSE), VLOOKUP('Staging Table'!$A95, LS_previous!$B$4:$AY$138,LS_previous!AX$149, FALSE))/2)</f>
        <v>0</v>
      </c>
      <c r="AI95" s="227">
        <f t="array" ref="AI95">IF($G95=0, INDEX(LS_previous!$D$4:$AY$138, MATCH('Staging Table'!$A95, LS_previous!$B$4:$B$138, 0), MATCH(AI$4&amp;AI$5, LS_previous!$D$2:$AY$2&amp;LS_previous!$D$3:$AY$3, 0)),SUM(VLOOKUP($A95, LS_previous!$B$4:$AY$138, LS_previous!AA$149, FALSE), VLOOKUP('Staging Table'!$A95, LS_previous!$B$4:$AY$138,LS_previous!AY$149, FALSE))/2)</f>
        <v>0</v>
      </c>
      <c r="AJ95" s="424">
        <f t="array" ref="AJ95">INDEX(Demand_previous!$D$4:$AY$138, MATCH('Staging Table'!$A95, Demand_previous!$B$4:$B$138, 0), MATCH(AJ$4&amp;AJ$5,Demand_previous!$D$2:$AY$2&amp;Demand_previous!$D$3:$AY$3, 0))/1000</f>
        <v>0</v>
      </c>
      <c r="AK95" s="424">
        <f t="array" ref="AK95">INDEX(Demand_previous!$D$4:$AY$138, MATCH('Staging Table'!$A95, Demand_previous!$B$4:$B$138, 0), MATCH(AK$4&amp;AK$5,Demand_previous!$D$2:$AY$2&amp;Demand_previous!$D$3:$AY$3, 0))/1000</f>
        <v>0</v>
      </c>
      <c r="AL95" s="424">
        <f t="array" ref="AL95">INDEX(Demand_previous!$D$4:$AY$138, MATCH('Staging Table'!$A95, Demand_previous!$B$4:$B$138, 0), MATCH(AL$4&amp;AL$5,Demand_previous!$D$2:$AY$2&amp;Demand_previous!$D$3:$AY$3, 0))/1000</f>
        <v>0</v>
      </c>
      <c r="AM95" s="424">
        <f t="array" ref="AM95">INDEX(Demand_previous!$D$4:$AY$138, MATCH('Staging Table'!$A95, Demand_previous!$B$4:$B$138, 0), MATCH(AM$4&amp;AM$5,Demand_previous!$D$2:$AY$2&amp;Demand_previous!$D$3:$AY$3, 0))/1000</f>
        <v>0</v>
      </c>
      <c r="AN95" s="424">
        <f t="array" ref="AN95">INDEX(Demand_previous!$D$4:$AY$138, MATCH('Staging Table'!$A95, Demand_previous!$B$4:$B$138, 0), MATCH(AN$4&amp;AN$5,Demand_previous!$D$2:$AY$2&amp;Demand_previous!$D$3:$AY$3, 0))/1000</f>
        <v>0</v>
      </c>
      <c r="AO95" s="424">
        <f t="array" ref="AO95">INDEX(Demand_previous!$D$4:$AY$138, MATCH('Staging Table'!$A95, Demand_previous!$B$4:$B$138, 0), MATCH(AO$4&amp;AO$5,Demand_previous!$D$2:$AY$2&amp;Demand_previous!$D$3:$AY$3, 0))/1000</f>
        <v>0</v>
      </c>
      <c r="AP95" s="424">
        <f t="array" ref="AP95">INDEX(Demand_previous!$D$4:$AY$138, MATCH('Staging Table'!$A95, Demand_previous!$B$4:$B$138, 0), MATCH(AP$4&amp;AP$5,Demand_previous!$D$2:$AY$2&amp;Demand_previous!$D$3:$AY$3, 0))/1000</f>
        <v>0</v>
      </c>
      <c r="AQ95" s="424">
        <f t="array" ref="AQ95">INDEX(Demand_previous!$D$4:$AY$138, MATCH('Staging Table'!$A95, Demand_previous!$B$4:$B$138, 0), MATCH(AQ$4&amp;AQ$5,Demand_previous!$D$2:$AY$2&amp;Demand_previous!$D$3:$AY$3, 0))/1000</f>
        <v>0</v>
      </c>
      <c r="AR95" s="424">
        <f t="array" ref="AR95">INDEX(Demand_previous!$D$4:$AY$138, MATCH('Staging Table'!$A95, Demand_previous!$B$4:$B$138, 0), MATCH(AR$4&amp;AR$5,Demand_previous!$D$2:$AY$2&amp;Demand_previous!$D$3:$AY$3, 0))/1000</f>
        <v>0</v>
      </c>
      <c r="AS95" s="424">
        <f t="array" ref="AS95">INDEX(Demand_previous!$D$4:$AY$138, MATCH('Staging Table'!$A95, Demand_previous!$B$4:$B$138, 0), MATCH(AS$4&amp;AS$5,Demand_previous!$D$2:$AY$2&amp;Demand_previous!$D$3:$AY$3, 0))/1000</f>
        <v>0</v>
      </c>
      <c r="AT95" s="424">
        <f t="array" ref="AT95">INDEX(Demand_previous!$D$4:$AY$138, MATCH('Staging Table'!$A95, Demand_previous!$B$4:$B$138, 0), MATCH(AT$4&amp;AT$5,Demand_previous!$D$2:$AY$2&amp;Demand_previous!$D$3:$AY$3, 0))/1000</f>
        <v>0</v>
      </c>
      <c r="AU95" s="424">
        <f t="array" ref="AU95">INDEX(Demand_previous!$D$4:$AY$138, MATCH('Staging Table'!$A95, Demand_previous!$B$4:$B$138, 0), MATCH(AU$4&amp;AU$5,Demand_previous!$D$2:$AY$2&amp;Demand_previous!$D$3:$AY$3, 0))/1000</f>
        <v>0</v>
      </c>
      <c r="AV95" s="227">
        <f>$F95*(VLOOKUP(AV$4, Rates_previous!$G$6:$Q$29, 10, FALSE)+VLOOKUP(AV$4, Rates_previous!$G$6:$Q$29, 11, FALSE))</f>
        <v>4337.1749302102871</v>
      </c>
      <c r="AW95" s="227">
        <f>$F95*(VLOOKUP(AW$4, Rates_previous!$G$6:$Q$29, 10, FALSE)+VLOOKUP(AW$4, Rates_previous!$G$6:$Q$29, 11, FALSE))</f>
        <v>5360.4185709756866</v>
      </c>
      <c r="AX95" s="227">
        <f>$F95*(VLOOKUP(AX$4, Rates_previous!$G$6:$Q$29, 10, FALSE)+VLOOKUP(AX$4, Rates_previous!$G$6:$Q$29, 11, FALSE))</f>
        <v>5296.0463553085619</v>
      </c>
      <c r="AY95" s="227">
        <f>$F95*(VLOOKUP(AY$4, Rates_previous!$G$6:$Q$29, 10, FALSE)+VLOOKUP(AY$4, Rates_previous!$G$6:$Q$29, 11, FALSE))</f>
        <v>4524.9668140230006</v>
      </c>
      <c r="AZ95" s="227">
        <f>$F95*(VLOOKUP(AZ$4, Rates_previous!$G$6:$Q$29, 10, FALSE)+VLOOKUP(AZ$4, Rates_previous!$G$6:$Q$29, 11, FALSE))</f>
        <v>3709.5950744916627</v>
      </c>
      <c r="BA95" s="227">
        <f>$F95*(VLOOKUP(BA$4, Rates_previous!$G$6:$Q$29, 10, FALSE)+VLOOKUP(BA$4, Rates_previous!$G$6:$Q$29, 11, FALSE))</f>
        <v>4392.0258231999251</v>
      </c>
      <c r="BB95" s="227">
        <f>$F95*(VLOOKUP(BB$4, Rates_previous!$G$6:$Q$29, 10, FALSE)+VLOOKUP(BB$4, Rates_previous!$G$6:$Q$29, 11, FALSE))</f>
        <v>4221.3756752272002</v>
      </c>
      <c r="BC95" s="227">
        <f>$F95*(VLOOKUP(BC$4, Rates_previous!$G$6:$Q$29, 10, FALSE)+VLOOKUP(BC$4, Rates_previous!$G$6:$Q$29, 11, FALSE))</f>
        <v>6194.5700872548505</v>
      </c>
      <c r="BD95" s="227">
        <f>$F95*(VLOOKUP(BD$4, Rates_previous!$G$6:$Q$29, 10, FALSE)+VLOOKUP(BD$4, Rates_previous!$G$6:$Q$29, 11, FALSE))</f>
        <v>4887.3520743609506</v>
      </c>
      <c r="BE95" s="227">
        <f>$F95*(VLOOKUP(BE$4, Rates_previous!$G$6:$Q$29, 10, FALSE)+VLOOKUP(BE$4, Rates_previous!$G$6:$Q$29, 11, FALSE))</f>
        <v>4291.5053437768383</v>
      </c>
      <c r="BF95" s="227">
        <f>$F95*(VLOOKUP(BF$4, Rates_previous!$G$6:$Q$29, 10, FALSE)+VLOOKUP(BF$4, Rates_previous!$G$6:$Q$29, 11, FALSE))</f>
        <v>4753.0139473762756</v>
      </c>
      <c r="BG95" s="227">
        <f>$F95*(VLOOKUP(BG$4, Rates_previous!$G$6:$Q$29, 10, FALSE)+VLOOKUP(BG$4, Rates_previous!$G$6:$Q$29, 11, FALSE))</f>
        <v>4306.0416208045372</v>
      </c>
      <c r="BH95" s="229">
        <f>IF($D95=0,IF(C95=0, MAX(BK95 - (VLOOKUP($A95,TOCA_previous!$A$2:$AI$137,MATCH("RHWM 2018",TOCA_previous!$A$2:$AI$2,0),FALSE)*$F$2*TOCA_previous!C92),0),0), 0)</f>
        <v>0</v>
      </c>
      <c r="BI95" s="266">
        <f>VLOOKUP($A95,REP_previous!$A$1:$D$135,MATCH("FY "&amp;$F$1&amp; " Total Refund",REP_previous!$A$1:$D$1,0),0)</f>
        <v>69748.428674868075</v>
      </c>
      <c r="BJ95" s="241">
        <f>MIN(VLOOKUP($A95,TOCA_previous!$A$2:$AI$137,MATCH("TRL - NLSL - Existing Resource "&amp;$F$1,TOCA_previous!$A$2:$AI$2,0),FALSE)*$F$2,(VLOOKUP($A95,TOCA_previous!$A$2:$AI$137,MATCH("RHWM 2018",TOCA_previous!$A$2:$AI$2,0),FALSE)*$F$2))</f>
        <v>56274.240000000005</v>
      </c>
      <c r="BK95" s="229">
        <f>SUM(L95:AI95)+(F95*RT1SC!$C$3*$F$2)</f>
        <v>56274.087137999995</v>
      </c>
      <c r="BL95" s="241">
        <f>VLOOKUP($A95,TOCA_previous!$A$2:$AI$137,MATCH("Above RHWM Not Served with LS "&amp;$F$1,TOCA_previous!$A$2:$AI$2,0),FALSE)*$F$2</f>
        <v>1804.56</v>
      </c>
      <c r="BM95" s="151">
        <f t="shared" si="21"/>
        <v>-0.15286200000991812</v>
      </c>
      <c r="BN95" s="242">
        <f>(VLOOKUP($A95,TOCA_previous!$A$2:$AI$137,MATCH("RHWM 2018",TOCA_previous!$A$2:$AI$2,0),FALSE)*$F$2) - $BJ95</f>
        <v>0</v>
      </c>
      <c r="BO95" s="151">
        <f t="shared" si="22"/>
        <v>0</v>
      </c>
      <c r="BP95" s="243">
        <f t="shared" si="23"/>
        <v>0</v>
      </c>
      <c r="BQ95" s="237">
        <f t="shared" si="24"/>
        <v>0</v>
      </c>
      <c r="BR95" s="242">
        <f t="shared" si="25"/>
        <v>0</v>
      </c>
      <c r="BS95" s="151">
        <f>VLOOKUP($A95,TOCA_current!$A$2:$AI$137,MATCH(BS$4,TOCA_current!$A$2:$AI$2,0),FALSE)</f>
        <v>9.2449999999999997E-4</v>
      </c>
      <c r="BT95" s="151">
        <f>VLOOKUP($A95,TOCA_current!$A$2:$AI$137,MATCH(BT$4,TOCA_current!$A$2:$AI$2,0),FALSE)</f>
        <v>9.2449999999999997E-4</v>
      </c>
      <c r="BU95" s="236">
        <f t="shared" si="26"/>
        <v>0</v>
      </c>
      <c r="BV95" s="151">
        <f>VLOOKUP($A95,TOCA_current!A91:BG226,MATCH(BV$4,TOCA_current!$A$2:$BG$2,0),FALSE)</f>
        <v>6.9674299999999995E-2</v>
      </c>
      <c r="BW95" s="151">
        <f t="shared" si="27"/>
        <v>6.9674299999999995E-2</v>
      </c>
      <c r="BX95" s="151">
        <f t="shared" si="28"/>
        <v>9.2449999999999997E-4</v>
      </c>
      <c r="BY95" s="226">
        <f>VLOOKUP($A95,IRD!$A$4:$G$139, 7, FALSE)</f>
        <v>0</v>
      </c>
      <c r="BZ95" s="227">
        <f t="array" ref="BZ95">IF($BU95=0, INDEX(LS_current!$D$4:$AY$138, MATCH('Staging Table'!$A95, LS_current!$B$4:$B$138, 0), MATCH(BZ$4&amp;BZ$5, LS_current!$D$2:$AY$2&amp;LS_current!$D$3:$AY$3, 0)),SUM(VLOOKUP($A95, LS_current!$B$4:$AY$138, LS_current!D$148, FALSE), VLOOKUP($A95, LS_current!$B$4:$AY$138,LS_current!D$148, FALSE))/2)</f>
        <v>0</v>
      </c>
      <c r="CA95" s="227">
        <f t="array" ref="CA95">IF($BU95=0, INDEX(LS_current!$D$4:$AY$138, MATCH('Staging Table'!$A95, LS_current!$B$4:$B$138, 0), MATCH(CA$4&amp;CA$5, LS_current!$D$2:$AY$2&amp;LS_current!$D$3:$AY$3, 0)),SUM(VLOOKUP($A95, LS_current!$B$4:$AY$138, LS_current!E$148, FALSE), VLOOKUP($A95, LS_current!$B$4:$AY$138,LS_current!E$148, FALSE))/2)</f>
        <v>0</v>
      </c>
      <c r="CB95" s="227">
        <f t="array" ref="CB95">IF($BU95=0, INDEX(LS_current!$D$4:$AY$138, MATCH('Staging Table'!$A95, LS_current!$B$4:$B$138, 0), MATCH(CB$4&amp;CB$5, LS_current!$D$2:$AY$2&amp;LS_current!$D$3:$AY$3, 0)),SUM(VLOOKUP($A95, LS_current!$B$4:$AY$138, LS_current!F$148, FALSE), VLOOKUP($A95, LS_current!$B$4:$AY$138,LS_current!F$148, FALSE))/2)</f>
        <v>0</v>
      </c>
      <c r="CC95" s="227">
        <f t="array" ref="CC95">IF($BU95=0, INDEX(LS_current!$D$4:$AY$138, MATCH('Staging Table'!$A95, LS_current!$B$4:$B$138, 0), MATCH(CC$4&amp;CC$5, LS_current!$D$2:$AY$2&amp;LS_current!$D$3:$AY$3, 0)),SUM(VLOOKUP($A95, LS_current!$B$4:$AY$138, LS_current!G$148, FALSE), VLOOKUP($A95, LS_current!$B$4:$AY$138,LS_current!G$148, FALSE))/2)</f>
        <v>0</v>
      </c>
      <c r="CD95" s="227">
        <f t="array" ref="CD95">IF($BU95=0, INDEX(LS_current!$D$4:$AY$138, MATCH('Staging Table'!$A95, LS_current!$B$4:$B$138, 0), MATCH(CD$4&amp;CD$5, LS_current!$D$2:$AY$2&amp;LS_current!$D$3:$AY$3, 0)),SUM(VLOOKUP($A95, LS_current!$B$4:$AY$138, LS_current!H$148, FALSE), VLOOKUP($A95, LS_current!$B$4:$AY$138,LS_current!H$148, FALSE))/2)</f>
        <v>0</v>
      </c>
      <c r="CE95" s="227">
        <f t="array" ref="CE95">IF($BU95=0, INDEX(LS_current!$D$4:$AY$138, MATCH('Staging Table'!$A95, LS_current!$B$4:$B$138, 0), MATCH(CE$4&amp;CE$5, LS_current!$D$2:$AY$2&amp;LS_current!$D$3:$AY$3, 0)),SUM(VLOOKUP($A95, LS_current!$B$4:$AY$138, LS_current!I$148, FALSE), VLOOKUP($A95, LS_current!$B$4:$AY$138,LS_current!I$148, FALSE))/2)</f>
        <v>0</v>
      </c>
      <c r="CF95" s="227">
        <f t="array" ref="CF95">IF($BU95=0, INDEX(LS_current!$D$4:$AY$138, MATCH('Staging Table'!$A95, LS_current!$B$4:$B$138, 0), MATCH(CF$4&amp;CF$5, LS_current!$D$2:$AY$2&amp;LS_current!$D$3:$AY$3, 0)),SUM(VLOOKUP($A95, LS_current!$B$4:$AY$138, LS_current!J$148, FALSE), VLOOKUP($A95, LS_current!$B$4:$AY$138,LS_current!J$148, FALSE))/2)</f>
        <v>0</v>
      </c>
      <c r="CG95" s="227">
        <f t="array" ref="CG95">IF($BU95=0, INDEX(LS_current!$D$4:$AY$138, MATCH('Staging Table'!$A95, LS_current!$B$4:$B$138, 0), MATCH(CG$4&amp;CG$5, LS_current!$D$2:$AY$2&amp;LS_current!$D$3:$AY$3, 0)),SUM(VLOOKUP($A95, LS_current!$B$4:$AY$138, LS_current!K$148, FALSE), VLOOKUP($A95, LS_current!$B$4:$AY$138,LS_current!K$148, FALSE))/2)</f>
        <v>0</v>
      </c>
      <c r="CH95" s="227">
        <f t="array" ref="CH95">IF($BU95=0, INDEX(LS_current!$D$4:$AY$138, MATCH('Staging Table'!$A95, LS_current!$B$4:$B$138, 0), MATCH(CH$4&amp;CH$5, LS_current!$D$2:$AY$2&amp;LS_current!$D$3:$AY$3, 0)),SUM(VLOOKUP($A95, LS_current!$B$4:$AY$138, LS_current!L$148, FALSE), VLOOKUP($A95, LS_current!$B$4:$AY$138,LS_current!L$148, FALSE))/2)</f>
        <v>0</v>
      </c>
      <c r="CI95" s="227">
        <f t="array" ref="CI95">IF($BU95=0, INDEX(LS_current!$D$4:$AY$138, MATCH('Staging Table'!$A95, LS_current!$B$4:$B$138, 0), MATCH(CI$4&amp;CI$5, LS_current!$D$2:$AY$2&amp;LS_current!$D$3:$AY$3, 0)),SUM(VLOOKUP($A95, LS_current!$B$4:$AY$138, LS_current!M$148, FALSE), VLOOKUP($A95, LS_current!$B$4:$AY$138,LS_current!M$148, FALSE))/2)</f>
        <v>0</v>
      </c>
      <c r="CJ95" s="227">
        <f t="array" ref="CJ95">IF($BU95=0, INDEX(LS_current!$D$4:$AY$138, MATCH('Staging Table'!$A95, LS_current!$B$4:$B$138, 0), MATCH(CJ$4&amp;CJ$5, LS_current!$D$2:$AY$2&amp;LS_current!$D$3:$AY$3, 0)),SUM(VLOOKUP($A95, LS_current!$B$4:$AY$138, LS_current!N$148, FALSE), VLOOKUP($A95, LS_current!$B$4:$AY$138,LS_current!N$148, FALSE))/2)</f>
        <v>0</v>
      </c>
      <c r="CK95" s="227">
        <f t="array" ref="CK95">IF($BU95=0, INDEX(LS_current!$D$4:$AY$138, MATCH('Staging Table'!$A95, LS_current!$B$4:$B$138, 0), MATCH(CK$4&amp;CK$5, LS_current!$D$2:$AY$2&amp;LS_current!$D$3:$AY$3, 0)),SUM(VLOOKUP($A95, LS_current!$B$4:$AY$138, LS_current!O$148, FALSE), VLOOKUP($A95, LS_current!$B$4:$AY$138,LS_current!O$148, FALSE))/2)</f>
        <v>0</v>
      </c>
      <c r="CL95" s="227">
        <f t="array" ref="CL95">IF($BU95=0, INDEX(LS_current!$D$4:$AY$138, MATCH('Staging Table'!$A95, LS_current!$B$4:$B$138, 0), MATCH(CL$4&amp;CL$5, LS_current!$D$2:$AY$2&amp;LS_current!$D$3:$AY$3, 0)),SUM(VLOOKUP($A95, LS_current!$B$4:$AY$138, LS_current!P$148, FALSE), VLOOKUP($A95, LS_current!$B$4:$AY$138,LS_current!P$148, FALSE))/2)</f>
        <v>0</v>
      </c>
      <c r="CM95" s="227">
        <f t="array" ref="CM95">IF($BU95=0, INDEX(LS_current!$D$4:$AY$138, MATCH('Staging Table'!$A95, LS_current!$B$4:$B$138, 0), MATCH(CM$4&amp;CM$5, LS_current!$D$2:$AY$2&amp;LS_current!$D$3:$AY$3, 0)),SUM(VLOOKUP($A95, LS_current!$B$4:$AY$138, LS_current!Q$148, FALSE), VLOOKUP($A95, LS_current!$B$4:$AY$138,LS_current!Q$148, FALSE))/2)</f>
        <v>0</v>
      </c>
      <c r="CN95" s="227">
        <f t="array" ref="CN95">IF($BU95=0, INDEX(LS_current!$D$4:$AY$138, MATCH('Staging Table'!$A95, LS_current!$B$4:$B$138, 0), MATCH(CN$4&amp;CN$5, LS_current!$D$2:$AY$2&amp;LS_current!$D$3:$AY$3, 0)),SUM(VLOOKUP($A95, LS_current!$B$4:$AY$138, LS_current!R$148, FALSE), VLOOKUP($A95, LS_current!$B$4:$AY$138,LS_current!R$148, FALSE))/2)</f>
        <v>0</v>
      </c>
      <c r="CO95" s="227">
        <f t="array" ref="CO95">IF($BU95=0, INDEX(LS_current!$D$4:$AY$138, MATCH('Staging Table'!$A95, LS_current!$B$4:$B$138, 0), MATCH(CO$4&amp;CO$5, LS_current!$D$2:$AY$2&amp;LS_current!$D$3:$AY$3, 0)),SUM(VLOOKUP($A95, LS_current!$B$4:$AY$138, LS_current!S$148, FALSE), VLOOKUP($A95, LS_current!$B$4:$AY$138,LS_current!S$148, FALSE))/2)</f>
        <v>0</v>
      </c>
      <c r="CP95" s="227">
        <f t="array" ref="CP95">IF($BU95=0, INDEX(LS_current!$D$4:$AY$138, MATCH('Staging Table'!$A95, LS_current!$B$4:$B$138, 0), MATCH(CP$4&amp;CP$5, LS_current!$D$2:$AY$2&amp;LS_current!$D$3:$AY$3, 0)),SUM(VLOOKUP($A95, LS_current!$B$4:$AY$138, LS_current!T$148, FALSE), VLOOKUP($A95, LS_current!$B$4:$AY$138,LS_current!T$148, FALSE))/2)</f>
        <v>0</v>
      </c>
      <c r="CQ95" s="227">
        <f t="array" ref="CQ95">IF($BU95=0, INDEX(LS_current!$D$4:$AY$138, MATCH('Staging Table'!$A95, LS_current!$B$4:$B$138, 0), MATCH(CQ$4&amp;CQ$5, LS_current!$D$2:$AY$2&amp;LS_current!$D$3:$AY$3, 0)),SUM(VLOOKUP($A95, LS_current!$B$4:$AY$138, LS_current!U$148, FALSE), VLOOKUP($A95, LS_current!$B$4:$AY$138,LS_current!U$148, FALSE))/2)</f>
        <v>0</v>
      </c>
      <c r="CR95" s="227">
        <f t="array" ref="CR95">IF($BU95=0, INDEX(LS_current!$D$4:$AY$138, MATCH('Staging Table'!$A95, LS_current!$B$4:$B$138, 0), MATCH(CR$4&amp;CR$5, LS_current!$D$2:$AY$2&amp;LS_current!$D$3:$AY$3, 0)),SUM(VLOOKUP($A95, LS_current!$B$4:$AY$138, LS_current!V$148, FALSE), VLOOKUP($A95, LS_current!$B$4:$AY$138,LS_current!V$148, FALSE))/2)</f>
        <v>0</v>
      </c>
      <c r="CS95" s="227">
        <f t="array" ref="CS95">IF($BU95=0, INDEX(LS_current!$D$4:$AY$138, MATCH('Staging Table'!$A95, LS_current!$B$4:$B$138, 0), MATCH(CS$4&amp;CS$5, LS_current!$D$2:$AY$2&amp;LS_current!$D$3:$AY$3, 0)),SUM(VLOOKUP($A95, LS_current!$B$4:$AY$138, LS_current!W$148, FALSE), VLOOKUP($A95, LS_current!$B$4:$AY$138,LS_current!W$148, FALSE))/2)</f>
        <v>0</v>
      </c>
      <c r="CT95" s="227">
        <f t="array" ref="CT95">IF($BU95=0, INDEX(LS_current!$D$4:$AY$138, MATCH('Staging Table'!$A95, LS_current!$B$4:$B$138, 0), MATCH(CT$4&amp;CT$5, LS_current!$D$2:$AY$2&amp;LS_current!$D$3:$AY$3, 0)),SUM(VLOOKUP($A95, LS_current!$B$4:$AY$138, LS_current!X$148, FALSE), VLOOKUP($A95, LS_current!$B$4:$AY$138,LS_current!X$148, FALSE))/2)</f>
        <v>0</v>
      </c>
      <c r="CU95" s="227">
        <f t="array" ref="CU95">IF($BU95=0, INDEX(LS_current!$D$4:$AY$138, MATCH('Staging Table'!$A95, LS_current!$B$4:$B$138, 0), MATCH(CU$4&amp;CU$5, LS_current!$D$2:$AY$2&amp;LS_current!$D$3:$AY$3, 0)),SUM(VLOOKUP($A95, LS_current!$B$4:$AY$138, LS_current!Y$148, FALSE), VLOOKUP($A95, LS_current!$B$4:$AY$138,LS_current!Y$148, FALSE))/2)</f>
        <v>0</v>
      </c>
      <c r="CV95" s="227">
        <f t="array" ref="CV95">IF($BU95=0, INDEX(LS_current!$D$4:$AY$138, MATCH('Staging Table'!$A95, LS_current!$B$4:$B$138, 0), MATCH(CV$4&amp;CV$5, LS_current!$D$2:$AY$2&amp;LS_current!$D$3:$AY$3, 0)),SUM(VLOOKUP($A95, LS_current!$B$4:$AY$138, LS_current!Z$148, FALSE), VLOOKUP($A95, LS_current!$B$4:$AY$138,LS_current!Z$148, FALSE))/2)</f>
        <v>0</v>
      </c>
      <c r="CW95" s="227">
        <f t="array" ref="CW95">IF($BU95=0, INDEX(LS_current!$D$4:$AY$138, MATCH('Staging Table'!$A95, LS_current!$B$4:$B$138, 0), MATCH(CW$4&amp;CW$5, LS_current!$D$2:$AY$2&amp;LS_current!$D$3:$AY$3, 0)),SUM(VLOOKUP($A95, LS_current!$B$4:$AY$138, LS_current!AA$148, FALSE), VLOOKUP($A95, LS_current!$B$4:$AY$138,LS_current!AA$148, FALSE))/2)</f>
        <v>0</v>
      </c>
      <c r="CX95" s="229">
        <f t="array" ref="CX95">INDEX(Demand_current!$D$4:$AY$138, MATCH($A95, Demand_current!$B$4:$B$138, 0), MATCH(CX$4&amp;CX$5,Demand_current!$D$2:$AY$2&amp;Demand_current!$D$3:$AY$3, 0))/1000</f>
        <v>0</v>
      </c>
      <c r="CY95" s="229">
        <f t="array" ref="CY95">INDEX(Demand_current!$D$4:$AY$138, MATCH($A95, Demand_current!$B$4:$B$138, 0), MATCH(CY$4&amp;CY$5,Demand_current!$D$2:$AY$2&amp;Demand_current!$D$3:$AY$3, 0))/1000</f>
        <v>0</v>
      </c>
      <c r="CZ95" s="229">
        <f t="array" ref="CZ95">INDEX(Demand_current!$D$4:$AY$138, MATCH($A95, Demand_current!$B$4:$B$138, 0), MATCH(CZ$4&amp;CZ$5,Demand_current!$D$2:$AY$2&amp;Demand_current!$D$3:$AY$3, 0))/1000</f>
        <v>0</v>
      </c>
      <c r="DA95" s="229">
        <f t="array" ref="DA95">INDEX(Demand_current!$D$4:$AY$138, MATCH($A95, Demand_current!$B$4:$B$138, 0), MATCH(DA$4&amp;DA$5,Demand_current!$D$2:$AY$2&amp;Demand_current!$D$3:$AY$3, 0))/1000</f>
        <v>0</v>
      </c>
      <c r="DB95" s="229">
        <f t="array" ref="DB95">INDEX(Demand_current!$D$4:$AY$138, MATCH($A95, Demand_current!$B$4:$B$138, 0), MATCH(DB$4&amp;DB$5,Demand_current!$D$2:$AY$2&amp;Demand_current!$D$3:$AY$3, 0))/1000</f>
        <v>0</v>
      </c>
      <c r="DC95" s="229">
        <f t="array" ref="DC95">INDEX(Demand_current!$D$4:$AY$138, MATCH($A95, Demand_current!$B$4:$B$138, 0), MATCH(DC$4&amp;DC$5,Demand_current!$D$2:$AY$2&amp;Demand_current!$D$3:$AY$3, 0))/1000</f>
        <v>0</v>
      </c>
      <c r="DD95" s="229">
        <f t="array" ref="DD95">INDEX(Demand_current!$D$4:$AY$138, MATCH($A95, Demand_current!$B$4:$B$138, 0), MATCH(DD$4&amp;DD$5,Demand_current!$D$2:$AY$2&amp;Demand_current!$D$3:$AY$3, 0))/1000</f>
        <v>0</v>
      </c>
      <c r="DE95" s="229">
        <f t="array" ref="DE95">INDEX(Demand_current!$D$4:$AY$138, MATCH($A95, Demand_current!$B$4:$B$138, 0), MATCH(DE$4&amp;DE$5,Demand_current!$D$2:$AY$2&amp;Demand_current!$D$3:$AY$3, 0))/1000</f>
        <v>0</v>
      </c>
      <c r="DF95" s="229">
        <f t="array" ref="DF95">INDEX(Demand_current!$D$4:$AY$138, MATCH($A95, Demand_current!$B$4:$B$138, 0), MATCH(DF$4&amp;DF$5,Demand_current!$D$2:$AY$2&amp;Demand_current!$D$3:$AY$3, 0))/1000</f>
        <v>0</v>
      </c>
      <c r="DG95" s="229">
        <f t="array" ref="DG95">INDEX(Demand_current!$D$4:$AY$138, MATCH($A95, Demand_current!$B$4:$B$138, 0), MATCH(DG$4&amp;DG$5,Demand_current!$D$2:$AY$2&amp;Demand_current!$D$3:$AY$3, 0))/1000</f>
        <v>0</v>
      </c>
      <c r="DH95" s="229">
        <f t="array" ref="DH95">INDEX(Demand_current!$D$4:$AY$138, MATCH($A95, Demand_current!$B$4:$B$138, 0), MATCH(DH$4&amp;DH$5,Demand_current!$D$2:$AY$2&amp;Demand_current!$D$3:$AY$3, 0))/1000</f>
        <v>0</v>
      </c>
      <c r="DI95" s="229">
        <f t="array" ref="DI95">INDEX(Demand_current!$D$4:$AY$138, MATCH($A95, Demand_current!$B$4:$B$138, 0), MATCH(DI$4&amp;DI$5,Demand_current!$D$2:$AY$2&amp;Demand_current!$D$3:$AY$3, 0))/1000</f>
        <v>0</v>
      </c>
      <c r="DJ95" s="227">
        <f>$BT95*(VLOOKUP(DJ$4, Rates_current!$G$6:$Q$29, 10, FALSE)+VLOOKUP(DJ$4, Rates_current!$G$6:$Q$29, 11, FALSE))</f>
        <v>4268.7097477019997</v>
      </c>
      <c r="DK95" s="227">
        <f>$BT95*(VLOOKUP(DK$4, Rates_current!$G$6:$Q$29, 10, FALSE)+VLOOKUP(DK$4, Rates_current!$G$6:$Q$29, 11, FALSE))</f>
        <v>5422.5930294555001</v>
      </c>
      <c r="DL95" s="227">
        <f>$BT95*(VLOOKUP(DL$4, Rates_current!$G$6:$Q$29, 10, FALSE)+VLOOKUP(DL$4, Rates_current!$G$6:$Q$29, 11, FALSE))</f>
        <v>5357.1078812020005</v>
      </c>
      <c r="DM95" s="227">
        <f>$BT95*(VLOOKUP(DM$4, Rates_current!$G$6:$Q$29, 10, FALSE)+VLOOKUP(DM$4, Rates_current!$G$6:$Q$29, 11, FALSE))</f>
        <v>4465.4757052020004</v>
      </c>
      <c r="DN95" s="227">
        <f>$BT95*(VLOOKUP(DN$4, Rates_current!$G$6:$Q$29, 10, FALSE)+VLOOKUP(DN$4, Rates_current!$G$6:$Q$29, 11, FALSE))</f>
        <v>4045.2577315999997</v>
      </c>
      <c r="DO95" s="227">
        <f>$BT95*(VLOOKUP(DO$4, Rates_current!$G$6:$Q$29, 10, FALSE)+VLOOKUP(DO$4, Rates_current!$G$6:$Q$29, 11, FALSE))</f>
        <v>4499.6117037565</v>
      </c>
      <c r="DP95" s="227">
        <f>$BT95*(VLOOKUP(DP$4, Rates_current!$G$6:$Q$29, 10, FALSE)+VLOOKUP(DP$4, Rates_current!$G$6:$Q$29, 11, FALSE))</f>
        <v>3663.5887047599999</v>
      </c>
      <c r="DQ95" s="227">
        <f>$BT95*(VLOOKUP(DQ$4, Rates_current!$G$6:$Q$29, 10, FALSE)+VLOOKUP(DQ$4, Rates_current!$G$6:$Q$29, 11, FALSE))</f>
        <v>4940.8956699520004</v>
      </c>
      <c r="DR95" s="227">
        <f>$BT95*(VLOOKUP(DR$4, Rates_current!$G$6:$Q$29, 10, FALSE)+VLOOKUP(DR$4, Rates_current!$G$6:$Q$29, 11, FALSE))</f>
        <v>6304.2468375100007</v>
      </c>
      <c r="DS95" s="227">
        <f>$BT95*(VLOOKUP(DS$4, Rates_current!$G$6:$Q$29, 10, FALSE)+VLOOKUP(DS$4, Rates_current!$G$6:$Q$29, 11, FALSE))</f>
        <v>4942.7294157020006</v>
      </c>
      <c r="DT95" s="227">
        <f>$BT95*(VLOOKUP(DT$4, Rates_current!$G$6:$Q$29, 10, FALSE)+VLOOKUP(DT$4, Rates_current!$G$6:$Q$29, 11, FALSE))</f>
        <v>4813.2342384520007</v>
      </c>
      <c r="DU95" s="227">
        <f>$BT95*(VLOOKUP(DU$4, Rates_current!$G$6:$Q$29, 10, FALSE)+VLOOKUP(DU$4, Rates_current!$G$6:$Q$29, 11, FALSE))</f>
        <v>4321.2604392600006</v>
      </c>
      <c r="DV95" s="229">
        <f>IF(D95=0,IF(C95=0,MAX(0,DY95 - (VLOOKUP($A95,TOCA_current!$A$2:$AI$137,MATCH("RHWM 2020",TOCA_current!$A$2:$AI$2,0),FALSE)*$BT$2)), 0),0)</f>
        <v>0</v>
      </c>
      <c r="DW95" s="266">
        <f>VLOOKUP($A95,REP_current!$A$1:$D$135,MATCH("FY "&amp;$BT$1&amp; " Total Refund",REP_current!$A$1:$D$1,0),0)</f>
        <v>0</v>
      </c>
      <c r="DX95" s="295">
        <f>MIN(VLOOKUP($A95,TOCA_current!$A$2:$AI$137,MATCH("TRL - NLSL - Existing Resource "&amp;$BT$1,TOCA_current!$A$2:$AI$2,0),FALSE)*$BT$2, VLOOKUP($A95,TOCA_current!$A$2:$AI$137,MATCH("RHWM 2020",TOCA_current!$A$2:$AI$2,0),FALSE)*$BT$2)</f>
        <v>57043.295999999995</v>
      </c>
      <c r="DY95" s="240">
        <f>SUM(BZ95:CW95)+(BT95*RT1SC!$C$4*$BT$2)</f>
        <v>57044.713245695995</v>
      </c>
      <c r="DZ95" s="271">
        <f>VLOOKUP($A95,TOCA_current!$A$2:$AI$137,MATCH("Above RHWM Not Served with LS "&amp;$BT$1,TOCA_current!$A$2:$AI$2,0),FALSE)*$BT$2</f>
        <v>4102.1280000000006</v>
      </c>
      <c r="EA95" s="244">
        <f t="shared" si="29"/>
        <v>1.4172456960004638</v>
      </c>
      <c r="EB95" s="295">
        <f>(VLOOKUP($A95,TOCA_current!$A$2:$AI$137,MATCH("RHWM 2020",TOCA_current!$A$2:$AI$2,0),FALSE)*$BT$2) - $DX95</f>
        <v>0</v>
      </c>
      <c r="EC95" s="240">
        <f t="shared" si="30"/>
        <v>0</v>
      </c>
      <c r="ED95" s="240">
        <f t="shared" si="31"/>
        <v>0</v>
      </c>
      <c r="EE95" s="240">
        <f t="shared" si="32"/>
        <v>0</v>
      </c>
      <c r="EF95" s="240">
        <f t="shared" si="33"/>
        <v>0</v>
      </c>
    </row>
    <row r="96" spans="1:136">
      <c r="A96" s="166">
        <v>10286</v>
      </c>
      <c r="B96" s="167" t="s">
        <v>97</v>
      </c>
      <c r="C96" s="240">
        <v>0</v>
      </c>
      <c r="D96" s="240">
        <v>1</v>
      </c>
      <c r="E96" s="150">
        <f>VLOOKUP($A96,TOCA_previous!$A$2:$AI$137,MATCH(E$4,TOCA_previous!$A$2:$AI$2,0),FALSE)</f>
        <v>6.5047000000000004E-3</v>
      </c>
      <c r="F96" s="151">
        <f>VLOOKUP($A96,TOCA_previous!$A$2:$AI$137,MATCH(F$4,TOCA_previous!$A$2:$AI$2,0),FALSE)</f>
        <v>6.5047000000000004E-3</v>
      </c>
      <c r="G96" s="151">
        <f t="shared" si="18"/>
        <v>0</v>
      </c>
      <c r="H96" s="151">
        <f>VLOOKUP($A96,TOCA_previous!$A$2:$AI$137,MATCH(H$4,TOCA_previous!$A$2:$AI$2,0),FALSE)</f>
        <v>0</v>
      </c>
      <c r="I96" s="151">
        <f t="shared" si="19"/>
        <v>0</v>
      </c>
      <c r="J96" s="151">
        <f t="shared" si="20"/>
        <v>0</v>
      </c>
      <c r="K96" s="226">
        <f>VLOOKUP(A96, IRD!$A$5:$C$139, 3, FALSE)</f>
        <v>55408.151000000005</v>
      </c>
      <c r="L96" s="227">
        <f t="array" ref="L96">IF($G96=0, INDEX(LS_previous!$D$4:$AY$138, MATCH('Staging Table'!$A96, LS_previous!$B$4:$B$138, 0), MATCH(L$4&amp;L$5, LS_previous!$D$2:$AY$2&amp;LS_previous!$D$3:$AY$3, 0)),SUM(VLOOKUP($A96, LS_previous!$B$4:$AY$138, LS_previous!D$149, FALSE), VLOOKUP('Staging Table'!$A96, LS_previous!$B$4:$AY$138,LS_previous!AB$149, FALSE))/2)</f>
        <v>-2781</v>
      </c>
      <c r="M96" s="227">
        <f t="array" ref="M96">IF($G96=0, INDEX(LS_previous!$D$4:$AY$138, MATCH('Staging Table'!$A96, LS_previous!$B$4:$B$138, 0), MATCH(M$4&amp;M$5, LS_previous!$D$2:$AY$2&amp;LS_previous!$D$3:$AY$3, 0)),SUM(VLOOKUP($A96, LS_previous!$B$4:$AY$138, LS_previous!E$149, FALSE), VLOOKUP('Staging Table'!$A96, LS_previous!$B$4:$AY$138,LS_previous!AC$149, FALSE))/2)</f>
        <v>2786</v>
      </c>
      <c r="N96" s="227">
        <f t="array" ref="N96">IF($G96=0, INDEX(LS_previous!$D$4:$AY$138, MATCH('Staging Table'!$A96, LS_previous!$B$4:$B$138, 0), MATCH(N$4&amp;N$5, LS_previous!$D$2:$AY$2&amp;LS_previous!$D$3:$AY$3, 0)),SUM(VLOOKUP($A96, LS_previous!$B$4:$AY$138, LS_previous!F$149, FALSE), VLOOKUP('Staging Table'!$A96, LS_previous!$B$4:$AY$138,LS_previous!AD$149, FALSE))/2)</f>
        <v>-4952</v>
      </c>
      <c r="O96" s="227">
        <f t="array" ref="O96">IF($G96=0, INDEX(LS_previous!$D$4:$AY$138, MATCH('Staging Table'!$A96, LS_previous!$B$4:$B$138, 0), MATCH(O$4&amp;O$5, LS_previous!$D$2:$AY$2&amp;LS_previous!$D$3:$AY$3, 0)),SUM(VLOOKUP($A96, LS_previous!$B$4:$AY$138, LS_previous!G$149, FALSE), VLOOKUP('Staging Table'!$A96, LS_previous!$B$4:$AY$138,LS_previous!AE$149, FALSE))/2)</f>
        <v>1144</v>
      </c>
      <c r="P96" s="227">
        <f t="array" ref="P96">IF($G96=0, INDEX(LS_previous!$D$4:$AY$138, MATCH('Staging Table'!$A96, LS_previous!$B$4:$B$138, 0), MATCH(P$4&amp;P$5, LS_previous!$D$2:$AY$2&amp;LS_previous!$D$3:$AY$3, 0)),SUM(VLOOKUP($A96, LS_previous!$B$4:$AY$138, LS_previous!H$149, FALSE), VLOOKUP('Staging Table'!$A96, LS_previous!$B$4:$AY$138,LS_previous!AF$149, FALSE))/2)</f>
        <v>2000</v>
      </c>
      <c r="Q96" s="227">
        <f t="array" ref="Q96">IF($G96=0, INDEX(LS_previous!$D$4:$AY$138, MATCH('Staging Table'!$A96, LS_previous!$B$4:$B$138, 0), MATCH(Q$4&amp;Q$5, LS_previous!$D$2:$AY$2&amp;LS_previous!$D$3:$AY$3, 0)),SUM(VLOOKUP($A96, LS_previous!$B$4:$AY$138, LS_previous!I$149, FALSE), VLOOKUP('Staging Table'!$A96, LS_previous!$B$4:$AY$138,LS_previous!AG$149, FALSE))/2)</f>
        <v>7630</v>
      </c>
      <c r="R96" s="227">
        <f t="array" ref="R96">IF($G96=0, INDEX(LS_previous!$D$4:$AY$138, MATCH('Staging Table'!$A96, LS_previous!$B$4:$B$138, 0), MATCH(R$4&amp;R$5, LS_previous!$D$2:$AY$2&amp;LS_previous!$D$3:$AY$3, 0)),SUM(VLOOKUP($A96, LS_previous!$B$4:$AY$138, LS_previous!J$149, FALSE), VLOOKUP('Staging Table'!$A96, LS_previous!$B$4:$AY$138,LS_previous!AH$149, FALSE))/2)</f>
        <v>9461</v>
      </c>
      <c r="S96" s="227">
        <f t="array" ref="S96">IF($G96=0, INDEX(LS_previous!$D$4:$AY$138, MATCH('Staging Table'!$A96, LS_previous!$B$4:$B$138, 0), MATCH(S$4&amp;S$5, LS_previous!$D$2:$AY$2&amp;LS_previous!$D$3:$AY$3, 0)),SUM(VLOOKUP($A96, LS_previous!$B$4:$AY$138, LS_previous!K$149, FALSE), VLOOKUP('Staging Table'!$A96, LS_previous!$B$4:$AY$138,LS_previous!AI$149, FALSE))/2)</f>
        <v>10799</v>
      </c>
      <c r="T96" s="227">
        <f t="array" ref="T96">IF($G96=0, INDEX(LS_previous!$D$4:$AY$138, MATCH('Staging Table'!$A96, LS_previous!$B$4:$B$138, 0), MATCH(T$4&amp;T$5, LS_previous!$D$2:$AY$2&amp;LS_previous!$D$3:$AY$3, 0)),SUM(VLOOKUP($A96, LS_previous!$B$4:$AY$138, LS_previous!L$149, FALSE), VLOOKUP('Staging Table'!$A96, LS_previous!$B$4:$AY$138,LS_previous!AJ$149, FALSE))/2)</f>
        <v>8098</v>
      </c>
      <c r="U96" s="227">
        <f t="array" ref="U96">IF($G96=0, INDEX(LS_previous!$D$4:$AY$138, MATCH('Staging Table'!$A96, LS_previous!$B$4:$B$138, 0), MATCH(U$4&amp;U$5, LS_previous!$D$2:$AY$2&amp;LS_previous!$D$3:$AY$3, 0)),SUM(VLOOKUP($A96, LS_previous!$B$4:$AY$138, LS_previous!M$149, FALSE), VLOOKUP('Staging Table'!$A96, LS_previous!$B$4:$AY$138,LS_previous!AK$149, FALSE))/2)</f>
        <v>8824</v>
      </c>
      <c r="V96" s="227">
        <f t="array" ref="V96">IF($G96=0, INDEX(LS_previous!$D$4:$AY$138, MATCH('Staging Table'!$A96, LS_previous!$B$4:$B$138, 0), MATCH(V$4&amp;V$5, LS_previous!$D$2:$AY$2&amp;LS_previous!$D$3:$AY$3, 0)),SUM(VLOOKUP($A96, LS_previous!$B$4:$AY$138, LS_previous!N$149, FALSE), VLOOKUP('Staging Table'!$A96, LS_previous!$B$4:$AY$138,LS_previous!AL$149, FALSE))/2)</f>
        <v>5093</v>
      </c>
      <c r="W96" s="227">
        <f t="array" ref="W96">IF($G96=0, INDEX(LS_previous!$D$4:$AY$138, MATCH('Staging Table'!$A96, LS_previous!$B$4:$B$138, 0), MATCH(W$4&amp;W$5, LS_previous!$D$2:$AY$2&amp;LS_previous!$D$3:$AY$3, 0)),SUM(VLOOKUP($A96, LS_previous!$B$4:$AY$138, LS_previous!O$149, FALSE), VLOOKUP('Staging Table'!$A96, LS_previous!$B$4:$AY$138,LS_previous!AM$149, FALSE))/2)</f>
        <v>6373</v>
      </c>
      <c r="X96" s="227">
        <f t="array" ref="X96">IF($G96=0, INDEX(LS_previous!$D$4:$AY$138, MATCH('Staging Table'!$A96, LS_previous!$B$4:$B$138, 0), MATCH(X$4&amp;X$5, LS_previous!$D$2:$AY$2&amp;LS_previous!$D$3:$AY$3, 0)),SUM(VLOOKUP($A96, LS_previous!$B$4:$AY$138, LS_previous!P$149, FALSE), VLOOKUP('Staging Table'!$A96, LS_previous!$B$4:$AY$138,LS_previous!AN$149, FALSE))/2)</f>
        <v>-3491</v>
      </c>
      <c r="Y96" s="227">
        <f t="array" ref="Y96">IF($G96=0, INDEX(LS_previous!$D$4:$AY$138, MATCH('Staging Table'!$A96, LS_previous!$B$4:$B$138, 0), MATCH(Y$4&amp;Y$5, LS_previous!$D$2:$AY$2&amp;LS_previous!$D$3:$AY$3, 0)),SUM(VLOOKUP($A96, LS_previous!$B$4:$AY$138, LS_previous!Q$149, FALSE), VLOOKUP('Staging Table'!$A96, LS_previous!$B$4:$AY$138,LS_previous!AO$149, FALSE))/2)</f>
        <v>1886</v>
      </c>
      <c r="Z96" s="227">
        <f t="array" ref="Z96">IF($G96=0, INDEX(LS_previous!$D$4:$AY$138, MATCH('Staging Table'!$A96, LS_previous!$B$4:$B$138, 0), MATCH(Z$4&amp;Z$5, LS_previous!$D$2:$AY$2&amp;LS_previous!$D$3:$AY$3, 0)),SUM(VLOOKUP($A96, LS_previous!$B$4:$AY$138, LS_previous!R$149, FALSE), VLOOKUP('Staging Table'!$A96, LS_previous!$B$4:$AY$138,LS_previous!AP$149, FALSE))/2)</f>
        <v>-15700</v>
      </c>
      <c r="AA96" s="227">
        <f t="array" ref="AA96">IF($G96=0, INDEX(LS_previous!$D$4:$AY$138, MATCH('Staging Table'!$A96, LS_previous!$B$4:$B$138, 0), MATCH(AA$4&amp;AA$5, LS_previous!$D$2:$AY$2&amp;LS_previous!$D$3:$AY$3, 0)),SUM(VLOOKUP($A96, LS_previous!$B$4:$AY$138, LS_previous!S$149, FALSE), VLOOKUP('Staging Table'!$A96, LS_previous!$B$4:$AY$138,LS_previous!AQ$149, FALSE))/2)</f>
        <v>-6285</v>
      </c>
      <c r="AB96" s="227">
        <f t="array" ref="AB96">IF($G96=0, INDEX(LS_previous!$D$4:$AY$138, MATCH('Staging Table'!$A96, LS_previous!$B$4:$B$138, 0), MATCH(AB$4&amp;AB$5, LS_previous!$D$2:$AY$2&amp;LS_previous!$D$3:$AY$3, 0)),SUM(VLOOKUP($A96, LS_previous!$B$4:$AY$138, LS_previous!T$149, FALSE), VLOOKUP('Staging Table'!$A96, LS_previous!$B$4:$AY$138,LS_previous!AR$149, FALSE))/2)</f>
        <v>-13748</v>
      </c>
      <c r="AC96" s="227">
        <f t="array" ref="AC96">IF($G96=0, INDEX(LS_previous!$D$4:$AY$138, MATCH('Staging Table'!$A96, LS_previous!$B$4:$B$138, 0), MATCH(AC$4&amp;AC$5, LS_previous!$D$2:$AY$2&amp;LS_previous!$D$3:$AY$3, 0)),SUM(VLOOKUP($A96, LS_previous!$B$4:$AY$138, LS_previous!U$149, FALSE), VLOOKUP('Staging Table'!$A96, LS_previous!$B$4:$AY$138,LS_previous!AS$149, FALSE))/2)</f>
        <v>-5501</v>
      </c>
      <c r="AD96" s="227">
        <f t="array" ref="AD96">IF($G96=0, INDEX(LS_previous!$D$4:$AY$138, MATCH('Staging Table'!$A96, LS_previous!$B$4:$B$138, 0), MATCH(AD$4&amp;AD$5, LS_previous!$D$2:$AY$2&amp;LS_previous!$D$3:$AY$3, 0)),SUM(VLOOKUP($A96, LS_previous!$B$4:$AY$138, LS_previous!V$149, FALSE), VLOOKUP('Staging Table'!$A96, LS_previous!$B$4:$AY$138,LS_previous!AT$149, FALSE))/2)</f>
        <v>-2530</v>
      </c>
      <c r="AE96" s="227">
        <f t="array" ref="AE96">IF($G96=0, INDEX(LS_previous!$D$4:$AY$138, MATCH('Staging Table'!$A96, LS_previous!$B$4:$B$138, 0), MATCH(AE$4&amp;AE$5, LS_previous!$D$2:$AY$2&amp;LS_previous!$D$3:$AY$3, 0)),SUM(VLOOKUP($A96, LS_previous!$B$4:$AY$138, LS_previous!W$149, FALSE), VLOOKUP('Staging Table'!$A96, LS_previous!$B$4:$AY$138,LS_previous!AU$149, FALSE))/2)</f>
        <v>4344</v>
      </c>
      <c r="AF96" s="227">
        <f t="array" ref="AF96">IF($G96=0, INDEX(LS_previous!$D$4:$AY$138, MATCH('Staging Table'!$A96, LS_previous!$B$4:$B$138, 0), MATCH(AF$4&amp;AF$5, LS_previous!$D$2:$AY$2&amp;LS_previous!$D$3:$AY$3, 0)),SUM(VLOOKUP($A96, LS_previous!$B$4:$AY$138, LS_previous!X$149, FALSE), VLOOKUP('Staging Table'!$A96, LS_previous!$B$4:$AY$138,LS_previous!AV$149, FALSE))/2)</f>
        <v>-8537</v>
      </c>
      <c r="AG96" s="227">
        <f t="array" ref="AG96">IF($G96=0, INDEX(LS_previous!$D$4:$AY$138, MATCH('Staging Table'!$A96, LS_previous!$B$4:$B$138, 0), MATCH(AG$4&amp;AG$5, LS_previous!$D$2:$AY$2&amp;LS_previous!$D$3:$AY$3, 0)),SUM(VLOOKUP($A96, LS_previous!$B$4:$AY$138, LS_previous!Y$149, FALSE), VLOOKUP('Staging Table'!$A96, LS_previous!$B$4:$AY$138,LS_previous!AW$149, FALSE))/2)</f>
        <v>-1079</v>
      </c>
      <c r="AH96" s="227">
        <f t="array" ref="AH96">IF($G96=0, INDEX(LS_previous!$D$4:$AY$138, MATCH('Staging Table'!$A96, LS_previous!$B$4:$B$138, 0), MATCH(AH$4&amp;AH$5, LS_previous!$D$2:$AY$2&amp;LS_previous!$D$3:$AY$3, 0)),SUM(VLOOKUP($A96, LS_previous!$B$4:$AY$138, LS_previous!Z$149, FALSE), VLOOKUP('Staging Table'!$A96, LS_previous!$B$4:$AY$138,LS_previous!AX$149, FALSE))/2)</f>
        <v>-5149</v>
      </c>
      <c r="AI96" s="227">
        <f t="array" ref="AI96">IF($G96=0, INDEX(LS_previous!$D$4:$AY$138, MATCH('Staging Table'!$A96, LS_previous!$B$4:$B$138, 0), MATCH(AI$4&amp;AI$5, LS_previous!$D$2:$AY$2&amp;LS_previous!$D$3:$AY$3, 0)),SUM(VLOOKUP($A96, LS_previous!$B$4:$AY$138, LS_previous!AA$149, FALSE), VLOOKUP('Staging Table'!$A96, LS_previous!$B$4:$AY$138,LS_previous!AY$149, FALSE))/2)</f>
        <v>1508</v>
      </c>
      <c r="AJ96" s="424">
        <f t="array" ref="AJ96">INDEX(Demand_previous!$D$4:$AY$138, MATCH('Staging Table'!$A96, Demand_previous!$B$4:$B$138, 0), MATCH(AJ$4&amp;AJ$5,Demand_previous!$D$2:$AY$2&amp;Demand_previous!$D$3:$AY$3, 0))/1000</f>
        <v>0</v>
      </c>
      <c r="AK96" s="424">
        <f t="array" ref="AK96">INDEX(Demand_previous!$D$4:$AY$138, MATCH('Staging Table'!$A96, Demand_previous!$B$4:$B$138, 0), MATCH(AK$4&amp;AK$5,Demand_previous!$D$2:$AY$2&amp;Demand_previous!$D$3:$AY$3, 0))/1000</f>
        <v>0</v>
      </c>
      <c r="AL96" s="424">
        <f t="array" ref="AL96">INDEX(Demand_previous!$D$4:$AY$138, MATCH('Staging Table'!$A96, Demand_previous!$B$4:$B$138, 0), MATCH(AL$4&amp;AL$5,Demand_previous!$D$2:$AY$2&amp;Demand_previous!$D$3:$AY$3, 0))/1000</f>
        <v>0</v>
      </c>
      <c r="AM96" s="424">
        <f t="array" ref="AM96">INDEX(Demand_previous!$D$4:$AY$138, MATCH('Staging Table'!$A96, Demand_previous!$B$4:$B$138, 0), MATCH(AM$4&amp;AM$5,Demand_previous!$D$2:$AY$2&amp;Demand_previous!$D$3:$AY$3, 0))/1000</f>
        <v>0</v>
      </c>
      <c r="AN96" s="424">
        <f t="array" ref="AN96">INDEX(Demand_previous!$D$4:$AY$138, MATCH('Staging Table'!$A96, Demand_previous!$B$4:$B$138, 0), MATCH(AN$4&amp;AN$5,Demand_previous!$D$2:$AY$2&amp;Demand_previous!$D$3:$AY$3, 0))/1000</f>
        <v>0</v>
      </c>
      <c r="AO96" s="424">
        <f t="array" ref="AO96">INDEX(Demand_previous!$D$4:$AY$138, MATCH('Staging Table'!$A96, Demand_previous!$B$4:$B$138, 0), MATCH(AO$4&amp;AO$5,Demand_previous!$D$2:$AY$2&amp;Demand_previous!$D$3:$AY$3, 0))/1000</f>
        <v>0</v>
      </c>
      <c r="AP96" s="424">
        <f t="array" ref="AP96">INDEX(Demand_previous!$D$4:$AY$138, MATCH('Staging Table'!$A96, Demand_previous!$B$4:$B$138, 0), MATCH(AP$4&amp;AP$5,Demand_previous!$D$2:$AY$2&amp;Demand_previous!$D$3:$AY$3, 0))/1000</f>
        <v>0</v>
      </c>
      <c r="AQ96" s="424">
        <f t="array" ref="AQ96">INDEX(Demand_previous!$D$4:$AY$138, MATCH('Staging Table'!$A96, Demand_previous!$B$4:$B$138, 0), MATCH(AQ$4&amp;AQ$5,Demand_previous!$D$2:$AY$2&amp;Demand_previous!$D$3:$AY$3, 0))/1000</f>
        <v>0</v>
      </c>
      <c r="AR96" s="424">
        <f t="array" ref="AR96">INDEX(Demand_previous!$D$4:$AY$138, MATCH('Staging Table'!$A96, Demand_previous!$B$4:$B$138, 0), MATCH(AR$4&amp;AR$5,Demand_previous!$D$2:$AY$2&amp;Demand_previous!$D$3:$AY$3, 0))/1000</f>
        <v>0</v>
      </c>
      <c r="AS96" s="424">
        <f t="array" ref="AS96">INDEX(Demand_previous!$D$4:$AY$138, MATCH('Staging Table'!$A96, Demand_previous!$B$4:$B$138, 0), MATCH(AS$4&amp;AS$5,Demand_previous!$D$2:$AY$2&amp;Demand_previous!$D$3:$AY$3, 0))/1000</f>
        <v>0</v>
      </c>
      <c r="AT96" s="424">
        <f t="array" ref="AT96">INDEX(Demand_previous!$D$4:$AY$138, MATCH('Staging Table'!$A96, Demand_previous!$B$4:$B$138, 0), MATCH(AT$4&amp;AT$5,Demand_previous!$D$2:$AY$2&amp;Demand_previous!$D$3:$AY$3, 0))/1000</f>
        <v>0</v>
      </c>
      <c r="AU96" s="424">
        <f t="array" ref="AU96">INDEX(Demand_previous!$D$4:$AY$138, MATCH('Staging Table'!$A96, Demand_previous!$B$4:$B$138, 0), MATCH(AU$4&amp;AU$5,Demand_previous!$D$2:$AY$2&amp;Demand_previous!$D$3:$AY$3, 0))/1000</f>
        <v>0</v>
      </c>
      <c r="AV96" s="227">
        <f>$F96*(VLOOKUP(AV$4, Rates_previous!$G$6:$Q$29, 10, FALSE)+VLOOKUP(AV$4, Rates_previous!$G$6:$Q$29, 11, FALSE))</f>
        <v>30499.482993014979</v>
      </c>
      <c r="AW96" s="227">
        <f>$F96*(VLOOKUP(AW$4, Rates_previous!$G$6:$Q$29, 10, FALSE)+VLOOKUP(AW$4, Rates_previous!$G$6:$Q$29, 11, FALSE))</f>
        <v>37695.042895811406</v>
      </c>
      <c r="AX96" s="227">
        <f>$F96*(VLOOKUP(AX$4, Rates_previous!$G$6:$Q$29, 10, FALSE)+VLOOKUP(AX$4, Rates_previous!$G$6:$Q$29, 11, FALSE))</f>
        <v>37242.370516081734</v>
      </c>
      <c r="AY96" s="227">
        <f>$F96*(VLOOKUP(AY$4, Rates_previous!$G$6:$Q$29, 10, FALSE)+VLOOKUP(AY$4, Rates_previous!$G$6:$Q$29, 11, FALSE))</f>
        <v>31820.055821811253</v>
      </c>
      <c r="AZ96" s="227">
        <f>$F96*(VLOOKUP(AZ$4, Rates_previous!$G$6:$Q$29, 10, FALSE)+VLOOKUP(AZ$4, Rates_previous!$G$6:$Q$29, 11, FALSE))</f>
        <v>26086.273601130724</v>
      </c>
      <c r="BA96" s="227">
        <f>$F96*(VLOOKUP(BA$4, Rates_previous!$G$6:$Q$29, 10, FALSE)+VLOOKUP(BA$4, Rates_previous!$G$6:$Q$29, 11, FALSE))</f>
        <v>30885.200402344384</v>
      </c>
      <c r="BB96" s="227">
        <f>$F96*(VLOOKUP(BB$4, Rates_previous!$G$6:$Q$29, 10, FALSE)+VLOOKUP(BB$4, Rates_previous!$G$6:$Q$29, 11, FALSE))</f>
        <v>29685.170113135533</v>
      </c>
      <c r="BC96" s="227">
        <f>$F96*(VLOOKUP(BC$4, Rates_previous!$G$6:$Q$29, 10, FALSE)+VLOOKUP(BC$4, Rates_previous!$G$6:$Q$29, 11, FALSE))</f>
        <v>43560.886536828788</v>
      </c>
      <c r="BD96" s="227">
        <f>$F96*(VLOOKUP(BD$4, Rates_previous!$G$6:$Q$29, 10, FALSE)+VLOOKUP(BD$4, Rates_previous!$G$6:$Q$29, 11, FALSE))</f>
        <v>34368.388149292623</v>
      </c>
      <c r="BE96" s="227">
        <f>$F96*(VLOOKUP(BE$4, Rates_previous!$G$6:$Q$29, 10, FALSE)+VLOOKUP(BE$4, Rates_previous!$G$6:$Q$29, 11, FALSE))</f>
        <v>30178.32952396238</v>
      </c>
      <c r="BF96" s="227">
        <f>$F96*(VLOOKUP(BF$4, Rates_previous!$G$6:$Q$29, 10, FALSE)+VLOOKUP(BF$4, Rates_previous!$G$6:$Q$29, 11, FALSE))</f>
        <v>33423.707917295629</v>
      </c>
      <c r="BG96" s="227">
        <f>$F96*(VLOOKUP(BG$4, Rates_previous!$G$6:$Q$29, 10, FALSE)+VLOOKUP(BG$4, Rates_previous!$G$6:$Q$29, 11, FALSE))</f>
        <v>30280.550195510568</v>
      </c>
      <c r="BH96" s="229">
        <f>IF($D96=0,IF(C96=0, MAX(BK96 - (VLOOKUP($A96,TOCA_previous!$A$2:$AI$137,MATCH("RHWM 2018",TOCA_previous!$A$2:$AI$2,0),FALSE)*$F$2*TOCA_previous!C93),0),0), 0)</f>
        <v>0</v>
      </c>
      <c r="BI96" s="266">
        <f>VLOOKUP($A96,REP_previous!$A$1:$D$135,MATCH("FY "&amp;$F$1&amp; " Total Refund",REP_previous!$A$1:$D$1,0),0)</f>
        <v>560468.65613070945</v>
      </c>
      <c r="BJ96" s="241">
        <f>MIN(VLOOKUP($A96,TOCA_previous!$A$2:$AI$137,MATCH("TRL - NLSL - Existing Resource "&amp;$F$1,TOCA_previous!$A$2:$AI$2,0),FALSE)*$F$2,(VLOOKUP($A96,TOCA_previous!$A$2:$AI$137,MATCH("RHWM 2018",TOCA_previous!$A$2:$AI$2,0),FALSE)*$F$2))</f>
        <v>395724.24</v>
      </c>
      <c r="BK96" s="229">
        <f>SUM(L96:AI96)+(F96*RT1SC!$C$3*$F$2)</f>
        <v>395918.464439512</v>
      </c>
      <c r="BL96" s="241">
        <f>VLOOKUP($A96,TOCA_previous!$A$2:$AI$137,MATCH("Above RHWM Not Served with LS "&amp;$F$1,TOCA_previous!$A$2:$AI$2,0),FALSE)*$F$2</f>
        <v>52516.200000000004</v>
      </c>
      <c r="BM96" s="151">
        <f t="shared" si="21"/>
        <v>194.22443951200694</v>
      </c>
      <c r="BN96" s="242">
        <f>(VLOOKUP($A96,TOCA_previous!$A$2:$AI$137,MATCH("RHWM 2018",TOCA_previous!$A$2:$AI$2,0),FALSE)*$F$2) - $BJ96</f>
        <v>0</v>
      </c>
      <c r="BO96" s="151">
        <f t="shared" si="22"/>
        <v>0</v>
      </c>
      <c r="BP96" s="243">
        <f t="shared" si="23"/>
        <v>0</v>
      </c>
      <c r="BQ96" s="237">
        <f t="shared" si="24"/>
        <v>0</v>
      </c>
      <c r="BR96" s="242">
        <f t="shared" si="25"/>
        <v>0</v>
      </c>
      <c r="BS96" s="151">
        <f>VLOOKUP($A96,TOCA_current!$A$2:$AI$137,MATCH(BS$4,TOCA_current!$A$2:$AI$2,0),FALSE)</f>
        <v>6.5012000000000004E-3</v>
      </c>
      <c r="BT96" s="151">
        <f>VLOOKUP($A96,TOCA_current!$A$2:$AI$137,MATCH(BT$4,TOCA_current!$A$2:$AI$2,0),FALSE)</f>
        <v>6.5012000000000004E-3</v>
      </c>
      <c r="BU96" s="236">
        <f t="shared" si="26"/>
        <v>0</v>
      </c>
      <c r="BV96" s="151">
        <f>VLOOKUP($A96,TOCA_current!A92:BG227,MATCH(BV$4,TOCA_current!$A$2:$BG$2,0),FALSE)</f>
        <v>0</v>
      </c>
      <c r="BW96" s="151">
        <f t="shared" si="27"/>
        <v>0</v>
      </c>
      <c r="BX96" s="151">
        <f t="shared" si="28"/>
        <v>0</v>
      </c>
      <c r="BY96" s="226">
        <f>VLOOKUP($A96,IRD!$A$4:$G$139, 7, FALSE)</f>
        <v>55408.151000000005</v>
      </c>
      <c r="BZ96" s="227">
        <f t="array" ref="BZ96">IF($BU96=0, INDEX(LS_current!$D$4:$AY$138, MATCH('Staging Table'!$A96, LS_current!$B$4:$B$138, 0), MATCH(BZ$4&amp;BZ$5, LS_current!$D$2:$AY$2&amp;LS_current!$D$3:$AY$3, 0)),SUM(VLOOKUP($A96, LS_current!$B$4:$AY$138, LS_current!D$148, FALSE), VLOOKUP($A96, LS_current!$B$4:$AY$138,LS_current!D$148, FALSE))/2)</f>
        <v>-1627</v>
      </c>
      <c r="CA96" s="227">
        <f t="array" ref="CA96">IF($BU96=0, INDEX(LS_current!$D$4:$AY$138, MATCH('Staging Table'!$A96, LS_current!$B$4:$B$138, 0), MATCH(CA$4&amp;CA$5, LS_current!$D$2:$AY$2&amp;LS_current!$D$3:$AY$3, 0)),SUM(VLOOKUP($A96, LS_current!$B$4:$AY$138, LS_current!E$148, FALSE), VLOOKUP($A96, LS_current!$B$4:$AY$138,LS_current!E$148, FALSE))/2)</f>
        <v>2498</v>
      </c>
      <c r="CB96" s="227">
        <f t="array" ref="CB96">IF($BU96=0, INDEX(LS_current!$D$4:$AY$138, MATCH('Staging Table'!$A96, LS_current!$B$4:$B$138, 0), MATCH(CB$4&amp;CB$5, LS_current!$D$2:$AY$2&amp;LS_current!$D$3:$AY$3, 0)),SUM(VLOOKUP($A96, LS_current!$B$4:$AY$138, LS_current!F$148, FALSE), VLOOKUP($A96, LS_current!$B$4:$AY$138,LS_current!F$148, FALSE))/2)</f>
        <v>-4768</v>
      </c>
      <c r="CC96" s="227">
        <f t="array" ref="CC96">IF($BU96=0, INDEX(LS_current!$D$4:$AY$138, MATCH('Staging Table'!$A96, LS_current!$B$4:$B$138, 0), MATCH(CC$4&amp;CC$5, LS_current!$D$2:$AY$2&amp;LS_current!$D$3:$AY$3, 0)),SUM(VLOOKUP($A96, LS_current!$B$4:$AY$138, LS_current!G$148, FALSE), VLOOKUP($A96, LS_current!$B$4:$AY$138,LS_current!G$148, FALSE))/2)</f>
        <v>1134</v>
      </c>
      <c r="CD96" s="227">
        <f t="array" ref="CD96">IF($BU96=0, INDEX(LS_current!$D$4:$AY$138, MATCH('Staging Table'!$A96, LS_current!$B$4:$B$138, 0), MATCH(CD$4&amp;CD$5, LS_current!$D$2:$AY$2&amp;LS_current!$D$3:$AY$3, 0)),SUM(VLOOKUP($A96, LS_current!$B$4:$AY$138, LS_current!H$148, FALSE), VLOOKUP($A96, LS_current!$B$4:$AY$138,LS_current!H$148, FALSE))/2)</f>
        <v>2271</v>
      </c>
      <c r="CE96" s="227">
        <f t="array" ref="CE96">IF($BU96=0, INDEX(LS_current!$D$4:$AY$138, MATCH('Staging Table'!$A96, LS_current!$B$4:$B$138, 0), MATCH(CE$4&amp;CE$5, LS_current!$D$2:$AY$2&amp;LS_current!$D$3:$AY$3, 0)),SUM(VLOOKUP($A96, LS_current!$B$4:$AY$138, LS_current!I$148, FALSE), VLOOKUP($A96, LS_current!$B$4:$AY$138,LS_current!I$148, FALSE))/2)</f>
        <v>7794</v>
      </c>
      <c r="CF96" s="227">
        <f t="array" ref="CF96">IF($BU96=0, INDEX(LS_current!$D$4:$AY$138, MATCH('Staging Table'!$A96, LS_current!$B$4:$B$138, 0), MATCH(CF$4&amp;CF$5, LS_current!$D$2:$AY$2&amp;LS_current!$D$3:$AY$3, 0)),SUM(VLOOKUP($A96, LS_current!$B$4:$AY$138, LS_current!J$148, FALSE), VLOOKUP($A96, LS_current!$B$4:$AY$138,LS_current!J$148, FALSE))/2)</f>
        <v>9648</v>
      </c>
      <c r="CG96" s="227">
        <f t="array" ref="CG96">IF($BU96=0, INDEX(LS_current!$D$4:$AY$138, MATCH('Staging Table'!$A96, LS_current!$B$4:$B$138, 0), MATCH(CG$4&amp;CG$5, LS_current!$D$2:$AY$2&amp;LS_current!$D$3:$AY$3, 0)),SUM(VLOOKUP($A96, LS_current!$B$4:$AY$138, LS_current!K$148, FALSE), VLOOKUP($A96, LS_current!$B$4:$AY$138,LS_current!K$148, FALSE))/2)</f>
        <v>11500</v>
      </c>
      <c r="CH96" s="227">
        <f t="array" ref="CH96">IF($BU96=0, INDEX(LS_current!$D$4:$AY$138, MATCH('Staging Table'!$A96, LS_current!$B$4:$B$138, 0), MATCH(CH$4&amp;CH$5, LS_current!$D$2:$AY$2&amp;LS_current!$D$3:$AY$3, 0)),SUM(VLOOKUP($A96, LS_current!$B$4:$AY$138, LS_current!L$148, FALSE), VLOOKUP($A96, LS_current!$B$4:$AY$138,LS_current!L$148, FALSE))/2)</f>
        <v>6952</v>
      </c>
      <c r="CI96" s="227">
        <f t="array" ref="CI96">IF($BU96=0, INDEX(LS_current!$D$4:$AY$138, MATCH('Staging Table'!$A96, LS_current!$B$4:$B$138, 0), MATCH(CI$4&amp;CI$5, LS_current!$D$2:$AY$2&amp;LS_current!$D$3:$AY$3, 0)),SUM(VLOOKUP($A96, LS_current!$B$4:$AY$138, LS_current!M$148, FALSE), VLOOKUP($A96, LS_current!$B$4:$AY$138,LS_current!M$148, FALSE))/2)</f>
        <v>7926</v>
      </c>
      <c r="CJ96" s="227">
        <f t="array" ref="CJ96">IF($BU96=0, INDEX(LS_current!$D$4:$AY$138, MATCH('Staging Table'!$A96, LS_current!$B$4:$B$138, 0), MATCH(CJ$4&amp;CJ$5, LS_current!$D$2:$AY$2&amp;LS_current!$D$3:$AY$3, 0)),SUM(VLOOKUP($A96, LS_current!$B$4:$AY$138, LS_current!N$148, FALSE), VLOOKUP($A96, LS_current!$B$4:$AY$138,LS_current!N$148, FALSE))/2)</f>
        <v>3914</v>
      </c>
      <c r="CK96" s="227">
        <f t="array" ref="CK96">IF($BU96=0, INDEX(LS_current!$D$4:$AY$138, MATCH('Staging Table'!$A96, LS_current!$B$4:$B$138, 0), MATCH(CK$4&amp;CK$5, LS_current!$D$2:$AY$2&amp;LS_current!$D$3:$AY$3, 0)),SUM(VLOOKUP($A96, LS_current!$B$4:$AY$138, LS_current!O$148, FALSE), VLOOKUP($A96, LS_current!$B$4:$AY$138,LS_current!O$148, FALSE))/2)</f>
        <v>7367</v>
      </c>
      <c r="CL96" s="227">
        <f t="array" ref="CL96">IF($BU96=0, INDEX(LS_current!$D$4:$AY$138, MATCH('Staging Table'!$A96, LS_current!$B$4:$B$138, 0), MATCH(CL$4&amp;CL$5, LS_current!$D$2:$AY$2&amp;LS_current!$D$3:$AY$3, 0)),SUM(VLOOKUP($A96, LS_current!$B$4:$AY$138, LS_current!P$148, FALSE), VLOOKUP($A96, LS_current!$B$4:$AY$138,LS_current!P$148, FALSE))/2)</f>
        <v>245</v>
      </c>
      <c r="CM96" s="227">
        <f t="array" ref="CM96">IF($BU96=0, INDEX(LS_current!$D$4:$AY$138, MATCH('Staging Table'!$A96, LS_current!$B$4:$B$138, 0), MATCH(CM$4&amp;CM$5, LS_current!$D$2:$AY$2&amp;LS_current!$D$3:$AY$3, 0)),SUM(VLOOKUP($A96, LS_current!$B$4:$AY$138, LS_current!Q$148, FALSE), VLOOKUP($A96, LS_current!$B$4:$AY$138,LS_current!Q$148, FALSE))/2)</f>
        <v>2474</v>
      </c>
      <c r="CN96" s="227">
        <f t="array" ref="CN96">IF($BU96=0, INDEX(LS_current!$D$4:$AY$138, MATCH('Staging Table'!$A96, LS_current!$B$4:$B$138, 0), MATCH(CN$4&amp;CN$5, LS_current!$D$2:$AY$2&amp;LS_current!$D$3:$AY$3, 0)),SUM(VLOOKUP($A96, LS_current!$B$4:$AY$138, LS_current!R$148, FALSE), VLOOKUP($A96, LS_current!$B$4:$AY$138,LS_current!R$148, FALSE))/2)</f>
        <v>-10685</v>
      </c>
      <c r="CO96" s="227">
        <f t="array" ref="CO96">IF($BU96=0, INDEX(LS_current!$D$4:$AY$138, MATCH('Staging Table'!$A96, LS_current!$B$4:$B$138, 0), MATCH(CO$4&amp;CO$5, LS_current!$D$2:$AY$2&amp;LS_current!$D$3:$AY$3, 0)),SUM(VLOOKUP($A96, LS_current!$B$4:$AY$138, LS_current!S$148, FALSE), VLOOKUP($A96, LS_current!$B$4:$AY$138,LS_current!S$148, FALSE))/2)</f>
        <v>-1997</v>
      </c>
      <c r="CP96" s="227">
        <f t="array" ref="CP96">IF($BU96=0, INDEX(LS_current!$D$4:$AY$138, MATCH('Staging Table'!$A96, LS_current!$B$4:$B$138, 0), MATCH(CP$4&amp;CP$5, LS_current!$D$2:$AY$2&amp;LS_current!$D$3:$AY$3, 0)),SUM(VLOOKUP($A96, LS_current!$B$4:$AY$138, LS_current!T$148, FALSE), VLOOKUP($A96, LS_current!$B$4:$AY$138,LS_current!T$148, FALSE))/2)</f>
        <v>-19964</v>
      </c>
      <c r="CQ96" s="227">
        <f t="array" ref="CQ96">IF($BU96=0, INDEX(LS_current!$D$4:$AY$138, MATCH('Staging Table'!$A96, LS_current!$B$4:$B$138, 0), MATCH(CQ$4&amp;CQ$5, LS_current!$D$2:$AY$2&amp;LS_current!$D$3:$AY$3, 0)),SUM(VLOOKUP($A96, LS_current!$B$4:$AY$138, LS_current!U$148, FALSE), VLOOKUP($A96, LS_current!$B$4:$AY$138,LS_current!U$148, FALSE))/2)</f>
        <v>-9124</v>
      </c>
      <c r="CR96" s="227">
        <f t="array" ref="CR96">IF($BU96=0, INDEX(LS_current!$D$4:$AY$138, MATCH('Staging Table'!$A96, LS_current!$B$4:$B$138, 0), MATCH(CR$4&amp;CR$5, LS_current!$D$2:$AY$2&amp;LS_current!$D$3:$AY$3, 0)),SUM(VLOOKUP($A96, LS_current!$B$4:$AY$138, LS_current!V$148, FALSE), VLOOKUP($A96, LS_current!$B$4:$AY$138,LS_current!V$148, FALSE))/2)</f>
        <v>-5983</v>
      </c>
      <c r="CS96" s="227">
        <f t="array" ref="CS96">IF($BU96=0, INDEX(LS_current!$D$4:$AY$138, MATCH('Staging Table'!$A96, LS_current!$B$4:$B$138, 0), MATCH(CS$4&amp;CS$5, LS_current!$D$2:$AY$2&amp;LS_current!$D$3:$AY$3, 0)),SUM(VLOOKUP($A96, LS_current!$B$4:$AY$138, LS_current!W$148, FALSE), VLOOKUP($A96, LS_current!$B$4:$AY$138,LS_current!W$148, FALSE))/2)</f>
        <v>3317</v>
      </c>
      <c r="CT96" s="227">
        <f t="array" ref="CT96">IF($BU96=0, INDEX(LS_current!$D$4:$AY$138, MATCH('Staging Table'!$A96, LS_current!$B$4:$B$138, 0), MATCH(CT$4&amp;CT$5, LS_current!$D$2:$AY$2&amp;LS_current!$D$3:$AY$3, 0)),SUM(VLOOKUP($A96, LS_current!$B$4:$AY$138, LS_current!X$148, FALSE), VLOOKUP($A96, LS_current!$B$4:$AY$138,LS_current!X$148, FALSE))/2)</f>
        <v>-9513</v>
      </c>
      <c r="CU96" s="227">
        <f t="array" ref="CU96">IF($BU96=0, INDEX(LS_current!$D$4:$AY$138, MATCH('Staging Table'!$A96, LS_current!$B$4:$B$138, 0), MATCH(CU$4&amp;CU$5, LS_current!$D$2:$AY$2&amp;LS_current!$D$3:$AY$3, 0)),SUM(VLOOKUP($A96, LS_current!$B$4:$AY$138, LS_current!Y$148, FALSE), VLOOKUP($A96, LS_current!$B$4:$AY$138,LS_current!Y$148, FALSE))/2)</f>
        <v>135</v>
      </c>
      <c r="CV96" s="227">
        <f t="array" ref="CV96">IF($BU96=0, INDEX(LS_current!$D$4:$AY$138, MATCH('Staging Table'!$A96, LS_current!$B$4:$B$138, 0), MATCH(CV$4&amp;CV$5, LS_current!$D$2:$AY$2&amp;LS_current!$D$3:$AY$3, 0)),SUM(VLOOKUP($A96, LS_current!$B$4:$AY$138, LS_current!Z$148, FALSE), VLOOKUP($A96, LS_current!$B$4:$AY$138,LS_current!Z$148, FALSE))/2)</f>
        <v>-4529</v>
      </c>
      <c r="CW96" s="227">
        <f t="array" ref="CW96">IF($BU96=0, INDEX(LS_current!$D$4:$AY$138, MATCH('Staging Table'!$A96, LS_current!$B$4:$B$138, 0), MATCH(CW$4&amp;CW$5, LS_current!$D$2:$AY$2&amp;LS_current!$D$3:$AY$3, 0)),SUM(VLOOKUP($A96, LS_current!$B$4:$AY$138, LS_current!AA$148, FALSE), VLOOKUP($A96, LS_current!$B$4:$AY$138,LS_current!AA$148, FALSE))/2)</f>
        <v>1018</v>
      </c>
      <c r="CX96" s="229">
        <f t="array" ref="CX96">INDEX(Demand_current!$D$4:$AY$138, MATCH($A96, Demand_current!$B$4:$B$138, 0), MATCH(CX$4&amp;CX$5,Demand_current!$D$2:$AY$2&amp;Demand_current!$D$3:$AY$3, 0))/1000</f>
        <v>0</v>
      </c>
      <c r="CY96" s="229">
        <f t="array" ref="CY96">INDEX(Demand_current!$D$4:$AY$138, MATCH($A96, Demand_current!$B$4:$B$138, 0), MATCH(CY$4&amp;CY$5,Demand_current!$D$2:$AY$2&amp;Demand_current!$D$3:$AY$3, 0))/1000</f>
        <v>0</v>
      </c>
      <c r="CZ96" s="229">
        <f t="array" ref="CZ96">INDEX(Demand_current!$D$4:$AY$138, MATCH($A96, Demand_current!$B$4:$B$138, 0), MATCH(CZ$4&amp;CZ$5,Demand_current!$D$2:$AY$2&amp;Demand_current!$D$3:$AY$3, 0))/1000</f>
        <v>0</v>
      </c>
      <c r="DA96" s="229">
        <f t="array" ref="DA96">INDEX(Demand_current!$D$4:$AY$138, MATCH($A96, Demand_current!$B$4:$B$138, 0), MATCH(DA$4&amp;DA$5,Demand_current!$D$2:$AY$2&amp;Demand_current!$D$3:$AY$3, 0))/1000</f>
        <v>0</v>
      </c>
      <c r="DB96" s="229">
        <f t="array" ref="DB96">INDEX(Demand_current!$D$4:$AY$138, MATCH($A96, Demand_current!$B$4:$B$138, 0), MATCH(DB$4&amp;DB$5,Demand_current!$D$2:$AY$2&amp;Demand_current!$D$3:$AY$3, 0))/1000</f>
        <v>0</v>
      </c>
      <c r="DC96" s="229">
        <f t="array" ref="DC96">INDEX(Demand_current!$D$4:$AY$138, MATCH($A96, Demand_current!$B$4:$B$138, 0), MATCH(DC$4&amp;DC$5,Demand_current!$D$2:$AY$2&amp;Demand_current!$D$3:$AY$3, 0))/1000</f>
        <v>0</v>
      </c>
      <c r="DD96" s="229">
        <f t="array" ref="DD96">INDEX(Demand_current!$D$4:$AY$138, MATCH($A96, Demand_current!$B$4:$B$138, 0), MATCH(DD$4&amp;DD$5,Demand_current!$D$2:$AY$2&amp;Demand_current!$D$3:$AY$3, 0))/1000</f>
        <v>0</v>
      </c>
      <c r="DE96" s="229">
        <f t="array" ref="DE96">INDEX(Demand_current!$D$4:$AY$138, MATCH($A96, Demand_current!$B$4:$B$138, 0), MATCH(DE$4&amp;DE$5,Demand_current!$D$2:$AY$2&amp;Demand_current!$D$3:$AY$3, 0))/1000</f>
        <v>0</v>
      </c>
      <c r="DF96" s="229">
        <f t="array" ref="DF96">INDEX(Demand_current!$D$4:$AY$138, MATCH($A96, Demand_current!$B$4:$B$138, 0), MATCH(DF$4&amp;DF$5,Demand_current!$D$2:$AY$2&amp;Demand_current!$D$3:$AY$3, 0))/1000</f>
        <v>0</v>
      </c>
      <c r="DG96" s="229">
        <f t="array" ref="DG96">INDEX(Demand_current!$D$4:$AY$138, MATCH($A96, Demand_current!$B$4:$B$138, 0), MATCH(DG$4&amp;DG$5,Demand_current!$D$2:$AY$2&amp;Demand_current!$D$3:$AY$3, 0))/1000</f>
        <v>0</v>
      </c>
      <c r="DH96" s="229">
        <f t="array" ref="DH96">INDEX(Demand_current!$D$4:$AY$138, MATCH($A96, Demand_current!$B$4:$B$138, 0), MATCH(DH$4&amp;DH$5,Demand_current!$D$2:$AY$2&amp;Demand_current!$D$3:$AY$3, 0))/1000</f>
        <v>0</v>
      </c>
      <c r="DI96" s="229">
        <f t="array" ref="DI96">INDEX(Demand_current!$D$4:$AY$138, MATCH($A96, Demand_current!$B$4:$B$138, 0), MATCH(DI$4&amp;DI$5,Demand_current!$D$2:$AY$2&amp;Demand_current!$D$3:$AY$3, 0))/1000</f>
        <v>0</v>
      </c>
      <c r="DJ96" s="227">
        <f>$BT96*(VLOOKUP(DJ$4, Rates_current!$G$6:$Q$29, 10, FALSE)+VLOOKUP(DJ$4, Rates_current!$G$6:$Q$29, 11, FALSE))</f>
        <v>30018.102554635199</v>
      </c>
      <c r="DK96" s="227">
        <f>$BT96*(VLOOKUP(DK$4, Rates_current!$G$6:$Q$29, 10, FALSE)+VLOOKUP(DK$4, Rates_current!$G$6:$Q$29, 11, FALSE))</f>
        <v>38132.354573386801</v>
      </c>
      <c r="DL96" s="227">
        <f>$BT96*(VLOOKUP(DL$4, Rates_current!$G$6:$Q$29, 10, FALSE)+VLOOKUP(DL$4, Rates_current!$G$6:$Q$29, 11, FALSE))</f>
        <v>37671.854794235209</v>
      </c>
      <c r="DM96" s="227">
        <f>$BT96*(VLOOKUP(DM$4, Rates_current!$G$6:$Q$29, 10, FALSE)+VLOOKUP(DM$4, Rates_current!$G$6:$Q$29, 11, FALSE))</f>
        <v>31401.785456635203</v>
      </c>
      <c r="DN96" s="227">
        <f>$BT96*(VLOOKUP(DN$4, Rates_current!$G$6:$Q$29, 10, FALSE)+VLOOKUP(DN$4, Rates_current!$G$6:$Q$29, 11, FALSE))</f>
        <v>28446.759940160002</v>
      </c>
      <c r="DO96" s="227">
        <f>$BT96*(VLOOKUP(DO$4, Rates_current!$G$6:$Q$29, 10, FALSE)+VLOOKUP(DO$4, Rates_current!$G$6:$Q$29, 11, FALSE))</f>
        <v>31641.834081624402</v>
      </c>
      <c r="DP96" s="227">
        <f>$BT96*(VLOOKUP(DP$4, Rates_current!$G$6:$Q$29, 10, FALSE)+VLOOKUP(DP$4, Rates_current!$G$6:$Q$29, 11, FALSE))</f>
        <v>25762.815454176001</v>
      </c>
      <c r="DQ96" s="227">
        <f>$BT96*(VLOOKUP(DQ$4, Rates_current!$G$6:$Q$29, 10, FALSE)+VLOOKUP(DQ$4, Rates_current!$G$6:$Q$29, 11, FALSE))</f>
        <v>34744.998301235202</v>
      </c>
      <c r="DR96" s="227">
        <f>$BT96*(VLOOKUP(DR$4, Rates_current!$G$6:$Q$29, 10, FALSE)+VLOOKUP(DR$4, Rates_current!$G$6:$Q$29, 11, FALSE))</f>
        <v>44332.254775576002</v>
      </c>
      <c r="DS96" s="227">
        <f>$BT96*(VLOOKUP(DS$4, Rates_current!$G$6:$Q$29, 10, FALSE)+VLOOKUP(DS$4, Rates_current!$G$6:$Q$29, 11, FALSE))</f>
        <v>34757.893431435208</v>
      </c>
      <c r="DT96" s="227">
        <f>$BT96*(VLOOKUP(DT$4, Rates_current!$G$6:$Q$29, 10, FALSE)+VLOOKUP(DT$4, Rates_current!$G$6:$Q$29, 11, FALSE))</f>
        <v>33847.267096835203</v>
      </c>
      <c r="DU96" s="227">
        <f>$BT96*(VLOOKUP(DU$4, Rates_current!$G$6:$Q$29, 10, FALSE)+VLOOKUP(DU$4, Rates_current!$G$6:$Q$29, 11, FALSE))</f>
        <v>30387.645611376003</v>
      </c>
      <c r="DV96" s="229">
        <f>IF(D96=0,IF(C96=0,MAX(0,DY96 - (VLOOKUP($A96,TOCA_current!$A$2:$AI$137,MATCH("RHWM 2020",TOCA_current!$A$2:$AI$2,0),FALSE)*$BT$2)), 0),0)</f>
        <v>0</v>
      </c>
      <c r="DW96" s="266">
        <f>VLOOKUP($A96,REP_current!$A$1:$D$135,MATCH("FY "&amp;$BT$1&amp; " Total Refund",REP_current!$A$1:$D$1,0),0)</f>
        <v>0</v>
      </c>
      <c r="DX96" s="295">
        <f>MIN(VLOOKUP($A96,TOCA_current!$A$2:$AI$137,MATCH("TRL - NLSL - Existing Resource "&amp;$BT$1,TOCA_current!$A$2:$AI$2,0),FALSE)*$BT$2, VLOOKUP($A96,TOCA_current!$A$2:$AI$137,MATCH("RHWM 2020",TOCA_current!$A$2:$AI$2,0),FALSE)*$BT$2)</f>
        <v>401147.712</v>
      </c>
      <c r="DY96" s="240">
        <f>SUM(BZ96:CW96)+(BT96*RT1SC!$C$4*$BT$2)</f>
        <v>401148.58112808963</v>
      </c>
      <c r="DZ96" s="271">
        <f>VLOOKUP($A96,TOCA_current!$A$2:$AI$137,MATCH("Above RHWM Not Served with LS "&amp;$BT$1,TOCA_current!$A$2:$AI$2,0),FALSE)*$BT$2</f>
        <v>50762.735999999997</v>
      </c>
      <c r="EA96" s="244">
        <f t="shared" si="29"/>
        <v>0.86912808963097632</v>
      </c>
      <c r="EB96" s="295">
        <f>(VLOOKUP($A96,TOCA_current!$A$2:$AI$137,MATCH("RHWM 2020",TOCA_current!$A$2:$AI$2,0),FALSE)*$BT$2) - $DX96</f>
        <v>0</v>
      </c>
      <c r="EC96" s="240">
        <f t="shared" si="30"/>
        <v>0</v>
      </c>
      <c r="ED96" s="240">
        <f t="shared" si="31"/>
        <v>0</v>
      </c>
      <c r="EE96" s="240">
        <f t="shared" si="32"/>
        <v>0</v>
      </c>
      <c r="EF96" s="240">
        <f t="shared" si="33"/>
        <v>0</v>
      </c>
    </row>
    <row r="97" spans="1:136">
      <c r="A97" s="166">
        <v>10288</v>
      </c>
      <c r="B97" s="167" t="s">
        <v>98</v>
      </c>
      <c r="C97" s="240">
        <v>1</v>
      </c>
      <c r="D97" s="240">
        <v>0</v>
      </c>
      <c r="E97" s="150">
        <f>VLOOKUP($A97,TOCA_previous!$A$2:$AI$137,MATCH(E$4,TOCA_previous!$A$2:$AI$2,0),FALSE)</f>
        <v>3.5043000000000001E-3</v>
      </c>
      <c r="F97" s="151">
        <f>VLOOKUP($A97,TOCA_previous!$A$2:$AI$137,MATCH(F$4,TOCA_previous!$A$2:$AI$2,0),FALSE)</f>
        <v>3.5043000000000001E-3</v>
      </c>
      <c r="G97" s="151">
        <f t="shared" si="18"/>
        <v>0</v>
      </c>
      <c r="H97" s="151">
        <f>VLOOKUP($A97,TOCA_previous!$A$2:$AI$137,MATCH(H$4,TOCA_previous!$A$2:$AI$2,0),FALSE)</f>
        <v>5.61006E-2</v>
      </c>
      <c r="I97" s="151">
        <f t="shared" si="19"/>
        <v>5.61006E-2</v>
      </c>
      <c r="J97" s="151">
        <f t="shared" si="20"/>
        <v>3.5043000000000001E-3</v>
      </c>
      <c r="K97" s="226">
        <f>VLOOKUP(A97, IRD!$A$5:$C$139, 3, FALSE)</f>
        <v>0</v>
      </c>
      <c r="L97" s="227">
        <f t="array" ref="L97">IF($G97=0, INDEX(LS_previous!$D$4:$AY$138, MATCH('Staging Table'!$A97, LS_previous!$B$4:$B$138, 0), MATCH(L$4&amp;L$5, LS_previous!$D$2:$AY$2&amp;LS_previous!$D$3:$AY$3, 0)),SUM(VLOOKUP($A97, LS_previous!$B$4:$AY$138, LS_previous!D$149, FALSE), VLOOKUP('Staging Table'!$A97, LS_previous!$B$4:$AY$138,LS_previous!AB$149, FALSE))/2)</f>
        <v>0</v>
      </c>
      <c r="M97" s="227">
        <f t="array" ref="M97">IF($G97=0, INDEX(LS_previous!$D$4:$AY$138, MATCH('Staging Table'!$A97, LS_previous!$B$4:$B$138, 0), MATCH(M$4&amp;M$5, LS_previous!$D$2:$AY$2&amp;LS_previous!$D$3:$AY$3, 0)),SUM(VLOOKUP($A97, LS_previous!$B$4:$AY$138, LS_previous!E$149, FALSE), VLOOKUP('Staging Table'!$A97, LS_previous!$B$4:$AY$138,LS_previous!AC$149, FALSE))/2)</f>
        <v>0</v>
      </c>
      <c r="N97" s="227">
        <f t="array" ref="N97">IF($G97=0, INDEX(LS_previous!$D$4:$AY$138, MATCH('Staging Table'!$A97, LS_previous!$B$4:$B$138, 0), MATCH(N$4&amp;N$5, LS_previous!$D$2:$AY$2&amp;LS_previous!$D$3:$AY$3, 0)),SUM(VLOOKUP($A97, LS_previous!$B$4:$AY$138, LS_previous!F$149, FALSE), VLOOKUP('Staging Table'!$A97, LS_previous!$B$4:$AY$138,LS_previous!AD$149, FALSE))/2)</f>
        <v>0</v>
      </c>
      <c r="O97" s="227">
        <f t="array" ref="O97">IF($G97=0, INDEX(LS_previous!$D$4:$AY$138, MATCH('Staging Table'!$A97, LS_previous!$B$4:$B$138, 0), MATCH(O$4&amp;O$5, LS_previous!$D$2:$AY$2&amp;LS_previous!$D$3:$AY$3, 0)),SUM(VLOOKUP($A97, LS_previous!$B$4:$AY$138, LS_previous!G$149, FALSE), VLOOKUP('Staging Table'!$A97, LS_previous!$B$4:$AY$138,LS_previous!AE$149, FALSE))/2)</f>
        <v>0</v>
      </c>
      <c r="P97" s="227">
        <f t="array" ref="P97">IF($G97=0, INDEX(LS_previous!$D$4:$AY$138, MATCH('Staging Table'!$A97, LS_previous!$B$4:$B$138, 0), MATCH(P$4&amp;P$5, LS_previous!$D$2:$AY$2&amp;LS_previous!$D$3:$AY$3, 0)),SUM(VLOOKUP($A97, LS_previous!$B$4:$AY$138, LS_previous!H$149, FALSE), VLOOKUP('Staging Table'!$A97, LS_previous!$B$4:$AY$138,LS_previous!AF$149, FALSE))/2)</f>
        <v>0</v>
      </c>
      <c r="Q97" s="227">
        <f t="array" ref="Q97">IF($G97=0, INDEX(LS_previous!$D$4:$AY$138, MATCH('Staging Table'!$A97, LS_previous!$B$4:$B$138, 0), MATCH(Q$4&amp;Q$5, LS_previous!$D$2:$AY$2&amp;LS_previous!$D$3:$AY$3, 0)),SUM(VLOOKUP($A97, LS_previous!$B$4:$AY$138, LS_previous!I$149, FALSE), VLOOKUP('Staging Table'!$A97, LS_previous!$B$4:$AY$138,LS_previous!AG$149, FALSE))/2)</f>
        <v>0</v>
      </c>
      <c r="R97" s="227">
        <f t="array" ref="R97">IF($G97=0, INDEX(LS_previous!$D$4:$AY$138, MATCH('Staging Table'!$A97, LS_previous!$B$4:$B$138, 0), MATCH(R$4&amp;R$5, LS_previous!$D$2:$AY$2&amp;LS_previous!$D$3:$AY$3, 0)),SUM(VLOOKUP($A97, LS_previous!$B$4:$AY$138, LS_previous!J$149, FALSE), VLOOKUP('Staging Table'!$A97, LS_previous!$B$4:$AY$138,LS_previous!AH$149, FALSE))/2)</f>
        <v>0</v>
      </c>
      <c r="S97" s="227">
        <f t="array" ref="S97">IF($G97=0, INDEX(LS_previous!$D$4:$AY$138, MATCH('Staging Table'!$A97, LS_previous!$B$4:$B$138, 0), MATCH(S$4&amp;S$5, LS_previous!$D$2:$AY$2&amp;LS_previous!$D$3:$AY$3, 0)),SUM(VLOOKUP($A97, LS_previous!$B$4:$AY$138, LS_previous!K$149, FALSE), VLOOKUP('Staging Table'!$A97, LS_previous!$B$4:$AY$138,LS_previous!AI$149, FALSE))/2)</f>
        <v>0</v>
      </c>
      <c r="T97" s="227">
        <f t="array" ref="T97">IF($G97=0, INDEX(LS_previous!$D$4:$AY$138, MATCH('Staging Table'!$A97, LS_previous!$B$4:$B$138, 0), MATCH(T$4&amp;T$5, LS_previous!$D$2:$AY$2&amp;LS_previous!$D$3:$AY$3, 0)),SUM(VLOOKUP($A97, LS_previous!$B$4:$AY$138, LS_previous!L$149, FALSE), VLOOKUP('Staging Table'!$A97, LS_previous!$B$4:$AY$138,LS_previous!AJ$149, FALSE))/2)</f>
        <v>0</v>
      </c>
      <c r="U97" s="227">
        <f t="array" ref="U97">IF($G97=0, INDEX(LS_previous!$D$4:$AY$138, MATCH('Staging Table'!$A97, LS_previous!$B$4:$B$138, 0), MATCH(U$4&amp;U$5, LS_previous!$D$2:$AY$2&amp;LS_previous!$D$3:$AY$3, 0)),SUM(VLOOKUP($A97, LS_previous!$B$4:$AY$138, LS_previous!M$149, FALSE), VLOOKUP('Staging Table'!$A97, LS_previous!$B$4:$AY$138,LS_previous!AK$149, FALSE))/2)</f>
        <v>0</v>
      </c>
      <c r="V97" s="227">
        <f t="array" ref="V97">IF($G97=0, INDEX(LS_previous!$D$4:$AY$138, MATCH('Staging Table'!$A97, LS_previous!$B$4:$B$138, 0), MATCH(V$4&amp;V$5, LS_previous!$D$2:$AY$2&amp;LS_previous!$D$3:$AY$3, 0)),SUM(VLOOKUP($A97, LS_previous!$B$4:$AY$138, LS_previous!N$149, FALSE), VLOOKUP('Staging Table'!$A97, LS_previous!$B$4:$AY$138,LS_previous!AL$149, FALSE))/2)</f>
        <v>0</v>
      </c>
      <c r="W97" s="227">
        <f t="array" ref="W97">IF($G97=0, INDEX(LS_previous!$D$4:$AY$138, MATCH('Staging Table'!$A97, LS_previous!$B$4:$B$138, 0), MATCH(W$4&amp;W$5, LS_previous!$D$2:$AY$2&amp;LS_previous!$D$3:$AY$3, 0)),SUM(VLOOKUP($A97, LS_previous!$B$4:$AY$138, LS_previous!O$149, FALSE), VLOOKUP('Staging Table'!$A97, LS_previous!$B$4:$AY$138,LS_previous!AM$149, FALSE))/2)</f>
        <v>0</v>
      </c>
      <c r="X97" s="227">
        <f t="array" ref="X97">IF($G97=0, INDEX(LS_previous!$D$4:$AY$138, MATCH('Staging Table'!$A97, LS_previous!$B$4:$B$138, 0), MATCH(X$4&amp;X$5, LS_previous!$D$2:$AY$2&amp;LS_previous!$D$3:$AY$3, 0)),SUM(VLOOKUP($A97, LS_previous!$B$4:$AY$138, LS_previous!P$149, FALSE), VLOOKUP('Staging Table'!$A97, LS_previous!$B$4:$AY$138,LS_previous!AN$149, FALSE))/2)</f>
        <v>0</v>
      </c>
      <c r="Y97" s="227">
        <f t="array" ref="Y97">IF($G97=0, INDEX(LS_previous!$D$4:$AY$138, MATCH('Staging Table'!$A97, LS_previous!$B$4:$B$138, 0), MATCH(Y$4&amp;Y$5, LS_previous!$D$2:$AY$2&amp;LS_previous!$D$3:$AY$3, 0)),SUM(VLOOKUP($A97, LS_previous!$B$4:$AY$138, LS_previous!Q$149, FALSE), VLOOKUP('Staging Table'!$A97, LS_previous!$B$4:$AY$138,LS_previous!AO$149, FALSE))/2)</f>
        <v>0</v>
      </c>
      <c r="Z97" s="227">
        <f t="array" ref="Z97">IF($G97=0, INDEX(LS_previous!$D$4:$AY$138, MATCH('Staging Table'!$A97, LS_previous!$B$4:$B$138, 0), MATCH(Z$4&amp;Z$5, LS_previous!$D$2:$AY$2&amp;LS_previous!$D$3:$AY$3, 0)),SUM(VLOOKUP($A97, LS_previous!$B$4:$AY$138, LS_previous!R$149, FALSE), VLOOKUP('Staging Table'!$A97, LS_previous!$B$4:$AY$138,LS_previous!AP$149, FALSE))/2)</f>
        <v>0</v>
      </c>
      <c r="AA97" s="227">
        <f t="array" ref="AA97">IF($G97=0, INDEX(LS_previous!$D$4:$AY$138, MATCH('Staging Table'!$A97, LS_previous!$B$4:$B$138, 0), MATCH(AA$4&amp;AA$5, LS_previous!$D$2:$AY$2&amp;LS_previous!$D$3:$AY$3, 0)),SUM(VLOOKUP($A97, LS_previous!$B$4:$AY$138, LS_previous!S$149, FALSE), VLOOKUP('Staging Table'!$A97, LS_previous!$B$4:$AY$138,LS_previous!AQ$149, FALSE))/2)</f>
        <v>0</v>
      </c>
      <c r="AB97" s="227">
        <f t="array" ref="AB97">IF($G97=0, INDEX(LS_previous!$D$4:$AY$138, MATCH('Staging Table'!$A97, LS_previous!$B$4:$B$138, 0), MATCH(AB$4&amp;AB$5, LS_previous!$D$2:$AY$2&amp;LS_previous!$D$3:$AY$3, 0)),SUM(VLOOKUP($A97, LS_previous!$B$4:$AY$138, LS_previous!T$149, FALSE), VLOOKUP('Staging Table'!$A97, LS_previous!$B$4:$AY$138,LS_previous!AR$149, FALSE))/2)</f>
        <v>0</v>
      </c>
      <c r="AC97" s="227">
        <f t="array" ref="AC97">IF($G97=0, INDEX(LS_previous!$D$4:$AY$138, MATCH('Staging Table'!$A97, LS_previous!$B$4:$B$138, 0), MATCH(AC$4&amp;AC$5, LS_previous!$D$2:$AY$2&amp;LS_previous!$D$3:$AY$3, 0)),SUM(VLOOKUP($A97, LS_previous!$B$4:$AY$138, LS_previous!U$149, FALSE), VLOOKUP('Staging Table'!$A97, LS_previous!$B$4:$AY$138,LS_previous!AS$149, FALSE))/2)</f>
        <v>0</v>
      </c>
      <c r="AD97" s="227">
        <f t="array" ref="AD97">IF($G97=0, INDEX(LS_previous!$D$4:$AY$138, MATCH('Staging Table'!$A97, LS_previous!$B$4:$B$138, 0), MATCH(AD$4&amp;AD$5, LS_previous!$D$2:$AY$2&amp;LS_previous!$D$3:$AY$3, 0)),SUM(VLOOKUP($A97, LS_previous!$B$4:$AY$138, LS_previous!V$149, FALSE), VLOOKUP('Staging Table'!$A97, LS_previous!$B$4:$AY$138,LS_previous!AT$149, FALSE))/2)</f>
        <v>0</v>
      </c>
      <c r="AE97" s="227">
        <f t="array" ref="AE97">IF($G97=0, INDEX(LS_previous!$D$4:$AY$138, MATCH('Staging Table'!$A97, LS_previous!$B$4:$B$138, 0), MATCH(AE$4&amp;AE$5, LS_previous!$D$2:$AY$2&amp;LS_previous!$D$3:$AY$3, 0)),SUM(VLOOKUP($A97, LS_previous!$B$4:$AY$138, LS_previous!W$149, FALSE), VLOOKUP('Staging Table'!$A97, LS_previous!$B$4:$AY$138,LS_previous!AU$149, FALSE))/2)</f>
        <v>0</v>
      </c>
      <c r="AF97" s="227">
        <f t="array" ref="AF97">IF($G97=0, INDEX(LS_previous!$D$4:$AY$138, MATCH('Staging Table'!$A97, LS_previous!$B$4:$B$138, 0), MATCH(AF$4&amp;AF$5, LS_previous!$D$2:$AY$2&amp;LS_previous!$D$3:$AY$3, 0)),SUM(VLOOKUP($A97, LS_previous!$B$4:$AY$138, LS_previous!X$149, FALSE), VLOOKUP('Staging Table'!$A97, LS_previous!$B$4:$AY$138,LS_previous!AV$149, FALSE))/2)</f>
        <v>0</v>
      </c>
      <c r="AG97" s="227">
        <f t="array" ref="AG97">IF($G97=0, INDEX(LS_previous!$D$4:$AY$138, MATCH('Staging Table'!$A97, LS_previous!$B$4:$B$138, 0), MATCH(AG$4&amp;AG$5, LS_previous!$D$2:$AY$2&amp;LS_previous!$D$3:$AY$3, 0)),SUM(VLOOKUP($A97, LS_previous!$B$4:$AY$138, LS_previous!Y$149, FALSE), VLOOKUP('Staging Table'!$A97, LS_previous!$B$4:$AY$138,LS_previous!AW$149, FALSE))/2)</f>
        <v>0</v>
      </c>
      <c r="AH97" s="227">
        <f t="array" ref="AH97">IF($G97=0, INDEX(LS_previous!$D$4:$AY$138, MATCH('Staging Table'!$A97, LS_previous!$B$4:$B$138, 0), MATCH(AH$4&amp;AH$5, LS_previous!$D$2:$AY$2&amp;LS_previous!$D$3:$AY$3, 0)),SUM(VLOOKUP($A97, LS_previous!$B$4:$AY$138, LS_previous!Z$149, FALSE), VLOOKUP('Staging Table'!$A97, LS_previous!$B$4:$AY$138,LS_previous!AX$149, FALSE))/2)</f>
        <v>0</v>
      </c>
      <c r="AI97" s="227">
        <f t="array" ref="AI97">IF($G97=0, INDEX(LS_previous!$D$4:$AY$138, MATCH('Staging Table'!$A97, LS_previous!$B$4:$B$138, 0), MATCH(AI$4&amp;AI$5, LS_previous!$D$2:$AY$2&amp;LS_previous!$D$3:$AY$3, 0)),SUM(VLOOKUP($A97, LS_previous!$B$4:$AY$138, LS_previous!AA$149, FALSE), VLOOKUP('Staging Table'!$A97, LS_previous!$B$4:$AY$138,LS_previous!AY$149, FALSE))/2)</f>
        <v>0</v>
      </c>
      <c r="AJ97" s="424">
        <f t="array" ref="AJ97">INDEX(Demand_previous!$D$4:$AY$138, MATCH('Staging Table'!$A97, Demand_previous!$B$4:$B$138, 0), MATCH(AJ$4&amp;AJ$5,Demand_previous!$D$2:$AY$2&amp;Demand_previous!$D$3:$AY$3, 0))/1000</f>
        <v>0</v>
      </c>
      <c r="AK97" s="424">
        <f t="array" ref="AK97">INDEX(Demand_previous!$D$4:$AY$138, MATCH('Staging Table'!$A97, Demand_previous!$B$4:$B$138, 0), MATCH(AK$4&amp;AK$5,Demand_previous!$D$2:$AY$2&amp;Demand_previous!$D$3:$AY$3, 0))/1000</f>
        <v>0</v>
      </c>
      <c r="AL97" s="424">
        <f t="array" ref="AL97">INDEX(Demand_previous!$D$4:$AY$138, MATCH('Staging Table'!$A97, Demand_previous!$B$4:$B$138, 0), MATCH(AL$4&amp;AL$5,Demand_previous!$D$2:$AY$2&amp;Demand_previous!$D$3:$AY$3, 0))/1000</f>
        <v>0</v>
      </c>
      <c r="AM97" s="424">
        <f t="array" ref="AM97">INDEX(Demand_previous!$D$4:$AY$138, MATCH('Staging Table'!$A97, Demand_previous!$B$4:$B$138, 0), MATCH(AM$4&amp;AM$5,Demand_previous!$D$2:$AY$2&amp;Demand_previous!$D$3:$AY$3, 0))/1000</f>
        <v>0</v>
      </c>
      <c r="AN97" s="424">
        <f t="array" ref="AN97">INDEX(Demand_previous!$D$4:$AY$138, MATCH('Staging Table'!$A97, Demand_previous!$B$4:$B$138, 0), MATCH(AN$4&amp;AN$5,Demand_previous!$D$2:$AY$2&amp;Demand_previous!$D$3:$AY$3, 0))/1000</f>
        <v>0</v>
      </c>
      <c r="AO97" s="424">
        <f t="array" ref="AO97">INDEX(Demand_previous!$D$4:$AY$138, MATCH('Staging Table'!$A97, Demand_previous!$B$4:$B$138, 0), MATCH(AO$4&amp;AO$5,Demand_previous!$D$2:$AY$2&amp;Demand_previous!$D$3:$AY$3, 0))/1000</f>
        <v>0</v>
      </c>
      <c r="AP97" s="424">
        <f t="array" ref="AP97">INDEX(Demand_previous!$D$4:$AY$138, MATCH('Staging Table'!$A97, Demand_previous!$B$4:$B$138, 0), MATCH(AP$4&amp;AP$5,Demand_previous!$D$2:$AY$2&amp;Demand_previous!$D$3:$AY$3, 0))/1000</f>
        <v>0</v>
      </c>
      <c r="AQ97" s="424">
        <f t="array" ref="AQ97">INDEX(Demand_previous!$D$4:$AY$138, MATCH('Staging Table'!$A97, Demand_previous!$B$4:$B$138, 0), MATCH(AQ$4&amp;AQ$5,Demand_previous!$D$2:$AY$2&amp;Demand_previous!$D$3:$AY$3, 0))/1000</f>
        <v>0</v>
      </c>
      <c r="AR97" s="424">
        <f t="array" ref="AR97">INDEX(Demand_previous!$D$4:$AY$138, MATCH('Staging Table'!$A97, Demand_previous!$B$4:$B$138, 0), MATCH(AR$4&amp;AR$5,Demand_previous!$D$2:$AY$2&amp;Demand_previous!$D$3:$AY$3, 0))/1000</f>
        <v>0</v>
      </c>
      <c r="AS97" s="424">
        <f t="array" ref="AS97">INDEX(Demand_previous!$D$4:$AY$138, MATCH('Staging Table'!$A97, Demand_previous!$B$4:$B$138, 0), MATCH(AS$4&amp;AS$5,Demand_previous!$D$2:$AY$2&amp;Demand_previous!$D$3:$AY$3, 0))/1000</f>
        <v>0</v>
      </c>
      <c r="AT97" s="424">
        <f t="array" ref="AT97">INDEX(Demand_previous!$D$4:$AY$138, MATCH('Staging Table'!$A97, Demand_previous!$B$4:$B$138, 0), MATCH(AT$4&amp;AT$5,Demand_previous!$D$2:$AY$2&amp;Demand_previous!$D$3:$AY$3, 0))/1000</f>
        <v>0</v>
      </c>
      <c r="AU97" s="424">
        <f t="array" ref="AU97">INDEX(Demand_previous!$D$4:$AY$138, MATCH('Staging Table'!$A97, Demand_previous!$B$4:$B$138, 0), MATCH(AU$4&amp;AU$5,Demand_previous!$D$2:$AY$2&amp;Demand_previous!$D$3:$AY$3, 0))/1000</f>
        <v>0</v>
      </c>
      <c r="AV97" s="227">
        <f>$F97*(VLOOKUP(AV$4, Rates_previous!$G$6:$Q$29, 10, FALSE)+VLOOKUP(AV$4, Rates_previous!$G$6:$Q$29, 11, FALSE))</f>
        <v>16431.094170741526</v>
      </c>
      <c r="AW97" s="227">
        <f>$F97*(VLOOKUP(AW$4, Rates_previous!$G$6:$Q$29, 10, FALSE)+VLOOKUP(AW$4, Rates_previous!$G$6:$Q$29, 11, FALSE))</f>
        <v>20307.583565697405</v>
      </c>
      <c r="AX97" s="227">
        <f>$F97*(VLOOKUP(AX$4, Rates_previous!$G$6:$Q$29, 10, FALSE)+VLOOKUP(AX$4, Rates_previous!$G$6:$Q$29, 11, FALSE))</f>
        <v>20063.713776116536</v>
      </c>
      <c r="AY97" s="227">
        <f>$F97*(VLOOKUP(AY$4, Rates_previous!$G$6:$Q$29, 10, FALSE)+VLOOKUP(AY$4, Rates_previous!$G$6:$Q$29, 11, FALSE))</f>
        <v>17142.531033925188</v>
      </c>
      <c r="AZ97" s="227">
        <f>$F97*(VLOOKUP(AZ$4, Rates_previous!$G$6:$Q$29, 10, FALSE)+VLOOKUP(AZ$4, Rates_previous!$G$6:$Q$29, 11, FALSE))</f>
        <v>14053.550291395821</v>
      </c>
      <c r="BA97" s="227">
        <f>$F97*(VLOOKUP(BA$4, Rates_previous!$G$6:$Q$29, 10, FALSE)+VLOOKUP(BA$4, Rates_previous!$G$6:$Q$29, 11, FALSE))</f>
        <v>16638.89307269135</v>
      </c>
      <c r="BB97" s="227">
        <f>$F97*(VLOOKUP(BB$4, Rates_previous!$G$6:$Q$29, 10, FALSE)+VLOOKUP(BB$4, Rates_previous!$G$6:$Q$29, 11, FALSE))</f>
        <v>15992.396517512083</v>
      </c>
      <c r="BC97" s="227">
        <f>$F97*(VLOOKUP(BC$4, Rates_previous!$G$6:$Q$29, 10, FALSE)+VLOOKUP(BC$4, Rates_previous!$G$6:$Q$29, 11, FALSE))</f>
        <v>23467.710223532078</v>
      </c>
      <c r="BD97" s="227">
        <f>$F97*(VLOOKUP(BD$4, Rates_previous!$G$6:$Q$29, 10, FALSE)+VLOOKUP(BD$4, Rates_previous!$G$6:$Q$29, 11, FALSE))</f>
        <v>18515.403107224949</v>
      </c>
      <c r="BE97" s="227">
        <f>$F97*(VLOOKUP(BE$4, Rates_previous!$G$6:$Q$29, 10, FALSE)+VLOOKUP(BE$4, Rates_previous!$G$6:$Q$29, 11, FALSE))</f>
        <v>16258.07802832127</v>
      </c>
      <c r="BF97" s="227">
        <f>$F97*(VLOOKUP(BF$4, Rates_previous!$G$6:$Q$29, 10, FALSE)+VLOOKUP(BF$4, Rates_previous!$G$6:$Q$29, 11, FALSE))</f>
        <v>18006.47219004398</v>
      </c>
      <c r="BG97" s="227">
        <f>$F97*(VLOOKUP(BG$4, Rates_previous!$G$6:$Q$29, 10, FALSE)+VLOOKUP(BG$4, Rates_previous!$G$6:$Q$29, 11, FALSE))</f>
        <v>16313.147731659827</v>
      </c>
      <c r="BH97" s="229">
        <f>IF($D97=0,IF(C97=0, MAX(BK97 - (VLOOKUP($A97,TOCA_previous!$A$2:$AI$137,MATCH("RHWM 2018",TOCA_previous!$A$2:$AI$2,0),FALSE)*$F$2*TOCA_previous!C94),0),0), 0)</f>
        <v>0</v>
      </c>
      <c r="BI97" s="266">
        <f>VLOOKUP($A97,REP_previous!$A$1:$D$135,MATCH("FY "&amp;$F$1&amp; " Total Refund",REP_previous!$A$1:$D$1,0),0)</f>
        <v>139006.2414335362</v>
      </c>
      <c r="BJ97" s="241">
        <f>MIN(VLOOKUP($A97,TOCA_previous!$A$2:$AI$137,MATCH("TRL - NLSL - Existing Resource "&amp;$F$1,TOCA_previous!$A$2:$AI$2,0),FALSE)*$F$2,(VLOOKUP($A97,TOCA_previous!$A$2:$AI$137,MATCH("RHWM 2018",TOCA_previous!$A$2:$AI$2,0),FALSE)*$F$2))</f>
        <v>213192.12</v>
      </c>
      <c r="BK97" s="229">
        <f>SUM(L97:AI97)+(F97*RT1SC!$C$3*$F$2)</f>
        <v>213190.57681912801</v>
      </c>
      <c r="BL97" s="241">
        <f>VLOOKUP($A97,TOCA_previous!$A$2:$AI$137,MATCH("Above RHWM Not Served with LS "&amp;$F$1,TOCA_previous!$A$2:$AI$2,0),FALSE)*$F$2</f>
        <v>4266.12</v>
      </c>
      <c r="BM97" s="151">
        <f t="shared" si="21"/>
        <v>-1.5431808719877154</v>
      </c>
      <c r="BN97" s="242">
        <f>(VLOOKUP($A97,TOCA_previous!$A$2:$AI$137,MATCH("RHWM 2018",TOCA_previous!$A$2:$AI$2,0),FALSE)*$F$2) - $BJ97</f>
        <v>0</v>
      </c>
      <c r="BO97" s="151">
        <f t="shared" si="22"/>
        <v>0</v>
      </c>
      <c r="BP97" s="243">
        <f t="shared" si="23"/>
        <v>0</v>
      </c>
      <c r="BQ97" s="237">
        <f t="shared" si="24"/>
        <v>0</v>
      </c>
      <c r="BR97" s="242">
        <f t="shared" si="25"/>
        <v>0</v>
      </c>
      <c r="BS97" s="151">
        <f>VLOOKUP($A97,TOCA_current!$A$2:$AI$137,MATCH(BS$4,TOCA_current!$A$2:$AI$2,0),FALSE)</f>
        <v>3.4464000000000001E-3</v>
      </c>
      <c r="BT97" s="151">
        <f>VLOOKUP($A97,TOCA_current!$A$2:$AI$137,MATCH(BT$4,TOCA_current!$A$2:$AI$2,0),FALSE)</f>
        <v>3.4464000000000001E-3</v>
      </c>
      <c r="BU97" s="236">
        <f t="shared" si="26"/>
        <v>0</v>
      </c>
      <c r="BV97" s="151">
        <f>VLOOKUP($A97,TOCA_current!A93:BG228,MATCH(BV$4,TOCA_current!$A$2:$BG$2,0),FALSE)</f>
        <v>5.5E-2</v>
      </c>
      <c r="BW97" s="151">
        <f t="shared" si="27"/>
        <v>5.5E-2</v>
      </c>
      <c r="BX97" s="151">
        <f t="shared" si="28"/>
        <v>3.4464000000000001E-3</v>
      </c>
      <c r="BY97" s="226">
        <f>VLOOKUP($A97,IRD!$A$4:$G$139, 7, FALSE)</f>
        <v>0</v>
      </c>
      <c r="BZ97" s="227">
        <f t="array" ref="BZ97">IF($BU97=0, INDEX(LS_current!$D$4:$AY$138, MATCH('Staging Table'!$A97, LS_current!$B$4:$B$138, 0), MATCH(BZ$4&amp;BZ$5, LS_current!$D$2:$AY$2&amp;LS_current!$D$3:$AY$3, 0)),SUM(VLOOKUP($A97, LS_current!$B$4:$AY$138, LS_current!D$148, FALSE), VLOOKUP($A97, LS_current!$B$4:$AY$138,LS_current!D$148, FALSE))/2)</f>
        <v>0</v>
      </c>
      <c r="CA97" s="227">
        <f t="array" ref="CA97">IF($BU97=0, INDEX(LS_current!$D$4:$AY$138, MATCH('Staging Table'!$A97, LS_current!$B$4:$B$138, 0), MATCH(CA$4&amp;CA$5, LS_current!$D$2:$AY$2&amp;LS_current!$D$3:$AY$3, 0)),SUM(VLOOKUP($A97, LS_current!$B$4:$AY$138, LS_current!E$148, FALSE), VLOOKUP($A97, LS_current!$B$4:$AY$138,LS_current!E$148, FALSE))/2)</f>
        <v>0</v>
      </c>
      <c r="CB97" s="227">
        <f t="array" ref="CB97">IF($BU97=0, INDEX(LS_current!$D$4:$AY$138, MATCH('Staging Table'!$A97, LS_current!$B$4:$B$138, 0), MATCH(CB$4&amp;CB$5, LS_current!$D$2:$AY$2&amp;LS_current!$D$3:$AY$3, 0)),SUM(VLOOKUP($A97, LS_current!$B$4:$AY$138, LS_current!F$148, FALSE), VLOOKUP($A97, LS_current!$B$4:$AY$138,LS_current!F$148, FALSE))/2)</f>
        <v>0</v>
      </c>
      <c r="CC97" s="227">
        <f t="array" ref="CC97">IF($BU97=0, INDEX(LS_current!$D$4:$AY$138, MATCH('Staging Table'!$A97, LS_current!$B$4:$B$138, 0), MATCH(CC$4&amp;CC$5, LS_current!$D$2:$AY$2&amp;LS_current!$D$3:$AY$3, 0)),SUM(VLOOKUP($A97, LS_current!$B$4:$AY$138, LS_current!G$148, FALSE), VLOOKUP($A97, LS_current!$B$4:$AY$138,LS_current!G$148, FALSE))/2)</f>
        <v>0</v>
      </c>
      <c r="CD97" s="227">
        <f t="array" ref="CD97">IF($BU97=0, INDEX(LS_current!$D$4:$AY$138, MATCH('Staging Table'!$A97, LS_current!$B$4:$B$138, 0), MATCH(CD$4&amp;CD$5, LS_current!$D$2:$AY$2&amp;LS_current!$D$3:$AY$3, 0)),SUM(VLOOKUP($A97, LS_current!$B$4:$AY$138, LS_current!H$148, FALSE), VLOOKUP($A97, LS_current!$B$4:$AY$138,LS_current!H$148, FALSE))/2)</f>
        <v>0</v>
      </c>
      <c r="CE97" s="227">
        <f t="array" ref="CE97">IF($BU97=0, INDEX(LS_current!$D$4:$AY$138, MATCH('Staging Table'!$A97, LS_current!$B$4:$B$138, 0), MATCH(CE$4&amp;CE$5, LS_current!$D$2:$AY$2&amp;LS_current!$D$3:$AY$3, 0)),SUM(VLOOKUP($A97, LS_current!$B$4:$AY$138, LS_current!I$148, FALSE), VLOOKUP($A97, LS_current!$B$4:$AY$138,LS_current!I$148, FALSE))/2)</f>
        <v>0</v>
      </c>
      <c r="CF97" s="227">
        <f t="array" ref="CF97">IF($BU97=0, INDEX(LS_current!$D$4:$AY$138, MATCH('Staging Table'!$A97, LS_current!$B$4:$B$138, 0), MATCH(CF$4&amp;CF$5, LS_current!$D$2:$AY$2&amp;LS_current!$D$3:$AY$3, 0)),SUM(VLOOKUP($A97, LS_current!$B$4:$AY$138, LS_current!J$148, FALSE), VLOOKUP($A97, LS_current!$B$4:$AY$138,LS_current!J$148, FALSE))/2)</f>
        <v>0</v>
      </c>
      <c r="CG97" s="227">
        <f t="array" ref="CG97">IF($BU97=0, INDEX(LS_current!$D$4:$AY$138, MATCH('Staging Table'!$A97, LS_current!$B$4:$B$138, 0), MATCH(CG$4&amp;CG$5, LS_current!$D$2:$AY$2&amp;LS_current!$D$3:$AY$3, 0)),SUM(VLOOKUP($A97, LS_current!$B$4:$AY$138, LS_current!K$148, FALSE), VLOOKUP($A97, LS_current!$B$4:$AY$138,LS_current!K$148, FALSE))/2)</f>
        <v>0</v>
      </c>
      <c r="CH97" s="227">
        <f t="array" ref="CH97">IF($BU97=0, INDEX(LS_current!$D$4:$AY$138, MATCH('Staging Table'!$A97, LS_current!$B$4:$B$138, 0), MATCH(CH$4&amp;CH$5, LS_current!$D$2:$AY$2&amp;LS_current!$D$3:$AY$3, 0)),SUM(VLOOKUP($A97, LS_current!$B$4:$AY$138, LS_current!L$148, FALSE), VLOOKUP($A97, LS_current!$B$4:$AY$138,LS_current!L$148, FALSE))/2)</f>
        <v>0</v>
      </c>
      <c r="CI97" s="227">
        <f t="array" ref="CI97">IF($BU97=0, INDEX(LS_current!$D$4:$AY$138, MATCH('Staging Table'!$A97, LS_current!$B$4:$B$138, 0), MATCH(CI$4&amp;CI$5, LS_current!$D$2:$AY$2&amp;LS_current!$D$3:$AY$3, 0)),SUM(VLOOKUP($A97, LS_current!$B$4:$AY$138, LS_current!M$148, FALSE), VLOOKUP($A97, LS_current!$B$4:$AY$138,LS_current!M$148, FALSE))/2)</f>
        <v>0</v>
      </c>
      <c r="CJ97" s="227">
        <f t="array" ref="CJ97">IF($BU97=0, INDEX(LS_current!$D$4:$AY$138, MATCH('Staging Table'!$A97, LS_current!$B$4:$B$138, 0), MATCH(CJ$4&amp;CJ$5, LS_current!$D$2:$AY$2&amp;LS_current!$D$3:$AY$3, 0)),SUM(VLOOKUP($A97, LS_current!$B$4:$AY$138, LS_current!N$148, FALSE), VLOOKUP($A97, LS_current!$B$4:$AY$138,LS_current!N$148, FALSE))/2)</f>
        <v>0</v>
      </c>
      <c r="CK97" s="227">
        <f t="array" ref="CK97">IF($BU97=0, INDEX(LS_current!$D$4:$AY$138, MATCH('Staging Table'!$A97, LS_current!$B$4:$B$138, 0), MATCH(CK$4&amp;CK$5, LS_current!$D$2:$AY$2&amp;LS_current!$D$3:$AY$3, 0)),SUM(VLOOKUP($A97, LS_current!$B$4:$AY$138, LS_current!O$148, FALSE), VLOOKUP($A97, LS_current!$B$4:$AY$138,LS_current!O$148, FALSE))/2)</f>
        <v>0</v>
      </c>
      <c r="CL97" s="227">
        <f t="array" ref="CL97">IF($BU97=0, INDEX(LS_current!$D$4:$AY$138, MATCH('Staging Table'!$A97, LS_current!$B$4:$B$138, 0), MATCH(CL$4&amp;CL$5, LS_current!$D$2:$AY$2&amp;LS_current!$D$3:$AY$3, 0)),SUM(VLOOKUP($A97, LS_current!$B$4:$AY$138, LS_current!P$148, FALSE), VLOOKUP($A97, LS_current!$B$4:$AY$138,LS_current!P$148, FALSE))/2)</f>
        <v>0</v>
      </c>
      <c r="CM97" s="227">
        <f t="array" ref="CM97">IF($BU97=0, INDEX(LS_current!$D$4:$AY$138, MATCH('Staging Table'!$A97, LS_current!$B$4:$B$138, 0), MATCH(CM$4&amp;CM$5, LS_current!$D$2:$AY$2&amp;LS_current!$D$3:$AY$3, 0)),SUM(VLOOKUP($A97, LS_current!$B$4:$AY$138, LS_current!Q$148, FALSE), VLOOKUP($A97, LS_current!$B$4:$AY$138,LS_current!Q$148, FALSE))/2)</f>
        <v>0</v>
      </c>
      <c r="CN97" s="227">
        <f t="array" ref="CN97">IF($BU97=0, INDEX(LS_current!$D$4:$AY$138, MATCH('Staging Table'!$A97, LS_current!$B$4:$B$138, 0), MATCH(CN$4&amp;CN$5, LS_current!$D$2:$AY$2&amp;LS_current!$D$3:$AY$3, 0)),SUM(VLOOKUP($A97, LS_current!$B$4:$AY$138, LS_current!R$148, FALSE), VLOOKUP($A97, LS_current!$B$4:$AY$138,LS_current!R$148, FALSE))/2)</f>
        <v>0</v>
      </c>
      <c r="CO97" s="227">
        <f t="array" ref="CO97">IF($BU97=0, INDEX(LS_current!$D$4:$AY$138, MATCH('Staging Table'!$A97, LS_current!$B$4:$B$138, 0), MATCH(CO$4&amp;CO$5, LS_current!$D$2:$AY$2&amp;LS_current!$D$3:$AY$3, 0)),SUM(VLOOKUP($A97, LS_current!$B$4:$AY$138, LS_current!S$148, FALSE), VLOOKUP($A97, LS_current!$B$4:$AY$138,LS_current!S$148, FALSE))/2)</f>
        <v>0</v>
      </c>
      <c r="CP97" s="227">
        <f t="array" ref="CP97">IF($BU97=0, INDEX(LS_current!$D$4:$AY$138, MATCH('Staging Table'!$A97, LS_current!$B$4:$B$138, 0), MATCH(CP$4&amp;CP$5, LS_current!$D$2:$AY$2&amp;LS_current!$D$3:$AY$3, 0)),SUM(VLOOKUP($A97, LS_current!$B$4:$AY$138, LS_current!T$148, FALSE), VLOOKUP($A97, LS_current!$B$4:$AY$138,LS_current!T$148, FALSE))/2)</f>
        <v>0</v>
      </c>
      <c r="CQ97" s="227">
        <f t="array" ref="CQ97">IF($BU97=0, INDEX(LS_current!$D$4:$AY$138, MATCH('Staging Table'!$A97, LS_current!$B$4:$B$138, 0), MATCH(CQ$4&amp;CQ$5, LS_current!$D$2:$AY$2&amp;LS_current!$D$3:$AY$3, 0)),SUM(VLOOKUP($A97, LS_current!$B$4:$AY$138, LS_current!U$148, FALSE), VLOOKUP($A97, LS_current!$B$4:$AY$138,LS_current!U$148, FALSE))/2)</f>
        <v>0</v>
      </c>
      <c r="CR97" s="227">
        <f t="array" ref="CR97">IF($BU97=0, INDEX(LS_current!$D$4:$AY$138, MATCH('Staging Table'!$A97, LS_current!$B$4:$B$138, 0), MATCH(CR$4&amp;CR$5, LS_current!$D$2:$AY$2&amp;LS_current!$D$3:$AY$3, 0)),SUM(VLOOKUP($A97, LS_current!$B$4:$AY$138, LS_current!V$148, FALSE), VLOOKUP($A97, LS_current!$B$4:$AY$138,LS_current!V$148, FALSE))/2)</f>
        <v>0</v>
      </c>
      <c r="CS97" s="227">
        <f t="array" ref="CS97">IF($BU97=0, INDEX(LS_current!$D$4:$AY$138, MATCH('Staging Table'!$A97, LS_current!$B$4:$B$138, 0), MATCH(CS$4&amp;CS$5, LS_current!$D$2:$AY$2&amp;LS_current!$D$3:$AY$3, 0)),SUM(VLOOKUP($A97, LS_current!$B$4:$AY$138, LS_current!W$148, FALSE), VLOOKUP($A97, LS_current!$B$4:$AY$138,LS_current!W$148, FALSE))/2)</f>
        <v>0</v>
      </c>
      <c r="CT97" s="227">
        <f t="array" ref="CT97">IF($BU97=0, INDEX(LS_current!$D$4:$AY$138, MATCH('Staging Table'!$A97, LS_current!$B$4:$B$138, 0), MATCH(CT$4&amp;CT$5, LS_current!$D$2:$AY$2&amp;LS_current!$D$3:$AY$3, 0)),SUM(VLOOKUP($A97, LS_current!$B$4:$AY$138, LS_current!X$148, FALSE), VLOOKUP($A97, LS_current!$B$4:$AY$138,LS_current!X$148, FALSE))/2)</f>
        <v>0</v>
      </c>
      <c r="CU97" s="227">
        <f t="array" ref="CU97">IF($BU97=0, INDEX(LS_current!$D$4:$AY$138, MATCH('Staging Table'!$A97, LS_current!$B$4:$B$138, 0), MATCH(CU$4&amp;CU$5, LS_current!$D$2:$AY$2&amp;LS_current!$D$3:$AY$3, 0)),SUM(VLOOKUP($A97, LS_current!$B$4:$AY$138, LS_current!Y$148, FALSE), VLOOKUP($A97, LS_current!$B$4:$AY$138,LS_current!Y$148, FALSE))/2)</f>
        <v>0</v>
      </c>
      <c r="CV97" s="227">
        <f t="array" ref="CV97">IF($BU97=0, INDEX(LS_current!$D$4:$AY$138, MATCH('Staging Table'!$A97, LS_current!$B$4:$B$138, 0), MATCH(CV$4&amp;CV$5, LS_current!$D$2:$AY$2&amp;LS_current!$D$3:$AY$3, 0)),SUM(VLOOKUP($A97, LS_current!$B$4:$AY$138, LS_current!Z$148, FALSE), VLOOKUP($A97, LS_current!$B$4:$AY$138,LS_current!Z$148, FALSE))/2)</f>
        <v>0</v>
      </c>
      <c r="CW97" s="227">
        <f t="array" ref="CW97">IF($BU97=0, INDEX(LS_current!$D$4:$AY$138, MATCH('Staging Table'!$A97, LS_current!$B$4:$B$138, 0), MATCH(CW$4&amp;CW$5, LS_current!$D$2:$AY$2&amp;LS_current!$D$3:$AY$3, 0)),SUM(VLOOKUP($A97, LS_current!$B$4:$AY$138, LS_current!AA$148, FALSE), VLOOKUP($A97, LS_current!$B$4:$AY$138,LS_current!AA$148, FALSE))/2)</f>
        <v>0</v>
      </c>
      <c r="CX97" s="229">
        <f t="array" ref="CX97">INDEX(Demand_current!$D$4:$AY$138, MATCH($A97, Demand_current!$B$4:$B$138, 0), MATCH(CX$4&amp;CX$5,Demand_current!$D$2:$AY$2&amp;Demand_current!$D$3:$AY$3, 0))/1000</f>
        <v>0</v>
      </c>
      <c r="CY97" s="229">
        <f t="array" ref="CY97">INDEX(Demand_current!$D$4:$AY$138, MATCH($A97, Demand_current!$B$4:$B$138, 0), MATCH(CY$4&amp;CY$5,Demand_current!$D$2:$AY$2&amp;Demand_current!$D$3:$AY$3, 0))/1000</f>
        <v>0</v>
      </c>
      <c r="CZ97" s="229">
        <f t="array" ref="CZ97">INDEX(Demand_current!$D$4:$AY$138, MATCH($A97, Demand_current!$B$4:$B$138, 0), MATCH(CZ$4&amp;CZ$5,Demand_current!$D$2:$AY$2&amp;Demand_current!$D$3:$AY$3, 0))/1000</f>
        <v>0</v>
      </c>
      <c r="DA97" s="229">
        <f t="array" ref="DA97">INDEX(Demand_current!$D$4:$AY$138, MATCH($A97, Demand_current!$B$4:$B$138, 0), MATCH(DA$4&amp;DA$5,Demand_current!$D$2:$AY$2&amp;Demand_current!$D$3:$AY$3, 0))/1000</f>
        <v>0</v>
      </c>
      <c r="DB97" s="229">
        <f t="array" ref="DB97">INDEX(Demand_current!$D$4:$AY$138, MATCH($A97, Demand_current!$B$4:$B$138, 0), MATCH(DB$4&amp;DB$5,Demand_current!$D$2:$AY$2&amp;Demand_current!$D$3:$AY$3, 0))/1000</f>
        <v>0</v>
      </c>
      <c r="DC97" s="229">
        <f t="array" ref="DC97">INDEX(Demand_current!$D$4:$AY$138, MATCH($A97, Demand_current!$B$4:$B$138, 0), MATCH(DC$4&amp;DC$5,Demand_current!$D$2:$AY$2&amp;Demand_current!$D$3:$AY$3, 0))/1000</f>
        <v>0</v>
      </c>
      <c r="DD97" s="229">
        <f t="array" ref="DD97">INDEX(Demand_current!$D$4:$AY$138, MATCH($A97, Demand_current!$B$4:$B$138, 0), MATCH(DD$4&amp;DD$5,Demand_current!$D$2:$AY$2&amp;Demand_current!$D$3:$AY$3, 0))/1000</f>
        <v>0</v>
      </c>
      <c r="DE97" s="229">
        <f t="array" ref="DE97">INDEX(Demand_current!$D$4:$AY$138, MATCH($A97, Demand_current!$B$4:$B$138, 0), MATCH(DE$4&amp;DE$5,Demand_current!$D$2:$AY$2&amp;Demand_current!$D$3:$AY$3, 0))/1000</f>
        <v>0</v>
      </c>
      <c r="DF97" s="229">
        <f t="array" ref="DF97">INDEX(Demand_current!$D$4:$AY$138, MATCH($A97, Demand_current!$B$4:$B$138, 0), MATCH(DF$4&amp;DF$5,Demand_current!$D$2:$AY$2&amp;Demand_current!$D$3:$AY$3, 0))/1000</f>
        <v>0</v>
      </c>
      <c r="DG97" s="229">
        <f t="array" ref="DG97">INDEX(Demand_current!$D$4:$AY$138, MATCH($A97, Demand_current!$B$4:$B$138, 0), MATCH(DG$4&amp;DG$5,Demand_current!$D$2:$AY$2&amp;Demand_current!$D$3:$AY$3, 0))/1000</f>
        <v>0</v>
      </c>
      <c r="DH97" s="229">
        <f t="array" ref="DH97">INDEX(Demand_current!$D$4:$AY$138, MATCH($A97, Demand_current!$B$4:$B$138, 0), MATCH(DH$4&amp;DH$5,Demand_current!$D$2:$AY$2&amp;Demand_current!$D$3:$AY$3, 0))/1000</f>
        <v>0</v>
      </c>
      <c r="DI97" s="229">
        <f t="array" ref="DI97">INDEX(Demand_current!$D$4:$AY$138, MATCH($A97, Demand_current!$B$4:$B$138, 0), MATCH(DI$4&amp;DI$5,Demand_current!$D$2:$AY$2&amp;Demand_current!$D$3:$AY$3, 0))/1000</f>
        <v>0</v>
      </c>
      <c r="DJ97" s="227">
        <f>$BT97*(VLOOKUP(DJ$4, Rates_current!$G$6:$Q$29, 10, FALSE)+VLOOKUP(DJ$4, Rates_current!$G$6:$Q$29, 11, FALSE))</f>
        <v>15913.121984294399</v>
      </c>
      <c r="DK97" s="227">
        <f>$BT97*(VLOOKUP(DK$4, Rates_current!$G$6:$Q$29, 10, FALSE)+VLOOKUP(DK$4, Rates_current!$G$6:$Q$29, 11, FALSE))</f>
        <v>20214.629114889602</v>
      </c>
      <c r="DL97" s="227">
        <f>$BT97*(VLOOKUP(DL$4, Rates_current!$G$6:$Q$29, 10, FALSE)+VLOOKUP(DL$4, Rates_current!$G$6:$Q$29, 11, FALSE))</f>
        <v>19970.510115494402</v>
      </c>
      <c r="DM97" s="227">
        <f>$BT97*(VLOOKUP(DM$4, Rates_current!$G$6:$Q$29, 10, FALSE)+VLOOKUP(DM$4, Rates_current!$G$6:$Q$29, 11, FALSE))</f>
        <v>16646.636528294403</v>
      </c>
      <c r="DN97" s="227">
        <f>$BT97*(VLOOKUP(DN$4, Rates_current!$G$6:$Q$29, 10, FALSE)+VLOOKUP(DN$4, Rates_current!$G$6:$Q$29, 11, FALSE))</f>
        <v>15080.125739519999</v>
      </c>
      <c r="DO97" s="227">
        <f>$BT97*(VLOOKUP(DO$4, Rates_current!$G$6:$Q$29, 10, FALSE)+VLOOKUP(DO$4, Rates_current!$G$6:$Q$29, 11, FALSE))</f>
        <v>16773.8905092768</v>
      </c>
      <c r="DP97" s="227">
        <f>$BT97*(VLOOKUP(DP$4, Rates_current!$G$6:$Q$29, 10, FALSE)+VLOOKUP(DP$4, Rates_current!$G$6:$Q$29, 11, FALSE))</f>
        <v>13657.319753472</v>
      </c>
      <c r="DQ97" s="227">
        <f>$BT97*(VLOOKUP(DQ$4, Rates_current!$G$6:$Q$29, 10, FALSE)+VLOOKUP(DQ$4, Rates_current!$G$6:$Q$29, 11, FALSE))</f>
        <v>18418.932219494403</v>
      </c>
      <c r="DR97" s="227">
        <f>$BT97*(VLOOKUP(DR$4, Rates_current!$G$6:$Q$29, 10, FALSE)+VLOOKUP(DR$4, Rates_current!$G$6:$Q$29, 11, FALSE))</f>
        <v>23501.304814272004</v>
      </c>
      <c r="DS97" s="227">
        <f>$BT97*(VLOOKUP(DS$4, Rates_current!$G$6:$Q$29, 10, FALSE)+VLOOKUP(DS$4, Rates_current!$G$6:$Q$29, 11, FALSE))</f>
        <v>18425.768153894402</v>
      </c>
      <c r="DT97" s="227">
        <f>$BT97*(VLOOKUP(DT$4, Rates_current!$G$6:$Q$29, 10, FALSE)+VLOOKUP(DT$4, Rates_current!$G$6:$Q$29, 11, FALSE))</f>
        <v>17943.029182694401</v>
      </c>
      <c r="DU97" s="227">
        <f>$BT97*(VLOOKUP(DU$4, Rates_current!$G$6:$Q$29, 10, FALSE)+VLOOKUP(DU$4, Rates_current!$G$6:$Q$29, 11, FALSE))</f>
        <v>16109.023231872003</v>
      </c>
      <c r="DV97" s="229">
        <f>IF(D97=0,IF(C97=0,MAX(0,DY97 - (VLOOKUP($A97,TOCA_current!$A$2:$AI$137,MATCH("RHWM 2020",TOCA_current!$A$2:$AI$2,0),FALSE)*$BT$2)), 0),0)</f>
        <v>0</v>
      </c>
      <c r="DW97" s="266">
        <f>VLOOKUP($A97,REP_current!$A$1:$D$135,MATCH("FY "&amp;$BT$1&amp; " Total Refund",REP_current!$A$1:$D$1,0),0)</f>
        <v>0</v>
      </c>
      <c r="DX97" s="295">
        <f>MIN(VLOOKUP($A97,TOCA_current!$A$2:$AI$137,MATCH("TRL - NLSL - Existing Resource "&amp;$BT$1,TOCA_current!$A$2:$AI$2,0),FALSE)*$BT$2, VLOOKUP($A97,TOCA_current!$A$2:$AI$137,MATCH("RHWM 2020",TOCA_current!$A$2:$AI$2,0),FALSE)*$BT$2)</f>
        <v>212651.856</v>
      </c>
      <c r="DY97" s="240">
        <f>SUM(BZ97:CW97)+(BT97*RT1SC!$C$4*$BT$2)</f>
        <v>212654.2993293312</v>
      </c>
      <c r="DZ97" s="271">
        <f>VLOOKUP($A97,TOCA_current!$A$2:$AI$137,MATCH("Above RHWM Not Served with LS "&amp;$BT$1,TOCA_current!$A$2:$AI$2,0),FALSE)*$BT$2</f>
        <v>0</v>
      </c>
      <c r="EA97" s="244">
        <f t="shared" si="29"/>
        <v>2.443329331203131</v>
      </c>
      <c r="EB97" s="295">
        <f>(VLOOKUP($A97,TOCA_current!$A$2:$AI$137,MATCH("RHWM 2020",TOCA_current!$A$2:$AI$2,0),FALSE)*$BT$2) - $DX97</f>
        <v>3460.8960000000079</v>
      </c>
      <c r="EC97" s="240">
        <f t="shared" si="30"/>
        <v>-2.443329331203131</v>
      </c>
      <c r="ED97" s="240">
        <f t="shared" si="31"/>
        <v>0</v>
      </c>
      <c r="EE97" s="240">
        <f t="shared" si="32"/>
        <v>0</v>
      </c>
      <c r="EF97" s="240">
        <f t="shared" si="33"/>
        <v>-2.443329331203131</v>
      </c>
    </row>
    <row r="98" spans="1:136">
      <c r="A98" s="166">
        <v>10291</v>
      </c>
      <c r="B98" s="167" t="s">
        <v>99</v>
      </c>
      <c r="C98" s="240">
        <v>0</v>
      </c>
      <c r="D98" s="240">
        <v>0</v>
      </c>
      <c r="E98" s="150">
        <f>VLOOKUP($A98,TOCA_previous!$A$2:$AI$137,MATCH(E$4,TOCA_previous!$A$2:$AI$2,0),FALSE)</f>
        <v>1.1146100000000001E-2</v>
      </c>
      <c r="F98" s="151">
        <f>VLOOKUP($A98,TOCA_previous!$A$2:$AI$137,MATCH(F$4,TOCA_previous!$A$2:$AI$2,0),FALSE)</f>
        <v>1.1146100000000001E-2</v>
      </c>
      <c r="G98" s="151">
        <f t="shared" si="18"/>
        <v>0</v>
      </c>
      <c r="H98" s="151">
        <f>VLOOKUP($A98,TOCA_previous!$A$2:$AI$137,MATCH(H$4,TOCA_previous!$A$2:$AI$2,0),FALSE)</f>
        <v>0.05</v>
      </c>
      <c r="I98" s="151">
        <f t="shared" si="19"/>
        <v>0</v>
      </c>
      <c r="J98" s="151">
        <f t="shared" si="20"/>
        <v>0</v>
      </c>
      <c r="K98" s="226">
        <f>VLOOKUP(A98, IRD!$A$5:$C$139, 3, FALSE)</f>
        <v>36260.600999999995</v>
      </c>
      <c r="L98" s="227">
        <f t="array" ref="L98">IF($G98=0, INDEX(LS_previous!$D$4:$AY$138, MATCH('Staging Table'!$A98, LS_previous!$B$4:$B$138, 0), MATCH(L$4&amp;L$5, LS_previous!$D$2:$AY$2&amp;LS_previous!$D$3:$AY$3, 0)),SUM(VLOOKUP($A98, LS_previous!$B$4:$AY$138, LS_previous!D$149, FALSE), VLOOKUP('Staging Table'!$A98, LS_previous!$B$4:$AY$138,LS_previous!AB$149, FALSE))/2)</f>
        <v>-1306</v>
      </c>
      <c r="M98" s="227">
        <f t="array" ref="M98">IF($G98=0, INDEX(LS_previous!$D$4:$AY$138, MATCH('Staging Table'!$A98, LS_previous!$B$4:$B$138, 0), MATCH(M$4&amp;M$5, LS_previous!$D$2:$AY$2&amp;LS_previous!$D$3:$AY$3, 0)),SUM(VLOOKUP($A98, LS_previous!$B$4:$AY$138, LS_previous!E$149, FALSE), VLOOKUP('Staging Table'!$A98, LS_previous!$B$4:$AY$138,LS_previous!AC$149, FALSE))/2)</f>
        <v>8</v>
      </c>
      <c r="N98" s="227">
        <f t="array" ref="N98">IF($G98=0, INDEX(LS_previous!$D$4:$AY$138, MATCH('Staging Table'!$A98, LS_previous!$B$4:$B$138, 0), MATCH(N$4&amp;N$5, LS_previous!$D$2:$AY$2&amp;LS_previous!$D$3:$AY$3, 0)),SUM(VLOOKUP($A98, LS_previous!$B$4:$AY$138, LS_previous!F$149, FALSE), VLOOKUP('Staging Table'!$A98, LS_previous!$B$4:$AY$138,LS_previous!AD$149, FALSE))/2)</f>
        <v>-5103</v>
      </c>
      <c r="O98" s="227">
        <f t="array" ref="O98">IF($G98=0, INDEX(LS_previous!$D$4:$AY$138, MATCH('Staging Table'!$A98, LS_previous!$B$4:$B$138, 0), MATCH(O$4&amp;O$5, LS_previous!$D$2:$AY$2&amp;LS_previous!$D$3:$AY$3, 0)),SUM(VLOOKUP($A98, LS_previous!$B$4:$AY$138, LS_previous!G$149, FALSE), VLOOKUP('Staging Table'!$A98, LS_previous!$B$4:$AY$138,LS_previous!AE$149, FALSE))/2)</f>
        <v>-895</v>
      </c>
      <c r="P98" s="227">
        <f t="array" ref="P98">IF($G98=0, INDEX(LS_previous!$D$4:$AY$138, MATCH('Staging Table'!$A98, LS_previous!$B$4:$B$138, 0), MATCH(P$4&amp;P$5, LS_previous!$D$2:$AY$2&amp;LS_previous!$D$3:$AY$3, 0)),SUM(VLOOKUP($A98, LS_previous!$B$4:$AY$138, LS_previous!H$149, FALSE), VLOOKUP('Staging Table'!$A98, LS_previous!$B$4:$AY$138,LS_previous!AF$149, FALSE))/2)</f>
        <v>877</v>
      </c>
      <c r="Q98" s="227">
        <f t="array" ref="Q98">IF($G98=0, INDEX(LS_previous!$D$4:$AY$138, MATCH('Staging Table'!$A98, LS_previous!$B$4:$B$138, 0), MATCH(Q$4&amp;Q$5, LS_previous!$D$2:$AY$2&amp;LS_previous!$D$3:$AY$3, 0)),SUM(VLOOKUP($A98, LS_previous!$B$4:$AY$138, LS_previous!I$149, FALSE), VLOOKUP('Staging Table'!$A98, LS_previous!$B$4:$AY$138,LS_previous!AG$149, FALSE))/2)</f>
        <v>5057</v>
      </c>
      <c r="R98" s="227">
        <f t="array" ref="R98">IF($G98=0, INDEX(LS_previous!$D$4:$AY$138, MATCH('Staging Table'!$A98, LS_previous!$B$4:$B$138, 0), MATCH(R$4&amp;R$5, LS_previous!$D$2:$AY$2&amp;LS_previous!$D$3:$AY$3, 0)),SUM(VLOOKUP($A98, LS_previous!$B$4:$AY$138, LS_previous!J$149, FALSE), VLOOKUP('Staging Table'!$A98, LS_previous!$B$4:$AY$138,LS_previous!AH$149, FALSE))/2)</f>
        <v>6987</v>
      </c>
      <c r="S98" s="227">
        <f t="array" ref="S98">IF($G98=0, INDEX(LS_previous!$D$4:$AY$138, MATCH('Staging Table'!$A98, LS_previous!$B$4:$B$138, 0), MATCH(S$4&amp;S$5, LS_previous!$D$2:$AY$2&amp;LS_previous!$D$3:$AY$3, 0)),SUM(VLOOKUP($A98, LS_previous!$B$4:$AY$138, LS_previous!K$149, FALSE), VLOOKUP('Staging Table'!$A98, LS_previous!$B$4:$AY$138,LS_previous!AI$149, FALSE))/2)</f>
        <v>5853</v>
      </c>
      <c r="T98" s="227">
        <f t="array" ref="T98">IF($G98=0, INDEX(LS_previous!$D$4:$AY$138, MATCH('Staging Table'!$A98, LS_previous!$B$4:$B$138, 0), MATCH(T$4&amp;T$5, LS_previous!$D$2:$AY$2&amp;LS_previous!$D$3:$AY$3, 0)),SUM(VLOOKUP($A98, LS_previous!$B$4:$AY$138, LS_previous!L$149, FALSE), VLOOKUP('Staging Table'!$A98, LS_previous!$B$4:$AY$138,LS_previous!AJ$149, FALSE))/2)</f>
        <v>8046</v>
      </c>
      <c r="U98" s="227">
        <f t="array" ref="U98">IF($G98=0, INDEX(LS_previous!$D$4:$AY$138, MATCH('Staging Table'!$A98, LS_previous!$B$4:$B$138, 0), MATCH(U$4&amp;U$5, LS_previous!$D$2:$AY$2&amp;LS_previous!$D$3:$AY$3, 0)),SUM(VLOOKUP($A98, LS_previous!$B$4:$AY$138, LS_previous!M$149, FALSE), VLOOKUP('Staging Table'!$A98, LS_previous!$B$4:$AY$138,LS_previous!AK$149, FALSE))/2)</f>
        <v>5511</v>
      </c>
      <c r="V98" s="227">
        <f t="array" ref="V98">IF($G98=0, INDEX(LS_previous!$D$4:$AY$138, MATCH('Staging Table'!$A98, LS_previous!$B$4:$B$138, 0), MATCH(V$4&amp;V$5, LS_previous!$D$2:$AY$2&amp;LS_previous!$D$3:$AY$3, 0)),SUM(VLOOKUP($A98, LS_previous!$B$4:$AY$138, LS_previous!N$149, FALSE), VLOOKUP('Staging Table'!$A98, LS_previous!$B$4:$AY$138,LS_previous!AL$149, FALSE))/2)</f>
        <v>1031</v>
      </c>
      <c r="W98" s="227">
        <f t="array" ref="W98">IF($G98=0, INDEX(LS_previous!$D$4:$AY$138, MATCH('Staging Table'!$A98, LS_previous!$B$4:$B$138, 0), MATCH(W$4&amp;W$5, LS_previous!$D$2:$AY$2&amp;LS_previous!$D$3:$AY$3, 0)),SUM(VLOOKUP($A98, LS_previous!$B$4:$AY$138, LS_previous!O$149, FALSE), VLOOKUP('Staging Table'!$A98, LS_previous!$B$4:$AY$138,LS_previous!AM$149, FALSE))/2)</f>
        <v>2697</v>
      </c>
      <c r="X98" s="227">
        <f t="array" ref="X98">IF($G98=0, INDEX(LS_previous!$D$4:$AY$138, MATCH('Staging Table'!$A98, LS_previous!$B$4:$B$138, 0), MATCH(X$4&amp;X$5, LS_previous!$D$2:$AY$2&amp;LS_previous!$D$3:$AY$3, 0)),SUM(VLOOKUP($A98, LS_previous!$B$4:$AY$138, LS_previous!P$149, FALSE), VLOOKUP('Staging Table'!$A98, LS_previous!$B$4:$AY$138,LS_previous!AN$149, FALSE))/2)</f>
        <v>-54</v>
      </c>
      <c r="Y98" s="227">
        <f t="array" ref="Y98">IF($G98=0, INDEX(LS_previous!$D$4:$AY$138, MATCH('Staging Table'!$A98, LS_previous!$B$4:$B$138, 0), MATCH(Y$4&amp;Y$5, LS_previous!$D$2:$AY$2&amp;LS_previous!$D$3:$AY$3, 0)),SUM(VLOOKUP($A98, LS_previous!$B$4:$AY$138, LS_previous!Q$149, FALSE), VLOOKUP('Staging Table'!$A98, LS_previous!$B$4:$AY$138,LS_previous!AO$149, FALSE))/2)</f>
        <v>886</v>
      </c>
      <c r="Z98" s="227">
        <f t="array" ref="Z98">IF($G98=0, INDEX(LS_previous!$D$4:$AY$138, MATCH('Staging Table'!$A98, LS_previous!$B$4:$B$138, 0), MATCH(Z$4&amp;Z$5, LS_previous!$D$2:$AY$2&amp;LS_previous!$D$3:$AY$3, 0)),SUM(VLOOKUP($A98, LS_previous!$B$4:$AY$138, LS_previous!R$149, FALSE), VLOOKUP('Staging Table'!$A98, LS_previous!$B$4:$AY$138,LS_previous!AP$149, FALSE))/2)</f>
        <v>-15938</v>
      </c>
      <c r="AA98" s="227">
        <f t="array" ref="AA98">IF($G98=0, INDEX(LS_previous!$D$4:$AY$138, MATCH('Staging Table'!$A98, LS_previous!$B$4:$B$138, 0), MATCH(AA$4&amp;AA$5, LS_previous!$D$2:$AY$2&amp;LS_previous!$D$3:$AY$3, 0)),SUM(VLOOKUP($A98, LS_previous!$B$4:$AY$138, LS_previous!S$149, FALSE), VLOOKUP('Staging Table'!$A98, LS_previous!$B$4:$AY$138,LS_previous!AQ$149, FALSE))/2)</f>
        <v>-5389</v>
      </c>
      <c r="AB98" s="227">
        <f t="array" ref="AB98">IF($G98=0, INDEX(LS_previous!$D$4:$AY$138, MATCH('Staging Table'!$A98, LS_previous!$B$4:$B$138, 0), MATCH(AB$4&amp;AB$5, LS_previous!$D$2:$AY$2&amp;LS_previous!$D$3:$AY$3, 0)),SUM(VLOOKUP($A98, LS_previous!$B$4:$AY$138, LS_previous!T$149, FALSE), VLOOKUP('Staging Table'!$A98, LS_previous!$B$4:$AY$138,LS_previous!AR$149, FALSE))/2)</f>
        <v>-3477</v>
      </c>
      <c r="AC98" s="227">
        <f t="array" ref="AC98">IF($G98=0, INDEX(LS_previous!$D$4:$AY$138, MATCH('Staging Table'!$A98, LS_previous!$B$4:$B$138, 0), MATCH(AC$4&amp;AC$5, LS_previous!$D$2:$AY$2&amp;LS_previous!$D$3:$AY$3, 0)),SUM(VLOOKUP($A98, LS_previous!$B$4:$AY$138, LS_previous!U$149, FALSE), VLOOKUP('Staging Table'!$A98, LS_previous!$B$4:$AY$138,LS_previous!AS$149, FALSE))/2)</f>
        <v>-544</v>
      </c>
      <c r="AD98" s="227">
        <f t="array" ref="AD98">IF($G98=0, INDEX(LS_previous!$D$4:$AY$138, MATCH('Staging Table'!$A98, LS_previous!$B$4:$B$138, 0), MATCH(AD$4&amp;AD$5, LS_previous!$D$2:$AY$2&amp;LS_previous!$D$3:$AY$3, 0)),SUM(VLOOKUP($A98, LS_previous!$B$4:$AY$138, LS_previous!V$149, FALSE), VLOOKUP('Staging Table'!$A98, LS_previous!$B$4:$AY$138,LS_previous!AT$149, FALSE))/2)</f>
        <v>5923</v>
      </c>
      <c r="AE98" s="227">
        <f t="array" ref="AE98">IF($G98=0, INDEX(LS_previous!$D$4:$AY$138, MATCH('Staging Table'!$A98, LS_previous!$B$4:$B$138, 0), MATCH(AE$4&amp;AE$5, LS_previous!$D$2:$AY$2&amp;LS_previous!$D$3:$AY$3, 0)),SUM(VLOOKUP($A98, LS_previous!$B$4:$AY$138, LS_previous!W$149, FALSE), VLOOKUP('Staging Table'!$A98, LS_previous!$B$4:$AY$138,LS_previous!AU$149, FALSE))/2)</f>
        <v>6062</v>
      </c>
      <c r="AF98" s="227">
        <f t="array" ref="AF98">IF($G98=0, INDEX(LS_previous!$D$4:$AY$138, MATCH('Staging Table'!$A98, LS_previous!$B$4:$B$138, 0), MATCH(AF$4&amp;AF$5, LS_previous!$D$2:$AY$2&amp;LS_previous!$D$3:$AY$3, 0)),SUM(VLOOKUP($A98, LS_previous!$B$4:$AY$138, LS_previous!X$149, FALSE), VLOOKUP('Staging Table'!$A98, LS_previous!$B$4:$AY$138,LS_previous!AV$149, FALSE))/2)</f>
        <v>1217</v>
      </c>
      <c r="AG98" s="227">
        <f t="array" ref="AG98">IF($G98=0, INDEX(LS_previous!$D$4:$AY$138, MATCH('Staging Table'!$A98, LS_previous!$B$4:$B$138, 0), MATCH(AG$4&amp;AG$5, LS_previous!$D$2:$AY$2&amp;LS_previous!$D$3:$AY$3, 0)),SUM(VLOOKUP($A98, LS_previous!$B$4:$AY$138, LS_previous!Y$149, FALSE), VLOOKUP('Staging Table'!$A98, LS_previous!$B$4:$AY$138,LS_previous!AW$149, FALSE))/2)</f>
        <v>4735</v>
      </c>
      <c r="AH98" s="227">
        <f t="array" ref="AH98">IF($G98=0, INDEX(LS_previous!$D$4:$AY$138, MATCH('Staging Table'!$A98, LS_previous!$B$4:$B$138, 0), MATCH(AH$4&amp;AH$5, LS_previous!$D$2:$AY$2&amp;LS_previous!$D$3:$AY$3, 0)),SUM(VLOOKUP($A98, LS_previous!$B$4:$AY$138, LS_previous!Z$149, FALSE), VLOOKUP('Staging Table'!$A98, LS_previous!$B$4:$AY$138,LS_previous!AX$149, FALSE))/2)</f>
        <v>-591</v>
      </c>
      <c r="AI98" s="227">
        <f t="array" ref="AI98">IF($G98=0, INDEX(LS_previous!$D$4:$AY$138, MATCH('Staging Table'!$A98, LS_previous!$B$4:$B$138, 0), MATCH(AI$4&amp;AI$5, LS_previous!$D$2:$AY$2&amp;LS_previous!$D$3:$AY$3, 0)),SUM(VLOOKUP($A98, LS_previous!$B$4:$AY$138, LS_previous!AA$149, FALSE), VLOOKUP('Staging Table'!$A98, LS_previous!$B$4:$AY$138,LS_previous!AY$149, FALSE))/2)</f>
        <v>1292</v>
      </c>
      <c r="AJ98" s="424">
        <f t="array" ref="AJ98">INDEX(Demand_previous!$D$4:$AY$138, MATCH('Staging Table'!$A98, Demand_previous!$B$4:$B$138, 0), MATCH(AJ$4&amp;AJ$5,Demand_previous!$D$2:$AY$2&amp;Demand_previous!$D$3:$AY$3, 0))/1000</f>
        <v>13.237</v>
      </c>
      <c r="AK98" s="424">
        <f t="array" ref="AK98">INDEX(Demand_previous!$D$4:$AY$138, MATCH('Staging Table'!$A98, Demand_previous!$B$4:$B$138, 0), MATCH(AK$4&amp;AK$5,Demand_previous!$D$2:$AY$2&amp;Demand_previous!$D$3:$AY$3, 0))/1000</f>
        <v>12.702</v>
      </c>
      <c r="AL98" s="424">
        <f t="array" ref="AL98">INDEX(Demand_previous!$D$4:$AY$138, MATCH('Staging Table'!$A98, Demand_previous!$B$4:$B$138, 0), MATCH(AL$4&amp;AL$5,Demand_previous!$D$2:$AY$2&amp;Demand_previous!$D$3:$AY$3, 0))/1000</f>
        <v>21.719000000000001</v>
      </c>
      <c r="AM98" s="424">
        <f t="array" ref="AM98">INDEX(Demand_previous!$D$4:$AY$138, MATCH('Staging Table'!$A98, Demand_previous!$B$4:$B$138, 0), MATCH(AM$4&amp;AM$5,Demand_previous!$D$2:$AY$2&amp;Demand_previous!$D$3:$AY$3, 0))/1000</f>
        <v>18.515999999999998</v>
      </c>
      <c r="AN98" s="424">
        <f t="array" ref="AN98">INDEX(Demand_previous!$D$4:$AY$138, MATCH('Staging Table'!$A98, Demand_previous!$B$4:$B$138, 0), MATCH(AN$4&amp;AN$5,Demand_previous!$D$2:$AY$2&amp;Demand_previous!$D$3:$AY$3, 0))/1000</f>
        <v>13.964</v>
      </c>
      <c r="AO98" s="424">
        <f t="array" ref="AO98">INDEX(Demand_previous!$D$4:$AY$138, MATCH('Staging Table'!$A98, Demand_previous!$B$4:$B$138, 0), MATCH(AO$4&amp;AO$5,Demand_previous!$D$2:$AY$2&amp;Demand_previous!$D$3:$AY$3, 0))/1000</f>
        <v>19.884</v>
      </c>
      <c r="AP98" s="424">
        <f t="array" ref="AP98">INDEX(Demand_previous!$D$4:$AY$138, MATCH('Staging Table'!$A98, Demand_previous!$B$4:$B$138, 0), MATCH(AP$4&amp;AP$5,Demand_previous!$D$2:$AY$2&amp;Demand_previous!$D$3:$AY$3, 0))/1000</f>
        <v>13.045</v>
      </c>
      <c r="AQ98" s="424">
        <f t="array" ref="AQ98">INDEX(Demand_previous!$D$4:$AY$138, MATCH('Staging Table'!$A98, Demand_previous!$B$4:$B$138, 0), MATCH(AQ$4&amp;AQ$5,Demand_previous!$D$2:$AY$2&amp;Demand_previous!$D$3:$AY$3, 0))/1000</f>
        <v>17.074000000000002</v>
      </c>
      <c r="AR98" s="424">
        <f t="array" ref="AR98">INDEX(Demand_previous!$D$4:$AY$138, MATCH('Staging Table'!$A98, Demand_previous!$B$4:$B$138, 0), MATCH(AR$4&amp;AR$5,Demand_previous!$D$2:$AY$2&amp;Demand_previous!$D$3:$AY$3, 0))/1000</f>
        <v>17.03</v>
      </c>
      <c r="AS98" s="424">
        <f t="array" ref="AS98">INDEX(Demand_previous!$D$4:$AY$138, MATCH('Staging Table'!$A98, Demand_previous!$B$4:$B$138, 0), MATCH(AS$4&amp;AS$5,Demand_previous!$D$2:$AY$2&amp;Demand_previous!$D$3:$AY$3, 0))/1000</f>
        <v>12.247</v>
      </c>
      <c r="AT98" s="424">
        <f t="array" ref="AT98">INDEX(Demand_previous!$D$4:$AY$138, MATCH('Staging Table'!$A98, Demand_previous!$B$4:$B$138, 0), MATCH(AT$4&amp;AT$5,Demand_previous!$D$2:$AY$2&amp;Demand_previous!$D$3:$AY$3, 0))/1000</f>
        <v>20.47</v>
      </c>
      <c r="AU98" s="424">
        <f t="array" ref="AU98">INDEX(Demand_previous!$D$4:$AY$138, MATCH('Staging Table'!$A98, Demand_previous!$B$4:$B$138, 0), MATCH(AU$4&amp;AU$5,Demand_previous!$D$2:$AY$2&amp;Demand_previous!$D$3:$AY$3, 0))/1000</f>
        <v>9.3960000000000008</v>
      </c>
      <c r="AV98" s="227">
        <f>$F98*(VLOOKUP(AV$4, Rates_previous!$G$6:$Q$29, 10, FALSE)+VLOOKUP(AV$4, Rates_previous!$G$6:$Q$29, 11, FALSE))</f>
        <v>52262.254583369606</v>
      </c>
      <c r="AW98" s="227">
        <f>$F98*(VLOOKUP(AW$4, Rates_previous!$G$6:$Q$29, 10, FALSE)+VLOOKUP(AW$4, Rates_previous!$G$6:$Q$29, 11, FALSE))</f>
        <v>64592.174523191461</v>
      </c>
      <c r="AX98" s="227">
        <f>$F98*(VLOOKUP(AX$4, Rates_previous!$G$6:$Q$29, 10, FALSE)+VLOOKUP(AX$4, Rates_previous!$G$6:$Q$29, 11, FALSE))</f>
        <v>63816.499763140288</v>
      </c>
      <c r="AY98" s="227">
        <f>$F98*(VLOOKUP(AY$4, Rates_previous!$G$6:$Q$29, 10, FALSE)+VLOOKUP(AY$4, Rates_previous!$G$6:$Q$29, 11, FALSE))</f>
        <v>54525.116330574878</v>
      </c>
      <c r="AZ98" s="227">
        <f>$F98*(VLOOKUP(AZ$4, Rates_previous!$G$6:$Q$29, 10, FALSE)+VLOOKUP(AZ$4, Rates_previous!$G$6:$Q$29, 11, FALSE))</f>
        <v>44700.019091666509</v>
      </c>
      <c r="BA98" s="227">
        <f>$F98*(VLOOKUP(BA$4, Rates_previous!$G$6:$Q$29, 10, FALSE)+VLOOKUP(BA$4, Rates_previous!$G$6:$Q$29, 11, FALSE))</f>
        <v>52923.19894915534</v>
      </c>
      <c r="BB98" s="227">
        <f>$F98*(VLOOKUP(BB$4, Rates_previous!$G$6:$Q$29, 10, FALSE)+VLOOKUP(BB$4, Rates_previous!$G$6:$Q$29, 11, FALSE))</f>
        <v>50866.892339080965</v>
      </c>
      <c r="BC98" s="227">
        <f>$F98*(VLOOKUP(BC$4, Rates_previous!$G$6:$Q$29, 10, FALSE)+VLOOKUP(BC$4, Rates_previous!$G$6:$Q$29, 11, FALSE))</f>
        <v>74643.565026541939</v>
      </c>
      <c r="BD98" s="227">
        <f>$F98*(VLOOKUP(BD$4, Rates_previous!$G$6:$Q$29, 10, FALSE)+VLOOKUP(BD$4, Rates_previous!$G$6:$Q$29, 11, FALSE))</f>
        <v>58891.799952469824</v>
      </c>
      <c r="BE98" s="227">
        <f>$F98*(VLOOKUP(BE$4, Rates_previous!$G$6:$Q$29, 10, FALSE)+VLOOKUP(BE$4, Rates_previous!$G$6:$Q$29, 11, FALSE))</f>
        <v>51711.943472725427</v>
      </c>
      <c r="BF98" s="227">
        <f>$F98*(VLOOKUP(BF$4, Rates_previous!$G$6:$Q$29, 10, FALSE)+VLOOKUP(BF$4, Rates_previous!$G$6:$Q$29, 11, FALSE))</f>
        <v>57273.047306865628</v>
      </c>
      <c r="BG98" s="227">
        <f>$F98*(VLOOKUP(BG$4, Rates_previous!$G$6:$Q$29, 10, FALSE)+VLOOKUP(BG$4, Rates_previous!$G$6:$Q$29, 11, FALSE))</f>
        <v>51887.103253675086</v>
      </c>
      <c r="BH98" s="229">
        <f>IF($D98=0,IF(C98=0, MAX(BK98 - (VLOOKUP($A98,TOCA_previous!$A$2:$AI$137,MATCH("RHWM 2018",TOCA_previous!$A$2:$AI$2,0),FALSE)*$F$2*TOCA_previous!C95),0),0), 0)</f>
        <v>18478.264485256048</v>
      </c>
      <c r="BI98" s="266">
        <f>VLOOKUP($A98,REP_previous!$A$1:$D$135,MATCH("FY "&amp;$F$1&amp; " Total Refund",REP_previous!$A$1:$D$1,0),0)</f>
        <v>977820.46724975016</v>
      </c>
      <c r="BJ98" s="241">
        <f>MIN(VLOOKUP($A98,TOCA_previous!$A$2:$AI$137,MATCH("TRL - NLSL - Existing Resource "&amp;$F$1,TOCA_previous!$A$2:$AI$2,0),FALSE)*$F$2,(VLOOKUP($A98,TOCA_previous!$A$2:$AI$137,MATCH("RHWM 2018",TOCA_previous!$A$2:$AI$2,0),FALSE)*$F$2))</f>
        <v>678094.08</v>
      </c>
      <c r="BK98" s="229">
        <f>SUM(L98:AI98)+(F98*RT1SC!$C$3*$F$2)</f>
        <v>700978.62448525603</v>
      </c>
      <c r="BL98" s="241">
        <f>VLOOKUP($A98,TOCA_previous!$A$2:$AI$137,MATCH("Above RHWM Not Served with LS "&amp;$F$1,TOCA_previous!$A$2:$AI$2,0),FALSE)*$F$2</f>
        <v>0</v>
      </c>
      <c r="BM98" s="151">
        <f t="shared" si="21"/>
        <v>22884.544485256076</v>
      </c>
      <c r="BN98" s="242">
        <f>(VLOOKUP($A98,TOCA_previous!$A$2:$AI$137,MATCH("RHWM 2018",TOCA_previous!$A$2:$AI$2,0),FALSE)*$F$2) - $BJ98</f>
        <v>4406.2800000000279</v>
      </c>
      <c r="BO98" s="151">
        <f t="shared" si="22"/>
        <v>-4406.2800000000279</v>
      </c>
      <c r="BP98" s="243">
        <f t="shared" si="23"/>
        <v>0</v>
      </c>
      <c r="BQ98" s="237">
        <f t="shared" si="24"/>
        <v>0</v>
      </c>
      <c r="BR98" s="242">
        <f t="shared" si="25"/>
        <v>-4406.2800000000279</v>
      </c>
      <c r="BS98" s="151">
        <f>VLOOKUP($A98,TOCA_current!$A$2:$AI$137,MATCH(BS$4,TOCA_current!$A$2:$AI$2,0),FALSE)</f>
        <v>1.12126E-2</v>
      </c>
      <c r="BT98" s="151">
        <f>VLOOKUP($A98,TOCA_current!$A$2:$AI$137,MATCH(BT$4,TOCA_current!$A$2:$AI$2,0),FALSE)</f>
        <v>1.12126E-2</v>
      </c>
      <c r="BU98" s="236">
        <f t="shared" si="26"/>
        <v>0</v>
      </c>
      <c r="BV98" s="151">
        <f>VLOOKUP($A98,TOCA_current!A94:BG229,MATCH(BV$4,TOCA_current!$A$2:$BG$2,0),FALSE)</f>
        <v>5.0224699999999997E-2</v>
      </c>
      <c r="BW98" s="151">
        <f t="shared" si="27"/>
        <v>0</v>
      </c>
      <c r="BX98" s="151">
        <f t="shared" si="28"/>
        <v>0</v>
      </c>
      <c r="BY98" s="226">
        <f>VLOOKUP($A98,IRD!$A$4:$G$139, 7, FALSE)</f>
        <v>36260.600999999995</v>
      </c>
      <c r="BZ98" s="227">
        <f t="array" ref="BZ98">IF($BU98=0, INDEX(LS_current!$D$4:$AY$138, MATCH('Staging Table'!$A98, LS_current!$B$4:$B$138, 0), MATCH(BZ$4&amp;BZ$5, LS_current!$D$2:$AY$2&amp;LS_current!$D$3:$AY$3, 0)),SUM(VLOOKUP($A98, LS_current!$B$4:$AY$138, LS_current!D$148, FALSE), VLOOKUP($A98, LS_current!$B$4:$AY$138,LS_current!D$148, FALSE))/2)</f>
        <v>-1053</v>
      </c>
      <c r="CA98" s="227">
        <f t="array" ref="CA98">IF($BU98=0, INDEX(LS_current!$D$4:$AY$138, MATCH('Staging Table'!$A98, LS_current!$B$4:$B$138, 0), MATCH(CA$4&amp;CA$5, LS_current!$D$2:$AY$2&amp;LS_current!$D$3:$AY$3, 0)),SUM(VLOOKUP($A98, LS_current!$B$4:$AY$138, LS_current!E$148, FALSE), VLOOKUP($A98, LS_current!$B$4:$AY$138,LS_current!E$148, FALSE))/2)</f>
        <v>245</v>
      </c>
      <c r="CB98" s="227">
        <f t="array" ref="CB98">IF($BU98=0, INDEX(LS_current!$D$4:$AY$138, MATCH('Staging Table'!$A98, LS_current!$B$4:$B$138, 0), MATCH(CB$4&amp;CB$5, LS_current!$D$2:$AY$2&amp;LS_current!$D$3:$AY$3, 0)),SUM(VLOOKUP($A98, LS_current!$B$4:$AY$138, LS_current!F$148, FALSE), VLOOKUP($A98, LS_current!$B$4:$AY$138,LS_current!F$148, FALSE))/2)</f>
        <v>-5636</v>
      </c>
      <c r="CC98" s="227">
        <f t="array" ref="CC98">IF($BU98=0, INDEX(LS_current!$D$4:$AY$138, MATCH('Staging Table'!$A98, LS_current!$B$4:$B$138, 0), MATCH(CC$4&amp;CC$5, LS_current!$D$2:$AY$2&amp;LS_current!$D$3:$AY$3, 0)),SUM(VLOOKUP($A98, LS_current!$B$4:$AY$138, LS_current!G$148, FALSE), VLOOKUP($A98, LS_current!$B$4:$AY$138,LS_current!G$148, FALSE))/2)</f>
        <v>-1537</v>
      </c>
      <c r="CD98" s="227">
        <f t="array" ref="CD98">IF($BU98=0, INDEX(LS_current!$D$4:$AY$138, MATCH('Staging Table'!$A98, LS_current!$B$4:$B$138, 0), MATCH(CD$4&amp;CD$5, LS_current!$D$2:$AY$2&amp;LS_current!$D$3:$AY$3, 0)),SUM(VLOOKUP($A98, LS_current!$B$4:$AY$138, LS_current!H$148, FALSE), VLOOKUP($A98, LS_current!$B$4:$AY$138,LS_current!H$148, FALSE))/2)</f>
        <v>283</v>
      </c>
      <c r="CE98" s="227">
        <f t="array" ref="CE98">IF($BU98=0, INDEX(LS_current!$D$4:$AY$138, MATCH('Staging Table'!$A98, LS_current!$B$4:$B$138, 0), MATCH(CE$4&amp;CE$5, LS_current!$D$2:$AY$2&amp;LS_current!$D$3:$AY$3, 0)),SUM(VLOOKUP($A98, LS_current!$B$4:$AY$138, LS_current!I$148, FALSE), VLOOKUP($A98, LS_current!$B$4:$AY$138,LS_current!I$148, FALSE))/2)</f>
        <v>4494</v>
      </c>
      <c r="CF98" s="227">
        <f t="array" ref="CF98">IF($BU98=0, INDEX(LS_current!$D$4:$AY$138, MATCH('Staging Table'!$A98, LS_current!$B$4:$B$138, 0), MATCH(CF$4&amp;CF$5, LS_current!$D$2:$AY$2&amp;LS_current!$D$3:$AY$3, 0)),SUM(VLOOKUP($A98, LS_current!$B$4:$AY$138, LS_current!J$148, FALSE), VLOOKUP($A98, LS_current!$B$4:$AY$138,LS_current!J$148, FALSE))/2)</f>
        <v>6637</v>
      </c>
      <c r="CG98" s="227">
        <f t="array" ref="CG98">IF($BU98=0, INDEX(LS_current!$D$4:$AY$138, MATCH('Staging Table'!$A98, LS_current!$B$4:$B$138, 0), MATCH(CG$4&amp;CG$5, LS_current!$D$2:$AY$2&amp;LS_current!$D$3:$AY$3, 0)),SUM(VLOOKUP($A98, LS_current!$B$4:$AY$138, LS_current!K$148, FALSE), VLOOKUP($A98, LS_current!$B$4:$AY$138,LS_current!K$148, FALSE))/2)</f>
        <v>6570</v>
      </c>
      <c r="CH98" s="227">
        <f t="array" ref="CH98">IF($BU98=0, INDEX(LS_current!$D$4:$AY$138, MATCH('Staging Table'!$A98, LS_current!$B$4:$B$138, 0), MATCH(CH$4&amp;CH$5, LS_current!$D$2:$AY$2&amp;LS_current!$D$3:$AY$3, 0)),SUM(VLOOKUP($A98, LS_current!$B$4:$AY$138, LS_current!L$148, FALSE), VLOOKUP($A98, LS_current!$B$4:$AY$138,LS_current!L$148, FALSE))/2)</f>
        <v>5329</v>
      </c>
      <c r="CI98" s="227">
        <f t="array" ref="CI98">IF($BU98=0, INDEX(LS_current!$D$4:$AY$138, MATCH('Staging Table'!$A98, LS_current!$B$4:$B$138, 0), MATCH(CI$4&amp;CI$5, LS_current!$D$2:$AY$2&amp;LS_current!$D$3:$AY$3, 0)),SUM(VLOOKUP($A98, LS_current!$B$4:$AY$138, LS_current!M$148, FALSE), VLOOKUP($A98, LS_current!$B$4:$AY$138,LS_current!M$148, FALSE))/2)</f>
        <v>3867</v>
      </c>
      <c r="CJ98" s="227">
        <f t="array" ref="CJ98">IF($BU98=0, INDEX(LS_current!$D$4:$AY$138, MATCH('Staging Table'!$A98, LS_current!$B$4:$B$138, 0), MATCH(CJ$4&amp;CJ$5, LS_current!$D$2:$AY$2&amp;LS_current!$D$3:$AY$3, 0)),SUM(VLOOKUP($A98, LS_current!$B$4:$AY$138, LS_current!N$148, FALSE), VLOOKUP($A98, LS_current!$B$4:$AY$138,LS_current!N$148, FALSE))/2)</f>
        <v>-201</v>
      </c>
      <c r="CK98" s="227">
        <f t="array" ref="CK98">IF($BU98=0, INDEX(LS_current!$D$4:$AY$138, MATCH('Staging Table'!$A98, LS_current!$B$4:$B$138, 0), MATCH(CK$4&amp;CK$5, LS_current!$D$2:$AY$2&amp;LS_current!$D$3:$AY$3, 0)),SUM(VLOOKUP($A98, LS_current!$B$4:$AY$138, LS_current!O$148, FALSE), VLOOKUP($A98, LS_current!$B$4:$AY$138,LS_current!O$148, FALSE))/2)</f>
        <v>2279</v>
      </c>
      <c r="CL98" s="227">
        <f t="array" ref="CL98">IF($BU98=0, INDEX(LS_current!$D$4:$AY$138, MATCH('Staging Table'!$A98, LS_current!$B$4:$B$138, 0), MATCH(CL$4&amp;CL$5, LS_current!$D$2:$AY$2&amp;LS_current!$D$3:$AY$3, 0)),SUM(VLOOKUP($A98, LS_current!$B$4:$AY$138, LS_current!P$148, FALSE), VLOOKUP($A98, LS_current!$B$4:$AY$138,LS_current!P$148, FALSE))/2)</f>
        <v>4699</v>
      </c>
      <c r="CM98" s="227">
        <f t="array" ref="CM98">IF($BU98=0, INDEX(LS_current!$D$4:$AY$138, MATCH('Staging Table'!$A98, LS_current!$B$4:$B$138, 0), MATCH(CM$4&amp;CM$5, LS_current!$D$2:$AY$2&amp;LS_current!$D$3:$AY$3, 0)),SUM(VLOOKUP($A98, LS_current!$B$4:$AY$138, LS_current!Q$148, FALSE), VLOOKUP($A98, LS_current!$B$4:$AY$138,LS_current!Q$148, FALSE))/2)</f>
        <v>2567</v>
      </c>
      <c r="CN98" s="227">
        <f t="array" ref="CN98">IF($BU98=0, INDEX(LS_current!$D$4:$AY$138, MATCH('Staging Table'!$A98, LS_current!$B$4:$B$138, 0), MATCH(CN$4&amp;CN$5, LS_current!$D$2:$AY$2&amp;LS_current!$D$3:$AY$3, 0)),SUM(VLOOKUP($A98, LS_current!$B$4:$AY$138, LS_current!R$148, FALSE), VLOOKUP($A98, LS_current!$B$4:$AY$138,LS_current!R$148, FALSE))/2)</f>
        <v>-7249</v>
      </c>
      <c r="CO98" s="227">
        <f t="array" ref="CO98">IF($BU98=0, INDEX(LS_current!$D$4:$AY$138, MATCH('Staging Table'!$A98, LS_current!$B$4:$B$138, 0), MATCH(CO$4&amp;CO$5, LS_current!$D$2:$AY$2&amp;LS_current!$D$3:$AY$3, 0)),SUM(VLOOKUP($A98, LS_current!$B$4:$AY$138, LS_current!S$148, FALSE), VLOOKUP($A98, LS_current!$B$4:$AY$138,LS_current!S$148, FALSE))/2)</f>
        <v>642</v>
      </c>
      <c r="CP98" s="227">
        <f t="array" ref="CP98">IF($BU98=0, INDEX(LS_current!$D$4:$AY$138, MATCH('Staging Table'!$A98, LS_current!$B$4:$B$138, 0), MATCH(CP$4&amp;CP$5, LS_current!$D$2:$AY$2&amp;LS_current!$D$3:$AY$3, 0)),SUM(VLOOKUP($A98, LS_current!$B$4:$AY$138, LS_current!T$148, FALSE), VLOOKUP($A98, LS_current!$B$4:$AY$138,LS_current!T$148, FALSE))/2)</f>
        <v>-14573</v>
      </c>
      <c r="CQ98" s="227">
        <f t="array" ref="CQ98">IF($BU98=0, INDEX(LS_current!$D$4:$AY$138, MATCH('Staging Table'!$A98, LS_current!$B$4:$B$138, 0), MATCH(CQ$4&amp;CQ$5, LS_current!$D$2:$AY$2&amp;LS_current!$D$3:$AY$3, 0)),SUM(VLOOKUP($A98, LS_current!$B$4:$AY$138, LS_current!U$148, FALSE), VLOOKUP($A98, LS_current!$B$4:$AY$138,LS_current!U$148, FALSE))/2)</f>
        <v>-7016</v>
      </c>
      <c r="CR98" s="227">
        <f t="array" ref="CR98">IF($BU98=0, INDEX(LS_current!$D$4:$AY$138, MATCH('Staging Table'!$A98, LS_current!$B$4:$B$138, 0), MATCH(CR$4&amp;CR$5, LS_current!$D$2:$AY$2&amp;LS_current!$D$3:$AY$3, 0)),SUM(VLOOKUP($A98, LS_current!$B$4:$AY$138, LS_current!V$148, FALSE), VLOOKUP($A98, LS_current!$B$4:$AY$138,LS_current!V$148, FALSE))/2)</f>
        <v>-1535</v>
      </c>
      <c r="CS98" s="227">
        <f t="array" ref="CS98">IF($BU98=0, INDEX(LS_current!$D$4:$AY$138, MATCH('Staging Table'!$A98, LS_current!$B$4:$B$138, 0), MATCH(CS$4&amp;CS$5, LS_current!$D$2:$AY$2&amp;LS_current!$D$3:$AY$3, 0)),SUM(VLOOKUP($A98, LS_current!$B$4:$AY$138, LS_current!W$148, FALSE), VLOOKUP($A98, LS_current!$B$4:$AY$138,LS_current!W$148, FALSE))/2)</f>
        <v>5285</v>
      </c>
      <c r="CT98" s="227">
        <f t="array" ref="CT98">IF($BU98=0, INDEX(LS_current!$D$4:$AY$138, MATCH('Staging Table'!$A98, LS_current!$B$4:$B$138, 0), MATCH(CT$4&amp;CT$5, LS_current!$D$2:$AY$2&amp;LS_current!$D$3:$AY$3, 0)),SUM(VLOOKUP($A98, LS_current!$B$4:$AY$138, LS_current!X$148, FALSE), VLOOKUP($A98, LS_current!$B$4:$AY$138,LS_current!X$148, FALSE))/2)</f>
        <v>-471</v>
      </c>
      <c r="CU98" s="227">
        <f t="array" ref="CU98">IF($BU98=0, INDEX(LS_current!$D$4:$AY$138, MATCH('Staging Table'!$A98, LS_current!$B$4:$B$138, 0), MATCH(CU$4&amp;CU$5, LS_current!$D$2:$AY$2&amp;LS_current!$D$3:$AY$3, 0)),SUM(VLOOKUP($A98, LS_current!$B$4:$AY$138, LS_current!Y$148, FALSE), VLOOKUP($A98, LS_current!$B$4:$AY$138,LS_current!Y$148, FALSE))/2)</f>
        <v>5320</v>
      </c>
      <c r="CV98" s="227">
        <f t="array" ref="CV98">IF($BU98=0, INDEX(LS_current!$D$4:$AY$138, MATCH('Staging Table'!$A98, LS_current!$B$4:$B$138, 0), MATCH(CV$4&amp;CV$5, LS_current!$D$2:$AY$2&amp;LS_current!$D$3:$AY$3, 0)),SUM(VLOOKUP($A98, LS_current!$B$4:$AY$138, LS_current!Z$148, FALSE), VLOOKUP($A98, LS_current!$B$4:$AY$138,LS_current!Z$148, FALSE))/2)</f>
        <v>-986</v>
      </c>
      <c r="CW98" s="227">
        <f t="array" ref="CW98">IF($BU98=0, INDEX(LS_current!$D$4:$AY$138, MATCH('Staging Table'!$A98, LS_current!$B$4:$B$138, 0), MATCH(CW$4&amp;CW$5, LS_current!$D$2:$AY$2&amp;LS_current!$D$3:$AY$3, 0)),SUM(VLOOKUP($A98, LS_current!$B$4:$AY$138, LS_current!AA$148, FALSE), VLOOKUP($A98, LS_current!$B$4:$AY$138,LS_current!AA$148, FALSE))/2)</f>
        <v>1165</v>
      </c>
      <c r="CX98" s="229">
        <f t="array" ref="CX98">INDEX(Demand_current!$D$4:$AY$138, MATCH($A98, Demand_current!$B$4:$B$138, 0), MATCH(CX$4&amp;CX$5,Demand_current!$D$2:$AY$2&amp;Demand_current!$D$3:$AY$3, 0))/1000</f>
        <v>16.146999999999998</v>
      </c>
      <c r="CY98" s="229">
        <f t="array" ref="CY98">INDEX(Demand_current!$D$4:$AY$138, MATCH($A98, Demand_current!$B$4:$B$138, 0), MATCH(CY$4&amp;CY$5,Demand_current!$D$2:$AY$2&amp;Demand_current!$D$3:$AY$3, 0))/1000</f>
        <v>12.702</v>
      </c>
      <c r="CZ98" s="229">
        <f t="array" ref="CZ98">INDEX(Demand_current!$D$4:$AY$138, MATCH($A98, Demand_current!$B$4:$B$138, 0), MATCH(CZ$4&amp;CZ$5,Demand_current!$D$2:$AY$2&amp;Demand_current!$D$3:$AY$3, 0))/1000</f>
        <v>21.719000000000001</v>
      </c>
      <c r="DA98" s="229">
        <f t="array" ref="DA98">INDEX(Demand_current!$D$4:$AY$138, MATCH($A98, Demand_current!$B$4:$B$138, 0), MATCH(DA$4&amp;DA$5,Demand_current!$D$2:$AY$2&amp;Demand_current!$D$3:$AY$3, 0))/1000</f>
        <v>18.515999999999998</v>
      </c>
      <c r="DB98" s="229">
        <f t="array" ref="DB98">INDEX(Demand_current!$D$4:$AY$138, MATCH($A98, Demand_current!$B$4:$B$138, 0), MATCH(DB$4&amp;DB$5,Demand_current!$D$2:$AY$2&amp;Demand_current!$D$3:$AY$3, 0))/1000</f>
        <v>17.744</v>
      </c>
      <c r="DC98" s="229">
        <f t="array" ref="DC98">INDEX(Demand_current!$D$4:$AY$138, MATCH($A98, Demand_current!$B$4:$B$138, 0), MATCH(DC$4&amp;DC$5,Demand_current!$D$2:$AY$2&amp;Demand_current!$D$3:$AY$3, 0))/1000</f>
        <v>16.812000000000001</v>
      </c>
      <c r="DD98" s="229">
        <f t="array" ref="DD98">INDEX(Demand_current!$D$4:$AY$138, MATCH($A98, Demand_current!$B$4:$B$138, 0), MATCH(DD$4&amp;DD$5,Demand_current!$D$2:$AY$2&amp;Demand_current!$D$3:$AY$3, 0))/1000</f>
        <v>16.184999999999999</v>
      </c>
      <c r="DE98" s="229">
        <f t="array" ref="DE98">INDEX(Demand_current!$D$4:$AY$138, MATCH($A98, Demand_current!$B$4:$B$138, 0), MATCH(DE$4&amp;DE$5,Demand_current!$D$2:$AY$2&amp;Demand_current!$D$3:$AY$3, 0))/1000</f>
        <v>14.032</v>
      </c>
      <c r="DF98" s="229">
        <f t="array" ref="DF98">INDEX(Demand_current!$D$4:$AY$138, MATCH($A98, Demand_current!$B$4:$B$138, 0), MATCH(DF$4&amp;DF$5,Demand_current!$D$2:$AY$2&amp;Demand_current!$D$3:$AY$3, 0))/1000</f>
        <v>17.03</v>
      </c>
      <c r="DG98" s="229">
        <f t="array" ref="DG98">INDEX(Demand_current!$D$4:$AY$138, MATCH($A98, Demand_current!$B$4:$B$138, 0), MATCH(DG$4&amp;DG$5,Demand_current!$D$2:$AY$2&amp;Demand_current!$D$3:$AY$3, 0))/1000</f>
        <v>16.067</v>
      </c>
      <c r="DH98" s="229">
        <f t="array" ref="DH98">INDEX(Demand_current!$D$4:$AY$138, MATCH($A98, Demand_current!$B$4:$B$138, 0), MATCH(DH$4&amp;DH$5,Demand_current!$D$2:$AY$2&amp;Demand_current!$D$3:$AY$3, 0))/1000</f>
        <v>16.951000000000001</v>
      </c>
      <c r="DI98" s="229">
        <f t="array" ref="DI98">INDEX(Demand_current!$D$4:$AY$138, MATCH($A98, Demand_current!$B$4:$B$138, 0), MATCH(DI$4&amp;DI$5,Demand_current!$D$2:$AY$2&amp;Demand_current!$D$3:$AY$3, 0))/1000</f>
        <v>12.79</v>
      </c>
      <c r="DJ98" s="227">
        <f>$BT98*(VLOOKUP(DJ$4, Rates_current!$G$6:$Q$29, 10, FALSE)+VLOOKUP(DJ$4, Rates_current!$G$6:$Q$29, 11, FALSE))</f>
        <v>51772.130791869597</v>
      </c>
      <c r="DK98" s="227">
        <f>$BT98*(VLOOKUP(DK$4, Rates_current!$G$6:$Q$29, 10, FALSE)+VLOOKUP(DK$4, Rates_current!$G$6:$Q$29, 11, FALSE))</f>
        <v>65766.756735611401</v>
      </c>
      <c r="DL98" s="227">
        <f>$BT98*(VLOOKUP(DL$4, Rates_current!$G$6:$Q$29, 10, FALSE)+VLOOKUP(DL$4, Rates_current!$G$6:$Q$29, 11, FALSE))</f>
        <v>64972.534157669601</v>
      </c>
      <c r="DM98" s="227">
        <f>$BT98*(VLOOKUP(DM$4, Rates_current!$G$6:$Q$29, 10, FALSE)+VLOOKUP(DM$4, Rates_current!$G$6:$Q$29, 11, FALSE))</f>
        <v>54158.564512869605</v>
      </c>
      <c r="DN98" s="227">
        <f>$BT98*(VLOOKUP(DN$4, Rates_current!$G$6:$Q$29, 10, FALSE)+VLOOKUP(DN$4, Rates_current!$G$6:$Q$29, 11, FALSE))</f>
        <v>49062.04093168</v>
      </c>
      <c r="DO98" s="227">
        <f>$BT98*(VLOOKUP(DO$4, Rates_current!$G$6:$Q$29, 10, FALSE)+VLOOKUP(DO$4, Rates_current!$G$6:$Q$29, 11, FALSE))</f>
        <v>54572.5756512062</v>
      </c>
      <c r="DP98" s="227">
        <f>$BT98*(VLOOKUP(DP$4, Rates_current!$G$6:$Q$29, 10, FALSE)+VLOOKUP(DP$4, Rates_current!$G$6:$Q$29, 11, FALSE))</f>
        <v>44433.049984847996</v>
      </c>
      <c r="DQ98" s="227">
        <f>$BT98*(VLOOKUP(DQ$4, Rates_current!$G$6:$Q$29, 10, FALSE)+VLOOKUP(DQ$4, Rates_current!$G$6:$Q$29, 11, FALSE))</f>
        <v>59924.593606169605</v>
      </c>
      <c r="DR98" s="227">
        <f>$BT98*(VLOOKUP(DR$4, Rates_current!$G$6:$Q$29, 10, FALSE)+VLOOKUP(DR$4, Rates_current!$G$6:$Q$29, 11, FALSE))</f>
        <v>76459.705884548006</v>
      </c>
      <c r="DS98" s="227">
        <f>$BT98*(VLOOKUP(DS$4, Rates_current!$G$6:$Q$29, 10, FALSE)+VLOOKUP(DS$4, Rates_current!$G$6:$Q$29, 11, FALSE))</f>
        <v>59946.833798269603</v>
      </c>
      <c r="DT98" s="227">
        <f>$BT98*(VLOOKUP(DT$4, Rates_current!$G$6:$Q$29, 10, FALSE)+VLOOKUP(DT$4, Rates_current!$G$6:$Q$29, 11, FALSE))</f>
        <v>58376.279309969606</v>
      </c>
      <c r="DU98" s="227">
        <f>$BT98*(VLOOKUP(DU$4, Rates_current!$G$6:$Q$29, 10, FALSE)+VLOOKUP(DU$4, Rates_current!$G$6:$Q$29, 11, FALSE))</f>
        <v>52409.480585448</v>
      </c>
      <c r="DV98" s="229">
        <f>IF(D98=0,IF(C98=0,MAX(0,DY98 - (VLOOKUP($A98,TOCA_current!$A$2:$AI$137,MATCH("RHWM 2020",TOCA_current!$A$2:$AI$2,0),FALSE)*$BT$2)), 0),0)</f>
        <v>9125.3799185407115</v>
      </c>
      <c r="DW98" s="266">
        <f>VLOOKUP($A98,REP_current!$A$1:$D$135,MATCH("FY "&amp;$BT$1&amp; " Total Refund",REP_current!$A$1:$D$1,0),0)</f>
        <v>0</v>
      </c>
      <c r="DX98" s="295">
        <f>MIN(VLOOKUP($A98,TOCA_current!$A$2:$AI$137,MATCH("TRL - NLSL - Existing Resource "&amp;$BT$1,TOCA_current!$A$2:$AI$2,0),FALSE)*$BT$2, VLOOKUP($A98,TOCA_current!$A$2:$AI$137,MATCH("RHWM 2020",TOCA_current!$A$2:$AI$2,0),FALSE)*$BT$2)</f>
        <v>691854.19200000004</v>
      </c>
      <c r="DY98" s="240">
        <f>SUM(BZ98:CW98)+(BT98*RT1SC!$C$4*$BT$2)</f>
        <v>700979.57191854075</v>
      </c>
      <c r="DZ98" s="271">
        <f>VLOOKUP($A98,TOCA_current!$A$2:$AI$137,MATCH("Above RHWM Not Served with LS "&amp;$BT$1,TOCA_current!$A$2:$AI$2,0),FALSE)*$BT$2</f>
        <v>0</v>
      </c>
      <c r="EA98" s="244">
        <f t="shared" si="29"/>
        <v>9125.3799185407115</v>
      </c>
      <c r="EB98" s="295">
        <f>(VLOOKUP($A98,TOCA_current!$A$2:$AI$137,MATCH("RHWM 2020",TOCA_current!$A$2:$AI$2,0),FALSE)*$BT$2) - $DX98</f>
        <v>0</v>
      </c>
      <c r="EC98" s="240">
        <f t="shared" si="30"/>
        <v>0</v>
      </c>
      <c r="ED98" s="240">
        <f t="shared" si="31"/>
        <v>0</v>
      </c>
      <c r="EE98" s="240">
        <f t="shared" si="32"/>
        <v>0</v>
      </c>
      <c r="EF98" s="240">
        <f t="shared" si="33"/>
        <v>0</v>
      </c>
    </row>
    <row r="99" spans="1:136">
      <c r="A99" s="166">
        <v>10294</v>
      </c>
      <c r="B99" s="167" t="s">
        <v>100</v>
      </c>
      <c r="C99" s="240">
        <v>0</v>
      </c>
      <c r="D99" s="240">
        <v>1</v>
      </c>
      <c r="E99" s="150">
        <f>VLOOKUP($A99,TOCA_previous!$A$2:$AI$137,MATCH(E$4,TOCA_previous!$A$2:$AI$2,0),FALSE)</f>
        <v>5.0629999999999998E-3</v>
      </c>
      <c r="F99" s="151">
        <f>VLOOKUP($A99,TOCA_previous!$A$2:$AI$137,MATCH(F$4,TOCA_previous!$A$2:$AI$2,0),FALSE)</f>
        <v>2.2455999999999999E-3</v>
      </c>
      <c r="G99" s="151">
        <f t="shared" si="18"/>
        <v>2.8173999999999999E-3</v>
      </c>
      <c r="H99" s="151">
        <f>VLOOKUP($A99,TOCA_previous!$A$2:$AI$137,MATCH(H$4,TOCA_previous!$A$2:$AI$2,0),FALSE)</f>
        <v>0</v>
      </c>
      <c r="I99" s="151">
        <f t="shared" si="19"/>
        <v>0</v>
      </c>
      <c r="J99" s="151">
        <f t="shared" si="20"/>
        <v>0</v>
      </c>
      <c r="K99" s="226">
        <f>VLOOKUP(A99, IRD!$A$5:$C$139, 3, FALSE)</f>
        <v>0</v>
      </c>
      <c r="L99" s="227">
        <f t="array" ref="L99">IF($G99=0, INDEX(LS_previous!$D$4:$AY$138, MATCH('Staging Table'!$A99, LS_previous!$B$4:$B$138, 0), MATCH(L$4&amp;L$5, LS_previous!$D$2:$AY$2&amp;LS_previous!$D$3:$AY$3, 0)),SUM(VLOOKUP($A99, LS_previous!$B$4:$AY$138, LS_previous!D$149, FALSE), VLOOKUP('Staging Table'!$A99, LS_previous!$B$4:$AY$138,LS_previous!AB$149, FALSE))/2)</f>
        <v>-879.5</v>
      </c>
      <c r="M99" s="227">
        <f t="array" ref="M99">IF($G99=0, INDEX(LS_previous!$D$4:$AY$138, MATCH('Staging Table'!$A99, LS_previous!$B$4:$B$138, 0), MATCH(M$4&amp;M$5, LS_previous!$D$2:$AY$2&amp;LS_previous!$D$3:$AY$3, 0)),SUM(VLOOKUP($A99, LS_previous!$B$4:$AY$138, LS_previous!E$149, FALSE), VLOOKUP('Staging Table'!$A99, LS_previous!$B$4:$AY$138,LS_previous!AC$149, FALSE))/2)</f>
        <v>816.5</v>
      </c>
      <c r="N99" s="227">
        <f t="array" ref="N99">IF($G99=0, INDEX(LS_previous!$D$4:$AY$138, MATCH('Staging Table'!$A99, LS_previous!$B$4:$B$138, 0), MATCH(N$4&amp;N$5, LS_previous!$D$2:$AY$2&amp;LS_previous!$D$3:$AY$3, 0)),SUM(VLOOKUP($A99, LS_previous!$B$4:$AY$138, LS_previous!F$149, FALSE), VLOOKUP('Staging Table'!$A99, LS_previous!$B$4:$AY$138,LS_previous!AD$149, FALSE))/2)</f>
        <v>-761</v>
      </c>
      <c r="O99" s="227">
        <f t="array" ref="O99">IF($G99=0, INDEX(LS_previous!$D$4:$AY$138, MATCH('Staging Table'!$A99, LS_previous!$B$4:$B$138, 0), MATCH(O$4&amp;O$5, LS_previous!$D$2:$AY$2&amp;LS_previous!$D$3:$AY$3, 0)),SUM(VLOOKUP($A99, LS_previous!$B$4:$AY$138, LS_previous!G$149, FALSE), VLOOKUP('Staging Table'!$A99, LS_previous!$B$4:$AY$138,LS_previous!AE$149, FALSE))/2)</f>
        <v>1148</v>
      </c>
      <c r="P99" s="227">
        <f t="array" ref="P99">IF($G99=0, INDEX(LS_previous!$D$4:$AY$138, MATCH('Staging Table'!$A99, LS_previous!$B$4:$B$138, 0), MATCH(P$4&amp;P$5, LS_previous!$D$2:$AY$2&amp;LS_previous!$D$3:$AY$3, 0)),SUM(VLOOKUP($A99, LS_previous!$B$4:$AY$138, LS_previous!H$149, FALSE), VLOOKUP('Staging Table'!$A99, LS_previous!$B$4:$AY$138,LS_previous!AF$149, FALSE))/2)</f>
        <v>429</v>
      </c>
      <c r="Q99" s="227">
        <f t="array" ref="Q99">IF($G99=0, INDEX(LS_previous!$D$4:$AY$138, MATCH('Staging Table'!$A99, LS_previous!$B$4:$B$138, 0), MATCH(Q$4&amp;Q$5, LS_previous!$D$2:$AY$2&amp;LS_previous!$D$3:$AY$3, 0)),SUM(VLOOKUP($A99, LS_previous!$B$4:$AY$138, LS_previous!I$149, FALSE), VLOOKUP('Staging Table'!$A99, LS_previous!$B$4:$AY$138,LS_previous!AG$149, FALSE))/2)</f>
        <v>2399</v>
      </c>
      <c r="R99" s="227">
        <f t="array" ref="R99">IF($G99=0, INDEX(LS_previous!$D$4:$AY$138, MATCH('Staging Table'!$A99, LS_previous!$B$4:$B$138, 0), MATCH(R$4&amp;R$5, LS_previous!$D$2:$AY$2&amp;LS_previous!$D$3:$AY$3, 0)),SUM(VLOOKUP($A99, LS_previous!$B$4:$AY$138, LS_previous!J$149, FALSE), VLOOKUP('Staging Table'!$A99, LS_previous!$B$4:$AY$138,LS_previous!AH$149, FALSE))/2)</f>
        <v>2189.5</v>
      </c>
      <c r="S99" s="227">
        <f t="array" ref="S99">IF($G99=0, INDEX(LS_previous!$D$4:$AY$138, MATCH('Staging Table'!$A99, LS_previous!$B$4:$B$138, 0), MATCH(S$4&amp;S$5, LS_previous!$D$2:$AY$2&amp;LS_previous!$D$3:$AY$3, 0)),SUM(VLOOKUP($A99, LS_previous!$B$4:$AY$138, LS_previous!K$149, FALSE), VLOOKUP('Staging Table'!$A99, LS_previous!$B$4:$AY$138,LS_previous!AI$149, FALSE))/2)</f>
        <v>2874</v>
      </c>
      <c r="T99" s="227">
        <f t="array" ref="T99">IF($G99=0, INDEX(LS_previous!$D$4:$AY$138, MATCH('Staging Table'!$A99, LS_previous!$B$4:$B$138, 0), MATCH(T$4&amp;T$5, LS_previous!$D$2:$AY$2&amp;LS_previous!$D$3:$AY$3, 0)),SUM(VLOOKUP($A99, LS_previous!$B$4:$AY$138, LS_previous!L$149, FALSE), VLOOKUP('Staging Table'!$A99, LS_previous!$B$4:$AY$138,LS_previous!AJ$149, FALSE))/2)</f>
        <v>1634.5</v>
      </c>
      <c r="U99" s="227">
        <f t="array" ref="U99">IF($G99=0, INDEX(LS_previous!$D$4:$AY$138, MATCH('Staging Table'!$A99, LS_previous!$B$4:$B$138, 0), MATCH(U$4&amp;U$5, LS_previous!$D$2:$AY$2&amp;LS_previous!$D$3:$AY$3, 0)),SUM(VLOOKUP($A99, LS_previous!$B$4:$AY$138, LS_previous!M$149, FALSE), VLOOKUP('Staging Table'!$A99, LS_previous!$B$4:$AY$138,LS_previous!AK$149, FALSE))/2)</f>
        <v>2171</v>
      </c>
      <c r="V99" s="227">
        <f t="array" ref="V99">IF($G99=0, INDEX(LS_previous!$D$4:$AY$138, MATCH('Staging Table'!$A99, LS_previous!$B$4:$B$138, 0), MATCH(V$4&amp;V$5, LS_previous!$D$2:$AY$2&amp;LS_previous!$D$3:$AY$3, 0)),SUM(VLOOKUP($A99, LS_previous!$B$4:$AY$138, LS_previous!N$149, FALSE), VLOOKUP('Staging Table'!$A99, LS_previous!$B$4:$AY$138,LS_previous!AL$149, FALSE))/2)</f>
        <v>497.5</v>
      </c>
      <c r="W99" s="227">
        <f t="array" ref="W99">IF($G99=0, INDEX(LS_previous!$D$4:$AY$138, MATCH('Staging Table'!$A99, LS_previous!$B$4:$B$138, 0), MATCH(W$4&amp;W$5, LS_previous!$D$2:$AY$2&amp;LS_previous!$D$3:$AY$3, 0)),SUM(VLOOKUP($A99, LS_previous!$B$4:$AY$138, LS_previous!O$149, FALSE), VLOOKUP('Staging Table'!$A99, LS_previous!$B$4:$AY$138,LS_previous!AM$149, FALSE))/2)</f>
        <v>1522</v>
      </c>
      <c r="X99" s="227">
        <f t="array" ref="X99">IF($G99=0, INDEX(LS_previous!$D$4:$AY$138, MATCH('Staging Table'!$A99, LS_previous!$B$4:$B$138, 0), MATCH(X$4&amp;X$5, LS_previous!$D$2:$AY$2&amp;LS_previous!$D$3:$AY$3, 0)),SUM(VLOOKUP($A99, LS_previous!$B$4:$AY$138, LS_previous!P$149, FALSE), VLOOKUP('Staging Table'!$A99, LS_previous!$B$4:$AY$138,LS_previous!AN$149, FALSE))/2)</f>
        <v>-439.5</v>
      </c>
      <c r="Y99" s="227">
        <f t="array" ref="Y99">IF($G99=0, INDEX(LS_previous!$D$4:$AY$138, MATCH('Staging Table'!$A99, LS_previous!$B$4:$B$138, 0), MATCH(Y$4&amp;Y$5, LS_previous!$D$2:$AY$2&amp;LS_previous!$D$3:$AY$3, 0)),SUM(VLOOKUP($A99, LS_previous!$B$4:$AY$138, LS_previous!Q$149, FALSE), VLOOKUP('Staging Table'!$A99, LS_previous!$B$4:$AY$138,LS_previous!AO$149, FALSE))/2)</f>
        <v>1039.5</v>
      </c>
      <c r="Z99" s="227">
        <f t="array" ref="Z99">IF($G99=0, INDEX(LS_previous!$D$4:$AY$138, MATCH('Staging Table'!$A99, LS_previous!$B$4:$B$138, 0), MATCH(Z$4&amp;Z$5, LS_previous!$D$2:$AY$2&amp;LS_previous!$D$3:$AY$3, 0)),SUM(VLOOKUP($A99, LS_previous!$B$4:$AY$138, LS_previous!R$149, FALSE), VLOOKUP('Staging Table'!$A99, LS_previous!$B$4:$AY$138,LS_previous!AP$149, FALSE))/2)</f>
        <v>-4131</v>
      </c>
      <c r="AA99" s="227">
        <f t="array" ref="AA99">IF($G99=0, INDEX(LS_previous!$D$4:$AY$138, MATCH('Staging Table'!$A99, LS_previous!$B$4:$B$138, 0), MATCH(AA$4&amp;AA$5, LS_previous!$D$2:$AY$2&amp;LS_previous!$D$3:$AY$3, 0)),SUM(VLOOKUP($A99, LS_previous!$B$4:$AY$138, LS_previous!S$149, FALSE), VLOOKUP('Staging Table'!$A99, LS_previous!$B$4:$AY$138,LS_previous!AQ$149, FALSE))/2)</f>
        <v>-1164</v>
      </c>
      <c r="AB99" s="227">
        <f t="array" ref="AB99">IF($G99=0, INDEX(LS_previous!$D$4:$AY$138, MATCH('Staging Table'!$A99, LS_previous!$B$4:$B$138, 0), MATCH(AB$4&amp;AB$5, LS_previous!$D$2:$AY$2&amp;LS_previous!$D$3:$AY$3, 0)),SUM(VLOOKUP($A99, LS_previous!$B$4:$AY$138, LS_previous!T$149, FALSE), VLOOKUP('Staging Table'!$A99, LS_previous!$B$4:$AY$138,LS_previous!AR$149, FALSE))/2)</f>
        <v>-2829</v>
      </c>
      <c r="AC99" s="227">
        <f t="array" ref="AC99">IF($G99=0, INDEX(LS_previous!$D$4:$AY$138, MATCH('Staging Table'!$A99, LS_previous!$B$4:$B$138, 0), MATCH(AC$4&amp;AC$5, LS_previous!$D$2:$AY$2&amp;LS_previous!$D$3:$AY$3, 0)),SUM(VLOOKUP($A99, LS_previous!$B$4:$AY$138, LS_previous!U$149, FALSE), VLOOKUP('Staging Table'!$A99, LS_previous!$B$4:$AY$138,LS_previous!AS$149, FALSE))/2)</f>
        <v>-339.5</v>
      </c>
      <c r="AD99" s="227">
        <f t="array" ref="AD99">IF($G99=0, INDEX(LS_previous!$D$4:$AY$138, MATCH('Staging Table'!$A99, LS_previous!$B$4:$B$138, 0), MATCH(AD$4&amp;AD$5, LS_previous!$D$2:$AY$2&amp;LS_previous!$D$3:$AY$3, 0)),SUM(VLOOKUP($A99, LS_previous!$B$4:$AY$138, LS_previous!V$149, FALSE), VLOOKUP('Staging Table'!$A99, LS_previous!$B$4:$AY$138,LS_previous!AT$149, FALSE))/2)</f>
        <v>-2082.5</v>
      </c>
      <c r="AE99" s="227">
        <f t="array" ref="AE99">IF($G99=0, INDEX(LS_previous!$D$4:$AY$138, MATCH('Staging Table'!$A99, LS_previous!$B$4:$B$138, 0), MATCH(AE$4&amp;AE$5, LS_previous!$D$2:$AY$2&amp;LS_previous!$D$3:$AY$3, 0)),SUM(VLOOKUP($A99, LS_previous!$B$4:$AY$138, LS_previous!W$149, FALSE), VLOOKUP('Staging Table'!$A99, LS_previous!$B$4:$AY$138,LS_previous!AU$149, FALSE))/2)</f>
        <v>270</v>
      </c>
      <c r="AF99" s="227">
        <f t="array" ref="AF99">IF($G99=0, INDEX(LS_previous!$D$4:$AY$138, MATCH('Staging Table'!$A99, LS_previous!$B$4:$B$138, 0), MATCH(AF$4&amp;AF$5, LS_previous!$D$2:$AY$2&amp;LS_previous!$D$3:$AY$3, 0)),SUM(VLOOKUP($A99, LS_previous!$B$4:$AY$138, LS_previous!X$149, FALSE), VLOOKUP('Staging Table'!$A99, LS_previous!$B$4:$AY$138,LS_previous!AV$149, FALSE))/2)</f>
        <v>-2499</v>
      </c>
      <c r="AG99" s="227">
        <f t="array" ref="AG99">IF($G99=0, INDEX(LS_previous!$D$4:$AY$138, MATCH('Staging Table'!$A99, LS_previous!$B$4:$B$138, 0), MATCH(AG$4&amp;AG$5, LS_previous!$D$2:$AY$2&amp;LS_previous!$D$3:$AY$3, 0)),SUM(VLOOKUP($A99, LS_previous!$B$4:$AY$138, LS_previous!Y$149, FALSE), VLOOKUP('Staging Table'!$A99, LS_previous!$B$4:$AY$138,LS_previous!AW$149, FALSE))/2)</f>
        <v>-57</v>
      </c>
      <c r="AH99" s="227">
        <f t="array" ref="AH99">IF($G99=0, INDEX(LS_previous!$D$4:$AY$138, MATCH('Staging Table'!$A99, LS_previous!$B$4:$B$138, 0), MATCH(AH$4&amp;AH$5, LS_previous!$D$2:$AY$2&amp;LS_previous!$D$3:$AY$3, 0)),SUM(VLOOKUP($A99, LS_previous!$B$4:$AY$138, LS_previous!Z$149, FALSE), VLOOKUP('Staging Table'!$A99, LS_previous!$B$4:$AY$138,LS_previous!AX$149, FALSE))/2)</f>
        <v>-2042.5</v>
      </c>
      <c r="AI99" s="227">
        <f t="array" ref="AI99">IF($G99=0, INDEX(LS_previous!$D$4:$AY$138, MATCH('Staging Table'!$A99, LS_previous!$B$4:$B$138, 0), MATCH(AI$4&amp;AI$5, LS_previous!$D$2:$AY$2&amp;LS_previous!$D$3:$AY$3, 0)),SUM(VLOOKUP($A99, LS_previous!$B$4:$AY$138, LS_previous!AA$149, FALSE), VLOOKUP('Staging Table'!$A99, LS_previous!$B$4:$AY$138,LS_previous!AY$149, FALSE))/2)</f>
        <v>279</v>
      </c>
      <c r="AJ99" s="424">
        <f t="array" ref="AJ99">INDEX(Demand_previous!$D$4:$AY$138, MATCH('Staging Table'!$A99, Demand_previous!$B$4:$B$138, 0), MATCH(AJ$4&amp;AJ$5,Demand_previous!$D$2:$AY$2&amp;Demand_previous!$D$3:$AY$3, 0))/1000</f>
        <v>0</v>
      </c>
      <c r="AK99" s="424">
        <f t="array" ref="AK99">INDEX(Demand_previous!$D$4:$AY$138, MATCH('Staging Table'!$A99, Demand_previous!$B$4:$B$138, 0), MATCH(AK$4&amp;AK$5,Demand_previous!$D$2:$AY$2&amp;Demand_previous!$D$3:$AY$3, 0))/1000</f>
        <v>0</v>
      </c>
      <c r="AL99" s="424">
        <f t="array" ref="AL99">INDEX(Demand_previous!$D$4:$AY$138, MATCH('Staging Table'!$A99, Demand_previous!$B$4:$B$138, 0), MATCH(AL$4&amp;AL$5,Demand_previous!$D$2:$AY$2&amp;Demand_previous!$D$3:$AY$3, 0))/1000</f>
        <v>0</v>
      </c>
      <c r="AM99" s="424">
        <f t="array" ref="AM99">INDEX(Demand_previous!$D$4:$AY$138, MATCH('Staging Table'!$A99, Demand_previous!$B$4:$B$138, 0), MATCH(AM$4&amp;AM$5,Demand_previous!$D$2:$AY$2&amp;Demand_previous!$D$3:$AY$3, 0))/1000</f>
        <v>0</v>
      </c>
      <c r="AN99" s="424">
        <f t="array" ref="AN99">INDEX(Demand_previous!$D$4:$AY$138, MATCH('Staging Table'!$A99, Demand_previous!$B$4:$B$138, 0), MATCH(AN$4&amp;AN$5,Demand_previous!$D$2:$AY$2&amp;Demand_previous!$D$3:$AY$3, 0))/1000</f>
        <v>0</v>
      </c>
      <c r="AO99" s="424">
        <f t="array" ref="AO99">INDEX(Demand_previous!$D$4:$AY$138, MATCH('Staging Table'!$A99, Demand_previous!$B$4:$B$138, 0), MATCH(AO$4&amp;AO$5,Demand_previous!$D$2:$AY$2&amp;Demand_previous!$D$3:$AY$3, 0))/1000</f>
        <v>0</v>
      </c>
      <c r="AP99" s="424">
        <f t="array" ref="AP99">INDEX(Demand_previous!$D$4:$AY$138, MATCH('Staging Table'!$A99, Demand_previous!$B$4:$B$138, 0), MATCH(AP$4&amp;AP$5,Demand_previous!$D$2:$AY$2&amp;Demand_previous!$D$3:$AY$3, 0))/1000</f>
        <v>0</v>
      </c>
      <c r="AQ99" s="424">
        <f t="array" ref="AQ99">INDEX(Demand_previous!$D$4:$AY$138, MATCH('Staging Table'!$A99, Demand_previous!$B$4:$B$138, 0), MATCH(AQ$4&amp;AQ$5,Demand_previous!$D$2:$AY$2&amp;Demand_previous!$D$3:$AY$3, 0))/1000</f>
        <v>0</v>
      </c>
      <c r="AR99" s="424">
        <f t="array" ref="AR99">INDEX(Demand_previous!$D$4:$AY$138, MATCH('Staging Table'!$A99, Demand_previous!$B$4:$B$138, 0), MATCH(AR$4&amp;AR$5,Demand_previous!$D$2:$AY$2&amp;Demand_previous!$D$3:$AY$3, 0))/1000</f>
        <v>0</v>
      </c>
      <c r="AS99" s="424">
        <f t="array" ref="AS99">INDEX(Demand_previous!$D$4:$AY$138, MATCH('Staging Table'!$A99, Demand_previous!$B$4:$B$138, 0), MATCH(AS$4&amp;AS$5,Demand_previous!$D$2:$AY$2&amp;Demand_previous!$D$3:$AY$3, 0))/1000</f>
        <v>0</v>
      </c>
      <c r="AT99" s="424">
        <f t="array" ref="AT99">INDEX(Demand_previous!$D$4:$AY$138, MATCH('Staging Table'!$A99, Demand_previous!$B$4:$B$138, 0), MATCH(AT$4&amp;AT$5,Demand_previous!$D$2:$AY$2&amp;Demand_previous!$D$3:$AY$3, 0))/1000</f>
        <v>0</v>
      </c>
      <c r="AU99" s="424">
        <f t="array" ref="AU99">INDEX(Demand_previous!$D$4:$AY$138, MATCH('Staging Table'!$A99, Demand_previous!$B$4:$B$138, 0), MATCH(AU$4&amp;AU$5,Demand_previous!$D$2:$AY$2&amp;Demand_previous!$D$3:$AY$3, 0))/1000</f>
        <v>0</v>
      </c>
      <c r="AV99" s="227">
        <f>$F99*(VLOOKUP(AV$4, Rates_previous!$G$6:$Q$29, 10, FALSE)+VLOOKUP(AV$4, Rates_previous!$G$6:$Q$29, 11, FALSE))</f>
        <v>10529.254079221861</v>
      </c>
      <c r="AW99" s="227">
        <f>$F99*(VLOOKUP(AW$4, Rates_previous!$G$6:$Q$29, 10, FALSE)+VLOOKUP(AW$4, Rates_previous!$G$6:$Q$29, 11, FALSE))</f>
        <v>13013.357776197839</v>
      </c>
      <c r="AX99" s="227">
        <f>$F99*(VLOOKUP(AX$4, Rates_previous!$G$6:$Q$29, 10, FALSE)+VLOOKUP(AX$4, Rates_previous!$G$6:$Q$29, 11, FALSE))</f>
        <v>12857.082914033414</v>
      </c>
      <c r="AY99" s="227">
        <f>$F99*(VLOOKUP(AY$4, Rates_previous!$G$6:$Q$29, 10, FALSE)+VLOOKUP(AY$4, Rates_previous!$G$6:$Q$29, 11, FALSE))</f>
        <v>10985.151867643295</v>
      </c>
      <c r="AZ99" s="227">
        <f>$F99*(VLOOKUP(AZ$4, Rates_previous!$G$6:$Q$29, 10, FALSE)+VLOOKUP(AZ$4, Rates_previous!$G$6:$Q$29, 11, FALSE))</f>
        <v>9005.6937289497055</v>
      </c>
      <c r="BA99" s="227">
        <f>$F99*(VLOOKUP(BA$4, Rates_previous!$G$6:$Q$29, 10, FALSE)+VLOOKUP(BA$4, Rates_previous!$G$6:$Q$29, 11, FALSE))</f>
        <v>10662.414257921893</v>
      </c>
      <c r="BB99" s="227">
        <f>$F99*(VLOOKUP(BB$4, Rates_previous!$G$6:$Q$29, 10, FALSE)+VLOOKUP(BB$4, Rates_previous!$G$6:$Q$29, 11, FALSE))</f>
        <v>10248.131044638054</v>
      </c>
      <c r="BC99" s="227">
        <f>$F99*(VLOOKUP(BC$4, Rates_previous!$G$6:$Q$29, 10, FALSE)+VLOOKUP(BC$4, Rates_previous!$G$6:$Q$29, 11, FALSE))</f>
        <v>15038.407122096747</v>
      </c>
      <c r="BD99" s="227">
        <f>$F99*(VLOOKUP(BD$4, Rates_previous!$G$6:$Q$29, 10, FALSE)+VLOOKUP(BD$4, Rates_previous!$G$6:$Q$29, 11, FALSE))</f>
        <v>11864.905749389134</v>
      </c>
      <c r="BE99" s="227">
        <f>$F99*(VLOOKUP(BE$4, Rates_previous!$G$6:$Q$29, 10, FALSE)+VLOOKUP(BE$4, Rates_previous!$G$6:$Q$29, 11, FALSE))</f>
        <v>10418.383135119208</v>
      </c>
      <c r="BF99" s="227">
        <f>$F99*(VLOOKUP(BF$4, Rates_previous!$G$6:$Q$29, 10, FALSE)+VLOOKUP(BF$4, Rates_previous!$G$6:$Q$29, 11, FALSE))</f>
        <v>11538.776346192608</v>
      </c>
      <c r="BG99" s="227">
        <f>$F99*(VLOOKUP(BG$4, Rates_previous!$G$6:$Q$29, 10, FALSE)+VLOOKUP(BG$4, Rates_previous!$G$6:$Q$29, 11, FALSE))</f>
        <v>10453.672501274235</v>
      </c>
      <c r="BH99" s="229">
        <f>IF($D99=0,IF(C99=0, MAX(BK99 - (VLOOKUP($A99,TOCA_previous!$A$2:$AI$137,MATCH("RHWM 2018",TOCA_previous!$A$2:$AI$2,0),FALSE)*$F$2*TOCA_previous!C96),0),0), 0)</f>
        <v>0</v>
      </c>
      <c r="BI99" s="266">
        <f>VLOOKUP($A99,REP_previous!$A$1:$D$135,MATCH("FY "&amp;$F$1&amp; " Total Refund",REP_previous!$A$1:$D$1,0),0)</f>
        <v>459289.05215150065</v>
      </c>
      <c r="BJ99" s="241">
        <f>MIN(VLOOKUP($A99,TOCA_previous!$A$2:$AI$137,MATCH("TRL - NLSL - Existing Resource "&amp;$F$1,TOCA_previous!$A$2:$AI$2,0),FALSE)*$F$2,(VLOOKUP($A99,TOCA_previous!$A$2:$AI$137,MATCH("RHWM 2018",TOCA_previous!$A$2:$AI$2,0),FALSE)*$F$2))</f>
        <v>308019.12</v>
      </c>
      <c r="BK99" s="229">
        <f>SUM(L99:AI99)+(F99*RT1SC!$C$3*$F$2)</f>
        <v>136660.23251577598</v>
      </c>
      <c r="BL99" s="241">
        <f>VLOOKUP($A99,TOCA_previous!$A$2:$AI$137,MATCH("Above RHWM Not Served with LS "&amp;$F$1,TOCA_previous!$A$2:$AI$2,0),FALSE)*$F$2</f>
        <v>0</v>
      </c>
      <c r="BM99" s="151">
        <f t="shared" si="21"/>
        <v>-171358.88748422402</v>
      </c>
      <c r="BN99" s="242">
        <f>(VLOOKUP($A99,TOCA_previous!$A$2:$AI$137,MATCH("RHWM 2018",TOCA_previous!$A$2:$AI$2,0),FALSE)*$F$2) - $BJ99</f>
        <v>5098.320000000007</v>
      </c>
      <c r="BO99" s="151">
        <f t="shared" si="22"/>
        <v>0</v>
      </c>
      <c r="BP99" s="243">
        <f t="shared" si="23"/>
        <v>171358.88748422402</v>
      </c>
      <c r="BQ99" s="237">
        <f t="shared" si="24"/>
        <v>0</v>
      </c>
      <c r="BR99" s="242">
        <f t="shared" si="25"/>
        <v>0</v>
      </c>
      <c r="BS99" s="151">
        <f>VLOOKUP($A99,TOCA_current!$A$2:$AI$137,MATCH(BS$4,TOCA_current!$A$2:$AI$2,0),FALSE)</f>
        <v>4.9918999999999996E-3</v>
      </c>
      <c r="BT99" s="151">
        <f>VLOOKUP($A99,TOCA_current!$A$2:$AI$137,MATCH(BT$4,TOCA_current!$A$2:$AI$2,0),FALSE)</f>
        <v>2.176E-3</v>
      </c>
      <c r="BU99" s="236">
        <f t="shared" si="26"/>
        <v>2.8158999999999997E-3</v>
      </c>
      <c r="BV99" s="151">
        <f>VLOOKUP($A99,TOCA_current!A95:BG230,MATCH(BV$4,TOCA_current!$A$2:$BG$2,0),FALSE)</f>
        <v>0</v>
      </c>
      <c r="BW99" s="151">
        <f t="shared" si="27"/>
        <v>0</v>
      </c>
      <c r="BX99" s="151">
        <f t="shared" si="28"/>
        <v>0</v>
      </c>
      <c r="BY99" s="226">
        <f>VLOOKUP($A99,IRD!$A$4:$G$139, 7, FALSE)</f>
        <v>0</v>
      </c>
      <c r="BZ99" s="227">
        <f t="array" ref="BZ99">IF($BU99=0, INDEX(LS_current!$D$4:$AY$138, MATCH('Staging Table'!$A99, LS_current!$B$4:$B$138, 0), MATCH(BZ$4&amp;BZ$5, LS_current!$D$2:$AY$2&amp;LS_current!$D$3:$AY$3, 0)),SUM(VLOOKUP($A99, LS_current!$B$4:$AY$138, LS_current!D$148, FALSE), VLOOKUP($A99, LS_current!$B$4:$AY$138,LS_current!D$148, FALSE))/2)</f>
        <v>-655</v>
      </c>
      <c r="CA99" s="227">
        <f t="array" ref="CA99">IF($BU99=0, INDEX(LS_current!$D$4:$AY$138, MATCH('Staging Table'!$A99, LS_current!$B$4:$B$138, 0), MATCH(CA$4&amp;CA$5, LS_current!$D$2:$AY$2&amp;LS_current!$D$3:$AY$3, 0)),SUM(VLOOKUP($A99, LS_current!$B$4:$AY$138, LS_current!E$148, FALSE), VLOOKUP($A99, LS_current!$B$4:$AY$138,LS_current!E$148, FALSE))/2)</f>
        <v>756</v>
      </c>
      <c r="CB99" s="227">
        <f t="array" ref="CB99">IF($BU99=0, INDEX(LS_current!$D$4:$AY$138, MATCH('Staging Table'!$A99, LS_current!$B$4:$B$138, 0), MATCH(CB$4&amp;CB$5, LS_current!$D$2:$AY$2&amp;LS_current!$D$3:$AY$3, 0)),SUM(VLOOKUP($A99, LS_current!$B$4:$AY$138, LS_current!F$148, FALSE), VLOOKUP($A99, LS_current!$B$4:$AY$138,LS_current!F$148, FALSE))/2)</f>
        <v>-742</v>
      </c>
      <c r="CC99" s="227">
        <f t="array" ref="CC99">IF($BU99=0, INDEX(LS_current!$D$4:$AY$138, MATCH('Staging Table'!$A99, LS_current!$B$4:$B$138, 0), MATCH(CC$4&amp;CC$5, LS_current!$D$2:$AY$2&amp;LS_current!$D$3:$AY$3, 0)),SUM(VLOOKUP($A99, LS_current!$B$4:$AY$138, LS_current!G$148, FALSE), VLOOKUP($A99, LS_current!$B$4:$AY$138,LS_current!G$148, FALSE))/2)</f>
        <v>1065</v>
      </c>
      <c r="CD99" s="227">
        <f t="array" ref="CD99">IF($BU99=0, INDEX(LS_current!$D$4:$AY$138, MATCH('Staging Table'!$A99, LS_current!$B$4:$B$138, 0), MATCH(CD$4&amp;CD$5, LS_current!$D$2:$AY$2&amp;LS_current!$D$3:$AY$3, 0)),SUM(VLOOKUP($A99, LS_current!$B$4:$AY$138, LS_current!H$148, FALSE), VLOOKUP($A99, LS_current!$B$4:$AY$138,LS_current!H$148, FALSE))/2)</f>
        <v>498</v>
      </c>
      <c r="CE99" s="227">
        <f t="array" ref="CE99">IF($BU99=0, INDEX(LS_current!$D$4:$AY$138, MATCH('Staging Table'!$A99, LS_current!$B$4:$B$138, 0), MATCH(CE$4&amp;CE$5, LS_current!$D$2:$AY$2&amp;LS_current!$D$3:$AY$3, 0)),SUM(VLOOKUP($A99, LS_current!$B$4:$AY$138, LS_current!I$148, FALSE), VLOOKUP($A99, LS_current!$B$4:$AY$138,LS_current!I$148, FALSE))/2)</f>
        <v>2383</v>
      </c>
      <c r="CF99" s="227">
        <f t="array" ref="CF99">IF($BU99=0, INDEX(LS_current!$D$4:$AY$138, MATCH('Staging Table'!$A99, LS_current!$B$4:$B$138, 0), MATCH(CF$4&amp;CF$5, LS_current!$D$2:$AY$2&amp;LS_current!$D$3:$AY$3, 0)),SUM(VLOOKUP($A99, LS_current!$B$4:$AY$138, LS_current!J$148, FALSE), VLOOKUP($A99, LS_current!$B$4:$AY$138,LS_current!J$148, FALSE))/2)</f>
        <v>2131</v>
      </c>
      <c r="CG99" s="227">
        <f t="array" ref="CG99">IF($BU99=0, INDEX(LS_current!$D$4:$AY$138, MATCH('Staging Table'!$A99, LS_current!$B$4:$B$138, 0), MATCH(CG$4&amp;CG$5, LS_current!$D$2:$AY$2&amp;LS_current!$D$3:$AY$3, 0)),SUM(VLOOKUP($A99, LS_current!$B$4:$AY$138, LS_current!K$148, FALSE), VLOOKUP($A99, LS_current!$B$4:$AY$138,LS_current!K$148, FALSE))/2)</f>
        <v>2983</v>
      </c>
      <c r="CH99" s="227">
        <f t="array" ref="CH99">IF($BU99=0, INDEX(LS_current!$D$4:$AY$138, MATCH('Staging Table'!$A99, LS_current!$B$4:$B$138, 0), MATCH(CH$4&amp;CH$5, LS_current!$D$2:$AY$2&amp;LS_current!$D$3:$AY$3, 0)),SUM(VLOOKUP($A99, LS_current!$B$4:$AY$138, LS_current!L$148, FALSE), VLOOKUP($A99, LS_current!$B$4:$AY$138,LS_current!L$148, FALSE))/2)</f>
        <v>1207</v>
      </c>
      <c r="CI99" s="227">
        <f t="array" ref="CI99">IF($BU99=0, INDEX(LS_current!$D$4:$AY$138, MATCH('Staging Table'!$A99, LS_current!$B$4:$B$138, 0), MATCH(CI$4&amp;CI$5, LS_current!$D$2:$AY$2&amp;LS_current!$D$3:$AY$3, 0)),SUM(VLOOKUP($A99, LS_current!$B$4:$AY$138, LS_current!M$148, FALSE), VLOOKUP($A99, LS_current!$B$4:$AY$138,LS_current!M$148, FALSE))/2)</f>
        <v>1824</v>
      </c>
      <c r="CJ99" s="227">
        <f t="array" ref="CJ99">IF($BU99=0, INDEX(LS_current!$D$4:$AY$138, MATCH('Staging Table'!$A99, LS_current!$B$4:$B$138, 0), MATCH(CJ$4&amp;CJ$5, LS_current!$D$2:$AY$2&amp;LS_current!$D$3:$AY$3, 0)),SUM(VLOOKUP($A99, LS_current!$B$4:$AY$138, LS_current!N$148, FALSE), VLOOKUP($A99, LS_current!$B$4:$AY$138,LS_current!N$148, FALSE))/2)</f>
        <v>294</v>
      </c>
      <c r="CK99" s="227">
        <f t="array" ref="CK99">IF($BU99=0, INDEX(LS_current!$D$4:$AY$138, MATCH('Staging Table'!$A99, LS_current!$B$4:$B$138, 0), MATCH(CK$4&amp;CK$5, LS_current!$D$2:$AY$2&amp;LS_current!$D$3:$AY$3, 0)),SUM(VLOOKUP($A99, LS_current!$B$4:$AY$138, LS_current!O$148, FALSE), VLOOKUP($A99, LS_current!$B$4:$AY$138,LS_current!O$148, FALSE))/2)</f>
        <v>1668</v>
      </c>
      <c r="CL99" s="227">
        <f t="array" ref="CL99">IF($BU99=0, INDEX(LS_current!$D$4:$AY$138, MATCH('Staging Table'!$A99, LS_current!$B$4:$B$138, 0), MATCH(CL$4&amp;CL$5, LS_current!$D$2:$AY$2&amp;LS_current!$D$3:$AY$3, 0)),SUM(VLOOKUP($A99, LS_current!$B$4:$AY$138, LS_current!P$148, FALSE), VLOOKUP($A99, LS_current!$B$4:$AY$138,LS_current!P$148, FALSE))/2)</f>
        <v>746</v>
      </c>
      <c r="CM99" s="227">
        <f t="array" ref="CM99">IF($BU99=0, INDEX(LS_current!$D$4:$AY$138, MATCH('Staging Table'!$A99, LS_current!$B$4:$B$138, 0), MATCH(CM$4&amp;CM$5, LS_current!$D$2:$AY$2&amp;LS_current!$D$3:$AY$3, 0)),SUM(VLOOKUP($A99, LS_current!$B$4:$AY$138, LS_current!Q$148, FALSE), VLOOKUP($A99, LS_current!$B$4:$AY$138,LS_current!Q$148, FALSE))/2)</f>
        <v>1314</v>
      </c>
      <c r="CN99" s="227">
        <f t="array" ref="CN99">IF($BU99=0, INDEX(LS_current!$D$4:$AY$138, MATCH('Staging Table'!$A99, LS_current!$B$4:$B$138, 0), MATCH(CN$4&amp;CN$5, LS_current!$D$2:$AY$2&amp;LS_current!$D$3:$AY$3, 0)),SUM(VLOOKUP($A99, LS_current!$B$4:$AY$138, LS_current!R$148, FALSE), VLOOKUP($A99, LS_current!$B$4:$AY$138,LS_current!R$148, FALSE))/2)</f>
        <v>-2449</v>
      </c>
      <c r="CO99" s="227">
        <f t="array" ref="CO99">IF($BU99=0, INDEX(LS_current!$D$4:$AY$138, MATCH('Staging Table'!$A99, LS_current!$B$4:$B$138, 0), MATCH(CO$4&amp;CO$5, LS_current!$D$2:$AY$2&amp;LS_current!$D$3:$AY$3, 0)),SUM(VLOOKUP($A99, LS_current!$B$4:$AY$138, LS_current!S$148, FALSE), VLOOKUP($A99, LS_current!$B$4:$AY$138,LS_current!S$148, FALSE))/2)</f>
        <v>301</v>
      </c>
      <c r="CP99" s="227">
        <f t="array" ref="CP99">IF($BU99=0, INDEX(LS_current!$D$4:$AY$138, MATCH('Staging Table'!$A99, LS_current!$B$4:$B$138, 0), MATCH(CP$4&amp;CP$5, LS_current!$D$2:$AY$2&amp;LS_current!$D$3:$AY$3, 0)),SUM(VLOOKUP($A99, LS_current!$B$4:$AY$138, LS_current!T$148, FALSE), VLOOKUP($A99, LS_current!$B$4:$AY$138,LS_current!T$148, FALSE))/2)</f>
        <v>-4769</v>
      </c>
      <c r="CQ99" s="227">
        <f t="array" ref="CQ99">IF($BU99=0, INDEX(LS_current!$D$4:$AY$138, MATCH('Staging Table'!$A99, LS_current!$B$4:$B$138, 0), MATCH(CQ$4&amp;CQ$5, LS_current!$D$2:$AY$2&amp;LS_current!$D$3:$AY$3, 0)),SUM(VLOOKUP($A99, LS_current!$B$4:$AY$138, LS_current!U$148, FALSE), VLOOKUP($A99, LS_current!$B$4:$AY$138,LS_current!U$148, FALSE))/2)</f>
        <v>-1656</v>
      </c>
      <c r="CR99" s="227">
        <f t="array" ref="CR99">IF($BU99=0, INDEX(LS_current!$D$4:$AY$138, MATCH('Staging Table'!$A99, LS_current!$B$4:$B$138, 0), MATCH(CR$4&amp;CR$5, LS_current!$D$2:$AY$2&amp;LS_current!$D$3:$AY$3, 0)),SUM(VLOOKUP($A99, LS_current!$B$4:$AY$138, LS_current!V$148, FALSE), VLOOKUP($A99, LS_current!$B$4:$AY$138,LS_current!V$148, FALSE))/2)</f>
        <v>-3304</v>
      </c>
      <c r="CS99" s="227">
        <f t="array" ref="CS99">IF($BU99=0, INDEX(LS_current!$D$4:$AY$138, MATCH('Staging Table'!$A99, LS_current!$B$4:$B$138, 0), MATCH(CS$4&amp;CS$5, LS_current!$D$2:$AY$2&amp;LS_current!$D$3:$AY$3, 0)),SUM(VLOOKUP($A99, LS_current!$B$4:$AY$138, LS_current!W$148, FALSE), VLOOKUP($A99, LS_current!$B$4:$AY$138,LS_current!W$148, FALSE))/2)</f>
        <v>84</v>
      </c>
      <c r="CT99" s="227">
        <f t="array" ref="CT99">IF($BU99=0, INDEX(LS_current!$D$4:$AY$138, MATCH('Staging Table'!$A99, LS_current!$B$4:$B$138, 0), MATCH(CT$4&amp;CT$5, LS_current!$D$2:$AY$2&amp;LS_current!$D$3:$AY$3, 0)),SUM(VLOOKUP($A99, LS_current!$B$4:$AY$138, LS_current!X$148, FALSE), VLOOKUP($A99, LS_current!$B$4:$AY$138,LS_current!X$148, FALSE))/2)</f>
        <v>-2985</v>
      </c>
      <c r="CU99" s="227">
        <f t="array" ref="CU99">IF($BU99=0, INDEX(LS_current!$D$4:$AY$138, MATCH('Staging Table'!$A99, LS_current!$B$4:$B$138, 0), MATCH(CU$4&amp;CU$5, LS_current!$D$2:$AY$2&amp;LS_current!$D$3:$AY$3, 0)),SUM(VLOOKUP($A99, LS_current!$B$4:$AY$138, LS_current!Y$148, FALSE), VLOOKUP($A99, LS_current!$B$4:$AY$138,LS_current!Y$148, FALSE))/2)</f>
        <v>202</v>
      </c>
      <c r="CV99" s="227">
        <f t="array" ref="CV99">IF($BU99=0, INDEX(LS_current!$D$4:$AY$138, MATCH('Staging Table'!$A99, LS_current!$B$4:$B$138, 0), MATCH(CV$4&amp;CV$5, LS_current!$D$2:$AY$2&amp;LS_current!$D$3:$AY$3, 0)),SUM(VLOOKUP($A99, LS_current!$B$4:$AY$138, LS_current!Z$148, FALSE), VLOOKUP($A99, LS_current!$B$4:$AY$138,LS_current!Z$148, FALSE))/2)</f>
        <v>-1766</v>
      </c>
      <c r="CW99" s="227">
        <f t="array" ref="CW99">IF($BU99=0, INDEX(LS_current!$D$4:$AY$138, MATCH('Staging Table'!$A99, LS_current!$B$4:$B$138, 0), MATCH(CW$4&amp;CW$5, LS_current!$D$2:$AY$2&amp;LS_current!$D$3:$AY$3, 0)),SUM(VLOOKUP($A99, LS_current!$B$4:$AY$138, LS_current!AA$148, FALSE), VLOOKUP($A99, LS_current!$B$4:$AY$138,LS_current!AA$148, FALSE))/2)</f>
        <v>141</v>
      </c>
      <c r="CX99" s="229">
        <f t="array" ref="CX99">INDEX(Demand_current!$D$4:$AY$138, MATCH($A99, Demand_current!$B$4:$B$138, 0), MATCH(CX$4&amp;CX$5,Demand_current!$D$2:$AY$2&amp;Demand_current!$D$3:$AY$3, 0))/1000</f>
        <v>0</v>
      </c>
      <c r="CY99" s="229">
        <f t="array" ref="CY99">INDEX(Demand_current!$D$4:$AY$138, MATCH($A99, Demand_current!$B$4:$B$138, 0), MATCH(CY$4&amp;CY$5,Demand_current!$D$2:$AY$2&amp;Demand_current!$D$3:$AY$3, 0))/1000</f>
        <v>0</v>
      </c>
      <c r="CZ99" s="229">
        <f t="array" ref="CZ99">INDEX(Demand_current!$D$4:$AY$138, MATCH($A99, Demand_current!$B$4:$B$138, 0), MATCH(CZ$4&amp;CZ$5,Demand_current!$D$2:$AY$2&amp;Demand_current!$D$3:$AY$3, 0))/1000</f>
        <v>0</v>
      </c>
      <c r="DA99" s="229">
        <f t="array" ref="DA99">INDEX(Demand_current!$D$4:$AY$138, MATCH($A99, Demand_current!$B$4:$B$138, 0), MATCH(DA$4&amp;DA$5,Demand_current!$D$2:$AY$2&amp;Demand_current!$D$3:$AY$3, 0))/1000</f>
        <v>0</v>
      </c>
      <c r="DB99" s="229">
        <f t="array" ref="DB99">INDEX(Demand_current!$D$4:$AY$138, MATCH($A99, Demand_current!$B$4:$B$138, 0), MATCH(DB$4&amp;DB$5,Demand_current!$D$2:$AY$2&amp;Demand_current!$D$3:$AY$3, 0))/1000</f>
        <v>0</v>
      </c>
      <c r="DC99" s="229">
        <f t="array" ref="DC99">INDEX(Demand_current!$D$4:$AY$138, MATCH($A99, Demand_current!$B$4:$B$138, 0), MATCH(DC$4&amp;DC$5,Demand_current!$D$2:$AY$2&amp;Demand_current!$D$3:$AY$3, 0))/1000</f>
        <v>0</v>
      </c>
      <c r="DD99" s="229">
        <f t="array" ref="DD99">INDEX(Demand_current!$D$4:$AY$138, MATCH($A99, Demand_current!$B$4:$B$138, 0), MATCH(DD$4&amp;DD$5,Demand_current!$D$2:$AY$2&amp;Demand_current!$D$3:$AY$3, 0))/1000</f>
        <v>0</v>
      </c>
      <c r="DE99" s="229">
        <f t="array" ref="DE99">INDEX(Demand_current!$D$4:$AY$138, MATCH($A99, Demand_current!$B$4:$B$138, 0), MATCH(DE$4&amp;DE$5,Demand_current!$D$2:$AY$2&amp;Demand_current!$D$3:$AY$3, 0))/1000</f>
        <v>0</v>
      </c>
      <c r="DF99" s="229">
        <f t="array" ref="DF99">INDEX(Demand_current!$D$4:$AY$138, MATCH($A99, Demand_current!$B$4:$B$138, 0), MATCH(DF$4&amp;DF$5,Demand_current!$D$2:$AY$2&amp;Demand_current!$D$3:$AY$3, 0))/1000</f>
        <v>0</v>
      </c>
      <c r="DG99" s="229">
        <f t="array" ref="DG99">INDEX(Demand_current!$D$4:$AY$138, MATCH($A99, Demand_current!$B$4:$B$138, 0), MATCH(DG$4&amp;DG$5,Demand_current!$D$2:$AY$2&amp;Demand_current!$D$3:$AY$3, 0))/1000</f>
        <v>0</v>
      </c>
      <c r="DH99" s="229">
        <f t="array" ref="DH99">INDEX(Demand_current!$D$4:$AY$138, MATCH($A99, Demand_current!$B$4:$B$138, 0), MATCH(DH$4&amp;DH$5,Demand_current!$D$2:$AY$2&amp;Demand_current!$D$3:$AY$3, 0))/1000</f>
        <v>0</v>
      </c>
      <c r="DI99" s="229">
        <f t="array" ref="DI99">INDEX(Demand_current!$D$4:$AY$138, MATCH($A99, Demand_current!$B$4:$B$138, 0), MATCH(DI$4&amp;DI$5,Demand_current!$D$2:$AY$2&amp;Demand_current!$D$3:$AY$3, 0))/1000</f>
        <v>0</v>
      </c>
      <c r="DJ99" s="227">
        <f>$BT99*(VLOOKUP(DJ$4, Rates_current!$G$6:$Q$29, 10, FALSE)+VLOOKUP(DJ$4, Rates_current!$G$6:$Q$29, 11, FALSE))</f>
        <v>10047.282218495999</v>
      </c>
      <c r="DK99" s="227">
        <f>$BT99*(VLOOKUP(DK$4, Rates_current!$G$6:$Q$29, 10, FALSE)+VLOOKUP(DK$4, Rates_current!$G$6:$Q$29, 11, FALSE))</f>
        <v>12763.182728064001</v>
      </c>
      <c r="DL99" s="227">
        <f>$BT99*(VLOOKUP(DL$4, Rates_current!$G$6:$Q$29, 10, FALSE)+VLOOKUP(DL$4, Rates_current!$G$6:$Q$29, 11, FALSE))</f>
        <v>12609.050026496001</v>
      </c>
      <c r="DM99" s="227">
        <f>$BT99*(VLOOKUP(DM$4, Rates_current!$G$6:$Q$29, 10, FALSE)+VLOOKUP(DM$4, Rates_current!$G$6:$Q$29, 11, FALSE))</f>
        <v>10510.411178496001</v>
      </c>
      <c r="DN99" s="227">
        <f>$BT99*(VLOOKUP(DN$4, Rates_current!$G$6:$Q$29, 10, FALSE)+VLOOKUP(DN$4, Rates_current!$G$6:$Q$29, 11, FALSE))</f>
        <v>9521.3421567999994</v>
      </c>
      <c r="DO99" s="227">
        <f>$BT99*(VLOOKUP(DO$4, Rates_current!$G$6:$Q$29, 10, FALSE)+VLOOKUP(DO$4, Rates_current!$G$6:$Q$29, 11, FALSE))</f>
        <v>10590.757238912</v>
      </c>
      <c r="DP99" s="227">
        <f>$BT99*(VLOOKUP(DP$4, Rates_current!$G$6:$Q$29, 10, FALSE)+VLOOKUP(DP$4, Rates_current!$G$6:$Q$29, 11, FALSE))</f>
        <v>8623.0059724799994</v>
      </c>
      <c r="DQ99" s="227">
        <f>$BT99*(VLOOKUP(DQ$4, Rates_current!$G$6:$Q$29, 10, FALSE)+VLOOKUP(DQ$4, Rates_current!$G$6:$Q$29, 11, FALSE))</f>
        <v>11629.409386496001</v>
      </c>
      <c r="DR99" s="227">
        <f>$BT99*(VLOOKUP(DR$4, Rates_current!$G$6:$Q$29, 10, FALSE)+VLOOKUP(DR$4, Rates_current!$G$6:$Q$29, 11, FALSE))</f>
        <v>14838.335444480001</v>
      </c>
      <c r="DS99" s="227">
        <f>$BT99*(VLOOKUP(DS$4, Rates_current!$G$6:$Q$29, 10, FALSE)+VLOOKUP(DS$4, Rates_current!$G$6:$Q$29, 11, FALSE))</f>
        <v>11633.725482496</v>
      </c>
      <c r="DT99" s="227">
        <f>$BT99*(VLOOKUP(DT$4, Rates_current!$G$6:$Q$29, 10, FALSE)+VLOOKUP(DT$4, Rates_current!$G$6:$Q$29, 11, FALSE))</f>
        <v>11328.932074496</v>
      </c>
      <c r="DU99" s="227">
        <f>$BT99*(VLOOKUP(DU$4, Rates_current!$G$6:$Q$29, 10, FALSE)+VLOOKUP(DU$4, Rates_current!$G$6:$Q$29, 11, FALSE))</f>
        <v>10170.97102848</v>
      </c>
      <c r="DV99" s="229">
        <f>IF(D99=0,IF(C99=0,MAX(0,DY99 - (VLOOKUP($A99,TOCA_current!$A$2:$AI$137,MATCH("RHWM 2020",TOCA_current!$A$2:$AI$2,0),FALSE)*$BT$2)), 0),0)</f>
        <v>0</v>
      </c>
      <c r="DW99" s="266">
        <f>VLOOKUP($A99,REP_current!$A$1:$D$135,MATCH("FY "&amp;$BT$1&amp; " Total Refund",REP_current!$A$1:$D$1,0),0)</f>
        <v>0</v>
      </c>
      <c r="DX99" s="295">
        <f>MIN(VLOOKUP($A99,TOCA_current!$A$2:$AI$137,MATCH("TRL - NLSL - Existing Resource "&amp;$BT$1,TOCA_current!$A$2:$AI$2,0),FALSE)*$BT$2, VLOOKUP($A99,TOCA_current!$A$2:$AI$137,MATCH("RHWM 2020",TOCA_current!$A$2:$AI$2,0),FALSE)*$BT$2)</f>
        <v>308019.74400000001</v>
      </c>
      <c r="DY99" s="240">
        <f>SUM(BZ99:CW99)+(BT99*RT1SC!$C$4*$BT$2)</f>
        <v>133537.409975808</v>
      </c>
      <c r="DZ99" s="271">
        <f>VLOOKUP($A99,TOCA_current!$A$2:$AI$137,MATCH("Above RHWM Not Served with LS "&amp;$BT$1,TOCA_current!$A$2:$AI$2,0),FALSE)*$BT$2</f>
        <v>0</v>
      </c>
      <c r="EA99" s="244">
        <f t="shared" si="29"/>
        <v>-174482.33402419201</v>
      </c>
      <c r="EB99" s="295">
        <f>(VLOOKUP($A99,TOCA_current!$A$2:$AI$137,MATCH("RHWM 2020",TOCA_current!$A$2:$AI$2,0),FALSE)*$BT$2) - $DX99</f>
        <v>9390.0959999999614</v>
      </c>
      <c r="EC99" s="240">
        <f t="shared" si="30"/>
        <v>0</v>
      </c>
      <c r="ED99" s="240">
        <f t="shared" si="31"/>
        <v>174482.33402419201</v>
      </c>
      <c r="EE99" s="240">
        <f t="shared" si="32"/>
        <v>0</v>
      </c>
      <c r="EF99" s="240">
        <f t="shared" si="33"/>
        <v>0</v>
      </c>
    </row>
    <row r="100" spans="1:136">
      <c r="A100" s="166">
        <v>10304</v>
      </c>
      <c r="B100" s="167" t="s">
        <v>101</v>
      </c>
      <c r="C100" s="240">
        <v>0</v>
      </c>
      <c r="D100" s="240">
        <v>0</v>
      </c>
      <c r="E100" s="150">
        <f>VLOOKUP($A100,TOCA_previous!$A$2:$AI$137,MATCH(E$4,TOCA_previous!$A$2:$AI$2,0),FALSE)</f>
        <v>1.9580000000000001E-3</v>
      </c>
      <c r="F100" s="151">
        <f>VLOOKUP($A100,TOCA_previous!$A$2:$AI$137,MATCH(F$4,TOCA_previous!$A$2:$AI$2,0),FALSE)</f>
        <v>1.9580000000000001E-3</v>
      </c>
      <c r="G100" s="151">
        <f t="shared" si="18"/>
        <v>0</v>
      </c>
      <c r="H100" s="151">
        <f>VLOOKUP($A100,TOCA_previous!$A$2:$AI$137,MATCH(H$4,TOCA_previous!$A$2:$AI$2,0),FALSE)</f>
        <v>0</v>
      </c>
      <c r="I100" s="151">
        <f t="shared" si="19"/>
        <v>0</v>
      </c>
      <c r="J100" s="151">
        <f t="shared" si="20"/>
        <v>0</v>
      </c>
      <c r="K100" s="226">
        <f>VLOOKUP(A100, IRD!$A$5:$C$139, 3, FALSE)</f>
        <v>0</v>
      </c>
      <c r="L100" s="227">
        <f t="array" ref="L100">IF($G100=0, INDEX(LS_previous!$D$4:$AY$138, MATCH('Staging Table'!$A100, LS_previous!$B$4:$B$138, 0), MATCH(L$4&amp;L$5, LS_previous!$D$2:$AY$2&amp;LS_previous!$D$3:$AY$3, 0)),SUM(VLOOKUP($A100, LS_previous!$B$4:$AY$138, LS_previous!D$149, FALSE), VLOOKUP('Staging Table'!$A100, LS_previous!$B$4:$AY$138,LS_previous!AB$149, FALSE))/2)</f>
        <v>-135</v>
      </c>
      <c r="M100" s="227">
        <f t="array" ref="M100">IF($G100=0, INDEX(LS_previous!$D$4:$AY$138, MATCH('Staging Table'!$A100, LS_previous!$B$4:$B$138, 0), MATCH(M$4&amp;M$5, LS_previous!$D$2:$AY$2&amp;LS_previous!$D$3:$AY$3, 0)),SUM(VLOOKUP($A100, LS_previous!$B$4:$AY$138, LS_previous!E$149, FALSE), VLOOKUP('Staging Table'!$A100, LS_previous!$B$4:$AY$138,LS_previous!AC$149, FALSE))/2)</f>
        <v>385</v>
      </c>
      <c r="N100" s="227">
        <f t="array" ref="N100">IF($G100=0, INDEX(LS_previous!$D$4:$AY$138, MATCH('Staging Table'!$A100, LS_previous!$B$4:$B$138, 0), MATCH(N$4&amp;N$5, LS_previous!$D$2:$AY$2&amp;LS_previous!$D$3:$AY$3, 0)),SUM(VLOOKUP($A100, LS_previous!$B$4:$AY$138, LS_previous!F$149, FALSE), VLOOKUP('Staging Table'!$A100, LS_previous!$B$4:$AY$138,LS_previous!AD$149, FALSE))/2)</f>
        <v>124</v>
      </c>
      <c r="O100" s="227">
        <f t="array" ref="O100">IF($G100=0, INDEX(LS_previous!$D$4:$AY$138, MATCH('Staging Table'!$A100, LS_previous!$B$4:$B$138, 0), MATCH(O$4&amp;O$5, LS_previous!$D$2:$AY$2&amp;LS_previous!$D$3:$AY$3, 0)),SUM(VLOOKUP($A100, LS_previous!$B$4:$AY$138, LS_previous!G$149, FALSE), VLOOKUP('Staging Table'!$A100, LS_previous!$B$4:$AY$138,LS_previous!AE$149, FALSE))/2)</f>
        <v>769</v>
      </c>
      <c r="P100" s="227">
        <f t="array" ref="P100">IF($G100=0, INDEX(LS_previous!$D$4:$AY$138, MATCH('Staging Table'!$A100, LS_previous!$B$4:$B$138, 0), MATCH(P$4&amp;P$5, LS_previous!$D$2:$AY$2&amp;LS_previous!$D$3:$AY$3, 0)),SUM(VLOOKUP($A100, LS_previous!$B$4:$AY$138, LS_previous!H$149, FALSE), VLOOKUP('Staging Table'!$A100, LS_previous!$B$4:$AY$138,LS_previous!AF$149, FALSE))/2)</f>
        <v>1053</v>
      </c>
      <c r="Q100" s="227">
        <f t="array" ref="Q100">IF($G100=0, INDEX(LS_previous!$D$4:$AY$138, MATCH('Staging Table'!$A100, LS_previous!$B$4:$B$138, 0), MATCH(Q$4&amp;Q$5, LS_previous!$D$2:$AY$2&amp;LS_previous!$D$3:$AY$3, 0)),SUM(VLOOKUP($A100, LS_previous!$B$4:$AY$138, LS_previous!I$149, FALSE), VLOOKUP('Staging Table'!$A100, LS_previous!$B$4:$AY$138,LS_previous!AG$149, FALSE))/2)</f>
        <v>1391</v>
      </c>
      <c r="R100" s="227">
        <f t="array" ref="R100">IF($G100=0, INDEX(LS_previous!$D$4:$AY$138, MATCH('Staging Table'!$A100, LS_previous!$B$4:$B$138, 0), MATCH(R$4&amp;R$5, LS_previous!$D$2:$AY$2&amp;LS_previous!$D$3:$AY$3, 0)),SUM(VLOOKUP($A100, LS_previous!$B$4:$AY$138, LS_previous!J$149, FALSE), VLOOKUP('Staging Table'!$A100, LS_previous!$B$4:$AY$138,LS_previous!AH$149, FALSE))/2)</f>
        <v>2132</v>
      </c>
      <c r="S100" s="227">
        <f t="array" ref="S100">IF($G100=0, INDEX(LS_previous!$D$4:$AY$138, MATCH('Staging Table'!$A100, LS_previous!$B$4:$B$138, 0), MATCH(S$4&amp;S$5, LS_previous!$D$2:$AY$2&amp;LS_previous!$D$3:$AY$3, 0)),SUM(VLOOKUP($A100, LS_previous!$B$4:$AY$138, LS_previous!K$149, FALSE), VLOOKUP('Staging Table'!$A100, LS_previous!$B$4:$AY$138,LS_previous!AI$149, FALSE))/2)</f>
        <v>1844</v>
      </c>
      <c r="T100" s="227">
        <f t="array" ref="T100">IF($G100=0, INDEX(LS_previous!$D$4:$AY$138, MATCH('Staging Table'!$A100, LS_previous!$B$4:$B$138, 0), MATCH(T$4&amp;T$5, LS_previous!$D$2:$AY$2&amp;LS_previous!$D$3:$AY$3, 0)),SUM(VLOOKUP($A100, LS_previous!$B$4:$AY$138, LS_previous!L$149, FALSE), VLOOKUP('Staging Table'!$A100, LS_previous!$B$4:$AY$138,LS_previous!AJ$149, FALSE))/2)</f>
        <v>2235</v>
      </c>
      <c r="U100" s="227">
        <f t="array" ref="U100">IF($G100=0, INDEX(LS_previous!$D$4:$AY$138, MATCH('Staging Table'!$A100, LS_previous!$B$4:$B$138, 0), MATCH(U$4&amp;U$5, LS_previous!$D$2:$AY$2&amp;LS_previous!$D$3:$AY$3, 0)),SUM(VLOOKUP($A100, LS_previous!$B$4:$AY$138, LS_previous!M$149, FALSE), VLOOKUP('Staging Table'!$A100, LS_previous!$B$4:$AY$138,LS_previous!AK$149, FALSE))/2)</f>
        <v>1839</v>
      </c>
      <c r="V100" s="227">
        <f t="array" ref="V100">IF($G100=0, INDEX(LS_previous!$D$4:$AY$138, MATCH('Staging Table'!$A100, LS_previous!$B$4:$B$138, 0), MATCH(V$4&amp;V$5, LS_previous!$D$2:$AY$2&amp;LS_previous!$D$3:$AY$3, 0)),SUM(VLOOKUP($A100, LS_previous!$B$4:$AY$138, LS_previous!N$149, FALSE), VLOOKUP('Staging Table'!$A100, LS_previous!$B$4:$AY$138,LS_previous!AL$149, FALSE))/2)</f>
        <v>848</v>
      </c>
      <c r="W100" s="227">
        <f t="array" ref="W100">IF($G100=0, INDEX(LS_previous!$D$4:$AY$138, MATCH('Staging Table'!$A100, LS_previous!$B$4:$B$138, 0), MATCH(W$4&amp;W$5, LS_previous!$D$2:$AY$2&amp;LS_previous!$D$3:$AY$3, 0)),SUM(VLOOKUP($A100, LS_previous!$B$4:$AY$138, LS_previous!O$149, FALSE), VLOOKUP('Staging Table'!$A100, LS_previous!$B$4:$AY$138,LS_previous!AM$149, FALSE))/2)</f>
        <v>817</v>
      </c>
      <c r="X100" s="227">
        <f t="array" ref="X100">IF($G100=0, INDEX(LS_previous!$D$4:$AY$138, MATCH('Staging Table'!$A100, LS_previous!$B$4:$B$138, 0), MATCH(X$4&amp;X$5, LS_previous!$D$2:$AY$2&amp;LS_previous!$D$3:$AY$3, 0)),SUM(VLOOKUP($A100, LS_previous!$B$4:$AY$138, LS_previous!P$149, FALSE), VLOOKUP('Staging Table'!$A100, LS_previous!$B$4:$AY$138,LS_previous!AN$149, FALSE))/2)</f>
        <v>191</v>
      </c>
      <c r="Y100" s="227">
        <f t="array" ref="Y100">IF($G100=0, INDEX(LS_previous!$D$4:$AY$138, MATCH('Staging Table'!$A100, LS_previous!$B$4:$B$138, 0), MATCH(Y$4&amp;Y$5, LS_previous!$D$2:$AY$2&amp;LS_previous!$D$3:$AY$3, 0)),SUM(VLOOKUP($A100, LS_previous!$B$4:$AY$138, LS_previous!Q$149, FALSE), VLOOKUP('Staging Table'!$A100, LS_previous!$B$4:$AY$138,LS_previous!AO$149, FALSE))/2)</f>
        <v>605</v>
      </c>
      <c r="Z100" s="227">
        <f t="array" ref="Z100">IF($G100=0, INDEX(LS_previous!$D$4:$AY$138, MATCH('Staging Table'!$A100, LS_previous!$B$4:$B$138, 0), MATCH(Z$4&amp;Z$5, LS_previous!$D$2:$AY$2&amp;LS_previous!$D$3:$AY$3, 0)),SUM(VLOOKUP($A100, LS_previous!$B$4:$AY$138, LS_previous!R$149, FALSE), VLOOKUP('Staging Table'!$A100, LS_previous!$B$4:$AY$138,LS_previous!AP$149, FALSE))/2)</f>
        <v>-3294</v>
      </c>
      <c r="AA100" s="227">
        <f t="array" ref="AA100">IF($G100=0, INDEX(LS_previous!$D$4:$AY$138, MATCH('Staging Table'!$A100, LS_previous!$B$4:$B$138, 0), MATCH(AA$4&amp;AA$5, LS_previous!$D$2:$AY$2&amp;LS_previous!$D$3:$AY$3, 0)),SUM(VLOOKUP($A100, LS_previous!$B$4:$AY$138, LS_previous!S$149, FALSE), VLOOKUP('Staging Table'!$A100, LS_previous!$B$4:$AY$138,LS_previous!AQ$149, FALSE))/2)</f>
        <v>-1370</v>
      </c>
      <c r="AB100" s="227">
        <f t="array" ref="AB100">IF($G100=0, INDEX(LS_previous!$D$4:$AY$138, MATCH('Staging Table'!$A100, LS_previous!$B$4:$B$138, 0), MATCH(AB$4&amp;AB$5, LS_previous!$D$2:$AY$2&amp;LS_previous!$D$3:$AY$3, 0)),SUM(VLOOKUP($A100, LS_previous!$B$4:$AY$138, LS_previous!T$149, FALSE), VLOOKUP('Staging Table'!$A100, LS_previous!$B$4:$AY$138,LS_previous!AR$149, FALSE))/2)</f>
        <v>-2141</v>
      </c>
      <c r="AC100" s="227">
        <f t="array" ref="AC100">IF($G100=0, INDEX(LS_previous!$D$4:$AY$138, MATCH('Staging Table'!$A100, LS_previous!$B$4:$B$138, 0), MATCH(AC$4&amp;AC$5, LS_previous!$D$2:$AY$2&amp;LS_previous!$D$3:$AY$3, 0)),SUM(VLOOKUP($A100, LS_previous!$B$4:$AY$138, LS_previous!U$149, FALSE), VLOOKUP('Staging Table'!$A100, LS_previous!$B$4:$AY$138,LS_previous!AS$149, FALSE))/2)</f>
        <v>-763</v>
      </c>
      <c r="AD100" s="227">
        <f t="array" ref="AD100">IF($G100=0, INDEX(LS_previous!$D$4:$AY$138, MATCH('Staging Table'!$A100, LS_previous!$B$4:$B$138, 0), MATCH(AD$4&amp;AD$5, LS_previous!$D$2:$AY$2&amp;LS_previous!$D$3:$AY$3, 0)),SUM(VLOOKUP($A100, LS_previous!$B$4:$AY$138, LS_previous!V$149, FALSE), VLOOKUP('Staging Table'!$A100, LS_previous!$B$4:$AY$138,LS_previous!AT$149, FALSE))/2)</f>
        <v>-1466</v>
      </c>
      <c r="AE100" s="227">
        <f t="array" ref="AE100">IF($G100=0, INDEX(LS_previous!$D$4:$AY$138, MATCH('Staging Table'!$A100, LS_previous!$B$4:$B$138, 0), MATCH(AE$4&amp;AE$5, LS_previous!$D$2:$AY$2&amp;LS_previous!$D$3:$AY$3, 0)),SUM(VLOOKUP($A100, LS_previous!$B$4:$AY$138, LS_previous!W$149, FALSE), VLOOKUP('Staging Table'!$A100, LS_previous!$B$4:$AY$138,LS_previous!AU$149, FALSE))/2)</f>
        <v>-123</v>
      </c>
      <c r="AF100" s="227">
        <f t="array" ref="AF100">IF($G100=0, INDEX(LS_previous!$D$4:$AY$138, MATCH('Staging Table'!$A100, LS_previous!$B$4:$B$138, 0), MATCH(AF$4&amp;AF$5, LS_previous!$D$2:$AY$2&amp;LS_previous!$D$3:$AY$3, 0)),SUM(VLOOKUP($A100, LS_previous!$B$4:$AY$138, LS_previous!X$149, FALSE), VLOOKUP('Staging Table'!$A100, LS_previous!$B$4:$AY$138,LS_previous!AV$149, FALSE))/2)</f>
        <v>-2049</v>
      </c>
      <c r="AG100" s="227">
        <f t="array" ref="AG100">IF($G100=0, INDEX(LS_previous!$D$4:$AY$138, MATCH('Staging Table'!$A100, LS_previous!$B$4:$B$138, 0), MATCH(AG$4&amp;AG$5, LS_previous!$D$2:$AY$2&amp;LS_previous!$D$3:$AY$3, 0)),SUM(VLOOKUP($A100, LS_previous!$B$4:$AY$138, LS_previous!Y$149, FALSE), VLOOKUP('Staging Table'!$A100, LS_previous!$B$4:$AY$138,LS_previous!AW$149, FALSE))/2)</f>
        <v>-498</v>
      </c>
      <c r="AH100" s="227">
        <f t="array" ref="AH100">IF($G100=0, INDEX(LS_previous!$D$4:$AY$138, MATCH('Staging Table'!$A100, LS_previous!$B$4:$B$138, 0), MATCH(AH$4&amp;AH$5, LS_previous!$D$2:$AY$2&amp;LS_previous!$D$3:$AY$3, 0)),SUM(VLOOKUP($A100, LS_previous!$B$4:$AY$138, LS_previous!Z$149, FALSE), VLOOKUP('Staging Table'!$A100, LS_previous!$B$4:$AY$138,LS_previous!AX$149, FALSE))/2)</f>
        <v>-1164</v>
      </c>
      <c r="AI100" s="227">
        <f t="array" ref="AI100">IF($G100=0, INDEX(LS_previous!$D$4:$AY$138, MATCH('Staging Table'!$A100, LS_previous!$B$4:$B$138, 0), MATCH(AI$4&amp;AI$5, LS_previous!$D$2:$AY$2&amp;LS_previous!$D$3:$AY$3, 0)),SUM(VLOOKUP($A100, LS_previous!$B$4:$AY$138, LS_previous!AA$149, FALSE), VLOOKUP('Staging Table'!$A100, LS_previous!$B$4:$AY$138,LS_previous!AY$149, FALSE))/2)</f>
        <v>-255</v>
      </c>
      <c r="AJ100" s="424">
        <f t="array" ref="AJ100">INDEX(Demand_previous!$D$4:$AY$138, MATCH('Staging Table'!$A100, Demand_previous!$B$4:$B$138, 0), MATCH(AJ$4&amp;AJ$5,Demand_previous!$D$2:$AY$2&amp;Demand_previous!$D$3:$AY$3, 0))/1000</f>
        <v>0</v>
      </c>
      <c r="AK100" s="424">
        <f t="array" ref="AK100">INDEX(Demand_previous!$D$4:$AY$138, MATCH('Staging Table'!$A100, Demand_previous!$B$4:$B$138, 0), MATCH(AK$4&amp;AK$5,Demand_previous!$D$2:$AY$2&amp;Demand_previous!$D$3:$AY$3, 0))/1000</f>
        <v>0.88600000000000001</v>
      </c>
      <c r="AL100" s="424">
        <f t="array" ref="AL100">INDEX(Demand_previous!$D$4:$AY$138, MATCH('Staging Table'!$A100, Demand_previous!$B$4:$B$138, 0), MATCH(AL$4&amp;AL$5,Demand_previous!$D$2:$AY$2&amp;Demand_previous!$D$3:$AY$3, 0))/1000</f>
        <v>4.649</v>
      </c>
      <c r="AM100" s="424">
        <f t="array" ref="AM100">INDEX(Demand_previous!$D$4:$AY$138, MATCH('Staging Table'!$A100, Demand_previous!$B$4:$B$138, 0), MATCH(AM$4&amp;AM$5,Demand_previous!$D$2:$AY$2&amp;Demand_previous!$D$3:$AY$3, 0))/1000</f>
        <v>5.1520000000000001</v>
      </c>
      <c r="AN100" s="424">
        <f t="array" ref="AN100">INDEX(Demand_previous!$D$4:$AY$138, MATCH('Staging Table'!$A100, Demand_previous!$B$4:$B$138, 0), MATCH(AN$4&amp;AN$5,Demand_previous!$D$2:$AY$2&amp;Demand_previous!$D$3:$AY$3, 0))/1000</f>
        <v>2.3540000000000001</v>
      </c>
      <c r="AO100" s="424">
        <f t="array" ref="AO100">INDEX(Demand_previous!$D$4:$AY$138, MATCH('Staging Table'!$A100, Demand_previous!$B$4:$B$138, 0), MATCH(AO$4&amp;AO$5,Demand_previous!$D$2:$AY$2&amp;Demand_previous!$D$3:$AY$3, 0))/1000</f>
        <v>1.833</v>
      </c>
      <c r="AP100" s="424">
        <f t="array" ref="AP100">INDEX(Demand_previous!$D$4:$AY$138, MATCH('Staging Table'!$A100, Demand_previous!$B$4:$B$138, 0), MATCH(AP$4&amp;AP$5,Demand_previous!$D$2:$AY$2&amp;Demand_previous!$D$3:$AY$3, 0))/1000</f>
        <v>7.0000000000000007E-2</v>
      </c>
      <c r="AQ100" s="424">
        <f t="array" ref="AQ100">INDEX(Demand_previous!$D$4:$AY$138, MATCH('Staging Table'!$A100, Demand_previous!$B$4:$B$138, 0), MATCH(AQ$4&amp;AQ$5,Demand_previous!$D$2:$AY$2&amp;Demand_previous!$D$3:$AY$3, 0))/1000</f>
        <v>0.93899999999999995</v>
      </c>
      <c r="AR100" s="424">
        <f t="array" ref="AR100">INDEX(Demand_previous!$D$4:$AY$138, MATCH('Staging Table'!$A100, Demand_previous!$B$4:$B$138, 0), MATCH(AR$4&amp;AR$5,Demand_previous!$D$2:$AY$2&amp;Demand_previous!$D$3:$AY$3, 0))/1000</f>
        <v>2.09</v>
      </c>
      <c r="AS100" s="424">
        <f t="array" ref="AS100">INDEX(Demand_previous!$D$4:$AY$138, MATCH('Staging Table'!$A100, Demand_previous!$B$4:$B$138, 0), MATCH(AS$4&amp;AS$5,Demand_previous!$D$2:$AY$2&amp;Demand_previous!$D$3:$AY$3, 0))/1000</f>
        <v>1.532</v>
      </c>
      <c r="AT100" s="424">
        <f t="array" ref="AT100">INDEX(Demand_previous!$D$4:$AY$138, MATCH('Staging Table'!$A100, Demand_previous!$B$4:$B$138, 0), MATCH(AT$4&amp;AT$5,Demand_previous!$D$2:$AY$2&amp;Demand_previous!$D$3:$AY$3, 0))/1000</f>
        <v>2.452</v>
      </c>
      <c r="AU100" s="424">
        <f t="array" ref="AU100">INDEX(Demand_previous!$D$4:$AY$138, MATCH('Staging Table'!$A100, Demand_previous!$B$4:$B$138, 0), MATCH(AU$4&amp;AU$5,Demand_previous!$D$2:$AY$2&amp;Demand_previous!$D$3:$AY$3, 0))/1000</f>
        <v>1.726</v>
      </c>
      <c r="AV100" s="227">
        <f>$F100*(VLOOKUP(AV$4, Rates_previous!$G$6:$Q$29, 10, FALSE)+VLOOKUP(AV$4, Rates_previous!$G$6:$Q$29, 11, FALSE))</f>
        <v>9180.7443387586409</v>
      </c>
      <c r="AW100" s="227">
        <f>$F100*(VLOOKUP(AW$4, Rates_previous!$G$6:$Q$29, 10, FALSE)+VLOOKUP(AW$4, Rates_previous!$G$6:$Q$29, 11, FALSE))</f>
        <v>11346.702229157183</v>
      </c>
      <c r="AX100" s="227">
        <f>$F100*(VLOOKUP(AX$4, Rates_previous!$G$6:$Q$29, 10, FALSE)+VLOOKUP(AX$4, Rates_previous!$G$6:$Q$29, 11, FALSE))</f>
        <v>11210.441906696395</v>
      </c>
      <c r="AY100" s="227">
        <f>$F100*(VLOOKUP(AY$4, Rates_previous!$G$6:$Q$29, 10, FALSE)+VLOOKUP(AY$4, Rates_previous!$G$6:$Q$29, 11, FALSE))</f>
        <v>9578.2540776832811</v>
      </c>
      <c r="AZ100" s="227">
        <f>$F100*(VLOOKUP(AZ$4, Rates_previous!$G$6:$Q$29, 10, FALSE)+VLOOKUP(AZ$4, Rates_previous!$G$6:$Q$29, 11, FALSE))</f>
        <v>7852.3104387618114</v>
      </c>
      <c r="BA100" s="227">
        <f>$F100*(VLOOKUP(BA$4, Rates_previous!$G$6:$Q$29, 10, FALSE)+VLOOKUP(BA$4, Rates_previous!$G$6:$Q$29, 11, FALSE))</f>
        <v>9296.850337108599</v>
      </c>
      <c r="BB100" s="227">
        <f>$F100*(VLOOKUP(BB$4, Rates_previous!$G$6:$Q$29, 10, FALSE)+VLOOKUP(BB$4, Rates_previous!$G$6:$Q$29, 11, FALSE))</f>
        <v>8935.6254833457915</v>
      </c>
      <c r="BC100" s="227">
        <f>$F100*(VLOOKUP(BC$4, Rates_previous!$G$6:$Q$29, 10, FALSE)+VLOOKUP(BC$4, Rates_previous!$G$6:$Q$29, 11, FALSE))</f>
        <v>13112.398087399997</v>
      </c>
      <c r="BD100" s="227">
        <f>$F100*(VLOOKUP(BD$4, Rates_previous!$G$6:$Q$29, 10, FALSE)+VLOOKUP(BD$4, Rates_previous!$G$6:$Q$29, 11, FALSE))</f>
        <v>10345.335526052693</v>
      </c>
      <c r="BE100" s="227">
        <f>$F100*(VLOOKUP(BE$4, Rates_previous!$G$6:$Q$29, 10, FALSE)+VLOOKUP(BE$4, Rates_previous!$G$6:$Q$29, 11, FALSE))</f>
        <v>9084.07293309735</v>
      </c>
      <c r="BF100" s="227">
        <f>$F100*(VLOOKUP(BF$4, Rates_previous!$G$6:$Q$29, 10, FALSE)+VLOOKUP(BF$4, Rates_previous!$G$6:$Q$29, 11, FALSE))</f>
        <v>10060.974388067834</v>
      </c>
      <c r="BG100" s="227">
        <f>$F100*(VLOOKUP(BG$4, Rates_previous!$G$6:$Q$29, 10, FALSE)+VLOOKUP(BG$4, Rates_previous!$G$6:$Q$29, 11, FALSE))</f>
        <v>9114.8426957138217</v>
      </c>
      <c r="BH100" s="229">
        <f>IF($D100=0,IF(C100=0, MAX(BK100 - (VLOOKUP($A100,TOCA_previous!$A$2:$AI$137,MATCH("RHWM 2018",TOCA_previous!$A$2:$AI$2,0),FALSE)*$F$2*TOCA_previous!C97),0),0), 0)</f>
        <v>0</v>
      </c>
      <c r="BI100" s="266">
        <f>VLOOKUP($A100,REP_previous!$A$1:$D$135,MATCH("FY "&amp;$F$1&amp; " Total Refund",REP_previous!$A$1:$D$1,0),0)</f>
        <v>77668.641590863757</v>
      </c>
      <c r="BJ100" s="241">
        <f>MIN(VLOOKUP($A100,TOCA_previous!$A$2:$AI$137,MATCH("TRL - NLSL - Existing Resource "&amp;$F$1,TOCA_previous!$A$2:$AI$2,0),FALSE)*$F$2,(VLOOKUP($A100,TOCA_previous!$A$2:$AI$137,MATCH("RHWM 2018",TOCA_previous!$A$2:$AI$2,0),FALSE)*$F$2))</f>
        <v>119118.48000000001</v>
      </c>
      <c r="BK100" s="229">
        <f>SUM(L100:AI100)+(F100*RT1SC!$C$3*$F$2)</f>
        <v>120093.55417968</v>
      </c>
      <c r="BL100" s="241">
        <f>VLOOKUP($A100,TOCA_previous!$A$2:$AI$137,MATCH("Above RHWM Not Served with LS "&amp;$F$1,TOCA_previous!$A$2:$AI$2,0),FALSE)*$F$2</f>
        <v>0</v>
      </c>
      <c r="BM100" s="151">
        <f t="shared" si="21"/>
        <v>975.07417967998481</v>
      </c>
      <c r="BN100" s="242">
        <f>(VLOOKUP($A100,TOCA_previous!$A$2:$AI$137,MATCH("RHWM 2018",TOCA_previous!$A$2:$AI$2,0),FALSE)*$F$2) - $BJ100</f>
        <v>2137.4399999999878</v>
      </c>
      <c r="BO100" s="151">
        <f t="shared" si="22"/>
        <v>-975.07417967998481</v>
      </c>
      <c r="BP100" s="243">
        <f t="shared" si="23"/>
        <v>0</v>
      </c>
      <c r="BQ100" s="237">
        <f t="shared" si="24"/>
        <v>0</v>
      </c>
      <c r="BR100" s="242">
        <f t="shared" si="25"/>
        <v>-975.07417967998481</v>
      </c>
      <c r="BS100" s="151">
        <f>VLOOKUP($A100,TOCA_current!$A$2:$AI$137,MATCH(BS$4,TOCA_current!$A$2:$AI$2,0),FALSE)</f>
        <v>1.9463E-3</v>
      </c>
      <c r="BT100" s="151">
        <f>VLOOKUP($A100,TOCA_current!$A$2:$AI$137,MATCH(BT$4,TOCA_current!$A$2:$AI$2,0),FALSE)</f>
        <v>1.9463E-3</v>
      </c>
      <c r="BU100" s="236">
        <f t="shared" si="26"/>
        <v>0</v>
      </c>
      <c r="BV100" s="151">
        <f>VLOOKUP($A100,TOCA_current!A96:BG231,MATCH(BV$4,TOCA_current!$A$2:$BG$2,0),FALSE)</f>
        <v>0</v>
      </c>
      <c r="BW100" s="151">
        <f t="shared" si="27"/>
        <v>0</v>
      </c>
      <c r="BX100" s="151">
        <f t="shared" si="28"/>
        <v>0</v>
      </c>
      <c r="BY100" s="226">
        <f>VLOOKUP($A100,IRD!$A$4:$G$139, 7, FALSE)</f>
        <v>0</v>
      </c>
      <c r="BZ100" s="227">
        <f t="array" ref="BZ100">IF($BU100=0, INDEX(LS_current!$D$4:$AY$138, MATCH('Staging Table'!$A100, LS_current!$B$4:$B$138, 0), MATCH(BZ$4&amp;BZ$5, LS_current!$D$2:$AY$2&amp;LS_current!$D$3:$AY$3, 0)),SUM(VLOOKUP($A100, LS_current!$B$4:$AY$138, LS_current!D$148, FALSE), VLOOKUP($A100, LS_current!$B$4:$AY$138,LS_current!D$148, FALSE))/2)</f>
        <v>-20</v>
      </c>
      <c r="CA100" s="227">
        <f t="array" ref="CA100">IF($BU100=0, INDEX(LS_current!$D$4:$AY$138, MATCH('Staging Table'!$A100, LS_current!$B$4:$B$138, 0), MATCH(CA$4&amp;CA$5, LS_current!$D$2:$AY$2&amp;LS_current!$D$3:$AY$3, 0)),SUM(VLOOKUP($A100, LS_current!$B$4:$AY$138, LS_current!E$148, FALSE), VLOOKUP($A100, LS_current!$B$4:$AY$138,LS_current!E$148, FALSE))/2)</f>
        <v>464</v>
      </c>
      <c r="CB100" s="227">
        <f t="array" ref="CB100">IF($BU100=0, INDEX(LS_current!$D$4:$AY$138, MATCH('Staging Table'!$A100, LS_current!$B$4:$B$138, 0), MATCH(CB$4&amp;CB$5, LS_current!$D$2:$AY$2&amp;LS_current!$D$3:$AY$3, 0)),SUM(VLOOKUP($A100, LS_current!$B$4:$AY$138, LS_current!F$148, FALSE), VLOOKUP($A100, LS_current!$B$4:$AY$138,LS_current!F$148, FALSE))/2)</f>
        <v>116</v>
      </c>
      <c r="CC100" s="227">
        <f t="array" ref="CC100">IF($BU100=0, INDEX(LS_current!$D$4:$AY$138, MATCH('Staging Table'!$A100, LS_current!$B$4:$B$138, 0), MATCH(CC$4&amp;CC$5, LS_current!$D$2:$AY$2&amp;LS_current!$D$3:$AY$3, 0)),SUM(VLOOKUP($A100, LS_current!$B$4:$AY$138, LS_current!G$148, FALSE), VLOOKUP($A100, LS_current!$B$4:$AY$138,LS_current!G$148, FALSE))/2)</f>
        <v>708</v>
      </c>
      <c r="CD100" s="227">
        <f t="array" ref="CD100">IF($BU100=0, INDEX(LS_current!$D$4:$AY$138, MATCH('Staging Table'!$A100, LS_current!$B$4:$B$138, 0), MATCH(CD$4&amp;CD$5, LS_current!$D$2:$AY$2&amp;LS_current!$D$3:$AY$3, 0)),SUM(VLOOKUP($A100, LS_current!$B$4:$AY$138, LS_current!H$148, FALSE), VLOOKUP($A100, LS_current!$B$4:$AY$138,LS_current!H$148, FALSE))/2)</f>
        <v>1033</v>
      </c>
      <c r="CE100" s="227">
        <f t="array" ref="CE100">IF($BU100=0, INDEX(LS_current!$D$4:$AY$138, MATCH('Staging Table'!$A100, LS_current!$B$4:$B$138, 0), MATCH(CE$4&amp;CE$5, LS_current!$D$2:$AY$2&amp;LS_current!$D$3:$AY$3, 0)),SUM(VLOOKUP($A100, LS_current!$B$4:$AY$138, LS_current!I$148, FALSE), VLOOKUP($A100, LS_current!$B$4:$AY$138,LS_current!I$148, FALSE))/2)</f>
        <v>1343</v>
      </c>
      <c r="CF100" s="227">
        <f t="array" ref="CF100">IF($BU100=0, INDEX(LS_current!$D$4:$AY$138, MATCH('Staging Table'!$A100, LS_current!$B$4:$B$138, 0), MATCH(CF$4&amp;CF$5, LS_current!$D$2:$AY$2&amp;LS_current!$D$3:$AY$3, 0)),SUM(VLOOKUP($A100, LS_current!$B$4:$AY$138, LS_current!J$148, FALSE), VLOOKUP($A100, LS_current!$B$4:$AY$138,LS_current!J$148, FALSE))/2)</f>
        <v>2141</v>
      </c>
      <c r="CG100" s="227">
        <f t="array" ref="CG100">IF($BU100=0, INDEX(LS_current!$D$4:$AY$138, MATCH('Staging Table'!$A100, LS_current!$B$4:$B$138, 0), MATCH(CG$4&amp;CG$5, LS_current!$D$2:$AY$2&amp;LS_current!$D$3:$AY$3, 0)),SUM(VLOOKUP($A100, LS_current!$B$4:$AY$138, LS_current!K$148, FALSE), VLOOKUP($A100, LS_current!$B$4:$AY$138,LS_current!K$148, FALSE))/2)</f>
        <v>2012</v>
      </c>
      <c r="CH100" s="227">
        <f t="array" ref="CH100">IF($BU100=0, INDEX(LS_current!$D$4:$AY$138, MATCH('Staging Table'!$A100, LS_current!$B$4:$B$138, 0), MATCH(CH$4&amp;CH$5, LS_current!$D$2:$AY$2&amp;LS_current!$D$3:$AY$3, 0)),SUM(VLOOKUP($A100, LS_current!$B$4:$AY$138, LS_current!L$148, FALSE), VLOOKUP($A100, LS_current!$B$4:$AY$138,LS_current!L$148, FALSE))/2)</f>
        <v>1822</v>
      </c>
      <c r="CI100" s="227">
        <f t="array" ref="CI100">IF($BU100=0, INDEX(LS_current!$D$4:$AY$138, MATCH('Staging Table'!$A100, LS_current!$B$4:$B$138, 0), MATCH(CI$4&amp;CI$5, LS_current!$D$2:$AY$2&amp;LS_current!$D$3:$AY$3, 0)),SUM(VLOOKUP($A100, LS_current!$B$4:$AY$138, LS_current!M$148, FALSE), VLOOKUP($A100, LS_current!$B$4:$AY$138,LS_current!M$148, FALSE))/2)</f>
        <v>1588</v>
      </c>
      <c r="CJ100" s="227">
        <f t="array" ref="CJ100">IF($BU100=0, INDEX(LS_current!$D$4:$AY$138, MATCH('Staging Table'!$A100, LS_current!$B$4:$B$138, 0), MATCH(CJ$4&amp;CJ$5, LS_current!$D$2:$AY$2&amp;LS_current!$D$3:$AY$3, 0)),SUM(VLOOKUP($A100, LS_current!$B$4:$AY$138, LS_current!N$148, FALSE), VLOOKUP($A100, LS_current!$B$4:$AY$138,LS_current!N$148, FALSE))/2)</f>
        <v>704</v>
      </c>
      <c r="CK100" s="227">
        <f t="array" ref="CK100">IF($BU100=0, INDEX(LS_current!$D$4:$AY$138, MATCH('Staging Table'!$A100, LS_current!$B$4:$B$138, 0), MATCH(CK$4&amp;CK$5, LS_current!$D$2:$AY$2&amp;LS_current!$D$3:$AY$3, 0)),SUM(VLOOKUP($A100, LS_current!$B$4:$AY$138, LS_current!O$148, FALSE), VLOOKUP($A100, LS_current!$B$4:$AY$138,LS_current!O$148, FALSE))/2)</f>
        <v>785</v>
      </c>
      <c r="CL100" s="227">
        <f t="array" ref="CL100">IF($BU100=0, INDEX(LS_current!$D$4:$AY$138, MATCH('Staging Table'!$A100, LS_current!$B$4:$B$138, 0), MATCH(CL$4&amp;CL$5, LS_current!$D$2:$AY$2&amp;LS_current!$D$3:$AY$3, 0)),SUM(VLOOKUP($A100, LS_current!$B$4:$AY$138, LS_current!P$148, FALSE), VLOOKUP($A100, LS_current!$B$4:$AY$138,LS_current!P$148, FALSE))/2)</f>
        <v>1085</v>
      </c>
      <c r="CM100" s="227">
        <f t="array" ref="CM100">IF($BU100=0, INDEX(LS_current!$D$4:$AY$138, MATCH('Staging Table'!$A100, LS_current!$B$4:$B$138, 0), MATCH(CM$4&amp;CM$5, LS_current!$D$2:$AY$2&amp;LS_current!$D$3:$AY$3, 0)),SUM(VLOOKUP($A100, LS_current!$B$4:$AY$138, LS_current!Q$148, FALSE), VLOOKUP($A100, LS_current!$B$4:$AY$138,LS_current!Q$148, FALSE))/2)</f>
        <v>935</v>
      </c>
      <c r="CN100" s="227">
        <f t="array" ref="CN100">IF($BU100=0, INDEX(LS_current!$D$4:$AY$138, MATCH('Staging Table'!$A100, LS_current!$B$4:$B$138, 0), MATCH(CN$4&amp;CN$5, LS_current!$D$2:$AY$2&amp;LS_current!$D$3:$AY$3, 0)),SUM(VLOOKUP($A100, LS_current!$B$4:$AY$138, LS_current!R$148, FALSE), VLOOKUP($A100, LS_current!$B$4:$AY$138,LS_current!R$148, FALSE))/2)</f>
        <v>-1686</v>
      </c>
      <c r="CO100" s="227">
        <f t="array" ref="CO100">IF($BU100=0, INDEX(LS_current!$D$4:$AY$138, MATCH('Staging Table'!$A100, LS_current!$B$4:$B$138, 0), MATCH(CO$4&amp;CO$5, LS_current!$D$2:$AY$2&amp;LS_current!$D$3:$AY$3, 0)),SUM(VLOOKUP($A100, LS_current!$B$4:$AY$138, LS_current!S$148, FALSE), VLOOKUP($A100, LS_current!$B$4:$AY$138,LS_current!S$148, FALSE))/2)</f>
        <v>-267</v>
      </c>
      <c r="CP100" s="227">
        <f t="array" ref="CP100">IF($BU100=0, INDEX(LS_current!$D$4:$AY$138, MATCH('Staging Table'!$A100, LS_current!$B$4:$B$138, 0), MATCH(CP$4&amp;CP$5, LS_current!$D$2:$AY$2&amp;LS_current!$D$3:$AY$3, 0)),SUM(VLOOKUP($A100, LS_current!$B$4:$AY$138, LS_current!T$148, FALSE), VLOOKUP($A100, LS_current!$B$4:$AY$138,LS_current!T$148, FALSE))/2)</f>
        <v>-3987</v>
      </c>
      <c r="CQ100" s="227">
        <f t="array" ref="CQ100">IF($BU100=0, INDEX(LS_current!$D$4:$AY$138, MATCH('Staging Table'!$A100, LS_current!$B$4:$B$138, 0), MATCH(CQ$4&amp;CQ$5, LS_current!$D$2:$AY$2&amp;LS_current!$D$3:$AY$3, 0)),SUM(VLOOKUP($A100, LS_current!$B$4:$AY$138, LS_current!U$148, FALSE), VLOOKUP($A100, LS_current!$B$4:$AY$138,LS_current!U$148, FALSE))/2)</f>
        <v>-1844</v>
      </c>
      <c r="CR100" s="227">
        <f t="array" ref="CR100">IF($BU100=0, INDEX(LS_current!$D$4:$AY$138, MATCH('Staging Table'!$A100, LS_current!$B$4:$B$138, 0), MATCH(CR$4&amp;CR$5, LS_current!$D$2:$AY$2&amp;LS_current!$D$3:$AY$3, 0)),SUM(VLOOKUP($A100, LS_current!$B$4:$AY$138, LS_current!V$148, FALSE), VLOOKUP($A100, LS_current!$B$4:$AY$138,LS_current!V$148, FALSE))/2)</f>
        <v>-2690</v>
      </c>
      <c r="CS100" s="227">
        <f t="array" ref="CS100">IF($BU100=0, INDEX(LS_current!$D$4:$AY$138, MATCH('Staging Table'!$A100, LS_current!$B$4:$B$138, 0), MATCH(CS$4&amp;CS$5, LS_current!$D$2:$AY$2&amp;LS_current!$D$3:$AY$3, 0)),SUM(VLOOKUP($A100, LS_current!$B$4:$AY$138, LS_current!W$148, FALSE), VLOOKUP($A100, LS_current!$B$4:$AY$138,LS_current!W$148, FALSE))/2)</f>
        <v>-221</v>
      </c>
      <c r="CT100" s="227">
        <f t="array" ref="CT100">IF($BU100=0, INDEX(LS_current!$D$4:$AY$138, MATCH('Staging Table'!$A100, LS_current!$B$4:$B$138, 0), MATCH(CT$4&amp;CT$5, LS_current!$D$2:$AY$2&amp;LS_current!$D$3:$AY$3, 0)),SUM(VLOOKUP($A100, LS_current!$B$4:$AY$138, LS_current!X$148, FALSE), VLOOKUP($A100, LS_current!$B$4:$AY$138,LS_current!X$148, FALSE))/2)</f>
        <v>-2263</v>
      </c>
      <c r="CU100" s="227">
        <f t="array" ref="CU100">IF($BU100=0, INDEX(LS_current!$D$4:$AY$138, MATCH('Staging Table'!$A100, LS_current!$B$4:$B$138, 0), MATCH(CU$4&amp;CU$5, LS_current!$D$2:$AY$2&amp;LS_current!$D$3:$AY$3, 0)),SUM(VLOOKUP($A100, LS_current!$B$4:$AY$138, LS_current!Y$148, FALSE), VLOOKUP($A100, LS_current!$B$4:$AY$138,LS_current!Y$148, FALSE))/2)</f>
        <v>-357</v>
      </c>
      <c r="CV100" s="227">
        <f t="array" ref="CV100">IF($BU100=0, INDEX(LS_current!$D$4:$AY$138, MATCH('Staging Table'!$A100, LS_current!$B$4:$B$138, 0), MATCH(CV$4&amp;CV$5, LS_current!$D$2:$AY$2&amp;LS_current!$D$3:$AY$3, 0)),SUM(VLOOKUP($A100, LS_current!$B$4:$AY$138, LS_current!Z$148, FALSE), VLOOKUP($A100, LS_current!$B$4:$AY$138,LS_current!Z$148, FALSE))/2)</f>
        <v>-1164</v>
      </c>
      <c r="CW100" s="227">
        <f t="array" ref="CW100">IF($BU100=0, INDEX(LS_current!$D$4:$AY$138, MATCH('Staging Table'!$A100, LS_current!$B$4:$B$138, 0), MATCH(CW$4&amp;CW$5, LS_current!$D$2:$AY$2&amp;LS_current!$D$3:$AY$3, 0)),SUM(VLOOKUP($A100, LS_current!$B$4:$AY$138, LS_current!AA$148, FALSE), VLOOKUP($A100, LS_current!$B$4:$AY$138,LS_current!AA$148, FALSE))/2)</f>
        <v>-238</v>
      </c>
      <c r="CX100" s="229">
        <f t="array" ref="CX100">INDEX(Demand_current!$D$4:$AY$138, MATCH($A100, Demand_current!$B$4:$B$138, 0), MATCH(CX$4&amp;CX$5,Demand_current!$D$2:$AY$2&amp;Demand_current!$D$3:$AY$3, 0))/1000</f>
        <v>0.112</v>
      </c>
      <c r="CY100" s="229">
        <f t="array" ref="CY100">INDEX(Demand_current!$D$4:$AY$138, MATCH($A100, Demand_current!$B$4:$B$138, 0), MATCH(CY$4&amp;CY$5,Demand_current!$D$2:$AY$2&amp;Demand_current!$D$3:$AY$3, 0))/1000</f>
        <v>0.88600000000000001</v>
      </c>
      <c r="CZ100" s="229">
        <f t="array" ref="CZ100">INDEX(Demand_current!$D$4:$AY$138, MATCH($A100, Demand_current!$B$4:$B$138, 0), MATCH(CZ$4&amp;CZ$5,Demand_current!$D$2:$AY$2&amp;Demand_current!$D$3:$AY$3, 0))/1000</f>
        <v>4.649</v>
      </c>
      <c r="DA100" s="229">
        <f t="array" ref="DA100">INDEX(Demand_current!$D$4:$AY$138, MATCH($A100, Demand_current!$B$4:$B$138, 0), MATCH(DA$4&amp;DA$5,Demand_current!$D$2:$AY$2&amp;Demand_current!$D$3:$AY$3, 0))/1000</f>
        <v>5.1520000000000001</v>
      </c>
      <c r="DB100" s="229">
        <f t="array" ref="DB100">INDEX(Demand_current!$D$4:$AY$138, MATCH($A100, Demand_current!$B$4:$B$138, 0), MATCH(DB$4&amp;DB$5,Demand_current!$D$2:$AY$2&amp;Demand_current!$D$3:$AY$3, 0))/1000</f>
        <v>3.1030000000000002</v>
      </c>
      <c r="DC100" s="229">
        <f t="array" ref="DC100">INDEX(Demand_current!$D$4:$AY$138, MATCH($A100, Demand_current!$B$4:$B$138, 0), MATCH(DC$4&amp;DC$5,Demand_current!$D$2:$AY$2&amp;Demand_current!$D$3:$AY$3, 0))/1000</f>
        <v>1.234</v>
      </c>
      <c r="DD100" s="229">
        <f t="array" ref="DD100">INDEX(Demand_current!$D$4:$AY$138, MATCH($A100, Demand_current!$B$4:$B$138, 0), MATCH(DD$4&amp;DD$5,Demand_current!$D$2:$AY$2&amp;Demand_current!$D$3:$AY$3, 0))/1000</f>
        <v>0.64100000000000001</v>
      </c>
      <c r="DE100" s="229">
        <f t="array" ref="DE100">INDEX(Demand_current!$D$4:$AY$138, MATCH($A100, Demand_current!$B$4:$B$138, 0), MATCH(DE$4&amp;DE$5,Demand_current!$D$2:$AY$2&amp;Demand_current!$D$3:$AY$3, 0))/1000</f>
        <v>0.45200000000000001</v>
      </c>
      <c r="DF100" s="229">
        <f t="array" ref="DF100">INDEX(Demand_current!$D$4:$AY$138, MATCH($A100, Demand_current!$B$4:$B$138, 0), MATCH(DF$4&amp;DF$5,Demand_current!$D$2:$AY$2&amp;Demand_current!$D$3:$AY$3, 0))/1000</f>
        <v>2.09</v>
      </c>
      <c r="DG100" s="229">
        <f t="array" ref="DG100">INDEX(Demand_current!$D$4:$AY$138, MATCH($A100, Demand_current!$B$4:$B$138, 0), MATCH(DG$4&amp;DG$5,Demand_current!$D$2:$AY$2&amp;Demand_current!$D$3:$AY$3, 0))/1000</f>
        <v>1.962</v>
      </c>
      <c r="DH100" s="229">
        <f t="array" ref="DH100">INDEX(Demand_current!$D$4:$AY$138, MATCH($A100, Demand_current!$B$4:$B$138, 0), MATCH(DH$4&amp;DH$5,Demand_current!$D$2:$AY$2&amp;Demand_current!$D$3:$AY$3, 0))/1000</f>
        <v>2.0350000000000001</v>
      </c>
      <c r="DI100" s="229">
        <f t="array" ref="DI100">INDEX(Demand_current!$D$4:$AY$138, MATCH($A100, Demand_current!$B$4:$B$138, 0), MATCH(DI$4&amp;DI$5,Demand_current!$D$2:$AY$2&amp;Demand_current!$D$3:$AY$3, 0))/1000</f>
        <v>2.2120000000000002</v>
      </c>
      <c r="DJ100" s="227">
        <f>$BT100*(VLOOKUP(DJ$4, Rates_current!$G$6:$Q$29, 10, FALSE)+VLOOKUP(DJ$4, Rates_current!$G$6:$Q$29, 11, FALSE))</f>
        <v>8986.6844585747986</v>
      </c>
      <c r="DK100" s="227">
        <f>$BT100*(VLOOKUP(DK$4, Rates_current!$G$6:$Q$29, 10, FALSE)+VLOOKUP(DK$4, Rates_current!$G$6:$Q$29, 11, FALSE))</f>
        <v>11415.892713065699</v>
      </c>
      <c r="DL100" s="227">
        <f>$BT100*(VLOOKUP(DL$4, Rates_current!$G$6:$Q$29, 10, FALSE)+VLOOKUP(DL$4, Rates_current!$G$6:$Q$29, 11, FALSE))</f>
        <v>11278.030361474801</v>
      </c>
      <c r="DM100" s="227">
        <f>$BT100*(VLOOKUP(DM$4, Rates_current!$G$6:$Q$29, 10, FALSE)+VLOOKUP(DM$4, Rates_current!$G$6:$Q$29, 11, FALSE))</f>
        <v>9400.9252190748011</v>
      </c>
      <c r="DN100" s="227">
        <f>$BT100*(VLOOKUP(DN$4, Rates_current!$G$6:$Q$29, 10, FALSE)+VLOOKUP(DN$4, Rates_current!$G$6:$Q$29, 11, FALSE))</f>
        <v>8516.2629778399987</v>
      </c>
      <c r="DO100" s="227">
        <f>$BT100*(VLOOKUP(DO$4, Rates_current!$G$6:$Q$29, 10, FALSE)+VLOOKUP(DO$4, Rates_current!$G$6:$Q$29, 11, FALSE))</f>
        <v>9472.7898961830997</v>
      </c>
      <c r="DP100" s="227">
        <f>$BT100*(VLOOKUP(DP$4, Rates_current!$G$6:$Q$29, 10, FALSE)+VLOOKUP(DP$4, Rates_current!$G$6:$Q$29, 11, FALSE))</f>
        <v>7712.7557556239999</v>
      </c>
      <c r="DQ100" s="227">
        <f>$BT100*(VLOOKUP(DQ$4, Rates_current!$G$6:$Q$29, 10, FALSE)+VLOOKUP(DQ$4, Rates_current!$G$6:$Q$29, 11, FALSE))</f>
        <v>10401.801235724801</v>
      </c>
      <c r="DR100" s="227">
        <f>$BT100*(VLOOKUP(DR$4, Rates_current!$G$6:$Q$29, 10, FALSE)+VLOOKUP(DR$4, Rates_current!$G$6:$Q$29, 11, FALSE))</f>
        <v>13271.990935474001</v>
      </c>
      <c r="DS100" s="227">
        <f>$BT100*(VLOOKUP(DS$4, Rates_current!$G$6:$Q$29, 10, FALSE)+VLOOKUP(DS$4, Rates_current!$G$6:$Q$29, 11, FALSE))</f>
        <v>10405.661721774801</v>
      </c>
      <c r="DT100" s="227">
        <f>$BT100*(VLOOKUP(DT$4, Rates_current!$G$6:$Q$29, 10, FALSE)+VLOOKUP(DT$4, Rates_current!$G$6:$Q$29, 11, FALSE))</f>
        <v>10133.042507624801</v>
      </c>
      <c r="DU100" s="227">
        <f>$BT100*(VLOOKUP(DU$4, Rates_current!$G$6:$Q$29, 10, FALSE)+VLOOKUP(DU$4, Rates_current!$G$6:$Q$29, 11, FALSE))</f>
        <v>9097.3165959240014</v>
      </c>
      <c r="DV100" s="229">
        <f>IF(D100=0,IF(C100=0,MAX(0,DY100 - (VLOOKUP($A100,TOCA_current!$A$2:$AI$137,MATCH("RHWM 2020",TOCA_current!$A$2:$AI$2,0),FALSE)*$BT$2)), 0),0)</f>
        <v>0</v>
      </c>
      <c r="DW100" s="266">
        <f>VLOOKUP($A100,REP_current!$A$1:$D$135,MATCH("FY "&amp;$BT$1&amp; " Total Refund",REP_current!$A$1:$D$1,0),0)</f>
        <v>0</v>
      </c>
      <c r="DX100" s="295">
        <f>MIN(VLOOKUP($A100,TOCA_current!$A$2:$AI$137,MATCH("TRL - NLSL - Existing Resource "&amp;$BT$1,TOCA_current!$A$2:$AI$2,0),FALSE)*$BT$2, VLOOKUP($A100,TOCA_current!$A$2:$AI$137,MATCH("RHWM 2020",TOCA_current!$A$2:$AI$2,0),FALSE)*$BT$2)</f>
        <v>120094.848</v>
      </c>
      <c r="DY100" s="240">
        <f>SUM(BZ100:CW100)+(BT100*RT1SC!$C$4*$BT$2)</f>
        <v>120092.15888599039</v>
      </c>
      <c r="DZ100" s="271">
        <f>VLOOKUP($A100,TOCA_current!$A$2:$AI$137,MATCH("Above RHWM Not Served with LS "&amp;$BT$1,TOCA_current!$A$2:$AI$2,0),FALSE)*$BT$2</f>
        <v>0</v>
      </c>
      <c r="EA100" s="244">
        <f t="shared" si="29"/>
        <v>-2.6891140096122399</v>
      </c>
      <c r="EB100" s="295">
        <f>(VLOOKUP($A100,TOCA_current!$A$2:$AI$137,MATCH("RHWM 2020",TOCA_current!$A$2:$AI$2,0),FALSE)*$BT$2) - $DX100</f>
        <v>2828.448000000004</v>
      </c>
      <c r="EC100" s="240">
        <f t="shared" si="30"/>
        <v>0</v>
      </c>
      <c r="ED100" s="240">
        <f t="shared" si="31"/>
        <v>2.6891140096122399</v>
      </c>
      <c r="EE100" s="240">
        <f t="shared" si="32"/>
        <v>0</v>
      </c>
      <c r="EF100" s="240">
        <f t="shared" si="33"/>
        <v>2.6891140096122399</v>
      </c>
    </row>
    <row r="101" spans="1:136">
      <c r="A101" s="166">
        <v>10306</v>
      </c>
      <c r="B101" s="167" t="s">
        <v>102</v>
      </c>
      <c r="C101" s="240">
        <v>0</v>
      </c>
      <c r="D101" s="240">
        <v>1</v>
      </c>
      <c r="E101" s="150">
        <f>VLOOKUP($A101,TOCA_previous!$A$2:$AI$137,MATCH(E$4,TOCA_previous!$A$2:$AI$2,0),FALSE)</f>
        <v>3.1933999999999999E-3</v>
      </c>
      <c r="F101" s="151">
        <f>VLOOKUP($A101,TOCA_previous!$A$2:$AI$137,MATCH(F$4,TOCA_previous!$A$2:$AI$2,0),FALSE)</f>
        <v>3.1933999999999999E-3</v>
      </c>
      <c r="G101" s="151">
        <f t="shared" si="18"/>
        <v>0</v>
      </c>
      <c r="H101" s="151">
        <f>VLOOKUP($A101,TOCA_previous!$A$2:$AI$137,MATCH(H$4,TOCA_previous!$A$2:$AI$2,0),FALSE)</f>
        <v>0</v>
      </c>
      <c r="I101" s="151">
        <f t="shared" si="19"/>
        <v>0</v>
      </c>
      <c r="J101" s="151">
        <f t="shared" si="20"/>
        <v>0</v>
      </c>
      <c r="K101" s="226">
        <f>VLOOKUP(A101, IRD!$A$5:$C$139, 3, FALSE)</f>
        <v>0</v>
      </c>
      <c r="L101" s="227">
        <f t="array" ref="L101">IF($G101=0, INDEX(LS_previous!$D$4:$AY$138, MATCH('Staging Table'!$A101, LS_previous!$B$4:$B$138, 0), MATCH(L$4&amp;L$5, LS_previous!$D$2:$AY$2&amp;LS_previous!$D$3:$AY$3, 0)),SUM(VLOOKUP($A101, LS_previous!$B$4:$AY$138, LS_previous!D$149, FALSE), VLOOKUP('Staging Table'!$A101, LS_previous!$B$4:$AY$138,LS_previous!AB$149, FALSE))/2)</f>
        <v>-5995</v>
      </c>
      <c r="M101" s="227">
        <f t="array" ref="M101">IF($G101=0, INDEX(LS_previous!$D$4:$AY$138, MATCH('Staging Table'!$A101, LS_previous!$B$4:$B$138, 0), MATCH(M$4&amp;M$5, LS_previous!$D$2:$AY$2&amp;LS_previous!$D$3:$AY$3, 0)),SUM(VLOOKUP($A101, LS_previous!$B$4:$AY$138, LS_previous!E$149, FALSE), VLOOKUP('Staging Table'!$A101, LS_previous!$B$4:$AY$138,LS_previous!AC$149, FALSE))/2)</f>
        <v>-2282</v>
      </c>
      <c r="N101" s="227">
        <f t="array" ref="N101">IF($G101=0, INDEX(LS_previous!$D$4:$AY$138, MATCH('Staging Table'!$A101, LS_previous!$B$4:$B$138, 0), MATCH(N$4&amp;N$5, LS_previous!$D$2:$AY$2&amp;LS_previous!$D$3:$AY$3, 0)),SUM(VLOOKUP($A101, LS_previous!$B$4:$AY$138, LS_previous!F$149, FALSE), VLOOKUP('Staging Table'!$A101, LS_previous!$B$4:$AY$138,LS_previous!AD$149, FALSE))/2)</f>
        <v>4339</v>
      </c>
      <c r="O101" s="227">
        <f t="array" ref="O101">IF($G101=0, INDEX(LS_previous!$D$4:$AY$138, MATCH('Staging Table'!$A101, LS_previous!$B$4:$B$138, 0), MATCH(O$4&amp;O$5, LS_previous!$D$2:$AY$2&amp;LS_previous!$D$3:$AY$3, 0)),SUM(VLOOKUP($A101, LS_previous!$B$4:$AY$138, LS_previous!G$149, FALSE), VLOOKUP('Staging Table'!$A101, LS_previous!$B$4:$AY$138,LS_previous!AE$149, FALSE))/2)</f>
        <v>5995</v>
      </c>
      <c r="P101" s="227">
        <f t="array" ref="P101">IF($G101=0, INDEX(LS_previous!$D$4:$AY$138, MATCH('Staging Table'!$A101, LS_previous!$B$4:$B$138, 0), MATCH(P$4&amp;P$5, LS_previous!$D$2:$AY$2&amp;LS_previous!$D$3:$AY$3, 0)),SUM(VLOOKUP($A101, LS_previous!$B$4:$AY$138, LS_previous!H$149, FALSE), VLOOKUP('Staging Table'!$A101, LS_previous!$B$4:$AY$138,LS_previous!AF$149, FALSE))/2)</f>
        <v>2610</v>
      </c>
      <c r="Q101" s="227">
        <f t="array" ref="Q101">IF($G101=0, INDEX(LS_previous!$D$4:$AY$138, MATCH('Staging Table'!$A101, LS_previous!$B$4:$B$138, 0), MATCH(Q$4&amp;Q$5, LS_previous!$D$2:$AY$2&amp;LS_previous!$D$3:$AY$3, 0)),SUM(VLOOKUP($A101, LS_previous!$B$4:$AY$138, LS_previous!I$149, FALSE), VLOOKUP('Staging Table'!$A101, LS_previous!$B$4:$AY$138,LS_previous!AG$149, FALSE))/2)</f>
        <v>5146</v>
      </c>
      <c r="R101" s="227">
        <f t="array" ref="R101">IF($G101=0, INDEX(LS_previous!$D$4:$AY$138, MATCH('Staging Table'!$A101, LS_previous!$B$4:$B$138, 0), MATCH(R$4&amp;R$5, LS_previous!$D$2:$AY$2&amp;LS_previous!$D$3:$AY$3, 0)),SUM(VLOOKUP($A101, LS_previous!$B$4:$AY$138, LS_previous!J$149, FALSE), VLOOKUP('Staging Table'!$A101, LS_previous!$B$4:$AY$138,LS_previous!AH$149, FALSE))/2)</f>
        <v>11149</v>
      </c>
      <c r="S101" s="227">
        <f t="array" ref="S101">IF($G101=0, INDEX(LS_previous!$D$4:$AY$138, MATCH('Staging Table'!$A101, LS_previous!$B$4:$B$138, 0), MATCH(S$4&amp;S$5, LS_previous!$D$2:$AY$2&amp;LS_previous!$D$3:$AY$3, 0)),SUM(VLOOKUP($A101, LS_previous!$B$4:$AY$138, LS_previous!K$149, FALSE), VLOOKUP('Staging Table'!$A101, LS_previous!$B$4:$AY$138,LS_previous!AI$149, FALSE))/2)</f>
        <v>10430</v>
      </c>
      <c r="T101" s="227">
        <f t="array" ref="T101">IF($G101=0, INDEX(LS_previous!$D$4:$AY$138, MATCH('Staging Table'!$A101, LS_previous!$B$4:$B$138, 0), MATCH(T$4&amp;T$5, LS_previous!$D$2:$AY$2&amp;LS_previous!$D$3:$AY$3, 0)),SUM(VLOOKUP($A101, LS_previous!$B$4:$AY$138, LS_previous!L$149, FALSE), VLOOKUP('Staging Table'!$A101, LS_previous!$B$4:$AY$138,LS_previous!AJ$149, FALSE))/2)</f>
        <v>10726</v>
      </c>
      <c r="U101" s="227">
        <f t="array" ref="U101">IF($G101=0, INDEX(LS_previous!$D$4:$AY$138, MATCH('Staging Table'!$A101, LS_previous!$B$4:$B$138, 0), MATCH(U$4&amp;U$5, LS_previous!$D$2:$AY$2&amp;LS_previous!$D$3:$AY$3, 0)),SUM(VLOOKUP($A101, LS_previous!$B$4:$AY$138, LS_previous!M$149, FALSE), VLOOKUP('Staging Table'!$A101, LS_previous!$B$4:$AY$138,LS_previous!AK$149, FALSE))/2)</f>
        <v>9395</v>
      </c>
      <c r="V101" s="227">
        <f t="array" ref="V101">IF($G101=0, INDEX(LS_previous!$D$4:$AY$138, MATCH('Staging Table'!$A101, LS_previous!$B$4:$B$138, 0), MATCH(V$4&amp;V$5, LS_previous!$D$2:$AY$2&amp;LS_previous!$D$3:$AY$3, 0)),SUM(VLOOKUP($A101, LS_previous!$B$4:$AY$138, LS_previous!N$149, FALSE), VLOOKUP('Staging Table'!$A101, LS_previous!$B$4:$AY$138,LS_previous!AL$149, FALSE))/2)</f>
        <v>8556</v>
      </c>
      <c r="W101" s="227">
        <f t="array" ref="W101">IF($G101=0, INDEX(LS_previous!$D$4:$AY$138, MATCH('Staging Table'!$A101, LS_previous!$B$4:$B$138, 0), MATCH(W$4&amp;W$5, LS_previous!$D$2:$AY$2&amp;LS_previous!$D$3:$AY$3, 0)),SUM(VLOOKUP($A101, LS_previous!$B$4:$AY$138, LS_previous!O$149, FALSE), VLOOKUP('Staging Table'!$A101, LS_previous!$B$4:$AY$138,LS_previous!AM$149, FALSE))/2)</f>
        <v>7488</v>
      </c>
      <c r="X101" s="227">
        <f t="array" ref="X101">IF($G101=0, INDEX(LS_previous!$D$4:$AY$138, MATCH('Staging Table'!$A101, LS_previous!$B$4:$B$138, 0), MATCH(X$4&amp;X$5, LS_previous!$D$2:$AY$2&amp;LS_previous!$D$3:$AY$3, 0)),SUM(VLOOKUP($A101, LS_previous!$B$4:$AY$138, LS_previous!P$149, FALSE), VLOOKUP('Staging Table'!$A101, LS_previous!$B$4:$AY$138,LS_previous!AN$149, FALSE))/2)</f>
        <v>-8172</v>
      </c>
      <c r="Y101" s="227">
        <f t="array" ref="Y101">IF($G101=0, INDEX(LS_previous!$D$4:$AY$138, MATCH('Staging Table'!$A101, LS_previous!$B$4:$B$138, 0), MATCH(Y$4&amp;Y$5, LS_previous!$D$2:$AY$2&amp;LS_previous!$D$3:$AY$3, 0)),SUM(VLOOKUP($A101, LS_previous!$B$4:$AY$138, LS_previous!Q$149, FALSE), VLOOKUP('Staging Table'!$A101, LS_previous!$B$4:$AY$138,LS_previous!AO$149, FALSE))/2)</f>
        <v>-4241</v>
      </c>
      <c r="Z101" s="227">
        <f t="array" ref="Z101">IF($G101=0, INDEX(LS_previous!$D$4:$AY$138, MATCH('Staging Table'!$A101, LS_previous!$B$4:$B$138, 0), MATCH(Z$4&amp;Z$5, LS_previous!$D$2:$AY$2&amp;LS_previous!$D$3:$AY$3, 0)),SUM(VLOOKUP($A101, LS_previous!$B$4:$AY$138, LS_previous!R$149, FALSE), VLOOKUP('Staging Table'!$A101, LS_previous!$B$4:$AY$138,LS_previous!AP$149, FALSE))/2)</f>
        <v>-13630</v>
      </c>
      <c r="AA101" s="227">
        <f t="array" ref="AA101">IF($G101=0, INDEX(LS_previous!$D$4:$AY$138, MATCH('Staging Table'!$A101, LS_previous!$B$4:$B$138, 0), MATCH(AA$4&amp;AA$5, LS_previous!$D$2:$AY$2&amp;LS_previous!$D$3:$AY$3, 0)),SUM(VLOOKUP($A101, LS_previous!$B$4:$AY$138, LS_previous!S$149, FALSE), VLOOKUP('Staging Table'!$A101, LS_previous!$B$4:$AY$138,LS_previous!AQ$149, FALSE))/2)</f>
        <v>-7755</v>
      </c>
      <c r="AB101" s="227">
        <f t="array" ref="AB101">IF($G101=0, INDEX(LS_previous!$D$4:$AY$138, MATCH('Staging Table'!$A101, LS_previous!$B$4:$B$138, 0), MATCH(AB$4&amp;AB$5, LS_previous!$D$2:$AY$2&amp;LS_previous!$D$3:$AY$3, 0)),SUM(VLOOKUP($A101, LS_previous!$B$4:$AY$138, LS_previous!T$149, FALSE), VLOOKUP('Staging Table'!$A101, LS_previous!$B$4:$AY$138,LS_previous!AR$149, FALSE))/2)</f>
        <v>-11038</v>
      </c>
      <c r="AC101" s="227">
        <f t="array" ref="AC101">IF($G101=0, INDEX(LS_previous!$D$4:$AY$138, MATCH('Staging Table'!$A101, LS_previous!$B$4:$B$138, 0), MATCH(AC$4&amp;AC$5, LS_previous!$D$2:$AY$2&amp;LS_previous!$D$3:$AY$3, 0)),SUM(VLOOKUP($A101, LS_previous!$B$4:$AY$138, LS_previous!U$149, FALSE), VLOOKUP('Staging Table'!$A101, LS_previous!$B$4:$AY$138,LS_previous!AS$149, FALSE))/2)</f>
        <v>-5835</v>
      </c>
      <c r="AD101" s="227">
        <f t="array" ref="AD101">IF($G101=0, INDEX(LS_previous!$D$4:$AY$138, MATCH('Staging Table'!$A101, LS_previous!$B$4:$B$138, 0), MATCH(AD$4&amp;AD$5, LS_previous!$D$2:$AY$2&amp;LS_previous!$D$3:$AY$3, 0)),SUM(VLOOKUP($A101, LS_previous!$B$4:$AY$138, LS_previous!V$149, FALSE), VLOOKUP('Staging Table'!$A101, LS_previous!$B$4:$AY$138,LS_previous!AT$149, FALSE))/2)</f>
        <v>-5686</v>
      </c>
      <c r="AE101" s="227">
        <f t="array" ref="AE101">IF($G101=0, INDEX(LS_previous!$D$4:$AY$138, MATCH('Staging Table'!$A101, LS_previous!$B$4:$B$138, 0), MATCH(AE$4&amp;AE$5, LS_previous!$D$2:$AY$2&amp;LS_previous!$D$3:$AY$3, 0)),SUM(VLOOKUP($A101, LS_previous!$B$4:$AY$138, LS_previous!W$149, FALSE), VLOOKUP('Staging Table'!$A101, LS_previous!$B$4:$AY$138,LS_previous!AU$149, FALSE))/2)</f>
        <v>-1689</v>
      </c>
      <c r="AF101" s="227">
        <f t="array" ref="AF101">IF($G101=0, INDEX(LS_previous!$D$4:$AY$138, MATCH('Staging Table'!$A101, LS_previous!$B$4:$B$138, 0), MATCH(AF$4&amp;AF$5, LS_previous!$D$2:$AY$2&amp;LS_previous!$D$3:$AY$3, 0)),SUM(VLOOKUP($A101, LS_previous!$B$4:$AY$138, LS_previous!X$149, FALSE), VLOOKUP('Staging Table'!$A101, LS_previous!$B$4:$AY$138,LS_previous!AV$149, FALSE))/2)</f>
        <v>-6658</v>
      </c>
      <c r="AG101" s="227">
        <f t="array" ref="AG101">IF($G101=0, INDEX(LS_previous!$D$4:$AY$138, MATCH('Staging Table'!$A101, LS_previous!$B$4:$B$138, 0), MATCH(AG$4&amp;AG$5, LS_previous!$D$2:$AY$2&amp;LS_previous!$D$3:$AY$3, 0)),SUM(VLOOKUP($A101, LS_previous!$B$4:$AY$138, LS_previous!Y$149, FALSE), VLOOKUP('Staging Table'!$A101, LS_previous!$B$4:$AY$138,LS_previous!AW$149, FALSE))/2)</f>
        <v>-2311</v>
      </c>
      <c r="AH101" s="227">
        <f t="array" ref="AH101">IF($G101=0, INDEX(LS_previous!$D$4:$AY$138, MATCH('Staging Table'!$A101, LS_previous!$B$4:$B$138, 0), MATCH(AH$4&amp;AH$5, LS_previous!$D$2:$AY$2&amp;LS_previous!$D$3:$AY$3, 0)),SUM(VLOOKUP($A101, LS_previous!$B$4:$AY$138, LS_previous!Z$149, FALSE), VLOOKUP('Staging Table'!$A101, LS_previous!$B$4:$AY$138,LS_previous!AX$149, FALSE))/2)</f>
        <v>-1439</v>
      </c>
      <c r="AI101" s="227">
        <f t="array" ref="AI101">IF($G101=0, INDEX(LS_previous!$D$4:$AY$138, MATCH('Staging Table'!$A101, LS_previous!$B$4:$B$138, 0), MATCH(AI$4&amp;AI$5, LS_previous!$D$2:$AY$2&amp;LS_previous!$D$3:$AY$3, 0)),SUM(VLOOKUP($A101, LS_previous!$B$4:$AY$138, LS_previous!AA$149, FALSE), VLOOKUP('Staging Table'!$A101, LS_previous!$B$4:$AY$138,LS_previous!AY$149, FALSE))/2)</f>
        <v>1693</v>
      </c>
      <c r="AJ101" s="424">
        <f t="array" ref="AJ101">INDEX(Demand_previous!$D$4:$AY$138, MATCH('Staging Table'!$A101, Demand_previous!$B$4:$B$138, 0), MATCH(AJ$4&amp;AJ$5,Demand_previous!$D$2:$AY$2&amp;Demand_previous!$D$3:$AY$3, 0))/1000</f>
        <v>0</v>
      </c>
      <c r="AK101" s="424">
        <f t="array" ref="AK101">INDEX(Demand_previous!$D$4:$AY$138, MATCH('Staging Table'!$A101, Demand_previous!$B$4:$B$138, 0), MATCH(AK$4&amp;AK$5,Demand_previous!$D$2:$AY$2&amp;Demand_previous!$D$3:$AY$3, 0))/1000</f>
        <v>0</v>
      </c>
      <c r="AL101" s="424">
        <f t="array" ref="AL101">INDEX(Demand_previous!$D$4:$AY$138, MATCH('Staging Table'!$A101, Demand_previous!$B$4:$B$138, 0), MATCH(AL$4&amp;AL$5,Demand_previous!$D$2:$AY$2&amp;Demand_previous!$D$3:$AY$3, 0))/1000</f>
        <v>0</v>
      </c>
      <c r="AM101" s="424">
        <f t="array" ref="AM101">INDEX(Demand_previous!$D$4:$AY$138, MATCH('Staging Table'!$A101, Demand_previous!$B$4:$B$138, 0), MATCH(AM$4&amp;AM$5,Demand_previous!$D$2:$AY$2&amp;Demand_previous!$D$3:$AY$3, 0))/1000</f>
        <v>0</v>
      </c>
      <c r="AN101" s="424">
        <f t="array" ref="AN101">INDEX(Demand_previous!$D$4:$AY$138, MATCH('Staging Table'!$A101, Demand_previous!$B$4:$B$138, 0), MATCH(AN$4&amp;AN$5,Demand_previous!$D$2:$AY$2&amp;Demand_previous!$D$3:$AY$3, 0))/1000</f>
        <v>0</v>
      </c>
      <c r="AO101" s="424">
        <f t="array" ref="AO101">INDEX(Demand_previous!$D$4:$AY$138, MATCH('Staging Table'!$A101, Demand_previous!$B$4:$B$138, 0), MATCH(AO$4&amp;AO$5,Demand_previous!$D$2:$AY$2&amp;Demand_previous!$D$3:$AY$3, 0))/1000</f>
        <v>0</v>
      </c>
      <c r="AP101" s="424">
        <f t="array" ref="AP101">INDEX(Demand_previous!$D$4:$AY$138, MATCH('Staging Table'!$A101, Demand_previous!$B$4:$B$138, 0), MATCH(AP$4&amp;AP$5,Demand_previous!$D$2:$AY$2&amp;Demand_previous!$D$3:$AY$3, 0))/1000</f>
        <v>0</v>
      </c>
      <c r="AQ101" s="424">
        <f t="array" ref="AQ101">INDEX(Demand_previous!$D$4:$AY$138, MATCH('Staging Table'!$A101, Demand_previous!$B$4:$B$138, 0), MATCH(AQ$4&amp;AQ$5,Demand_previous!$D$2:$AY$2&amp;Demand_previous!$D$3:$AY$3, 0))/1000</f>
        <v>0</v>
      </c>
      <c r="AR101" s="424">
        <f t="array" ref="AR101">INDEX(Demand_previous!$D$4:$AY$138, MATCH('Staging Table'!$A101, Demand_previous!$B$4:$B$138, 0), MATCH(AR$4&amp;AR$5,Demand_previous!$D$2:$AY$2&amp;Demand_previous!$D$3:$AY$3, 0))/1000</f>
        <v>0</v>
      </c>
      <c r="AS101" s="424">
        <f t="array" ref="AS101">INDEX(Demand_previous!$D$4:$AY$138, MATCH('Staging Table'!$A101, Demand_previous!$B$4:$B$138, 0), MATCH(AS$4&amp;AS$5,Demand_previous!$D$2:$AY$2&amp;Demand_previous!$D$3:$AY$3, 0))/1000</f>
        <v>0</v>
      </c>
      <c r="AT101" s="424">
        <f t="array" ref="AT101">INDEX(Demand_previous!$D$4:$AY$138, MATCH('Staging Table'!$A101, Demand_previous!$B$4:$B$138, 0), MATCH(AT$4&amp;AT$5,Demand_previous!$D$2:$AY$2&amp;Demand_previous!$D$3:$AY$3, 0))/1000</f>
        <v>0</v>
      </c>
      <c r="AU101" s="424">
        <f t="array" ref="AU101">INDEX(Demand_previous!$D$4:$AY$138, MATCH('Staging Table'!$A101, Demand_previous!$B$4:$B$138, 0), MATCH(AU$4&amp;AU$5,Demand_previous!$D$2:$AY$2&amp;Demand_previous!$D$3:$AY$3, 0))/1000</f>
        <v>0</v>
      </c>
      <c r="AV101" s="227">
        <f>$F101*(VLOOKUP(AV$4, Rates_previous!$G$6:$Q$29, 10, FALSE)+VLOOKUP(AV$4, Rates_previous!$G$6:$Q$29, 11, FALSE))</f>
        <v>14973.334510414628</v>
      </c>
      <c r="AW101" s="227">
        <f>$F101*(VLOOKUP(AW$4, Rates_previous!$G$6:$Q$29, 10, FALSE)+VLOOKUP(AW$4, Rates_previous!$G$6:$Q$29, 11, FALSE))</f>
        <v>18505.903421139195</v>
      </c>
      <c r="AX101" s="227">
        <f>$F101*(VLOOKUP(AX$4, Rates_previous!$G$6:$Q$29, 10, FALSE)+VLOOKUP(AX$4, Rates_previous!$G$6:$Q$29, 11, FALSE))</f>
        <v>18283.669655180933</v>
      </c>
      <c r="AY101" s="227">
        <f>$F101*(VLOOKUP(AY$4, Rates_previous!$G$6:$Q$29, 10, FALSE)+VLOOKUP(AY$4, Rates_previous!$G$6:$Q$29, 11, FALSE))</f>
        <v>15621.652998811944</v>
      </c>
      <c r="AZ101" s="227">
        <f>$F101*(VLOOKUP(AZ$4, Rates_previous!$G$6:$Q$29, 10, FALSE)+VLOOKUP(AZ$4, Rates_previous!$G$6:$Q$29, 11, FALSE))</f>
        <v>12806.72530906127</v>
      </c>
      <c r="BA101" s="227">
        <f>$F101*(VLOOKUP(BA$4, Rates_previous!$G$6:$Q$29, 10, FALSE)+VLOOKUP(BA$4, Rates_previous!$G$6:$Q$29, 11, FALSE))</f>
        <v>15162.697582493665</v>
      </c>
      <c r="BB101" s="227">
        <f>$F101*(VLOOKUP(BB$4, Rates_previous!$G$6:$Q$29, 10, FALSE)+VLOOKUP(BB$4, Rates_previous!$G$6:$Q$29, 11, FALSE))</f>
        <v>14573.55792569788</v>
      </c>
      <c r="BC101" s="227">
        <f>$F101*(VLOOKUP(BC$4, Rates_previous!$G$6:$Q$29, 10, FALSE)+VLOOKUP(BC$4, Rates_previous!$G$6:$Q$29, 11, FALSE))</f>
        <v>21385.66499096177</v>
      </c>
      <c r="BD101" s="227">
        <f>$F101*(VLOOKUP(BD$4, Rates_previous!$G$6:$Q$29, 10, FALSE)+VLOOKUP(BD$4, Rates_previous!$G$6:$Q$29, 11, FALSE))</f>
        <v>16872.724447853252</v>
      </c>
      <c r="BE101" s="227">
        <f>$F101*(VLOOKUP(BE$4, Rates_previous!$G$6:$Q$29, 10, FALSE)+VLOOKUP(BE$4, Rates_previous!$G$6:$Q$29, 11, FALSE))</f>
        <v>14815.668286288599</v>
      </c>
      <c r="BF101" s="227">
        <f>$F101*(VLOOKUP(BF$4, Rates_previous!$G$6:$Q$29, 10, FALSE)+VLOOKUP(BF$4, Rates_previous!$G$6:$Q$29, 11, FALSE))</f>
        <v>16408.945664379888</v>
      </c>
      <c r="BG101" s="227">
        <f>$F101*(VLOOKUP(BG$4, Rates_previous!$G$6:$Q$29, 10, FALSE)+VLOOKUP(BG$4, Rates_previous!$G$6:$Q$29, 11, FALSE))</f>
        <v>14865.852229056442</v>
      </c>
      <c r="BH101" s="229">
        <f>IF($D101=0,IF(C101=0, MAX(BK101 - (VLOOKUP($A101,TOCA_previous!$A$2:$AI$137,MATCH("RHWM 2018",TOCA_previous!$A$2:$AI$2,0),FALSE)*$F$2*TOCA_previous!C98),0),0), 0)</f>
        <v>0</v>
      </c>
      <c r="BI101" s="266">
        <f>VLOOKUP($A101,REP_previous!$A$1:$D$135,MATCH("FY "&amp;$F$1&amp; " Total Refund",REP_previous!$A$1:$D$1,0),0)</f>
        <v>218511.51253542781</v>
      </c>
      <c r="BJ101" s="241">
        <f>MIN(VLOOKUP($A101,TOCA_previous!$A$2:$AI$137,MATCH("TRL - NLSL - Existing Resource "&amp;$F$1,TOCA_previous!$A$2:$AI$2,0),FALSE)*$F$2,(VLOOKUP($A101,TOCA_previous!$A$2:$AI$137,MATCH("RHWM 2018",TOCA_previous!$A$2:$AI$2,0),FALSE)*$F$2))</f>
        <v>194279.28</v>
      </c>
      <c r="BK101" s="229">
        <f>SUM(L101:AI101)+(F101*RT1SC!$C$3*$F$2)</f>
        <v>195072.39985566397</v>
      </c>
      <c r="BL101" s="241">
        <f>VLOOKUP($A101,TOCA_previous!$A$2:$AI$137,MATCH("Above RHWM Not Served with LS "&amp;$F$1,TOCA_previous!$A$2:$AI$2,0),FALSE)*$F$2</f>
        <v>0</v>
      </c>
      <c r="BM101" s="151">
        <f t="shared" si="21"/>
        <v>793.11985566397198</v>
      </c>
      <c r="BN101" s="242">
        <f>(VLOOKUP($A101,TOCA_previous!$A$2:$AI$137,MATCH("RHWM 2018",TOCA_previous!$A$2:$AI$2,0),FALSE)*$F$2) - $BJ101</f>
        <v>27830.520000000019</v>
      </c>
      <c r="BO101" s="151">
        <f t="shared" si="22"/>
        <v>-793.11985566397198</v>
      </c>
      <c r="BP101" s="243">
        <f t="shared" si="23"/>
        <v>0</v>
      </c>
      <c r="BQ101" s="237">
        <f t="shared" si="24"/>
        <v>0</v>
      </c>
      <c r="BR101" s="242">
        <f t="shared" si="25"/>
        <v>0</v>
      </c>
      <c r="BS101" s="151">
        <f>VLOOKUP($A101,TOCA_current!$A$2:$AI$137,MATCH(BS$4,TOCA_current!$A$2:$AI$2,0),FALSE)</f>
        <v>3.1486999999999999E-3</v>
      </c>
      <c r="BT101" s="151">
        <f>VLOOKUP($A101,TOCA_current!$A$2:$AI$137,MATCH(BT$4,TOCA_current!$A$2:$AI$2,0),FALSE)</f>
        <v>3.1486999999999999E-3</v>
      </c>
      <c r="BU101" s="236">
        <f t="shared" si="26"/>
        <v>0</v>
      </c>
      <c r="BV101" s="151">
        <f>VLOOKUP($A101,TOCA_current!A97:BG232,MATCH(BV$4,TOCA_current!$A$2:$BG$2,0),FALSE)</f>
        <v>0</v>
      </c>
      <c r="BW101" s="151">
        <f t="shared" si="27"/>
        <v>0</v>
      </c>
      <c r="BX101" s="151">
        <f t="shared" si="28"/>
        <v>0</v>
      </c>
      <c r="BY101" s="226">
        <f>VLOOKUP($A101,IRD!$A$4:$G$139, 7, FALSE)</f>
        <v>0</v>
      </c>
      <c r="BZ101" s="227">
        <f t="array" ref="BZ101">IF($BU101=0, INDEX(LS_current!$D$4:$AY$138, MATCH('Staging Table'!$A101, LS_current!$B$4:$B$138, 0), MATCH(BZ$4&amp;BZ$5, LS_current!$D$2:$AY$2&amp;LS_current!$D$3:$AY$3, 0)),SUM(VLOOKUP($A101, LS_current!$B$4:$AY$138, LS_current!D$148, FALSE), VLOOKUP($A101, LS_current!$B$4:$AY$138,LS_current!D$148, FALSE))/2)</f>
        <v>-5639</v>
      </c>
      <c r="CA101" s="227">
        <f t="array" ref="CA101">IF($BU101=0, INDEX(LS_current!$D$4:$AY$138, MATCH('Staging Table'!$A101, LS_current!$B$4:$B$138, 0), MATCH(CA$4&amp;CA$5, LS_current!$D$2:$AY$2&amp;LS_current!$D$3:$AY$3, 0)),SUM(VLOOKUP($A101, LS_current!$B$4:$AY$138, LS_current!E$148, FALSE), VLOOKUP($A101, LS_current!$B$4:$AY$138,LS_current!E$148, FALSE))/2)</f>
        <v>-2294</v>
      </c>
      <c r="CB101" s="227">
        <f t="array" ref="CB101">IF($BU101=0, INDEX(LS_current!$D$4:$AY$138, MATCH('Staging Table'!$A101, LS_current!$B$4:$B$138, 0), MATCH(CB$4&amp;CB$5, LS_current!$D$2:$AY$2&amp;LS_current!$D$3:$AY$3, 0)),SUM(VLOOKUP($A101, LS_current!$B$4:$AY$138, LS_current!F$148, FALSE), VLOOKUP($A101, LS_current!$B$4:$AY$138,LS_current!F$148, FALSE))/2)</f>
        <v>4481</v>
      </c>
      <c r="CC101" s="227">
        <f t="array" ref="CC101">IF($BU101=0, INDEX(LS_current!$D$4:$AY$138, MATCH('Staging Table'!$A101, LS_current!$B$4:$B$138, 0), MATCH(CC$4&amp;CC$5, LS_current!$D$2:$AY$2&amp;LS_current!$D$3:$AY$3, 0)),SUM(VLOOKUP($A101, LS_current!$B$4:$AY$138, LS_current!G$148, FALSE), VLOOKUP($A101, LS_current!$B$4:$AY$138,LS_current!G$148, FALSE))/2)</f>
        <v>5999</v>
      </c>
      <c r="CD101" s="227">
        <f t="array" ref="CD101">IF($BU101=0, INDEX(LS_current!$D$4:$AY$138, MATCH('Staging Table'!$A101, LS_current!$B$4:$B$138, 0), MATCH(CD$4&amp;CD$5, LS_current!$D$2:$AY$2&amp;LS_current!$D$3:$AY$3, 0)),SUM(VLOOKUP($A101, LS_current!$B$4:$AY$138, LS_current!H$148, FALSE), VLOOKUP($A101, LS_current!$B$4:$AY$138,LS_current!H$148, FALSE))/2)</f>
        <v>2771</v>
      </c>
      <c r="CE101" s="227">
        <f t="array" ref="CE101">IF($BU101=0, INDEX(LS_current!$D$4:$AY$138, MATCH('Staging Table'!$A101, LS_current!$B$4:$B$138, 0), MATCH(CE$4&amp;CE$5, LS_current!$D$2:$AY$2&amp;LS_current!$D$3:$AY$3, 0)),SUM(VLOOKUP($A101, LS_current!$B$4:$AY$138, LS_current!I$148, FALSE), VLOOKUP($A101, LS_current!$B$4:$AY$138,LS_current!I$148, FALSE))/2)</f>
        <v>5212</v>
      </c>
      <c r="CF101" s="227">
        <f t="array" ref="CF101">IF($BU101=0, INDEX(LS_current!$D$4:$AY$138, MATCH('Staging Table'!$A101, LS_current!$B$4:$B$138, 0), MATCH(CF$4&amp;CF$5, LS_current!$D$2:$AY$2&amp;LS_current!$D$3:$AY$3, 0)),SUM(VLOOKUP($A101, LS_current!$B$4:$AY$138, LS_current!J$148, FALSE), VLOOKUP($A101, LS_current!$B$4:$AY$138,LS_current!J$148, FALSE))/2)</f>
        <v>11082</v>
      </c>
      <c r="CG101" s="227">
        <f t="array" ref="CG101">IF($BU101=0, INDEX(LS_current!$D$4:$AY$138, MATCH('Staging Table'!$A101, LS_current!$B$4:$B$138, 0), MATCH(CG$4&amp;CG$5, LS_current!$D$2:$AY$2&amp;LS_current!$D$3:$AY$3, 0)),SUM(VLOOKUP($A101, LS_current!$B$4:$AY$138, LS_current!K$148, FALSE), VLOOKUP($A101, LS_current!$B$4:$AY$138,LS_current!K$148, FALSE))/2)</f>
        <v>10623</v>
      </c>
      <c r="CH101" s="227">
        <f t="array" ref="CH101">IF($BU101=0, INDEX(LS_current!$D$4:$AY$138, MATCH('Staging Table'!$A101, LS_current!$B$4:$B$138, 0), MATCH(CH$4&amp;CH$5, LS_current!$D$2:$AY$2&amp;LS_current!$D$3:$AY$3, 0)),SUM(VLOOKUP($A101, LS_current!$B$4:$AY$138, LS_current!L$148, FALSE), VLOOKUP($A101, LS_current!$B$4:$AY$138,LS_current!L$148, FALSE))/2)</f>
        <v>10066</v>
      </c>
      <c r="CI101" s="227">
        <f t="array" ref="CI101">IF($BU101=0, INDEX(LS_current!$D$4:$AY$138, MATCH('Staging Table'!$A101, LS_current!$B$4:$B$138, 0), MATCH(CI$4&amp;CI$5, LS_current!$D$2:$AY$2&amp;LS_current!$D$3:$AY$3, 0)),SUM(VLOOKUP($A101, LS_current!$B$4:$AY$138, LS_current!M$148, FALSE), VLOOKUP($A101, LS_current!$B$4:$AY$138,LS_current!M$148, FALSE))/2)</f>
        <v>8796</v>
      </c>
      <c r="CJ101" s="227">
        <f t="array" ref="CJ101">IF($BU101=0, INDEX(LS_current!$D$4:$AY$138, MATCH('Staging Table'!$A101, LS_current!$B$4:$B$138, 0), MATCH(CJ$4&amp;CJ$5, LS_current!$D$2:$AY$2&amp;LS_current!$D$3:$AY$3, 0)),SUM(VLOOKUP($A101, LS_current!$B$4:$AY$138, LS_current!N$148, FALSE), VLOOKUP($A101, LS_current!$B$4:$AY$138,LS_current!N$148, FALSE))/2)</f>
        <v>7552</v>
      </c>
      <c r="CK101" s="227">
        <f t="array" ref="CK101">IF($BU101=0, INDEX(LS_current!$D$4:$AY$138, MATCH('Staging Table'!$A101, LS_current!$B$4:$B$138, 0), MATCH(CK$4&amp;CK$5, LS_current!$D$2:$AY$2&amp;LS_current!$D$3:$AY$3, 0)),SUM(VLOOKUP($A101, LS_current!$B$4:$AY$138, LS_current!O$148, FALSE), VLOOKUP($A101, LS_current!$B$4:$AY$138,LS_current!O$148, FALSE))/2)</f>
        <v>8014</v>
      </c>
      <c r="CL101" s="227">
        <f t="array" ref="CL101">IF($BU101=0, INDEX(LS_current!$D$4:$AY$138, MATCH('Staging Table'!$A101, LS_current!$B$4:$B$138, 0), MATCH(CL$4&amp;CL$5, LS_current!$D$2:$AY$2&amp;LS_current!$D$3:$AY$3, 0)),SUM(VLOOKUP($A101, LS_current!$B$4:$AY$138, LS_current!P$148, FALSE), VLOOKUP($A101, LS_current!$B$4:$AY$138,LS_current!P$148, FALSE))/2)</f>
        <v>-6729</v>
      </c>
      <c r="CM101" s="227">
        <f t="array" ref="CM101">IF($BU101=0, INDEX(LS_current!$D$4:$AY$138, MATCH('Staging Table'!$A101, LS_current!$B$4:$B$138, 0), MATCH(CM$4&amp;CM$5, LS_current!$D$2:$AY$2&amp;LS_current!$D$3:$AY$3, 0)),SUM(VLOOKUP($A101, LS_current!$B$4:$AY$138, LS_current!Q$148, FALSE), VLOOKUP($A101, LS_current!$B$4:$AY$138,LS_current!Q$148, FALSE))/2)</f>
        <v>-3806</v>
      </c>
      <c r="CN101" s="227">
        <f t="array" ref="CN101">IF($BU101=0, INDEX(LS_current!$D$4:$AY$138, MATCH('Staging Table'!$A101, LS_current!$B$4:$B$138, 0), MATCH(CN$4&amp;CN$5, LS_current!$D$2:$AY$2&amp;LS_current!$D$3:$AY$3, 0)),SUM(VLOOKUP($A101, LS_current!$B$4:$AY$138, LS_current!R$148, FALSE), VLOOKUP($A101, LS_current!$B$4:$AY$138,LS_current!R$148, FALSE))/2)</f>
        <v>-10920</v>
      </c>
      <c r="CO101" s="227">
        <f t="array" ref="CO101">IF($BU101=0, INDEX(LS_current!$D$4:$AY$138, MATCH('Staging Table'!$A101, LS_current!$B$4:$B$138, 0), MATCH(CO$4&amp;CO$5, LS_current!$D$2:$AY$2&amp;LS_current!$D$3:$AY$3, 0)),SUM(VLOOKUP($A101, LS_current!$B$4:$AY$138, LS_current!S$148, FALSE), VLOOKUP($A101, LS_current!$B$4:$AY$138,LS_current!S$148, FALSE))/2)</f>
        <v>-5908</v>
      </c>
      <c r="CP101" s="227">
        <f t="array" ref="CP101">IF($BU101=0, INDEX(LS_current!$D$4:$AY$138, MATCH('Staging Table'!$A101, LS_current!$B$4:$B$138, 0), MATCH(CP$4&amp;CP$5, LS_current!$D$2:$AY$2&amp;LS_current!$D$3:$AY$3, 0)),SUM(VLOOKUP($A101, LS_current!$B$4:$AY$138, LS_current!T$148, FALSE), VLOOKUP($A101, LS_current!$B$4:$AY$138,LS_current!T$148, FALSE))/2)</f>
        <v>-13935</v>
      </c>
      <c r="CQ101" s="227">
        <f t="array" ref="CQ101">IF($BU101=0, INDEX(LS_current!$D$4:$AY$138, MATCH('Staging Table'!$A101, LS_current!$B$4:$B$138, 0), MATCH(CQ$4&amp;CQ$5, LS_current!$D$2:$AY$2&amp;LS_current!$D$3:$AY$3, 0)),SUM(VLOOKUP($A101, LS_current!$B$4:$AY$138, LS_current!U$148, FALSE), VLOOKUP($A101, LS_current!$B$4:$AY$138,LS_current!U$148, FALSE))/2)</f>
        <v>-7536</v>
      </c>
      <c r="CR101" s="227">
        <f t="array" ref="CR101">IF($BU101=0, INDEX(LS_current!$D$4:$AY$138, MATCH('Staging Table'!$A101, LS_current!$B$4:$B$138, 0), MATCH(CR$4&amp;CR$5, LS_current!$D$2:$AY$2&amp;LS_current!$D$3:$AY$3, 0)),SUM(VLOOKUP($A101, LS_current!$B$4:$AY$138, LS_current!V$148, FALSE), VLOOKUP($A101, LS_current!$B$4:$AY$138,LS_current!V$148, FALSE))/2)</f>
        <v>-7460</v>
      </c>
      <c r="CS101" s="227">
        <f t="array" ref="CS101">IF($BU101=0, INDEX(LS_current!$D$4:$AY$138, MATCH('Staging Table'!$A101, LS_current!$B$4:$B$138, 0), MATCH(CS$4&amp;CS$5, LS_current!$D$2:$AY$2&amp;LS_current!$D$3:$AY$3, 0)),SUM(VLOOKUP($A101, LS_current!$B$4:$AY$138, LS_current!W$148, FALSE), VLOOKUP($A101, LS_current!$B$4:$AY$138,LS_current!W$148, FALSE))/2)</f>
        <v>-1991</v>
      </c>
      <c r="CT101" s="227">
        <f t="array" ref="CT101">IF($BU101=0, INDEX(LS_current!$D$4:$AY$138, MATCH('Staging Table'!$A101, LS_current!$B$4:$B$138, 0), MATCH(CT$4&amp;CT$5, LS_current!$D$2:$AY$2&amp;LS_current!$D$3:$AY$3, 0)),SUM(VLOOKUP($A101, LS_current!$B$4:$AY$138, LS_current!X$148, FALSE), VLOOKUP($A101, LS_current!$B$4:$AY$138,LS_current!X$148, FALSE))/2)</f>
        <v>-6997</v>
      </c>
      <c r="CU101" s="227">
        <f t="array" ref="CU101">IF($BU101=0, INDEX(LS_current!$D$4:$AY$138, MATCH('Staging Table'!$A101, LS_current!$B$4:$B$138, 0), MATCH(CU$4&amp;CU$5, LS_current!$D$2:$AY$2&amp;LS_current!$D$3:$AY$3, 0)),SUM(VLOOKUP($A101, LS_current!$B$4:$AY$138, LS_current!Y$148, FALSE), VLOOKUP($A101, LS_current!$B$4:$AY$138,LS_current!Y$148, FALSE))/2)</f>
        <v>-1819</v>
      </c>
      <c r="CV101" s="227">
        <f t="array" ref="CV101">IF($BU101=0, INDEX(LS_current!$D$4:$AY$138, MATCH('Staging Table'!$A101, LS_current!$B$4:$B$138, 0), MATCH(CV$4&amp;CV$5, LS_current!$D$2:$AY$2&amp;LS_current!$D$3:$AY$3, 0)),SUM(VLOOKUP($A101, LS_current!$B$4:$AY$138, LS_current!Z$148, FALSE), VLOOKUP($A101, LS_current!$B$4:$AY$138,LS_current!Z$148, FALSE))/2)</f>
        <v>-1006</v>
      </c>
      <c r="CW101" s="227">
        <f t="array" ref="CW101">IF($BU101=0, INDEX(LS_current!$D$4:$AY$138, MATCH('Staging Table'!$A101, LS_current!$B$4:$B$138, 0), MATCH(CW$4&amp;CW$5, LS_current!$D$2:$AY$2&amp;LS_current!$D$3:$AY$3, 0)),SUM(VLOOKUP($A101, LS_current!$B$4:$AY$138, LS_current!AA$148, FALSE), VLOOKUP($A101, LS_current!$B$4:$AY$138,LS_current!AA$148, FALSE))/2)</f>
        <v>1443</v>
      </c>
      <c r="CX101" s="229">
        <f t="array" ref="CX101">INDEX(Demand_current!$D$4:$AY$138, MATCH($A101, Demand_current!$B$4:$B$138, 0), MATCH(CX$4&amp;CX$5,Demand_current!$D$2:$AY$2&amp;Demand_current!$D$3:$AY$3, 0))/1000</f>
        <v>0</v>
      </c>
      <c r="CY101" s="229">
        <f t="array" ref="CY101">INDEX(Demand_current!$D$4:$AY$138, MATCH($A101, Demand_current!$B$4:$B$138, 0), MATCH(CY$4&amp;CY$5,Demand_current!$D$2:$AY$2&amp;Demand_current!$D$3:$AY$3, 0))/1000</f>
        <v>0</v>
      </c>
      <c r="CZ101" s="229">
        <f t="array" ref="CZ101">INDEX(Demand_current!$D$4:$AY$138, MATCH($A101, Demand_current!$B$4:$B$138, 0), MATCH(CZ$4&amp;CZ$5,Demand_current!$D$2:$AY$2&amp;Demand_current!$D$3:$AY$3, 0))/1000</f>
        <v>0</v>
      </c>
      <c r="DA101" s="229">
        <f t="array" ref="DA101">INDEX(Demand_current!$D$4:$AY$138, MATCH($A101, Demand_current!$B$4:$B$138, 0), MATCH(DA$4&amp;DA$5,Demand_current!$D$2:$AY$2&amp;Demand_current!$D$3:$AY$3, 0))/1000</f>
        <v>0</v>
      </c>
      <c r="DB101" s="229">
        <f t="array" ref="DB101">INDEX(Demand_current!$D$4:$AY$138, MATCH($A101, Demand_current!$B$4:$B$138, 0), MATCH(DB$4&amp;DB$5,Demand_current!$D$2:$AY$2&amp;Demand_current!$D$3:$AY$3, 0))/1000</f>
        <v>0</v>
      </c>
      <c r="DC101" s="229">
        <f t="array" ref="DC101">INDEX(Demand_current!$D$4:$AY$138, MATCH($A101, Demand_current!$B$4:$B$138, 0), MATCH(DC$4&amp;DC$5,Demand_current!$D$2:$AY$2&amp;Demand_current!$D$3:$AY$3, 0))/1000</f>
        <v>0</v>
      </c>
      <c r="DD101" s="229">
        <f t="array" ref="DD101">INDEX(Demand_current!$D$4:$AY$138, MATCH($A101, Demand_current!$B$4:$B$138, 0), MATCH(DD$4&amp;DD$5,Demand_current!$D$2:$AY$2&amp;Demand_current!$D$3:$AY$3, 0))/1000</f>
        <v>0</v>
      </c>
      <c r="DE101" s="229">
        <f t="array" ref="DE101">INDEX(Demand_current!$D$4:$AY$138, MATCH($A101, Demand_current!$B$4:$B$138, 0), MATCH(DE$4&amp;DE$5,Demand_current!$D$2:$AY$2&amp;Demand_current!$D$3:$AY$3, 0))/1000</f>
        <v>0</v>
      </c>
      <c r="DF101" s="229">
        <f t="array" ref="DF101">INDEX(Demand_current!$D$4:$AY$138, MATCH($A101, Demand_current!$B$4:$B$138, 0), MATCH(DF$4&amp;DF$5,Demand_current!$D$2:$AY$2&amp;Demand_current!$D$3:$AY$3, 0))/1000</f>
        <v>0</v>
      </c>
      <c r="DG101" s="229">
        <f t="array" ref="DG101">INDEX(Demand_current!$D$4:$AY$138, MATCH($A101, Demand_current!$B$4:$B$138, 0), MATCH(DG$4&amp;DG$5,Demand_current!$D$2:$AY$2&amp;Demand_current!$D$3:$AY$3, 0))/1000</f>
        <v>0</v>
      </c>
      <c r="DH101" s="229">
        <f t="array" ref="DH101">INDEX(Demand_current!$D$4:$AY$138, MATCH($A101, Demand_current!$B$4:$B$138, 0), MATCH(DH$4&amp;DH$5,Demand_current!$D$2:$AY$2&amp;Demand_current!$D$3:$AY$3, 0))/1000</f>
        <v>0</v>
      </c>
      <c r="DI101" s="229">
        <f t="array" ref="DI101">INDEX(Demand_current!$D$4:$AY$138, MATCH($A101, Demand_current!$B$4:$B$138, 0), MATCH(DI$4&amp;DI$5,Demand_current!$D$2:$AY$2&amp;Demand_current!$D$3:$AY$3, 0))/1000</f>
        <v>0</v>
      </c>
      <c r="DJ101" s="227">
        <f>$BT101*(VLOOKUP(DJ$4, Rates_current!$G$6:$Q$29, 10, FALSE)+VLOOKUP(DJ$4, Rates_current!$G$6:$Q$29, 11, FALSE))</f>
        <v>14538.546655045198</v>
      </c>
      <c r="DK101" s="227">
        <f>$BT101*(VLOOKUP(DK$4, Rates_current!$G$6:$Q$29, 10, FALSE)+VLOOKUP(DK$4, Rates_current!$G$6:$Q$29, 11, FALSE))</f>
        <v>18468.489639639301</v>
      </c>
      <c r="DL101" s="227">
        <f>$BT101*(VLOOKUP(DL$4, Rates_current!$G$6:$Q$29, 10, FALSE)+VLOOKUP(DL$4, Rates_current!$G$6:$Q$29, 11, FALSE))</f>
        <v>18245.457637145202</v>
      </c>
      <c r="DM101" s="227">
        <f>$BT101*(VLOOKUP(DM$4, Rates_current!$G$6:$Q$29, 10, FALSE)+VLOOKUP(DM$4, Rates_current!$G$6:$Q$29, 11, FALSE))</f>
        <v>15208.700219545201</v>
      </c>
      <c r="DN101" s="227">
        <f>$BT101*(VLOOKUP(DN$4, Rates_current!$G$6:$Q$29, 10, FALSE)+VLOOKUP(DN$4, Rates_current!$G$6:$Q$29, 11, FALSE))</f>
        <v>13777.504618159999</v>
      </c>
      <c r="DO101" s="227">
        <f>$BT101*(VLOOKUP(DO$4, Rates_current!$G$6:$Q$29, 10, FALSE)+VLOOKUP(DO$4, Rates_current!$G$6:$Q$29, 11, FALSE))</f>
        <v>15324.962002831899</v>
      </c>
      <c r="DP101" s="227">
        <f>$BT101*(VLOOKUP(DP$4, Rates_current!$G$6:$Q$29, 10, FALSE)+VLOOKUP(DP$4, Rates_current!$G$6:$Q$29, 11, FALSE))</f>
        <v>12477.600599976</v>
      </c>
      <c r="DQ101" s="227">
        <f>$BT101*(VLOOKUP(DQ$4, Rates_current!$G$6:$Q$29, 10, FALSE)+VLOOKUP(DQ$4, Rates_current!$G$6:$Q$29, 11, FALSE))</f>
        <v>16827.905025395201</v>
      </c>
      <c r="DR101" s="227">
        <f>$BT101*(VLOOKUP(DR$4, Rates_current!$G$6:$Q$29, 10, FALSE)+VLOOKUP(DR$4, Rates_current!$G$6:$Q$29, 11, FALSE))</f>
        <v>21471.262322626</v>
      </c>
      <c r="DS101" s="227">
        <f>$BT101*(VLOOKUP(DS$4, Rates_current!$G$6:$Q$29, 10, FALSE)+VLOOKUP(DS$4, Rates_current!$G$6:$Q$29, 11, FALSE))</f>
        <v>16834.150471845202</v>
      </c>
      <c r="DT101" s="227">
        <f>$BT101*(VLOOKUP(DT$4, Rates_current!$G$6:$Q$29, 10, FALSE)+VLOOKUP(DT$4, Rates_current!$G$6:$Q$29, 11, FALSE))</f>
        <v>16393.1104884952</v>
      </c>
      <c r="DU101" s="227">
        <f>$BT101*(VLOOKUP(DU$4, Rates_current!$G$6:$Q$29, 10, FALSE)+VLOOKUP(DU$4, Rates_current!$G$6:$Q$29, 11, FALSE))</f>
        <v>14717.525954676001</v>
      </c>
      <c r="DV101" s="229">
        <f>IF(D101=0,IF(C101=0,MAX(0,DY101 - (VLOOKUP($A101,TOCA_current!$A$2:$AI$137,MATCH("RHWM 2020",TOCA_current!$A$2:$AI$2,0),FALSE)*$BT$2)), 0),0)</f>
        <v>0</v>
      </c>
      <c r="DW101" s="266">
        <f>VLOOKUP($A101,REP_current!$A$1:$D$135,MATCH("FY "&amp;$BT$1&amp; " Total Refund",REP_current!$A$1:$D$1,0),0)</f>
        <v>0</v>
      </c>
      <c r="DX101" s="295">
        <f>MIN(VLOOKUP($A101,TOCA_current!$A$2:$AI$137,MATCH("TRL - NLSL - Existing Resource "&amp;$BT$1,TOCA_current!$A$2:$AI$2,0),FALSE)*$BT$2, VLOOKUP($A101,TOCA_current!$A$2:$AI$137,MATCH("RHWM 2020",TOCA_current!$A$2:$AI$2,0),FALSE)*$BT$2)</f>
        <v>194284.51199999999</v>
      </c>
      <c r="DY101" s="240">
        <f>SUM(BZ101:CW101)+(BT101*RT1SC!$C$4*$BT$2)</f>
        <v>194284.22292776959</v>
      </c>
      <c r="DZ101" s="271">
        <f>VLOOKUP($A101,TOCA_current!$A$2:$AI$137,MATCH("Above RHWM Not Served with LS "&amp;$BT$1,TOCA_current!$A$2:$AI$2,0),FALSE)*$BT$2</f>
        <v>0</v>
      </c>
      <c r="EA101" s="244">
        <f t="shared" si="29"/>
        <v>-0.28907223040005192</v>
      </c>
      <c r="EB101" s="295">
        <f>(VLOOKUP($A101,TOCA_current!$A$2:$AI$137,MATCH("RHWM 2020",TOCA_current!$A$2:$AI$2,0),FALSE)*$BT$2) - $DX101</f>
        <v>30866.976000000024</v>
      </c>
      <c r="EC101" s="240">
        <f t="shared" si="30"/>
        <v>0</v>
      </c>
      <c r="ED101" s="240">
        <f t="shared" si="31"/>
        <v>0.28907223040005192</v>
      </c>
      <c r="EE101" s="240">
        <f t="shared" si="32"/>
        <v>0</v>
      </c>
      <c r="EF101" s="240">
        <f t="shared" si="33"/>
        <v>0</v>
      </c>
    </row>
    <row r="102" spans="1:136">
      <c r="A102" s="166">
        <v>10307</v>
      </c>
      <c r="B102" s="167" t="s">
        <v>103</v>
      </c>
      <c r="C102" s="240">
        <v>0</v>
      </c>
      <c r="D102" s="240">
        <v>0</v>
      </c>
      <c r="E102" s="150">
        <f>VLOOKUP($A102,TOCA_previous!$A$2:$AI$137,MATCH(E$4,TOCA_previous!$A$2:$AI$2,0),FALSE)</f>
        <v>9.6849999999999992E-3</v>
      </c>
      <c r="F102" s="151">
        <f>VLOOKUP($A102,TOCA_previous!$A$2:$AI$137,MATCH(F$4,TOCA_previous!$A$2:$AI$2,0),FALSE)</f>
        <v>9.6849999999999992E-3</v>
      </c>
      <c r="G102" s="151">
        <f t="shared" si="18"/>
        <v>0</v>
      </c>
      <c r="H102" s="151">
        <f>VLOOKUP($A102,TOCA_previous!$A$2:$AI$137,MATCH(H$4,TOCA_previous!$A$2:$AI$2,0),FALSE)</f>
        <v>0</v>
      </c>
      <c r="I102" s="151">
        <f t="shared" si="19"/>
        <v>0</v>
      </c>
      <c r="J102" s="151">
        <f t="shared" si="20"/>
        <v>0</v>
      </c>
      <c r="K102" s="226">
        <f>VLOOKUP(A102, IRD!$A$5:$C$139, 3, FALSE)</f>
        <v>0</v>
      </c>
      <c r="L102" s="227">
        <f t="array" ref="L102">IF($G102=0, INDEX(LS_previous!$D$4:$AY$138, MATCH('Staging Table'!$A102, LS_previous!$B$4:$B$138, 0), MATCH(L$4&amp;L$5, LS_previous!$D$2:$AY$2&amp;LS_previous!$D$3:$AY$3, 0)),SUM(VLOOKUP($A102, LS_previous!$B$4:$AY$138, LS_previous!D$149, FALSE), VLOOKUP('Staging Table'!$A102, LS_previous!$B$4:$AY$138,LS_previous!AB$149, FALSE))/2)</f>
        <v>-35</v>
      </c>
      <c r="M102" s="227">
        <f t="array" ref="M102">IF($G102=0, INDEX(LS_previous!$D$4:$AY$138, MATCH('Staging Table'!$A102, LS_previous!$B$4:$B$138, 0), MATCH(M$4&amp;M$5, LS_previous!$D$2:$AY$2&amp;LS_previous!$D$3:$AY$3, 0)),SUM(VLOOKUP($A102, LS_previous!$B$4:$AY$138, LS_previous!E$149, FALSE), VLOOKUP('Staging Table'!$A102, LS_previous!$B$4:$AY$138,LS_previous!AC$149, FALSE))/2)</f>
        <v>478</v>
      </c>
      <c r="N102" s="227">
        <f t="array" ref="N102">IF($G102=0, INDEX(LS_previous!$D$4:$AY$138, MATCH('Staging Table'!$A102, LS_previous!$B$4:$B$138, 0), MATCH(N$4&amp;N$5, LS_previous!$D$2:$AY$2&amp;LS_previous!$D$3:$AY$3, 0)),SUM(VLOOKUP($A102, LS_previous!$B$4:$AY$138, LS_previous!F$149, FALSE), VLOOKUP('Staging Table'!$A102, LS_previous!$B$4:$AY$138,LS_previous!AD$149, FALSE))/2)</f>
        <v>1379</v>
      </c>
      <c r="O102" s="227">
        <f t="array" ref="O102">IF($G102=0, INDEX(LS_previous!$D$4:$AY$138, MATCH('Staging Table'!$A102, LS_previous!$B$4:$B$138, 0), MATCH(O$4&amp;O$5, LS_previous!$D$2:$AY$2&amp;LS_previous!$D$3:$AY$3, 0)),SUM(VLOOKUP($A102, LS_previous!$B$4:$AY$138, LS_previous!G$149, FALSE), VLOOKUP('Staging Table'!$A102, LS_previous!$B$4:$AY$138,LS_previous!AE$149, FALSE))/2)</f>
        <v>2685</v>
      </c>
      <c r="P102" s="227">
        <f t="array" ref="P102">IF($G102=0, INDEX(LS_previous!$D$4:$AY$138, MATCH('Staging Table'!$A102, LS_previous!$B$4:$B$138, 0), MATCH(P$4&amp;P$5, LS_previous!$D$2:$AY$2&amp;LS_previous!$D$3:$AY$3, 0)),SUM(VLOOKUP($A102, LS_previous!$B$4:$AY$138, LS_previous!H$149, FALSE), VLOOKUP('Staging Table'!$A102, LS_previous!$B$4:$AY$138,LS_previous!AF$149, FALSE))/2)</f>
        <v>4204</v>
      </c>
      <c r="Q102" s="227">
        <f t="array" ref="Q102">IF($G102=0, INDEX(LS_previous!$D$4:$AY$138, MATCH('Staging Table'!$A102, LS_previous!$B$4:$B$138, 0), MATCH(Q$4&amp;Q$5, LS_previous!$D$2:$AY$2&amp;LS_previous!$D$3:$AY$3, 0)),SUM(VLOOKUP($A102, LS_previous!$B$4:$AY$138, LS_previous!I$149, FALSE), VLOOKUP('Staging Table'!$A102, LS_previous!$B$4:$AY$138,LS_previous!AG$149, FALSE))/2)</f>
        <v>5824</v>
      </c>
      <c r="R102" s="227">
        <f t="array" ref="R102">IF($G102=0, INDEX(LS_previous!$D$4:$AY$138, MATCH('Staging Table'!$A102, LS_previous!$B$4:$B$138, 0), MATCH(R$4&amp;R$5, LS_previous!$D$2:$AY$2&amp;LS_previous!$D$3:$AY$3, 0)),SUM(VLOOKUP($A102, LS_previous!$B$4:$AY$138, LS_previous!J$149, FALSE), VLOOKUP('Staging Table'!$A102, LS_previous!$B$4:$AY$138,LS_previous!AH$149, FALSE))/2)</f>
        <v>11335</v>
      </c>
      <c r="S102" s="227">
        <f t="array" ref="S102">IF($G102=0, INDEX(LS_previous!$D$4:$AY$138, MATCH('Staging Table'!$A102, LS_previous!$B$4:$B$138, 0), MATCH(S$4&amp;S$5, LS_previous!$D$2:$AY$2&amp;LS_previous!$D$3:$AY$3, 0)),SUM(VLOOKUP($A102, LS_previous!$B$4:$AY$138, LS_previous!K$149, FALSE), VLOOKUP('Staging Table'!$A102, LS_previous!$B$4:$AY$138,LS_previous!AI$149, FALSE))/2)</f>
        <v>7591</v>
      </c>
      <c r="T102" s="227">
        <f t="array" ref="T102">IF($G102=0, INDEX(LS_previous!$D$4:$AY$138, MATCH('Staging Table'!$A102, LS_previous!$B$4:$B$138, 0), MATCH(T$4&amp;T$5, LS_previous!$D$2:$AY$2&amp;LS_previous!$D$3:$AY$3, 0)),SUM(VLOOKUP($A102, LS_previous!$B$4:$AY$138, LS_previous!L$149, FALSE), VLOOKUP('Staging Table'!$A102, LS_previous!$B$4:$AY$138,LS_previous!AJ$149, FALSE))/2)</f>
        <v>12667</v>
      </c>
      <c r="U102" s="227">
        <f t="array" ref="U102">IF($G102=0, INDEX(LS_previous!$D$4:$AY$138, MATCH('Staging Table'!$A102, LS_previous!$B$4:$B$138, 0), MATCH(U$4&amp;U$5, LS_previous!$D$2:$AY$2&amp;LS_previous!$D$3:$AY$3, 0)),SUM(VLOOKUP($A102, LS_previous!$B$4:$AY$138, LS_previous!M$149, FALSE), VLOOKUP('Staging Table'!$A102, LS_previous!$B$4:$AY$138,LS_previous!AK$149, FALSE))/2)</f>
        <v>7846</v>
      </c>
      <c r="V102" s="227">
        <f t="array" ref="V102">IF($G102=0, INDEX(LS_previous!$D$4:$AY$138, MATCH('Staging Table'!$A102, LS_previous!$B$4:$B$138, 0), MATCH(V$4&amp;V$5, LS_previous!$D$2:$AY$2&amp;LS_previous!$D$3:$AY$3, 0)),SUM(VLOOKUP($A102, LS_previous!$B$4:$AY$138, LS_previous!N$149, FALSE), VLOOKUP('Staging Table'!$A102, LS_previous!$B$4:$AY$138,LS_previous!AL$149, FALSE))/2)</f>
        <v>3767</v>
      </c>
      <c r="W102" s="227">
        <f t="array" ref="W102">IF($G102=0, INDEX(LS_previous!$D$4:$AY$138, MATCH('Staging Table'!$A102, LS_previous!$B$4:$B$138, 0), MATCH(W$4&amp;W$5, LS_previous!$D$2:$AY$2&amp;LS_previous!$D$3:$AY$3, 0)),SUM(VLOOKUP($A102, LS_previous!$B$4:$AY$138, LS_previous!O$149, FALSE), VLOOKUP('Staging Table'!$A102, LS_previous!$B$4:$AY$138,LS_previous!AM$149, FALSE))/2)</f>
        <v>4310</v>
      </c>
      <c r="X102" s="227">
        <f t="array" ref="X102">IF($G102=0, INDEX(LS_previous!$D$4:$AY$138, MATCH('Staging Table'!$A102, LS_previous!$B$4:$B$138, 0), MATCH(X$4&amp;X$5, LS_previous!$D$2:$AY$2&amp;LS_previous!$D$3:$AY$3, 0)),SUM(VLOOKUP($A102, LS_previous!$B$4:$AY$138, LS_previous!P$149, FALSE), VLOOKUP('Staging Table'!$A102, LS_previous!$B$4:$AY$138,LS_previous!AN$149, FALSE))/2)</f>
        <v>1313</v>
      </c>
      <c r="Y102" s="227">
        <f t="array" ref="Y102">IF($G102=0, INDEX(LS_previous!$D$4:$AY$138, MATCH('Staging Table'!$A102, LS_previous!$B$4:$B$138, 0), MATCH(Y$4&amp;Y$5, LS_previous!$D$2:$AY$2&amp;LS_previous!$D$3:$AY$3, 0)),SUM(VLOOKUP($A102, LS_previous!$B$4:$AY$138, LS_previous!Q$149, FALSE), VLOOKUP('Staging Table'!$A102, LS_previous!$B$4:$AY$138,LS_previous!AO$149, FALSE))/2)</f>
        <v>1840</v>
      </c>
      <c r="Z102" s="227">
        <f t="array" ref="Z102">IF($G102=0, INDEX(LS_previous!$D$4:$AY$138, MATCH('Staging Table'!$A102, LS_previous!$B$4:$B$138, 0), MATCH(Z$4&amp;Z$5, LS_previous!$D$2:$AY$2&amp;LS_previous!$D$3:$AY$3, 0)),SUM(VLOOKUP($A102, LS_previous!$B$4:$AY$138, LS_previous!R$149, FALSE), VLOOKUP('Staging Table'!$A102, LS_previous!$B$4:$AY$138,LS_previous!AP$149, FALSE))/2)</f>
        <v>-17440</v>
      </c>
      <c r="AA102" s="227">
        <f t="array" ref="AA102">IF($G102=0, INDEX(LS_previous!$D$4:$AY$138, MATCH('Staging Table'!$A102, LS_previous!$B$4:$B$138, 0), MATCH(AA$4&amp;AA$5, LS_previous!$D$2:$AY$2&amp;LS_previous!$D$3:$AY$3, 0)),SUM(VLOOKUP($A102, LS_previous!$B$4:$AY$138, LS_previous!S$149, FALSE), VLOOKUP('Staging Table'!$A102, LS_previous!$B$4:$AY$138,LS_previous!AQ$149, FALSE))/2)</f>
        <v>-6947</v>
      </c>
      <c r="AB102" s="227">
        <f t="array" ref="AB102">IF($G102=0, INDEX(LS_previous!$D$4:$AY$138, MATCH('Staging Table'!$A102, LS_previous!$B$4:$B$138, 0), MATCH(AB$4&amp;AB$5, LS_previous!$D$2:$AY$2&amp;LS_previous!$D$3:$AY$3, 0)),SUM(VLOOKUP($A102, LS_previous!$B$4:$AY$138, LS_previous!T$149, FALSE), VLOOKUP('Staging Table'!$A102, LS_previous!$B$4:$AY$138,LS_previous!AR$149, FALSE))/2)</f>
        <v>-9825</v>
      </c>
      <c r="AC102" s="227">
        <f t="array" ref="AC102">IF($G102=0, INDEX(LS_previous!$D$4:$AY$138, MATCH('Staging Table'!$A102, LS_previous!$B$4:$B$138, 0), MATCH(AC$4&amp;AC$5, LS_previous!$D$2:$AY$2&amp;LS_previous!$D$3:$AY$3, 0)),SUM(VLOOKUP($A102, LS_previous!$B$4:$AY$138, LS_previous!U$149, FALSE), VLOOKUP('Staging Table'!$A102, LS_previous!$B$4:$AY$138,LS_previous!AS$149, FALSE))/2)</f>
        <v>-4061</v>
      </c>
      <c r="AD102" s="227">
        <f t="array" ref="AD102">IF($G102=0, INDEX(LS_previous!$D$4:$AY$138, MATCH('Staging Table'!$A102, LS_previous!$B$4:$B$138, 0), MATCH(AD$4&amp;AD$5, LS_previous!$D$2:$AY$2&amp;LS_previous!$D$3:$AY$3, 0)),SUM(VLOOKUP($A102, LS_previous!$B$4:$AY$138, LS_previous!V$149, FALSE), VLOOKUP('Staging Table'!$A102, LS_previous!$B$4:$AY$138,LS_previous!AT$149, FALSE))/2)</f>
        <v>-5281</v>
      </c>
      <c r="AE102" s="227">
        <f t="array" ref="AE102">IF($G102=0, INDEX(LS_previous!$D$4:$AY$138, MATCH('Staging Table'!$A102, LS_previous!$B$4:$B$138, 0), MATCH(AE$4&amp;AE$5, LS_previous!$D$2:$AY$2&amp;LS_previous!$D$3:$AY$3, 0)),SUM(VLOOKUP($A102, LS_previous!$B$4:$AY$138, LS_previous!W$149, FALSE), VLOOKUP('Staging Table'!$A102, LS_previous!$B$4:$AY$138,LS_previous!AU$149, FALSE))/2)</f>
        <v>-408</v>
      </c>
      <c r="AF102" s="227">
        <f t="array" ref="AF102">IF($G102=0, INDEX(LS_previous!$D$4:$AY$138, MATCH('Staging Table'!$A102, LS_previous!$B$4:$B$138, 0), MATCH(AF$4&amp;AF$5, LS_previous!$D$2:$AY$2&amp;LS_previous!$D$3:$AY$3, 0)),SUM(VLOOKUP($A102, LS_previous!$B$4:$AY$138, LS_previous!X$149, FALSE), VLOOKUP('Staging Table'!$A102, LS_previous!$B$4:$AY$138,LS_previous!AV$149, FALSE))/2)</f>
        <v>-8891</v>
      </c>
      <c r="AG102" s="227">
        <f t="array" ref="AG102">IF($G102=0, INDEX(LS_previous!$D$4:$AY$138, MATCH('Staging Table'!$A102, LS_previous!$B$4:$B$138, 0), MATCH(AG$4&amp;AG$5, LS_previous!$D$2:$AY$2&amp;LS_previous!$D$3:$AY$3, 0)),SUM(VLOOKUP($A102, LS_previous!$B$4:$AY$138, LS_previous!Y$149, FALSE), VLOOKUP('Staging Table'!$A102, LS_previous!$B$4:$AY$138,LS_previous!AW$149, FALSE))/2)</f>
        <v>-1298</v>
      </c>
      <c r="AH102" s="227">
        <f t="array" ref="AH102">IF($G102=0, INDEX(LS_previous!$D$4:$AY$138, MATCH('Staging Table'!$A102, LS_previous!$B$4:$B$138, 0), MATCH(AH$4&amp;AH$5, LS_previous!$D$2:$AY$2&amp;LS_previous!$D$3:$AY$3, 0)),SUM(VLOOKUP($A102, LS_previous!$B$4:$AY$138, LS_previous!Z$149, FALSE), VLOOKUP('Staging Table'!$A102, LS_previous!$B$4:$AY$138,LS_previous!AX$149, FALSE))/2)</f>
        <v>-5366</v>
      </c>
      <c r="AI102" s="227">
        <f t="array" ref="AI102">IF($G102=0, INDEX(LS_previous!$D$4:$AY$138, MATCH('Staging Table'!$A102, LS_previous!$B$4:$B$138, 0), MATCH(AI$4&amp;AI$5, LS_previous!$D$2:$AY$2&amp;LS_previous!$D$3:$AY$3, 0)),SUM(VLOOKUP($A102, LS_previous!$B$4:$AY$138, LS_previous!AA$149, FALSE), VLOOKUP('Staging Table'!$A102, LS_previous!$B$4:$AY$138,LS_previous!AY$149, FALSE))/2)</f>
        <v>-1777</v>
      </c>
      <c r="AJ102" s="424">
        <f t="array" ref="AJ102">INDEX(Demand_previous!$D$4:$AY$138, MATCH('Staging Table'!$A102, Demand_previous!$B$4:$B$138, 0), MATCH(AJ$4&amp;AJ$5,Demand_previous!$D$2:$AY$2&amp;Demand_previous!$D$3:$AY$3, 0))/1000</f>
        <v>9.2360000000000007</v>
      </c>
      <c r="AK102" s="424">
        <f t="array" ref="AK102">INDEX(Demand_previous!$D$4:$AY$138, MATCH('Staging Table'!$A102, Demand_previous!$B$4:$B$138, 0), MATCH(AK$4&amp;AK$5,Demand_previous!$D$2:$AY$2&amp;Demand_previous!$D$3:$AY$3, 0))/1000</f>
        <v>2.6829999999999998</v>
      </c>
      <c r="AL102" s="424">
        <f t="array" ref="AL102">INDEX(Demand_previous!$D$4:$AY$138, MATCH('Staging Table'!$A102, Demand_previous!$B$4:$B$138, 0), MATCH(AL$4&amp;AL$5,Demand_previous!$D$2:$AY$2&amp;Demand_previous!$D$3:$AY$3, 0))/1000</f>
        <v>25.904</v>
      </c>
      <c r="AM102" s="424">
        <f t="array" ref="AM102">INDEX(Demand_previous!$D$4:$AY$138, MATCH('Staging Table'!$A102, Demand_previous!$B$4:$B$138, 0), MATCH(AM$4&amp;AM$5,Demand_previous!$D$2:$AY$2&amp;Demand_previous!$D$3:$AY$3, 0))/1000</f>
        <v>22.373999999999999</v>
      </c>
      <c r="AN102" s="424">
        <f t="array" ref="AN102">INDEX(Demand_previous!$D$4:$AY$138, MATCH('Staging Table'!$A102, Demand_previous!$B$4:$B$138, 0), MATCH(AN$4&amp;AN$5,Demand_previous!$D$2:$AY$2&amp;Demand_previous!$D$3:$AY$3, 0))/1000</f>
        <v>10.718</v>
      </c>
      <c r="AO102" s="424">
        <f t="array" ref="AO102">INDEX(Demand_previous!$D$4:$AY$138, MATCH('Staging Table'!$A102, Demand_previous!$B$4:$B$138, 0), MATCH(AO$4&amp;AO$5,Demand_previous!$D$2:$AY$2&amp;Demand_previous!$D$3:$AY$3, 0))/1000</f>
        <v>22.655000000000001</v>
      </c>
      <c r="AP102" s="424">
        <f t="array" ref="AP102">INDEX(Demand_previous!$D$4:$AY$138, MATCH('Staging Table'!$A102, Demand_previous!$B$4:$B$138, 0), MATCH(AP$4&amp;AP$5,Demand_previous!$D$2:$AY$2&amp;Demand_previous!$D$3:$AY$3, 0))/1000</f>
        <v>6.4829999999999997</v>
      </c>
      <c r="AQ102" s="424">
        <f t="array" ref="AQ102">INDEX(Demand_previous!$D$4:$AY$138, MATCH('Staging Table'!$A102, Demand_previous!$B$4:$B$138, 0), MATCH(AQ$4&amp;AQ$5,Demand_previous!$D$2:$AY$2&amp;Demand_previous!$D$3:$AY$3, 0))/1000</f>
        <v>10.518000000000001</v>
      </c>
      <c r="AR102" s="424">
        <f t="array" ref="AR102">INDEX(Demand_previous!$D$4:$AY$138, MATCH('Staging Table'!$A102, Demand_previous!$B$4:$B$138, 0), MATCH(AR$4&amp;AR$5,Demand_previous!$D$2:$AY$2&amp;Demand_previous!$D$3:$AY$3, 0))/1000</f>
        <v>14.226000000000001</v>
      </c>
      <c r="AS102" s="424">
        <f t="array" ref="AS102">INDEX(Demand_previous!$D$4:$AY$138, MATCH('Staging Table'!$A102, Demand_previous!$B$4:$B$138, 0), MATCH(AS$4&amp;AS$5,Demand_previous!$D$2:$AY$2&amp;Demand_previous!$D$3:$AY$3, 0))/1000</f>
        <v>13.218999999999999</v>
      </c>
      <c r="AT102" s="424">
        <f t="array" ref="AT102">INDEX(Demand_previous!$D$4:$AY$138, MATCH('Staging Table'!$A102, Demand_previous!$B$4:$B$138, 0), MATCH(AT$4&amp;AT$5,Demand_previous!$D$2:$AY$2&amp;Demand_previous!$D$3:$AY$3, 0))/1000</f>
        <v>19.632999999999999</v>
      </c>
      <c r="AU102" s="424">
        <f t="array" ref="AU102">INDEX(Demand_previous!$D$4:$AY$138, MATCH('Staging Table'!$A102, Demand_previous!$B$4:$B$138, 0), MATCH(AU$4&amp;AU$5,Demand_previous!$D$2:$AY$2&amp;Demand_previous!$D$3:$AY$3, 0))/1000</f>
        <v>5.2229999999999999</v>
      </c>
      <c r="AV102" s="227">
        <f>$F102*(VLOOKUP(AV$4, Rates_previous!$G$6:$Q$29, 10, FALSE)+VLOOKUP(AV$4, Rates_previous!$G$6:$Q$29, 11, FALSE))</f>
        <v>45411.393728742303</v>
      </c>
      <c r="AW102" s="227">
        <f>$F102*(VLOOKUP(AW$4, Rates_previous!$G$6:$Q$29, 10, FALSE)+VLOOKUP(AW$4, Rates_previous!$G$6:$Q$29, 11, FALSE))</f>
        <v>56125.031199891368</v>
      </c>
      <c r="AX102" s="227">
        <f>$F102*(VLOOKUP(AX$4, Rates_previous!$G$6:$Q$29, 10, FALSE)+VLOOKUP(AX$4, Rates_previous!$G$6:$Q$29, 11, FALSE))</f>
        <v>55451.036703960453</v>
      </c>
      <c r="AY102" s="227">
        <f>$F102*(VLOOKUP(AY$4, Rates_previous!$G$6:$Q$29, 10, FALSE)+VLOOKUP(AY$4, Rates_previous!$G$6:$Q$29, 11, FALSE))</f>
        <v>47377.625506824596</v>
      </c>
      <c r="AZ102" s="227">
        <f>$F102*(VLOOKUP(AZ$4, Rates_previous!$G$6:$Q$29, 10, FALSE)+VLOOKUP(AZ$4, Rates_previous!$G$6:$Q$29, 11, FALSE))</f>
        <v>38840.463023191078</v>
      </c>
      <c r="BA102" s="227">
        <f>$F102*(VLOOKUP(BA$4, Rates_previous!$G$6:$Q$29, 10, FALSE)+VLOOKUP(BA$4, Rates_previous!$G$6:$Q$29, 11, FALSE))</f>
        <v>45985.697402909485</v>
      </c>
      <c r="BB102" s="227">
        <f>$F102*(VLOOKUP(BB$4, Rates_previous!$G$6:$Q$29, 10, FALSE)+VLOOKUP(BB$4, Rates_previous!$G$6:$Q$29, 11, FALSE))</f>
        <v>44198.94423197343</v>
      </c>
      <c r="BC102" s="227">
        <f>$F102*(VLOOKUP(BC$4, Rates_previous!$G$6:$Q$29, 10, FALSE)+VLOOKUP(BC$4, Rates_previous!$G$6:$Q$29, 11, FALSE))</f>
        <v>64858.823021689968</v>
      </c>
      <c r="BD102" s="227">
        <f>$F102*(VLOOKUP(BD$4, Rates_previous!$G$6:$Q$29, 10, FALSE)+VLOOKUP(BD$4, Rates_previous!$G$6:$Q$29, 11, FALSE))</f>
        <v>51171.897124525189</v>
      </c>
      <c r="BE102" s="227">
        <f>$F102*(VLOOKUP(BE$4, Rates_previous!$G$6:$Q$29, 10, FALSE)+VLOOKUP(BE$4, Rates_previous!$G$6:$Q$29, 11, FALSE))</f>
        <v>44933.220815652618</v>
      </c>
      <c r="BF102" s="227">
        <f>$F102*(VLOOKUP(BF$4, Rates_previous!$G$6:$Q$29, 10, FALSE)+VLOOKUP(BF$4, Rates_previous!$G$6:$Q$29, 11, FALSE))</f>
        <v>49765.340627393751</v>
      </c>
      <c r="BG102" s="227">
        <f>$F102*(VLOOKUP(BG$4, Rates_previous!$G$6:$Q$29, 10, FALSE)+VLOOKUP(BG$4, Rates_previous!$G$6:$Q$29, 11, FALSE))</f>
        <v>45085.419564856151</v>
      </c>
      <c r="BH102" s="229">
        <f>IF($D102=0,IF(C102=0, MAX(BK102 - (VLOOKUP($A102,TOCA_previous!$A$2:$AI$137,MATCH("RHWM 2018",TOCA_previous!$A$2:$AI$2,0),FALSE)*$F$2*TOCA_previous!C99),0),0), 0)</f>
        <v>0</v>
      </c>
      <c r="BI102" s="266">
        <f>VLOOKUP($A102,REP_previous!$A$1:$D$135,MATCH("FY "&amp;$F$1&amp; " Total Refund",REP_previous!$A$1:$D$1,0),0)</f>
        <v>868434.3297716591</v>
      </c>
      <c r="BJ102" s="241">
        <f>MIN(VLOOKUP($A102,TOCA_previous!$A$2:$AI$137,MATCH("TRL - NLSL - Existing Resource "&amp;$F$1,TOCA_previous!$A$2:$AI$2,0),FALSE)*$F$2,(VLOOKUP($A102,TOCA_previous!$A$2:$AI$137,MATCH("RHWM 2018",TOCA_previous!$A$2:$AI$2,0),FALSE)*$F$2))</f>
        <v>589206.36</v>
      </c>
      <c r="BK102" s="229">
        <f>SUM(L102:AI102)+(F102*RT1SC!$C$3*$F$2)</f>
        <v>593114.90154759982</v>
      </c>
      <c r="BL102" s="241">
        <f>VLOOKUP($A102,TOCA_previous!$A$2:$AI$137,MATCH("Above RHWM Not Served with LS "&amp;$F$1,TOCA_previous!$A$2:$AI$2,0),FALSE)*$F$2</f>
        <v>0</v>
      </c>
      <c r="BM102" s="151">
        <f t="shared" si="21"/>
        <v>3908.5415475998307</v>
      </c>
      <c r="BN102" s="242">
        <f>(VLOOKUP($A102,TOCA_previous!$A$2:$AI$137,MATCH("RHWM 2018",TOCA_previous!$A$2:$AI$2,0),FALSE)*$F$2) - $BJ102</f>
        <v>31264.439999999944</v>
      </c>
      <c r="BO102" s="151">
        <f t="shared" si="22"/>
        <v>-3908.5415475998307</v>
      </c>
      <c r="BP102" s="243">
        <f t="shared" si="23"/>
        <v>0</v>
      </c>
      <c r="BQ102" s="237">
        <f t="shared" si="24"/>
        <v>0</v>
      </c>
      <c r="BR102" s="242">
        <f t="shared" si="25"/>
        <v>-3908.5415475998307</v>
      </c>
      <c r="BS102" s="151">
        <f>VLOOKUP($A102,TOCA_current!$A$2:$AI$137,MATCH(BS$4,TOCA_current!$A$2:$AI$2,0),FALSE)</f>
        <v>9.6016999999999995E-3</v>
      </c>
      <c r="BT102" s="151">
        <f>VLOOKUP($A102,TOCA_current!$A$2:$AI$137,MATCH(BT$4,TOCA_current!$A$2:$AI$2,0),FALSE)</f>
        <v>9.6016999999999995E-3</v>
      </c>
      <c r="BU102" s="236">
        <f t="shared" si="26"/>
        <v>0</v>
      </c>
      <c r="BV102" s="151">
        <f>VLOOKUP($A102,TOCA_current!A98:BG233,MATCH(BV$4,TOCA_current!$A$2:$BG$2,0),FALSE)</f>
        <v>0</v>
      </c>
      <c r="BW102" s="151">
        <f t="shared" si="27"/>
        <v>0</v>
      </c>
      <c r="BX102" s="151">
        <f t="shared" si="28"/>
        <v>0</v>
      </c>
      <c r="BY102" s="226">
        <f>VLOOKUP($A102,IRD!$A$4:$G$139, 7, FALSE)</f>
        <v>0</v>
      </c>
      <c r="BZ102" s="227">
        <f t="array" ref="BZ102">IF($BU102=0, INDEX(LS_current!$D$4:$AY$138, MATCH('Staging Table'!$A102, LS_current!$B$4:$B$138, 0), MATCH(BZ$4&amp;BZ$5, LS_current!$D$2:$AY$2&amp;LS_current!$D$3:$AY$3, 0)),SUM(VLOOKUP($A102, LS_current!$B$4:$AY$138, LS_current!D$148, FALSE), VLOOKUP($A102, LS_current!$B$4:$AY$138,LS_current!D$148, FALSE))/2)</f>
        <v>609</v>
      </c>
      <c r="CA102" s="227">
        <f t="array" ref="CA102">IF($BU102=0, INDEX(LS_current!$D$4:$AY$138, MATCH('Staging Table'!$A102, LS_current!$B$4:$B$138, 0), MATCH(CA$4&amp;CA$5, LS_current!$D$2:$AY$2&amp;LS_current!$D$3:$AY$3, 0)),SUM(VLOOKUP($A102, LS_current!$B$4:$AY$138, LS_current!E$148, FALSE), VLOOKUP($A102, LS_current!$B$4:$AY$138,LS_current!E$148, FALSE))/2)</f>
        <v>911</v>
      </c>
      <c r="CB102" s="227">
        <f t="array" ref="CB102">IF($BU102=0, INDEX(LS_current!$D$4:$AY$138, MATCH('Staging Table'!$A102, LS_current!$B$4:$B$138, 0), MATCH(CB$4&amp;CB$5, LS_current!$D$2:$AY$2&amp;LS_current!$D$3:$AY$3, 0)),SUM(VLOOKUP($A102, LS_current!$B$4:$AY$138, LS_current!F$148, FALSE), VLOOKUP($A102, LS_current!$B$4:$AY$138,LS_current!F$148, FALSE))/2)</f>
        <v>1435</v>
      </c>
      <c r="CC102" s="227">
        <f t="array" ref="CC102">IF($BU102=0, INDEX(LS_current!$D$4:$AY$138, MATCH('Staging Table'!$A102, LS_current!$B$4:$B$138, 0), MATCH(CC$4&amp;CC$5, LS_current!$D$2:$AY$2&amp;LS_current!$D$3:$AY$3, 0)),SUM(VLOOKUP($A102, LS_current!$B$4:$AY$138, LS_current!G$148, FALSE), VLOOKUP($A102, LS_current!$B$4:$AY$138,LS_current!G$148, FALSE))/2)</f>
        <v>2436</v>
      </c>
      <c r="CD102" s="227">
        <f t="array" ref="CD102">IF($BU102=0, INDEX(LS_current!$D$4:$AY$138, MATCH('Staging Table'!$A102, LS_current!$B$4:$B$138, 0), MATCH(CD$4&amp;CD$5, LS_current!$D$2:$AY$2&amp;LS_current!$D$3:$AY$3, 0)),SUM(VLOOKUP($A102, LS_current!$B$4:$AY$138, LS_current!H$148, FALSE), VLOOKUP($A102, LS_current!$B$4:$AY$138,LS_current!H$148, FALSE))/2)</f>
        <v>4196</v>
      </c>
      <c r="CE102" s="227">
        <f t="array" ref="CE102">IF($BU102=0, INDEX(LS_current!$D$4:$AY$138, MATCH('Staging Table'!$A102, LS_current!$B$4:$B$138, 0), MATCH(CE$4&amp;CE$5, LS_current!$D$2:$AY$2&amp;LS_current!$D$3:$AY$3, 0)),SUM(VLOOKUP($A102, LS_current!$B$4:$AY$138, LS_current!I$148, FALSE), VLOOKUP($A102, LS_current!$B$4:$AY$138,LS_current!I$148, FALSE))/2)</f>
        <v>5645</v>
      </c>
      <c r="CF102" s="227">
        <f t="array" ref="CF102">IF($BU102=0, INDEX(LS_current!$D$4:$AY$138, MATCH('Staging Table'!$A102, LS_current!$B$4:$B$138, 0), MATCH(CF$4&amp;CF$5, LS_current!$D$2:$AY$2&amp;LS_current!$D$3:$AY$3, 0)),SUM(VLOOKUP($A102, LS_current!$B$4:$AY$138, LS_current!J$148, FALSE), VLOOKUP($A102, LS_current!$B$4:$AY$138,LS_current!J$148, FALSE))/2)</f>
        <v>11459</v>
      </c>
      <c r="CG102" s="227">
        <f t="array" ref="CG102">IF($BU102=0, INDEX(LS_current!$D$4:$AY$138, MATCH('Staging Table'!$A102, LS_current!$B$4:$B$138, 0), MATCH(CG$4&amp;CG$5, LS_current!$D$2:$AY$2&amp;LS_current!$D$3:$AY$3, 0)),SUM(VLOOKUP($A102, LS_current!$B$4:$AY$138, LS_current!K$148, FALSE), VLOOKUP($A102, LS_current!$B$4:$AY$138,LS_current!K$148, FALSE))/2)</f>
        <v>8467</v>
      </c>
      <c r="CH102" s="227">
        <f t="array" ref="CH102">IF($BU102=0, INDEX(LS_current!$D$4:$AY$138, MATCH('Staging Table'!$A102, LS_current!$B$4:$B$138, 0), MATCH(CH$4&amp;CH$5, LS_current!$D$2:$AY$2&amp;LS_current!$D$3:$AY$3, 0)),SUM(VLOOKUP($A102, LS_current!$B$4:$AY$138, LS_current!L$148, FALSE), VLOOKUP($A102, LS_current!$B$4:$AY$138,LS_current!L$148, FALSE))/2)</f>
        <v>10695</v>
      </c>
      <c r="CI102" s="227">
        <f t="array" ref="CI102">IF($BU102=0, INDEX(LS_current!$D$4:$AY$138, MATCH('Staging Table'!$A102, LS_current!$B$4:$B$138, 0), MATCH(CI$4&amp;CI$5, LS_current!$D$2:$AY$2&amp;LS_current!$D$3:$AY$3, 0)),SUM(VLOOKUP($A102, LS_current!$B$4:$AY$138, LS_current!M$148, FALSE), VLOOKUP($A102, LS_current!$B$4:$AY$138,LS_current!M$148, FALSE))/2)</f>
        <v>6645</v>
      </c>
      <c r="CJ102" s="227">
        <f t="array" ref="CJ102">IF($BU102=0, INDEX(LS_current!$D$4:$AY$138, MATCH('Staging Table'!$A102, LS_current!$B$4:$B$138, 0), MATCH(CJ$4&amp;CJ$5, LS_current!$D$2:$AY$2&amp;LS_current!$D$3:$AY$3, 0)),SUM(VLOOKUP($A102, LS_current!$B$4:$AY$138, LS_current!N$148, FALSE), VLOOKUP($A102, LS_current!$B$4:$AY$138,LS_current!N$148, FALSE))/2)</f>
        <v>3134</v>
      </c>
      <c r="CK102" s="227">
        <f t="array" ref="CK102">IF($BU102=0, INDEX(LS_current!$D$4:$AY$138, MATCH('Staging Table'!$A102, LS_current!$B$4:$B$138, 0), MATCH(CK$4&amp;CK$5, LS_current!$D$2:$AY$2&amp;LS_current!$D$3:$AY$3, 0)),SUM(VLOOKUP($A102, LS_current!$B$4:$AY$138, LS_current!O$148, FALSE), VLOOKUP($A102, LS_current!$B$4:$AY$138,LS_current!O$148, FALSE))/2)</f>
        <v>4197</v>
      </c>
      <c r="CL102" s="227">
        <f t="array" ref="CL102">IF($BU102=0, INDEX(LS_current!$D$4:$AY$138, MATCH('Staging Table'!$A102, LS_current!$B$4:$B$138, 0), MATCH(CL$4&amp;CL$5, LS_current!$D$2:$AY$2&amp;LS_current!$D$3:$AY$3, 0)),SUM(VLOOKUP($A102, LS_current!$B$4:$AY$138, LS_current!P$148, FALSE), VLOOKUP($A102, LS_current!$B$4:$AY$138,LS_current!P$148, FALSE))/2)</f>
        <v>5795</v>
      </c>
      <c r="CM102" s="227">
        <f t="array" ref="CM102">IF($BU102=0, INDEX(LS_current!$D$4:$AY$138, MATCH('Staging Table'!$A102, LS_current!$B$4:$B$138, 0), MATCH(CM$4&amp;CM$5, LS_current!$D$2:$AY$2&amp;LS_current!$D$3:$AY$3, 0)),SUM(VLOOKUP($A102, LS_current!$B$4:$AY$138, LS_current!Q$148, FALSE), VLOOKUP($A102, LS_current!$B$4:$AY$138,LS_current!Q$148, FALSE))/2)</f>
        <v>3508</v>
      </c>
      <c r="CN102" s="227">
        <f t="array" ref="CN102">IF($BU102=0, INDEX(LS_current!$D$4:$AY$138, MATCH('Staging Table'!$A102, LS_current!$B$4:$B$138, 0), MATCH(CN$4&amp;CN$5, LS_current!$D$2:$AY$2&amp;LS_current!$D$3:$AY$3, 0)),SUM(VLOOKUP($A102, LS_current!$B$4:$AY$138, LS_current!R$148, FALSE), VLOOKUP($A102, LS_current!$B$4:$AY$138,LS_current!R$148, FALSE))/2)</f>
        <v>-9402</v>
      </c>
      <c r="CO102" s="227">
        <f t="array" ref="CO102">IF($BU102=0, INDEX(LS_current!$D$4:$AY$138, MATCH('Staging Table'!$A102, LS_current!$B$4:$B$138, 0), MATCH(CO$4&amp;CO$5, LS_current!$D$2:$AY$2&amp;LS_current!$D$3:$AY$3, 0)),SUM(VLOOKUP($A102, LS_current!$B$4:$AY$138, LS_current!S$148, FALSE), VLOOKUP($A102, LS_current!$B$4:$AY$138,LS_current!S$148, FALSE))/2)</f>
        <v>-1442</v>
      </c>
      <c r="CP102" s="227">
        <f t="array" ref="CP102">IF($BU102=0, INDEX(LS_current!$D$4:$AY$138, MATCH('Staging Table'!$A102, LS_current!$B$4:$B$138, 0), MATCH(CP$4&amp;CP$5, LS_current!$D$2:$AY$2&amp;LS_current!$D$3:$AY$3, 0)),SUM(VLOOKUP($A102, LS_current!$B$4:$AY$138, LS_current!T$148, FALSE), VLOOKUP($A102, LS_current!$B$4:$AY$138,LS_current!T$148, FALSE))/2)</f>
        <v>-18842</v>
      </c>
      <c r="CQ102" s="227">
        <f t="array" ref="CQ102">IF($BU102=0, INDEX(LS_current!$D$4:$AY$138, MATCH('Staging Table'!$A102, LS_current!$B$4:$B$138, 0), MATCH(CQ$4&amp;CQ$5, LS_current!$D$2:$AY$2&amp;LS_current!$D$3:$AY$3, 0)),SUM(VLOOKUP($A102, LS_current!$B$4:$AY$138, LS_current!U$148, FALSE), VLOOKUP($A102, LS_current!$B$4:$AY$138,LS_current!U$148, FALSE))/2)</f>
        <v>-9347</v>
      </c>
      <c r="CR102" s="227">
        <f t="array" ref="CR102">IF($BU102=0, INDEX(LS_current!$D$4:$AY$138, MATCH('Staging Table'!$A102, LS_current!$B$4:$B$138, 0), MATCH(CR$4&amp;CR$5, LS_current!$D$2:$AY$2&amp;LS_current!$D$3:$AY$3, 0)),SUM(VLOOKUP($A102, LS_current!$B$4:$AY$138, LS_current!V$148, FALSE), VLOOKUP($A102, LS_current!$B$4:$AY$138,LS_current!V$148, FALSE))/2)</f>
        <v>-11241</v>
      </c>
      <c r="CS102" s="227">
        <f t="array" ref="CS102">IF($BU102=0, INDEX(LS_current!$D$4:$AY$138, MATCH('Staging Table'!$A102, LS_current!$B$4:$B$138, 0), MATCH(CS$4&amp;CS$5, LS_current!$D$2:$AY$2&amp;LS_current!$D$3:$AY$3, 0)),SUM(VLOOKUP($A102, LS_current!$B$4:$AY$138, LS_current!W$148, FALSE), VLOOKUP($A102, LS_current!$B$4:$AY$138,LS_current!W$148, FALSE))/2)</f>
        <v>-848</v>
      </c>
      <c r="CT102" s="227">
        <f t="array" ref="CT102">IF($BU102=0, INDEX(LS_current!$D$4:$AY$138, MATCH('Staging Table'!$A102, LS_current!$B$4:$B$138, 0), MATCH(CT$4&amp;CT$5, LS_current!$D$2:$AY$2&amp;LS_current!$D$3:$AY$3, 0)),SUM(VLOOKUP($A102, LS_current!$B$4:$AY$138, LS_current!X$148, FALSE), VLOOKUP($A102, LS_current!$B$4:$AY$138,LS_current!X$148, FALSE))/2)</f>
        <v>-9855</v>
      </c>
      <c r="CU102" s="227">
        <f t="array" ref="CU102">IF($BU102=0, INDEX(LS_current!$D$4:$AY$138, MATCH('Staging Table'!$A102, LS_current!$B$4:$B$138, 0), MATCH(CU$4&amp;CU$5, LS_current!$D$2:$AY$2&amp;LS_current!$D$3:$AY$3, 0)),SUM(VLOOKUP($A102, LS_current!$B$4:$AY$138, LS_current!Y$148, FALSE), VLOOKUP($A102, LS_current!$B$4:$AY$138,LS_current!Y$148, FALSE))/2)</f>
        <v>-559</v>
      </c>
      <c r="CV102" s="227">
        <f t="array" ref="CV102">IF($BU102=0, INDEX(LS_current!$D$4:$AY$138, MATCH('Staging Table'!$A102, LS_current!$B$4:$B$138, 0), MATCH(CV$4&amp;CV$5, LS_current!$D$2:$AY$2&amp;LS_current!$D$3:$AY$3, 0)),SUM(VLOOKUP($A102, LS_current!$B$4:$AY$138, LS_current!Z$148, FALSE), VLOOKUP($A102, LS_current!$B$4:$AY$138,LS_current!Z$148, FALSE))/2)</f>
        <v>-5287</v>
      </c>
      <c r="CW102" s="227">
        <f t="array" ref="CW102">IF($BU102=0, INDEX(LS_current!$D$4:$AY$138, MATCH('Staging Table'!$A102, LS_current!$B$4:$B$138, 0), MATCH(CW$4&amp;CW$5, LS_current!$D$2:$AY$2&amp;LS_current!$D$3:$AY$3, 0)),SUM(VLOOKUP($A102, LS_current!$B$4:$AY$138, LS_current!AA$148, FALSE), VLOOKUP($A102, LS_current!$B$4:$AY$138,LS_current!AA$148, FALSE))/2)</f>
        <v>-1650</v>
      </c>
      <c r="CX102" s="229">
        <f t="array" ref="CX102">INDEX(Demand_current!$D$4:$AY$138, MATCH($A102, Demand_current!$B$4:$B$138, 0), MATCH(CX$4&amp;CX$5,Demand_current!$D$2:$AY$2&amp;Demand_current!$D$3:$AY$3, 0))/1000</f>
        <v>11.863</v>
      </c>
      <c r="CY102" s="229">
        <f t="array" ref="CY102">INDEX(Demand_current!$D$4:$AY$138, MATCH($A102, Demand_current!$B$4:$B$138, 0), MATCH(CY$4&amp;CY$5,Demand_current!$D$2:$AY$2&amp;Demand_current!$D$3:$AY$3, 0))/1000</f>
        <v>2.6829999999999998</v>
      </c>
      <c r="CZ102" s="229">
        <f t="array" ref="CZ102">INDEX(Demand_current!$D$4:$AY$138, MATCH($A102, Demand_current!$B$4:$B$138, 0), MATCH(CZ$4&amp;CZ$5,Demand_current!$D$2:$AY$2&amp;Demand_current!$D$3:$AY$3, 0))/1000</f>
        <v>25.904</v>
      </c>
      <c r="DA102" s="229">
        <f t="array" ref="DA102">INDEX(Demand_current!$D$4:$AY$138, MATCH($A102, Demand_current!$B$4:$B$138, 0), MATCH(DA$4&amp;DA$5,Demand_current!$D$2:$AY$2&amp;Demand_current!$D$3:$AY$3, 0))/1000</f>
        <v>22.373999999999999</v>
      </c>
      <c r="DB102" s="229">
        <f t="array" ref="DB102">INDEX(Demand_current!$D$4:$AY$138, MATCH($A102, Demand_current!$B$4:$B$138, 0), MATCH(DB$4&amp;DB$5,Demand_current!$D$2:$AY$2&amp;Demand_current!$D$3:$AY$3, 0))/1000</f>
        <v>14.593</v>
      </c>
      <c r="DC102" s="229">
        <f t="array" ref="DC102">INDEX(Demand_current!$D$4:$AY$138, MATCH($A102, Demand_current!$B$4:$B$138, 0), MATCH(DC$4&amp;DC$5,Demand_current!$D$2:$AY$2&amp;Demand_current!$D$3:$AY$3, 0))/1000</f>
        <v>19.731000000000002</v>
      </c>
      <c r="DD102" s="229">
        <f t="array" ref="DD102">INDEX(Demand_current!$D$4:$AY$138, MATCH($A102, Demand_current!$B$4:$B$138, 0), MATCH(DD$4&amp;DD$5,Demand_current!$D$2:$AY$2&amp;Demand_current!$D$3:$AY$3, 0))/1000</f>
        <v>9.3420000000000005</v>
      </c>
      <c r="DE102" s="229">
        <f t="array" ref="DE102">INDEX(Demand_current!$D$4:$AY$138, MATCH($A102, Demand_current!$B$4:$B$138, 0), MATCH(DE$4&amp;DE$5,Demand_current!$D$2:$AY$2&amp;Demand_current!$D$3:$AY$3, 0))/1000</f>
        <v>8.2200000000000006</v>
      </c>
      <c r="DF102" s="229">
        <f t="array" ref="DF102">INDEX(Demand_current!$D$4:$AY$138, MATCH($A102, Demand_current!$B$4:$B$138, 0), MATCH(DF$4&amp;DF$5,Demand_current!$D$2:$AY$2&amp;Demand_current!$D$3:$AY$3, 0))/1000</f>
        <v>14.226000000000001</v>
      </c>
      <c r="DG102" s="229">
        <f t="array" ref="DG102">INDEX(Demand_current!$D$4:$AY$138, MATCH($A102, Demand_current!$B$4:$B$138, 0), MATCH(DG$4&amp;DG$5,Demand_current!$D$2:$AY$2&amp;Demand_current!$D$3:$AY$3, 0))/1000</f>
        <v>15.536</v>
      </c>
      <c r="DH102" s="229">
        <f t="array" ref="DH102">INDEX(Demand_current!$D$4:$AY$138, MATCH($A102, Demand_current!$B$4:$B$138, 0), MATCH(DH$4&amp;DH$5,Demand_current!$D$2:$AY$2&amp;Demand_current!$D$3:$AY$3, 0))/1000</f>
        <v>17.460999999999999</v>
      </c>
      <c r="DI102" s="229">
        <f t="array" ref="DI102">INDEX(Demand_current!$D$4:$AY$138, MATCH($A102, Demand_current!$B$4:$B$138, 0), MATCH(DI$4&amp;DI$5,Demand_current!$D$2:$AY$2&amp;Demand_current!$D$3:$AY$3, 0))/1000</f>
        <v>7.6669999999999998</v>
      </c>
      <c r="DJ102" s="227">
        <f>$BT102*(VLOOKUP(DJ$4, Rates_current!$G$6:$Q$29, 10, FALSE)+VLOOKUP(DJ$4, Rates_current!$G$6:$Q$29, 11, FALSE))</f>
        <v>44334.09452083319</v>
      </c>
      <c r="DK102" s="227">
        <f>$BT102*(VLOOKUP(DK$4, Rates_current!$G$6:$Q$29, 10, FALSE)+VLOOKUP(DK$4, Rates_current!$G$6:$Q$29, 11, FALSE))</f>
        <v>56318.130330906301</v>
      </c>
      <c r="DL102" s="227">
        <f>$BT102*(VLOOKUP(DL$4, Rates_current!$G$6:$Q$29, 10, FALSE)+VLOOKUP(DL$4, Rates_current!$G$6:$Q$29, 11, FALSE))</f>
        <v>55638.012701933199</v>
      </c>
      <c r="DM102" s="227">
        <f>$BT102*(VLOOKUP(DM$4, Rates_current!$G$6:$Q$29, 10, FALSE)+VLOOKUP(DM$4, Rates_current!$G$6:$Q$29, 11, FALSE))</f>
        <v>46377.6723403332</v>
      </c>
      <c r="DN102" s="227">
        <f>$BT102*(VLOOKUP(DN$4, Rates_current!$G$6:$Q$29, 10, FALSE)+VLOOKUP(DN$4, Rates_current!$G$6:$Q$29, 11, FALSE))</f>
        <v>42013.359828559995</v>
      </c>
      <c r="DO102" s="227">
        <f>$BT102*(VLOOKUP(DO$4, Rates_current!$G$6:$Q$29, 10, FALSE)+VLOOKUP(DO$4, Rates_current!$G$6:$Q$29, 11, FALSE))</f>
        <v>46732.203024292896</v>
      </c>
      <c r="DP102" s="227">
        <f>$BT102*(VLOOKUP(DP$4, Rates_current!$G$6:$Q$29, 10, FALSE)+VLOOKUP(DP$4, Rates_current!$G$6:$Q$29, 11, FALSE))</f>
        <v>38049.410131416</v>
      </c>
      <c r="DQ102" s="227">
        <f>$BT102*(VLOOKUP(DQ$4, Rates_current!$G$6:$Q$29, 10, FALSE)+VLOOKUP(DQ$4, Rates_current!$G$6:$Q$29, 11, FALSE))</f>
        <v>51315.303357683202</v>
      </c>
      <c r="DR102" s="227">
        <f>$BT102*(VLOOKUP(DR$4, Rates_current!$G$6:$Q$29, 10, FALSE)+VLOOKUP(DR$4, Rates_current!$G$6:$Q$29, 11, FALSE))</f>
        <v>65474.837057566001</v>
      </c>
      <c r="DS102" s="227">
        <f>$BT102*(VLOOKUP(DS$4, Rates_current!$G$6:$Q$29, 10, FALSE)+VLOOKUP(DS$4, Rates_current!$G$6:$Q$29, 11, FALSE))</f>
        <v>51334.348329633205</v>
      </c>
      <c r="DT102" s="227">
        <f>$BT102*(VLOOKUP(DT$4, Rates_current!$G$6:$Q$29, 10, FALSE)+VLOOKUP(DT$4, Rates_current!$G$6:$Q$29, 11, FALSE))</f>
        <v>49989.433409783203</v>
      </c>
      <c r="DU102" s="227">
        <f>$BT102*(VLOOKUP(DU$4, Rates_current!$G$6:$Q$29, 10, FALSE)+VLOOKUP(DU$4, Rates_current!$G$6:$Q$29, 11, FALSE))</f>
        <v>44879.877079115999</v>
      </c>
      <c r="DV102" s="229">
        <f>IF(D102=0,IF(C102=0,MAX(0,DY102 - (VLOOKUP($A102,TOCA_current!$A$2:$AI$137,MATCH("RHWM 2020",TOCA_current!$A$2:$AI$2,0),FALSE)*$BT$2)), 0),0)</f>
        <v>0</v>
      </c>
      <c r="DW102" s="266">
        <f>VLOOKUP($A102,REP_current!$A$1:$D$135,MATCH("FY "&amp;$BT$1&amp; " Total Refund",REP_current!$A$1:$D$1,0),0)</f>
        <v>0</v>
      </c>
      <c r="DX102" s="295">
        <f>MIN(VLOOKUP($A102,TOCA_current!$A$2:$AI$137,MATCH("TRL - NLSL - Existing Resource "&amp;$BT$1,TOCA_current!$A$2:$AI$2,0),FALSE)*$BT$2, VLOOKUP($A102,TOCA_current!$A$2:$AI$137,MATCH("RHWM 2020",TOCA_current!$A$2:$AI$2,0),FALSE)*$BT$2)</f>
        <v>592454.44799999997</v>
      </c>
      <c r="DY102" s="240">
        <f>SUM(BZ102:CW102)+(BT102*RT1SC!$C$4*$BT$2)</f>
        <v>593115.70434959361</v>
      </c>
      <c r="DZ102" s="271">
        <f>VLOOKUP($A102,TOCA_current!$A$2:$AI$137,MATCH("Above RHWM Not Served with LS "&amp;$BT$1,TOCA_current!$A$2:$AI$2,0),FALSE)*$BT$2</f>
        <v>0</v>
      </c>
      <c r="EA102" s="244">
        <f t="shared" si="29"/>
        <v>661.25634959363379</v>
      </c>
      <c r="EB102" s="295">
        <f>(VLOOKUP($A102,TOCA_current!$A$2:$AI$137,MATCH("RHWM 2020",TOCA_current!$A$2:$AI$2,0),FALSE)*$BT$2) - $DX102</f>
        <v>36515.087999999989</v>
      </c>
      <c r="EC102" s="240">
        <f t="shared" si="30"/>
        <v>-661.25634959363379</v>
      </c>
      <c r="ED102" s="240">
        <f t="shared" si="31"/>
        <v>0</v>
      </c>
      <c r="EE102" s="240">
        <f t="shared" si="32"/>
        <v>0</v>
      </c>
      <c r="EF102" s="240">
        <f t="shared" si="33"/>
        <v>-661.25634959363379</v>
      </c>
    </row>
    <row r="103" spans="1:136">
      <c r="A103" s="166">
        <v>10326</v>
      </c>
      <c r="B103" s="167" t="s">
        <v>104</v>
      </c>
      <c r="C103" s="240">
        <v>0</v>
      </c>
      <c r="D103" s="240">
        <v>0</v>
      </c>
      <c r="E103" s="150">
        <f>VLOOKUP($A103,TOCA_previous!$A$2:$AI$137,MATCH(E$4,TOCA_previous!$A$2:$AI$2,0),FALSE)</f>
        <v>4.1260999999999997E-3</v>
      </c>
      <c r="F103" s="151">
        <f>VLOOKUP($A103,TOCA_previous!$A$2:$AI$137,MATCH(F$4,TOCA_previous!$A$2:$AI$2,0),FALSE)</f>
        <v>4.1260999999999997E-3</v>
      </c>
      <c r="G103" s="151">
        <f t="shared" si="18"/>
        <v>0</v>
      </c>
      <c r="H103" s="151">
        <f>VLOOKUP($A103,TOCA_previous!$A$2:$AI$137,MATCH(H$4,TOCA_previous!$A$2:$AI$2,0),FALSE)</f>
        <v>0</v>
      </c>
      <c r="I103" s="151">
        <f t="shared" si="19"/>
        <v>0</v>
      </c>
      <c r="J103" s="151">
        <f t="shared" si="20"/>
        <v>0</v>
      </c>
      <c r="K103" s="226">
        <f>VLOOKUP(A103, IRD!$A$5:$C$139, 3, FALSE)</f>
        <v>0</v>
      </c>
      <c r="L103" s="227">
        <f t="array" ref="L103">IF($G103=0, INDEX(LS_previous!$D$4:$AY$138, MATCH('Staging Table'!$A103, LS_previous!$B$4:$B$138, 0), MATCH(L$4&amp;L$5, LS_previous!$D$2:$AY$2&amp;LS_previous!$D$3:$AY$3, 0)),SUM(VLOOKUP($A103, LS_previous!$B$4:$AY$138, LS_previous!D$149, FALSE), VLOOKUP('Staging Table'!$A103, LS_previous!$B$4:$AY$138,LS_previous!AB$149, FALSE))/2)</f>
        <v>306</v>
      </c>
      <c r="M103" s="227">
        <f t="array" ref="M103">IF($G103=0, INDEX(LS_previous!$D$4:$AY$138, MATCH('Staging Table'!$A103, LS_previous!$B$4:$B$138, 0), MATCH(M$4&amp;M$5, LS_previous!$D$2:$AY$2&amp;LS_previous!$D$3:$AY$3, 0)),SUM(VLOOKUP($A103, LS_previous!$B$4:$AY$138, LS_previous!E$149, FALSE), VLOOKUP('Staging Table'!$A103, LS_previous!$B$4:$AY$138,LS_previous!AC$149, FALSE))/2)</f>
        <v>1647</v>
      </c>
      <c r="N103" s="227">
        <f t="array" ref="N103">IF($G103=0, INDEX(LS_previous!$D$4:$AY$138, MATCH('Staging Table'!$A103, LS_previous!$B$4:$B$138, 0), MATCH(N$4&amp;N$5, LS_previous!$D$2:$AY$2&amp;LS_previous!$D$3:$AY$3, 0)),SUM(VLOOKUP($A103, LS_previous!$B$4:$AY$138, LS_previous!F$149, FALSE), VLOOKUP('Staging Table'!$A103, LS_previous!$B$4:$AY$138,LS_previous!AD$149, FALSE))/2)</f>
        <v>-3459</v>
      </c>
      <c r="O103" s="227">
        <f t="array" ref="O103">IF($G103=0, INDEX(LS_previous!$D$4:$AY$138, MATCH('Staging Table'!$A103, LS_previous!$B$4:$B$138, 0), MATCH(O$4&amp;O$5, LS_previous!$D$2:$AY$2&amp;LS_previous!$D$3:$AY$3, 0)),SUM(VLOOKUP($A103, LS_previous!$B$4:$AY$138, LS_previous!G$149, FALSE), VLOOKUP('Staging Table'!$A103, LS_previous!$B$4:$AY$138,LS_previous!AE$149, FALSE))/2)</f>
        <v>-332</v>
      </c>
      <c r="P103" s="227">
        <f t="array" ref="P103">IF($G103=0, INDEX(LS_previous!$D$4:$AY$138, MATCH('Staging Table'!$A103, LS_previous!$B$4:$B$138, 0), MATCH(P$4&amp;P$5, LS_previous!$D$2:$AY$2&amp;LS_previous!$D$3:$AY$3, 0)),SUM(VLOOKUP($A103, LS_previous!$B$4:$AY$138, LS_previous!H$149, FALSE), VLOOKUP('Staging Table'!$A103, LS_previous!$B$4:$AY$138,LS_previous!AF$149, FALSE))/2)</f>
        <v>-736</v>
      </c>
      <c r="Q103" s="227">
        <f t="array" ref="Q103">IF($G103=0, INDEX(LS_previous!$D$4:$AY$138, MATCH('Staging Table'!$A103, LS_previous!$B$4:$B$138, 0), MATCH(Q$4&amp;Q$5, LS_previous!$D$2:$AY$2&amp;LS_previous!$D$3:$AY$3, 0)),SUM(VLOOKUP($A103, LS_previous!$B$4:$AY$138, LS_previous!I$149, FALSE), VLOOKUP('Staging Table'!$A103, LS_previous!$B$4:$AY$138,LS_previous!AG$149, FALSE))/2)</f>
        <v>2195</v>
      </c>
      <c r="R103" s="227">
        <f t="array" ref="R103">IF($G103=0, INDEX(LS_previous!$D$4:$AY$138, MATCH('Staging Table'!$A103, LS_previous!$B$4:$B$138, 0), MATCH(R$4&amp;R$5, LS_previous!$D$2:$AY$2&amp;LS_previous!$D$3:$AY$3, 0)),SUM(VLOOKUP($A103, LS_previous!$B$4:$AY$138, LS_previous!J$149, FALSE), VLOOKUP('Staging Table'!$A103, LS_previous!$B$4:$AY$138,LS_previous!AH$149, FALSE))/2)</f>
        <v>2521</v>
      </c>
      <c r="S103" s="227">
        <f t="array" ref="S103">IF($G103=0, INDEX(LS_previous!$D$4:$AY$138, MATCH('Staging Table'!$A103, LS_previous!$B$4:$B$138, 0), MATCH(S$4&amp;S$5, LS_previous!$D$2:$AY$2&amp;LS_previous!$D$3:$AY$3, 0)),SUM(VLOOKUP($A103, LS_previous!$B$4:$AY$138, LS_previous!K$149, FALSE), VLOOKUP('Staging Table'!$A103, LS_previous!$B$4:$AY$138,LS_previous!AI$149, FALSE))/2)</f>
        <v>3094</v>
      </c>
      <c r="T103" s="227">
        <f t="array" ref="T103">IF($G103=0, INDEX(LS_previous!$D$4:$AY$138, MATCH('Staging Table'!$A103, LS_previous!$B$4:$B$138, 0), MATCH(T$4&amp;T$5, LS_previous!$D$2:$AY$2&amp;LS_previous!$D$3:$AY$3, 0)),SUM(VLOOKUP($A103, LS_previous!$B$4:$AY$138, LS_previous!L$149, FALSE), VLOOKUP('Staging Table'!$A103, LS_previous!$B$4:$AY$138,LS_previous!AJ$149, FALSE))/2)</f>
        <v>4024</v>
      </c>
      <c r="U103" s="227">
        <f t="array" ref="U103">IF($G103=0, INDEX(LS_previous!$D$4:$AY$138, MATCH('Staging Table'!$A103, LS_previous!$B$4:$B$138, 0), MATCH(U$4&amp;U$5, LS_previous!$D$2:$AY$2&amp;LS_previous!$D$3:$AY$3, 0)),SUM(VLOOKUP($A103, LS_previous!$B$4:$AY$138, LS_previous!M$149, FALSE), VLOOKUP('Staging Table'!$A103, LS_previous!$B$4:$AY$138,LS_previous!AK$149, FALSE))/2)</f>
        <v>3675</v>
      </c>
      <c r="V103" s="227">
        <f t="array" ref="V103">IF($G103=0, INDEX(LS_previous!$D$4:$AY$138, MATCH('Staging Table'!$A103, LS_previous!$B$4:$B$138, 0), MATCH(V$4&amp;V$5, LS_previous!$D$2:$AY$2&amp;LS_previous!$D$3:$AY$3, 0)),SUM(VLOOKUP($A103, LS_previous!$B$4:$AY$138, LS_previous!N$149, FALSE), VLOOKUP('Staging Table'!$A103, LS_previous!$B$4:$AY$138,LS_previous!AL$149, FALSE))/2)</f>
        <v>1986</v>
      </c>
      <c r="W103" s="227">
        <f t="array" ref="W103">IF($G103=0, INDEX(LS_previous!$D$4:$AY$138, MATCH('Staging Table'!$A103, LS_previous!$B$4:$B$138, 0), MATCH(W$4&amp;W$5, LS_previous!$D$2:$AY$2&amp;LS_previous!$D$3:$AY$3, 0)),SUM(VLOOKUP($A103, LS_previous!$B$4:$AY$138, LS_previous!O$149, FALSE), VLOOKUP('Staging Table'!$A103, LS_previous!$B$4:$AY$138,LS_previous!AM$149, FALSE))/2)</f>
        <v>3079</v>
      </c>
      <c r="X103" s="227">
        <f t="array" ref="X103">IF($G103=0, INDEX(LS_previous!$D$4:$AY$138, MATCH('Staging Table'!$A103, LS_previous!$B$4:$B$138, 0), MATCH(X$4&amp;X$5, LS_previous!$D$2:$AY$2&amp;LS_previous!$D$3:$AY$3, 0)),SUM(VLOOKUP($A103, LS_previous!$B$4:$AY$138, LS_previous!P$149, FALSE), VLOOKUP('Staging Table'!$A103, LS_previous!$B$4:$AY$138,LS_previous!AN$149, FALSE))/2)</f>
        <v>1701</v>
      </c>
      <c r="Y103" s="227">
        <f t="array" ref="Y103">IF($G103=0, INDEX(LS_previous!$D$4:$AY$138, MATCH('Staging Table'!$A103, LS_previous!$B$4:$B$138, 0), MATCH(Y$4&amp;Y$5, LS_previous!$D$2:$AY$2&amp;LS_previous!$D$3:$AY$3, 0)),SUM(VLOOKUP($A103, LS_previous!$B$4:$AY$138, LS_previous!Q$149, FALSE), VLOOKUP('Staging Table'!$A103, LS_previous!$B$4:$AY$138,LS_previous!AO$149, FALSE))/2)</f>
        <v>2490</v>
      </c>
      <c r="Z103" s="227">
        <f t="array" ref="Z103">IF($G103=0, INDEX(LS_previous!$D$4:$AY$138, MATCH('Staging Table'!$A103, LS_previous!$B$4:$B$138, 0), MATCH(Z$4&amp;Z$5, LS_previous!$D$2:$AY$2&amp;LS_previous!$D$3:$AY$3, 0)),SUM(VLOOKUP($A103, LS_previous!$B$4:$AY$138, LS_previous!R$149, FALSE), VLOOKUP('Staging Table'!$A103, LS_previous!$B$4:$AY$138,LS_previous!AP$149, FALSE))/2)</f>
        <v>-4725</v>
      </c>
      <c r="AA103" s="227">
        <f t="array" ref="AA103">IF($G103=0, INDEX(LS_previous!$D$4:$AY$138, MATCH('Staging Table'!$A103, LS_previous!$B$4:$B$138, 0), MATCH(AA$4&amp;AA$5, LS_previous!$D$2:$AY$2&amp;LS_previous!$D$3:$AY$3, 0)),SUM(VLOOKUP($A103, LS_previous!$B$4:$AY$138, LS_previous!S$149, FALSE), VLOOKUP('Staging Table'!$A103, LS_previous!$B$4:$AY$138,LS_previous!AQ$149, FALSE))/2)</f>
        <v>-21</v>
      </c>
      <c r="AB103" s="227">
        <f t="array" ref="AB103">IF($G103=0, INDEX(LS_previous!$D$4:$AY$138, MATCH('Staging Table'!$A103, LS_previous!$B$4:$B$138, 0), MATCH(AB$4&amp;AB$5, LS_previous!$D$2:$AY$2&amp;LS_previous!$D$3:$AY$3, 0)),SUM(VLOOKUP($A103, LS_previous!$B$4:$AY$138, LS_previous!T$149, FALSE), VLOOKUP('Staging Table'!$A103, LS_previous!$B$4:$AY$138,LS_previous!AR$149, FALSE))/2)</f>
        <v>-1206</v>
      </c>
      <c r="AC103" s="227">
        <f t="array" ref="AC103">IF($G103=0, INDEX(LS_previous!$D$4:$AY$138, MATCH('Staging Table'!$A103, LS_previous!$B$4:$B$138, 0), MATCH(AC$4&amp;AC$5, LS_previous!$D$2:$AY$2&amp;LS_previous!$D$3:$AY$3, 0)),SUM(VLOOKUP($A103, LS_previous!$B$4:$AY$138, LS_previous!U$149, FALSE), VLOOKUP('Staging Table'!$A103, LS_previous!$B$4:$AY$138,LS_previous!AS$149, FALSE))/2)</f>
        <v>924</v>
      </c>
      <c r="AD103" s="227">
        <f t="array" ref="AD103">IF($G103=0, INDEX(LS_previous!$D$4:$AY$138, MATCH('Staging Table'!$A103, LS_previous!$B$4:$B$138, 0), MATCH(AD$4&amp;AD$5, LS_previous!$D$2:$AY$2&amp;LS_previous!$D$3:$AY$3, 0)),SUM(VLOOKUP($A103, LS_previous!$B$4:$AY$138, LS_previous!V$149, FALSE), VLOOKUP('Staging Table'!$A103, LS_previous!$B$4:$AY$138,LS_previous!AT$149, FALSE))/2)</f>
        <v>1040</v>
      </c>
      <c r="AE103" s="227">
        <f t="array" ref="AE103">IF($G103=0, INDEX(LS_previous!$D$4:$AY$138, MATCH('Staging Table'!$A103, LS_previous!$B$4:$B$138, 0), MATCH(AE$4&amp;AE$5, LS_previous!$D$2:$AY$2&amp;LS_previous!$D$3:$AY$3, 0)),SUM(VLOOKUP($A103, LS_previous!$B$4:$AY$138, LS_previous!W$149, FALSE), VLOOKUP('Staging Table'!$A103, LS_previous!$B$4:$AY$138,LS_previous!AU$149, FALSE))/2)</f>
        <v>2893</v>
      </c>
      <c r="AF103" s="227">
        <f t="array" ref="AF103">IF($G103=0, INDEX(LS_previous!$D$4:$AY$138, MATCH('Staging Table'!$A103, LS_previous!$B$4:$B$138, 0), MATCH(AF$4&amp;AF$5, LS_previous!$D$2:$AY$2&amp;LS_previous!$D$3:$AY$3, 0)),SUM(VLOOKUP($A103, LS_previous!$B$4:$AY$138, LS_previous!X$149, FALSE), VLOOKUP('Staging Table'!$A103, LS_previous!$B$4:$AY$138,LS_previous!AV$149, FALSE))/2)</f>
        <v>-938</v>
      </c>
      <c r="AG103" s="227">
        <f t="array" ref="AG103">IF($G103=0, INDEX(LS_previous!$D$4:$AY$138, MATCH('Staging Table'!$A103, LS_previous!$B$4:$B$138, 0), MATCH(AG$4&amp;AG$5, LS_previous!$D$2:$AY$2&amp;LS_previous!$D$3:$AY$3, 0)),SUM(VLOOKUP($A103, LS_previous!$B$4:$AY$138, LS_previous!Y$149, FALSE), VLOOKUP('Staging Table'!$A103, LS_previous!$B$4:$AY$138,LS_previous!AW$149, FALSE))/2)</f>
        <v>2228</v>
      </c>
      <c r="AH103" s="227">
        <f t="array" ref="AH103">IF($G103=0, INDEX(LS_previous!$D$4:$AY$138, MATCH('Staging Table'!$A103, LS_previous!$B$4:$B$138, 0), MATCH(AH$4&amp;AH$5, LS_previous!$D$2:$AY$2&amp;LS_previous!$D$3:$AY$3, 0)),SUM(VLOOKUP($A103, LS_previous!$B$4:$AY$138, LS_previous!Z$149, FALSE), VLOOKUP('Staging Table'!$A103, LS_previous!$B$4:$AY$138,LS_previous!AX$149, FALSE))/2)</f>
        <v>59</v>
      </c>
      <c r="AI103" s="227">
        <f t="array" ref="AI103">IF($G103=0, INDEX(LS_previous!$D$4:$AY$138, MATCH('Staging Table'!$A103, LS_previous!$B$4:$B$138, 0), MATCH(AI$4&amp;AI$5, LS_previous!$D$2:$AY$2&amp;LS_previous!$D$3:$AY$3, 0)),SUM(VLOOKUP($A103, LS_previous!$B$4:$AY$138, LS_previous!AA$149, FALSE), VLOOKUP('Staging Table'!$A103, LS_previous!$B$4:$AY$138,LS_previous!AY$149, FALSE))/2)</f>
        <v>1934</v>
      </c>
      <c r="AJ103" s="424">
        <f t="array" ref="AJ103">INDEX(Demand_previous!$D$4:$AY$138, MATCH('Staging Table'!$A103, Demand_previous!$B$4:$B$138, 0), MATCH(AJ$4&amp;AJ$5,Demand_previous!$D$2:$AY$2&amp;Demand_previous!$D$3:$AY$3, 0))/1000</f>
        <v>0.157</v>
      </c>
      <c r="AK103" s="424">
        <f t="array" ref="AK103">INDEX(Demand_previous!$D$4:$AY$138, MATCH('Staging Table'!$A103, Demand_previous!$B$4:$B$138, 0), MATCH(AK$4&amp;AK$5,Demand_previous!$D$2:$AY$2&amp;Demand_previous!$D$3:$AY$3, 0))/1000</f>
        <v>1.5780000000000001</v>
      </c>
      <c r="AL103" s="424">
        <f t="array" ref="AL103">INDEX(Demand_previous!$D$4:$AY$138, MATCH('Staging Table'!$A103, Demand_previous!$B$4:$B$138, 0), MATCH(AL$4&amp;AL$5,Demand_previous!$D$2:$AY$2&amp;Demand_previous!$D$3:$AY$3, 0))/1000</f>
        <v>9.3689999999999998</v>
      </c>
      <c r="AM103" s="424">
        <f t="array" ref="AM103">INDEX(Demand_previous!$D$4:$AY$138, MATCH('Staging Table'!$A103, Demand_previous!$B$4:$B$138, 0), MATCH(AM$4&amp;AM$5,Demand_previous!$D$2:$AY$2&amp;Demand_previous!$D$3:$AY$3, 0))/1000</f>
        <v>4.6360000000000001</v>
      </c>
      <c r="AN103" s="424">
        <f t="array" ref="AN103">INDEX(Demand_previous!$D$4:$AY$138, MATCH('Staging Table'!$A103, Demand_previous!$B$4:$B$138, 0), MATCH(AN$4&amp;AN$5,Demand_previous!$D$2:$AY$2&amp;Demand_previous!$D$3:$AY$3, 0))/1000</f>
        <v>6.0819999999999999</v>
      </c>
      <c r="AO103" s="424">
        <f t="array" ref="AO103">INDEX(Demand_previous!$D$4:$AY$138, MATCH('Staging Table'!$A103, Demand_previous!$B$4:$B$138, 0), MATCH(AO$4&amp;AO$5,Demand_previous!$D$2:$AY$2&amp;Demand_previous!$D$3:$AY$3, 0))/1000</f>
        <v>10.662000000000001</v>
      </c>
      <c r="AP103" s="424">
        <f t="array" ref="AP103">INDEX(Demand_previous!$D$4:$AY$138, MATCH('Staging Table'!$A103, Demand_previous!$B$4:$B$138, 0), MATCH(AP$4&amp;AP$5,Demand_previous!$D$2:$AY$2&amp;Demand_previous!$D$3:$AY$3, 0))/1000</f>
        <v>4.7370000000000001</v>
      </c>
      <c r="AQ103" s="424">
        <f t="array" ref="AQ103">INDEX(Demand_previous!$D$4:$AY$138, MATCH('Staging Table'!$A103, Demand_previous!$B$4:$B$138, 0), MATCH(AQ$4&amp;AQ$5,Demand_previous!$D$2:$AY$2&amp;Demand_previous!$D$3:$AY$3, 0))/1000</f>
        <v>5.6349999999999998</v>
      </c>
      <c r="AR103" s="424">
        <f t="array" ref="AR103">INDEX(Demand_previous!$D$4:$AY$138, MATCH('Staging Table'!$A103, Demand_previous!$B$4:$B$138, 0), MATCH(AR$4&amp;AR$5,Demand_previous!$D$2:$AY$2&amp;Demand_previous!$D$3:$AY$3, 0))/1000</f>
        <v>4.702</v>
      </c>
      <c r="AS103" s="424">
        <f t="array" ref="AS103">INDEX(Demand_previous!$D$4:$AY$138, MATCH('Staging Table'!$A103, Demand_previous!$B$4:$B$138, 0), MATCH(AS$4&amp;AS$5,Demand_previous!$D$2:$AY$2&amp;Demand_previous!$D$3:$AY$3, 0))/1000</f>
        <v>3.4510000000000001</v>
      </c>
      <c r="AT103" s="424">
        <f t="array" ref="AT103">INDEX(Demand_previous!$D$4:$AY$138, MATCH('Staging Table'!$A103, Demand_previous!$B$4:$B$138, 0), MATCH(AT$4&amp;AT$5,Demand_previous!$D$2:$AY$2&amp;Demand_previous!$D$3:$AY$3, 0))/1000</f>
        <v>6.71</v>
      </c>
      <c r="AU103" s="424">
        <f t="array" ref="AU103">INDEX(Demand_previous!$D$4:$AY$138, MATCH('Staging Table'!$A103, Demand_previous!$B$4:$B$138, 0), MATCH(AU$4&amp;AU$5,Demand_previous!$D$2:$AY$2&amp;Demand_previous!$D$3:$AY$3, 0))/1000</f>
        <v>5.0129999999999999</v>
      </c>
      <c r="AV103" s="227">
        <f>$F103*(VLOOKUP(AV$4, Rates_previous!$G$6:$Q$29, 10, FALSE)+VLOOKUP(AV$4, Rates_previous!$G$6:$Q$29, 11, FALSE))</f>
        <v>19346.613491395314</v>
      </c>
      <c r="AW103" s="227">
        <f>$F103*(VLOOKUP(AW$4, Rates_previous!$G$6:$Q$29, 10, FALSE)+VLOOKUP(AW$4, Rates_previous!$G$6:$Q$29, 11, FALSE))</f>
        <v>23910.943854813813</v>
      </c>
      <c r="AX103" s="227">
        <f>$F103*(VLOOKUP(AX$4, Rates_previous!$G$6:$Q$29, 10, FALSE)+VLOOKUP(AX$4, Rates_previous!$G$6:$Q$29, 11, FALSE))</f>
        <v>23623.802017987739</v>
      </c>
      <c r="AY103" s="227">
        <f>$F103*(VLOOKUP(AY$4, Rates_previous!$G$6:$Q$29, 10, FALSE)+VLOOKUP(AY$4, Rates_previous!$G$6:$Q$29, 11, FALSE))</f>
        <v>20184.287104151674</v>
      </c>
      <c r="AZ103" s="227">
        <f>$F103*(VLOOKUP(AZ$4, Rates_previous!$G$6:$Q$29, 10, FALSE)+VLOOKUP(AZ$4, Rates_previous!$G$6:$Q$29, 11, FALSE))</f>
        <v>16547.200256064916</v>
      </c>
      <c r="BA103" s="227">
        <f>$F103*(VLOOKUP(BA$4, Rates_previous!$G$6:$Q$29, 10, FALSE)+VLOOKUP(BA$4, Rates_previous!$G$6:$Q$29, 11, FALSE))</f>
        <v>19591.284053086714</v>
      </c>
      <c r="BB103" s="227">
        <f>$F103*(VLOOKUP(BB$4, Rates_previous!$G$6:$Q$29, 10, FALSE)+VLOOKUP(BB$4, Rates_previous!$G$6:$Q$29, 11, FALSE))</f>
        <v>18830.073701140485</v>
      </c>
      <c r="BC103" s="227">
        <f>$F103*(VLOOKUP(BC$4, Rates_previous!$G$6:$Q$29, 10, FALSE)+VLOOKUP(BC$4, Rates_previous!$G$6:$Q$29, 11, FALSE))</f>
        <v>27631.800688672687</v>
      </c>
      <c r="BD103" s="227">
        <f>$F103*(VLOOKUP(BD$4, Rates_previous!$G$6:$Q$29, 10, FALSE)+VLOOKUP(BD$4, Rates_previous!$G$6:$Q$29, 11, FALSE))</f>
        <v>21800.760425968339</v>
      </c>
      <c r="BE103" s="227">
        <f>$F103*(VLOOKUP(BE$4, Rates_previous!$G$6:$Q$29, 10, FALSE)+VLOOKUP(BE$4, Rates_previous!$G$6:$Q$29, 11, FALSE))</f>
        <v>19142.897512386604</v>
      </c>
      <c r="BF103" s="227">
        <f>$F103*(VLOOKUP(BF$4, Rates_previous!$G$6:$Q$29, 10, FALSE)+VLOOKUP(BF$4, Rates_previous!$G$6:$Q$29, 11, FALSE))</f>
        <v>21201.525241372161</v>
      </c>
      <c r="BG103" s="227">
        <f>$F103*(VLOOKUP(BG$4, Rates_previous!$G$6:$Q$29, 10, FALSE)+VLOOKUP(BG$4, Rates_previous!$G$6:$Q$29, 11, FALSE))</f>
        <v>19207.738736866595</v>
      </c>
      <c r="BH103" s="229">
        <f>IF($D103=0,IF(C103=0, MAX(BK103 - (VLOOKUP($A103,TOCA_previous!$A$2:$AI$137,MATCH("RHWM 2018",TOCA_previous!$A$2:$AI$2,0),FALSE)*$F$2*TOCA_previous!C100),0),0), 0)</f>
        <v>12851.970746055944</v>
      </c>
      <c r="BI103" s="266">
        <f>VLOOKUP($A103,REP_previous!$A$1:$D$135,MATCH("FY "&amp;$F$1&amp; " Total Refund",REP_previous!$A$1:$D$1,0),0)</f>
        <v>380651.60016817949</v>
      </c>
      <c r="BJ103" s="241">
        <f>MIN(VLOOKUP($A103,TOCA_previous!$A$2:$AI$137,MATCH("TRL - NLSL - Existing Resource "&amp;$F$1,TOCA_previous!$A$2:$AI$2,0),FALSE)*$F$2,(VLOOKUP($A103,TOCA_previous!$A$2:$AI$137,MATCH("RHWM 2018",TOCA_previous!$A$2:$AI$2,0),FALSE)*$F$2))</f>
        <v>251017.80000000002</v>
      </c>
      <c r="BK103" s="229">
        <f>SUM(L103:AI103)+(F103*RT1SC!$C$3*$F$2)</f>
        <v>275397.93074605596</v>
      </c>
      <c r="BL103" s="241">
        <f>VLOOKUP($A103,TOCA_previous!$A$2:$AI$137,MATCH("Above RHWM Not Served with LS "&amp;$F$1,TOCA_previous!$A$2:$AI$2,0),FALSE)*$F$2</f>
        <v>0</v>
      </c>
      <c r="BM103" s="151">
        <f t="shared" si="21"/>
        <v>24380.130746055947</v>
      </c>
      <c r="BN103" s="242">
        <f>(VLOOKUP($A103,TOCA_previous!$A$2:$AI$137,MATCH("RHWM 2018",TOCA_previous!$A$2:$AI$2,0),FALSE)*$F$2) - $BJ103</f>
        <v>11528.160000000003</v>
      </c>
      <c r="BO103" s="151">
        <f t="shared" si="22"/>
        <v>-11528.160000000003</v>
      </c>
      <c r="BP103" s="243">
        <f t="shared" si="23"/>
        <v>0</v>
      </c>
      <c r="BQ103" s="237">
        <f t="shared" si="24"/>
        <v>0</v>
      </c>
      <c r="BR103" s="242">
        <f t="shared" si="25"/>
        <v>-11528.160000000003</v>
      </c>
      <c r="BS103" s="151">
        <f>VLOOKUP($A103,TOCA_current!$A$2:$AI$137,MATCH(BS$4,TOCA_current!$A$2:$AI$2,0),FALSE)</f>
        <v>4.2025999999999999E-3</v>
      </c>
      <c r="BT103" s="151">
        <f>VLOOKUP($A103,TOCA_current!$A$2:$AI$137,MATCH(BT$4,TOCA_current!$A$2:$AI$2,0),FALSE)</f>
        <v>4.2025999999999999E-3</v>
      </c>
      <c r="BU103" s="236">
        <f t="shared" si="26"/>
        <v>0</v>
      </c>
      <c r="BV103" s="151">
        <f>VLOOKUP($A103,TOCA_current!A99:BG234,MATCH(BV$4,TOCA_current!$A$2:$BG$2,0),FALSE)</f>
        <v>0</v>
      </c>
      <c r="BW103" s="151">
        <f t="shared" si="27"/>
        <v>0</v>
      </c>
      <c r="BX103" s="151">
        <f t="shared" si="28"/>
        <v>0</v>
      </c>
      <c r="BY103" s="226">
        <f>VLOOKUP($A103,IRD!$A$4:$G$139, 7, FALSE)</f>
        <v>0</v>
      </c>
      <c r="BZ103" s="227">
        <f t="array" ref="BZ103">IF($BU103=0, INDEX(LS_current!$D$4:$AY$138, MATCH('Staging Table'!$A103, LS_current!$B$4:$B$138, 0), MATCH(BZ$4&amp;BZ$5, LS_current!$D$2:$AY$2&amp;LS_current!$D$3:$AY$3, 0)),SUM(VLOOKUP($A103, LS_current!$B$4:$AY$138, LS_current!D$148, FALSE), VLOOKUP($A103, LS_current!$B$4:$AY$138,LS_current!D$148, FALSE))/2)</f>
        <v>243</v>
      </c>
      <c r="CA103" s="227">
        <f t="array" ref="CA103">IF($BU103=0, INDEX(LS_current!$D$4:$AY$138, MATCH('Staging Table'!$A103, LS_current!$B$4:$B$138, 0), MATCH(CA$4&amp;CA$5, LS_current!$D$2:$AY$2&amp;LS_current!$D$3:$AY$3, 0)),SUM(VLOOKUP($A103, LS_current!$B$4:$AY$138, LS_current!E$148, FALSE), VLOOKUP($A103, LS_current!$B$4:$AY$138,LS_current!E$148, FALSE))/2)</f>
        <v>1652</v>
      </c>
      <c r="CB103" s="227">
        <f t="array" ref="CB103">IF($BU103=0, INDEX(LS_current!$D$4:$AY$138, MATCH('Staging Table'!$A103, LS_current!$B$4:$B$138, 0), MATCH(CB$4&amp;CB$5, LS_current!$D$2:$AY$2&amp;LS_current!$D$3:$AY$3, 0)),SUM(VLOOKUP($A103, LS_current!$B$4:$AY$138, LS_current!F$148, FALSE), VLOOKUP($A103, LS_current!$B$4:$AY$138,LS_current!F$148, FALSE))/2)</f>
        <v>-3847</v>
      </c>
      <c r="CC103" s="227">
        <f t="array" ref="CC103">IF($BU103=0, INDEX(LS_current!$D$4:$AY$138, MATCH('Staging Table'!$A103, LS_current!$B$4:$B$138, 0), MATCH(CC$4&amp;CC$5, LS_current!$D$2:$AY$2&amp;LS_current!$D$3:$AY$3, 0)),SUM(VLOOKUP($A103, LS_current!$B$4:$AY$138, LS_current!G$148, FALSE), VLOOKUP($A103, LS_current!$B$4:$AY$138,LS_current!G$148, FALSE))/2)</f>
        <v>-683</v>
      </c>
      <c r="CD103" s="227">
        <f t="array" ref="CD103">IF($BU103=0, INDEX(LS_current!$D$4:$AY$138, MATCH('Staging Table'!$A103, LS_current!$B$4:$B$138, 0), MATCH(CD$4&amp;CD$5, LS_current!$D$2:$AY$2&amp;LS_current!$D$3:$AY$3, 0)),SUM(VLOOKUP($A103, LS_current!$B$4:$AY$138, LS_current!H$148, FALSE), VLOOKUP($A103, LS_current!$B$4:$AY$138,LS_current!H$148, FALSE))/2)</f>
        <v>-1143</v>
      </c>
      <c r="CE103" s="227">
        <f t="array" ref="CE103">IF($BU103=0, INDEX(LS_current!$D$4:$AY$138, MATCH('Staging Table'!$A103, LS_current!$B$4:$B$138, 0), MATCH(CE$4&amp;CE$5, LS_current!$D$2:$AY$2&amp;LS_current!$D$3:$AY$3, 0)),SUM(VLOOKUP($A103, LS_current!$B$4:$AY$138, LS_current!I$148, FALSE), VLOOKUP($A103, LS_current!$B$4:$AY$138,LS_current!I$148, FALSE))/2)</f>
        <v>1873</v>
      </c>
      <c r="CF103" s="227">
        <f t="array" ref="CF103">IF($BU103=0, INDEX(LS_current!$D$4:$AY$138, MATCH('Staging Table'!$A103, LS_current!$B$4:$B$138, 0), MATCH(CF$4&amp;CF$5, LS_current!$D$2:$AY$2&amp;LS_current!$D$3:$AY$3, 0)),SUM(VLOOKUP($A103, LS_current!$B$4:$AY$138, LS_current!J$148, FALSE), VLOOKUP($A103, LS_current!$B$4:$AY$138,LS_current!J$148, FALSE))/2)</f>
        <v>2234</v>
      </c>
      <c r="CG103" s="227">
        <f t="array" ref="CG103">IF($BU103=0, INDEX(LS_current!$D$4:$AY$138, MATCH('Staging Table'!$A103, LS_current!$B$4:$B$138, 0), MATCH(CG$4&amp;CG$5, LS_current!$D$2:$AY$2&amp;LS_current!$D$3:$AY$3, 0)),SUM(VLOOKUP($A103, LS_current!$B$4:$AY$138, LS_current!K$148, FALSE), VLOOKUP($A103, LS_current!$B$4:$AY$138,LS_current!K$148, FALSE))/2)</f>
        <v>3266</v>
      </c>
      <c r="CH103" s="227">
        <f t="array" ref="CH103">IF($BU103=0, INDEX(LS_current!$D$4:$AY$138, MATCH('Staging Table'!$A103, LS_current!$B$4:$B$138, 0), MATCH(CH$4&amp;CH$5, LS_current!$D$2:$AY$2&amp;LS_current!$D$3:$AY$3, 0)),SUM(VLOOKUP($A103, LS_current!$B$4:$AY$138, LS_current!L$148, FALSE), VLOOKUP($A103, LS_current!$B$4:$AY$138,LS_current!L$148, FALSE))/2)</f>
        <v>2875</v>
      </c>
      <c r="CI103" s="227">
        <f t="array" ref="CI103">IF($BU103=0, INDEX(LS_current!$D$4:$AY$138, MATCH('Staging Table'!$A103, LS_current!$B$4:$B$138, 0), MATCH(CI$4&amp;CI$5, LS_current!$D$2:$AY$2&amp;LS_current!$D$3:$AY$3, 0)),SUM(VLOOKUP($A103, LS_current!$B$4:$AY$138, LS_current!M$148, FALSE), VLOOKUP($A103, LS_current!$B$4:$AY$138,LS_current!M$148, FALSE))/2)</f>
        <v>2982</v>
      </c>
      <c r="CJ103" s="227">
        <f t="array" ref="CJ103">IF($BU103=0, INDEX(LS_current!$D$4:$AY$138, MATCH('Staging Table'!$A103, LS_current!$B$4:$B$138, 0), MATCH(CJ$4&amp;CJ$5, LS_current!$D$2:$AY$2&amp;LS_current!$D$3:$AY$3, 0)),SUM(VLOOKUP($A103, LS_current!$B$4:$AY$138, LS_current!N$148, FALSE), VLOOKUP($A103, LS_current!$B$4:$AY$138,LS_current!N$148, FALSE))/2)</f>
        <v>1370</v>
      </c>
      <c r="CK103" s="227">
        <f t="array" ref="CK103">IF($BU103=0, INDEX(LS_current!$D$4:$AY$138, MATCH('Staging Table'!$A103, LS_current!$B$4:$B$138, 0), MATCH(CK$4&amp;CK$5, LS_current!$D$2:$AY$2&amp;LS_current!$D$3:$AY$3, 0)),SUM(VLOOKUP($A103, LS_current!$B$4:$AY$138, LS_current!O$148, FALSE), VLOOKUP($A103, LS_current!$B$4:$AY$138,LS_current!O$148, FALSE))/2)</f>
        <v>2832</v>
      </c>
      <c r="CL103" s="227">
        <f t="array" ref="CL103">IF($BU103=0, INDEX(LS_current!$D$4:$AY$138, MATCH('Staging Table'!$A103, LS_current!$B$4:$B$138, 0), MATCH(CL$4&amp;CL$5, LS_current!$D$2:$AY$2&amp;LS_current!$D$3:$AY$3, 0)),SUM(VLOOKUP($A103, LS_current!$B$4:$AY$138, LS_current!P$148, FALSE), VLOOKUP($A103, LS_current!$B$4:$AY$138,LS_current!P$148, FALSE))/2)</f>
        <v>3331</v>
      </c>
      <c r="CM103" s="227">
        <f t="array" ref="CM103">IF($BU103=0, INDEX(LS_current!$D$4:$AY$138, MATCH('Staging Table'!$A103, LS_current!$B$4:$B$138, 0), MATCH(CM$4&amp;CM$5, LS_current!$D$2:$AY$2&amp;LS_current!$D$3:$AY$3, 0)),SUM(VLOOKUP($A103, LS_current!$B$4:$AY$138, LS_current!Q$148, FALSE), VLOOKUP($A103, LS_current!$B$4:$AY$138,LS_current!Q$148, FALSE))/2)</f>
        <v>3036</v>
      </c>
      <c r="CN103" s="227">
        <f t="array" ref="CN103">IF($BU103=0, INDEX(LS_current!$D$4:$AY$138, MATCH('Staging Table'!$A103, LS_current!$B$4:$B$138, 0), MATCH(CN$4&amp;CN$5, LS_current!$D$2:$AY$2&amp;LS_current!$D$3:$AY$3, 0)),SUM(VLOOKUP($A103, LS_current!$B$4:$AY$138, LS_current!R$148, FALSE), VLOOKUP($A103, LS_current!$B$4:$AY$138,LS_current!R$148, FALSE))/2)</f>
        <v>-1688</v>
      </c>
      <c r="CO103" s="227">
        <f t="array" ref="CO103">IF($BU103=0, INDEX(LS_current!$D$4:$AY$138, MATCH('Staging Table'!$A103, LS_current!$B$4:$B$138, 0), MATCH(CO$4&amp;CO$5, LS_current!$D$2:$AY$2&amp;LS_current!$D$3:$AY$3, 0)),SUM(VLOOKUP($A103, LS_current!$B$4:$AY$138, LS_current!S$148, FALSE), VLOOKUP($A103, LS_current!$B$4:$AY$138,LS_current!S$148, FALSE))/2)</f>
        <v>2114</v>
      </c>
      <c r="CP103" s="227">
        <f t="array" ref="CP103">IF($BU103=0, INDEX(LS_current!$D$4:$AY$138, MATCH('Staging Table'!$A103, LS_current!$B$4:$B$138, 0), MATCH(CP$4&amp;CP$5, LS_current!$D$2:$AY$2&amp;LS_current!$D$3:$AY$3, 0)),SUM(VLOOKUP($A103, LS_current!$B$4:$AY$138, LS_current!T$148, FALSE), VLOOKUP($A103, LS_current!$B$4:$AY$138,LS_current!T$148, FALSE))/2)</f>
        <v>-5543</v>
      </c>
      <c r="CQ103" s="227">
        <f t="array" ref="CQ103">IF($BU103=0, INDEX(LS_current!$D$4:$AY$138, MATCH('Staging Table'!$A103, LS_current!$B$4:$B$138, 0), MATCH(CQ$4&amp;CQ$5, LS_current!$D$2:$AY$2&amp;LS_current!$D$3:$AY$3, 0)),SUM(VLOOKUP($A103, LS_current!$B$4:$AY$138, LS_current!U$148, FALSE), VLOOKUP($A103, LS_current!$B$4:$AY$138,LS_current!U$148, FALSE))/2)</f>
        <v>-1596</v>
      </c>
      <c r="CR103" s="227">
        <f t="array" ref="CR103">IF($BU103=0, INDEX(LS_current!$D$4:$AY$138, MATCH('Staging Table'!$A103, LS_current!$B$4:$B$138, 0), MATCH(CR$4&amp;CR$5, LS_current!$D$2:$AY$2&amp;LS_current!$D$3:$AY$3, 0)),SUM(VLOOKUP($A103, LS_current!$B$4:$AY$138, LS_current!V$148, FALSE), VLOOKUP($A103, LS_current!$B$4:$AY$138,LS_current!V$148, FALSE))/2)</f>
        <v>-1912</v>
      </c>
      <c r="CS103" s="227">
        <f t="array" ref="CS103">IF($BU103=0, INDEX(LS_current!$D$4:$AY$138, MATCH('Staging Table'!$A103, LS_current!$B$4:$B$138, 0), MATCH(CS$4&amp;CS$5, LS_current!$D$2:$AY$2&amp;LS_current!$D$3:$AY$3, 0)),SUM(VLOOKUP($A103, LS_current!$B$4:$AY$138, LS_current!W$148, FALSE), VLOOKUP($A103, LS_current!$B$4:$AY$138,LS_current!W$148, FALSE))/2)</f>
        <v>2519</v>
      </c>
      <c r="CT103" s="227">
        <f t="array" ref="CT103">IF($BU103=0, INDEX(LS_current!$D$4:$AY$138, MATCH('Staging Table'!$A103, LS_current!$B$4:$B$138, 0), MATCH(CT$4&amp;CT$5, LS_current!$D$2:$AY$2&amp;LS_current!$D$3:$AY$3, 0)),SUM(VLOOKUP($A103, LS_current!$B$4:$AY$138, LS_current!X$148, FALSE), VLOOKUP($A103, LS_current!$B$4:$AY$138,LS_current!X$148, FALSE))/2)</f>
        <v>-1748</v>
      </c>
      <c r="CU103" s="227">
        <f t="array" ref="CU103">IF($BU103=0, INDEX(LS_current!$D$4:$AY$138, MATCH('Staging Table'!$A103, LS_current!$B$4:$B$138, 0), MATCH(CU$4&amp;CU$5, LS_current!$D$2:$AY$2&amp;LS_current!$D$3:$AY$3, 0)),SUM(VLOOKUP($A103, LS_current!$B$4:$AY$138, LS_current!Y$148, FALSE), VLOOKUP($A103, LS_current!$B$4:$AY$138,LS_current!Y$148, FALSE))/2)</f>
        <v>2359</v>
      </c>
      <c r="CV103" s="227">
        <f t="array" ref="CV103">IF($BU103=0, INDEX(LS_current!$D$4:$AY$138, MATCH('Staging Table'!$A103, LS_current!$B$4:$B$138, 0), MATCH(CV$4&amp;CV$5, LS_current!$D$2:$AY$2&amp;LS_current!$D$3:$AY$3, 0)),SUM(VLOOKUP($A103, LS_current!$B$4:$AY$138, LS_current!Z$148, FALSE), VLOOKUP($A103, LS_current!$B$4:$AY$138,LS_current!Z$148, FALSE))/2)</f>
        <v>-242</v>
      </c>
      <c r="CW103" s="227">
        <f t="array" ref="CW103">IF($BU103=0, INDEX(LS_current!$D$4:$AY$138, MATCH('Staging Table'!$A103, LS_current!$B$4:$B$138, 0), MATCH(CW$4&amp;CW$5, LS_current!$D$2:$AY$2&amp;LS_current!$D$3:$AY$3, 0)),SUM(VLOOKUP($A103, LS_current!$B$4:$AY$138, LS_current!AA$148, FALSE), VLOOKUP($A103, LS_current!$B$4:$AY$138,LS_current!AA$148, FALSE))/2)</f>
        <v>1799</v>
      </c>
      <c r="CX103" s="229">
        <f t="array" ref="CX103">INDEX(Demand_current!$D$4:$AY$138, MATCH($A103, Demand_current!$B$4:$B$138, 0), MATCH(CX$4&amp;CX$5,Demand_current!$D$2:$AY$2&amp;Demand_current!$D$3:$AY$3, 0))/1000</f>
        <v>1.3049999999999999</v>
      </c>
      <c r="CY103" s="229">
        <f t="array" ref="CY103">INDEX(Demand_current!$D$4:$AY$138, MATCH($A103, Demand_current!$B$4:$B$138, 0), MATCH(CY$4&amp;CY$5,Demand_current!$D$2:$AY$2&amp;Demand_current!$D$3:$AY$3, 0))/1000</f>
        <v>1.5780000000000001</v>
      </c>
      <c r="CZ103" s="229">
        <f t="array" ref="CZ103">INDEX(Demand_current!$D$4:$AY$138, MATCH($A103, Demand_current!$B$4:$B$138, 0), MATCH(CZ$4&amp;CZ$5,Demand_current!$D$2:$AY$2&amp;Demand_current!$D$3:$AY$3, 0))/1000</f>
        <v>9.3689999999999998</v>
      </c>
      <c r="DA103" s="229">
        <f t="array" ref="DA103">INDEX(Demand_current!$D$4:$AY$138, MATCH($A103, Demand_current!$B$4:$B$138, 0), MATCH(DA$4&amp;DA$5,Demand_current!$D$2:$AY$2&amp;Demand_current!$D$3:$AY$3, 0))/1000</f>
        <v>4.6360000000000001</v>
      </c>
      <c r="DB103" s="229">
        <f t="array" ref="DB103">INDEX(Demand_current!$D$4:$AY$138, MATCH($A103, Demand_current!$B$4:$B$138, 0), MATCH(DB$4&amp;DB$5,Demand_current!$D$2:$AY$2&amp;Demand_current!$D$3:$AY$3, 0))/1000</f>
        <v>7.59</v>
      </c>
      <c r="DC103" s="229">
        <f t="array" ref="DC103">INDEX(Demand_current!$D$4:$AY$138, MATCH($A103, Demand_current!$B$4:$B$138, 0), MATCH(DC$4&amp;DC$5,Demand_current!$D$2:$AY$2&amp;Demand_current!$D$3:$AY$3, 0))/1000</f>
        <v>9.3819999999999997</v>
      </c>
      <c r="DD103" s="229">
        <f t="array" ref="DD103">INDEX(Demand_current!$D$4:$AY$138, MATCH($A103, Demand_current!$B$4:$B$138, 0), MATCH(DD$4&amp;DD$5,Demand_current!$D$2:$AY$2&amp;Demand_current!$D$3:$AY$3, 0))/1000</f>
        <v>6.0650000000000004</v>
      </c>
      <c r="DE103" s="229">
        <f t="array" ref="DE103">INDEX(Demand_current!$D$4:$AY$138, MATCH($A103, Demand_current!$B$4:$B$138, 0), MATCH(DE$4&amp;DE$5,Demand_current!$D$2:$AY$2&amp;Demand_current!$D$3:$AY$3, 0))/1000</f>
        <v>4.3959999999999999</v>
      </c>
      <c r="DF103" s="229">
        <f t="array" ref="DF103">INDEX(Demand_current!$D$4:$AY$138, MATCH($A103, Demand_current!$B$4:$B$138, 0), MATCH(DF$4&amp;DF$5,Demand_current!$D$2:$AY$2&amp;Demand_current!$D$3:$AY$3, 0))/1000</f>
        <v>4.702</v>
      </c>
      <c r="DG103" s="229">
        <f t="array" ref="DG103">INDEX(Demand_current!$D$4:$AY$138, MATCH($A103, Demand_current!$B$4:$B$138, 0), MATCH(DG$4&amp;DG$5,Demand_current!$D$2:$AY$2&amp;Demand_current!$D$3:$AY$3, 0))/1000</f>
        <v>4.7539999999999996</v>
      </c>
      <c r="DH103" s="229">
        <f t="array" ref="DH103">INDEX(Demand_current!$D$4:$AY$138, MATCH($A103, Demand_current!$B$4:$B$138, 0), MATCH(DH$4&amp;DH$5,Demand_current!$D$2:$AY$2&amp;Demand_current!$D$3:$AY$3, 0))/1000</f>
        <v>5.5309999999999997</v>
      </c>
      <c r="DI103" s="229">
        <f t="array" ref="DI103">INDEX(Demand_current!$D$4:$AY$138, MATCH($A103, Demand_current!$B$4:$B$138, 0), MATCH(DI$4&amp;DI$5,Demand_current!$D$2:$AY$2&amp;Demand_current!$D$3:$AY$3, 0))/1000</f>
        <v>6.298</v>
      </c>
      <c r="DJ103" s="227">
        <f>$BT103*(VLOOKUP(DJ$4, Rates_current!$G$6:$Q$29, 10, FALSE)+VLOOKUP(DJ$4, Rates_current!$G$6:$Q$29, 11, FALSE))</f>
        <v>19404.737247909597</v>
      </c>
      <c r="DK103" s="227">
        <f>$BT103*(VLOOKUP(DK$4, Rates_current!$G$6:$Q$29, 10, FALSE)+VLOOKUP(DK$4, Rates_current!$G$6:$Q$29, 11, FALSE))</f>
        <v>24650.069730221399</v>
      </c>
      <c r="DL103" s="227">
        <f>$BT103*(VLOOKUP(DL$4, Rates_current!$G$6:$Q$29, 10, FALSE)+VLOOKUP(DL$4, Rates_current!$G$6:$Q$29, 11, FALSE))</f>
        <v>24352.3867837096</v>
      </c>
      <c r="DM103" s="227">
        <f>$BT103*(VLOOKUP(DM$4, Rates_current!$G$6:$Q$29, 10, FALSE)+VLOOKUP(DM$4, Rates_current!$G$6:$Q$29, 11, FALSE))</f>
        <v>20299.197618909602</v>
      </c>
      <c r="DN103" s="227">
        <f>$BT103*(VLOOKUP(DN$4, Rates_current!$G$6:$Q$29, 10, FALSE)+VLOOKUP(DN$4, Rates_current!$G$6:$Q$29, 11, FALSE))</f>
        <v>18388.967163679998</v>
      </c>
      <c r="DO103" s="227">
        <f>$BT103*(VLOOKUP(DO$4, Rates_current!$G$6:$Q$29, 10, FALSE)+VLOOKUP(DO$4, Rates_current!$G$6:$Q$29, 11, FALSE))</f>
        <v>20454.3733328362</v>
      </c>
      <c r="DP103" s="227">
        <f>$BT103*(VLOOKUP(DP$4, Rates_current!$G$6:$Q$29, 10, FALSE)+VLOOKUP(DP$4, Rates_current!$G$6:$Q$29, 11, FALSE))</f>
        <v>16653.972840047998</v>
      </c>
      <c r="DQ103" s="227">
        <f>$BT103*(VLOOKUP(DQ$4, Rates_current!$G$6:$Q$29, 10, FALSE)+VLOOKUP(DQ$4, Rates_current!$G$6:$Q$29, 11, FALSE))</f>
        <v>22460.365757209602</v>
      </c>
      <c r="DR103" s="227">
        <f>$BT103*(VLOOKUP(DR$4, Rates_current!$G$6:$Q$29, 10, FALSE)+VLOOKUP(DR$4, Rates_current!$G$6:$Q$29, 11, FALSE))</f>
        <v>28657.899144748</v>
      </c>
      <c r="DS103" s="227">
        <f>$BT103*(VLOOKUP(DS$4, Rates_current!$G$6:$Q$29, 10, FALSE)+VLOOKUP(DS$4, Rates_current!$G$6:$Q$29, 11, FALSE))</f>
        <v>22468.701614309601</v>
      </c>
      <c r="DT103" s="227">
        <f>$BT103*(VLOOKUP(DT$4, Rates_current!$G$6:$Q$29, 10, FALSE)+VLOOKUP(DT$4, Rates_current!$G$6:$Q$29, 11, FALSE))</f>
        <v>21880.041331009601</v>
      </c>
      <c r="DU103" s="227">
        <f>$BT103*(VLOOKUP(DU$4, Rates_current!$G$6:$Q$29, 10, FALSE)+VLOOKUP(DU$4, Rates_current!$G$6:$Q$29, 11, FALSE))</f>
        <v>19643.622630648002</v>
      </c>
      <c r="DV103" s="229">
        <f>IF(D103=0,IF(C103=0,MAX(0,DY103 - (VLOOKUP($A103,TOCA_current!$A$2:$AI$137,MATCH("RHWM 2020",TOCA_current!$A$2:$AI$2,0),FALSE)*$BT$2)), 0),0)</f>
        <v>9259.7129284607945</v>
      </c>
      <c r="DW103" s="266">
        <f>VLOOKUP($A103,REP_current!$A$1:$D$135,MATCH("FY "&amp;$BT$1&amp; " Total Refund",REP_current!$A$1:$D$1,0),0)</f>
        <v>0</v>
      </c>
      <c r="DX103" s="295">
        <f>MIN(VLOOKUP($A103,TOCA_current!$A$2:$AI$137,MATCH("TRL - NLSL - Existing Resource "&amp;$BT$1,TOCA_current!$A$2:$AI$2,0),FALSE)*$BT$2, VLOOKUP($A103,TOCA_current!$A$2:$AI$137,MATCH("RHWM 2020",TOCA_current!$A$2:$AI$2,0),FALSE)*$BT$2)</f>
        <v>259312.46400000001</v>
      </c>
      <c r="DY103" s="240">
        <f>SUM(BZ103:CW103)+(BT103*RT1SC!$C$4*$BT$2)</f>
        <v>275397.34492846078</v>
      </c>
      <c r="DZ103" s="271">
        <f>VLOOKUP($A103,TOCA_current!$A$2:$AI$137,MATCH("Above RHWM Not Served with LS "&amp;$BT$1,TOCA_current!$A$2:$AI$2,0),FALSE)*$BT$2</f>
        <v>0</v>
      </c>
      <c r="EA103" s="244">
        <f t="shared" si="29"/>
        <v>16084.880928460771</v>
      </c>
      <c r="EB103" s="295">
        <f>(VLOOKUP($A103,TOCA_current!$A$2:$AI$137,MATCH("RHWM 2020",TOCA_current!$A$2:$AI$2,0),FALSE)*$BT$2) - $DX103</f>
        <v>6825.167999999976</v>
      </c>
      <c r="EC103" s="240">
        <f t="shared" si="30"/>
        <v>-6825.167999999976</v>
      </c>
      <c r="ED103" s="240">
        <f t="shared" si="31"/>
        <v>0</v>
      </c>
      <c r="EE103" s="240">
        <f t="shared" si="32"/>
        <v>0</v>
      </c>
      <c r="EF103" s="240">
        <f t="shared" si="33"/>
        <v>-6825.167999999976</v>
      </c>
    </row>
    <row r="104" spans="1:136">
      <c r="A104" s="166">
        <v>10331</v>
      </c>
      <c r="B104" s="167" t="s">
        <v>105</v>
      </c>
      <c r="C104" s="240">
        <v>1</v>
      </c>
      <c r="D104" s="240">
        <v>0</v>
      </c>
      <c r="E104" s="150">
        <f>VLOOKUP($A104,TOCA_previous!$A$2:$AI$137,MATCH(E$4,TOCA_previous!$A$2:$AI$2,0),FALSE)</f>
        <v>5.1859000000000002E-3</v>
      </c>
      <c r="F104" s="151">
        <f>VLOOKUP($A104,TOCA_previous!$A$2:$AI$137,MATCH(F$4,TOCA_previous!$A$2:$AI$2,0),FALSE)</f>
        <v>5.1859000000000002E-3</v>
      </c>
      <c r="G104" s="151">
        <f t="shared" si="18"/>
        <v>0</v>
      </c>
      <c r="H104" s="151">
        <f>VLOOKUP($A104,TOCA_previous!$A$2:$AI$137,MATCH(H$4,TOCA_previous!$A$2:$AI$2,0),FALSE)</f>
        <v>7.0161299999999996E-2</v>
      </c>
      <c r="I104" s="151">
        <f t="shared" si="19"/>
        <v>7.0161299999999996E-2</v>
      </c>
      <c r="J104" s="151">
        <f t="shared" si="20"/>
        <v>5.1859000000000002E-3</v>
      </c>
      <c r="K104" s="226">
        <f>VLOOKUP(A104, IRD!$A$5:$C$139, 3, FALSE)</f>
        <v>133086.85800000001</v>
      </c>
      <c r="L104" s="227">
        <f t="array" ref="L104">IF($G104=0, INDEX(LS_previous!$D$4:$AY$138, MATCH('Staging Table'!$A104, LS_previous!$B$4:$B$138, 0), MATCH(L$4&amp;L$5, LS_previous!$D$2:$AY$2&amp;LS_previous!$D$3:$AY$3, 0)),SUM(VLOOKUP($A104, LS_previous!$B$4:$AY$138, LS_previous!D$149, FALSE), VLOOKUP('Staging Table'!$A104, LS_previous!$B$4:$AY$138,LS_previous!AB$149, FALSE))/2)</f>
        <v>0</v>
      </c>
      <c r="M104" s="227">
        <f t="array" ref="M104">IF($G104=0, INDEX(LS_previous!$D$4:$AY$138, MATCH('Staging Table'!$A104, LS_previous!$B$4:$B$138, 0), MATCH(M$4&amp;M$5, LS_previous!$D$2:$AY$2&amp;LS_previous!$D$3:$AY$3, 0)),SUM(VLOOKUP($A104, LS_previous!$B$4:$AY$138, LS_previous!E$149, FALSE), VLOOKUP('Staging Table'!$A104, LS_previous!$B$4:$AY$138,LS_previous!AC$149, FALSE))/2)</f>
        <v>0</v>
      </c>
      <c r="N104" s="227">
        <f t="array" ref="N104">IF($G104=0, INDEX(LS_previous!$D$4:$AY$138, MATCH('Staging Table'!$A104, LS_previous!$B$4:$B$138, 0), MATCH(N$4&amp;N$5, LS_previous!$D$2:$AY$2&amp;LS_previous!$D$3:$AY$3, 0)),SUM(VLOOKUP($A104, LS_previous!$B$4:$AY$138, LS_previous!F$149, FALSE), VLOOKUP('Staging Table'!$A104, LS_previous!$B$4:$AY$138,LS_previous!AD$149, FALSE))/2)</f>
        <v>0</v>
      </c>
      <c r="O104" s="227">
        <f t="array" ref="O104">IF($G104=0, INDEX(LS_previous!$D$4:$AY$138, MATCH('Staging Table'!$A104, LS_previous!$B$4:$B$138, 0), MATCH(O$4&amp;O$5, LS_previous!$D$2:$AY$2&amp;LS_previous!$D$3:$AY$3, 0)),SUM(VLOOKUP($A104, LS_previous!$B$4:$AY$138, LS_previous!G$149, FALSE), VLOOKUP('Staging Table'!$A104, LS_previous!$B$4:$AY$138,LS_previous!AE$149, FALSE))/2)</f>
        <v>0</v>
      </c>
      <c r="P104" s="227">
        <f t="array" ref="P104">IF($G104=0, INDEX(LS_previous!$D$4:$AY$138, MATCH('Staging Table'!$A104, LS_previous!$B$4:$B$138, 0), MATCH(P$4&amp;P$5, LS_previous!$D$2:$AY$2&amp;LS_previous!$D$3:$AY$3, 0)),SUM(VLOOKUP($A104, LS_previous!$B$4:$AY$138, LS_previous!H$149, FALSE), VLOOKUP('Staging Table'!$A104, LS_previous!$B$4:$AY$138,LS_previous!AF$149, FALSE))/2)</f>
        <v>0</v>
      </c>
      <c r="Q104" s="227">
        <f t="array" ref="Q104">IF($G104=0, INDEX(LS_previous!$D$4:$AY$138, MATCH('Staging Table'!$A104, LS_previous!$B$4:$B$138, 0), MATCH(Q$4&amp;Q$5, LS_previous!$D$2:$AY$2&amp;LS_previous!$D$3:$AY$3, 0)),SUM(VLOOKUP($A104, LS_previous!$B$4:$AY$138, LS_previous!I$149, FALSE), VLOOKUP('Staging Table'!$A104, LS_previous!$B$4:$AY$138,LS_previous!AG$149, FALSE))/2)</f>
        <v>0</v>
      </c>
      <c r="R104" s="227">
        <f t="array" ref="R104">IF($G104=0, INDEX(LS_previous!$D$4:$AY$138, MATCH('Staging Table'!$A104, LS_previous!$B$4:$B$138, 0), MATCH(R$4&amp;R$5, LS_previous!$D$2:$AY$2&amp;LS_previous!$D$3:$AY$3, 0)),SUM(VLOOKUP($A104, LS_previous!$B$4:$AY$138, LS_previous!J$149, FALSE), VLOOKUP('Staging Table'!$A104, LS_previous!$B$4:$AY$138,LS_previous!AH$149, FALSE))/2)</f>
        <v>0</v>
      </c>
      <c r="S104" s="227">
        <f t="array" ref="S104">IF($G104=0, INDEX(LS_previous!$D$4:$AY$138, MATCH('Staging Table'!$A104, LS_previous!$B$4:$B$138, 0), MATCH(S$4&amp;S$5, LS_previous!$D$2:$AY$2&amp;LS_previous!$D$3:$AY$3, 0)),SUM(VLOOKUP($A104, LS_previous!$B$4:$AY$138, LS_previous!K$149, FALSE), VLOOKUP('Staging Table'!$A104, LS_previous!$B$4:$AY$138,LS_previous!AI$149, FALSE))/2)</f>
        <v>0</v>
      </c>
      <c r="T104" s="227">
        <f t="array" ref="T104">IF($G104=0, INDEX(LS_previous!$D$4:$AY$138, MATCH('Staging Table'!$A104, LS_previous!$B$4:$B$138, 0), MATCH(T$4&amp;T$5, LS_previous!$D$2:$AY$2&amp;LS_previous!$D$3:$AY$3, 0)),SUM(VLOOKUP($A104, LS_previous!$B$4:$AY$138, LS_previous!L$149, FALSE), VLOOKUP('Staging Table'!$A104, LS_previous!$B$4:$AY$138,LS_previous!AJ$149, FALSE))/2)</f>
        <v>0</v>
      </c>
      <c r="U104" s="227">
        <f t="array" ref="U104">IF($G104=0, INDEX(LS_previous!$D$4:$AY$138, MATCH('Staging Table'!$A104, LS_previous!$B$4:$B$138, 0), MATCH(U$4&amp;U$5, LS_previous!$D$2:$AY$2&amp;LS_previous!$D$3:$AY$3, 0)),SUM(VLOOKUP($A104, LS_previous!$B$4:$AY$138, LS_previous!M$149, FALSE), VLOOKUP('Staging Table'!$A104, LS_previous!$B$4:$AY$138,LS_previous!AK$149, FALSE))/2)</f>
        <v>0</v>
      </c>
      <c r="V104" s="227">
        <f t="array" ref="V104">IF($G104=0, INDEX(LS_previous!$D$4:$AY$138, MATCH('Staging Table'!$A104, LS_previous!$B$4:$B$138, 0), MATCH(V$4&amp;V$5, LS_previous!$D$2:$AY$2&amp;LS_previous!$D$3:$AY$3, 0)),SUM(VLOOKUP($A104, LS_previous!$B$4:$AY$138, LS_previous!N$149, FALSE), VLOOKUP('Staging Table'!$A104, LS_previous!$B$4:$AY$138,LS_previous!AL$149, FALSE))/2)</f>
        <v>0</v>
      </c>
      <c r="W104" s="227">
        <f t="array" ref="W104">IF($G104=0, INDEX(LS_previous!$D$4:$AY$138, MATCH('Staging Table'!$A104, LS_previous!$B$4:$B$138, 0), MATCH(W$4&amp;W$5, LS_previous!$D$2:$AY$2&amp;LS_previous!$D$3:$AY$3, 0)),SUM(VLOOKUP($A104, LS_previous!$B$4:$AY$138, LS_previous!O$149, FALSE), VLOOKUP('Staging Table'!$A104, LS_previous!$B$4:$AY$138,LS_previous!AM$149, FALSE))/2)</f>
        <v>0</v>
      </c>
      <c r="X104" s="227">
        <f t="array" ref="X104">IF($G104=0, INDEX(LS_previous!$D$4:$AY$138, MATCH('Staging Table'!$A104, LS_previous!$B$4:$B$138, 0), MATCH(X$4&amp;X$5, LS_previous!$D$2:$AY$2&amp;LS_previous!$D$3:$AY$3, 0)),SUM(VLOOKUP($A104, LS_previous!$B$4:$AY$138, LS_previous!P$149, FALSE), VLOOKUP('Staging Table'!$A104, LS_previous!$B$4:$AY$138,LS_previous!AN$149, FALSE))/2)</f>
        <v>0</v>
      </c>
      <c r="Y104" s="227">
        <f t="array" ref="Y104">IF($G104=0, INDEX(LS_previous!$D$4:$AY$138, MATCH('Staging Table'!$A104, LS_previous!$B$4:$B$138, 0), MATCH(Y$4&amp;Y$5, LS_previous!$D$2:$AY$2&amp;LS_previous!$D$3:$AY$3, 0)),SUM(VLOOKUP($A104, LS_previous!$B$4:$AY$138, LS_previous!Q$149, FALSE), VLOOKUP('Staging Table'!$A104, LS_previous!$B$4:$AY$138,LS_previous!AO$149, FALSE))/2)</f>
        <v>0</v>
      </c>
      <c r="Z104" s="227">
        <f t="array" ref="Z104">IF($G104=0, INDEX(LS_previous!$D$4:$AY$138, MATCH('Staging Table'!$A104, LS_previous!$B$4:$B$138, 0), MATCH(Z$4&amp;Z$5, LS_previous!$D$2:$AY$2&amp;LS_previous!$D$3:$AY$3, 0)),SUM(VLOOKUP($A104, LS_previous!$B$4:$AY$138, LS_previous!R$149, FALSE), VLOOKUP('Staging Table'!$A104, LS_previous!$B$4:$AY$138,LS_previous!AP$149, FALSE))/2)</f>
        <v>0</v>
      </c>
      <c r="AA104" s="227">
        <f t="array" ref="AA104">IF($G104=0, INDEX(LS_previous!$D$4:$AY$138, MATCH('Staging Table'!$A104, LS_previous!$B$4:$B$138, 0), MATCH(AA$4&amp;AA$5, LS_previous!$D$2:$AY$2&amp;LS_previous!$D$3:$AY$3, 0)),SUM(VLOOKUP($A104, LS_previous!$B$4:$AY$138, LS_previous!S$149, FALSE), VLOOKUP('Staging Table'!$A104, LS_previous!$B$4:$AY$138,LS_previous!AQ$149, FALSE))/2)</f>
        <v>0</v>
      </c>
      <c r="AB104" s="227">
        <f t="array" ref="AB104">IF($G104=0, INDEX(LS_previous!$D$4:$AY$138, MATCH('Staging Table'!$A104, LS_previous!$B$4:$B$138, 0), MATCH(AB$4&amp;AB$5, LS_previous!$D$2:$AY$2&amp;LS_previous!$D$3:$AY$3, 0)),SUM(VLOOKUP($A104, LS_previous!$B$4:$AY$138, LS_previous!T$149, FALSE), VLOOKUP('Staging Table'!$A104, LS_previous!$B$4:$AY$138,LS_previous!AR$149, FALSE))/2)</f>
        <v>0</v>
      </c>
      <c r="AC104" s="227">
        <f t="array" ref="AC104">IF($G104=0, INDEX(LS_previous!$D$4:$AY$138, MATCH('Staging Table'!$A104, LS_previous!$B$4:$B$138, 0), MATCH(AC$4&amp;AC$5, LS_previous!$D$2:$AY$2&amp;LS_previous!$D$3:$AY$3, 0)),SUM(VLOOKUP($A104, LS_previous!$B$4:$AY$138, LS_previous!U$149, FALSE), VLOOKUP('Staging Table'!$A104, LS_previous!$B$4:$AY$138,LS_previous!AS$149, FALSE))/2)</f>
        <v>0</v>
      </c>
      <c r="AD104" s="227">
        <f t="array" ref="AD104">IF($G104=0, INDEX(LS_previous!$D$4:$AY$138, MATCH('Staging Table'!$A104, LS_previous!$B$4:$B$138, 0), MATCH(AD$4&amp;AD$5, LS_previous!$D$2:$AY$2&amp;LS_previous!$D$3:$AY$3, 0)),SUM(VLOOKUP($A104, LS_previous!$B$4:$AY$138, LS_previous!V$149, FALSE), VLOOKUP('Staging Table'!$A104, LS_previous!$B$4:$AY$138,LS_previous!AT$149, FALSE))/2)</f>
        <v>0</v>
      </c>
      <c r="AE104" s="227">
        <f t="array" ref="AE104">IF($G104=0, INDEX(LS_previous!$D$4:$AY$138, MATCH('Staging Table'!$A104, LS_previous!$B$4:$B$138, 0), MATCH(AE$4&amp;AE$5, LS_previous!$D$2:$AY$2&amp;LS_previous!$D$3:$AY$3, 0)),SUM(VLOOKUP($A104, LS_previous!$B$4:$AY$138, LS_previous!W$149, FALSE), VLOOKUP('Staging Table'!$A104, LS_previous!$B$4:$AY$138,LS_previous!AU$149, FALSE))/2)</f>
        <v>0</v>
      </c>
      <c r="AF104" s="227">
        <f t="array" ref="AF104">IF($G104=0, INDEX(LS_previous!$D$4:$AY$138, MATCH('Staging Table'!$A104, LS_previous!$B$4:$B$138, 0), MATCH(AF$4&amp;AF$5, LS_previous!$D$2:$AY$2&amp;LS_previous!$D$3:$AY$3, 0)),SUM(VLOOKUP($A104, LS_previous!$B$4:$AY$138, LS_previous!X$149, FALSE), VLOOKUP('Staging Table'!$A104, LS_previous!$B$4:$AY$138,LS_previous!AV$149, FALSE))/2)</f>
        <v>0</v>
      </c>
      <c r="AG104" s="227">
        <f t="array" ref="AG104">IF($G104=0, INDEX(LS_previous!$D$4:$AY$138, MATCH('Staging Table'!$A104, LS_previous!$B$4:$B$138, 0), MATCH(AG$4&amp;AG$5, LS_previous!$D$2:$AY$2&amp;LS_previous!$D$3:$AY$3, 0)),SUM(VLOOKUP($A104, LS_previous!$B$4:$AY$138, LS_previous!Y$149, FALSE), VLOOKUP('Staging Table'!$A104, LS_previous!$B$4:$AY$138,LS_previous!AW$149, FALSE))/2)</f>
        <v>0</v>
      </c>
      <c r="AH104" s="227">
        <f t="array" ref="AH104">IF($G104=0, INDEX(LS_previous!$D$4:$AY$138, MATCH('Staging Table'!$A104, LS_previous!$B$4:$B$138, 0), MATCH(AH$4&amp;AH$5, LS_previous!$D$2:$AY$2&amp;LS_previous!$D$3:$AY$3, 0)),SUM(VLOOKUP($A104, LS_previous!$B$4:$AY$138, LS_previous!Z$149, FALSE), VLOOKUP('Staging Table'!$A104, LS_previous!$B$4:$AY$138,LS_previous!AX$149, FALSE))/2)</f>
        <v>0</v>
      </c>
      <c r="AI104" s="227">
        <f t="array" ref="AI104">IF($G104=0, INDEX(LS_previous!$D$4:$AY$138, MATCH('Staging Table'!$A104, LS_previous!$B$4:$B$138, 0), MATCH(AI$4&amp;AI$5, LS_previous!$D$2:$AY$2&amp;LS_previous!$D$3:$AY$3, 0)),SUM(VLOOKUP($A104, LS_previous!$B$4:$AY$138, LS_previous!AA$149, FALSE), VLOOKUP('Staging Table'!$A104, LS_previous!$B$4:$AY$138,LS_previous!AY$149, FALSE))/2)</f>
        <v>0</v>
      </c>
      <c r="AJ104" s="424">
        <f t="array" ref="AJ104">INDEX(Demand_previous!$D$4:$AY$138, MATCH('Staging Table'!$A104, Demand_previous!$B$4:$B$138, 0), MATCH(AJ$4&amp;AJ$5,Demand_previous!$D$2:$AY$2&amp;Demand_previous!$D$3:$AY$3, 0))/1000</f>
        <v>0</v>
      </c>
      <c r="AK104" s="424">
        <f t="array" ref="AK104">INDEX(Demand_previous!$D$4:$AY$138, MATCH('Staging Table'!$A104, Demand_previous!$B$4:$B$138, 0), MATCH(AK$4&amp;AK$5,Demand_previous!$D$2:$AY$2&amp;Demand_previous!$D$3:$AY$3, 0))/1000</f>
        <v>0</v>
      </c>
      <c r="AL104" s="424">
        <f t="array" ref="AL104">INDEX(Demand_previous!$D$4:$AY$138, MATCH('Staging Table'!$A104, Demand_previous!$B$4:$B$138, 0), MATCH(AL$4&amp;AL$5,Demand_previous!$D$2:$AY$2&amp;Demand_previous!$D$3:$AY$3, 0))/1000</f>
        <v>0</v>
      </c>
      <c r="AM104" s="424">
        <f t="array" ref="AM104">INDEX(Demand_previous!$D$4:$AY$138, MATCH('Staging Table'!$A104, Demand_previous!$B$4:$B$138, 0), MATCH(AM$4&amp;AM$5,Demand_previous!$D$2:$AY$2&amp;Demand_previous!$D$3:$AY$3, 0))/1000</f>
        <v>0</v>
      </c>
      <c r="AN104" s="424">
        <f t="array" ref="AN104">INDEX(Demand_previous!$D$4:$AY$138, MATCH('Staging Table'!$A104, Demand_previous!$B$4:$B$138, 0), MATCH(AN$4&amp;AN$5,Demand_previous!$D$2:$AY$2&amp;Demand_previous!$D$3:$AY$3, 0))/1000</f>
        <v>0</v>
      </c>
      <c r="AO104" s="424">
        <f t="array" ref="AO104">INDEX(Demand_previous!$D$4:$AY$138, MATCH('Staging Table'!$A104, Demand_previous!$B$4:$B$138, 0), MATCH(AO$4&amp;AO$5,Demand_previous!$D$2:$AY$2&amp;Demand_previous!$D$3:$AY$3, 0))/1000</f>
        <v>0</v>
      </c>
      <c r="AP104" s="424">
        <f t="array" ref="AP104">INDEX(Demand_previous!$D$4:$AY$138, MATCH('Staging Table'!$A104, Demand_previous!$B$4:$B$138, 0), MATCH(AP$4&amp;AP$5,Demand_previous!$D$2:$AY$2&amp;Demand_previous!$D$3:$AY$3, 0))/1000</f>
        <v>0</v>
      </c>
      <c r="AQ104" s="424">
        <f t="array" ref="AQ104">INDEX(Demand_previous!$D$4:$AY$138, MATCH('Staging Table'!$A104, Demand_previous!$B$4:$B$138, 0), MATCH(AQ$4&amp;AQ$5,Demand_previous!$D$2:$AY$2&amp;Demand_previous!$D$3:$AY$3, 0))/1000</f>
        <v>0</v>
      </c>
      <c r="AR104" s="424">
        <f t="array" ref="AR104">INDEX(Demand_previous!$D$4:$AY$138, MATCH('Staging Table'!$A104, Demand_previous!$B$4:$B$138, 0), MATCH(AR$4&amp;AR$5,Demand_previous!$D$2:$AY$2&amp;Demand_previous!$D$3:$AY$3, 0))/1000</f>
        <v>0</v>
      </c>
      <c r="AS104" s="424">
        <f t="array" ref="AS104">INDEX(Demand_previous!$D$4:$AY$138, MATCH('Staging Table'!$A104, Demand_previous!$B$4:$B$138, 0), MATCH(AS$4&amp;AS$5,Demand_previous!$D$2:$AY$2&amp;Demand_previous!$D$3:$AY$3, 0))/1000</f>
        <v>0</v>
      </c>
      <c r="AT104" s="424">
        <f t="array" ref="AT104">INDEX(Demand_previous!$D$4:$AY$138, MATCH('Staging Table'!$A104, Demand_previous!$B$4:$B$138, 0), MATCH(AT$4&amp;AT$5,Demand_previous!$D$2:$AY$2&amp;Demand_previous!$D$3:$AY$3, 0))/1000</f>
        <v>0</v>
      </c>
      <c r="AU104" s="424">
        <f t="array" ref="AU104">INDEX(Demand_previous!$D$4:$AY$138, MATCH('Staging Table'!$A104, Demand_previous!$B$4:$B$138, 0), MATCH(AU$4&amp;AU$5,Demand_previous!$D$2:$AY$2&amp;Demand_previous!$D$3:$AY$3, 0))/1000</f>
        <v>0</v>
      </c>
      <c r="AV104" s="227">
        <f>$F104*(VLOOKUP(AV$4, Rates_previous!$G$6:$Q$29, 10, FALSE)+VLOOKUP(AV$4, Rates_previous!$G$6:$Q$29, 11, FALSE))</f>
        <v>24315.843751975706</v>
      </c>
      <c r="AW104" s="227">
        <f>$F104*(VLOOKUP(AW$4, Rates_previous!$G$6:$Q$29, 10, FALSE)+VLOOKUP(AW$4, Rates_previous!$G$6:$Q$29, 11, FALSE))</f>
        <v>30052.534775376014</v>
      </c>
      <c r="AX104" s="227">
        <f>$F104*(VLOOKUP(AX$4, Rates_previous!$G$6:$Q$29, 10, FALSE)+VLOOKUP(AX$4, Rates_previous!$G$6:$Q$29, 11, FALSE))</f>
        <v>29691.639777291537</v>
      </c>
      <c r="AY104" s="227">
        <f>$F104*(VLOOKUP(AY$4, Rates_previous!$G$6:$Q$29, 10, FALSE)+VLOOKUP(AY$4, Rates_previous!$G$6:$Q$29, 11, FALSE))</f>
        <v>25368.676109018244</v>
      </c>
      <c r="AZ104" s="227">
        <f>$F104*(VLOOKUP(AZ$4, Rates_previous!$G$6:$Q$29, 10, FALSE)+VLOOKUP(AZ$4, Rates_previous!$G$6:$Q$29, 11, FALSE))</f>
        <v>20797.39361816899</v>
      </c>
      <c r="BA104" s="227">
        <f>$F104*(VLOOKUP(BA$4, Rates_previous!$G$6:$Q$29, 10, FALSE)+VLOOKUP(BA$4, Rates_previous!$G$6:$Q$29, 11, FALSE))</f>
        <v>24623.35861246756</v>
      </c>
      <c r="BB104" s="227">
        <f>$F104*(VLOOKUP(BB$4, Rates_previous!$G$6:$Q$29, 10, FALSE)+VLOOKUP(BB$4, Rates_previous!$G$6:$Q$29, 11, FALSE))</f>
        <v>23666.629312606201</v>
      </c>
      <c r="BC104" s="227">
        <f>$F104*(VLOOKUP(BC$4, Rates_previous!$G$6:$Q$29, 10, FALSE)+VLOOKUP(BC$4, Rates_previous!$G$6:$Q$29, 11, FALSE))</f>
        <v>34729.103800535057</v>
      </c>
      <c r="BD104" s="227">
        <f>$F104*(VLOOKUP(BD$4, Rates_previous!$G$6:$Q$29, 10, FALSE)+VLOOKUP(BD$4, Rates_previous!$G$6:$Q$29, 11, FALSE))</f>
        <v>27400.344997219949</v>
      </c>
      <c r="BE104" s="227">
        <f>$F104*(VLOOKUP(BE$4, Rates_previous!$G$6:$Q$29, 10, FALSE)+VLOOKUP(BE$4, Rates_previous!$G$6:$Q$29, 11, FALSE))</f>
        <v>24059.802770045735</v>
      </c>
      <c r="BF104" s="227">
        <f>$F104*(VLOOKUP(BF$4, Rates_previous!$G$6:$Q$29, 10, FALSE)+VLOOKUP(BF$4, Rates_previous!$G$6:$Q$29, 11, FALSE))</f>
        <v>26647.194626701217</v>
      </c>
      <c r="BG104" s="227">
        <f>$F104*(VLOOKUP(BG$4, Rates_previous!$G$6:$Q$29, 10, FALSE)+VLOOKUP(BG$4, Rates_previous!$G$6:$Q$29, 11, FALSE))</f>
        <v>24141.298639275945</v>
      </c>
      <c r="BH104" s="229">
        <f>IF($D104=0,IF(C104=0, MAX(BK104 - (VLOOKUP($A104,TOCA_previous!$A$2:$AI$137,MATCH("RHWM 2018",TOCA_previous!$A$2:$AI$2,0),FALSE)*$F$2*TOCA_previous!C101),0),0), 0)</f>
        <v>0</v>
      </c>
      <c r="BI104" s="266">
        <f>VLOOKUP($A104,REP_previous!$A$1:$D$135,MATCH("FY "&amp;$F$1&amp; " Total Refund",REP_previous!$A$1:$D$1,0),0)</f>
        <v>287387.68980703596</v>
      </c>
      <c r="BJ104" s="241">
        <f>MIN(VLOOKUP($A104,TOCA_previous!$A$2:$AI$137,MATCH("TRL - NLSL - Existing Resource "&amp;$F$1,TOCA_previous!$A$2:$AI$2,0),FALSE)*$F$2,(VLOOKUP($A104,TOCA_previous!$A$2:$AI$137,MATCH("RHWM 2018",TOCA_previous!$A$2:$AI$2,0),FALSE)*$F$2))</f>
        <v>315491.40000000002</v>
      </c>
      <c r="BK104" s="229">
        <f>SUM(L104:AI104)+(F104*RT1SC!$C$3*$F$2)</f>
        <v>315493.82539346395</v>
      </c>
      <c r="BL104" s="241">
        <f>VLOOKUP($A104,TOCA_previous!$A$2:$AI$137,MATCH("Above RHWM Not Served with LS "&amp;$F$1,TOCA_previous!$A$2:$AI$2,0),FALSE)*$F$2</f>
        <v>727.08</v>
      </c>
      <c r="BM104" s="151">
        <f t="shared" si="21"/>
        <v>2.4253934639273211</v>
      </c>
      <c r="BN104" s="242">
        <f>(VLOOKUP($A104,TOCA_previous!$A$2:$AI$137,MATCH("RHWM 2018",TOCA_previous!$A$2:$AI$2,0),FALSE)*$F$2) - $BJ104</f>
        <v>0</v>
      </c>
      <c r="BO104" s="151">
        <f t="shared" si="22"/>
        <v>0</v>
      </c>
      <c r="BP104" s="243">
        <f t="shared" si="23"/>
        <v>0</v>
      </c>
      <c r="BQ104" s="237">
        <f t="shared" si="24"/>
        <v>0</v>
      </c>
      <c r="BR104" s="242">
        <f t="shared" si="25"/>
        <v>0</v>
      </c>
      <c r="BS104" s="151">
        <f>VLOOKUP($A104,TOCA_current!$A$2:$AI$137,MATCH(BS$4,TOCA_current!$A$2:$AI$2,0),FALSE)</f>
        <v>5.1156999999999999E-3</v>
      </c>
      <c r="BT104" s="151">
        <f>VLOOKUP($A104,TOCA_current!$A$2:$AI$137,MATCH(BT$4,TOCA_current!$A$2:$AI$2,0),FALSE)</f>
        <v>5.1156999999999999E-3</v>
      </c>
      <c r="BU104" s="236">
        <f t="shared" si="26"/>
        <v>0</v>
      </c>
      <c r="BV104" s="151">
        <f>VLOOKUP($A104,TOCA_current!A100:BG235,MATCH(BV$4,TOCA_current!$A$2:$BG$2,0),FALSE)</f>
        <v>7.0000000000000007E-2</v>
      </c>
      <c r="BW104" s="151">
        <f t="shared" si="27"/>
        <v>7.0000000000000007E-2</v>
      </c>
      <c r="BX104" s="151">
        <f t="shared" si="28"/>
        <v>5.1156999999999999E-3</v>
      </c>
      <c r="BY104" s="226">
        <f>VLOOKUP($A104,IRD!$A$4:$G$139, 7, FALSE)</f>
        <v>133086.85800000001</v>
      </c>
      <c r="BZ104" s="227">
        <f t="array" ref="BZ104">IF($BU104=0, INDEX(LS_current!$D$4:$AY$138, MATCH('Staging Table'!$A104, LS_current!$B$4:$B$138, 0), MATCH(BZ$4&amp;BZ$5, LS_current!$D$2:$AY$2&amp;LS_current!$D$3:$AY$3, 0)),SUM(VLOOKUP($A104, LS_current!$B$4:$AY$138, LS_current!D$148, FALSE), VLOOKUP($A104, LS_current!$B$4:$AY$138,LS_current!D$148, FALSE))/2)</f>
        <v>0</v>
      </c>
      <c r="CA104" s="227">
        <f t="array" ref="CA104">IF($BU104=0, INDEX(LS_current!$D$4:$AY$138, MATCH('Staging Table'!$A104, LS_current!$B$4:$B$138, 0), MATCH(CA$4&amp;CA$5, LS_current!$D$2:$AY$2&amp;LS_current!$D$3:$AY$3, 0)),SUM(VLOOKUP($A104, LS_current!$B$4:$AY$138, LS_current!E$148, FALSE), VLOOKUP($A104, LS_current!$B$4:$AY$138,LS_current!E$148, FALSE))/2)</f>
        <v>0</v>
      </c>
      <c r="CB104" s="227">
        <f t="array" ref="CB104">IF($BU104=0, INDEX(LS_current!$D$4:$AY$138, MATCH('Staging Table'!$A104, LS_current!$B$4:$B$138, 0), MATCH(CB$4&amp;CB$5, LS_current!$D$2:$AY$2&amp;LS_current!$D$3:$AY$3, 0)),SUM(VLOOKUP($A104, LS_current!$B$4:$AY$138, LS_current!F$148, FALSE), VLOOKUP($A104, LS_current!$B$4:$AY$138,LS_current!F$148, FALSE))/2)</f>
        <v>0</v>
      </c>
      <c r="CC104" s="227">
        <f t="array" ref="CC104">IF($BU104=0, INDEX(LS_current!$D$4:$AY$138, MATCH('Staging Table'!$A104, LS_current!$B$4:$B$138, 0), MATCH(CC$4&amp;CC$5, LS_current!$D$2:$AY$2&amp;LS_current!$D$3:$AY$3, 0)),SUM(VLOOKUP($A104, LS_current!$B$4:$AY$138, LS_current!G$148, FALSE), VLOOKUP($A104, LS_current!$B$4:$AY$138,LS_current!G$148, FALSE))/2)</f>
        <v>0</v>
      </c>
      <c r="CD104" s="227">
        <f t="array" ref="CD104">IF($BU104=0, INDEX(LS_current!$D$4:$AY$138, MATCH('Staging Table'!$A104, LS_current!$B$4:$B$138, 0), MATCH(CD$4&amp;CD$5, LS_current!$D$2:$AY$2&amp;LS_current!$D$3:$AY$3, 0)),SUM(VLOOKUP($A104, LS_current!$B$4:$AY$138, LS_current!H$148, FALSE), VLOOKUP($A104, LS_current!$B$4:$AY$138,LS_current!H$148, FALSE))/2)</f>
        <v>0</v>
      </c>
      <c r="CE104" s="227">
        <f t="array" ref="CE104">IF($BU104=0, INDEX(LS_current!$D$4:$AY$138, MATCH('Staging Table'!$A104, LS_current!$B$4:$B$138, 0), MATCH(CE$4&amp;CE$5, LS_current!$D$2:$AY$2&amp;LS_current!$D$3:$AY$3, 0)),SUM(VLOOKUP($A104, LS_current!$B$4:$AY$138, LS_current!I$148, FALSE), VLOOKUP($A104, LS_current!$B$4:$AY$138,LS_current!I$148, FALSE))/2)</f>
        <v>0</v>
      </c>
      <c r="CF104" s="227">
        <f t="array" ref="CF104">IF($BU104=0, INDEX(LS_current!$D$4:$AY$138, MATCH('Staging Table'!$A104, LS_current!$B$4:$B$138, 0), MATCH(CF$4&amp;CF$5, LS_current!$D$2:$AY$2&amp;LS_current!$D$3:$AY$3, 0)),SUM(VLOOKUP($A104, LS_current!$B$4:$AY$138, LS_current!J$148, FALSE), VLOOKUP($A104, LS_current!$B$4:$AY$138,LS_current!J$148, FALSE))/2)</f>
        <v>0</v>
      </c>
      <c r="CG104" s="227">
        <f t="array" ref="CG104">IF($BU104=0, INDEX(LS_current!$D$4:$AY$138, MATCH('Staging Table'!$A104, LS_current!$B$4:$B$138, 0), MATCH(CG$4&amp;CG$5, LS_current!$D$2:$AY$2&amp;LS_current!$D$3:$AY$3, 0)),SUM(VLOOKUP($A104, LS_current!$B$4:$AY$138, LS_current!K$148, FALSE), VLOOKUP($A104, LS_current!$B$4:$AY$138,LS_current!K$148, FALSE))/2)</f>
        <v>0</v>
      </c>
      <c r="CH104" s="227">
        <f t="array" ref="CH104">IF($BU104=0, INDEX(LS_current!$D$4:$AY$138, MATCH('Staging Table'!$A104, LS_current!$B$4:$B$138, 0), MATCH(CH$4&amp;CH$5, LS_current!$D$2:$AY$2&amp;LS_current!$D$3:$AY$3, 0)),SUM(VLOOKUP($A104, LS_current!$B$4:$AY$138, LS_current!L$148, FALSE), VLOOKUP($A104, LS_current!$B$4:$AY$138,LS_current!L$148, FALSE))/2)</f>
        <v>0</v>
      </c>
      <c r="CI104" s="227">
        <f t="array" ref="CI104">IF($BU104=0, INDEX(LS_current!$D$4:$AY$138, MATCH('Staging Table'!$A104, LS_current!$B$4:$B$138, 0), MATCH(CI$4&amp;CI$5, LS_current!$D$2:$AY$2&amp;LS_current!$D$3:$AY$3, 0)),SUM(VLOOKUP($A104, LS_current!$B$4:$AY$138, LS_current!M$148, FALSE), VLOOKUP($A104, LS_current!$B$4:$AY$138,LS_current!M$148, FALSE))/2)</f>
        <v>0</v>
      </c>
      <c r="CJ104" s="227">
        <f t="array" ref="CJ104">IF($BU104=0, INDEX(LS_current!$D$4:$AY$138, MATCH('Staging Table'!$A104, LS_current!$B$4:$B$138, 0), MATCH(CJ$4&amp;CJ$5, LS_current!$D$2:$AY$2&amp;LS_current!$D$3:$AY$3, 0)),SUM(VLOOKUP($A104, LS_current!$B$4:$AY$138, LS_current!N$148, FALSE), VLOOKUP($A104, LS_current!$B$4:$AY$138,LS_current!N$148, FALSE))/2)</f>
        <v>0</v>
      </c>
      <c r="CK104" s="227">
        <f t="array" ref="CK104">IF($BU104=0, INDEX(LS_current!$D$4:$AY$138, MATCH('Staging Table'!$A104, LS_current!$B$4:$B$138, 0), MATCH(CK$4&amp;CK$5, LS_current!$D$2:$AY$2&amp;LS_current!$D$3:$AY$3, 0)),SUM(VLOOKUP($A104, LS_current!$B$4:$AY$138, LS_current!O$148, FALSE), VLOOKUP($A104, LS_current!$B$4:$AY$138,LS_current!O$148, FALSE))/2)</f>
        <v>0</v>
      </c>
      <c r="CL104" s="227">
        <f t="array" ref="CL104">IF($BU104=0, INDEX(LS_current!$D$4:$AY$138, MATCH('Staging Table'!$A104, LS_current!$B$4:$B$138, 0), MATCH(CL$4&amp;CL$5, LS_current!$D$2:$AY$2&amp;LS_current!$D$3:$AY$3, 0)),SUM(VLOOKUP($A104, LS_current!$B$4:$AY$138, LS_current!P$148, FALSE), VLOOKUP($A104, LS_current!$B$4:$AY$138,LS_current!P$148, FALSE))/2)</f>
        <v>0</v>
      </c>
      <c r="CM104" s="227">
        <f t="array" ref="CM104">IF($BU104=0, INDEX(LS_current!$D$4:$AY$138, MATCH('Staging Table'!$A104, LS_current!$B$4:$B$138, 0), MATCH(CM$4&amp;CM$5, LS_current!$D$2:$AY$2&amp;LS_current!$D$3:$AY$3, 0)),SUM(VLOOKUP($A104, LS_current!$B$4:$AY$138, LS_current!Q$148, FALSE), VLOOKUP($A104, LS_current!$B$4:$AY$138,LS_current!Q$148, FALSE))/2)</f>
        <v>0</v>
      </c>
      <c r="CN104" s="227">
        <f t="array" ref="CN104">IF($BU104=0, INDEX(LS_current!$D$4:$AY$138, MATCH('Staging Table'!$A104, LS_current!$B$4:$B$138, 0), MATCH(CN$4&amp;CN$5, LS_current!$D$2:$AY$2&amp;LS_current!$D$3:$AY$3, 0)),SUM(VLOOKUP($A104, LS_current!$B$4:$AY$138, LS_current!R$148, FALSE), VLOOKUP($A104, LS_current!$B$4:$AY$138,LS_current!R$148, FALSE))/2)</f>
        <v>0</v>
      </c>
      <c r="CO104" s="227">
        <f t="array" ref="CO104">IF($BU104=0, INDEX(LS_current!$D$4:$AY$138, MATCH('Staging Table'!$A104, LS_current!$B$4:$B$138, 0), MATCH(CO$4&amp;CO$5, LS_current!$D$2:$AY$2&amp;LS_current!$D$3:$AY$3, 0)),SUM(VLOOKUP($A104, LS_current!$B$4:$AY$138, LS_current!S$148, FALSE), VLOOKUP($A104, LS_current!$B$4:$AY$138,LS_current!S$148, FALSE))/2)</f>
        <v>0</v>
      </c>
      <c r="CP104" s="227">
        <f t="array" ref="CP104">IF($BU104=0, INDEX(LS_current!$D$4:$AY$138, MATCH('Staging Table'!$A104, LS_current!$B$4:$B$138, 0), MATCH(CP$4&amp;CP$5, LS_current!$D$2:$AY$2&amp;LS_current!$D$3:$AY$3, 0)),SUM(VLOOKUP($A104, LS_current!$B$4:$AY$138, LS_current!T$148, FALSE), VLOOKUP($A104, LS_current!$B$4:$AY$138,LS_current!T$148, FALSE))/2)</f>
        <v>0</v>
      </c>
      <c r="CQ104" s="227">
        <f t="array" ref="CQ104">IF($BU104=0, INDEX(LS_current!$D$4:$AY$138, MATCH('Staging Table'!$A104, LS_current!$B$4:$B$138, 0), MATCH(CQ$4&amp;CQ$5, LS_current!$D$2:$AY$2&amp;LS_current!$D$3:$AY$3, 0)),SUM(VLOOKUP($A104, LS_current!$B$4:$AY$138, LS_current!U$148, FALSE), VLOOKUP($A104, LS_current!$B$4:$AY$138,LS_current!U$148, FALSE))/2)</f>
        <v>0</v>
      </c>
      <c r="CR104" s="227">
        <f t="array" ref="CR104">IF($BU104=0, INDEX(LS_current!$D$4:$AY$138, MATCH('Staging Table'!$A104, LS_current!$B$4:$B$138, 0), MATCH(CR$4&amp;CR$5, LS_current!$D$2:$AY$2&amp;LS_current!$D$3:$AY$3, 0)),SUM(VLOOKUP($A104, LS_current!$B$4:$AY$138, LS_current!V$148, FALSE), VLOOKUP($A104, LS_current!$B$4:$AY$138,LS_current!V$148, FALSE))/2)</f>
        <v>0</v>
      </c>
      <c r="CS104" s="227">
        <f t="array" ref="CS104">IF($BU104=0, INDEX(LS_current!$D$4:$AY$138, MATCH('Staging Table'!$A104, LS_current!$B$4:$B$138, 0), MATCH(CS$4&amp;CS$5, LS_current!$D$2:$AY$2&amp;LS_current!$D$3:$AY$3, 0)),SUM(VLOOKUP($A104, LS_current!$B$4:$AY$138, LS_current!W$148, FALSE), VLOOKUP($A104, LS_current!$B$4:$AY$138,LS_current!W$148, FALSE))/2)</f>
        <v>0</v>
      </c>
      <c r="CT104" s="227">
        <f t="array" ref="CT104">IF($BU104=0, INDEX(LS_current!$D$4:$AY$138, MATCH('Staging Table'!$A104, LS_current!$B$4:$B$138, 0), MATCH(CT$4&amp;CT$5, LS_current!$D$2:$AY$2&amp;LS_current!$D$3:$AY$3, 0)),SUM(VLOOKUP($A104, LS_current!$B$4:$AY$138, LS_current!X$148, FALSE), VLOOKUP($A104, LS_current!$B$4:$AY$138,LS_current!X$148, FALSE))/2)</f>
        <v>0</v>
      </c>
      <c r="CU104" s="227">
        <f t="array" ref="CU104">IF($BU104=0, INDEX(LS_current!$D$4:$AY$138, MATCH('Staging Table'!$A104, LS_current!$B$4:$B$138, 0), MATCH(CU$4&amp;CU$5, LS_current!$D$2:$AY$2&amp;LS_current!$D$3:$AY$3, 0)),SUM(VLOOKUP($A104, LS_current!$B$4:$AY$138, LS_current!Y$148, FALSE), VLOOKUP($A104, LS_current!$B$4:$AY$138,LS_current!Y$148, FALSE))/2)</f>
        <v>0</v>
      </c>
      <c r="CV104" s="227">
        <f t="array" ref="CV104">IF($BU104=0, INDEX(LS_current!$D$4:$AY$138, MATCH('Staging Table'!$A104, LS_current!$B$4:$B$138, 0), MATCH(CV$4&amp;CV$5, LS_current!$D$2:$AY$2&amp;LS_current!$D$3:$AY$3, 0)),SUM(VLOOKUP($A104, LS_current!$B$4:$AY$138, LS_current!Z$148, FALSE), VLOOKUP($A104, LS_current!$B$4:$AY$138,LS_current!Z$148, FALSE))/2)</f>
        <v>0</v>
      </c>
      <c r="CW104" s="227">
        <f t="array" ref="CW104">IF($BU104=0, INDEX(LS_current!$D$4:$AY$138, MATCH('Staging Table'!$A104, LS_current!$B$4:$B$138, 0), MATCH(CW$4&amp;CW$5, LS_current!$D$2:$AY$2&amp;LS_current!$D$3:$AY$3, 0)),SUM(VLOOKUP($A104, LS_current!$B$4:$AY$138, LS_current!AA$148, FALSE), VLOOKUP($A104, LS_current!$B$4:$AY$138,LS_current!AA$148, FALSE))/2)</f>
        <v>0</v>
      </c>
      <c r="CX104" s="229">
        <f t="array" ref="CX104">INDEX(Demand_current!$D$4:$AY$138, MATCH($A104, Demand_current!$B$4:$B$138, 0), MATCH(CX$4&amp;CX$5,Demand_current!$D$2:$AY$2&amp;Demand_current!$D$3:$AY$3, 0))/1000</f>
        <v>0</v>
      </c>
      <c r="CY104" s="229">
        <f t="array" ref="CY104">INDEX(Demand_current!$D$4:$AY$138, MATCH($A104, Demand_current!$B$4:$B$138, 0), MATCH(CY$4&amp;CY$5,Demand_current!$D$2:$AY$2&amp;Demand_current!$D$3:$AY$3, 0))/1000</f>
        <v>0</v>
      </c>
      <c r="CZ104" s="229">
        <f t="array" ref="CZ104">INDEX(Demand_current!$D$4:$AY$138, MATCH($A104, Demand_current!$B$4:$B$138, 0), MATCH(CZ$4&amp;CZ$5,Demand_current!$D$2:$AY$2&amp;Demand_current!$D$3:$AY$3, 0))/1000</f>
        <v>0</v>
      </c>
      <c r="DA104" s="229">
        <f t="array" ref="DA104">INDEX(Demand_current!$D$4:$AY$138, MATCH($A104, Demand_current!$B$4:$B$138, 0), MATCH(DA$4&amp;DA$5,Demand_current!$D$2:$AY$2&amp;Demand_current!$D$3:$AY$3, 0))/1000</f>
        <v>0</v>
      </c>
      <c r="DB104" s="229">
        <f t="array" ref="DB104">INDEX(Demand_current!$D$4:$AY$138, MATCH($A104, Demand_current!$B$4:$B$138, 0), MATCH(DB$4&amp;DB$5,Demand_current!$D$2:$AY$2&amp;Demand_current!$D$3:$AY$3, 0))/1000</f>
        <v>0</v>
      </c>
      <c r="DC104" s="229">
        <f t="array" ref="DC104">INDEX(Demand_current!$D$4:$AY$138, MATCH($A104, Demand_current!$B$4:$B$138, 0), MATCH(DC$4&amp;DC$5,Demand_current!$D$2:$AY$2&amp;Demand_current!$D$3:$AY$3, 0))/1000</f>
        <v>0</v>
      </c>
      <c r="DD104" s="229">
        <f t="array" ref="DD104">INDEX(Demand_current!$D$4:$AY$138, MATCH($A104, Demand_current!$B$4:$B$138, 0), MATCH(DD$4&amp;DD$5,Demand_current!$D$2:$AY$2&amp;Demand_current!$D$3:$AY$3, 0))/1000</f>
        <v>0</v>
      </c>
      <c r="DE104" s="229">
        <f t="array" ref="DE104">INDEX(Demand_current!$D$4:$AY$138, MATCH($A104, Demand_current!$B$4:$B$138, 0), MATCH(DE$4&amp;DE$5,Demand_current!$D$2:$AY$2&amp;Demand_current!$D$3:$AY$3, 0))/1000</f>
        <v>0</v>
      </c>
      <c r="DF104" s="229">
        <f t="array" ref="DF104">INDEX(Demand_current!$D$4:$AY$138, MATCH($A104, Demand_current!$B$4:$B$138, 0), MATCH(DF$4&amp;DF$5,Demand_current!$D$2:$AY$2&amp;Demand_current!$D$3:$AY$3, 0))/1000</f>
        <v>0</v>
      </c>
      <c r="DG104" s="229">
        <f t="array" ref="DG104">INDEX(Demand_current!$D$4:$AY$138, MATCH($A104, Demand_current!$B$4:$B$138, 0), MATCH(DG$4&amp;DG$5,Demand_current!$D$2:$AY$2&amp;Demand_current!$D$3:$AY$3, 0))/1000</f>
        <v>0</v>
      </c>
      <c r="DH104" s="229">
        <f t="array" ref="DH104">INDEX(Demand_current!$D$4:$AY$138, MATCH($A104, Demand_current!$B$4:$B$138, 0), MATCH(DH$4&amp;DH$5,Demand_current!$D$2:$AY$2&amp;Demand_current!$D$3:$AY$3, 0))/1000</f>
        <v>0</v>
      </c>
      <c r="DI104" s="229">
        <f t="array" ref="DI104">INDEX(Demand_current!$D$4:$AY$138, MATCH($A104, Demand_current!$B$4:$B$138, 0), MATCH(DI$4&amp;DI$5,Demand_current!$D$2:$AY$2&amp;Demand_current!$D$3:$AY$3, 0))/1000</f>
        <v>0</v>
      </c>
      <c r="DJ104" s="227">
        <f>$BT104*(VLOOKUP(DJ$4, Rates_current!$G$6:$Q$29, 10, FALSE)+VLOOKUP(DJ$4, Rates_current!$G$6:$Q$29, 11, FALSE))</f>
        <v>23620.809579577199</v>
      </c>
      <c r="DK104" s="227">
        <f>$BT104*(VLOOKUP(DK$4, Rates_current!$G$6:$Q$29, 10, FALSE)+VLOOKUP(DK$4, Rates_current!$G$6:$Q$29, 11, FALSE))</f>
        <v>30005.796820752301</v>
      </c>
      <c r="DL104" s="227">
        <f>$BT104*(VLOOKUP(DL$4, Rates_current!$G$6:$Q$29, 10, FALSE)+VLOOKUP(DL$4, Rates_current!$G$6:$Q$29, 11, FALSE))</f>
        <v>29643.436222677203</v>
      </c>
      <c r="DM104" s="227">
        <f>$BT104*(VLOOKUP(DM$4, Rates_current!$G$6:$Q$29, 10, FALSE)+VLOOKUP(DM$4, Rates_current!$G$6:$Q$29, 11, FALSE))</f>
        <v>24709.609589077201</v>
      </c>
      <c r="DN104" s="227">
        <f>$BT104*(VLOOKUP(DN$4, Rates_current!$G$6:$Q$29, 10, FALSE)+VLOOKUP(DN$4, Rates_current!$G$6:$Q$29, 11, FALSE))</f>
        <v>22384.342863759997</v>
      </c>
      <c r="DO104" s="227">
        <f>$BT104*(VLOOKUP(DO$4, Rates_current!$G$6:$Q$29, 10, FALSE)+VLOOKUP(DO$4, Rates_current!$G$6:$Q$29, 11, FALSE))</f>
        <v>24898.500370910901</v>
      </c>
      <c r="DP104" s="227">
        <f>$BT104*(VLOOKUP(DP$4, Rates_current!$G$6:$Q$29, 10, FALSE)+VLOOKUP(DP$4, Rates_current!$G$6:$Q$29, 11, FALSE))</f>
        <v>20272.385870136</v>
      </c>
      <c r="DQ104" s="227">
        <f>$BT104*(VLOOKUP(DQ$4, Rates_current!$G$6:$Q$29, 10, FALSE)+VLOOKUP(DQ$4, Rates_current!$G$6:$Q$29, 11, FALSE))</f>
        <v>27340.335293427201</v>
      </c>
      <c r="DR104" s="227">
        <f>$BT104*(VLOOKUP(DR$4, Rates_current!$G$6:$Q$29, 10, FALSE)+VLOOKUP(DR$4, Rates_current!$G$6:$Q$29, 11, FALSE))</f>
        <v>34884.408379286004</v>
      </c>
      <c r="DS104" s="227">
        <f>$BT104*(VLOOKUP(DS$4, Rates_current!$G$6:$Q$29, 10, FALSE)+VLOOKUP(DS$4, Rates_current!$G$6:$Q$29, 11, FALSE))</f>
        <v>27350.482284377202</v>
      </c>
      <c r="DT104" s="227">
        <f>$BT104*(VLOOKUP(DT$4, Rates_current!$G$6:$Q$29, 10, FALSE)+VLOOKUP(DT$4, Rates_current!$G$6:$Q$29, 11, FALSE))</f>
        <v>26633.923627527201</v>
      </c>
      <c r="DU104" s="227">
        <f>$BT104*(VLOOKUP(DU$4, Rates_current!$G$6:$Q$29, 10, FALSE)+VLOOKUP(DU$4, Rates_current!$G$6:$Q$29, 11, FALSE))</f>
        <v>23911.597651836</v>
      </c>
      <c r="DV104" s="229">
        <f>IF(D104=0,IF(C104=0,MAX(0,DY104 - (VLOOKUP($A104,TOCA_current!$A$2:$AI$137,MATCH("RHWM 2020",TOCA_current!$A$2:$AI$2,0),FALSE)*$BT$2)), 0),0)</f>
        <v>0</v>
      </c>
      <c r="DW104" s="266">
        <f>VLOOKUP($A104,REP_current!$A$1:$D$135,MATCH("FY "&amp;$BT$1&amp; " Total Refund",REP_current!$A$1:$D$1,0),0)</f>
        <v>0</v>
      </c>
      <c r="DX104" s="295">
        <f>MIN(VLOOKUP($A104,TOCA_current!$A$2:$AI$137,MATCH("TRL - NLSL - Existing Resource "&amp;$BT$1,TOCA_current!$A$2:$AI$2,0),FALSE)*$BT$2, VLOOKUP($A104,TOCA_current!$A$2:$AI$137,MATCH("RHWM 2020",TOCA_current!$A$2:$AI$2,0),FALSE)*$BT$2)</f>
        <v>315653.04000000004</v>
      </c>
      <c r="DY104" s="240">
        <f>SUM(BZ104:CW104)+(BT104*RT1SC!$C$4*$BT$2)</f>
        <v>315655.64040130557</v>
      </c>
      <c r="DZ104" s="271">
        <f>VLOOKUP($A104,TOCA_current!$A$2:$AI$137,MATCH("Above RHWM Not Served with LS "&amp;$BT$1,TOCA_current!$A$2:$AI$2,0),FALSE)*$BT$2</f>
        <v>0</v>
      </c>
      <c r="EA104" s="244">
        <f t="shared" si="29"/>
        <v>2.6004013055353425</v>
      </c>
      <c r="EB104" s="295">
        <f>(VLOOKUP($A104,TOCA_current!$A$2:$AI$137,MATCH("RHWM 2020",TOCA_current!$A$2:$AI$2,0),FALSE)*$BT$2) - $DX104</f>
        <v>4154.8319999999949</v>
      </c>
      <c r="EC104" s="240">
        <f t="shared" si="30"/>
        <v>-2.6004013055353425</v>
      </c>
      <c r="ED104" s="240">
        <f t="shared" si="31"/>
        <v>0</v>
      </c>
      <c r="EE104" s="240">
        <f t="shared" si="32"/>
        <v>0</v>
      </c>
      <c r="EF104" s="240">
        <f t="shared" si="33"/>
        <v>-2.6004013055353425</v>
      </c>
    </row>
    <row r="105" spans="1:136">
      <c r="A105" s="166">
        <v>10333</v>
      </c>
      <c r="B105" s="167" t="s">
        <v>106</v>
      </c>
      <c r="C105" s="240">
        <v>0</v>
      </c>
      <c r="D105" s="240">
        <v>0</v>
      </c>
      <c r="E105" s="150">
        <f>VLOOKUP($A105,TOCA_previous!$A$2:$AI$137,MATCH(E$4,TOCA_previous!$A$2:$AI$2,0),FALSE)</f>
        <v>2.6232E-3</v>
      </c>
      <c r="F105" s="151">
        <f>VLOOKUP($A105,TOCA_previous!$A$2:$AI$137,MATCH(F$4,TOCA_previous!$A$2:$AI$2,0),FALSE)</f>
        <v>2.6232E-3</v>
      </c>
      <c r="G105" s="151">
        <f t="shared" si="18"/>
        <v>0</v>
      </c>
      <c r="H105" s="151">
        <f>VLOOKUP($A105,TOCA_previous!$A$2:$AI$137,MATCH(H$4,TOCA_previous!$A$2:$AI$2,0),FALSE)</f>
        <v>6.6876699999999997E-2</v>
      </c>
      <c r="I105" s="151">
        <f t="shared" si="19"/>
        <v>0</v>
      </c>
      <c r="J105" s="151">
        <f t="shared" si="20"/>
        <v>0</v>
      </c>
      <c r="K105" s="226">
        <f>VLOOKUP(A105, IRD!$A$5:$C$139, 3, FALSE)</f>
        <v>0</v>
      </c>
      <c r="L105" s="227">
        <f t="array" ref="L105">IF($G105=0, INDEX(LS_previous!$D$4:$AY$138, MATCH('Staging Table'!$A105, LS_previous!$B$4:$B$138, 0), MATCH(L$4&amp;L$5, LS_previous!$D$2:$AY$2&amp;LS_previous!$D$3:$AY$3, 0)),SUM(VLOOKUP($A105, LS_previous!$B$4:$AY$138, LS_previous!D$149, FALSE), VLOOKUP('Staging Table'!$A105, LS_previous!$B$4:$AY$138,LS_previous!AB$149, FALSE))/2)</f>
        <v>-1035</v>
      </c>
      <c r="M105" s="227">
        <f t="array" ref="M105">IF($G105=0, INDEX(LS_previous!$D$4:$AY$138, MATCH('Staging Table'!$A105, LS_previous!$B$4:$B$138, 0), MATCH(M$4&amp;M$5, LS_previous!$D$2:$AY$2&amp;LS_previous!$D$3:$AY$3, 0)),SUM(VLOOKUP($A105, LS_previous!$B$4:$AY$138, LS_previous!E$149, FALSE), VLOOKUP('Staging Table'!$A105, LS_previous!$B$4:$AY$138,LS_previous!AC$149, FALSE))/2)</f>
        <v>-181</v>
      </c>
      <c r="N105" s="227">
        <f t="array" ref="N105">IF($G105=0, INDEX(LS_previous!$D$4:$AY$138, MATCH('Staging Table'!$A105, LS_previous!$B$4:$B$138, 0), MATCH(N$4&amp;N$5, LS_previous!$D$2:$AY$2&amp;LS_previous!$D$3:$AY$3, 0)),SUM(VLOOKUP($A105, LS_previous!$B$4:$AY$138, LS_previous!F$149, FALSE), VLOOKUP('Staging Table'!$A105, LS_previous!$B$4:$AY$138,LS_previous!AD$149, FALSE))/2)</f>
        <v>-1336</v>
      </c>
      <c r="O105" s="227">
        <f t="array" ref="O105">IF($G105=0, INDEX(LS_previous!$D$4:$AY$138, MATCH('Staging Table'!$A105, LS_previous!$B$4:$B$138, 0), MATCH(O$4&amp;O$5, LS_previous!$D$2:$AY$2&amp;LS_previous!$D$3:$AY$3, 0)),SUM(VLOOKUP($A105, LS_previous!$B$4:$AY$138, LS_previous!G$149, FALSE), VLOOKUP('Staging Table'!$A105, LS_previous!$B$4:$AY$138,LS_previous!AE$149, FALSE))/2)</f>
        <v>323</v>
      </c>
      <c r="P105" s="227">
        <f t="array" ref="P105">IF($G105=0, INDEX(LS_previous!$D$4:$AY$138, MATCH('Staging Table'!$A105, LS_previous!$B$4:$B$138, 0), MATCH(P$4&amp;P$5, LS_previous!$D$2:$AY$2&amp;LS_previous!$D$3:$AY$3, 0)),SUM(VLOOKUP($A105, LS_previous!$B$4:$AY$138, LS_previous!H$149, FALSE), VLOOKUP('Staging Table'!$A105, LS_previous!$B$4:$AY$138,LS_previous!AF$149, FALSE))/2)</f>
        <v>1319</v>
      </c>
      <c r="Q105" s="227">
        <f t="array" ref="Q105">IF($G105=0, INDEX(LS_previous!$D$4:$AY$138, MATCH('Staging Table'!$A105, LS_previous!$B$4:$B$138, 0), MATCH(Q$4&amp;Q$5, LS_previous!$D$2:$AY$2&amp;LS_previous!$D$3:$AY$3, 0)),SUM(VLOOKUP($A105, LS_previous!$B$4:$AY$138, LS_previous!I$149, FALSE), VLOOKUP('Staging Table'!$A105, LS_previous!$B$4:$AY$138,LS_previous!AG$149, FALSE))/2)</f>
        <v>1876</v>
      </c>
      <c r="R105" s="227">
        <f t="array" ref="R105">IF($G105=0, INDEX(LS_previous!$D$4:$AY$138, MATCH('Staging Table'!$A105, LS_previous!$B$4:$B$138, 0), MATCH(R$4&amp;R$5, LS_previous!$D$2:$AY$2&amp;LS_previous!$D$3:$AY$3, 0)),SUM(VLOOKUP($A105, LS_previous!$B$4:$AY$138, LS_previous!J$149, FALSE), VLOOKUP('Staging Table'!$A105, LS_previous!$B$4:$AY$138,LS_previous!AH$149, FALSE))/2)</f>
        <v>2660</v>
      </c>
      <c r="S105" s="227">
        <f t="array" ref="S105">IF($G105=0, INDEX(LS_previous!$D$4:$AY$138, MATCH('Staging Table'!$A105, LS_previous!$B$4:$B$138, 0), MATCH(S$4&amp;S$5, LS_previous!$D$2:$AY$2&amp;LS_previous!$D$3:$AY$3, 0)),SUM(VLOOKUP($A105, LS_previous!$B$4:$AY$138, LS_previous!K$149, FALSE), VLOOKUP('Staging Table'!$A105, LS_previous!$B$4:$AY$138,LS_previous!AI$149, FALSE))/2)</f>
        <v>2789</v>
      </c>
      <c r="T105" s="227">
        <f t="array" ref="T105">IF($G105=0, INDEX(LS_previous!$D$4:$AY$138, MATCH('Staging Table'!$A105, LS_previous!$B$4:$B$138, 0), MATCH(T$4&amp;T$5, LS_previous!$D$2:$AY$2&amp;LS_previous!$D$3:$AY$3, 0)),SUM(VLOOKUP($A105, LS_previous!$B$4:$AY$138, LS_previous!L$149, FALSE), VLOOKUP('Staging Table'!$A105, LS_previous!$B$4:$AY$138,LS_previous!AJ$149, FALSE))/2)</f>
        <v>2051</v>
      </c>
      <c r="U105" s="227">
        <f t="array" ref="U105">IF($G105=0, INDEX(LS_previous!$D$4:$AY$138, MATCH('Staging Table'!$A105, LS_previous!$B$4:$B$138, 0), MATCH(U$4&amp;U$5, LS_previous!$D$2:$AY$2&amp;LS_previous!$D$3:$AY$3, 0)),SUM(VLOOKUP($A105, LS_previous!$B$4:$AY$138, LS_previous!M$149, FALSE), VLOOKUP('Staging Table'!$A105, LS_previous!$B$4:$AY$138,LS_previous!AK$149, FALSE))/2)</f>
        <v>2039</v>
      </c>
      <c r="V105" s="227">
        <f t="array" ref="V105">IF($G105=0, INDEX(LS_previous!$D$4:$AY$138, MATCH('Staging Table'!$A105, LS_previous!$B$4:$B$138, 0), MATCH(V$4&amp;V$5, LS_previous!$D$2:$AY$2&amp;LS_previous!$D$3:$AY$3, 0)),SUM(VLOOKUP($A105, LS_previous!$B$4:$AY$138, LS_previous!N$149, FALSE), VLOOKUP('Staging Table'!$A105, LS_previous!$B$4:$AY$138,LS_previous!AL$149, FALSE))/2)</f>
        <v>67</v>
      </c>
      <c r="W105" s="227">
        <f t="array" ref="W105">IF($G105=0, INDEX(LS_previous!$D$4:$AY$138, MATCH('Staging Table'!$A105, LS_previous!$B$4:$B$138, 0), MATCH(W$4&amp;W$5, LS_previous!$D$2:$AY$2&amp;LS_previous!$D$3:$AY$3, 0)),SUM(VLOOKUP($A105, LS_previous!$B$4:$AY$138, LS_previous!O$149, FALSE), VLOOKUP('Staging Table'!$A105, LS_previous!$B$4:$AY$138,LS_previous!AM$149, FALSE))/2)</f>
        <v>732</v>
      </c>
      <c r="X105" s="227">
        <f t="array" ref="X105">IF($G105=0, INDEX(LS_previous!$D$4:$AY$138, MATCH('Staging Table'!$A105, LS_previous!$B$4:$B$138, 0), MATCH(X$4&amp;X$5, LS_previous!$D$2:$AY$2&amp;LS_previous!$D$3:$AY$3, 0)),SUM(VLOOKUP($A105, LS_previous!$B$4:$AY$138, LS_previous!P$149, FALSE), VLOOKUP('Staging Table'!$A105, LS_previous!$B$4:$AY$138,LS_previous!AN$149, FALSE))/2)</f>
        <v>-869</v>
      </c>
      <c r="Y105" s="227">
        <f t="array" ref="Y105">IF($G105=0, INDEX(LS_previous!$D$4:$AY$138, MATCH('Staging Table'!$A105, LS_previous!$B$4:$B$138, 0), MATCH(Y$4&amp;Y$5, LS_previous!$D$2:$AY$2&amp;LS_previous!$D$3:$AY$3, 0)),SUM(VLOOKUP($A105, LS_previous!$B$4:$AY$138, LS_previous!Q$149, FALSE), VLOOKUP('Staging Table'!$A105, LS_previous!$B$4:$AY$138,LS_previous!AO$149, FALSE))/2)</f>
        <v>107</v>
      </c>
      <c r="Z105" s="227">
        <f t="array" ref="Z105">IF($G105=0, INDEX(LS_previous!$D$4:$AY$138, MATCH('Staging Table'!$A105, LS_previous!$B$4:$B$138, 0), MATCH(Z$4&amp;Z$5, LS_previous!$D$2:$AY$2&amp;LS_previous!$D$3:$AY$3, 0)),SUM(VLOOKUP($A105, LS_previous!$B$4:$AY$138, LS_previous!R$149, FALSE), VLOOKUP('Staging Table'!$A105, LS_previous!$B$4:$AY$138,LS_previous!AP$149, FALSE))/2)</f>
        <v>-4227</v>
      </c>
      <c r="AA105" s="227">
        <f t="array" ref="AA105">IF($G105=0, INDEX(LS_previous!$D$4:$AY$138, MATCH('Staging Table'!$A105, LS_previous!$B$4:$B$138, 0), MATCH(AA$4&amp;AA$5, LS_previous!$D$2:$AY$2&amp;LS_previous!$D$3:$AY$3, 0)),SUM(VLOOKUP($A105, LS_previous!$B$4:$AY$138, LS_previous!S$149, FALSE), VLOOKUP('Staging Table'!$A105, LS_previous!$B$4:$AY$138,LS_previous!AQ$149, FALSE))/2)</f>
        <v>-1477</v>
      </c>
      <c r="AB105" s="227">
        <f t="array" ref="AB105">IF($G105=0, INDEX(LS_previous!$D$4:$AY$138, MATCH('Staging Table'!$A105, LS_previous!$B$4:$B$138, 0), MATCH(AB$4&amp;AB$5, LS_previous!$D$2:$AY$2&amp;LS_previous!$D$3:$AY$3, 0)),SUM(VLOOKUP($A105, LS_previous!$B$4:$AY$138, LS_previous!T$149, FALSE), VLOOKUP('Staging Table'!$A105, LS_previous!$B$4:$AY$138,LS_previous!AR$149, FALSE))/2)</f>
        <v>-1628</v>
      </c>
      <c r="AC105" s="227">
        <f t="array" ref="AC105">IF($G105=0, INDEX(LS_previous!$D$4:$AY$138, MATCH('Staging Table'!$A105, LS_previous!$B$4:$B$138, 0), MATCH(AC$4&amp;AC$5, LS_previous!$D$2:$AY$2&amp;LS_previous!$D$3:$AY$3, 0)),SUM(VLOOKUP($A105, LS_previous!$B$4:$AY$138, LS_previous!U$149, FALSE), VLOOKUP('Staging Table'!$A105, LS_previous!$B$4:$AY$138,LS_previous!AS$149, FALSE))/2)</f>
        <v>-155</v>
      </c>
      <c r="AD105" s="227">
        <f t="array" ref="AD105">IF($G105=0, INDEX(LS_previous!$D$4:$AY$138, MATCH('Staging Table'!$A105, LS_previous!$B$4:$B$138, 0), MATCH(AD$4&amp;AD$5, LS_previous!$D$2:$AY$2&amp;LS_previous!$D$3:$AY$3, 0)),SUM(VLOOKUP($A105, LS_previous!$B$4:$AY$138, LS_previous!V$149, FALSE), VLOOKUP('Staging Table'!$A105, LS_previous!$B$4:$AY$138,LS_previous!AT$149, FALSE))/2)</f>
        <v>743</v>
      </c>
      <c r="AE105" s="227">
        <f t="array" ref="AE105">IF($G105=0, INDEX(LS_previous!$D$4:$AY$138, MATCH('Staging Table'!$A105, LS_previous!$B$4:$B$138, 0), MATCH(AE$4&amp;AE$5, LS_previous!$D$2:$AY$2&amp;LS_previous!$D$3:$AY$3, 0)),SUM(VLOOKUP($A105, LS_previous!$B$4:$AY$138, LS_previous!W$149, FALSE), VLOOKUP('Staging Table'!$A105, LS_previous!$B$4:$AY$138,LS_previous!AU$149, FALSE))/2)</f>
        <v>1514</v>
      </c>
      <c r="AF105" s="227">
        <f t="array" ref="AF105">IF($G105=0, INDEX(LS_previous!$D$4:$AY$138, MATCH('Staging Table'!$A105, LS_previous!$B$4:$B$138, 0), MATCH(AF$4&amp;AF$5, LS_previous!$D$2:$AY$2&amp;LS_previous!$D$3:$AY$3, 0)),SUM(VLOOKUP($A105, LS_previous!$B$4:$AY$138, LS_previous!X$149, FALSE), VLOOKUP('Staging Table'!$A105, LS_previous!$B$4:$AY$138,LS_previous!AV$149, FALSE))/2)</f>
        <v>-831</v>
      </c>
      <c r="AG105" s="227">
        <f t="array" ref="AG105">IF($G105=0, INDEX(LS_previous!$D$4:$AY$138, MATCH('Staging Table'!$A105, LS_previous!$B$4:$B$138, 0), MATCH(AG$4&amp;AG$5, LS_previous!$D$2:$AY$2&amp;LS_previous!$D$3:$AY$3, 0)),SUM(VLOOKUP($A105, LS_previous!$B$4:$AY$138, LS_previous!Y$149, FALSE), VLOOKUP('Staging Table'!$A105, LS_previous!$B$4:$AY$138,LS_previous!AW$149, FALSE))/2)</f>
        <v>436</v>
      </c>
      <c r="AH105" s="227">
        <f t="array" ref="AH105">IF($G105=0, INDEX(LS_previous!$D$4:$AY$138, MATCH('Staging Table'!$A105, LS_previous!$B$4:$B$138, 0), MATCH(AH$4&amp;AH$5, LS_previous!$D$2:$AY$2&amp;LS_previous!$D$3:$AY$3, 0)),SUM(VLOOKUP($A105, LS_previous!$B$4:$AY$138, LS_previous!Z$149, FALSE), VLOOKUP('Staging Table'!$A105, LS_previous!$B$4:$AY$138,LS_previous!AX$149, FALSE))/2)</f>
        <v>-1500</v>
      </c>
      <c r="AI105" s="227">
        <f t="array" ref="AI105">IF($G105=0, INDEX(LS_previous!$D$4:$AY$138, MATCH('Staging Table'!$A105, LS_previous!$B$4:$B$138, 0), MATCH(AI$4&amp;AI$5, LS_previous!$D$2:$AY$2&amp;LS_previous!$D$3:$AY$3, 0)),SUM(VLOOKUP($A105, LS_previous!$B$4:$AY$138, LS_previous!AA$149, FALSE), VLOOKUP('Staging Table'!$A105, LS_previous!$B$4:$AY$138,LS_previous!AY$149, FALSE))/2)</f>
        <v>-83</v>
      </c>
      <c r="AJ105" s="424">
        <f t="array" ref="AJ105">INDEX(Demand_previous!$D$4:$AY$138, MATCH('Staging Table'!$A105, Demand_previous!$B$4:$B$138, 0), MATCH(AJ$4&amp;AJ$5,Demand_previous!$D$2:$AY$2&amp;Demand_previous!$D$3:$AY$3, 0))/1000</f>
        <v>1.651</v>
      </c>
      <c r="AK105" s="424">
        <f t="array" ref="AK105">INDEX(Demand_previous!$D$4:$AY$138, MATCH('Staging Table'!$A105, Demand_previous!$B$4:$B$138, 0), MATCH(AK$4&amp;AK$5,Demand_previous!$D$2:$AY$2&amp;Demand_previous!$D$3:$AY$3, 0))/1000</f>
        <v>3.7010000000000001</v>
      </c>
      <c r="AL105" s="424">
        <f t="array" ref="AL105">INDEX(Demand_previous!$D$4:$AY$138, MATCH('Staging Table'!$A105, Demand_previous!$B$4:$B$138, 0), MATCH(AL$4&amp;AL$5,Demand_previous!$D$2:$AY$2&amp;Demand_previous!$D$3:$AY$3, 0))/1000</f>
        <v>4.1029999999999998</v>
      </c>
      <c r="AM105" s="424">
        <f t="array" ref="AM105">INDEX(Demand_previous!$D$4:$AY$138, MATCH('Staging Table'!$A105, Demand_previous!$B$4:$B$138, 0), MATCH(AM$4&amp;AM$5,Demand_previous!$D$2:$AY$2&amp;Demand_previous!$D$3:$AY$3, 0))/1000</f>
        <v>5.3689999999999998</v>
      </c>
      <c r="AN105" s="424">
        <f t="array" ref="AN105">INDEX(Demand_previous!$D$4:$AY$138, MATCH('Staging Table'!$A105, Demand_previous!$B$4:$B$138, 0), MATCH(AN$4&amp;AN$5,Demand_previous!$D$2:$AY$2&amp;Demand_previous!$D$3:$AY$3, 0))/1000</f>
        <v>1.913</v>
      </c>
      <c r="AO105" s="424">
        <f t="array" ref="AO105">INDEX(Demand_previous!$D$4:$AY$138, MATCH('Staging Table'!$A105, Demand_previous!$B$4:$B$138, 0), MATCH(AO$4&amp;AO$5,Demand_previous!$D$2:$AY$2&amp;Demand_previous!$D$3:$AY$3, 0))/1000</f>
        <v>3.1429999999999998</v>
      </c>
      <c r="AP105" s="424">
        <f t="array" ref="AP105">INDEX(Demand_previous!$D$4:$AY$138, MATCH('Staging Table'!$A105, Demand_previous!$B$4:$B$138, 0), MATCH(AP$4&amp;AP$5,Demand_previous!$D$2:$AY$2&amp;Demand_previous!$D$3:$AY$3, 0))/1000</f>
        <v>3.2290000000000001</v>
      </c>
      <c r="AQ105" s="424">
        <f t="array" ref="AQ105">INDEX(Demand_previous!$D$4:$AY$138, MATCH('Staging Table'!$A105, Demand_previous!$B$4:$B$138, 0), MATCH(AQ$4&amp;AQ$5,Demand_previous!$D$2:$AY$2&amp;Demand_previous!$D$3:$AY$3, 0))/1000</f>
        <v>3.548</v>
      </c>
      <c r="AR105" s="424">
        <f t="array" ref="AR105">INDEX(Demand_previous!$D$4:$AY$138, MATCH('Staging Table'!$A105, Demand_previous!$B$4:$B$138, 0), MATCH(AR$4&amp;AR$5,Demand_previous!$D$2:$AY$2&amp;Demand_previous!$D$3:$AY$3, 0))/1000</f>
        <v>3.77</v>
      </c>
      <c r="AS105" s="424">
        <f t="array" ref="AS105">INDEX(Demand_previous!$D$4:$AY$138, MATCH('Staging Table'!$A105, Demand_previous!$B$4:$B$138, 0), MATCH(AS$4&amp;AS$5,Demand_previous!$D$2:$AY$2&amp;Demand_previous!$D$3:$AY$3, 0))/1000</f>
        <v>2.5760000000000001</v>
      </c>
      <c r="AT105" s="424">
        <f t="array" ref="AT105">INDEX(Demand_previous!$D$4:$AY$138, MATCH('Staging Table'!$A105, Demand_previous!$B$4:$B$138, 0), MATCH(AT$4&amp;AT$5,Demand_previous!$D$2:$AY$2&amp;Demand_previous!$D$3:$AY$3, 0))/1000</f>
        <v>3.9660000000000002</v>
      </c>
      <c r="AU105" s="424">
        <f t="array" ref="AU105">INDEX(Demand_previous!$D$4:$AY$138, MATCH('Staging Table'!$A105, Demand_previous!$B$4:$B$138, 0), MATCH(AU$4&amp;AU$5,Demand_previous!$D$2:$AY$2&amp;Demand_previous!$D$3:$AY$3, 0))/1000</f>
        <v>2.75</v>
      </c>
      <c r="AV105" s="227">
        <f>$F105*(VLOOKUP(AV$4, Rates_previous!$G$6:$Q$29, 10, FALSE)+VLOOKUP(AV$4, Rates_previous!$G$6:$Q$29, 11, FALSE))</f>
        <v>12299.759218300136</v>
      </c>
      <c r="AW105" s="227">
        <f>$F105*(VLOOKUP(AW$4, Rates_previous!$G$6:$Q$29, 10, FALSE)+VLOOKUP(AW$4, Rates_previous!$G$6:$Q$29, 11, FALSE))</f>
        <v>15201.567562576671</v>
      </c>
      <c r="AX105" s="227">
        <f>$F105*(VLOOKUP(AX$4, Rates_previous!$G$6:$Q$29, 10, FALSE)+VLOOKUP(AX$4, Rates_previous!$G$6:$Q$29, 11, FALSE))</f>
        <v>15019.014918103157</v>
      </c>
      <c r="AY105" s="227">
        <f>$F105*(VLOOKUP(AY$4, Rates_previous!$G$6:$Q$29, 10, FALSE)+VLOOKUP(AY$4, Rates_previous!$G$6:$Q$29, 11, FALSE))</f>
        <v>12832.316698967712</v>
      </c>
      <c r="AZ105" s="227">
        <f>$F105*(VLOOKUP(AZ$4, Rates_previous!$G$6:$Q$29, 10, FALSE)+VLOOKUP(AZ$4, Rates_previous!$G$6:$Q$29, 11, FALSE))</f>
        <v>10520.010593953004</v>
      </c>
      <c r="BA105" s="227">
        <f>$F105*(VLOOKUP(BA$4, Rates_previous!$G$6:$Q$29, 10, FALSE)+VLOOKUP(BA$4, Rates_previous!$G$6:$Q$29, 11, FALSE))</f>
        <v>12455.31042099248</v>
      </c>
      <c r="BB105" s="227">
        <f>$F105*(VLOOKUP(BB$4, Rates_previous!$G$6:$Q$29, 10, FALSE)+VLOOKUP(BB$4, Rates_previous!$G$6:$Q$29, 11, FALSE))</f>
        <v>11971.365050006476</v>
      </c>
      <c r="BC105" s="227">
        <f>$F105*(VLOOKUP(BC$4, Rates_previous!$G$6:$Q$29, 10, FALSE)+VLOOKUP(BC$4, Rates_previous!$G$6:$Q$29, 11, FALSE))</f>
        <v>17567.131084202079</v>
      </c>
      <c r="BD105" s="227">
        <f>$F105*(VLOOKUP(BD$4, Rates_previous!$G$6:$Q$29, 10, FALSE)+VLOOKUP(BD$4, Rates_previous!$G$6:$Q$29, 11, FALSE))</f>
        <v>13860.002120501236</v>
      </c>
      <c r="BE105" s="227">
        <f>$F105*(VLOOKUP(BE$4, Rates_previous!$G$6:$Q$29, 10, FALSE)+VLOOKUP(BE$4, Rates_previous!$G$6:$Q$29, 11, FALSE))</f>
        <v>12170.245208427461</v>
      </c>
      <c r="BF105" s="227">
        <f>$F105*(VLOOKUP(BF$4, Rates_previous!$G$6:$Q$29, 10, FALSE)+VLOOKUP(BF$4, Rates_previous!$G$6:$Q$29, 11, FALSE))</f>
        <v>13479.033715413454</v>
      </c>
      <c r="BG105" s="227">
        <f>$F105*(VLOOKUP(BG$4, Rates_previous!$G$6:$Q$29, 10, FALSE)+VLOOKUP(BG$4, Rates_previous!$G$6:$Q$29, 11, FALSE))</f>
        <v>12211.468518588608</v>
      </c>
      <c r="BH105" s="229">
        <f>IF($D105=0,IF(C105=0, MAX(BK105 - (VLOOKUP($A105,TOCA_previous!$A$2:$AI$137,MATCH("RHWM 2018",TOCA_previous!$A$2:$AI$2,0),FALSE)*$F$2*TOCA_previous!C102),0),0), 0)</f>
        <v>3331.547438271984</v>
      </c>
      <c r="BI105" s="266">
        <f>VLOOKUP($A105,REP_previous!$A$1:$D$135,MATCH("FY "&amp;$F$1&amp; " Total Refund",REP_previous!$A$1:$D$1,0),0)</f>
        <v>104055.3527176475</v>
      </c>
      <c r="BJ105" s="241">
        <f>MIN(VLOOKUP($A105,TOCA_previous!$A$2:$AI$137,MATCH("TRL - NLSL - Existing Resource "&amp;$F$1,TOCA_previous!$A$2:$AI$2,0),FALSE)*$F$2,(VLOOKUP($A105,TOCA_previous!$A$2:$AI$137,MATCH("RHWM 2018",TOCA_previous!$A$2:$AI$2,0),FALSE)*$F$2))</f>
        <v>159589.68</v>
      </c>
      <c r="BK105" s="229">
        <f>SUM(L105:AI105)+(F105*RT1SC!$C$3*$F$2)</f>
        <v>162921.22743827198</v>
      </c>
      <c r="BL105" s="241">
        <f>VLOOKUP($A105,TOCA_previous!$A$2:$AI$137,MATCH("Above RHWM Not Served with LS "&amp;$F$1,TOCA_previous!$A$2:$AI$2,0),FALSE)*$F$2</f>
        <v>0</v>
      </c>
      <c r="BM105" s="151">
        <f t="shared" si="21"/>
        <v>3331.547438271984</v>
      </c>
      <c r="BN105" s="242">
        <f>(VLOOKUP($A105,TOCA_previous!$A$2:$AI$137,MATCH("RHWM 2018",TOCA_previous!$A$2:$AI$2,0),FALSE)*$F$2) - $BJ105</f>
        <v>0</v>
      </c>
      <c r="BO105" s="151">
        <f t="shared" si="22"/>
        <v>0</v>
      </c>
      <c r="BP105" s="243">
        <f t="shared" si="23"/>
        <v>0</v>
      </c>
      <c r="BQ105" s="237">
        <f t="shared" si="24"/>
        <v>0</v>
      </c>
      <c r="BR105" s="242">
        <f t="shared" si="25"/>
        <v>0</v>
      </c>
      <c r="BS105" s="151">
        <f>VLOOKUP($A105,TOCA_current!$A$2:$AI$137,MATCH(BS$4,TOCA_current!$A$2:$AI$2,0),FALSE)</f>
        <v>2.6026999999999999E-3</v>
      </c>
      <c r="BT105" s="151">
        <f>VLOOKUP($A105,TOCA_current!$A$2:$AI$137,MATCH(BT$4,TOCA_current!$A$2:$AI$2,0),FALSE)</f>
        <v>2.6026999999999999E-3</v>
      </c>
      <c r="BU105" s="236">
        <f t="shared" si="26"/>
        <v>0</v>
      </c>
      <c r="BV105" s="151">
        <f>VLOOKUP($A105,TOCA_current!A101:BG236,MATCH(BV$4,TOCA_current!$A$2:$BG$2,0),FALSE)</f>
        <v>6.5000000000000002E-2</v>
      </c>
      <c r="BW105" s="151">
        <f t="shared" si="27"/>
        <v>0</v>
      </c>
      <c r="BX105" s="151">
        <f t="shared" si="28"/>
        <v>0</v>
      </c>
      <c r="BY105" s="226">
        <f>VLOOKUP($A105,IRD!$A$4:$G$139, 7, FALSE)</f>
        <v>0</v>
      </c>
      <c r="BZ105" s="227">
        <f t="array" ref="BZ105">IF($BU105=0, INDEX(LS_current!$D$4:$AY$138, MATCH('Staging Table'!$A105, LS_current!$B$4:$B$138, 0), MATCH(BZ$4&amp;BZ$5, LS_current!$D$2:$AY$2&amp;LS_current!$D$3:$AY$3, 0)),SUM(VLOOKUP($A105, LS_current!$B$4:$AY$138, LS_current!D$148, FALSE), VLOOKUP($A105, LS_current!$B$4:$AY$138,LS_current!D$148, FALSE))/2)</f>
        <v>-867</v>
      </c>
      <c r="CA105" s="227">
        <f t="array" ref="CA105">IF($BU105=0, INDEX(LS_current!$D$4:$AY$138, MATCH('Staging Table'!$A105, LS_current!$B$4:$B$138, 0), MATCH(CA$4&amp;CA$5, LS_current!$D$2:$AY$2&amp;LS_current!$D$3:$AY$3, 0)),SUM(VLOOKUP($A105, LS_current!$B$4:$AY$138, LS_current!E$148, FALSE), VLOOKUP($A105, LS_current!$B$4:$AY$138,LS_current!E$148, FALSE))/2)</f>
        <v>-67</v>
      </c>
      <c r="CB105" s="227">
        <f t="array" ref="CB105">IF($BU105=0, INDEX(LS_current!$D$4:$AY$138, MATCH('Staging Table'!$A105, LS_current!$B$4:$B$138, 0), MATCH(CB$4&amp;CB$5, LS_current!$D$2:$AY$2&amp;LS_current!$D$3:$AY$3, 0)),SUM(VLOOKUP($A105, LS_current!$B$4:$AY$138, LS_current!F$148, FALSE), VLOOKUP($A105, LS_current!$B$4:$AY$138,LS_current!F$148, FALSE))/2)</f>
        <v>-1328</v>
      </c>
      <c r="CC105" s="227">
        <f t="array" ref="CC105">IF($BU105=0, INDEX(LS_current!$D$4:$AY$138, MATCH('Staging Table'!$A105, LS_current!$B$4:$B$138, 0), MATCH(CC$4&amp;CC$5, LS_current!$D$2:$AY$2&amp;LS_current!$D$3:$AY$3, 0)),SUM(VLOOKUP($A105, LS_current!$B$4:$AY$138, LS_current!G$148, FALSE), VLOOKUP($A105, LS_current!$B$4:$AY$138,LS_current!G$148, FALSE))/2)</f>
        <v>251</v>
      </c>
      <c r="CD105" s="227">
        <f t="array" ref="CD105">IF($BU105=0, INDEX(LS_current!$D$4:$AY$138, MATCH('Staging Table'!$A105, LS_current!$B$4:$B$138, 0), MATCH(CD$4&amp;CD$5, LS_current!$D$2:$AY$2&amp;LS_current!$D$3:$AY$3, 0)),SUM(VLOOKUP($A105, LS_current!$B$4:$AY$138, LS_current!H$148, FALSE), VLOOKUP($A105, LS_current!$B$4:$AY$138,LS_current!H$148, FALSE))/2)</f>
        <v>1309</v>
      </c>
      <c r="CE105" s="227">
        <f t="array" ref="CE105">IF($BU105=0, INDEX(LS_current!$D$4:$AY$138, MATCH('Staging Table'!$A105, LS_current!$B$4:$B$138, 0), MATCH(CE$4&amp;CE$5, LS_current!$D$2:$AY$2&amp;LS_current!$D$3:$AY$3, 0)),SUM(VLOOKUP($A105, LS_current!$B$4:$AY$138, LS_current!I$148, FALSE), VLOOKUP($A105, LS_current!$B$4:$AY$138,LS_current!I$148, FALSE))/2)</f>
        <v>1823</v>
      </c>
      <c r="CF105" s="227">
        <f t="array" ref="CF105">IF($BU105=0, INDEX(LS_current!$D$4:$AY$138, MATCH('Staging Table'!$A105, LS_current!$B$4:$B$138, 0), MATCH(CF$4&amp;CF$5, LS_current!$D$2:$AY$2&amp;LS_current!$D$3:$AY$3, 0)),SUM(VLOOKUP($A105, LS_current!$B$4:$AY$138, LS_current!J$148, FALSE), VLOOKUP($A105, LS_current!$B$4:$AY$138,LS_current!J$148, FALSE))/2)</f>
        <v>2687</v>
      </c>
      <c r="CG105" s="227">
        <f t="array" ref="CG105">IF($BU105=0, INDEX(LS_current!$D$4:$AY$138, MATCH('Staging Table'!$A105, LS_current!$B$4:$B$138, 0), MATCH(CG$4&amp;CG$5, LS_current!$D$2:$AY$2&amp;LS_current!$D$3:$AY$3, 0)),SUM(VLOOKUP($A105, LS_current!$B$4:$AY$138, LS_current!K$148, FALSE), VLOOKUP($A105, LS_current!$B$4:$AY$138,LS_current!K$148, FALSE))/2)</f>
        <v>3023</v>
      </c>
      <c r="CH105" s="227">
        <f t="array" ref="CH105">IF($BU105=0, INDEX(LS_current!$D$4:$AY$138, MATCH('Staging Table'!$A105, LS_current!$B$4:$B$138, 0), MATCH(CH$4&amp;CH$5, LS_current!$D$2:$AY$2&amp;LS_current!$D$3:$AY$3, 0)),SUM(VLOOKUP($A105, LS_current!$B$4:$AY$138, LS_current!L$148, FALSE), VLOOKUP($A105, LS_current!$B$4:$AY$138,LS_current!L$148, FALSE))/2)</f>
        <v>1511</v>
      </c>
      <c r="CI105" s="227">
        <f t="array" ref="CI105">IF($BU105=0, INDEX(LS_current!$D$4:$AY$138, MATCH('Staging Table'!$A105, LS_current!$B$4:$B$138, 0), MATCH(CI$4&amp;CI$5, LS_current!$D$2:$AY$2&amp;LS_current!$D$3:$AY$3, 0)),SUM(VLOOKUP($A105, LS_current!$B$4:$AY$138, LS_current!M$148, FALSE), VLOOKUP($A105, LS_current!$B$4:$AY$138,LS_current!M$148, FALSE))/2)</f>
        <v>1711</v>
      </c>
      <c r="CJ105" s="227">
        <f t="array" ref="CJ105">IF($BU105=0, INDEX(LS_current!$D$4:$AY$138, MATCH('Staging Table'!$A105, LS_current!$B$4:$B$138, 0), MATCH(CJ$4&amp;CJ$5, LS_current!$D$2:$AY$2&amp;LS_current!$D$3:$AY$3, 0)),SUM(VLOOKUP($A105, LS_current!$B$4:$AY$138, LS_current!N$148, FALSE), VLOOKUP($A105, LS_current!$B$4:$AY$138,LS_current!N$148, FALSE))/2)</f>
        <v>-111</v>
      </c>
      <c r="CK105" s="227">
        <f t="array" ref="CK105">IF($BU105=0, INDEX(LS_current!$D$4:$AY$138, MATCH('Staging Table'!$A105, LS_current!$B$4:$B$138, 0), MATCH(CK$4&amp;CK$5, LS_current!$D$2:$AY$2&amp;LS_current!$D$3:$AY$3, 0)),SUM(VLOOKUP($A105, LS_current!$B$4:$AY$138, LS_current!O$148, FALSE), VLOOKUP($A105, LS_current!$B$4:$AY$138,LS_current!O$148, FALSE))/2)</f>
        <v>698</v>
      </c>
      <c r="CL105" s="227">
        <f t="array" ref="CL105">IF($BU105=0, INDEX(LS_current!$D$4:$AY$138, MATCH('Staging Table'!$A105, LS_current!$B$4:$B$138, 0), MATCH(CL$4&amp;CL$5, LS_current!$D$2:$AY$2&amp;LS_current!$D$3:$AY$3, 0)),SUM(VLOOKUP($A105, LS_current!$B$4:$AY$138, LS_current!P$148, FALSE), VLOOKUP($A105, LS_current!$B$4:$AY$138,LS_current!P$148, FALSE))/2)</f>
        <v>340</v>
      </c>
      <c r="CM105" s="227">
        <f t="array" ref="CM105">IF($BU105=0, INDEX(LS_current!$D$4:$AY$138, MATCH('Staging Table'!$A105, LS_current!$B$4:$B$138, 0), MATCH(CM$4&amp;CM$5, LS_current!$D$2:$AY$2&amp;LS_current!$D$3:$AY$3, 0)),SUM(VLOOKUP($A105, LS_current!$B$4:$AY$138, LS_current!Q$148, FALSE), VLOOKUP($A105, LS_current!$B$4:$AY$138,LS_current!Q$148, FALSE))/2)</f>
        <v>556</v>
      </c>
      <c r="CN105" s="227">
        <f t="array" ref="CN105">IF($BU105=0, INDEX(LS_current!$D$4:$AY$138, MATCH('Staging Table'!$A105, LS_current!$B$4:$B$138, 0), MATCH(CN$4&amp;CN$5, LS_current!$D$2:$AY$2&amp;LS_current!$D$3:$AY$3, 0)),SUM(VLOOKUP($A105, LS_current!$B$4:$AY$138, LS_current!R$148, FALSE), VLOOKUP($A105, LS_current!$B$4:$AY$138,LS_current!R$148, FALSE))/2)</f>
        <v>-2057</v>
      </c>
      <c r="CO105" s="227">
        <f t="array" ref="CO105">IF($BU105=0, INDEX(LS_current!$D$4:$AY$138, MATCH('Staging Table'!$A105, LS_current!$B$4:$B$138, 0), MATCH(CO$4&amp;CO$5, LS_current!$D$2:$AY$2&amp;LS_current!$D$3:$AY$3, 0)),SUM(VLOOKUP($A105, LS_current!$B$4:$AY$138, LS_current!S$148, FALSE), VLOOKUP($A105, LS_current!$B$4:$AY$138,LS_current!S$148, FALSE))/2)</f>
        <v>10</v>
      </c>
      <c r="CP105" s="227">
        <f t="array" ref="CP105">IF($BU105=0, INDEX(LS_current!$D$4:$AY$138, MATCH('Staging Table'!$A105, LS_current!$B$4:$B$138, 0), MATCH(CP$4&amp;CP$5, LS_current!$D$2:$AY$2&amp;LS_current!$D$3:$AY$3, 0)),SUM(VLOOKUP($A105, LS_current!$B$4:$AY$138, LS_current!T$148, FALSE), VLOOKUP($A105, LS_current!$B$4:$AY$138,LS_current!T$148, FALSE))/2)</f>
        <v>-4079</v>
      </c>
      <c r="CQ105" s="227">
        <f t="array" ref="CQ105">IF($BU105=0, INDEX(LS_current!$D$4:$AY$138, MATCH('Staging Table'!$A105, LS_current!$B$4:$B$138, 0), MATCH(CQ$4&amp;CQ$5, LS_current!$D$2:$AY$2&amp;LS_current!$D$3:$AY$3, 0)),SUM(VLOOKUP($A105, LS_current!$B$4:$AY$138, LS_current!U$148, FALSE), VLOOKUP($A105, LS_current!$B$4:$AY$138,LS_current!U$148, FALSE))/2)</f>
        <v>-1592</v>
      </c>
      <c r="CR105" s="227">
        <f t="array" ref="CR105">IF($BU105=0, INDEX(LS_current!$D$4:$AY$138, MATCH('Staging Table'!$A105, LS_current!$B$4:$B$138, 0), MATCH(CR$4&amp;CR$5, LS_current!$D$2:$AY$2&amp;LS_current!$D$3:$AY$3, 0)),SUM(VLOOKUP($A105, LS_current!$B$4:$AY$138, LS_current!V$148, FALSE), VLOOKUP($A105, LS_current!$B$4:$AY$138,LS_current!V$148, FALSE))/2)</f>
        <v>-879</v>
      </c>
      <c r="CS105" s="227">
        <f t="array" ref="CS105">IF($BU105=0, INDEX(LS_current!$D$4:$AY$138, MATCH('Staging Table'!$A105, LS_current!$B$4:$B$138, 0), MATCH(CS$4&amp;CS$5, LS_current!$D$2:$AY$2&amp;LS_current!$D$3:$AY$3, 0)),SUM(VLOOKUP($A105, LS_current!$B$4:$AY$138, LS_current!W$148, FALSE), VLOOKUP($A105, LS_current!$B$4:$AY$138,LS_current!W$148, FALSE))/2)</f>
        <v>1391</v>
      </c>
      <c r="CT105" s="227">
        <f t="array" ref="CT105">IF($BU105=0, INDEX(LS_current!$D$4:$AY$138, MATCH('Staging Table'!$A105, LS_current!$B$4:$B$138, 0), MATCH(CT$4&amp;CT$5, LS_current!$D$2:$AY$2&amp;LS_current!$D$3:$AY$3, 0)),SUM(VLOOKUP($A105, LS_current!$B$4:$AY$138, LS_current!X$148, FALSE), VLOOKUP($A105, LS_current!$B$4:$AY$138,LS_current!X$148, FALSE))/2)</f>
        <v>-1099</v>
      </c>
      <c r="CU105" s="227">
        <f t="array" ref="CU105">IF($BU105=0, INDEX(LS_current!$D$4:$AY$138, MATCH('Staging Table'!$A105, LS_current!$B$4:$B$138, 0), MATCH(CU$4&amp;CU$5, LS_current!$D$2:$AY$2&amp;LS_current!$D$3:$AY$3, 0)),SUM(VLOOKUP($A105, LS_current!$B$4:$AY$138, LS_current!Y$148, FALSE), VLOOKUP($A105, LS_current!$B$4:$AY$138,LS_current!Y$148, FALSE))/2)</f>
        <v>633</v>
      </c>
      <c r="CV105" s="227">
        <f t="array" ref="CV105">IF($BU105=0, INDEX(LS_current!$D$4:$AY$138, MATCH('Staging Table'!$A105, LS_current!$B$4:$B$138, 0), MATCH(CV$4&amp;CV$5, LS_current!$D$2:$AY$2&amp;LS_current!$D$3:$AY$3, 0)),SUM(VLOOKUP($A105, LS_current!$B$4:$AY$138, LS_current!Z$148, FALSE), VLOOKUP($A105, LS_current!$B$4:$AY$138,LS_current!Z$148, FALSE))/2)</f>
        <v>-1484</v>
      </c>
      <c r="CW105" s="227">
        <f t="array" ref="CW105">IF($BU105=0, INDEX(LS_current!$D$4:$AY$138, MATCH('Staging Table'!$A105, LS_current!$B$4:$B$138, 0), MATCH(CW$4&amp;CW$5, LS_current!$D$2:$AY$2&amp;LS_current!$D$3:$AY$3, 0)),SUM(VLOOKUP($A105, LS_current!$B$4:$AY$138, LS_current!AA$148, FALSE), VLOOKUP($A105, LS_current!$B$4:$AY$138,LS_current!AA$148, FALSE))/2)</f>
        <v>-53</v>
      </c>
      <c r="CX105" s="229">
        <f t="array" ref="CX105">INDEX(Demand_current!$D$4:$AY$138, MATCH($A105, Demand_current!$B$4:$B$138, 0), MATCH(CX$4&amp;CX$5,Demand_current!$D$2:$AY$2&amp;Demand_current!$D$3:$AY$3, 0))/1000</f>
        <v>2.2709999999999999</v>
      </c>
      <c r="CY105" s="229">
        <f t="array" ref="CY105">INDEX(Demand_current!$D$4:$AY$138, MATCH($A105, Demand_current!$B$4:$B$138, 0), MATCH(CY$4&amp;CY$5,Demand_current!$D$2:$AY$2&amp;Demand_current!$D$3:$AY$3, 0))/1000</f>
        <v>3.7010000000000001</v>
      </c>
      <c r="CZ105" s="229">
        <f t="array" ref="CZ105">INDEX(Demand_current!$D$4:$AY$138, MATCH($A105, Demand_current!$B$4:$B$138, 0), MATCH(CZ$4&amp;CZ$5,Demand_current!$D$2:$AY$2&amp;Demand_current!$D$3:$AY$3, 0))/1000</f>
        <v>4.1029999999999998</v>
      </c>
      <c r="DA105" s="229">
        <f t="array" ref="DA105">INDEX(Demand_current!$D$4:$AY$138, MATCH($A105, Demand_current!$B$4:$B$138, 0), MATCH(DA$4&amp;DA$5,Demand_current!$D$2:$AY$2&amp;Demand_current!$D$3:$AY$3, 0))/1000</f>
        <v>5.3689999999999998</v>
      </c>
      <c r="DB105" s="229">
        <f t="array" ref="DB105">INDEX(Demand_current!$D$4:$AY$138, MATCH($A105, Demand_current!$B$4:$B$138, 0), MATCH(DB$4&amp;DB$5,Demand_current!$D$2:$AY$2&amp;Demand_current!$D$3:$AY$3, 0))/1000</f>
        <v>2.8180000000000001</v>
      </c>
      <c r="DC105" s="229">
        <f t="array" ref="DC105">INDEX(Demand_current!$D$4:$AY$138, MATCH($A105, Demand_current!$B$4:$B$138, 0), MATCH(DC$4&amp;DC$5,Demand_current!$D$2:$AY$2&amp;Demand_current!$D$3:$AY$3, 0))/1000</f>
        <v>2.4359999999999999</v>
      </c>
      <c r="DD105" s="229">
        <f t="array" ref="DD105">INDEX(Demand_current!$D$4:$AY$138, MATCH($A105, Demand_current!$B$4:$B$138, 0), MATCH(DD$4&amp;DD$5,Demand_current!$D$2:$AY$2&amp;Demand_current!$D$3:$AY$3, 0))/1000</f>
        <v>3.8860000000000001</v>
      </c>
      <c r="DE105" s="229">
        <f t="array" ref="DE105">INDEX(Demand_current!$D$4:$AY$138, MATCH($A105, Demand_current!$B$4:$B$138, 0), MATCH(DE$4&amp;DE$5,Demand_current!$D$2:$AY$2&amp;Demand_current!$D$3:$AY$3, 0))/1000</f>
        <v>2.8780000000000001</v>
      </c>
      <c r="DF105" s="229">
        <f t="array" ref="DF105">INDEX(Demand_current!$D$4:$AY$138, MATCH($A105, Demand_current!$B$4:$B$138, 0), MATCH(DF$4&amp;DF$5,Demand_current!$D$2:$AY$2&amp;Demand_current!$D$3:$AY$3, 0))/1000</f>
        <v>3.77</v>
      </c>
      <c r="DG105" s="229">
        <f t="array" ref="DG105">INDEX(Demand_current!$D$4:$AY$138, MATCH($A105, Demand_current!$B$4:$B$138, 0), MATCH(DG$4&amp;DG$5,Demand_current!$D$2:$AY$2&amp;Demand_current!$D$3:$AY$3, 0))/1000</f>
        <v>3.4119999999999999</v>
      </c>
      <c r="DH105" s="229">
        <f t="array" ref="DH105">INDEX(Demand_current!$D$4:$AY$138, MATCH($A105, Demand_current!$B$4:$B$138, 0), MATCH(DH$4&amp;DH$5,Demand_current!$D$2:$AY$2&amp;Demand_current!$D$3:$AY$3, 0))/1000</f>
        <v>3.2370000000000001</v>
      </c>
      <c r="DI105" s="229">
        <f t="array" ref="DI105">INDEX(Demand_current!$D$4:$AY$138, MATCH($A105, Demand_current!$B$4:$B$138, 0), MATCH(DI$4&amp;DI$5,Demand_current!$D$2:$AY$2&amp;Demand_current!$D$3:$AY$3, 0))/1000</f>
        <v>3.407</v>
      </c>
      <c r="DJ105" s="227">
        <f>$BT105*(VLOOKUP(DJ$4, Rates_current!$G$6:$Q$29, 10, FALSE)+VLOOKUP(DJ$4, Rates_current!$G$6:$Q$29, 11, FALSE))</f>
        <v>12017.491466029198</v>
      </c>
      <c r="DK105" s="227">
        <f>$BT105*(VLOOKUP(DK$4, Rates_current!$G$6:$Q$29, 10, FALSE)+VLOOKUP(DK$4, Rates_current!$G$6:$Q$29, 11, FALSE))</f>
        <v>15265.963091145299</v>
      </c>
      <c r="DL105" s="227">
        <f>$BT105*(VLOOKUP(DL$4, Rates_current!$G$6:$Q$29, 10, FALSE)+VLOOKUP(DL$4, Rates_current!$G$6:$Q$29, 11, FALSE))</f>
        <v>15081.605930129201</v>
      </c>
      <c r="DM105" s="227">
        <f>$BT105*(VLOOKUP(DM$4, Rates_current!$G$6:$Q$29, 10, FALSE)+VLOOKUP(DM$4, Rates_current!$G$6:$Q$29, 11, FALSE))</f>
        <v>12571.437120529201</v>
      </c>
      <c r="DN105" s="227">
        <f>$BT105*(VLOOKUP(DN$4, Rates_current!$G$6:$Q$29, 10, FALSE)+VLOOKUP(DN$4, Rates_current!$G$6:$Q$29, 11, FALSE))</f>
        <v>11388.41784536</v>
      </c>
      <c r="DO105" s="227">
        <f>$BT105*(VLOOKUP(DO$4, Rates_current!$G$6:$Q$29, 10, FALSE)+VLOOKUP(DO$4, Rates_current!$G$6:$Q$29, 11, FALSE))</f>
        <v>12667.5385412299</v>
      </c>
      <c r="DP105" s="227">
        <f>$BT105*(VLOOKUP(DP$4, Rates_current!$G$6:$Q$29, 10, FALSE)+VLOOKUP(DP$4, Rates_current!$G$6:$Q$29, 11, FALSE))</f>
        <v>10313.923549895999</v>
      </c>
      <c r="DQ105" s="227">
        <f>$BT105*(VLOOKUP(DQ$4, Rates_current!$G$6:$Q$29, 10, FALSE)+VLOOKUP(DQ$4, Rates_current!$G$6:$Q$29, 11, FALSE))</f>
        <v>13909.863883379201</v>
      </c>
      <c r="DR105" s="227">
        <f>$BT105*(VLOOKUP(DR$4, Rates_current!$G$6:$Q$29, 10, FALSE)+VLOOKUP(DR$4, Rates_current!$G$6:$Q$29, 11, FALSE))</f>
        <v>17748.040285546002</v>
      </c>
      <c r="DS105" s="227">
        <f>$BT105*(VLOOKUP(DS$4, Rates_current!$G$6:$Q$29, 10, FALSE)+VLOOKUP(DS$4, Rates_current!$G$6:$Q$29, 11, FALSE))</f>
        <v>13915.026338829201</v>
      </c>
      <c r="DT105" s="227">
        <f>$BT105*(VLOOKUP(DT$4, Rates_current!$G$6:$Q$29, 10, FALSE)+VLOOKUP(DT$4, Rates_current!$G$6:$Q$29, 11, FALSE))</f>
        <v>13550.464848479201</v>
      </c>
      <c r="DU105" s="227">
        <f>$BT105*(VLOOKUP(DU$4, Rates_current!$G$6:$Q$29, 10, FALSE)+VLOOKUP(DU$4, Rates_current!$G$6:$Q$29, 11, FALSE))</f>
        <v>12165.434878596001</v>
      </c>
      <c r="DV105" s="229">
        <f>IF(D105=0,IF(C105=0,MAX(0,DY105 - (VLOOKUP($A105,TOCA_current!$A$2:$AI$137,MATCH("RHWM 2020",TOCA_current!$A$2:$AI$2,0),FALSE)*$BT$2)), 0),0)</f>
        <v>1147.2858070015791</v>
      </c>
      <c r="DW105" s="266">
        <f>VLOOKUP($A105,REP_current!$A$1:$D$135,MATCH("FY "&amp;$BT$1&amp; " Total Refund",REP_current!$A$1:$D$1,0),0)</f>
        <v>0</v>
      </c>
      <c r="DX105" s="295">
        <f>MIN(VLOOKUP($A105,TOCA_current!$A$2:$AI$137,MATCH("TRL - NLSL - Existing Resource "&amp;$BT$1,TOCA_current!$A$2:$AI$2,0),FALSE)*$BT$2, VLOOKUP($A105,TOCA_current!$A$2:$AI$137,MATCH("RHWM 2020",TOCA_current!$A$2:$AI$2,0),FALSE)*$BT$2)</f>
        <v>160597.872</v>
      </c>
      <c r="DY105" s="240">
        <f>SUM(BZ105:CW105)+(BT105*RT1SC!$C$4*$BT$2)</f>
        <v>162922.21380700159</v>
      </c>
      <c r="DZ105" s="271">
        <f>VLOOKUP($A105,TOCA_current!$A$2:$AI$137,MATCH("Above RHWM Not Served with LS "&amp;$BT$1,TOCA_current!$A$2:$AI$2,0),FALSE)*$BT$2</f>
        <v>0</v>
      </c>
      <c r="EA105" s="244">
        <f t="shared" si="29"/>
        <v>2324.3418070015905</v>
      </c>
      <c r="EB105" s="295">
        <f>(VLOOKUP($A105,TOCA_current!$A$2:$AI$137,MATCH("RHWM 2020",TOCA_current!$A$2:$AI$2,0),FALSE)*$BT$2) - $DX105</f>
        <v>1177.0560000000114</v>
      </c>
      <c r="EC105" s="240">
        <f t="shared" si="30"/>
        <v>-1177.0560000000114</v>
      </c>
      <c r="ED105" s="240">
        <f t="shared" si="31"/>
        <v>0</v>
      </c>
      <c r="EE105" s="240">
        <f t="shared" si="32"/>
        <v>0</v>
      </c>
      <c r="EF105" s="240">
        <f t="shared" si="33"/>
        <v>-1177.0560000000114</v>
      </c>
    </row>
    <row r="106" spans="1:136">
      <c r="A106" s="166">
        <v>10338</v>
      </c>
      <c r="B106" s="167" t="s">
        <v>107</v>
      </c>
      <c r="C106" s="240">
        <v>0</v>
      </c>
      <c r="D106" s="240">
        <v>0</v>
      </c>
      <c r="E106" s="150">
        <f>VLOOKUP($A106,TOCA_previous!$A$2:$AI$137,MATCH(E$4,TOCA_previous!$A$2:$AI$2,0),FALSE)</f>
        <v>3.3619999999999999E-4</v>
      </c>
      <c r="F106" s="151">
        <f>VLOOKUP($A106,TOCA_previous!$A$2:$AI$137,MATCH(F$4,TOCA_previous!$A$2:$AI$2,0),FALSE)</f>
        <v>3.3619999999999999E-4</v>
      </c>
      <c r="G106" s="151">
        <f t="shared" si="18"/>
        <v>0</v>
      </c>
      <c r="H106" s="151">
        <f>VLOOKUP($A106,TOCA_previous!$A$2:$AI$137,MATCH(H$4,TOCA_previous!$A$2:$AI$2,0),FALSE)</f>
        <v>4.1062099999999997E-2</v>
      </c>
      <c r="I106" s="151">
        <f t="shared" si="19"/>
        <v>0</v>
      </c>
      <c r="J106" s="151">
        <f t="shared" si="20"/>
        <v>0</v>
      </c>
      <c r="K106" s="226">
        <f>VLOOKUP(A106, IRD!$A$5:$C$139, 3, FALSE)</f>
        <v>4155.21</v>
      </c>
      <c r="L106" s="227">
        <f t="array" ref="L106">IF($G106=0, INDEX(LS_previous!$D$4:$AY$138, MATCH('Staging Table'!$A106, LS_previous!$B$4:$B$138, 0), MATCH(L$4&amp;L$5, LS_previous!$D$2:$AY$2&amp;LS_previous!$D$3:$AY$3, 0)),SUM(VLOOKUP($A106, LS_previous!$B$4:$AY$138, LS_previous!D$149, FALSE), VLOOKUP('Staging Table'!$A106, LS_previous!$B$4:$AY$138,LS_previous!AB$149, FALSE))/2)</f>
        <v>-334</v>
      </c>
      <c r="M106" s="227">
        <f t="array" ref="M106">IF($G106=0, INDEX(LS_previous!$D$4:$AY$138, MATCH('Staging Table'!$A106, LS_previous!$B$4:$B$138, 0), MATCH(M$4&amp;M$5, LS_previous!$D$2:$AY$2&amp;LS_previous!$D$3:$AY$3, 0)),SUM(VLOOKUP($A106, LS_previous!$B$4:$AY$138, LS_previous!E$149, FALSE), VLOOKUP('Staging Table'!$A106, LS_previous!$B$4:$AY$138,LS_previous!AC$149, FALSE))/2)</f>
        <v>-101</v>
      </c>
      <c r="N106" s="227">
        <f t="array" ref="N106">IF($G106=0, INDEX(LS_previous!$D$4:$AY$138, MATCH('Staging Table'!$A106, LS_previous!$B$4:$B$138, 0), MATCH(N$4&amp;N$5, LS_previous!$D$2:$AY$2&amp;LS_previous!$D$3:$AY$3, 0)),SUM(VLOOKUP($A106, LS_previous!$B$4:$AY$138, LS_previous!F$149, FALSE), VLOOKUP('Staging Table'!$A106, LS_previous!$B$4:$AY$138,LS_previous!AD$149, FALSE))/2)</f>
        <v>-406</v>
      </c>
      <c r="O106" s="227">
        <f t="array" ref="O106">IF($G106=0, INDEX(LS_previous!$D$4:$AY$138, MATCH('Staging Table'!$A106, LS_previous!$B$4:$B$138, 0), MATCH(O$4&amp;O$5, LS_previous!$D$2:$AY$2&amp;LS_previous!$D$3:$AY$3, 0)),SUM(VLOOKUP($A106, LS_previous!$B$4:$AY$138, LS_previous!G$149, FALSE), VLOOKUP('Staging Table'!$A106, LS_previous!$B$4:$AY$138,LS_previous!AE$149, FALSE))/2)</f>
        <v>-82</v>
      </c>
      <c r="P106" s="227">
        <f t="array" ref="P106">IF($G106=0, INDEX(LS_previous!$D$4:$AY$138, MATCH('Staging Table'!$A106, LS_previous!$B$4:$B$138, 0), MATCH(P$4&amp;P$5, LS_previous!$D$2:$AY$2&amp;LS_previous!$D$3:$AY$3, 0)),SUM(VLOOKUP($A106, LS_previous!$B$4:$AY$138, LS_previous!H$149, FALSE), VLOOKUP('Staging Table'!$A106, LS_previous!$B$4:$AY$138,LS_previous!AF$149, FALSE))/2)</f>
        <v>-78</v>
      </c>
      <c r="Q106" s="227">
        <f t="array" ref="Q106">IF($G106=0, INDEX(LS_previous!$D$4:$AY$138, MATCH('Staging Table'!$A106, LS_previous!$B$4:$B$138, 0), MATCH(Q$4&amp;Q$5, LS_previous!$D$2:$AY$2&amp;LS_previous!$D$3:$AY$3, 0)),SUM(VLOOKUP($A106, LS_previous!$B$4:$AY$138, LS_previous!I$149, FALSE), VLOOKUP('Staging Table'!$A106, LS_previous!$B$4:$AY$138,LS_previous!AG$149, FALSE))/2)</f>
        <v>203</v>
      </c>
      <c r="R106" s="227">
        <f t="array" ref="R106">IF($G106=0, INDEX(LS_previous!$D$4:$AY$138, MATCH('Staging Table'!$A106, LS_previous!$B$4:$B$138, 0), MATCH(R$4&amp;R$5, LS_previous!$D$2:$AY$2&amp;LS_previous!$D$3:$AY$3, 0)),SUM(VLOOKUP($A106, LS_previous!$B$4:$AY$138, LS_previous!J$149, FALSE), VLOOKUP('Staging Table'!$A106, LS_previous!$B$4:$AY$138,LS_previous!AH$149, FALSE))/2)</f>
        <v>156</v>
      </c>
      <c r="S106" s="227">
        <f t="array" ref="S106">IF($G106=0, INDEX(LS_previous!$D$4:$AY$138, MATCH('Staging Table'!$A106, LS_previous!$B$4:$B$138, 0), MATCH(S$4&amp;S$5, LS_previous!$D$2:$AY$2&amp;LS_previous!$D$3:$AY$3, 0)),SUM(VLOOKUP($A106, LS_previous!$B$4:$AY$138, LS_previous!K$149, FALSE), VLOOKUP('Staging Table'!$A106, LS_previous!$B$4:$AY$138,LS_previous!AI$149, FALSE))/2)</f>
        <v>289</v>
      </c>
      <c r="T106" s="227">
        <f t="array" ref="T106">IF($G106=0, INDEX(LS_previous!$D$4:$AY$138, MATCH('Staging Table'!$A106, LS_previous!$B$4:$B$138, 0), MATCH(T$4&amp;T$5, LS_previous!$D$2:$AY$2&amp;LS_previous!$D$3:$AY$3, 0)),SUM(VLOOKUP($A106, LS_previous!$B$4:$AY$138, LS_previous!L$149, FALSE), VLOOKUP('Staging Table'!$A106, LS_previous!$B$4:$AY$138,LS_previous!AJ$149, FALSE))/2)</f>
        <v>132</v>
      </c>
      <c r="U106" s="227">
        <f t="array" ref="U106">IF($G106=0, INDEX(LS_previous!$D$4:$AY$138, MATCH('Staging Table'!$A106, LS_previous!$B$4:$B$138, 0), MATCH(U$4&amp;U$5, LS_previous!$D$2:$AY$2&amp;LS_previous!$D$3:$AY$3, 0)),SUM(VLOOKUP($A106, LS_previous!$B$4:$AY$138, LS_previous!M$149, FALSE), VLOOKUP('Staging Table'!$A106, LS_previous!$B$4:$AY$138,LS_previous!AK$149, FALSE))/2)</f>
        <v>224</v>
      </c>
      <c r="V106" s="227">
        <f t="array" ref="V106">IF($G106=0, INDEX(LS_previous!$D$4:$AY$138, MATCH('Staging Table'!$A106, LS_previous!$B$4:$B$138, 0), MATCH(V$4&amp;V$5, LS_previous!$D$2:$AY$2&amp;LS_previous!$D$3:$AY$3, 0)),SUM(VLOOKUP($A106, LS_previous!$B$4:$AY$138, LS_previous!N$149, FALSE), VLOOKUP('Staging Table'!$A106, LS_previous!$B$4:$AY$138,LS_previous!AL$149, FALSE))/2)</f>
        <v>-221</v>
      </c>
      <c r="W106" s="227">
        <f t="array" ref="W106">IF($G106=0, INDEX(LS_previous!$D$4:$AY$138, MATCH('Staging Table'!$A106, LS_previous!$B$4:$B$138, 0), MATCH(W$4&amp;W$5, LS_previous!$D$2:$AY$2&amp;LS_previous!$D$3:$AY$3, 0)),SUM(VLOOKUP($A106, LS_previous!$B$4:$AY$138, LS_previous!O$149, FALSE), VLOOKUP('Staging Table'!$A106, LS_previous!$B$4:$AY$138,LS_previous!AM$149, FALSE))/2)</f>
        <v>23</v>
      </c>
      <c r="X106" s="227">
        <f t="array" ref="X106">IF($G106=0, INDEX(LS_previous!$D$4:$AY$138, MATCH('Staging Table'!$A106, LS_previous!$B$4:$B$138, 0), MATCH(X$4&amp;X$5, LS_previous!$D$2:$AY$2&amp;LS_previous!$D$3:$AY$3, 0)),SUM(VLOOKUP($A106, LS_previous!$B$4:$AY$138, LS_previous!P$149, FALSE), VLOOKUP('Staging Table'!$A106, LS_previous!$B$4:$AY$138,LS_previous!AN$149, FALSE))/2)</f>
        <v>-91</v>
      </c>
      <c r="Y106" s="227">
        <f t="array" ref="Y106">IF($G106=0, INDEX(LS_previous!$D$4:$AY$138, MATCH('Staging Table'!$A106, LS_previous!$B$4:$B$138, 0), MATCH(Y$4&amp;Y$5, LS_previous!$D$2:$AY$2&amp;LS_previous!$D$3:$AY$3, 0)),SUM(VLOOKUP($A106, LS_previous!$B$4:$AY$138, LS_previous!Q$149, FALSE), VLOOKUP('Staging Table'!$A106, LS_previous!$B$4:$AY$138,LS_previous!AO$149, FALSE))/2)</f>
        <v>58</v>
      </c>
      <c r="Z106" s="227">
        <f t="array" ref="Z106">IF($G106=0, INDEX(LS_previous!$D$4:$AY$138, MATCH('Staging Table'!$A106, LS_previous!$B$4:$B$138, 0), MATCH(Z$4&amp;Z$5, LS_previous!$D$2:$AY$2&amp;LS_previous!$D$3:$AY$3, 0)),SUM(VLOOKUP($A106, LS_previous!$B$4:$AY$138, LS_previous!R$149, FALSE), VLOOKUP('Staging Table'!$A106, LS_previous!$B$4:$AY$138,LS_previous!AP$149, FALSE))/2)</f>
        <v>-326</v>
      </c>
      <c r="AA106" s="227">
        <f t="array" ref="AA106">IF($G106=0, INDEX(LS_previous!$D$4:$AY$138, MATCH('Staging Table'!$A106, LS_previous!$B$4:$B$138, 0), MATCH(AA$4&amp;AA$5, LS_previous!$D$2:$AY$2&amp;LS_previous!$D$3:$AY$3, 0)),SUM(VLOOKUP($A106, LS_previous!$B$4:$AY$138, LS_previous!S$149, FALSE), VLOOKUP('Staging Table'!$A106, LS_previous!$B$4:$AY$138,LS_previous!AQ$149, FALSE))/2)</f>
        <v>13</v>
      </c>
      <c r="AB106" s="227">
        <f t="array" ref="AB106">IF($G106=0, INDEX(LS_previous!$D$4:$AY$138, MATCH('Staging Table'!$A106, LS_previous!$B$4:$B$138, 0), MATCH(AB$4&amp;AB$5, LS_previous!$D$2:$AY$2&amp;LS_previous!$D$3:$AY$3, 0)),SUM(VLOOKUP($A106, LS_previous!$B$4:$AY$138, LS_previous!T$149, FALSE), VLOOKUP('Staging Table'!$A106, LS_previous!$B$4:$AY$138,LS_previous!AR$149, FALSE))/2)</f>
        <v>307</v>
      </c>
      <c r="AC106" s="227">
        <f t="array" ref="AC106">IF($G106=0, INDEX(LS_previous!$D$4:$AY$138, MATCH('Staging Table'!$A106, LS_previous!$B$4:$B$138, 0), MATCH(AC$4&amp;AC$5, LS_previous!$D$2:$AY$2&amp;LS_previous!$D$3:$AY$3, 0)),SUM(VLOOKUP($A106, LS_previous!$B$4:$AY$138, LS_previous!U$149, FALSE), VLOOKUP('Staging Table'!$A106, LS_previous!$B$4:$AY$138,LS_previous!AS$149, FALSE))/2)</f>
        <v>283</v>
      </c>
      <c r="AD106" s="227">
        <f t="array" ref="AD106">IF($G106=0, INDEX(LS_previous!$D$4:$AY$138, MATCH('Staging Table'!$A106, LS_previous!$B$4:$B$138, 0), MATCH(AD$4&amp;AD$5, LS_previous!$D$2:$AY$2&amp;LS_previous!$D$3:$AY$3, 0)),SUM(VLOOKUP($A106, LS_previous!$B$4:$AY$138, LS_previous!V$149, FALSE), VLOOKUP('Staging Table'!$A106, LS_previous!$B$4:$AY$138,LS_previous!AT$149, FALSE))/2)</f>
        <v>515</v>
      </c>
      <c r="AE106" s="227">
        <f t="array" ref="AE106">IF($G106=0, INDEX(LS_previous!$D$4:$AY$138, MATCH('Staging Table'!$A106, LS_previous!$B$4:$B$138, 0), MATCH(AE$4&amp;AE$5, LS_previous!$D$2:$AY$2&amp;LS_previous!$D$3:$AY$3, 0)),SUM(VLOOKUP($A106, LS_previous!$B$4:$AY$138, LS_previous!W$149, FALSE), VLOOKUP('Staging Table'!$A106, LS_previous!$B$4:$AY$138,LS_previous!AU$149, FALSE))/2)</f>
        <v>477</v>
      </c>
      <c r="AF106" s="227">
        <f t="array" ref="AF106">IF($G106=0, INDEX(LS_previous!$D$4:$AY$138, MATCH('Staging Table'!$A106, LS_previous!$B$4:$B$138, 0), MATCH(AF$4&amp;AF$5, LS_previous!$D$2:$AY$2&amp;LS_previous!$D$3:$AY$3, 0)),SUM(VLOOKUP($A106, LS_previous!$B$4:$AY$138, LS_previous!X$149, FALSE), VLOOKUP('Staging Table'!$A106, LS_previous!$B$4:$AY$138,LS_previous!AV$149, FALSE))/2)</f>
        <v>176</v>
      </c>
      <c r="AG106" s="227">
        <f t="array" ref="AG106">IF($G106=0, INDEX(LS_previous!$D$4:$AY$138, MATCH('Staging Table'!$A106, LS_previous!$B$4:$B$138, 0), MATCH(AG$4&amp;AG$5, LS_previous!$D$2:$AY$2&amp;LS_previous!$D$3:$AY$3, 0)),SUM(VLOOKUP($A106, LS_previous!$B$4:$AY$138, LS_previous!Y$149, FALSE), VLOOKUP('Staging Table'!$A106, LS_previous!$B$4:$AY$138,LS_previous!AW$149, FALSE))/2)</f>
        <v>293</v>
      </c>
      <c r="AH106" s="227">
        <f t="array" ref="AH106">IF($G106=0, INDEX(LS_previous!$D$4:$AY$138, MATCH('Staging Table'!$A106, LS_previous!$B$4:$B$138, 0), MATCH(AH$4&amp;AH$5, LS_previous!$D$2:$AY$2&amp;LS_previous!$D$3:$AY$3, 0)),SUM(VLOOKUP($A106, LS_previous!$B$4:$AY$138, LS_previous!Z$149, FALSE), VLOOKUP('Staging Table'!$A106, LS_previous!$B$4:$AY$138,LS_previous!AX$149, FALSE))/2)</f>
        <v>-127</v>
      </c>
      <c r="AI106" s="227">
        <f t="array" ref="AI106">IF($G106=0, INDEX(LS_previous!$D$4:$AY$138, MATCH('Staging Table'!$A106, LS_previous!$B$4:$B$138, 0), MATCH(AI$4&amp;AI$5, LS_previous!$D$2:$AY$2&amp;LS_previous!$D$3:$AY$3, 0)),SUM(VLOOKUP($A106, LS_previous!$B$4:$AY$138, LS_previous!AA$149, FALSE), VLOOKUP('Staging Table'!$A106, LS_previous!$B$4:$AY$138,LS_previous!AY$149, FALSE))/2)</f>
        <v>34</v>
      </c>
      <c r="AJ106" s="424">
        <f t="array" ref="AJ106">INDEX(Demand_previous!$D$4:$AY$138, MATCH('Staging Table'!$A106, Demand_previous!$B$4:$B$138, 0), MATCH(AJ$4&amp;AJ$5,Demand_previous!$D$2:$AY$2&amp;Demand_previous!$D$3:$AY$3, 0))/1000</f>
        <v>0</v>
      </c>
      <c r="AK106" s="424">
        <f t="array" ref="AK106">INDEX(Demand_previous!$D$4:$AY$138, MATCH('Staging Table'!$A106, Demand_previous!$B$4:$B$138, 0), MATCH(AK$4&amp;AK$5,Demand_previous!$D$2:$AY$2&amp;Demand_previous!$D$3:$AY$3, 0))/1000</f>
        <v>0.108</v>
      </c>
      <c r="AL106" s="424">
        <f t="array" ref="AL106">INDEX(Demand_previous!$D$4:$AY$138, MATCH('Staging Table'!$A106, Demand_previous!$B$4:$B$138, 0), MATCH(AL$4&amp;AL$5,Demand_previous!$D$2:$AY$2&amp;Demand_previous!$D$3:$AY$3, 0))/1000</f>
        <v>0.38</v>
      </c>
      <c r="AM106" s="424">
        <f t="array" ref="AM106">INDEX(Demand_previous!$D$4:$AY$138, MATCH('Staging Table'!$A106, Demand_previous!$B$4:$B$138, 0), MATCH(AM$4&amp;AM$5,Demand_previous!$D$2:$AY$2&amp;Demand_previous!$D$3:$AY$3, 0))/1000</f>
        <v>0.38500000000000001</v>
      </c>
      <c r="AN106" s="424">
        <f t="array" ref="AN106">INDEX(Demand_previous!$D$4:$AY$138, MATCH('Staging Table'!$A106, Demand_previous!$B$4:$B$138, 0), MATCH(AN$4&amp;AN$5,Demand_previous!$D$2:$AY$2&amp;Demand_previous!$D$3:$AY$3, 0))/1000</f>
        <v>0</v>
      </c>
      <c r="AO106" s="424">
        <f t="array" ref="AO106">INDEX(Demand_previous!$D$4:$AY$138, MATCH('Staging Table'!$A106, Demand_previous!$B$4:$B$138, 0), MATCH(AO$4&amp;AO$5,Demand_previous!$D$2:$AY$2&amp;Demand_previous!$D$3:$AY$3, 0))/1000</f>
        <v>0.40500000000000003</v>
      </c>
      <c r="AP106" s="424">
        <f t="array" ref="AP106">INDEX(Demand_previous!$D$4:$AY$138, MATCH('Staging Table'!$A106, Demand_previous!$B$4:$B$138, 0), MATCH(AP$4&amp;AP$5,Demand_previous!$D$2:$AY$2&amp;Demand_previous!$D$3:$AY$3, 0))/1000</f>
        <v>0.106</v>
      </c>
      <c r="AQ106" s="424">
        <f t="array" ref="AQ106">INDEX(Demand_previous!$D$4:$AY$138, MATCH('Staging Table'!$A106, Demand_previous!$B$4:$B$138, 0), MATCH(AQ$4&amp;AQ$5,Demand_previous!$D$2:$AY$2&amp;Demand_previous!$D$3:$AY$3, 0))/1000</f>
        <v>0.76700000000000002</v>
      </c>
      <c r="AR106" s="424">
        <f t="array" ref="AR106">INDEX(Demand_previous!$D$4:$AY$138, MATCH('Staging Table'!$A106, Demand_previous!$B$4:$B$138, 0), MATCH(AR$4&amp;AR$5,Demand_previous!$D$2:$AY$2&amp;Demand_previous!$D$3:$AY$3, 0))/1000</f>
        <v>0.45200000000000001</v>
      </c>
      <c r="AS106" s="424">
        <f t="array" ref="AS106">INDEX(Demand_previous!$D$4:$AY$138, MATCH('Staging Table'!$A106, Demand_previous!$B$4:$B$138, 0), MATCH(AS$4&amp;AS$5,Demand_previous!$D$2:$AY$2&amp;Demand_previous!$D$3:$AY$3, 0))/1000</f>
        <v>0.25800000000000001</v>
      </c>
      <c r="AT106" s="424">
        <f t="array" ref="AT106">INDEX(Demand_previous!$D$4:$AY$138, MATCH('Staging Table'!$A106, Demand_previous!$B$4:$B$138, 0), MATCH(AT$4&amp;AT$5,Demand_previous!$D$2:$AY$2&amp;Demand_previous!$D$3:$AY$3, 0))/1000</f>
        <v>0.53200000000000003</v>
      </c>
      <c r="AU106" s="424">
        <f t="array" ref="AU106">INDEX(Demand_previous!$D$4:$AY$138, MATCH('Staging Table'!$A106, Demand_previous!$B$4:$B$138, 0), MATCH(AU$4&amp;AU$5,Demand_previous!$D$2:$AY$2&amp;Demand_previous!$D$3:$AY$3, 0))/1000</f>
        <v>0</v>
      </c>
      <c r="AV106" s="227">
        <f>$F106*(VLOOKUP(AV$4, Rates_previous!$G$6:$Q$29, 10, FALSE)+VLOOKUP(AV$4, Rates_previous!$G$6:$Q$29, 11, FALSE))</f>
        <v>1576.3872557153497</v>
      </c>
      <c r="AW106" s="227">
        <f>$F106*(VLOOKUP(AW$4, Rates_previous!$G$6:$Q$29, 10, FALSE)+VLOOKUP(AW$4, Rates_previous!$G$6:$Q$29, 11, FALSE))</f>
        <v>1948.294836283271</v>
      </c>
      <c r="AX106" s="227">
        <f>$F106*(VLOOKUP(AX$4, Rates_previous!$G$6:$Q$29, 10, FALSE)+VLOOKUP(AX$4, Rates_previous!$G$6:$Q$29, 11, FALSE))</f>
        <v>1924.8981455726903</v>
      </c>
      <c r="AY106" s="227">
        <f>$F106*(VLOOKUP(AY$4, Rates_previous!$G$6:$Q$29, 10, FALSE)+VLOOKUP(AY$4, Rates_previous!$G$6:$Q$29, 11, FALSE))</f>
        <v>1644.6419922967918</v>
      </c>
      <c r="AZ106" s="227">
        <f>$F106*(VLOOKUP(AZ$4, Rates_previous!$G$6:$Q$29, 10, FALSE)+VLOOKUP(AZ$4, Rates_previous!$G$6:$Q$29, 11, FALSE))</f>
        <v>1348.2874205882129</v>
      </c>
      <c r="BA106" s="227">
        <f>$F106*(VLOOKUP(BA$4, Rates_previous!$G$6:$Q$29, 10, FALSE)+VLOOKUP(BA$4, Rates_previous!$G$6:$Q$29, 11, FALSE))</f>
        <v>1596.3233316322323</v>
      </c>
      <c r="BB106" s="227">
        <f>$F106*(VLOOKUP(BB$4, Rates_previous!$G$6:$Q$29, 10, FALSE)+VLOOKUP(BB$4, Rates_previous!$G$6:$Q$29, 11, FALSE))</f>
        <v>1534.2989210933886</v>
      </c>
      <c r="BC106" s="227">
        <f>$F106*(VLOOKUP(BC$4, Rates_previous!$G$6:$Q$29, 10, FALSE)+VLOOKUP(BC$4, Rates_previous!$G$6:$Q$29, 11, FALSE))</f>
        <v>2251.4750954973842</v>
      </c>
      <c r="BD106" s="227">
        <f>$F106*(VLOOKUP(BD$4, Rates_previous!$G$6:$Q$29, 10, FALSE)+VLOOKUP(BD$4, Rates_previous!$G$6:$Q$29, 11, FALSE))</f>
        <v>1776.3543431352987</v>
      </c>
      <c r="BE106" s="227">
        <f>$F106*(VLOOKUP(BE$4, Rates_previous!$G$6:$Q$29, 10, FALSE)+VLOOKUP(BE$4, Rates_previous!$G$6:$Q$29, 11, FALSE))</f>
        <v>1559.7882125165113</v>
      </c>
      <c r="BF106" s="227">
        <f>$F106*(VLOOKUP(BF$4, Rates_previous!$G$6:$Q$29, 10, FALSE)+VLOOKUP(BF$4, Rates_previous!$G$6:$Q$29, 11, FALSE))</f>
        <v>1727.5278801166526</v>
      </c>
      <c r="BG106" s="227">
        <f>$F106*(VLOOKUP(BG$4, Rates_previous!$G$6:$Q$29, 10, FALSE)+VLOOKUP(BG$4, Rates_previous!$G$6:$Q$29, 11, FALSE))</f>
        <v>1565.0715599075518</v>
      </c>
      <c r="BH106" s="229">
        <f>IF($D106=0,IF(C106=0, MAX(BK106 - (VLOOKUP($A106,TOCA_previous!$A$2:$AI$137,MATCH("RHWM 2018",TOCA_previous!$A$2:$AI$2,0),FALSE)*$F$2*TOCA_previous!C103),0),0), 0)</f>
        <v>1415.7492927519997</v>
      </c>
      <c r="BI106" s="266">
        <f>VLOOKUP($A106,REP_previous!$A$1:$D$135,MATCH("FY "&amp;$F$1&amp; " Total Refund",REP_previous!$A$1:$D$1,0),0)</f>
        <v>13336.157968768332</v>
      </c>
      <c r="BJ106" s="241">
        <f>MIN(VLOOKUP($A106,TOCA_previous!$A$2:$AI$137,MATCH("TRL - NLSL - Existing Resource "&amp;$F$1,TOCA_previous!$A$2:$AI$2,0),FALSE)*$F$2,(VLOOKUP($A106,TOCA_previous!$A$2:$AI$137,MATCH("RHWM 2018",TOCA_previous!$A$2:$AI$2,0),FALSE)*$F$2))</f>
        <v>20454.599999999999</v>
      </c>
      <c r="BK106" s="229">
        <f>SUM(L106:AI106)+(F106*RT1SC!$C$3*$F$2)</f>
        <v>21870.349292751998</v>
      </c>
      <c r="BL106" s="241">
        <f>VLOOKUP($A106,TOCA_previous!$A$2:$AI$137,MATCH("Above RHWM Not Served with LS "&amp;$F$1,TOCA_previous!$A$2:$AI$2,0),FALSE)*$F$2</f>
        <v>0</v>
      </c>
      <c r="BM106" s="151">
        <f t="shared" si="21"/>
        <v>1415.7492927519997</v>
      </c>
      <c r="BN106" s="242">
        <f>(VLOOKUP($A106,TOCA_previous!$A$2:$AI$137,MATCH("RHWM 2018",TOCA_previous!$A$2:$AI$2,0),FALSE)*$F$2) - $BJ106</f>
        <v>0</v>
      </c>
      <c r="BO106" s="151">
        <f t="shared" si="22"/>
        <v>0</v>
      </c>
      <c r="BP106" s="243">
        <f t="shared" si="23"/>
        <v>0</v>
      </c>
      <c r="BQ106" s="237">
        <f t="shared" si="24"/>
        <v>0</v>
      </c>
      <c r="BR106" s="242">
        <f t="shared" si="25"/>
        <v>0</v>
      </c>
      <c r="BS106" s="151">
        <f>VLOOKUP($A106,TOCA_current!$A$2:$AI$137,MATCH(BS$4,TOCA_current!$A$2:$AI$2,0),FALSE)</f>
        <v>3.3599999999999998E-4</v>
      </c>
      <c r="BT106" s="151">
        <f>VLOOKUP($A106,TOCA_current!$A$2:$AI$137,MATCH(BT$4,TOCA_current!$A$2:$AI$2,0),FALSE)</f>
        <v>3.3599999999999998E-4</v>
      </c>
      <c r="BU106" s="236">
        <f t="shared" si="26"/>
        <v>0</v>
      </c>
      <c r="BV106" s="151">
        <f>VLOOKUP($A106,TOCA_current!A102:BG237,MATCH(BV$4,TOCA_current!$A$2:$BG$2,0),FALSE)</f>
        <v>3.6082599999999999E-2</v>
      </c>
      <c r="BW106" s="151">
        <f t="shared" si="27"/>
        <v>0</v>
      </c>
      <c r="BX106" s="151">
        <f t="shared" si="28"/>
        <v>0</v>
      </c>
      <c r="BY106" s="226">
        <f>VLOOKUP($A106,IRD!$A$4:$G$139, 7, FALSE)</f>
        <v>4155.21</v>
      </c>
      <c r="BZ106" s="227">
        <f t="array" ref="BZ106">IF($BU106=0, INDEX(LS_current!$D$4:$AY$138, MATCH('Staging Table'!$A106, LS_current!$B$4:$B$138, 0), MATCH(BZ$4&amp;BZ$5, LS_current!$D$2:$AY$2&amp;LS_current!$D$3:$AY$3, 0)),SUM(VLOOKUP($A106, LS_current!$B$4:$AY$138, LS_current!D$148, FALSE), VLOOKUP($A106, LS_current!$B$4:$AY$138,LS_current!D$148, FALSE))/2)</f>
        <v>-319</v>
      </c>
      <c r="CA106" s="227">
        <f t="array" ref="CA106">IF($BU106=0, INDEX(LS_current!$D$4:$AY$138, MATCH('Staging Table'!$A106, LS_current!$B$4:$B$138, 0), MATCH(CA$4&amp;CA$5, LS_current!$D$2:$AY$2&amp;LS_current!$D$3:$AY$3, 0)),SUM(VLOOKUP($A106, LS_current!$B$4:$AY$138, LS_current!E$148, FALSE), VLOOKUP($A106, LS_current!$B$4:$AY$138,LS_current!E$148, FALSE))/2)</f>
        <v>-91</v>
      </c>
      <c r="CB106" s="227">
        <f t="array" ref="CB106">IF($BU106=0, INDEX(LS_current!$D$4:$AY$138, MATCH('Staging Table'!$A106, LS_current!$B$4:$B$138, 0), MATCH(CB$4&amp;CB$5, LS_current!$D$2:$AY$2&amp;LS_current!$D$3:$AY$3, 0)),SUM(VLOOKUP($A106, LS_current!$B$4:$AY$138, LS_current!F$148, FALSE), VLOOKUP($A106, LS_current!$B$4:$AY$138,LS_current!F$148, FALSE))/2)</f>
        <v>-414</v>
      </c>
      <c r="CC106" s="227">
        <f t="array" ref="CC106">IF($BU106=0, INDEX(LS_current!$D$4:$AY$138, MATCH('Staging Table'!$A106, LS_current!$B$4:$B$138, 0), MATCH(CC$4&amp;CC$5, LS_current!$D$2:$AY$2&amp;LS_current!$D$3:$AY$3, 0)),SUM(VLOOKUP($A106, LS_current!$B$4:$AY$138, LS_current!G$148, FALSE), VLOOKUP($A106, LS_current!$B$4:$AY$138,LS_current!G$148, FALSE))/2)</f>
        <v>-97</v>
      </c>
      <c r="CD106" s="227">
        <f t="array" ref="CD106">IF($BU106=0, INDEX(LS_current!$D$4:$AY$138, MATCH('Staging Table'!$A106, LS_current!$B$4:$B$138, 0), MATCH(CD$4&amp;CD$5, LS_current!$D$2:$AY$2&amp;LS_current!$D$3:$AY$3, 0)),SUM(VLOOKUP($A106, LS_current!$B$4:$AY$138, LS_current!H$148, FALSE), VLOOKUP($A106, LS_current!$B$4:$AY$138,LS_current!H$148, FALSE))/2)</f>
        <v>-87</v>
      </c>
      <c r="CE106" s="227">
        <f t="array" ref="CE106">IF($BU106=0, INDEX(LS_current!$D$4:$AY$138, MATCH('Staging Table'!$A106, LS_current!$B$4:$B$138, 0), MATCH(CE$4&amp;CE$5, LS_current!$D$2:$AY$2&amp;LS_current!$D$3:$AY$3, 0)),SUM(VLOOKUP($A106, LS_current!$B$4:$AY$138, LS_current!I$148, FALSE), VLOOKUP($A106, LS_current!$B$4:$AY$138,LS_current!I$148, FALSE))/2)</f>
        <v>191</v>
      </c>
      <c r="CF106" s="227">
        <f t="array" ref="CF106">IF($BU106=0, INDEX(LS_current!$D$4:$AY$138, MATCH('Staging Table'!$A106, LS_current!$B$4:$B$138, 0), MATCH(CF$4&amp;CF$5, LS_current!$D$2:$AY$2&amp;LS_current!$D$3:$AY$3, 0)),SUM(VLOOKUP($A106, LS_current!$B$4:$AY$138, LS_current!J$148, FALSE), VLOOKUP($A106, LS_current!$B$4:$AY$138,LS_current!J$148, FALSE))/2)</f>
        <v>152</v>
      </c>
      <c r="CG106" s="227">
        <f t="array" ref="CG106">IF($BU106=0, INDEX(LS_current!$D$4:$AY$138, MATCH('Staging Table'!$A106, LS_current!$B$4:$B$138, 0), MATCH(CG$4&amp;CG$5, LS_current!$D$2:$AY$2&amp;LS_current!$D$3:$AY$3, 0)),SUM(VLOOKUP($A106, LS_current!$B$4:$AY$138, LS_current!K$148, FALSE), VLOOKUP($A106, LS_current!$B$4:$AY$138,LS_current!K$148, FALSE))/2)</f>
        <v>314</v>
      </c>
      <c r="CH106" s="227">
        <f t="array" ref="CH106">IF($BU106=0, INDEX(LS_current!$D$4:$AY$138, MATCH('Staging Table'!$A106, LS_current!$B$4:$B$138, 0), MATCH(CH$4&amp;CH$5, LS_current!$D$2:$AY$2&amp;LS_current!$D$3:$AY$3, 0)),SUM(VLOOKUP($A106, LS_current!$B$4:$AY$138, LS_current!L$148, FALSE), VLOOKUP($A106, LS_current!$B$4:$AY$138,LS_current!L$148, FALSE))/2)</f>
        <v>56</v>
      </c>
      <c r="CI106" s="227">
        <f t="array" ref="CI106">IF($BU106=0, INDEX(LS_current!$D$4:$AY$138, MATCH('Staging Table'!$A106, LS_current!$B$4:$B$138, 0), MATCH(CI$4&amp;CI$5, LS_current!$D$2:$AY$2&amp;LS_current!$D$3:$AY$3, 0)),SUM(VLOOKUP($A106, LS_current!$B$4:$AY$138, LS_current!M$148, FALSE), VLOOKUP($A106, LS_current!$B$4:$AY$138,LS_current!M$148, FALSE))/2)</f>
        <v>178</v>
      </c>
      <c r="CJ106" s="227">
        <f t="array" ref="CJ106">IF($BU106=0, INDEX(LS_current!$D$4:$AY$138, MATCH('Staging Table'!$A106, LS_current!$B$4:$B$138, 0), MATCH(CJ$4&amp;CJ$5, LS_current!$D$2:$AY$2&amp;LS_current!$D$3:$AY$3, 0)),SUM(VLOOKUP($A106, LS_current!$B$4:$AY$138, LS_current!N$148, FALSE), VLOOKUP($A106, LS_current!$B$4:$AY$138,LS_current!N$148, FALSE))/2)</f>
        <v>-251</v>
      </c>
      <c r="CK106" s="227">
        <f t="array" ref="CK106">IF($BU106=0, INDEX(LS_current!$D$4:$AY$138, MATCH('Staging Table'!$A106, LS_current!$B$4:$B$138, 0), MATCH(CK$4&amp;CK$5, LS_current!$D$2:$AY$2&amp;LS_current!$D$3:$AY$3, 0)),SUM(VLOOKUP($A106, LS_current!$B$4:$AY$138, LS_current!O$148, FALSE), VLOOKUP($A106, LS_current!$B$4:$AY$138,LS_current!O$148, FALSE))/2)</f>
        <v>14</v>
      </c>
      <c r="CL106" s="227">
        <f t="array" ref="CL106">IF($BU106=0, INDEX(LS_current!$D$4:$AY$138, MATCH('Staging Table'!$A106, LS_current!$B$4:$B$138, 0), MATCH(CL$4&amp;CL$5, LS_current!$D$2:$AY$2&amp;LS_current!$D$3:$AY$3, 0)),SUM(VLOOKUP($A106, LS_current!$B$4:$AY$138, LS_current!P$148, FALSE), VLOOKUP($A106, LS_current!$B$4:$AY$138,LS_current!P$148, FALSE))/2)</f>
        <v>58</v>
      </c>
      <c r="CM106" s="227">
        <f t="array" ref="CM106">IF($BU106=0, INDEX(LS_current!$D$4:$AY$138, MATCH('Staging Table'!$A106, LS_current!$B$4:$B$138, 0), MATCH(CM$4&amp;CM$5, LS_current!$D$2:$AY$2&amp;LS_current!$D$3:$AY$3, 0)),SUM(VLOOKUP($A106, LS_current!$B$4:$AY$138, LS_current!Q$148, FALSE), VLOOKUP($A106, LS_current!$B$4:$AY$138,LS_current!Q$148, FALSE))/2)</f>
        <v>112</v>
      </c>
      <c r="CN106" s="227">
        <f t="array" ref="CN106">IF($BU106=0, INDEX(LS_current!$D$4:$AY$138, MATCH('Staging Table'!$A106, LS_current!$B$4:$B$138, 0), MATCH(CN$4&amp;CN$5, LS_current!$D$2:$AY$2&amp;LS_current!$D$3:$AY$3, 0)),SUM(VLOOKUP($A106, LS_current!$B$4:$AY$138, LS_current!R$148, FALSE), VLOOKUP($A106, LS_current!$B$4:$AY$138,LS_current!R$148, FALSE))/2)</f>
        <v>-56</v>
      </c>
      <c r="CO106" s="227">
        <f t="array" ref="CO106">IF($BU106=0, INDEX(LS_current!$D$4:$AY$138, MATCH('Staging Table'!$A106, LS_current!$B$4:$B$138, 0), MATCH(CO$4&amp;CO$5, LS_current!$D$2:$AY$2&amp;LS_current!$D$3:$AY$3, 0)),SUM(VLOOKUP($A106, LS_current!$B$4:$AY$138, LS_current!S$148, FALSE), VLOOKUP($A106, LS_current!$B$4:$AY$138,LS_current!S$148, FALSE))/2)</f>
        <v>199</v>
      </c>
      <c r="CP106" s="227">
        <f t="array" ref="CP106">IF($BU106=0, INDEX(LS_current!$D$4:$AY$138, MATCH('Staging Table'!$A106, LS_current!$B$4:$B$138, 0), MATCH(CP$4&amp;CP$5, LS_current!$D$2:$AY$2&amp;LS_current!$D$3:$AY$3, 0)),SUM(VLOOKUP($A106, LS_current!$B$4:$AY$138, LS_current!T$148, FALSE), VLOOKUP($A106, LS_current!$B$4:$AY$138,LS_current!T$148, FALSE))/2)</f>
        <v>-18</v>
      </c>
      <c r="CQ106" s="227">
        <f t="array" ref="CQ106">IF($BU106=0, INDEX(LS_current!$D$4:$AY$138, MATCH('Staging Table'!$A106, LS_current!$B$4:$B$138, 0), MATCH(CQ$4&amp;CQ$5, LS_current!$D$2:$AY$2&amp;LS_current!$D$3:$AY$3, 0)),SUM(VLOOKUP($A106, LS_current!$B$4:$AY$138, LS_current!U$148, FALSE), VLOOKUP($A106, LS_current!$B$4:$AY$138,LS_current!U$148, FALSE))/2)</f>
        <v>93</v>
      </c>
      <c r="CR106" s="227">
        <f t="array" ref="CR106">IF($BU106=0, INDEX(LS_current!$D$4:$AY$138, MATCH('Staging Table'!$A106, LS_current!$B$4:$B$138, 0), MATCH(CR$4&amp;CR$5, LS_current!$D$2:$AY$2&amp;LS_current!$D$3:$AY$3, 0)),SUM(VLOOKUP($A106, LS_current!$B$4:$AY$138, LS_current!V$148, FALSE), VLOOKUP($A106, LS_current!$B$4:$AY$138,LS_current!V$148, FALSE))/2)</f>
        <v>298</v>
      </c>
      <c r="CS106" s="227">
        <f t="array" ref="CS106">IF($BU106=0, INDEX(LS_current!$D$4:$AY$138, MATCH('Staging Table'!$A106, LS_current!$B$4:$B$138, 0), MATCH(CS$4&amp;CS$5, LS_current!$D$2:$AY$2&amp;LS_current!$D$3:$AY$3, 0)),SUM(VLOOKUP($A106, LS_current!$B$4:$AY$138, LS_current!W$148, FALSE), VLOOKUP($A106, LS_current!$B$4:$AY$138,LS_current!W$148, FALSE))/2)</f>
        <v>458</v>
      </c>
      <c r="CT106" s="227">
        <f t="array" ref="CT106">IF($BU106=0, INDEX(LS_current!$D$4:$AY$138, MATCH('Staging Table'!$A106, LS_current!$B$4:$B$138, 0), MATCH(CT$4&amp;CT$5, LS_current!$D$2:$AY$2&amp;LS_current!$D$3:$AY$3, 0)),SUM(VLOOKUP($A106, LS_current!$B$4:$AY$138, LS_current!X$148, FALSE), VLOOKUP($A106, LS_current!$B$4:$AY$138,LS_current!X$148, FALSE))/2)</f>
        <v>133</v>
      </c>
      <c r="CU106" s="227">
        <f t="array" ref="CU106">IF($BU106=0, INDEX(LS_current!$D$4:$AY$138, MATCH('Staging Table'!$A106, LS_current!$B$4:$B$138, 0), MATCH(CU$4&amp;CU$5, LS_current!$D$2:$AY$2&amp;LS_current!$D$3:$AY$3, 0)),SUM(VLOOKUP($A106, LS_current!$B$4:$AY$138, LS_current!Y$148, FALSE), VLOOKUP($A106, LS_current!$B$4:$AY$138,LS_current!Y$148, FALSE))/2)</f>
        <v>314</v>
      </c>
      <c r="CV106" s="227">
        <f t="array" ref="CV106">IF($BU106=0, INDEX(LS_current!$D$4:$AY$138, MATCH('Staging Table'!$A106, LS_current!$B$4:$B$138, 0), MATCH(CV$4&amp;CV$5, LS_current!$D$2:$AY$2&amp;LS_current!$D$3:$AY$3, 0)),SUM(VLOOKUP($A106, LS_current!$B$4:$AY$138, LS_current!Z$148, FALSE), VLOOKUP($A106, LS_current!$B$4:$AY$138,LS_current!Z$148, FALSE))/2)</f>
        <v>-133</v>
      </c>
      <c r="CW106" s="227">
        <f t="array" ref="CW106">IF($BU106=0, INDEX(LS_current!$D$4:$AY$138, MATCH('Staging Table'!$A106, LS_current!$B$4:$B$138, 0), MATCH(CW$4&amp;CW$5, LS_current!$D$2:$AY$2&amp;LS_current!$D$3:$AY$3, 0)),SUM(VLOOKUP($A106, LS_current!$B$4:$AY$138, LS_current!AA$148, FALSE), VLOOKUP($A106, LS_current!$B$4:$AY$138,LS_current!AA$148, FALSE))/2)</f>
        <v>34</v>
      </c>
      <c r="CX106" s="229">
        <f t="array" ref="CX106">INDEX(Demand_current!$D$4:$AY$138, MATCH($A106, Demand_current!$B$4:$B$138, 0), MATCH(CX$4&amp;CX$5,Demand_current!$D$2:$AY$2&amp;Demand_current!$D$3:$AY$3, 0))/1000</f>
        <v>0</v>
      </c>
      <c r="CY106" s="229">
        <f t="array" ref="CY106">INDEX(Demand_current!$D$4:$AY$138, MATCH($A106, Demand_current!$B$4:$B$138, 0), MATCH(CY$4&amp;CY$5,Demand_current!$D$2:$AY$2&amp;Demand_current!$D$3:$AY$3, 0))/1000</f>
        <v>0.108</v>
      </c>
      <c r="CZ106" s="229">
        <f t="array" ref="CZ106">INDEX(Demand_current!$D$4:$AY$138, MATCH($A106, Demand_current!$B$4:$B$138, 0), MATCH(CZ$4&amp;CZ$5,Demand_current!$D$2:$AY$2&amp;Demand_current!$D$3:$AY$3, 0))/1000</f>
        <v>0.38</v>
      </c>
      <c r="DA106" s="229">
        <f t="array" ref="DA106">INDEX(Demand_current!$D$4:$AY$138, MATCH($A106, Demand_current!$B$4:$B$138, 0), MATCH(DA$4&amp;DA$5,Demand_current!$D$2:$AY$2&amp;Demand_current!$D$3:$AY$3, 0))/1000</f>
        <v>0.38500000000000001</v>
      </c>
      <c r="DB106" s="229">
        <f t="array" ref="DB106">INDEX(Demand_current!$D$4:$AY$138, MATCH($A106, Demand_current!$B$4:$B$138, 0), MATCH(DB$4&amp;DB$5,Demand_current!$D$2:$AY$2&amp;Demand_current!$D$3:$AY$3, 0))/1000</f>
        <v>8.5000000000000006E-2</v>
      </c>
      <c r="DC106" s="229">
        <f t="array" ref="DC106">INDEX(Demand_current!$D$4:$AY$138, MATCH($A106, Demand_current!$B$4:$B$138, 0), MATCH(DC$4&amp;DC$5,Demand_current!$D$2:$AY$2&amp;Demand_current!$D$3:$AY$3, 0))/1000</f>
        <v>0.33500000000000002</v>
      </c>
      <c r="DD106" s="229">
        <f t="array" ref="DD106">INDEX(Demand_current!$D$4:$AY$138, MATCH($A106, Demand_current!$B$4:$B$138, 0), MATCH(DD$4&amp;DD$5,Demand_current!$D$2:$AY$2&amp;Demand_current!$D$3:$AY$3, 0))/1000</f>
        <v>0.193</v>
      </c>
      <c r="DE106" s="229">
        <f t="array" ref="DE106">INDEX(Demand_current!$D$4:$AY$138, MATCH($A106, Demand_current!$B$4:$B$138, 0), MATCH(DE$4&amp;DE$5,Demand_current!$D$2:$AY$2&amp;Demand_current!$D$3:$AY$3, 0))/1000</f>
        <v>0.66100000000000003</v>
      </c>
      <c r="DF106" s="229">
        <f t="array" ref="DF106">INDEX(Demand_current!$D$4:$AY$138, MATCH($A106, Demand_current!$B$4:$B$138, 0), MATCH(DF$4&amp;DF$5,Demand_current!$D$2:$AY$2&amp;Demand_current!$D$3:$AY$3, 0))/1000</f>
        <v>0.45200000000000001</v>
      </c>
      <c r="DG106" s="229">
        <f t="array" ref="DG106">INDEX(Demand_current!$D$4:$AY$138, MATCH($A106, Demand_current!$B$4:$B$138, 0), MATCH(DG$4&amp;DG$5,Demand_current!$D$2:$AY$2&amp;Demand_current!$D$3:$AY$3, 0))/1000</f>
        <v>0.40500000000000003</v>
      </c>
      <c r="DH106" s="229">
        <f t="array" ref="DH106">INDEX(Demand_current!$D$4:$AY$138, MATCH($A106, Demand_current!$B$4:$B$138, 0), MATCH(DH$4&amp;DH$5,Demand_current!$D$2:$AY$2&amp;Demand_current!$D$3:$AY$3, 0))/1000</f>
        <v>0.41299999999999998</v>
      </c>
      <c r="DI106" s="229">
        <f t="array" ref="DI106">INDEX(Demand_current!$D$4:$AY$138, MATCH($A106, Demand_current!$B$4:$B$138, 0), MATCH(DI$4&amp;DI$5,Demand_current!$D$2:$AY$2&amp;Demand_current!$D$3:$AY$3, 0))/1000</f>
        <v>0.04</v>
      </c>
      <c r="DJ106" s="227">
        <f>$BT106*(VLOOKUP(DJ$4, Rates_current!$G$6:$Q$29, 10, FALSE)+VLOOKUP(DJ$4, Rates_current!$G$6:$Q$29, 11, FALSE))</f>
        <v>1551.4185778559997</v>
      </c>
      <c r="DK106" s="227">
        <f>$BT106*(VLOOKUP(DK$4, Rates_current!$G$6:$Q$29, 10, FALSE)+VLOOKUP(DK$4, Rates_current!$G$6:$Q$29, 11, FALSE))</f>
        <v>1970.785568304</v>
      </c>
      <c r="DL106" s="227">
        <f>$BT106*(VLOOKUP(DL$4, Rates_current!$G$6:$Q$29, 10, FALSE)+VLOOKUP(DL$4, Rates_current!$G$6:$Q$29, 11, FALSE))</f>
        <v>1946.985665856</v>
      </c>
      <c r="DM106" s="227">
        <f>$BT106*(VLOOKUP(DM$4, Rates_current!$G$6:$Q$29, 10, FALSE)+VLOOKUP(DM$4, Rates_current!$G$6:$Q$29, 11, FALSE))</f>
        <v>1622.9311378560001</v>
      </c>
      <c r="DN106" s="227">
        <f>$BT106*(VLOOKUP(DN$4, Rates_current!$G$6:$Q$29, 10, FALSE)+VLOOKUP(DN$4, Rates_current!$G$6:$Q$29, 11, FALSE))</f>
        <v>1470.2072447999999</v>
      </c>
      <c r="DO106" s="227">
        <f>$BT106*(VLOOKUP(DO$4, Rates_current!$G$6:$Q$29, 10, FALSE)+VLOOKUP(DO$4, Rates_current!$G$6:$Q$29, 11, FALSE))</f>
        <v>1635.3375148319999</v>
      </c>
      <c r="DP106" s="227">
        <f>$BT106*(VLOOKUP(DP$4, Rates_current!$G$6:$Q$29, 10, FALSE)+VLOOKUP(DP$4, Rates_current!$G$6:$Q$29, 11, FALSE))</f>
        <v>1331.49356928</v>
      </c>
      <c r="DQ106" s="227">
        <f>$BT106*(VLOOKUP(DQ$4, Rates_current!$G$6:$Q$29, 10, FALSE)+VLOOKUP(DQ$4, Rates_current!$G$6:$Q$29, 11, FALSE))</f>
        <v>1795.717625856</v>
      </c>
      <c r="DR106" s="227">
        <f>$BT106*(VLOOKUP(DR$4, Rates_current!$G$6:$Q$29, 10, FALSE)+VLOOKUP(DR$4, Rates_current!$G$6:$Q$29, 11, FALSE))</f>
        <v>2291.2135612800002</v>
      </c>
      <c r="DS106" s="227">
        <f>$BT106*(VLOOKUP(DS$4, Rates_current!$G$6:$Q$29, 10, FALSE)+VLOOKUP(DS$4, Rates_current!$G$6:$Q$29, 11, FALSE))</f>
        <v>1796.384081856</v>
      </c>
      <c r="DT106" s="227">
        <f>$BT106*(VLOOKUP(DT$4, Rates_current!$G$6:$Q$29, 10, FALSE)+VLOOKUP(DT$4, Rates_current!$G$6:$Q$29, 11, FALSE))</f>
        <v>1749.320393856</v>
      </c>
      <c r="DU106" s="227">
        <f>$BT106*(VLOOKUP(DU$4, Rates_current!$G$6:$Q$29, 10, FALSE)+VLOOKUP(DU$4, Rates_current!$G$6:$Q$29, 11, FALSE))</f>
        <v>1570.51758528</v>
      </c>
      <c r="DV106" s="229">
        <f>IF(D106=0,IF(C106=0,MAX(0,DY106 - (VLOOKUP($A106,TOCA_current!$A$2:$AI$137,MATCH("RHWM 2020",TOCA_current!$A$2:$AI$2,0),FALSE)*$BT$2)), 0),0)</f>
        <v>1140.0733050880008</v>
      </c>
      <c r="DW106" s="266">
        <f>VLOOKUP($A106,REP_current!$A$1:$D$135,MATCH("FY "&amp;$BT$1&amp; " Total Refund",REP_current!$A$1:$D$1,0),0)</f>
        <v>0</v>
      </c>
      <c r="DX106" s="295">
        <f>MIN(VLOOKUP($A106,TOCA_current!$A$2:$AI$137,MATCH("TRL - NLSL - Existing Resource "&amp;$BT$1,TOCA_current!$A$2:$AI$2,0),FALSE)*$BT$2, VLOOKUP($A106,TOCA_current!$A$2:$AI$137,MATCH("RHWM 2020",TOCA_current!$A$2:$AI$2,0),FALSE)*$BT$2)</f>
        <v>20730.239999999998</v>
      </c>
      <c r="DY106" s="240">
        <f>SUM(BZ106:CW106)+(BT106*RT1SC!$C$4*$BT$2)</f>
        <v>21870.313305087999</v>
      </c>
      <c r="DZ106" s="271">
        <f>VLOOKUP($A106,TOCA_current!$A$2:$AI$137,MATCH("Above RHWM Not Served with LS "&amp;$BT$1,TOCA_current!$A$2:$AI$2,0),FALSE)*$BT$2</f>
        <v>0</v>
      </c>
      <c r="EA106" s="244">
        <f t="shared" si="29"/>
        <v>1140.0733050880008</v>
      </c>
      <c r="EB106" s="295">
        <f>(VLOOKUP($A106,TOCA_current!$A$2:$AI$137,MATCH("RHWM 2020",TOCA_current!$A$2:$AI$2,0),FALSE)*$BT$2) - $DX106</f>
        <v>0</v>
      </c>
      <c r="EC106" s="240">
        <f t="shared" si="30"/>
        <v>0</v>
      </c>
      <c r="ED106" s="240">
        <f t="shared" si="31"/>
        <v>0</v>
      </c>
      <c r="EE106" s="240">
        <f t="shared" si="32"/>
        <v>0</v>
      </c>
      <c r="EF106" s="240">
        <f t="shared" si="33"/>
        <v>0</v>
      </c>
    </row>
    <row r="107" spans="1:136">
      <c r="A107" s="166">
        <v>10342</v>
      </c>
      <c r="B107" s="167" t="s">
        <v>108</v>
      </c>
      <c r="C107" s="240">
        <v>0</v>
      </c>
      <c r="D107" s="240">
        <v>0</v>
      </c>
      <c r="E107" s="150">
        <f>VLOOKUP($A107,TOCA_previous!$A$2:$AI$137,MATCH(E$4,TOCA_previous!$A$2:$AI$2,0),FALSE)</f>
        <v>5.3838000000000002E-3</v>
      </c>
      <c r="F107" s="151">
        <f>VLOOKUP($A107,TOCA_previous!$A$2:$AI$137,MATCH(F$4,TOCA_previous!$A$2:$AI$2,0),FALSE)</f>
        <v>5.3838000000000002E-3</v>
      </c>
      <c r="G107" s="151">
        <f t="shared" si="18"/>
        <v>0</v>
      </c>
      <c r="H107" s="151">
        <f>VLOOKUP($A107,TOCA_previous!$A$2:$AI$137,MATCH(H$4,TOCA_previous!$A$2:$AI$2,0),FALSE)</f>
        <v>0</v>
      </c>
      <c r="I107" s="151">
        <f t="shared" si="19"/>
        <v>0</v>
      </c>
      <c r="J107" s="151">
        <f t="shared" si="20"/>
        <v>0</v>
      </c>
      <c r="K107" s="226">
        <f>VLOOKUP(A107, IRD!$A$5:$C$139, 3, FALSE)</f>
        <v>0</v>
      </c>
      <c r="L107" s="227">
        <f t="array" ref="L107">IF($G107=0, INDEX(LS_previous!$D$4:$AY$138, MATCH('Staging Table'!$A107, LS_previous!$B$4:$B$138, 0), MATCH(L$4&amp;L$5, LS_previous!$D$2:$AY$2&amp;LS_previous!$D$3:$AY$3, 0)),SUM(VLOOKUP($A107, LS_previous!$B$4:$AY$138, LS_previous!D$149, FALSE), VLOOKUP('Staging Table'!$A107, LS_previous!$B$4:$AY$138,LS_previous!AB$149, FALSE))/2)</f>
        <v>124</v>
      </c>
      <c r="M107" s="227">
        <f t="array" ref="M107">IF($G107=0, INDEX(LS_previous!$D$4:$AY$138, MATCH('Staging Table'!$A107, LS_previous!$B$4:$B$138, 0), MATCH(M$4&amp;M$5, LS_previous!$D$2:$AY$2&amp;LS_previous!$D$3:$AY$3, 0)),SUM(VLOOKUP($A107, LS_previous!$B$4:$AY$138, LS_previous!E$149, FALSE), VLOOKUP('Staging Table'!$A107, LS_previous!$B$4:$AY$138,LS_previous!AC$149, FALSE))/2)</f>
        <v>-246</v>
      </c>
      <c r="N107" s="227">
        <f t="array" ref="N107">IF($G107=0, INDEX(LS_previous!$D$4:$AY$138, MATCH('Staging Table'!$A107, LS_previous!$B$4:$B$138, 0), MATCH(N$4&amp;N$5, LS_previous!$D$2:$AY$2&amp;LS_previous!$D$3:$AY$3, 0)),SUM(VLOOKUP($A107, LS_previous!$B$4:$AY$138, LS_previous!F$149, FALSE), VLOOKUP('Staging Table'!$A107, LS_previous!$B$4:$AY$138,LS_previous!AD$149, FALSE))/2)</f>
        <v>-868</v>
      </c>
      <c r="O107" s="227">
        <f t="array" ref="O107">IF($G107=0, INDEX(LS_previous!$D$4:$AY$138, MATCH('Staging Table'!$A107, LS_previous!$B$4:$B$138, 0), MATCH(O$4&amp;O$5, LS_previous!$D$2:$AY$2&amp;LS_previous!$D$3:$AY$3, 0)),SUM(VLOOKUP($A107, LS_previous!$B$4:$AY$138, LS_previous!G$149, FALSE), VLOOKUP('Staging Table'!$A107, LS_previous!$B$4:$AY$138,LS_previous!AE$149, FALSE))/2)</f>
        <v>-136</v>
      </c>
      <c r="P107" s="227">
        <f t="array" ref="P107">IF($G107=0, INDEX(LS_previous!$D$4:$AY$138, MATCH('Staging Table'!$A107, LS_previous!$B$4:$B$138, 0), MATCH(P$4&amp;P$5, LS_previous!$D$2:$AY$2&amp;LS_previous!$D$3:$AY$3, 0)),SUM(VLOOKUP($A107, LS_previous!$B$4:$AY$138, LS_previous!H$149, FALSE), VLOOKUP('Staging Table'!$A107, LS_previous!$B$4:$AY$138,LS_previous!AF$149, FALSE))/2)</f>
        <v>1762</v>
      </c>
      <c r="Q107" s="227">
        <f t="array" ref="Q107">IF($G107=0, INDEX(LS_previous!$D$4:$AY$138, MATCH('Staging Table'!$A107, LS_previous!$B$4:$B$138, 0), MATCH(Q$4&amp;Q$5, LS_previous!$D$2:$AY$2&amp;LS_previous!$D$3:$AY$3, 0)),SUM(VLOOKUP($A107, LS_previous!$B$4:$AY$138, LS_previous!I$149, FALSE), VLOOKUP('Staging Table'!$A107, LS_previous!$B$4:$AY$138,LS_previous!AG$149, FALSE))/2)</f>
        <v>2380</v>
      </c>
      <c r="R107" s="227">
        <f t="array" ref="R107">IF($G107=0, INDEX(LS_previous!$D$4:$AY$138, MATCH('Staging Table'!$A107, LS_previous!$B$4:$B$138, 0), MATCH(R$4&amp;R$5, LS_previous!$D$2:$AY$2&amp;LS_previous!$D$3:$AY$3, 0)),SUM(VLOOKUP($A107, LS_previous!$B$4:$AY$138, LS_previous!J$149, FALSE), VLOOKUP('Staging Table'!$A107, LS_previous!$B$4:$AY$138,LS_previous!AH$149, FALSE))/2)</f>
        <v>4279</v>
      </c>
      <c r="S107" s="227">
        <f t="array" ref="S107">IF($G107=0, INDEX(LS_previous!$D$4:$AY$138, MATCH('Staging Table'!$A107, LS_previous!$B$4:$B$138, 0), MATCH(S$4&amp;S$5, LS_previous!$D$2:$AY$2&amp;LS_previous!$D$3:$AY$3, 0)),SUM(VLOOKUP($A107, LS_previous!$B$4:$AY$138, LS_previous!K$149, FALSE), VLOOKUP('Staging Table'!$A107, LS_previous!$B$4:$AY$138,LS_previous!AI$149, FALSE))/2)</f>
        <v>2440</v>
      </c>
      <c r="T107" s="227">
        <f t="array" ref="T107">IF($G107=0, INDEX(LS_previous!$D$4:$AY$138, MATCH('Staging Table'!$A107, LS_previous!$B$4:$B$138, 0), MATCH(T$4&amp;T$5, LS_previous!$D$2:$AY$2&amp;LS_previous!$D$3:$AY$3, 0)),SUM(VLOOKUP($A107, LS_previous!$B$4:$AY$138, LS_previous!L$149, FALSE), VLOOKUP('Staging Table'!$A107, LS_previous!$B$4:$AY$138,LS_previous!AJ$149, FALSE))/2)</f>
        <v>5477</v>
      </c>
      <c r="U107" s="227">
        <f t="array" ref="U107">IF($G107=0, INDEX(LS_previous!$D$4:$AY$138, MATCH('Staging Table'!$A107, LS_previous!$B$4:$B$138, 0), MATCH(U$4&amp;U$5, LS_previous!$D$2:$AY$2&amp;LS_previous!$D$3:$AY$3, 0)),SUM(VLOOKUP($A107, LS_previous!$B$4:$AY$138, LS_previous!M$149, FALSE), VLOOKUP('Staging Table'!$A107, LS_previous!$B$4:$AY$138,LS_previous!AK$149, FALSE))/2)</f>
        <v>2836</v>
      </c>
      <c r="V107" s="227">
        <f t="array" ref="V107">IF($G107=0, INDEX(LS_previous!$D$4:$AY$138, MATCH('Staging Table'!$A107, LS_previous!$B$4:$B$138, 0), MATCH(V$4&amp;V$5, LS_previous!$D$2:$AY$2&amp;LS_previous!$D$3:$AY$3, 0)),SUM(VLOOKUP($A107, LS_previous!$B$4:$AY$138, LS_previous!N$149, FALSE), VLOOKUP('Staging Table'!$A107, LS_previous!$B$4:$AY$138,LS_previous!AL$149, FALSE))/2)</f>
        <v>1339</v>
      </c>
      <c r="W107" s="227">
        <f t="array" ref="W107">IF($G107=0, INDEX(LS_previous!$D$4:$AY$138, MATCH('Staging Table'!$A107, LS_previous!$B$4:$B$138, 0), MATCH(W$4&amp;W$5, LS_previous!$D$2:$AY$2&amp;LS_previous!$D$3:$AY$3, 0)),SUM(VLOOKUP($A107, LS_previous!$B$4:$AY$138, LS_previous!O$149, FALSE), VLOOKUP('Staging Table'!$A107, LS_previous!$B$4:$AY$138,LS_previous!AM$149, FALSE))/2)</f>
        <v>1252</v>
      </c>
      <c r="X107" s="227">
        <f t="array" ref="X107">IF($G107=0, INDEX(LS_previous!$D$4:$AY$138, MATCH('Staging Table'!$A107, LS_previous!$B$4:$B$138, 0), MATCH(X$4&amp;X$5, LS_previous!$D$2:$AY$2&amp;LS_previous!$D$3:$AY$3, 0)),SUM(VLOOKUP($A107, LS_previous!$B$4:$AY$138, LS_previous!P$149, FALSE), VLOOKUP('Staging Table'!$A107, LS_previous!$B$4:$AY$138,LS_previous!AN$149, FALSE))/2)</f>
        <v>712</v>
      </c>
      <c r="Y107" s="227">
        <f t="array" ref="Y107">IF($G107=0, INDEX(LS_previous!$D$4:$AY$138, MATCH('Staging Table'!$A107, LS_previous!$B$4:$B$138, 0), MATCH(Y$4&amp;Y$5, LS_previous!$D$2:$AY$2&amp;LS_previous!$D$3:$AY$3, 0)),SUM(VLOOKUP($A107, LS_previous!$B$4:$AY$138, LS_previous!Q$149, FALSE), VLOOKUP('Staging Table'!$A107, LS_previous!$B$4:$AY$138,LS_previous!AO$149, FALSE))/2)</f>
        <v>311</v>
      </c>
      <c r="Z107" s="227">
        <f t="array" ref="Z107">IF($G107=0, INDEX(LS_previous!$D$4:$AY$138, MATCH('Staging Table'!$A107, LS_previous!$B$4:$B$138, 0), MATCH(Z$4&amp;Z$5, LS_previous!$D$2:$AY$2&amp;LS_previous!$D$3:$AY$3, 0)),SUM(VLOOKUP($A107, LS_previous!$B$4:$AY$138, LS_previous!R$149, FALSE), VLOOKUP('Staging Table'!$A107, LS_previous!$B$4:$AY$138,LS_previous!AP$149, FALSE))/2)</f>
        <v>-8203</v>
      </c>
      <c r="AA107" s="227">
        <f t="array" ref="AA107">IF($G107=0, INDEX(LS_previous!$D$4:$AY$138, MATCH('Staging Table'!$A107, LS_previous!$B$4:$B$138, 0), MATCH(AA$4&amp;AA$5, LS_previous!$D$2:$AY$2&amp;LS_previous!$D$3:$AY$3, 0)),SUM(VLOOKUP($A107, LS_previous!$B$4:$AY$138, LS_previous!S$149, FALSE), VLOOKUP('Staging Table'!$A107, LS_previous!$B$4:$AY$138,LS_previous!AQ$149, FALSE))/2)</f>
        <v>-3606</v>
      </c>
      <c r="AB107" s="227">
        <f t="array" ref="AB107">IF($G107=0, INDEX(LS_previous!$D$4:$AY$138, MATCH('Staging Table'!$A107, LS_previous!$B$4:$B$138, 0), MATCH(AB$4&amp;AB$5, LS_previous!$D$2:$AY$2&amp;LS_previous!$D$3:$AY$3, 0)),SUM(VLOOKUP($A107, LS_previous!$B$4:$AY$138, LS_previous!T$149, FALSE), VLOOKUP('Staging Table'!$A107, LS_previous!$B$4:$AY$138,LS_previous!AR$149, FALSE))/2)</f>
        <v>-3307</v>
      </c>
      <c r="AC107" s="227">
        <f t="array" ref="AC107">IF($G107=0, INDEX(LS_previous!$D$4:$AY$138, MATCH('Staging Table'!$A107, LS_previous!$B$4:$B$138, 0), MATCH(AC$4&amp;AC$5, LS_previous!$D$2:$AY$2&amp;LS_previous!$D$3:$AY$3, 0)),SUM(VLOOKUP($A107, LS_previous!$B$4:$AY$138, LS_previous!U$149, FALSE), VLOOKUP('Staging Table'!$A107, LS_previous!$B$4:$AY$138,LS_previous!AS$149, FALSE))/2)</f>
        <v>-1643</v>
      </c>
      <c r="AD107" s="227">
        <f t="array" ref="AD107">IF($G107=0, INDEX(LS_previous!$D$4:$AY$138, MATCH('Staging Table'!$A107, LS_previous!$B$4:$B$138, 0), MATCH(AD$4&amp;AD$5, LS_previous!$D$2:$AY$2&amp;LS_previous!$D$3:$AY$3, 0)),SUM(VLOOKUP($A107, LS_previous!$B$4:$AY$138, LS_previous!V$149, FALSE), VLOOKUP('Staging Table'!$A107, LS_previous!$B$4:$AY$138,LS_previous!AT$149, FALSE))/2)</f>
        <v>1112</v>
      </c>
      <c r="AE107" s="227">
        <f t="array" ref="AE107">IF($G107=0, INDEX(LS_previous!$D$4:$AY$138, MATCH('Staging Table'!$A107, LS_previous!$B$4:$B$138, 0), MATCH(AE$4&amp;AE$5, LS_previous!$D$2:$AY$2&amp;LS_previous!$D$3:$AY$3, 0)),SUM(VLOOKUP($A107, LS_previous!$B$4:$AY$138, LS_previous!W$149, FALSE), VLOOKUP('Staging Table'!$A107, LS_previous!$B$4:$AY$138,LS_previous!AU$149, FALSE))/2)</f>
        <v>1124</v>
      </c>
      <c r="AF107" s="227">
        <f t="array" ref="AF107">IF($G107=0, INDEX(LS_previous!$D$4:$AY$138, MATCH('Staging Table'!$A107, LS_previous!$B$4:$B$138, 0), MATCH(AF$4&amp;AF$5, LS_previous!$D$2:$AY$2&amp;LS_previous!$D$3:$AY$3, 0)),SUM(VLOOKUP($A107, LS_previous!$B$4:$AY$138, LS_previous!X$149, FALSE), VLOOKUP('Staging Table'!$A107, LS_previous!$B$4:$AY$138,LS_previous!AV$149, FALSE))/2)</f>
        <v>-1255</v>
      </c>
      <c r="AG107" s="227">
        <f t="array" ref="AG107">IF($G107=0, INDEX(LS_previous!$D$4:$AY$138, MATCH('Staging Table'!$A107, LS_previous!$B$4:$B$138, 0), MATCH(AG$4&amp;AG$5, LS_previous!$D$2:$AY$2&amp;LS_previous!$D$3:$AY$3, 0)),SUM(VLOOKUP($A107, LS_previous!$B$4:$AY$138, LS_previous!Y$149, FALSE), VLOOKUP('Staging Table'!$A107, LS_previous!$B$4:$AY$138,LS_previous!AW$149, FALSE))/2)</f>
        <v>558</v>
      </c>
      <c r="AH107" s="227">
        <f t="array" ref="AH107">IF($G107=0, INDEX(LS_previous!$D$4:$AY$138, MATCH('Staging Table'!$A107, LS_previous!$B$4:$B$138, 0), MATCH(AH$4&amp;AH$5, LS_previous!$D$2:$AY$2&amp;LS_previous!$D$3:$AY$3, 0)),SUM(VLOOKUP($A107, LS_previous!$B$4:$AY$138, LS_previous!Z$149, FALSE), VLOOKUP('Staging Table'!$A107, LS_previous!$B$4:$AY$138,LS_previous!AX$149, FALSE))/2)</f>
        <v>-1012</v>
      </c>
      <c r="AI107" s="227">
        <f t="array" ref="AI107">IF($G107=0, INDEX(LS_previous!$D$4:$AY$138, MATCH('Staging Table'!$A107, LS_previous!$B$4:$B$138, 0), MATCH(AI$4&amp;AI$5, LS_previous!$D$2:$AY$2&amp;LS_previous!$D$3:$AY$3, 0)),SUM(VLOOKUP($A107, LS_previous!$B$4:$AY$138, LS_previous!AA$149, FALSE), VLOOKUP('Staging Table'!$A107, LS_previous!$B$4:$AY$138,LS_previous!AY$149, FALSE))/2)</f>
        <v>-438</v>
      </c>
      <c r="AJ107" s="424">
        <f t="array" ref="AJ107">INDEX(Demand_previous!$D$4:$AY$138, MATCH('Staging Table'!$A107, Demand_previous!$B$4:$B$138, 0), MATCH(AJ$4&amp;AJ$5,Demand_previous!$D$2:$AY$2&amp;Demand_previous!$D$3:$AY$3, 0))/1000</f>
        <v>4.3170000000000002</v>
      </c>
      <c r="AK107" s="424">
        <f t="array" ref="AK107">INDEX(Demand_previous!$D$4:$AY$138, MATCH('Staging Table'!$A107, Demand_previous!$B$4:$B$138, 0), MATCH(AK$4&amp;AK$5,Demand_previous!$D$2:$AY$2&amp;Demand_previous!$D$3:$AY$3, 0))/1000</f>
        <v>3.4489999999999998</v>
      </c>
      <c r="AL107" s="424">
        <f t="array" ref="AL107">INDEX(Demand_previous!$D$4:$AY$138, MATCH('Staging Table'!$A107, Demand_previous!$B$4:$B$138, 0), MATCH(AL$4&amp;AL$5,Demand_previous!$D$2:$AY$2&amp;Demand_previous!$D$3:$AY$3, 0))/1000</f>
        <v>7.1859999999999999</v>
      </c>
      <c r="AM107" s="424">
        <f t="array" ref="AM107">INDEX(Demand_previous!$D$4:$AY$138, MATCH('Staging Table'!$A107, Demand_previous!$B$4:$B$138, 0), MATCH(AM$4&amp;AM$5,Demand_previous!$D$2:$AY$2&amp;Demand_previous!$D$3:$AY$3, 0))/1000</f>
        <v>8.0410000000000004</v>
      </c>
      <c r="AN107" s="424">
        <f t="array" ref="AN107">INDEX(Demand_previous!$D$4:$AY$138, MATCH('Staging Table'!$A107, Demand_previous!$B$4:$B$138, 0), MATCH(AN$4&amp;AN$5,Demand_previous!$D$2:$AY$2&amp;Demand_previous!$D$3:$AY$3, 0))/1000</f>
        <v>0</v>
      </c>
      <c r="AO107" s="424">
        <f t="array" ref="AO107">INDEX(Demand_previous!$D$4:$AY$138, MATCH('Staging Table'!$A107, Demand_previous!$B$4:$B$138, 0), MATCH(AO$4&amp;AO$5,Demand_previous!$D$2:$AY$2&amp;Demand_previous!$D$3:$AY$3, 0))/1000</f>
        <v>5.032</v>
      </c>
      <c r="AP107" s="424">
        <f t="array" ref="AP107">INDEX(Demand_previous!$D$4:$AY$138, MATCH('Staging Table'!$A107, Demand_previous!$B$4:$B$138, 0), MATCH(AP$4&amp;AP$5,Demand_previous!$D$2:$AY$2&amp;Demand_previous!$D$3:$AY$3, 0))/1000</f>
        <v>0.52400000000000002</v>
      </c>
      <c r="AQ107" s="424">
        <f t="array" ref="AQ107">INDEX(Demand_previous!$D$4:$AY$138, MATCH('Staging Table'!$A107, Demand_previous!$B$4:$B$138, 0), MATCH(AQ$4&amp;AQ$5,Demand_previous!$D$2:$AY$2&amp;Demand_previous!$D$3:$AY$3, 0))/1000</f>
        <v>5.6260000000000003</v>
      </c>
      <c r="AR107" s="424">
        <f t="array" ref="AR107">INDEX(Demand_previous!$D$4:$AY$138, MATCH('Staging Table'!$A107, Demand_previous!$B$4:$B$138, 0), MATCH(AR$4&amp;AR$5,Demand_previous!$D$2:$AY$2&amp;Demand_previous!$D$3:$AY$3, 0))/1000</f>
        <v>3.399</v>
      </c>
      <c r="AS107" s="424">
        <f t="array" ref="AS107">INDEX(Demand_previous!$D$4:$AY$138, MATCH('Staging Table'!$A107, Demand_previous!$B$4:$B$138, 0), MATCH(AS$4&amp;AS$5,Demand_previous!$D$2:$AY$2&amp;Demand_previous!$D$3:$AY$3, 0))/1000</f>
        <v>6.431</v>
      </c>
      <c r="AT107" s="424">
        <f t="array" ref="AT107">INDEX(Demand_previous!$D$4:$AY$138, MATCH('Staging Table'!$A107, Demand_previous!$B$4:$B$138, 0), MATCH(AT$4&amp;AT$5,Demand_previous!$D$2:$AY$2&amp;Demand_previous!$D$3:$AY$3, 0))/1000</f>
        <v>12.867000000000001</v>
      </c>
      <c r="AU107" s="424">
        <f t="array" ref="AU107">INDEX(Demand_previous!$D$4:$AY$138, MATCH('Staging Table'!$A107, Demand_previous!$B$4:$B$138, 0), MATCH(AU$4&amp;AU$5,Demand_previous!$D$2:$AY$2&amp;Demand_previous!$D$3:$AY$3, 0))/1000</f>
        <v>9.6489999999999991</v>
      </c>
      <c r="AV107" s="227">
        <f>$F107*(VLOOKUP(AV$4, Rates_previous!$G$6:$Q$29, 10, FALSE)+VLOOKUP(AV$4, Rates_previous!$G$6:$Q$29, 11, FALSE))</f>
        <v>25243.764745152588</v>
      </c>
      <c r="AW107" s="227">
        <f>$F107*(VLOOKUP(AW$4, Rates_previous!$G$6:$Q$29, 10, FALSE)+VLOOKUP(AW$4, Rates_previous!$G$6:$Q$29, 11, FALSE))</f>
        <v>31199.374597209622</v>
      </c>
      <c r="AX107" s="227">
        <f>$F107*(VLOOKUP(AX$4, Rates_previous!$G$6:$Q$29, 10, FALSE)+VLOOKUP(AX$4, Rates_previous!$G$6:$Q$29, 11, FALSE))</f>
        <v>30824.707424551609</v>
      </c>
      <c r="AY107" s="227">
        <f>$F107*(VLOOKUP(AY$4, Rates_previous!$G$6:$Q$29, 10, FALSE)+VLOOKUP(AY$4, Rates_previous!$G$6:$Q$29, 11, FALSE))</f>
        <v>26336.774414418407</v>
      </c>
      <c r="AZ107" s="227">
        <f>$F107*(VLOOKUP(AZ$4, Rates_previous!$G$6:$Q$29, 10, FALSE)+VLOOKUP(AZ$4, Rates_previous!$G$6:$Q$29, 11, FALSE))</f>
        <v>21591.046445457527</v>
      </c>
      <c r="BA107" s="227">
        <f>$F107*(VLOOKUP(BA$4, Rates_previous!$G$6:$Q$29, 10, FALSE)+VLOOKUP(BA$4, Rates_previous!$G$6:$Q$29, 11, FALSE))</f>
        <v>25563.014731831092</v>
      </c>
      <c r="BB107" s="227">
        <f>$F107*(VLOOKUP(BB$4, Rates_previous!$G$6:$Q$29, 10, FALSE)+VLOOKUP(BB$4, Rates_previous!$G$6:$Q$29, 11, FALSE))</f>
        <v>24569.77552463589</v>
      </c>
      <c r="BC107" s="227">
        <f>$F107*(VLOOKUP(BC$4, Rates_previous!$G$6:$Q$29, 10, FALSE)+VLOOKUP(BC$4, Rates_previous!$G$6:$Q$29, 11, FALSE))</f>
        <v>36054.406957581261</v>
      </c>
      <c r="BD107" s="227">
        <f>$F107*(VLOOKUP(BD$4, Rates_previous!$G$6:$Q$29, 10, FALSE)+VLOOKUP(BD$4, Rates_previous!$G$6:$Q$29, 11, FALSE))</f>
        <v>28445.974159939982</v>
      </c>
      <c r="BE107" s="227">
        <f>$F107*(VLOOKUP(BE$4, Rates_previous!$G$6:$Q$29, 10, FALSE)+VLOOKUP(BE$4, Rates_previous!$G$6:$Q$29, 11, FALSE))</f>
        <v>24977.952940352152</v>
      </c>
      <c r="BF107" s="227">
        <f>$F107*(VLOOKUP(BF$4, Rates_previous!$G$6:$Q$29, 10, FALSE)+VLOOKUP(BF$4, Rates_previous!$G$6:$Q$29, 11, FALSE))</f>
        <v>27664.082691766907</v>
      </c>
      <c r="BG107" s="227">
        <f>$F107*(VLOOKUP(BG$4, Rates_previous!$G$6:$Q$29, 10, FALSE)+VLOOKUP(BG$4, Rates_previous!$G$6:$Q$29, 11, FALSE))</f>
        <v>25062.558787121587</v>
      </c>
      <c r="BH107" s="229">
        <f>IF($D107=0,IF(C107=0, MAX(BK107 - (VLOOKUP($A107,TOCA_previous!$A$2:$AI$137,MATCH("RHWM 2018",TOCA_previous!$A$2:$AI$2,0),FALSE)*$F$2*TOCA_previous!C104),0),0), 0)</f>
        <v>0</v>
      </c>
      <c r="BI107" s="266">
        <f>VLOOKUP($A107,REP_previous!$A$1:$D$135,MATCH("FY "&amp;$F$1&amp; " Total Refund",REP_previous!$A$1:$D$1,0),0)</f>
        <v>556029.91397967096</v>
      </c>
      <c r="BJ107" s="241">
        <f>MIN(VLOOKUP($A107,TOCA_previous!$A$2:$AI$137,MATCH("TRL - NLSL - Existing Resource "&amp;$F$1,TOCA_previous!$A$2:$AI$2,0),FALSE)*$F$2,(VLOOKUP($A107,TOCA_previous!$A$2:$AI$137,MATCH("RHWM 2018",TOCA_previous!$A$2:$AI$2,0),FALSE)*$F$2))</f>
        <v>327536.40000000002</v>
      </c>
      <c r="BK107" s="229">
        <f>SUM(L107:AI107)+(F107*RT1SC!$C$3*$F$2)</f>
        <v>332525.43819844798</v>
      </c>
      <c r="BL107" s="241">
        <f>VLOOKUP($A107,TOCA_previous!$A$2:$AI$137,MATCH("Above RHWM Not Served with LS "&amp;$F$1,TOCA_previous!$A$2:$AI$2,0),FALSE)*$F$2</f>
        <v>0</v>
      </c>
      <c r="BM107" s="151">
        <f t="shared" si="21"/>
        <v>4989.0381984479609</v>
      </c>
      <c r="BN107" s="242">
        <f>(VLOOKUP($A107,TOCA_previous!$A$2:$AI$137,MATCH("RHWM 2018",TOCA_previous!$A$2:$AI$2,0),FALSE)*$F$2) - $BJ107</f>
        <v>5956.7999999999884</v>
      </c>
      <c r="BO107" s="151">
        <f t="shared" si="22"/>
        <v>-4989.0381984479609</v>
      </c>
      <c r="BP107" s="243">
        <f t="shared" si="23"/>
        <v>0</v>
      </c>
      <c r="BQ107" s="237">
        <f t="shared" si="24"/>
        <v>0</v>
      </c>
      <c r="BR107" s="242">
        <f t="shared" si="25"/>
        <v>-4989.0381984479609</v>
      </c>
      <c r="BS107" s="151">
        <f>VLOOKUP($A107,TOCA_current!$A$2:$AI$137,MATCH(BS$4,TOCA_current!$A$2:$AI$2,0),FALSE)</f>
        <v>5.4015000000000001E-3</v>
      </c>
      <c r="BT107" s="151">
        <f>VLOOKUP($A107,TOCA_current!$A$2:$AI$137,MATCH(BT$4,TOCA_current!$A$2:$AI$2,0),FALSE)</f>
        <v>5.4015000000000001E-3</v>
      </c>
      <c r="BU107" s="236">
        <f t="shared" si="26"/>
        <v>0</v>
      </c>
      <c r="BV107" s="151">
        <f>VLOOKUP($A107,TOCA_current!A103:BG238,MATCH(BV$4,TOCA_current!$A$2:$BG$2,0),FALSE)</f>
        <v>0</v>
      </c>
      <c r="BW107" s="151">
        <f t="shared" si="27"/>
        <v>0</v>
      </c>
      <c r="BX107" s="151">
        <f t="shared" si="28"/>
        <v>0</v>
      </c>
      <c r="BY107" s="226">
        <f>VLOOKUP($A107,IRD!$A$4:$G$139, 7, FALSE)</f>
        <v>0</v>
      </c>
      <c r="BZ107" s="227">
        <f t="array" ref="BZ107">IF($BU107=0, INDEX(LS_current!$D$4:$AY$138, MATCH('Staging Table'!$A107, LS_current!$B$4:$B$138, 0), MATCH(BZ$4&amp;BZ$5, LS_current!$D$2:$AY$2&amp;LS_current!$D$3:$AY$3, 0)),SUM(VLOOKUP($A107, LS_current!$B$4:$AY$138, LS_current!D$148, FALSE), VLOOKUP($A107, LS_current!$B$4:$AY$138,LS_current!D$148, FALSE))/2)</f>
        <v>290</v>
      </c>
      <c r="CA107" s="227">
        <f t="array" ref="CA107">IF($BU107=0, INDEX(LS_current!$D$4:$AY$138, MATCH('Staging Table'!$A107, LS_current!$B$4:$B$138, 0), MATCH(CA$4&amp;CA$5, LS_current!$D$2:$AY$2&amp;LS_current!$D$3:$AY$3, 0)),SUM(VLOOKUP($A107, LS_current!$B$4:$AY$138, LS_current!E$148, FALSE), VLOOKUP($A107, LS_current!$B$4:$AY$138,LS_current!E$148, FALSE))/2)</f>
        <v>-108</v>
      </c>
      <c r="CB107" s="227">
        <f t="array" ref="CB107">IF($BU107=0, INDEX(LS_current!$D$4:$AY$138, MATCH('Staging Table'!$A107, LS_current!$B$4:$B$138, 0), MATCH(CB$4&amp;CB$5, LS_current!$D$2:$AY$2&amp;LS_current!$D$3:$AY$3, 0)),SUM(VLOOKUP($A107, LS_current!$B$4:$AY$138, LS_current!F$148, FALSE), VLOOKUP($A107, LS_current!$B$4:$AY$138,LS_current!F$148, FALSE))/2)</f>
        <v>-1072</v>
      </c>
      <c r="CC107" s="227">
        <f t="array" ref="CC107">IF($BU107=0, INDEX(LS_current!$D$4:$AY$138, MATCH('Staging Table'!$A107, LS_current!$B$4:$B$138, 0), MATCH(CC$4&amp;CC$5, LS_current!$D$2:$AY$2&amp;LS_current!$D$3:$AY$3, 0)),SUM(VLOOKUP($A107, LS_current!$B$4:$AY$138, LS_current!G$148, FALSE), VLOOKUP($A107, LS_current!$B$4:$AY$138,LS_current!G$148, FALSE))/2)</f>
        <v>-415</v>
      </c>
      <c r="CD107" s="227">
        <f t="array" ref="CD107">IF($BU107=0, INDEX(LS_current!$D$4:$AY$138, MATCH('Staging Table'!$A107, LS_current!$B$4:$B$138, 0), MATCH(CD$4&amp;CD$5, LS_current!$D$2:$AY$2&amp;LS_current!$D$3:$AY$3, 0)),SUM(VLOOKUP($A107, LS_current!$B$4:$AY$138, LS_current!H$148, FALSE), VLOOKUP($A107, LS_current!$B$4:$AY$138,LS_current!H$148, FALSE))/2)</f>
        <v>1527</v>
      </c>
      <c r="CE107" s="227">
        <f t="array" ref="CE107">IF($BU107=0, INDEX(LS_current!$D$4:$AY$138, MATCH('Staging Table'!$A107, LS_current!$B$4:$B$138, 0), MATCH(CE$4&amp;CE$5, LS_current!$D$2:$AY$2&amp;LS_current!$D$3:$AY$3, 0)),SUM(VLOOKUP($A107, LS_current!$B$4:$AY$138, LS_current!I$148, FALSE), VLOOKUP($A107, LS_current!$B$4:$AY$138,LS_current!I$148, FALSE))/2)</f>
        <v>2140</v>
      </c>
      <c r="CF107" s="227">
        <f t="array" ref="CF107">IF($BU107=0, INDEX(LS_current!$D$4:$AY$138, MATCH('Staging Table'!$A107, LS_current!$B$4:$B$138, 0), MATCH(CF$4&amp;CF$5, LS_current!$D$2:$AY$2&amp;LS_current!$D$3:$AY$3, 0)),SUM(VLOOKUP($A107, LS_current!$B$4:$AY$138, LS_current!J$148, FALSE), VLOOKUP($A107, LS_current!$B$4:$AY$138,LS_current!J$148, FALSE))/2)</f>
        <v>4153</v>
      </c>
      <c r="CG107" s="227">
        <f t="array" ref="CG107">IF($BU107=0, INDEX(LS_current!$D$4:$AY$138, MATCH('Staging Table'!$A107, LS_current!$B$4:$B$138, 0), MATCH(CG$4&amp;CG$5, LS_current!$D$2:$AY$2&amp;LS_current!$D$3:$AY$3, 0)),SUM(VLOOKUP($A107, LS_current!$B$4:$AY$138, LS_current!K$148, FALSE), VLOOKUP($A107, LS_current!$B$4:$AY$138,LS_current!K$148, FALSE))/2)</f>
        <v>2812</v>
      </c>
      <c r="CH107" s="227">
        <f t="array" ref="CH107">IF($BU107=0, INDEX(LS_current!$D$4:$AY$138, MATCH('Staging Table'!$A107, LS_current!$B$4:$B$138, 0), MATCH(CH$4&amp;CH$5, LS_current!$D$2:$AY$2&amp;LS_current!$D$3:$AY$3, 0)),SUM(VLOOKUP($A107, LS_current!$B$4:$AY$138, LS_current!L$148, FALSE), VLOOKUP($A107, LS_current!$B$4:$AY$138,LS_current!L$148, FALSE))/2)</f>
        <v>4205</v>
      </c>
      <c r="CI107" s="227">
        <f t="array" ref="CI107">IF($BU107=0, INDEX(LS_current!$D$4:$AY$138, MATCH('Staging Table'!$A107, LS_current!$B$4:$B$138, 0), MATCH(CI$4&amp;CI$5, LS_current!$D$2:$AY$2&amp;LS_current!$D$3:$AY$3, 0)),SUM(VLOOKUP($A107, LS_current!$B$4:$AY$138, LS_current!M$148, FALSE), VLOOKUP($A107, LS_current!$B$4:$AY$138,LS_current!M$148, FALSE))/2)</f>
        <v>2065</v>
      </c>
      <c r="CJ107" s="227">
        <f t="array" ref="CJ107">IF($BU107=0, INDEX(LS_current!$D$4:$AY$138, MATCH('Staging Table'!$A107, LS_current!$B$4:$B$138, 0), MATCH(CJ$4&amp;CJ$5, LS_current!$D$2:$AY$2&amp;LS_current!$D$3:$AY$3, 0)),SUM(VLOOKUP($A107, LS_current!$B$4:$AY$138, LS_current!N$148, FALSE), VLOOKUP($A107, LS_current!$B$4:$AY$138,LS_current!N$148, FALSE))/2)</f>
        <v>789</v>
      </c>
      <c r="CK107" s="227">
        <f t="array" ref="CK107">IF($BU107=0, INDEX(LS_current!$D$4:$AY$138, MATCH('Staging Table'!$A107, LS_current!$B$4:$B$138, 0), MATCH(CK$4&amp;CK$5, LS_current!$D$2:$AY$2&amp;LS_current!$D$3:$AY$3, 0)),SUM(VLOOKUP($A107, LS_current!$B$4:$AY$138, LS_current!O$148, FALSE), VLOOKUP($A107, LS_current!$B$4:$AY$138,LS_current!O$148, FALSE))/2)</f>
        <v>1076</v>
      </c>
      <c r="CL107" s="227">
        <f t="array" ref="CL107">IF($BU107=0, INDEX(LS_current!$D$4:$AY$138, MATCH('Staging Table'!$A107, LS_current!$B$4:$B$138, 0), MATCH(CL$4&amp;CL$5, LS_current!$D$2:$AY$2&amp;LS_current!$D$3:$AY$3, 0)),SUM(VLOOKUP($A107, LS_current!$B$4:$AY$138, LS_current!P$148, FALSE), VLOOKUP($A107, LS_current!$B$4:$AY$138,LS_current!P$148, FALSE))/2)</f>
        <v>3044</v>
      </c>
      <c r="CM107" s="227">
        <f t="array" ref="CM107">IF($BU107=0, INDEX(LS_current!$D$4:$AY$138, MATCH('Staging Table'!$A107, LS_current!$B$4:$B$138, 0), MATCH(CM$4&amp;CM$5, LS_current!$D$2:$AY$2&amp;LS_current!$D$3:$AY$3, 0)),SUM(VLOOKUP($A107, LS_current!$B$4:$AY$138, LS_current!Q$148, FALSE), VLOOKUP($A107, LS_current!$B$4:$AY$138,LS_current!Q$148, FALSE))/2)</f>
        <v>1144</v>
      </c>
      <c r="CN107" s="227">
        <f t="array" ref="CN107">IF($BU107=0, INDEX(LS_current!$D$4:$AY$138, MATCH('Staging Table'!$A107, LS_current!$B$4:$B$138, 0), MATCH(CN$4&amp;CN$5, LS_current!$D$2:$AY$2&amp;LS_current!$D$3:$AY$3, 0)),SUM(VLOOKUP($A107, LS_current!$B$4:$AY$138, LS_current!R$148, FALSE), VLOOKUP($A107, LS_current!$B$4:$AY$138,LS_current!R$148, FALSE))/2)</f>
        <v>-3957</v>
      </c>
      <c r="CO107" s="227">
        <f t="array" ref="CO107">IF($BU107=0, INDEX(LS_current!$D$4:$AY$138, MATCH('Staging Table'!$A107, LS_current!$B$4:$B$138, 0), MATCH(CO$4&amp;CO$5, LS_current!$D$2:$AY$2&amp;LS_current!$D$3:$AY$3, 0)),SUM(VLOOKUP($A107, LS_current!$B$4:$AY$138, LS_current!S$148, FALSE), VLOOKUP($A107, LS_current!$B$4:$AY$138,LS_current!S$148, FALSE))/2)</f>
        <v>-666</v>
      </c>
      <c r="CP107" s="227">
        <f t="array" ref="CP107">IF($BU107=0, INDEX(LS_current!$D$4:$AY$138, MATCH('Staging Table'!$A107, LS_current!$B$4:$B$138, 0), MATCH(CP$4&amp;CP$5, LS_current!$D$2:$AY$2&amp;LS_current!$D$3:$AY$3, 0)),SUM(VLOOKUP($A107, LS_current!$B$4:$AY$138, LS_current!T$148, FALSE), VLOOKUP($A107, LS_current!$B$4:$AY$138,LS_current!T$148, FALSE))/2)</f>
        <v>-8603</v>
      </c>
      <c r="CQ107" s="227">
        <f t="array" ref="CQ107">IF($BU107=0, INDEX(LS_current!$D$4:$AY$138, MATCH('Staging Table'!$A107, LS_current!$B$4:$B$138, 0), MATCH(CQ$4&amp;CQ$5, LS_current!$D$2:$AY$2&amp;LS_current!$D$3:$AY$3, 0)),SUM(VLOOKUP($A107, LS_current!$B$4:$AY$138, LS_current!U$148, FALSE), VLOOKUP($A107, LS_current!$B$4:$AY$138,LS_current!U$148, FALSE))/2)</f>
        <v>-4734</v>
      </c>
      <c r="CR107" s="227">
        <f t="array" ref="CR107">IF($BU107=0, INDEX(LS_current!$D$4:$AY$138, MATCH('Staging Table'!$A107, LS_current!$B$4:$B$138, 0), MATCH(CR$4&amp;CR$5, LS_current!$D$2:$AY$2&amp;LS_current!$D$3:$AY$3, 0)),SUM(VLOOKUP($A107, LS_current!$B$4:$AY$138, LS_current!V$148, FALSE), VLOOKUP($A107, LS_current!$B$4:$AY$138,LS_current!V$148, FALSE))/2)</f>
        <v>-2437</v>
      </c>
      <c r="CS107" s="227">
        <f t="array" ref="CS107">IF($BU107=0, INDEX(LS_current!$D$4:$AY$138, MATCH('Staging Table'!$A107, LS_current!$B$4:$B$138, 0), MATCH(CS$4&amp;CS$5, LS_current!$D$2:$AY$2&amp;LS_current!$D$3:$AY$3, 0)),SUM(VLOOKUP($A107, LS_current!$B$4:$AY$138, LS_current!W$148, FALSE), VLOOKUP($A107, LS_current!$B$4:$AY$138,LS_current!W$148, FALSE))/2)</f>
        <v>772</v>
      </c>
      <c r="CT107" s="227">
        <f t="array" ref="CT107">IF($BU107=0, INDEX(LS_current!$D$4:$AY$138, MATCH('Staging Table'!$A107, LS_current!$B$4:$B$138, 0), MATCH(CT$4&amp;CT$5, LS_current!$D$2:$AY$2&amp;LS_current!$D$3:$AY$3, 0)),SUM(VLOOKUP($A107, LS_current!$B$4:$AY$138, LS_current!X$148, FALSE), VLOOKUP($A107, LS_current!$B$4:$AY$138,LS_current!X$148, FALSE))/2)</f>
        <v>-2019</v>
      </c>
      <c r="CU107" s="227">
        <f t="array" ref="CU107">IF($BU107=0, INDEX(LS_current!$D$4:$AY$138, MATCH('Staging Table'!$A107, LS_current!$B$4:$B$138, 0), MATCH(CU$4&amp;CU$5, LS_current!$D$2:$AY$2&amp;LS_current!$D$3:$AY$3, 0)),SUM(VLOOKUP($A107, LS_current!$B$4:$AY$138, LS_current!Y$148, FALSE), VLOOKUP($A107, LS_current!$B$4:$AY$138,LS_current!Y$148, FALSE))/2)</f>
        <v>864</v>
      </c>
      <c r="CV107" s="227">
        <f t="array" ref="CV107">IF($BU107=0, INDEX(LS_current!$D$4:$AY$138, MATCH('Staging Table'!$A107, LS_current!$B$4:$B$138, 0), MATCH(CV$4&amp;CV$5, LS_current!$D$2:$AY$2&amp;LS_current!$D$3:$AY$3, 0)),SUM(VLOOKUP($A107, LS_current!$B$4:$AY$138, LS_current!Z$148, FALSE), VLOOKUP($A107, LS_current!$B$4:$AY$138,LS_current!Z$148, FALSE))/2)</f>
        <v>-1160</v>
      </c>
      <c r="CW107" s="227">
        <f t="array" ref="CW107">IF($BU107=0, INDEX(LS_current!$D$4:$AY$138, MATCH('Staging Table'!$A107, LS_current!$B$4:$B$138, 0), MATCH(CW$4&amp;CW$5, LS_current!$D$2:$AY$2&amp;LS_current!$D$3:$AY$3, 0)),SUM(VLOOKUP($A107, LS_current!$B$4:$AY$138, LS_current!AA$148, FALSE), VLOOKUP($A107, LS_current!$B$4:$AY$138,LS_current!AA$148, FALSE))/2)</f>
        <v>-475</v>
      </c>
      <c r="CX107" s="229">
        <f t="array" ref="CX107">INDEX(Demand_current!$D$4:$AY$138, MATCH($A107, Demand_current!$B$4:$B$138, 0), MATCH(CX$4&amp;CX$5,Demand_current!$D$2:$AY$2&amp;Demand_current!$D$3:$AY$3, 0))/1000</f>
        <v>5.79</v>
      </c>
      <c r="CY107" s="229">
        <f t="array" ref="CY107">INDEX(Demand_current!$D$4:$AY$138, MATCH($A107, Demand_current!$B$4:$B$138, 0), MATCH(CY$4&amp;CY$5,Demand_current!$D$2:$AY$2&amp;Demand_current!$D$3:$AY$3, 0))/1000</f>
        <v>3.4489999999999998</v>
      </c>
      <c r="CZ107" s="229">
        <f t="array" ref="CZ107">INDEX(Demand_current!$D$4:$AY$138, MATCH($A107, Demand_current!$B$4:$B$138, 0), MATCH(CZ$4&amp;CZ$5,Demand_current!$D$2:$AY$2&amp;Demand_current!$D$3:$AY$3, 0))/1000</f>
        <v>7.1859999999999999</v>
      </c>
      <c r="DA107" s="229">
        <f t="array" ref="DA107">INDEX(Demand_current!$D$4:$AY$138, MATCH($A107, Demand_current!$B$4:$B$138, 0), MATCH(DA$4&amp;DA$5,Demand_current!$D$2:$AY$2&amp;Demand_current!$D$3:$AY$3, 0))/1000</f>
        <v>8.0410000000000004</v>
      </c>
      <c r="DB107" s="229">
        <f t="array" ref="DB107">INDEX(Demand_current!$D$4:$AY$138, MATCH($A107, Demand_current!$B$4:$B$138, 0), MATCH(DB$4&amp;DB$5,Demand_current!$D$2:$AY$2&amp;Demand_current!$D$3:$AY$3, 0))/1000</f>
        <v>0</v>
      </c>
      <c r="DC107" s="229">
        <f t="array" ref="DC107">INDEX(Demand_current!$D$4:$AY$138, MATCH($A107, Demand_current!$B$4:$B$138, 0), MATCH(DC$4&amp;DC$5,Demand_current!$D$2:$AY$2&amp;Demand_current!$D$3:$AY$3, 0))/1000</f>
        <v>3.4740000000000002</v>
      </c>
      <c r="DD107" s="229">
        <f t="array" ref="DD107">INDEX(Demand_current!$D$4:$AY$138, MATCH($A107, Demand_current!$B$4:$B$138, 0), MATCH(DD$4&amp;DD$5,Demand_current!$D$2:$AY$2&amp;Demand_current!$D$3:$AY$3, 0))/1000</f>
        <v>2.1120000000000001</v>
      </c>
      <c r="DE107" s="229">
        <f t="array" ref="DE107">INDEX(Demand_current!$D$4:$AY$138, MATCH($A107, Demand_current!$B$4:$B$138, 0), MATCH(DE$4&amp;DE$5,Demand_current!$D$2:$AY$2&amp;Demand_current!$D$3:$AY$3, 0))/1000</f>
        <v>4.2050000000000001</v>
      </c>
      <c r="DF107" s="229">
        <f t="array" ref="DF107">INDEX(Demand_current!$D$4:$AY$138, MATCH($A107, Demand_current!$B$4:$B$138, 0), MATCH(DF$4&amp;DF$5,Demand_current!$D$2:$AY$2&amp;Demand_current!$D$3:$AY$3, 0))/1000</f>
        <v>3.399</v>
      </c>
      <c r="DG107" s="229">
        <f t="array" ref="DG107">INDEX(Demand_current!$D$4:$AY$138, MATCH($A107, Demand_current!$B$4:$B$138, 0), MATCH(DG$4&amp;DG$5,Demand_current!$D$2:$AY$2&amp;Demand_current!$D$3:$AY$3, 0))/1000</f>
        <v>8.1080000000000005</v>
      </c>
      <c r="DH107" s="229">
        <f t="array" ref="DH107">INDEX(Demand_current!$D$4:$AY$138, MATCH($A107, Demand_current!$B$4:$B$138, 0), MATCH(DH$4&amp;DH$5,Demand_current!$D$2:$AY$2&amp;Demand_current!$D$3:$AY$3, 0))/1000</f>
        <v>11.331</v>
      </c>
      <c r="DI107" s="229">
        <f t="array" ref="DI107">INDEX(Demand_current!$D$4:$AY$138, MATCH($A107, Demand_current!$B$4:$B$138, 0), MATCH(DI$4&amp;DI$5,Demand_current!$D$2:$AY$2&amp;Demand_current!$D$3:$AY$3, 0))/1000</f>
        <v>11.212</v>
      </c>
      <c r="DJ107" s="227">
        <f>$BT107*(VLOOKUP(DJ$4, Rates_current!$G$6:$Q$29, 10, FALSE)+VLOOKUP(DJ$4, Rates_current!$G$6:$Q$29, 11, FALSE))</f>
        <v>24940.438834193999</v>
      </c>
      <c r="DK107" s="227">
        <f>$BT107*(VLOOKUP(DK$4, Rates_current!$G$6:$Q$29, 10, FALSE)+VLOOKUP(DK$4, Rates_current!$G$6:$Q$29, 11, FALSE))</f>
        <v>31682.137640458499</v>
      </c>
      <c r="DL107" s="227">
        <f>$BT107*(VLOOKUP(DL$4, Rates_current!$G$6:$Q$29, 10, FALSE)+VLOOKUP(DL$4, Rates_current!$G$6:$Q$29, 11, FALSE))</f>
        <v>31299.532958694002</v>
      </c>
      <c r="DM107" s="227">
        <f>$BT107*(VLOOKUP(DM$4, Rates_current!$G$6:$Q$29, 10, FALSE)+VLOOKUP(DM$4, Rates_current!$G$6:$Q$29, 11, FALSE))</f>
        <v>26090.067086694002</v>
      </c>
      <c r="DN107" s="227">
        <f>$BT107*(VLOOKUP(DN$4, Rates_current!$G$6:$Q$29, 10, FALSE)+VLOOKUP(DN$4, Rates_current!$G$6:$Q$29, 11, FALSE))</f>
        <v>23634.8941452</v>
      </c>
      <c r="DO107" s="227">
        <f>$BT107*(VLOOKUP(DO$4, Rates_current!$G$6:$Q$29, 10, FALSE)+VLOOKUP(DO$4, Rates_current!$G$6:$Q$29, 11, FALSE))</f>
        <v>26289.510673705499</v>
      </c>
      <c r="DP107" s="227">
        <f>$BT107*(VLOOKUP(DP$4, Rates_current!$G$6:$Q$29, 10, FALSE)+VLOOKUP(DP$4, Rates_current!$G$6:$Q$29, 11, FALSE))</f>
        <v>21404.947959720001</v>
      </c>
      <c r="DQ107" s="227">
        <f>$BT107*(VLOOKUP(DQ$4, Rates_current!$G$6:$Q$29, 10, FALSE)+VLOOKUP(DQ$4, Rates_current!$G$6:$Q$29, 11, FALSE))</f>
        <v>28867.764154944001</v>
      </c>
      <c r="DR107" s="227">
        <f>$BT107*(VLOOKUP(DR$4, Rates_current!$G$6:$Q$29, 10, FALSE)+VLOOKUP(DR$4, Rates_current!$G$6:$Q$29, 11, FALSE))</f>
        <v>36833.303723970006</v>
      </c>
      <c r="DS107" s="227">
        <f>$BT107*(VLOOKUP(DS$4, Rates_current!$G$6:$Q$29, 10, FALSE)+VLOOKUP(DS$4, Rates_current!$G$6:$Q$29, 11, FALSE))</f>
        <v>28878.478030194005</v>
      </c>
      <c r="DT107" s="227">
        <f>$BT107*(VLOOKUP(DT$4, Rates_current!$G$6:$Q$29, 10, FALSE)+VLOOKUP(DT$4, Rates_current!$G$6:$Q$29, 11, FALSE))</f>
        <v>28121.887224444003</v>
      </c>
      <c r="DU107" s="227">
        <f>$BT107*(VLOOKUP(DU$4, Rates_current!$G$6:$Q$29, 10, FALSE)+VLOOKUP(DU$4, Rates_current!$G$6:$Q$29, 11, FALSE))</f>
        <v>25247.472431220001</v>
      </c>
      <c r="DV107" s="229">
        <f>IF(D107=0,IF(C107=0,MAX(0,DY107 - (VLOOKUP($A107,TOCA_current!$A$2:$AI$137,MATCH("RHWM 2020",TOCA_current!$A$2:$AI$2,0),FALSE)*$BT$2)), 0),0)</f>
        <v>0</v>
      </c>
      <c r="DW107" s="266">
        <f>VLOOKUP($A107,REP_current!$A$1:$D$135,MATCH("FY "&amp;$BT$1&amp; " Total Refund",REP_current!$A$1:$D$1,0),0)</f>
        <v>0</v>
      </c>
      <c r="DX107" s="295">
        <f>MIN(VLOOKUP($A107,TOCA_current!$A$2:$AI$137,MATCH("TRL - NLSL - Existing Resource "&amp;$BT$1,TOCA_current!$A$2:$AI$2,0),FALSE)*$BT$2, VLOOKUP($A107,TOCA_current!$A$2:$AI$137,MATCH("RHWM 2020",TOCA_current!$A$2:$AI$2,0),FALSE)*$BT$2)</f>
        <v>333291.31199999998</v>
      </c>
      <c r="DY107" s="240">
        <f>SUM(BZ107:CW107)+(BT107*RT1SC!$C$4*$BT$2)</f>
        <v>332525.44737331197</v>
      </c>
      <c r="DZ107" s="271">
        <f>VLOOKUP($A107,TOCA_current!$A$2:$AI$137,MATCH("Above RHWM Not Served with LS "&amp;$BT$1,TOCA_current!$A$2:$AI$2,0),FALSE)*$BT$2</f>
        <v>0</v>
      </c>
      <c r="EA107" s="244">
        <f t="shared" si="29"/>
        <v>-765.86462668800959</v>
      </c>
      <c r="EB107" s="295">
        <f>(VLOOKUP($A107,TOCA_current!$A$2:$AI$137,MATCH("RHWM 2020",TOCA_current!$A$2:$AI$2,0),FALSE)*$BT$2) - $DX107</f>
        <v>4769.7119999999995</v>
      </c>
      <c r="EC107" s="240">
        <f t="shared" si="30"/>
        <v>0</v>
      </c>
      <c r="ED107" s="240">
        <f t="shared" si="31"/>
        <v>765.86462668800959</v>
      </c>
      <c r="EE107" s="240">
        <f t="shared" si="32"/>
        <v>0</v>
      </c>
      <c r="EF107" s="240">
        <f t="shared" si="33"/>
        <v>765.86462668800959</v>
      </c>
    </row>
    <row r="108" spans="1:136">
      <c r="A108" s="166">
        <v>10343</v>
      </c>
      <c r="B108" s="167" t="s">
        <v>109</v>
      </c>
      <c r="C108" s="240">
        <v>0</v>
      </c>
      <c r="D108" s="240">
        <v>0</v>
      </c>
      <c r="E108" s="150">
        <f>VLOOKUP($A108,TOCA_previous!$A$2:$AI$137,MATCH(E$4,TOCA_previous!$A$2:$AI$2,0),FALSE)</f>
        <v>1.6364999999999999E-3</v>
      </c>
      <c r="F108" s="151">
        <f>VLOOKUP($A108,TOCA_previous!$A$2:$AI$137,MATCH(F$4,TOCA_previous!$A$2:$AI$2,0),FALSE)</f>
        <v>1.6364999999999999E-3</v>
      </c>
      <c r="G108" s="151">
        <f t="shared" si="18"/>
        <v>0</v>
      </c>
      <c r="H108" s="151">
        <f>VLOOKUP($A108,TOCA_previous!$A$2:$AI$137,MATCH(H$4,TOCA_previous!$A$2:$AI$2,0),FALSE)</f>
        <v>0.06</v>
      </c>
      <c r="I108" s="151">
        <f t="shared" si="19"/>
        <v>0</v>
      </c>
      <c r="J108" s="151">
        <f t="shared" si="20"/>
        <v>0</v>
      </c>
      <c r="K108" s="226">
        <f>VLOOKUP(A108, IRD!$A$5:$C$139, 3, FALSE)</f>
        <v>10505.661</v>
      </c>
      <c r="L108" s="227">
        <f t="array" ref="L108">IF($G108=0, INDEX(LS_previous!$D$4:$AY$138, MATCH('Staging Table'!$A108, LS_previous!$B$4:$B$138, 0), MATCH(L$4&amp;L$5, LS_previous!$D$2:$AY$2&amp;LS_previous!$D$3:$AY$3, 0)),SUM(VLOOKUP($A108, LS_previous!$B$4:$AY$138, LS_previous!D$149, FALSE), VLOOKUP('Staging Table'!$A108, LS_previous!$B$4:$AY$138,LS_previous!AB$149, FALSE))/2)</f>
        <v>-1292</v>
      </c>
      <c r="M108" s="227">
        <f t="array" ref="M108">IF($G108=0, INDEX(LS_previous!$D$4:$AY$138, MATCH('Staging Table'!$A108, LS_previous!$B$4:$B$138, 0), MATCH(M$4&amp;M$5, LS_previous!$D$2:$AY$2&amp;LS_previous!$D$3:$AY$3, 0)),SUM(VLOOKUP($A108, LS_previous!$B$4:$AY$138, LS_previous!E$149, FALSE), VLOOKUP('Staging Table'!$A108, LS_previous!$B$4:$AY$138,LS_previous!AC$149, FALSE))/2)</f>
        <v>-67</v>
      </c>
      <c r="N108" s="227">
        <f t="array" ref="N108">IF($G108=0, INDEX(LS_previous!$D$4:$AY$138, MATCH('Staging Table'!$A108, LS_previous!$B$4:$B$138, 0), MATCH(N$4&amp;N$5, LS_previous!$D$2:$AY$2&amp;LS_previous!$D$3:$AY$3, 0)),SUM(VLOOKUP($A108, LS_previous!$B$4:$AY$138, LS_previous!F$149, FALSE), VLOOKUP('Staging Table'!$A108, LS_previous!$B$4:$AY$138,LS_previous!AD$149, FALSE))/2)</f>
        <v>-1533</v>
      </c>
      <c r="O108" s="227">
        <f t="array" ref="O108">IF($G108=0, INDEX(LS_previous!$D$4:$AY$138, MATCH('Staging Table'!$A108, LS_previous!$B$4:$B$138, 0), MATCH(O$4&amp;O$5, LS_previous!$D$2:$AY$2&amp;LS_previous!$D$3:$AY$3, 0)),SUM(VLOOKUP($A108, LS_previous!$B$4:$AY$138, LS_previous!G$149, FALSE), VLOOKUP('Staging Table'!$A108, LS_previous!$B$4:$AY$138,LS_previous!AE$149, FALSE))/2)</f>
        <v>-94</v>
      </c>
      <c r="P108" s="227">
        <f t="array" ref="P108">IF($G108=0, INDEX(LS_previous!$D$4:$AY$138, MATCH('Staging Table'!$A108, LS_previous!$B$4:$B$138, 0), MATCH(P$4&amp;P$5, LS_previous!$D$2:$AY$2&amp;LS_previous!$D$3:$AY$3, 0)),SUM(VLOOKUP($A108, LS_previous!$B$4:$AY$138, LS_previous!H$149, FALSE), VLOOKUP('Staging Table'!$A108, LS_previous!$B$4:$AY$138,LS_previous!AF$149, FALSE))/2)</f>
        <v>126</v>
      </c>
      <c r="Q108" s="227">
        <f t="array" ref="Q108">IF($G108=0, INDEX(LS_previous!$D$4:$AY$138, MATCH('Staging Table'!$A108, LS_previous!$B$4:$B$138, 0), MATCH(Q$4&amp;Q$5, LS_previous!$D$2:$AY$2&amp;LS_previous!$D$3:$AY$3, 0)),SUM(VLOOKUP($A108, LS_previous!$B$4:$AY$138, LS_previous!I$149, FALSE), VLOOKUP('Staging Table'!$A108, LS_previous!$B$4:$AY$138,LS_previous!AG$149, FALSE))/2)</f>
        <v>1067</v>
      </c>
      <c r="R108" s="227">
        <f t="array" ref="R108">IF($G108=0, INDEX(LS_previous!$D$4:$AY$138, MATCH('Staging Table'!$A108, LS_previous!$B$4:$B$138, 0), MATCH(R$4&amp;R$5, LS_previous!$D$2:$AY$2&amp;LS_previous!$D$3:$AY$3, 0)),SUM(VLOOKUP($A108, LS_previous!$B$4:$AY$138, LS_previous!J$149, FALSE), VLOOKUP('Staging Table'!$A108, LS_previous!$B$4:$AY$138,LS_previous!AH$149, FALSE))/2)</f>
        <v>1283</v>
      </c>
      <c r="S108" s="227">
        <f t="array" ref="S108">IF($G108=0, INDEX(LS_previous!$D$4:$AY$138, MATCH('Staging Table'!$A108, LS_previous!$B$4:$B$138, 0), MATCH(S$4&amp;S$5, LS_previous!$D$2:$AY$2&amp;LS_previous!$D$3:$AY$3, 0)),SUM(VLOOKUP($A108, LS_previous!$B$4:$AY$138, LS_previous!K$149, FALSE), VLOOKUP('Staging Table'!$A108, LS_previous!$B$4:$AY$138,LS_previous!AI$149, FALSE))/2)</f>
        <v>1966</v>
      </c>
      <c r="T108" s="227">
        <f t="array" ref="T108">IF($G108=0, INDEX(LS_previous!$D$4:$AY$138, MATCH('Staging Table'!$A108, LS_previous!$B$4:$B$138, 0), MATCH(T$4&amp;T$5, LS_previous!$D$2:$AY$2&amp;LS_previous!$D$3:$AY$3, 0)),SUM(VLOOKUP($A108, LS_previous!$B$4:$AY$138, LS_previous!L$149, FALSE), VLOOKUP('Staging Table'!$A108, LS_previous!$B$4:$AY$138,LS_previous!AJ$149, FALSE))/2)</f>
        <v>900</v>
      </c>
      <c r="U108" s="227">
        <f t="array" ref="U108">IF($G108=0, INDEX(LS_previous!$D$4:$AY$138, MATCH('Staging Table'!$A108, LS_previous!$B$4:$B$138, 0), MATCH(U$4&amp;U$5, LS_previous!$D$2:$AY$2&amp;LS_previous!$D$3:$AY$3, 0)),SUM(VLOOKUP($A108, LS_previous!$B$4:$AY$138, LS_previous!M$149, FALSE), VLOOKUP('Staging Table'!$A108, LS_previous!$B$4:$AY$138,LS_previous!AK$149, FALSE))/2)</f>
        <v>1404</v>
      </c>
      <c r="V108" s="227">
        <f t="array" ref="V108">IF($G108=0, INDEX(LS_previous!$D$4:$AY$138, MATCH('Staging Table'!$A108, LS_previous!$B$4:$B$138, 0), MATCH(V$4&amp;V$5, LS_previous!$D$2:$AY$2&amp;LS_previous!$D$3:$AY$3, 0)),SUM(VLOOKUP($A108, LS_previous!$B$4:$AY$138, LS_previous!N$149, FALSE), VLOOKUP('Staging Table'!$A108, LS_previous!$B$4:$AY$138,LS_previous!AL$149, FALSE))/2)</f>
        <v>-52</v>
      </c>
      <c r="W108" s="227">
        <f t="array" ref="W108">IF($G108=0, INDEX(LS_previous!$D$4:$AY$138, MATCH('Staging Table'!$A108, LS_previous!$B$4:$B$138, 0), MATCH(W$4&amp;W$5, LS_previous!$D$2:$AY$2&amp;LS_previous!$D$3:$AY$3, 0)),SUM(VLOOKUP($A108, LS_previous!$B$4:$AY$138, LS_previous!O$149, FALSE), VLOOKUP('Staging Table'!$A108, LS_previous!$B$4:$AY$138,LS_previous!AM$149, FALSE))/2)</f>
        <v>750</v>
      </c>
      <c r="X108" s="227">
        <f t="array" ref="X108">IF($G108=0, INDEX(LS_previous!$D$4:$AY$138, MATCH('Staging Table'!$A108, LS_previous!$B$4:$B$138, 0), MATCH(X$4&amp;X$5, LS_previous!$D$2:$AY$2&amp;LS_previous!$D$3:$AY$3, 0)),SUM(VLOOKUP($A108, LS_previous!$B$4:$AY$138, LS_previous!P$149, FALSE), VLOOKUP('Staging Table'!$A108, LS_previous!$B$4:$AY$138,LS_previous!AN$149, FALSE))/2)</f>
        <v>-309</v>
      </c>
      <c r="Y108" s="227">
        <f t="array" ref="Y108">IF($G108=0, INDEX(LS_previous!$D$4:$AY$138, MATCH('Staging Table'!$A108, LS_previous!$B$4:$B$138, 0), MATCH(Y$4&amp;Y$5, LS_previous!$D$2:$AY$2&amp;LS_previous!$D$3:$AY$3, 0)),SUM(VLOOKUP($A108, LS_previous!$B$4:$AY$138, LS_previous!Q$149, FALSE), VLOOKUP('Staging Table'!$A108, LS_previous!$B$4:$AY$138,LS_previous!AO$149, FALSE))/2)</f>
        <v>650</v>
      </c>
      <c r="Z108" s="227">
        <f t="array" ref="Z108">IF($G108=0, INDEX(LS_previous!$D$4:$AY$138, MATCH('Staging Table'!$A108, LS_previous!$B$4:$B$138, 0), MATCH(Z$4&amp;Z$5, LS_previous!$D$2:$AY$2&amp;LS_previous!$D$3:$AY$3, 0)),SUM(VLOOKUP($A108, LS_previous!$B$4:$AY$138, LS_previous!R$149, FALSE), VLOOKUP('Staging Table'!$A108, LS_previous!$B$4:$AY$138,LS_previous!AP$149, FALSE))/2)</f>
        <v>-1671</v>
      </c>
      <c r="AA108" s="227">
        <f t="array" ref="AA108">IF($G108=0, INDEX(LS_previous!$D$4:$AY$138, MATCH('Staging Table'!$A108, LS_previous!$B$4:$B$138, 0), MATCH(AA$4&amp;AA$5, LS_previous!$D$2:$AY$2&amp;LS_previous!$D$3:$AY$3, 0)),SUM(VLOOKUP($A108, LS_previous!$B$4:$AY$138, LS_previous!S$149, FALSE), VLOOKUP('Staging Table'!$A108, LS_previous!$B$4:$AY$138,LS_previous!AQ$149, FALSE))/2)</f>
        <v>214</v>
      </c>
      <c r="AB108" s="227">
        <f t="array" ref="AB108">IF($G108=0, INDEX(LS_previous!$D$4:$AY$138, MATCH('Staging Table'!$A108, LS_previous!$B$4:$B$138, 0), MATCH(AB$4&amp;AB$5, LS_previous!$D$2:$AY$2&amp;LS_previous!$D$3:$AY$3, 0)),SUM(VLOOKUP($A108, LS_previous!$B$4:$AY$138, LS_previous!T$149, FALSE), VLOOKUP('Staging Table'!$A108, LS_previous!$B$4:$AY$138,LS_previous!AR$149, FALSE))/2)</f>
        <v>-274</v>
      </c>
      <c r="AC108" s="227">
        <f t="array" ref="AC108">IF($G108=0, INDEX(LS_previous!$D$4:$AY$138, MATCH('Staging Table'!$A108, LS_previous!$B$4:$B$138, 0), MATCH(AC$4&amp;AC$5, LS_previous!$D$2:$AY$2&amp;LS_previous!$D$3:$AY$3, 0)),SUM(VLOOKUP($A108, LS_previous!$B$4:$AY$138, LS_previous!U$149, FALSE), VLOOKUP('Staging Table'!$A108, LS_previous!$B$4:$AY$138,LS_previous!AS$149, FALSE))/2)</f>
        <v>886</v>
      </c>
      <c r="AD108" s="227">
        <f t="array" ref="AD108">IF($G108=0, INDEX(LS_previous!$D$4:$AY$138, MATCH('Staging Table'!$A108, LS_previous!$B$4:$B$138, 0), MATCH(AD$4&amp;AD$5, LS_previous!$D$2:$AY$2&amp;LS_previous!$D$3:$AY$3, 0)),SUM(VLOOKUP($A108, LS_previous!$B$4:$AY$138, LS_previous!V$149, FALSE), VLOOKUP('Staging Table'!$A108, LS_previous!$B$4:$AY$138,LS_previous!AT$149, FALSE))/2)</f>
        <v>450</v>
      </c>
      <c r="AE108" s="227">
        <f t="array" ref="AE108">IF($G108=0, INDEX(LS_previous!$D$4:$AY$138, MATCH('Staging Table'!$A108, LS_previous!$B$4:$B$138, 0), MATCH(AE$4&amp;AE$5, LS_previous!$D$2:$AY$2&amp;LS_previous!$D$3:$AY$3, 0)),SUM(VLOOKUP($A108, LS_previous!$B$4:$AY$138, LS_previous!W$149, FALSE), VLOOKUP('Staging Table'!$A108, LS_previous!$B$4:$AY$138,LS_previous!AU$149, FALSE))/2)</f>
        <v>1527</v>
      </c>
      <c r="AF108" s="227">
        <f t="array" ref="AF108">IF($G108=0, INDEX(LS_previous!$D$4:$AY$138, MATCH('Staging Table'!$A108, LS_previous!$B$4:$B$138, 0), MATCH(AF$4&amp;AF$5, LS_previous!$D$2:$AY$2&amp;LS_previous!$D$3:$AY$3, 0)),SUM(VLOOKUP($A108, LS_previous!$B$4:$AY$138, LS_previous!X$149, FALSE), VLOOKUP('Staging Table'!$A108, LS_previous!$B$4:$AY$138,LS_previous!AV$149, FALSE))/2)</f>
        <v>-222</v>
      </c>
      <c r="AG108" s="227">
        <f t="array" ref="AG108">IF($G108=0, INDEX(LS_previous!$D$4:$AY$138, MATCH('Staging Table'!$A108, LS_previous!$B$4:$B$138, 0), MATCH(AG$4&amp;AG$5, LS_previous!$D$2:$AY$2&amp;LS_previous!$D$3:$AY$3, 0)),SUM(VLOOKUP($A108, LS_previous!$B$4:$AY$138, LS_previous!Y$149, FALSE), VLOOKUP('Staging Table'!$A108, LS_previous!$B$4:$AY$138,LS_previous!AW$149, FALSE))/2)</f>
        <v>1030</v>
      </c>
      <c r="AH108" s="227">
        <f t="array" ref="AH108">IF($G108=0, INDEX(LS_previous!$D$4:$AY$138, MATCH('Staging Table'!$A108, LS_previous!$B$4:$B$138, 0), MATCH(AH$4&amp;AH$5, LS_previous!$D$2:$AY$2&amp;LS_previous!$D$3:$AY$3, 0)),SUM(VLOOKUP($A108, LS_previous!$B$4:$AY$138, LS_previous!Z$149, FALSE), VLOOKUP('Staging Table'!$A108, LS_previous!$B$4:$AY$138,LS_previous!AX$149, FALSE))/2)</f>
        <v>-693</v>
      </c>
      <c r="AI108" s="227">
        <f t="array" ref="AI108">IF($G108=0, INDEX(LS_previous!$D$4:$AY$138, MATCH('Staging Table'!$A108, LS_previous!$B$4:$B$138, 0), MATCH(AI$4&amp;AI$5, LS_previous!$D$2:$AY$2&amp;LS_previous!$D$3:$AY$3, 0)),SUM(VLOOKUP($A108, LS_previous!$B$4:$AY$138, LS_previous!AA$149, FALSE), VLOOKUP('Staging Table'!$A108, LS_previous!$B$4:$AY$138,LS_previous!AY$149, FALSE))/2)</f>
        <v>472</v>
      </c>
      <c r="AJ108" s="424">
        <f t="array" ref="AJ108">INDEX(Demand_previous!$D$4:$AY$138, MATCH('Staging Table'!$A108, Demand_previous!$B$4:$B$138, 0), MATCH(AJ$4&amp;AJ$5,Demand_previous!$D$2:$AY$2&amp;Demand_previous!$D$3:$AY$3, 0))/1000</f>
        <v>0</v>
      </c>
      <c r="AK108" s="424">
        <f t="array" ref="AK108">INDEX(Demand_previous!$D$4:$AY$138, MATCH('Staging Table'!$A108, Demand_previous!$B$4:$B$138, 0), MATCH(AK$4&amp;AK$5,Demand_previous!$D$2:$AY$2&amp;Demand_previous!$D$3:$AY$3, 0))/1000</f>
        <v>0</v>
      </c>
      <c r="AL108" s="424">
        <f t="array" ref="AL108">INDEX(Demand_previous!$D$4:$AY$138, MATCH('Staging Table'!$A108, Demand_previous!$B$4:$B$138, 0), MATCH(AL$4&amp;AL$5,Demand_previous!$D$2:$AY$2&amp;Demand_previous!$D$3:$AY$3, 0))/1000</f>
        <v>0</v>
      </c>
      <c r="AM108" s="424">
        <f t="array" ref="AM108">INDEX(Demand_previous!$D$4:$AY$138, MATCH('Staging Table'!$A108, Demand_previous!$B$4:$B$138, 0), MATCH(AM$4&amp;AM$5,Demand_previous!$D$2:$AY$2&amp;Demand_previous!$D$3:$AY$3, 0))/1000</f>
        <v>0</v>
      </c>
      <c r="AN108" s="424">
        <f t="array" ref="AN108">INDEX(Demand_previous!$D$4:$AY$138, MATCH('Staging Table'!$A108, Demand_previous!$B$4:$B$138, 0), MATCH(AN$4&amp;AN$5,Demand_previous!$D$2:$AY$2&amp;Demand_previous!$D$3:$AY$3, 0))/1000</f>
        <v>0</v>
      </c>
      <c r="AO108" s="424">
        <f t="array" ref="AO108">INDEX(Demand_previous!$D$4:$AY$138, MATCH('Staging Table'!$A108, Demand_previous!$B$4:$B$138, 0), MATCH(AO$4&amp;AO$5,Demand_previous!$D$2:$AY$2&amp;Demand_previous!$D$3:$AY$3, 0))/1000</f>
        <v>0</v>
      </c>
      <c r="AP108" s="424">
        <f t="array" ref="AP108">INDEX(Demand_previous!$D$4:$AY$138, MATCH('Staging Table'!$A108, Demand_previous!$B$4:$B$138, 0), MATCH(AP$4&amp;AP$5,Demand_previous!$D$2:$AY$2&amp;Demand_previous!$D$3:$AY$3, 0))/1000</f>
        <v>0</v>
      </c>
      <c r="AQ108" s="424">
        <f t="array" ref="AQ108">INDEX(Demand_previous!$D$4:$AY$138, MATCH('Staging Table'!$A108, Demand_previous!$B$4:$B$138, 0), MATCH(AQ$4&amp;AQ$5,Demand_previous!$D$2:$AY$2&amp;Demand_previous!$D$3:$AY$3, 0))/1000</f>
        <v>0</v>
      </c>
      <c r="AR108" s="424">
        <f t="array" ref="AR108">INDEX(Demand_previous!$D$4:$AY$138, MATCH('Staging Table'!$A108, Demand_previous!$B$4:$B$138, 0), MATCH(AR$4&amp;AR$5,Demand_previous!$D$2:$AY$2&amp;Demand_previous!$D$3:$AY$3, 0))/1000</f>
        <v>0</v>
      </c>
      <c r="AS108" s="424">
        <f t="array" ref="AS108">INDEX(Demand_previous!$D$4:$AY$138, MATCH('Staging Table'!$A108, Demand_previous!$B$4:$B$138, 0), MATCH(AS$4&amp;AS$5,Demand_previous!$D$2:$AY$2&amp;Demand_previous!$D$3:$AY$3, 0))/1000</f>
        <v>0</v>
      </c>
      <c r="AT108" s="424">
        <f t="array" ref="AT108">INDEX(Demand_previous!$D$4:$AY$138, MATCH('Staging Table'!$A108, Demand_previous!$B$4:$B$138, 0), MATCH(AT$4&amp;AT$5,Demand_previous!$D$2:$AY$2&amp;Demand_previous!$D$3:$AY$3, 0))/1000</f>
        <v>0</v>
      </c>
      <c r="AU108" s="424">
        <f t="array" ref="AU108">INDEX(Demand_previous!$D$4:$AY$138, MATCH('Staging Table'!$A108, Demand_previous!$B$4:$B$138, 0), MATCH(AU$4&amp;AU$5,Demand_previous!$D$2:$AY$2&amp;Demand_previous!$D$3:$AY$3, 0))/1000</f>
        <v>0</v>
      </c>
      <c r="AV108" s="227">
        <f>$F108*(VLOOKUP(AV$4, Rates_previous!$G$6:$Q$29, 10, FALSE)+VLOOKUP(AV$4, Rates_previous!$G$6:$Q$29, 11, FALSE))</f>
        <v>7673.2829981504156</v>
      </c>
      <c r="AW108" s="227">
        <f>$F108*(VLOOKUP(AW$4, Rates_previous!$G$6:$Q$29, 10, FALSE)+VLOOKUP(AW$4, Rates_previous!$G$6:$Q$29, 11, FALSE))</f>
        <v>9483.5945852991463</v>
      </c>
      <c r="AX108" s="227">
        <f>$F108*(VLOOKUP(AX$4, Rates_previous!$G$6:$Q$29, 10, FALSE)+VLOOKUP(AX$4, Rates_previous!$G$6:$Q$29, 11, FALSE))</f>
        <v>9369.7079572567145</v>
      </c>
      <c r="AY108" s="227">
        <f>$F108*(VLOOKUP(AY$4, Rates_previous!$G$6:$Q$29, 10, FALSE)+VLOOKUP(AY$4, Rates_previous!$G$6:$Q$29, 11, FALSE))</f>
        <v>8005.5223688093392</v>
      </c>
      <c r="AZ108" s="227">
        <f>$F108*(VLOOKUP(AZ$4, Rates_previous!$G$6:$Q$29, 10, FALSE)+VLOOKUP(AZ$4, Rates_previous!$G$6:$Q$29, 11, FALSE))</f>
        <v>6562.9755020601142</v>
      </c>
      <c r="BA108" s="227">
        <f>$F108*(VLOOKUP(BA$4, Rates_previous!$G$6:$Q$29, 10, FALSE)+VLOOKUP(BA$4, Rates_previous!$G$6:$Q$29, 11, FALSE))</f>
        <v>7770.3246050450571</v>
      </c>
      <c r="BB108" s="227">
        <f>$F108*(VLOOKUP(BB$4, Rates_previous!$G$6:$Q$29, 10, FALSE)+VLOOKUP(BB$4, Rates_previous!$G$6:$Q$29, 11, FALSE))</f>
        <v>7468.4122081181749</v>
      </c>
      <c r="BC108" s="227">
        <f>$F108*(VLOOKUP(BC$4, Rates_previous!$G$6:$Q$29, 10, FALSE)+VLOOKUP(BC$4, Rates_previous!$G$6:$Q$29, 11, FALSE))</f>
        <v>10959.366430046013</v>
      </c>
      <c r="BD108" s="227">
        <f>$F108*(VLOOKUP(BD$4, Rates_previous!$G$6:$Q$29, 10, FALSE)+VLOOKUP(BD$4, Rates_previous!$G$6:$Q$29, 11, FALSE))</f>
        <v>8646.6504537207511</v>
      </c>
      <c r="BE108" s="227">
        <f>$F108*(VLOOKUP(BE$4, Rates_previous!$G$6:$Q$29, 10, FALSE)+VLOOKUP(BE$4, Rates_previous!$G$6:$Q$29, 11, FALSE))</f>
        <v>7592.4848595576168</v>
      </c>
      <c r="BF108" s="227">
        <f>$F108*(VLOOKUP(BF$4, Rates_previous!$G$6:$Q$29, 10, FALSE)+VLOOKUP(BF$4, Rates_previous!$G$6:$Q$29, 11, FALSE))</f>
        <v>8408.9808917635401</v>
      </c>
      <c r="BG108" s="227">
        <f>$F108*(VLOOKUP(BG$4, Rates_previous!$G$6:$Q$29, 10, FALSE)+VLOOKUP(BG$4, Rates_previous!$G$6:$Q$29, 11, FALSE))</f>
        <v>7618.2022837260811</v>
      </c>
      <c r="BH108" s="229">
        <f>IF($D108=0,IF(C108=0, MAX(BK108 - (VLOOKUP($A108,TOCA_previous!$A$2:$AI$137,MATCH("RHWM 2018",TOCA_previous!$A$2:$AI$2,0),FALSE)*$F$2*TOCA_previous!C105),0),0), 0)</f>
        <v>0</v>
      </c>
      <c r="BI108" s="266">
        <f>VLOOKUP($A108,REP_previous!$A$1:$D$135,MATCH("FY "&amp;$F$1&amp; " Total Refund",REP_previous!$A$1:$D$1,0),0)</f>
        <v>191610.45666428225</v>
      </c>
      <c r="BJ108" s="241">
        <f>MIN(VLOOKUP($A108,TOCA_previous!$A$2:$AI$137,MATCH("TRL - NLSL - Existing Resource "&amp;$F$1,TOCA_previous!$A$2:$AI$2,0),FALSE)*$F$2,(VLOOKUP($A108,TOCA_previous!$A$2:$AI$137,MATCH("RHWM 2018",TOCA_previous!$A$2:$AI$2,0),FALSE)*$F$2))</f>
        <v>99557.400000000009</v>
      </c>
      <c r="BK108" s="229">
        <f>SUM(L108:AI108)+(F108*RT1SC!$C$3*$F$2)</f>
        <v>106077.50659604</v>
      </c>
      <c r="BL108" s="241">
        <f>VLOOKUP($A108,TOCA_previous!$A$2:$AI$137,MATCH("Above RHWM Not Served with LS "&amp;$F$1,TOCA_previous!$A$2:$AI$2,0),FALSE)*$F$2</f>
        <v>0</v>
      </c>
      <c r="BM108" s="151">
        <f t="shared" si="21"/>
        <v>6520.1065960399865</v>
      </c>
      <c r="BN108" s="242">
        <f>(VLOOKUP($A108,TOCA_previous!$A$2:$AI$137,MATCH("RHWM 2018",TOCA_previous!$A$2:$AI$2,0),FALSE)*$F$2) - $BJ108</f>
        <v>170995.20000000001</v>
      </c>
      <c r="BO108" s="151">
        <f t="shared" si="22"/>
        <v>-6520.1065960399865</v>
      </c>
      <c r="BP108" s="243">
        <f t="shared" si="23"/>
        <v>0</v>
      </c>
      <c r="BQ108" s="237">
        <f t="shared" si="24"/>
        <v>0</v>
      </c>
      <c r="BR108" s="242">
        <f t="shared" si="25"/>
        <v>-6520.1065960399865</v>
      </c>
      <c r="BS108" s="151">
        <f>VLOOKUP($A108,TOCA_current!$A$2:$AI$137,MATCH(BS$4,TOCA_current!$A$2:$AI$2,0),FALSE)</f>
        <v>1.7191000000000001E-3</v>
      </c>
      <c r="BT108" s="151">
        <f>VLOOKUP($A108,TOCA_current!$A$2:$AI$137,MATCH(BT$4,TOCA_current!$A$2:$AI$2,0),FALSE)</f>
        <v>1.7191000000000001E-3</v>
      </c>
      <c r="BU108" s="236">
        <f t="shared" si="26"/>
        <v>0</v>
      </c>
      <c r="BV108" s="151">
        <f>VLOOKUP($A108,TOCA_current!A104:BG239,MATCH(BV$4,TOCA_current!$A$2:$BG$2,0),FALSE)</f>
        <v>7.0000000000000007E-2</v>
      </c>
      <c r="BW108" s="151">
        <f t="shared" si="27"/>
        <v>0</v>
      </c>
      <c r="BX108" s="151">
        <f t="shared" si="28"/>
        <v>0</v>
      </c>
      <c r="BY108" s="226">
        <f>VLOOKUP($A108,IRD!$A$4:$G$139, 7, FALSE)</f>
        <v>10505.661</v>
      </c>
      <c r="BZ108" s="227">
        <f t="array" ref="BZ108">IF($BU108=0, INDEX(LS_current!$D$4:$AY$138, MATCH('Staging Table'!$A108, LS_current!$B$4:$B$138, 0), MATCH(BZ$4&amp;BZ$5, LS_current!$D$2:$AY$2&amp;LS_current!$D$3:$AY$3, 0)),SUM(VLOOKUP($A108, LS_current!$B$4:$AY$138, LS_current!D$148, FALSE), VLOOKUP($A108, LS_current!$B$4:$AY$138,LS_current!D$148, FALSE))/2)</f>
        <v>-1474</v>
      </c>
      <c r="CA108" s="227">
        <f t="array" ref="CA108">IF($BU108=0, INDEX(LS_current!$D$4:$AY$138, MATCH('Staging Table'!$A108, LS_current!$B$4:$B$138, 0), MATCH(CA$4&amp;CA$5, LS_current!$D$2:$AY$2&amp;LS_current!$D$3:$AY$3, 0)),SUM(VLOOKUP($A108, LS_current!$B$4:$AY$138, LS_current!E$148, FALSE), VLOOKUP($A108, LS_current!$B$4:$AY$138,LS_current!E$148, FALSE))/2)</f>
        <v>-150</v>
      </c>
      <c r="CB108" s="227">
        <f t="array" ref="CB108">IF($BU108=0, INDEX(LS_current!$D$4:$AY$138, MATCH('Staging Table'!$A108, LS_current!$B$4:$B$138, 0), MATCH(CB$4&amp;CB$5, LS_current!$D$2:$AY$2&amp;LS_current!$D$3:$AY$3, 0)),SUM(VLOOKUP($A108, LS_current!$B$4:$AY$138, LS_current!F$148, FALSE), VLOOKUP($A108, LS_current!$B$4:$AY$138,LS_current!F$148, FALSE))/2)</f>
        <v>-1879</v>
      </c>
      <c r="CC108" s="227">
        <f t="array" ref="CC108">IF($BU108=0, INDEX(LS_current!$D$4:$AY$138, MATCH('Staging Table'!$A108, LS_current!$B$4:$B$138, 0), MATCH(CC$4&amp;CC$5, LS_current!$D$2:$AY$2&amp;LS_current!$D$3:$AY$3, 0)),SUM(VLOOKUP($A108, LS_current!$B$4:$AY$138, LS_current!G$148, FALSE), VLOOKUP($A108, LS_current!$B$4:$AY$138,LS_current!G$148, FALSE))/2)</f>
        <v>-348</v>
      </c>
      <c r="CD108" s="227">
        <f t="array" ref="CD108">IF($BU108=0, INDEX(LS_current!$D$4:$AY$138, MATCH('Staging Table'!$A108, LS_current!$B$4:$B$138, 0), MATCH(CD$4&amp;CD$5, LS_current!$D$2:$AY$2&amp;LS_current!$D$3:$AY$3, 0)),SUM(VLOOKUP($A108, LS_current!$B$4:$AY$138, LS_current!H$148, FALSE), VLOOKUP($A108, LS_current!$B$4:$AY$138,LS_current!H$148, FALSE))/2)</f>
        <v>-223</v>
      </c>
      <c r="CE108" s="227">
        <f t="array" ref="CE108">IF($BU108=0, INDEX(LS_current!$D$4:$AY$138, MATCH('Staging Table'!$A108, LS_current!$B$4:$B$138, 0), MATCH(CE$4&amp;CE$5, LS_current!$D$2:$AY$2&amp;LS_current!$D$3:$AY$3, 0)),SUM(VLOOKUP($A108, LS_current!$B$4:$AY$138, LS_current!I$148, FALSE), VLOOKUP($A108, LS_current!$B$4:$AY$138,LS_current!I$148, FALSE))/2)</f>
        <v>824</v>
      </c>
      <c r="CF108" s="227">
        <f t="array" ref="CF108">IF($BU108=0, INDEX(LS_current!$D$4:$AY$138, MATCH('Staging Table'!$A108, LS_current!$B$4:$B$138, 0), MATCH(CF$4&amp;CF$5, LS_current!$D$2:$AY$2&amp;LS_current!$D$3:$AY$3, 0)),SUM(VLOOKUP($A108, LS_current!$B$4:$AY$138, LS_current!J$148, FALSE), VLOOKUP($A108, LS_current!$B$4:$AY$138,LS_current!J$148, FALSE))/2)</f>
        <v>1011</v>
      </c>
      <c r="CG108" s="227">
        <f t="array" ref="CG108">IF($BU108=0, INDEX(LS_current!$D$4:$AY$138, MATCH('Staging Table'!$A108, LS_current!$B$4:$B$138, 0), MATCH(CG$4&amp;CG$5, LS_current!$D$2:$AY$2&amp;LS_current!$D$3:$AY$3, 0)),SUM(VLOOKUP($A108, LS_current!$B$4:$AY$138, LS_current!K$148, FALSE), VLOOKUP($A108, LS_current!$B$4:$AY$138,LS_current!K$148, FALSE))/2)</f>
        <v>1940</v>
      </c>
      <c r="CH108" s="227">
        <f t="array" ref="CH108">IF($BU108=0, INDEX(LS_current!$D$4:$AY$138, MATCH('Staging Table'!$A108, LS_current!$B$4:$B$138, 0), MATCH(CH$4&amp;CH$5, LS_current!$D$2:$AY$2&amp;LS_current!$D$3:$AY$3, 0)),SUM(VLOOKUP($A108, LS_current!$B$4:$AY$138, LS_current!L$148, FALSE), VLOOKUP($A108, LS_current!$B$4:$AY$138,LS_current!L$148, FALSE))/2)</f>
        <v>300</v>
      </c>
      <c r="CI108" s="227">
        <f t="array" ref="CI108">IF($BU108=0, INDEX(LS_current!$D$4:$AY$138, MATCH('Staging Table'!$A108, LS_current!$B$4:$B$138, 0), MATCH(CI$4&amp;CI$5, LS_current!$D$2:$AY$2&amp;LS_current!$D$3:$AY$3, 0)),SUM(VLOOKUP($A108, LS_current!$B$4:$AY$138, LS_current!M$148, FALSE), VLOOKUP($A108, LS_current!$B$4:$AY$138,LS_current!M$148, FALSE))/2)</f>
        <v>1045</v>
      </c>
      <c r="CJ108" s="227">
        <f t="array" ref="CJ108">IF($BU108=0, INDEX(LS_current!$D$4:$AY$138, MATCH('Staging Table'!$A108, LS_current!$B$4:$B$138, 0), MATCH(CJ$4&amp;CJ$5, LS_current!$D$2:$AY$2&amp;LS_current!$D$3:$AY$3, 0)),SUM(VLOOKUP($A108, LS_current!$B$4:$AY$138, LS_current!N$148, FALSE), VLOOKUP($A108, LS_current!$B$4:$AY$138,LS_current!N$148, FALSE))/2)</f>
        <v>-459</v>
      </c>
      <c r="CK108" s="227">
        <f t="array" ref="CK108">IF($BU108=0, INDEX(LS_current!$D$4:$AY$138, MATCH('Staging Table'!$A108, LS_current!$B$4:$B$138, 0), MATCH(CK$4&amp;CK$5, LS_current!$D$2:$AY$2&amp;LS_current!$D$3:$AY$3, 0)),SUM(VLOOKUP($A108, LS_current!$B$4:$AY$138, LS_current!O$148, FALSE), VLOOKUP($A108, LS_current!$B$4:$AY$138,LS_current!O$148, FALSE))/2)</f>
        <v>559</v>
      </c>
      <c r="CL108" s="227">
        <f t="array" ref="CL108">IF($BU108=0, INDEX(LS_current!$D$4:$AY$138, MATCH('Staging Table'!$A108, LS_current!$B$4:$B$138, 0), MATCH(CL$4&amp;CL$5, LS_current!$D$2:$AY$2&amp;LS_current!$D$3:$AY$3, 0)),SUM(VLOOKUP($A108, LS_current!$B$4:$AY$138, LS_current!P$148, FALSE), VLOOKUP($A108, LS_current!$B$4:$AY$138,LS_current!P$148, FALSE))/2)</f>
        <v>207</v>
      </c>
      <c r="CM108" s="227">
        <f t="array" ref="CM108">IF($BU108=0, INDEX(LS_current!$D$4:$AY$138, MATCH('Staging Table'!$A108, LS_current!$B$4:$B$138, 0), MATCH(CM$4&amp;CM$5, LS_current!$D$2:$AY$2&amp;LS_current!$D$3:$AY$3, 0)),SUM(VLOOKUP($A108, LS_current!$B$4:$AY$138, LS_current!Q$148, FALSE), VLOOKUP($A108, LS_current!$B$4:$AY$138,LS_current!Q$148, FALSE))/2)</f>
        <v>790</v>
      </c>
      <c r="CN108" s="227">
        <f t="array" ref="CN108">IF($BU108=0, INDEX(LS_current!$D$4:$AY$138, MATCH('Staging Table'!$A108, LS_current!$B$4:$B$138, 0), MATCH(CN$4&amp;CN$5, LS_current!$D$2:$AY$2&amp;LS_current!$D$3:$AY$3, 0)),SUM(VLOOKUP($A108, LS_current!$B$4:$AY$138, LS_current!R$148, FALSE), VLOOKUP($A108, LS_current!$B$4:$AY$138,LS_current!R$148, FALSE))/2)</f>
        <v>-648</v>
      </c>
      <c r="CO108" s="227">
        <f t="array" ref="CO108">IF($BU108=0, INDEX(LS_current!$D$4:$AY$138, MATCH('Staging Table'!$A108, LS_current!$B$4:$B$138, 0), MATCH(CO$4&amp;CO$5, LS_current!$D$2:$AY$2&amp;LS_current!$D$3:$AY$3, 0)),SUM(VLOOKUP($A108, LS_current!$B$4:$AY$138, LS_current!S$148, FALSE), VLOOKUP($A108, LS_current!$B$4:$AY$138,LS_current!S$148, FALSE))/2)</f>
        <v>963</v>
      </c>
      <c r="CP108" s="227">
        <f t="array" ref="CP108">IF($BU108=0, INDEX(LS_current!$D$4:$AY$138, MATCH('Staging Table'!$A108, LS_current!$B$4:$B$138, 0), MATCH(CP$4&amp;CP$5, LS_current!$D$2:$AY$2&amp;LS_current!$D$3:$AY$3, 0)),SUM(VLOOKUP($A108, LS_current!$B$4:$AY$138, LS_current!T$148, FALSE), VLOOKUP($A108, LS_current!$B$4:$AY$138,LS_current!T$148, FALSE))/2)</f>
        <v>-2226</v>
      </c>
      <c r="CQ108" s="227">
        <f t="array" ref="CQ108">IF($BU108=0, INDEX(LS_current!$D$4:$AY$138, MATCH('Staging Table'!$A108, LS_current!$B$4:$B$138, 0), MATCH(CQ$4&amp;CQ$5, LS_current!$D$2:$AY$2&amp;LS_current!$D$3:$AY$3, 0)),SUM(VLOOKUP($A108, LS_current!$B$4:$AY$138, LS_current!U$148, FALSE), VLOOKUP($A108, LS_current!$B$4:$AY$138,LS_current!U$148, FALSE))/2)</f>
        <v>-239</v>
      </c>
      <c r="CR108" s="227">
        <f t="array" ref="CR108">IF($BU108=0, INDEX(LS_current!$D$4:$AY$138, MATCH('Staging Table'!$A108, LS_current!$B$4:$B$138, 0), MATCH(CR$4&amp;CR$5, LS_current!$D$2:$AY$2&amp;LS_current!$D$3:$AY$3, 0)),SUM(VLOOKUP($A108, LS_current!$B$4:$AY$138, LS_current!V$148, FALSE), VLOOKUP($A108, LS_current!$B$4:$AY$138,LS_current!V$148, FALSE))/2)</f>
        <v>-913</v>
      </c>
      <c r="CS108" s="227">
        <f t="array" ref="CS108">IF($BU108=0, INDEX(LS_current!$D$4:$AY$138, MATCH('Staging Table'!$A108, LS_current!$B$4:$B$138, 0), MATCH(CS$4&amp;CS$5, LS_current!$D$2:$AY$2&amp;LS_current!$D$3:$AY$3, 0)),SUM(VLOOKUP($A108, LS_current!$B$4:$AY$138, LS_current!W$148, FALSE), VLOOKUP($A108, LS_current!$B$4:$AY$138,LS_current!W$148, FALSE))/2)</f>
        <v>1291</v>
      </c>
      <c r="CT108" s="227">
        <f t="array" ref="CT108">IF($BU108=0, INDEX(LS_current!$D$4:$AY$138, MATCH('Staging Table'!$A108, LS_current!$B$4:$B$138, 0), MATCH(CT$4&amp;CT$5, LS_current!$D$2:$AY$2&amp;LS_current!$D$3:$AY$3, 0)),SUM(VLOOKUP($A108, LS_current!$B$4:$AY$138, LS_current!X$148, FALSE), VLOOKUP($A108, LS_current!$B$4:$AY$138,LS_current!X$148, FALSE))/2)</f>
        <v>-729</v>
      </c>
      <c r="CU108" s="227">
        <f t="array" ref="CU108">IF($BU108=0, INDEX(LS_current!$D$4:$AY$138, MATCH('Staging Table'!$A108, LS_current!$B$4:$B$138, 0), MATCH(CU$4&amp;CU$5, LS_current!$D$2:$AY$2&amp;LS_current!$D$3:$AY$3, 0)),SUM(VLOOKUP($A108, LS_current!$B$4:$AY$138, LS_current!Y$148, FALSE), VLOOKUP($A108, LS_current!$B$4:$AY$138,LS_current!Y$148, FALSE))/2)</f>
        <v>997</v>
      </c>
      <c r="CV108" s="227">
        <f t="array" ref="CV108">IF($BU108=0, INDEX(LS_current!$D$4:$AY$138, MATCH('Staging Table'!$A108, LS_current!$B$4:$B$138, 0), MATCH(CV$4&amp;CV$5, LS_current!$D$2:$AY$2&amp;LS_current!$D$3:$AY$3, 0)),SUM(VLOOKUP($A108, LS_current!$B$4:$AY$138, LS_current!Z$148, FALSE), VLOOKUP($A108, LS_current!$B$4:$AY$138,LS_current!Z$148, FALSE))/2)</f>
        <v>-969</v>
      </c>
      <c r="CW108" s="227">
        <f t="array" ref="CW108">IF($BU108=0, INDEX(LS_current!$D$4:$AY$138, MATCH('Staging Table'!$A108, LS_current!$B$4:$B$138, 0), MATCH(CW$4&amp;CW$5, LS_current!$D$2:$AY$2&amp;LS_current!$D$3:$AY$3, 0)),SUM(VLOOKUP($A108, LS_current!$B$4:$AY$138, LS_current!AA$148, FALSE), VLOOKUP($A108, LS_current!$B$4:$AY$138,LS_current!AA$148, FALSE))/2)</f>
        <v>331</v>
      </c>
      <c r="CX108" s="229">
        <f t="array" ref="CX108">INDEX(Demand_current!$D$4:$AY$138, MATCH($A108, Demand_current!$B$4:$B$138, 0), MATCH(CX$4&amp;CX$5,Demand_current!$D$2:$AY$2&amp;Demand_current!$D$3:$AY$3, 0))/1000</f>
        <v>0</v>
      </c>
      <c r="CY108" s="229">
        <f t="array" ref="CY108">INDEX(Demand_current!$D$4:$AY$138, MATCH($A108, Demand_current!$B$4:$B$138, 0), MATCH(CY$4&amp;CY$5,Demand_current!$D$2:$AY$2&amp;Demand_current!$D$3:$AY$3, 0))/1000</f>
        <v>0</v>
      </c>
      <c r="CZ108" s="229">
        <f t="array" ref="CZ108">INDEX(Demand_current!$D$4:$AY$138, MATCH($A108, Demand_current!$B$4:$B$138, 0), MATCH(CZ$4&amp;CZ$5,Demand_current!$D$2:$AY$2&amp;Demand_current!$D$3:$AY$3, 0))/1000</f>
        <v>0</v>
      </c>
      <c r="DA108" s="229">
        <f t="array" ref="DA108">INDEX(Demand_current!$D$4:$AY$138, MATCH($A108, Demand_current!$B$4:$B$138, 0), MATCH(DA$4&amp;DA$5,Demand_current!$D$2:$AY$2&amp;Demand_current!$D$3:$AY$3, 0))/1000</f>
        <v>0</v>
      </c>
      <c r="DB108" s="229">
        <f t="array" ref="DB108">INDEX(Demand_current!$D$4:$AY$138, MATCH($A108, Demand_current!$B$4:$B$138, 0), MATCH(DB$4&amp;DB$5,Demand_current!$D$2:$AY$2&amp;Demand_current!$D$3:$AY$3, 0))/1000</f>
        <v>0</v>
      </c>
      <c r="DC108" s="229">
        <f t="array" ref="DC108">INDEX(Demand_current!$D$4:$AY$138, MATCH($A108, Demand_current!$B$4:$B$138, 0), MATCH(DC$4&amp;DC$5,Demand_current!$D$2:$AY$2&amp;Demand_current!$D$3:$AY$3, 0))/1000</f>
        <v>0</v>
      </c>
      <c r="DD108" s="229">
        <f t="array" ref="DD108">INDEX(Demand_current!$D$4:$AY$138, MATCH($A108, Demand_current!$B$4:$B$138, 0), MATCH(DD$4&amp;DD$5,Demand_current!$D$2:$AY$2&amp;Demand_current!$D$3:$AY$3, 0))/1000</f>
        <v>0</v>
      </c>
      <c r="DE108" s="229">
        <f t="array" ref="DE108">INDEX(Demand_current!$D$4:$AY$138, MATCH($A108, Demand_current!$B$4:$B$138, 0), MATCH(DE$4&amp;DE$5,Demand_current!$D$2:$AY$2&amp;Demand_current!$D$3:$AY$3, 0))/1000</f>
        <v>0</v>
      </c>
      <c r="DF108" s="229">
        <f t="array" ref="DF108">INDEX(Demand_current!$D$4:$AY$138, MATCH($A108, Demand_current!$B$4:$B$138, 0), MATCH(DF$4&amp;DF$5,Demand_current!$D$2:$AY$2&amp;Demand_current!$D$3:$AY$3, 0))/1000</f>
        <v>0</v>
      </c>
      <c r="DG108" s="229">
        <f t="array" ref="DG108">INDEX(Demand_current!$D$4:$AY$138, MATCH($A108, Demand_current!$B$4:$B$138, 0), MATCH(DG$4&amp;DG$5,Demand_current!$D$2:$AY$2&amp;Demand_current!$D$3:$AY$3, 0))/1000</f>
        <v>0</v>
      </c>
      <c r="DH108" s="229">
        <f t="array" ref="DH108">INDEX(Demand_current!$D$4:$AY$138, MATCH($A108, Demand_current!$B$4:$B$138, 0), MATCH(DH$4&amp;DH$5,Demand_current!$D$2:$AY$2&amp;Demand_current!$D$3:$AY$3, 0))/1000</f>
        <v>0</v>
      </c>
      <c r="DI108" s="229">
        <f t="array" ref="DI108">INDEX(Demand_current!$D$4:$AY$138, MATCH($A108, Demand_current!$B$4:$B$138, 0), MATCH(DI$4&amp;DI$5,Demand_current!$D$2:$AY$2&amp;Demand_current!$D$3:$AY$3, 0))/1000</f>
        <v>0</v>
      </c>
      <c r="DJ108" s="227">
        <f>$BT108*(VLOOKUP(DJ$4, Rates_current!$G$6:$Q$29, 10, FALSE)+VLOOKUP(DJ$4, Rates_current!$G$6:$Q$29, 11, FALSE))</f>
        <v>7937.6299916436001</v>
      </c>
      <c r="DK108" s="227">
        <f>$BT108*(VLOOKUP(DK$4, Rates_current!$G$6:$Q$29, 10, FALSE)+VLOOKUP(DK$4, Rates_current!$G$6:$Q$29, 11, FALSE))</f>
        <v>10083.266281164901</v>
      </c>
      <c r="DL108" s="227">
        <f>$BT108*(VLOOKUP(DL$4, Rates_current!$G$6:$Q$29, 10, FALSE)+VLOOKUP(DL$4, Rates_current!$G$6:$Q$29, 11, FALSE))</f>
        <v>9961.497196943601</v>
      </c>
      <c r="DM108" s="227">
        <f>$BT108*(VLOOKUP(DM$4, Rates_current!$G$6:$Q$29, 10, FALSE)+VLOOKUP(DM$4, Rates_current!$G$6:$Q$29, 11, FALSE))</f>
        <v>8303.5146401436014</v>
      </c>
      <c r="DN108" s="227">
        <f>$BT108*(VLOOKUP(DN$4, Rates_current!$G$6:$Q$29, 10, FALSE)+VLOOKUP(DN$4, Rates_current!$G$6:$Q$29, 11, FALSE))</f>
        <v>7522.1228408799998</v>
      </c>
      <c r="DO108" s="227">
        <f>$BT108*(VLOOKUP(DO$4, Rates_current!$G$6:$Q$29, 10, FALSE)+VLOOKUP(DO$4, Rates_current!$G$6:$Q$29, 11, FALSE))</f>
        <v>8366.990243296701</v>
      </c>
      <c r="DP108" s="227">
        <f>$BT108*(VLOOKUP(DP$4, Rates_current!$G$6:$Q$29, 10, FALSE)+VLOOKUP(DP$4, Rates_current!$G$6:$Q$29, 11, FALSE))</f>
        <v>6812.4124849680002</v>
      </c>
      <c r="DQ108" s="227">
        <f>$BT108*(VLOOKUP(DQ$4, Rates_current!$G$6:$Q$29, 10, FALSE)+VLOOKUP(DQ$4, Rates_current!$G$6:$Q$29, 11, FALSE))</f>
        <v>9187.5540791936019</v>
      </c>
      <c r="DR108" s="227">
        <f>$BT108*(VLOOKUP(DR$4, Rates_current!$G$6:$Q$29, 10, FALSE)+VLOOKUP(DR$4, Rates_current!$G$6:$Q$29, 11, FALSE))</f>
        <v>11722.694146418002</v>
      </c>
      <c r="DS108" s="227">
        <f>$BT108*(VLOOKUP(DS$4, Rates_current!$G$6:$Q$29, 10, FALSE)+VLOOKUP(DS$4, Rates_current!$G$6:$Q$29, 11, FALSE))</f>
        <v>9190.9639140436011</v>
      </c>
      <c r="DT108" s="227">
        <f>$BT108*(VLOOKUP(DT$4, Rates_current!$G$6:$Q$29, 10, FALSE)+VLOOKUP(DT$4, Rates_current!$G$6:$Q$29, 11, FALSE))</f>
        <v>8950.1687174936014</v>
      </c>
      <c r="DU108" s="227">
        <f>$BT108*(VLOOKUP(DU$4, Rates_current!$G$6:$Q$29, 10, FALSE)+VLOOKUP(DU$4, Rates_current!$G$6:$Q$29, 11, FALSE))</f>
        <v>8035.347562068001</v>
      </c>
      <c r="DV108" s="229">
        <f>IF(D108=0,IF(C108=0,MAX(0,DY108 - (VLOOKUP($A108,TOCA_current!$A$2:$AI$137,MATCH("RHWM 2020",TOCA_current!$A$2:$AI$2,0),FALSE)*$BT$2)), 0),0)</f>
        <v>0</v>
      </c>
      <c r="DW108" s="266">
        <f>VLOOKUP($A108,REP_current!$A$1:$D$135,MATCH("FY "&amp;$BT$1&amp; " Total Refund",REP_current!$A$1:$D$1,0),0)</f>
        <v>0</v>
      </c>
      <c r="DX108" s="295">
        <f>MIN(VLOOKUP($A108,TOCA_current!$A$2:$AI$137,MATCH("TRL - NLSL - Existing Resource "&amp;$BT$1,TOCA_current!$A$2:$AI$2,0),FALSE)*$BT$2, VLOOKUP($A108,TOCA_current!$A$2:$AI$137,MATCH("RHWM 2020",TOCA_current!$A$2:$AI$2,0),FALSE)*$BT$2)</f>
        <v>106075.584</v>
      </c>
      <c r="DY108" s="240">
        <f>SUM(BZ108:CW108)+(BT108*RT1SC!$C$4*$BT$2)</f>
        <v>106075.1660796928</v>
      </c>
      <c r="DZ108" s="271">
        <f>VLOOKUP($A108,TOCA_current!$A$2:$AI$137,MATCH("Above RHWM Not Served with LS "&amp;$BT$1,TOCA_current!$A$2:$AI$2,0),FALSE)*$BT$2</f>
        <v>0</v>
      </c>
      <c r="EA108" s="244">
        <f t="shared" si="29"/>
        <v>-0.41792030719807371</v>
      </c>
      <c r="EB108" s="295">
        <f>(VLOOKUP($A108,TOCA_current!$A$2:$AI$137,MATCH("RHWM 2020",TOCA_current!$A$2:$AI$2,0),FALSE)*$BT$2) - $DX108</f>
        <v>168187.24799999999</v>
      </c>
      <c r="EC108" s="240">
        <f t="shared" si="30"/>
        <v>0</v>
      </c>
      <c r="ED108" s="240">
        <f t="shared" si="31"/>
        <v>0.41792030719807371</v>
      </c>
      <c r="EE108" s="240">
        <f t="shared" si="32"/>
        <v>0</v>
      </c>
      <c r="EF108" s="240">
        <f t="shared" si="33"/>
        <v>0.41792030719807371</v>
      </c>
    </row>
    <row r="109" spans="1:136">
      <c r="A109" s="166">
        <v>10349</v>
      </c>
      <c r="B109" s="167" t="s">
        <v>110</v>
      </c>
      <c r="C109" s="240">
        <v>0</v>
      </c>
      <c r="D109" s="240">
        <v>1</v>
      </c>
      <c r="E109" s="150">
        <f>VLOOKUP($A109,TOCA_previous!$A$2:$AI$137,MATCH(E$4,TOCA_previous!$A$2:$AI$2,0),FALSE)</f>
        <v>7.3092299999999999E-2</v>
      </c>
      <c r="F109" s="151">
        <f>VLOOKUP($A109,TOCA_previous!$A$2:$AI$137,MATCH(F$4,TOCA_previous!$A$2:$AI$2,0),FALSE)</f>
        <v>7.3092299999999999E-2</v>
      </c>
      <c r="G109" s="151">
        <f t="shared" si="18"/>
        <v>0</v>
      </c>
      <c r="H109" s="151">
        <f>VLOOKUP($A109,TOCA_previous!$A$2:$AI$137,MATCH(H$4,TOCA_previous!$A$2:$AI$2,0),FALSE)</f>
        <v>0</v>
      </c>
      <c r="I109" s="151">
        <f t="shared" si="19"/>
        <v>0</v>
      </c>
      <c r="J109" s="151">
        <f t="shared" si="20"/>
        <v>0</v>
      </c>
      <c r="K109" s="226">
        <f>VLOOKUP(A109, IRD!$A$5:$C$139, 3, FALSE)</f>
        <v>0</v>
      </c>
      <c r="L109" s="227">
        <f t="array" ref="L109">IF($G109=0, INDEX(LS_previous!$D$4:$AY$138, MATCH('Staging Table'!$A109, LS_previous!$B$4:$B$138, 0), MATCH(L$4&amp;L$5, LS_previous!$D$2:$AY$2&amp;LS_previous!$D$3:$AY$3, 0)),SUM(VLOOKUP($A109, LS_previous!$B$4:$AY$138, LS_previous!D$149, FALSE), VLOOKUP('Staging Table'!$A109, LS_previous!$B$4:$AY$138,LS_previous!AB$149, FALSE))/2)</f>
        <v>-9500</v>
      </c>
      <c r="M109" s="227">
        <f t="array" ref="M109">IF($G109=0, INDEX(LS_previous!$D$4:$AY$138, MATCH('Staging Table'!$A109, LS_previous!$B$4:$B$138, 0), MATCH(M$4&amp;M$5, LS_previous!$D$2:$AY$2&amp;LS_previous!$D$3:$AY$3, 0)),SUM(VLOOKUP($A109, LS_previous!$B$4:$AY$138, LS_previous!E$149, FALSE), VLOOKUP('Staging Table'!$A109, LS_previous!$B$4:$AY$138,LS_previous!AC$149, FALSE))/2)</f>
        <v>22542</v>
      </c>
      <c r="N109" s="227">
        <f t="array" ref="N109">IF($G109=0, INDEX(LS_previous!$D$4:$AY$138, MATCH('Staging Table'!$A109, LS_previous!$B$4:$B$138, 0), MATCH(N$4&amp;N$5, LS_previous!$D$2:$AY$2&amp;LS_previous!$D$3:$AY$3, 0)),SUM(VLOOKUP($A109, LS_previous!$B$4:$AY$138, LS_previous!F$149, FALSE), VLOOKUP('Staging Table'!$A109, LS_previous!$B$4:$AY$138,LS_previous!AD$149, FALSE))/2)</f>
        <v>71902</v>
      </c>
      <c r="O109" s="227">
        <f t="array" ref="O109">IF($G109=0, INDEX(LS_previous!$D$4:$AY$138, MATCH('Staging Table'!$A109, LS_previous!$B$4:$B$138, 0), MATCH(O$4&amp;O$5, LS_previous!$D$2:$AY$2&amp;LS_previous!$D$3:$AY$3, 0)),SUM(VLOOKUP($A109, LS_previous!$B$4:$AY$138, LS_previous!G$149, FALSE), VLOOKUP('Staging Table'!$A109, LS_previous!$B$4:$AY$138,LS_previous!AE$149, FALSE))/2)</f>
        <v>69309</v>
      </c>
      <c r="P109" s="227">
        <f t="array" ref="P109">IF($G109=0, INDEX(LS_previous!$D$4:$AY$138, MATCH('Staging Table'!$A109, LS_previous!$B$4:$B$138, 0), MATCH(P$4&amp;P$5, LS_previous!$D$2:$AY$2&amp;LS_previous!$D$3:$AY$3, 0)),SUM(VLOOKUP($A109, LS_previous!$B$4:$AY$138, LS_previous!H$149, FALSE), VLOOKUP('Staging Table'!$A109, LS_previous!$B$4:$AY$138,LS_previous!AF$149, FALSE))/2)</f>
        <v>83304</v>
      </c>
      <c r="Q109" s="227">
        <f t="array" ref="Q109">IF($G109=0, INDEX(LS_previous!$D$4:$AY$138, MATCH('Staging Table'!$A109, LS_previous!$B$4:$B$138, 0), MATCH(Q$4&amp;Q$5, LS_previous!$D$2:$AY$2&amp;LS_previous!$D$3:$AY$3, 0)),SUM(VLOOKUP($A109, LS_previous!$B$4:$AY$138, LS_previous!I$149, FALSE), VLOOKUP('Staging Table'!$A109, LS_previous!$B$4:$AY$138,LS_previous!AG$149, FALSE))/2)</f>
        <v>71658</v>
      </c>
      <c r="R109" s="227">
        <f t="array" ref="R109">IF($G109=0, INDEX(LS_previous!$D$4:$AY$138, MATCH('Staging Table'!$A109, LS_previous!$B$4:$B$138, 0), MATCH(R$4&amp;R$5, LS_previous!$D$2:$AY$2&amp;LS_previous!$D$3:$AY$3, 0)),SUM(VLOOKUP($A109, LS_previous!$B$4:$AY$138, LS_previous!J$149, FALSE), VLOOKUP('Staging Table'!$A109, LS_previous!$B$4:$AY$138,LS_previous!AH$149, FALSE))/2)</f>
        <v>152663</v>
      </c>
      <c r="S109" s="227">
        <f t="array" ref="S109">IF($G109=0, INDEX(LS_previous!$D$4:$AY$138, MATCH('Staging Table'!$A109, LS_previous!$B$4:$B$138, 0), MATCH(S$4&amp;S$5, LS_previous!$D$2:$AY$2&amp;LS_previous!$D$3:$AY$3, 0)),SUM(VLOOKUP($A109, LS_previous!$B$4:$AY$138, LS_previous!K$149, FALSE), VLOOKUP('Staging Table'!$A109, LS_previous!$B$4:$AY$138,LS_previous!AI$149, FALSE))/2)</f>
        <v>112300</v>
      </c>
      <c r="T109" s="227">
        <f t="array" ref="T109">IF($G109=0, INDEX(LS_previous!$D$4:$AY$138, MATCH('Staging Table'!$A109, LS_previous!$B$4:$B$138, 0), MATCH(T$4&amp;T$5, LS_previous!$D$2:$AY$2&amp;LS_previous!$D$3:$AY$3, 0)),SUM(VLOOKUP($A109, LS_previous!$B$4:$AY$138, LS_previous!L$149, FALSE), VLOOKUP('Staging Table'!$A109, LS_previous!$B$4:$AY$138,LS_previous!AJ$149, FALSE))/2)</f>
        <v>132405</v>
      </c>
      <c r="U109" s="227">
        <f t="array" ref="U109">IF($G109=0, INDEX(LS_previous!$D$4:$AY$138, MATCH('Staging Table'!$A109, LS_previous!$B$4:$B$138, 0), MATCH(U$4&amp;U$5, LS_previous!$D$2:$AY$2&amp;LS_previous!$D$3:$AY$3, 0)),SUM(VLOOKUP($A109, LS_previous!$B$4:$AY$138, LS_previous!M$149, FALSE), VLOOKUP('Staging Table'!$A109, LS_previous!$B$4:$AY$138,LS_previous!AK$149, FALSE))/2)</f>
        <v>103715</v>
      </c>
      <c r="V109" s="227">
        <f t="array" ref="V109">IF($G109=0, INDEX(LS_previous!$D$4:$AY$138, MATCH('Staging Table'!$A109, LS_previous!$B$4:$B$138, 0), MATCH(V$4&amp;V$5, LS_previous!$D$2:$AY$2&amp;LS_previous!$D$3:$AY$3, 0)),SUM(VLOOKUP($A109, LS_previous!$B$4:$AY$138, LS_previous!N$149, FALSE), VLOOKUP('Staging Table'!$A109, LS_previous!$B$4:$AY$138,LS_previous!AL$149, FALSE))/2)</f>
        <v>116631</v>
      </c>
      <c r="W109" s="227">
        <f t="array" ref="W109">IF($G109=0, INDEX(LS_previous!$D$4:$AY$138, MATCH('Staging Table'!$A109, LS_previous!$B$4:$B$138, 0), MATCH(W$4&amp;W$5, LS_previous!$D$2:$AY$2&amp;LS_previous!$D$3:$AY$3, 0)),SUM(VLOOKUP($A109, LS_previous!$B$4:$AY$138, LS_previous!O$149, FALSE), VLOOKUP('Staging Table'!$A109, LS_previous!$B$4:$AY$138,LS_previous!AM$149, FALSE))/2)</f>
        <v>96644</v>
      </c>
      <c r="X109" s="227">
        <f t="array" ref="X109">IF($G109=0, INDEX(LS_previous!$D$4:$AY$138, MATCH('Staging Table'!$A109, LS_previous!$B$4:$B$138, 0), MATCH(X$4&amp;X$5, LS_previous!$D$2:$AY$2&amp;LS_previous!$D$3:$AY$3, 0)),SUM(VLOOKUP($A109, LS_previous!$B$4:$AY$138, LS_previous!P$149, FALSE), VLOOKUP('Staging Table'!$A109, LS_previous!$B$4:$AY$138,LS_previous!AN$149, FALSE))/2)</f>
        <v>-51719</v>
      </c>
      <c r="Y109" s="227">
        <f t="array" ref="Y109">IF($G109=0, INDEX(LS_previous!$D$4:$AY$138, MATCH('Staging Table'!$A109, LS_previous!$B$4:$B$138, 0), MATCH(Y$4&amp;Y$5, LS_previous!$D$2:$AY$2&amp;LS_previous!$D$3:$AY$3, 0)),SUM(VLOOKUP($A109, LS_previous!$B$4:$AY$138, LS_previous!Q$149, FALSE), VLOOKUP('Staging Table'!$A109, LS_previous!$B$4:$AY$138,LS_previous!AO$149, FALSE))/2)</f>
        <v>-10569</v>
      </c>
      <c r="Z109" s="227">
        <f t="array" ref="Z109">IF($G109=0, INDEX(LS_previous!$D$4:$AY$138, MATCH('Staging Table'!$A109, LS_previous!$B$4:$B$138, 0), MATCH(Z$4&amp;Z$5, LS_previous!$D$2:$AY$2&amp;LS_previous!$D$3:$AY$3, 0)),SUM(VLOOKUP($A109, LS_previous!$B$4:$AY$138, LS_previous!R$149, FALSE), VLOOKUP('Staging Table'!$A109, LS_previous!$B$4:$AY$138,LS_previous!AP$149, FALSE))/2)</f>
        <v>-258729</v>
      </c>
      <c r="AA109" s="227">
        <f t="array" ref="AA109">IF($G109=0, INDEX(LS_previous!$D$4:$AY$138, MATCH('Staging Table'!$A109, LS_previous!$B$4:$B$138, 0), MATCH(AA$4&amp;AA$5, LS_previous!$D$2:$AY$2&amp;LS_previous!$D$3:$AY$3, 0)),SUM(VLOOKUP($A109, LS_previous!$B$4:$AY$138, LS_previous!S$149, FALSE), VLOOKUP('Staging Table'!$A109, LS_previous!$B$4:$AY$138,LS_previous!AQ$149, FALSE))/2)</f>
        <v>-142086</v>
      </c>
      <c r="AB109" s="227">
        <f t="array" ref="AB109">IF($G109=0, INDEX(LS_previous!$D$4:$AY$138, MATCH('Staging Table'!$A109, LS_previous!$B$4:$B$138, 0), MATCH(AB$4&amp;AB$5, LS_previous!$D$2:$AY$2&amp;LS_previous!$D$3:$AY$3, 0)),SUM(VLOOKUP($A109, LS_previous!$B$4:$AY$138, LS_previous!T$149, FALSE), VLOOKUP('Staging Table'!$A109, LS_previous!$B$4:$AY$138,LS_previous!AR$149, FALSE))/2)</f>
        <v>-252645</v>
      </c>
      <c r="AC109" s="227">
        <f t="array" ref="AC109">IF($G109=0, INDEX(LS_previous!$D$4:$AY$138, MATCH('Staging Table'!$A109, LS_previous!$B$4:$B$138, 0), MATCH(AC$4&amp;AC$5, LS_previous!$D$2:$AY$2&amp;LS_previous!$D$3:$AY$3, 0)),SUM(VLOOKUP($A109, LS_previous!$B$4:$AY$138, LS_previous!U$149, FALSE), VLOOKUP('Staging Table'!$A109, LS_previous!$B$4:$AY$138,LS_previous!AS$149, FALSE))/2)</f>
        <v>-133548</v>
      </c>
      <c r="AD109" s="227">
        <f t="array" ref="AD109">IF($G109=0, INDEX(LS_previous!$D$4:$AY$138, MATCH('Staging Table'!$A109, LS_previous!$B$4:$B$138, 0), MATCH(AD$4&amp;AD$5, LS_previous!$D$2:$AY$2&amp;LS_previous!$D$3:$AY$3, 0)),SUM(VLOOKUP($A109, LS_previous!$B$4:$AY$138, LS_previous!V$149, FALSE), VLOOKUP('Staging Table'!$A109, LS_previous!$B$4:$AY$138,LS_previous!AT$149, FALSE))/2)</f>
        <v>-93703</v>
      </c>
      <c r="AE109" s="227">
        <f t="array" ref="AE109">IF($G109=0, INDEX(LS_previous!$D$4:$AY$138, MATCH('Staging Table'!$A109, LS_previous!$B$4:$B$138, 0), MATCH(AE$4&amp;AE$5, LS_previous!$D$2:$AY$2&amp;LS_previous!$D$3:$AY$3, 0)),SUM(VLOOKUP($A109, LS_previous!$B$4:$AY$138, LS_previous!W$149, FALSE), VLOOKUP('Staging Table'!$A109, LS_previous!$B$4:$AY$138,LS_previous!AU$149, FALSE))/2)</f>
        <v>-32094</v>
      </c>
      <c r="AF109" s="227">
        <f t="array" ref="AF109">IF($G109=0, INDEX(LS_previous!$D$4:$AY$138, MATCH('Staging Table'!$A109, LS_previous!$B$4:$B$138, 0), MATCH(AF$4&amp;AF$5, LS_previous!$D$2:$AY$2&amp;LS_previous!$D$3:$AY$3, 0)),SUM(VLOOKUP($A109, LS_previous!$B$4:$AY$138, LS_previous!X$149, FALSE), VLOOKUP('Staging Table'!$A109, LS_previous!$B$4:$AY$138,LS_previous!AV$149, FALSE))/2)</f>
        <v>-99199</v>
      </c>
      <c r="AG109" s="227">
        <f t="array" ref="AG109">IF($G109=0, INDEX(LS_previous!$D$4:$AY$138, MATCH('Staging Table'!$A109, LS_previous!$B$4:$B$138, 0), MATCH(AG$4&amp;AG$5, LS_previous!$D$2:$AY$2&amp;LS_previous!$D$3:$AY$3, 0)),SUM(VLOOKUP($A109, LS_previous!$B$4:$AY$138, LS_previous!Y$149, FALSE), VLOOKUP('Staging Table'!$A109, LS_previous!$B$4:$AY$138,LS_previous!AW$149, FALSE))/2)</f>
        <v>-22914</v>
      </c>
      <c r="AH109" s="227">
        <f t="array" ref="AH109">IF($G109=0, INDEX(LS_previous!$D$4:$AY$138, MATCH('Staging Table'!$A109, LS_previous!$B$4:$B$138, 0), MATCH(AH$4&amp;AH$5, LS_previous!$D$2:$AY$2&amp;LS_previous!$D$3:$AY$3, 0)),SUM(VLOOKUP($A109, LS_previous!$B$4:$AY$138, LS_previous!Z$149, FALSE), VLOOKUP('Staging Table'!$A109, LS_previous!$B$4:$AY$138,LS_previous!AX$149, FALSE))/2)</f>
        <v>30558</v>
      </c>
      <c r="AI109" s="227">
        <f t="array" ref="AI109">IF($G109=0, INDEX(LS_previous!$D$4:$AY$138, MATCH('Staging Table'!$A109, LS_previous!$B$4:$B$138, 0), MATCH(AI$4&amp;AI$5, LS_previous!$D$2:$AY$2&amp;LS_previous!$D$3:$AY$3, 0)),SUM(VLOOKUP($A109, LS_previous!$B$4:$AY$138, LS_previous!AA$149, FALSE), VLOOKUP('Staging Table'!$A109, LS_previous!$B$4:$AY$138,LS_previous!AY$149, FALSE))/2)</f>
        <v>42560</v>
      </c>
      <c r="AJ109" s="424">
        <f t="array" ref="AJ109">INDEX(Demand_previous!$D$4:$AY$138, MATCH('Staging Table'!$A109, Demand_previous!$B$4:$B$138, 0), MATCH(AJ$4&amp;AJ$5,Demand_previous!$D$2:$AY$2&amp;Demand_previous!$D$3:$AY$3, 0))/1000</f>
        <v>0</v>
      </c>
      <c r="AK109" s="424">
        <f t="array" ref="AK109">INDEX(Demand_previous!$D$4:$AY$138, MATCH('Staging Table'!$A109, Demand_previous!$B$4:$B$138, 0), MATCH(AK$4&amp;AK$5,Demand_previous!$D$2:$AY$2&amp;Demand_previous!$D$3:$AY$3, 0))/1000</f>
        <v>0</v>
      </c>
      <c r="AL109" s="424">
        <f t="array" ref="AL109">INDEX(Demand_previous!$D$4:$AY$138, MATCH('Staging Table'!$A109, Demand_previous!$B$4:$B$138, 0), MATCH(AL$4&amp;AL$5,Demand_previous!$D$2:$AY$2&amp;Demand_previous!$D$3:$AY$3, 0))/1000</f>
        <v>0</v>
      </c>
      <c r="AM109" s="424">
        <f t="array" ref="AM109">INDEX(Demand_previous!$D$4:$AY$138, MATCH('Staging Table'!$A109, Demand_previous!$B$4:$B$138, 0), MATCH(AM$4&amp;AM$5,Demand_previous!$D$2:$AY$2&amp;Demand_previous!$D$3:$AY$3, 0))/1000</f>
        <v>0</v>
      </c>
      <c r="AN109" s="424">
        <f t="array" ref="AN109">INDEX(Demand_previous!$D$4:$AY$138, MATCH('Staging Table'!$A109, Demand_previous!$B$4:$B$138, 0), MATCH(AN$4&amp;AN$5,Demand_previous!$D$2:$AY$2&amp;Demand_previous!$D$3:$AY$3, 0))/1000</f>
        <v>0</v>
      </c>
      <c r="AO109" s="424">
        <f t="array" ref="AO109">INDEX(Demand_previous!$D$4:$AY$138, MATCH('Staging Table'!$A109, Demand_previous!$B$4:$B$138, 0), MATCH(AO$4&amp;AO$5,Demand_previous!$D$2:$AY$2&amp;Demand_previous!$D$3:$AY$3, 0))/1000</f>
        <v>0</v>
      </c>
      <c r="AP109" s="424">
        <f t="array" ref="AP109">INDEX(Demand_previous!$D$4:$AY$138, MATCH('Staging Table'!$A109, Demand_previous!$B$4:$B$138, 0), MATCH(AP$4&amp;AP$5,Demand_previous!$D$2:$AY$2&amp;Demand_previous!$D$3:$AY$3, 0))/1000</f>
        <v>0</v>
      </c>
      <c r="AQ109" s="424">
        <f t="array" ref="AQ109">INDEX(Demand_previous!$D$4:$AY$138, MATCH('Staging Table'!$A109, Demand_previous!$B$4:$B$138, 0), MATCH(AQ$4&amp;AQ$5,Demand_previous!$D$2:$AY$2&amp;Demand_previous!$D$3:$AY$3, 0))/1000</f>
        <v>0</v>
      </c>
      <c r="AR109" s="424">
        <f t="array" ref="AR109">INDEX(Demand_previous!$D$4:$AY$138, MATCH('Staging Table'!$A109, Demand_previous!$B$4:$B$138, 0), MATCH(AR$4&amp;AR$5,Demand_previous!$D$2:$AY$2&amp;Demand_previous!$D$3:$AY$3, 0))/1000</f>
        <v>0</v>
      </c>
      <c r="AS109" s="424">
        <f t="array" ref="AS109">INDEX(Demand_previous!$D$4:$AY$138, MATCH('Staging Table'!$A109, Demand_previous!$B$4:$B$138, 0), MATCH(AS$4&amp;AS$5,Demand_previous!$D$2:$AY$2&amp;Demand_previous!$D$3:$AY$3, 0))/1000</f>
        <v>0</v>
      </c>
      <c r="AT109" s="424">
        <f t="array" ref="AT109">INDEX(Demand_previous!$D$4:$AY$138, MATCH('Staging Table'!$A109, Demand_previous!$B$4:$B$138, 0), MATCH(AT$4&amp;AT$5,Demand_previous!$D$2:$AY$2&amp;Demand_previous!$D$3:$AY$3, 0))/1000</f>
        <v>0</v>
      </c>
      <c r="AU109" s="424">
        <f t="array" ref="AU109">INDEX(Demand_previous!$D$4:$AY$138, MATCH('Staging Table'!$A109, Demand_previous!$B$4:$B$138, 0), MATCH(AU$4&amp;AU$5,Demand_previous!$D$2:$AY$2&amp;Demand_previous!$D$3:$AY$3, 0))/1000</f>
        <v>0</v>
      </c>
      <c r="AV109" s="227">
        <f>$F109*(VLOOKUP(AV$4, Rates_previous!$G$6:$Q$29, 10, FALSE)+VLOOKUP(AV$4, Rates_previous!$G$6:$Q$29, 11, FALSE))</f>
        <v>342717.93637990201</v>
      </c>
      <c r="AW109" s="227">
        <f>$F109*(VLOOKUP(AW$4, Rates_previous!$G$6:$Q$29, 10, FALSE)+VLOOKUP(AW$4, Rates_previous!$G$6:$Q$29, 11, FALSE))</f>
        <v>423573.32142197422</v>
      </c>
      <c r="AX109" s="227">
        <f>$F109*(VLOOKUP(AX$4, Rates_previous!$G$6:$Q$29, 10, FALSE)+VLOOKUP(AX$4, Rates_previous!$G$6:$Q$29, 11, FALSE))</f>
        <v>418486.71244985948</v>
      </c>
      <c r="AY109" s="227">
        <f>$F109*(VLOOKUP(AY$4, Rates_previous!$G$6:$Q$29, 10, FALSE)+VLOOKUP(AY$4, Rates_previous!$G$6:$Q$29, 11, FALSE))</f>
        <v>357557.00741687923</v>
      </c>
      <c r="AZ109" s="227">
        <f>$F109*(VLOOKUP(AZ$4, Rates_previous!$G$6:$Q$29, 10, FALSE)+VLOOKUP(AZ$4, Rates_previous!$G$6:$Q$29, 11, FALSE))</f>
        <v>293127.39033866697</v>
      </c>
      <c r="BA109" s="227">
        <f>$F109*(VLOOKUP(BA$4, Rates_previous!$G$6:$Q$29, 10, FALSE)+VLOOKUP(BA$4, Rates_previous!$G$6:$Q$29, 11, FALSE))</f>
        <v>347052.18278602802</v>
      </c>
      <c r="BB109" s="227">
        <f>$F109*(VLOOKUP(BB$4, Rates_previous!$G$6:$Q$29, 10, FALSE)+VLOOKUP(BB$4, Rates_previous!$G$6:$Q$29, 11, FALSE))</f>
        <v>333567.62947719899</v>
      </c>
      <c r="BC109" s="227">
        <f>$F109*(VLOOKUP(BC$4, Rates_previous!$G$6:$Q$29, 10, FALSE)+VLOOKUP(BC$4, Rates_previous!$G$6:$Q$29, 11, FALSE))</f>
        <v>489486.89209584612</v>
      </c>
      <c r="BD109" s="227">
        <f>$F109*(VLOOKUP(BD$4, Rates_previous!$G$6:$Q$29, 10, FALSE)+VLOOKUP(BD$4, Rates_previous!$G$6:$Q$29, 11, FALSE))</f>
        <v>386192.22056736524</v>
      </c>
      <c r="BE109" s="227">
        <f>$F109*(VLOOKUP(BE$4, Rates_previous!$G$6:$Q$29, 10, FALSE)+VLOOKUP(BE$4, Rates_previous!$G$6:$Q$29, 11, FALSE))</f>
        <v>339109.18490696192</v>
      </c>
      <c r="BF109" s="227">
        <f>$F109*(VLOOKUP(BF$4, Rates_previous!$G$6:$Q$29, 10, FALSE)+VLOOKUP(BF$4, Rates_previous!$G$6:$Q$29, 11, FALSE))</f>
        <v>375576.99604952533</v>
      </c>
      <c r="BG109" s="227">
        <f>$F109*(VLOOKUP(BG$4, Rates_previous!$G$6:$Q$29, 10, FALSE)+VLOOKUP(BG$4, Rates_previous!$G$6:$Q$29, 11, FALSE))</f>
        <v>340257.82265981782</v>
      </c>
      <c r="BH109" s="229">
        <f>IF($D109=0,IF(C109=0, MAX(BK109 - (VLOOKUP($A109,TOCA_previous!$A$2:$AI$137,MATCH("RHWM 2018",TOCA_previous!$A$2:$AI$2,0),FALSE)*$F$2*TOCA_previous!C106),0),0), 0)</f>
        <v>0</v>
      </c>
      <c r="BI109" s="266">
        <f>VLOOKUP($A109,REP_previous!$A$1:$D$135,MATCH("FY "&amp;$F$1&amp; " Total Refund",REP_previous!$A$1:$D$1,0),0)</f>
        <v>5724612.0342393331</v>
      </c>
      <c r="BJ109" s="241">
        <f>MIN(VLOOKUP($A109,TOCA_previous!$A$2:$AI$137,MATCH("TRL - NLSL - Existing Resource "&amp;$F$1,TOCA_previous!$A$2:$AI$2,0),FALSE)*$F$2,(VLOOKUP($A109,TOCA_previous!$A$2:$AI$137,MATCH("RHWM 2018",TOCA_previous!$A$2:$AI$2,0),FALSE)*$F$2))</f>
        <v>4446707.4000000004</v>
      </c>
      <c r="BK109" s="229">
        <f>SUM(L109:AI109)+(F109*RT1SC!$C$3*$F$2)</f>
        <v>4446190.3614236079</v>
      </c>
      <c r="BL109" s="241">
        <f>VLOOKUP($A109,TOCA_previous!$A$2:$AI$137,MATCH("Above RHWM Not Served with LS "&amp;$F$1,TOCA_previous!$A$2:$AI$2,0),FALSE)*$F$2</f>
        <v>82869.600000000006</v>
      </c>
      <c r="BM109" s="151">
        <f t="shared" si="21"/>
        <v>-517.03857639245689</v>
      </c>
      <c r="BN109" s="242">
        <f>(VLOOKUP($A109,TOCA_previous!$A$2:$AI$137,MATCH("RHWM 2018",TOCA_previous!$A$2:$AI$2,0),FALSE)*$F$2) - $BJ109</f>
        <v>69098.879999999888</v>
      </c>
      <c r="BO109" s="151">
        <f t="shared" si="22"/>
        <v>0</v>
      </c>
      <c r="BP109" s="243">
        <f t="shared" si="23"/>
        <v>0</v>
      </c>
      <c r="BQ109" s="237">
        <f t="shared" si="24"/>
        <v>-69098.879999999888</v>
      </c>
      <c r="BR109" s="242">
        <f t="shared" si="25"/>
        <v>0</v>
      </c>
      <c r="BS109" s="151">
        <f>VLOOKUP($A109,TOCA_current!$A$2:$AI$137,MATCH(BS$4,TOCA_current!$A$2:$AI$2,0),FALSE)</f>
        <v>7.2066000000000005E-2</v>
      </c>
      <c r="BT109" s="151">
        <f>VLOOKUP($A109,TOCA_current!$A$2:$AI$137,MATCH(BT$4,TOCA_current!$A$2:$AI$2,0),FALSE)</f>
        <v>7.2066000000000005E-2</v>
      </c>
      <c r="BU109" s="236">
        <f t="shared" si="26"/>
        <v>0</v>
      </c>
      <c r="BV109" s="151">
        <f>VLOOKUP($A109,TOCA_current!A105:BG240,MATCH(BV$4,TOCA_current!$A$2:$BG$2,0),FALSE)</f>
        <v>0</v>
      </c>
      <c r="BW109" s="151">
        <f t="shared" si="27"/>
        <v>0</v>
      </c>
      <c r="BX109" s="151">
        <f t="shared" si="28"/>
        <v>0</v>
      </c>
      <c r="BY109" s="226">
        <f>VLOOKUP($A109,IRD!$A$4:$G$139, 7, FALSE)</f>
        <v>0</v>
      </c>
      <c r="BZ109" s="227">
        <f t="array" ref="BZ109">IF($BU109=0, INDEX(LS_current!$D$4:$AY$138, MATCH('Staging Table'!$A109, LS_current!$B$4:$B$138, 0), MATCH(BZ$4&amp;BZ$5, LS_current!$D$2:$AY$2&amp;LS_current!$D$3:$AY$3, 0)),SUM(VLOOKUP($A109, LS_current!$B$4:$AY$138, LS_current!D$148, FALSE), VLOOKUP($A109, LS_current!$B$4:$AY$138,LS_current!D$148, FALSE))/2)</f>
        <v>-3409</v>
      </c>
      <c r="CA109" s="227">
        <f t="array" ref="CA109">IF($BU109=0, INDEX(LS_current!$D$4:$AY$138, MATCH('Staging Table'!$A109, LS_current!$B$4:$B$138, 0), MATCH(CA$4&amp;CA$5, LS_current!$D$2:$AY$2&amp;LS_current!$D$3:$AY$3, 0)),SUM(VLOOKUP($A109, LS_current!$B$4:$AY$138, LS_current!E$148, FALSE), VLOOKUP($A109, LS_current!$B$4:$AY$138,LS_current!E$148, FALSE))/2)</f>
        <v>26395</v>
      </c>
      <c r="CB109" s="227">
        <f t="array" ref="CB109">IF($BU109=0, INDEX(LS_current!$D$4:$AY$138, MATCH('Staging Table'!$A109, LS_current!$B$4:$B$138, 0), MATCH(CB$4&amp;CB$5, LS_current!$D$2:$AY$2&amp;LS_current!$D$3:$AY$3, 0)),SUM(VLOOKUP($A109, LS_current!$B$4:$AY$138, LS_current!F$148, FALSE), VLOOKUP($A109, LS_current!$B$4:$AY$138,LS_current!F$148, FALSE))/2)</f>
        <v>73827</v>
      </c>
      <c r="CC109" s="227">
        <f t="array" ref="CC109">IF($BU109=0, INDEX(LS_current!$D$4:$AY$138, MATCH('Staging Table'!$A109, LS_current!$B$4:$B$138, 0), MATCH(CC$4&amp;CC$5, LS_current!$D$2:$AY$2&amp;LS_current!$D$3:$AY$3, 0)),SUM(VLOOKUP($A109, LS_current!$B$4:$AY$138, LS_current!G$148, FALSE), VLOOKUP($A109, LS_current!$B$4:$AY$138,LS_current!G$148, FALSE))/2)</f>
        <v>68208</v>
      </c>
      <c r="CD109" s="227">
        <f t="array" ref="CD109">IF($BU109=0, INDEX(LS_current!$D$4:$AY$138, MATCH('Staging Table'!$A109, LS_current!$B$4:$B$138, 0), MATCH(CD$4&amp;CD$5, LS_current!$D$2:$AY$2&amp;LS_current!$D$3:$AY$3, 0)),SUM(VLOOKUP($A109, LS_current!$B$4:$AY$138, LS_current!H$148, FALSE), VLOOKUP($A109, LS_current!$B$4:$AY$138,LS_current!H$148, FALSE))/2)</f>
        <v>84849</v>
      </c>
      <c r="CE109" s="227">
        <f t="array" ref="CE109">IF($BU109=0, INDEX(LS_current!$D$4:$AY$138, MATCH('Staging Table'!$A109, LS_current!$B$4:$B$138, 0), MATCH(CE$4&amp;CE$5, LS_current!$D$2:$AY$2&amp;LS_current!$D$3:$AY$3, 0)),SUM(VLOOKUP($A109, LS_current!$B$4:$AY$138, LS_current!I$148, FALSE), VLOOKUP($A109, LS_current!$B$4:$AY$138,LS_current!I$148, FALSE))/2)</f>
        <v>71183</v>
      </c>
      <c r="CF109" s="227">
        <f t="array" ref="CF109">IF($BU109=0, INDEX(LS_current!$D$4:$AY$138, MATCH('Staging Table'!$A109, LS_current!$B$4:$B$138, 0), MATCH(CF$4&amp;CF$5, LS_current!$D$2:$AY$2&amp;LS_current!$D$3:$AY$3, 0)),SUM(VLOOKUP($A109, LS_current!$B$4:$AY$138, LS_current!J$148, FALSE), VLOOKUP($A109, LS_current!$B$4:$AY$138,LS_current!J$148, FALSE))/2)</f>
        <v>154762</v>
      </c>
      <c r="CG109" s="227">
        <f t="array" ref="CG109">IF($BU109=0, INDEX(LS_current!$D$4:$AY$138, MATCH('Staging Table'!$A109, LS_current!$B$4:$B$138, 0), MATCH(CG$4&amp;CG$5, LS_current!$D$2:$AY$2&amp;LS_current!$D$3:$AY$3, 0)),SUM(VLOOKUP($A109, LS_current!$B$4:$AY$138, LS_current!K$148, FALSE), VLOOKUP($A109, LS_current!$B$4:$AY$138,LS_current!K$148, FALSE))/2)</f>
        <v>119688</v>
      </c>
      <c r="CH109" s="227">
        <f t="array" ref="CH109">IF($BU109=0, INDEX(LS_current!$D$4:$AY$138, MATCH('Staging Table'!$A109, LS_current!$B$4:$B$138, 0), MATCH(CH$4&amp;CH$5, LS_current!$D$2:$AY$2&amp;LS_current!$D$3:$AY$3, 0)),SUM(VLOOKUP($A109, LS_current!$B$4:$AY$138, LS_current!L$148, FALSE), VLOOKUP($A109, LS_current!$B$4:$AY$138,LS_current!L$148, FALSE))/2)</f>
        <v>118550</v>
      </c>
      <c r="CI109" s="227">
        <f t="array" ref="CI109">IF($BU109=0, INDEX(LS_current!$D$4:$AY$138, MATCH('Staging Table'!$A109, LS_current!$B$4:$B$138, 0), MATCH(CI$4&amp;CI$5, LS_current!$D$2:$AY$2&amp;LS_current!$D$3:$AY$3, 0)),SUM(VLOOKUP($A109, LS_current!$B$4:$AY$138, LS_current!M$148, FALSE), VLOOKUP($A109, LS_current!$B$4:$AY$138,LS_current!M$148, FALSE))/2)</f>
        <v>95276</v>
      </c>
      <c r="CJ109" s="227">
        <f t="array" ref="CJ109">IF($BU109=0, INDEX(LS_current!$D$4:$AY$138, MATCH('Staging Table'!$A109, LS_current!$B$4:$B$138, 0), MATCH(CJ$4&amp;CJ$5, LS_current!$D$2:$AY$2&amp;LS_current!$D$3:$AY$3, 0)),SUM(VLOOKUP($A109, LS_current!$B$4:$AY$138, LS_current!N$148, FALSE), VLOOKUP($A109, LS_current!$B$4:$AY$138,LS_current!N$148, FALSE))/2)</f>
        <v>113157</v>
      </c>
      <c r="CK109" s="227">
        <f t="array" ref="CK109">IF($BU109=0, INDEX(LS_current!$D$4:$AY$138, MATCH('Staging Table'!$A109, LS_current!$B$4:$B$138, 0), MATCH(CK$4&amp;CK$5, LS_current!$D$2:$AY$2&amp;LS_current!$D$3:$AY$3, 0)),SUM(VLOOKUP($A109, LS_current!$B$4:$AY$138, LS_current!O$148, FALSE), VLOOKUP($A109, LS_current!$B$4:$AY$138,LS_current!O$148, FALSE))/2)</f>
        <v>96379</v>
      </c>
      <c r="CL109" s="227">
        <f t="array" ref="CL109">IF($BU109=0, INDEX(LS_current!$D$4:$AY$138, MATCH('Staging Table'!$A109, LS_current!$B$4:$B$138, 0), MATCH(CL$4&amp;CL$5, LS_current!$D$2:$AY$2&amp;LS_current!$D$3:$AY$3, 0)),SUM(VLOOKUP($A109, LS_current!$B$4:$AY$138, LS_current!P$148, FALSE), VLOOKUP($A109, LS_current!$B$4:$AY$138,LS_current!P$148, FALSE))/2)</f>
        <v>-16953</v>
      </c>
      <c r="CM109" s="227">
        <f t="array" ref="CM109">IF($BU109=0, INDEX(LS_current!$D$4:$AY$138, MATCH('Staging Table'!$A109, LS_current!$B$4:$B$138, 0), MATCH(CM$4&amp;CM$5, LS_current!$D$2:$AY$2&amp;LS_current!$D$3:$AY$3, 0)),SUM(VLOOKUP($A109, LS_current!$B$4:$AY$138, LS_current!Q$148, FALSE), VLOOKUP($A109, LS_current!$B$4:$AY$138,LS_current!Q$148, FALSE))/2)</f>
        <v>2621</v>
      </c>
      <c r="CN109" s="227">
        <f t="array" ref="CN109">IF($BU109=0, INDEX(LS_current!$D$4:$AY$138, MATCH('Staging Table'!$A109, LS_current!$B$4:$B$138, 0), MATCH(CN$4&amp;CN$5, LS_current!$D$2:$AY$2&amp;LS_current!$D$3:$AY$3, 0)),SUM(VLOOKUP($A109, LS_current!$B$4:$AY$138, LS_current!R$148, FALSE), VLOOKUP($A109, LS_current!$B$4:$AY$138,LS_current!R$148, FALSE))/2)</f>
        <v>-196571</v>
      </c>
      <c r="CO109" s="227">
        <f t="array" ref="CO109">IF($BU109=0, INDEX(LS_current!$D$4:$AY$138, MATCH('Staging Table'!$A109, LS_current!$B$4:$B$138, 0), MATCH(CO$4&amp;CO$5, LS_current!$D$2:$AY$2&amp;LS_current!$D$3:$AY$3, 0)),SUM(VLOOKUP($A109, LS_current!$B$4:$AY$138, LS_current!S$148, FALSE), VLOOKUP($A109, LS_current!$B$4:$AY$138,LS_current!S$148, FALSE))/2)</f>
        <v>-99644</v>
      </c>
      <c r="CP109" s="227">
        <f t="array" ref="CP109">IF($BU109=0, INDEX(LS_current!$D$4:$AY$138, MATCH('Staging Table'!$A109, LS_current!$B$4:$B$138, 0), MATCH(CP$4&amp;CP$5, LS_current!$D$2:$AY$2&amp;LS_current!$D$3:$AY$3, 0)),SUM(VLOOKUP($A109, LS_current!$B$4:$AY$138, LS_current!T$148, FALSE), VLOOKUP($A109, LS_current!$B$4:$AY$138,LS_current!T$148, FALSE))/2)</f>
        <v>-318936</v>
      </c>
      <c r="CQ109" s="227">
        <f t="array" ref="CQ109">IF($BU109=0, INDEX(LS_current!$D$4:$AY$138, MATCH('Staging Table'!$A109, LS_current!$B$4:$B$138, 0), MATCH(CQ$4&amp;CQ$5, LS_current!$D$2:$AY$2&amp;LS_current!$D$3:$AY$3, 0)),SUM(VLOOKUP($A109, LS_current!$B$4:$AY$138, LS_current!U$148, FALSE), VLOOKUP($A109, LS_current!$B$4:$AY$138,LS_current!U$148, FALSE))/2)</f>
        <v>-172489</v>
      </c>
      <c r="CR109" s="227">
        <f t="array" ref="CR109">IF($BU109=0, INDEX(LS_current!$D$4:$AY$138, MATCH('Staging Table'!$A109, LS_current!$B$4:$B$138, 0), MATCH(CR$4&amp;CR$5, LS_current!$D$2:$AY$2&amp;LS_current!$D$3:$AY$3, 0)),SUM(VLOOKUP($A109, LS_current!$B$4:$AY$138, LS_current!V$148, FALSE), VLOOKUP($A109, LS_current!$B$4:$AY$138,LS_current!V$148, FALSE))/2)</f>
        <v>-137160</v>
      </c>
      <c r="CS109" s="227">
        <f t="array" ref="CS109">IF($BU109=0, INDEX(LS_current!$D$4:$AY$138, MATCH('Staging Table'!$A109, LS_current!$B$4:$B$138, 0), MATCH(CS$4&amp;CS$5, LS_current!$D$2:$AY$2&amp;LS_current!$D$3:$AY$3, 0)),SUM(VLOOKUP($A109, LS_current!$B$4:$AY$138, LS_current!W$148, FALSE), VLOOKUP($A109, LS_current!$B$4:$AY$138,LS_current!W$148, FALSE))/2)</f>
        <v>-34690</v>
      </c>
      <c r="CT109" s="227">
        <f t="array" ref="CT109">IF($BU109=0, INDEX(LS_current!$D$4:$AY$138, MATCH('Staging Table'!$A109, LS_current!$B$4:$B$138, 0), MATCH(CT$4&amp;CT$5, LS_current!$D$2:$AY$2&amp;LS_current!$D$3:$AY$3, 0)),SUM(VLOOKUP($A109, LS_current!$B$4:$AY$138, LS_current!X$148, FALSE), VLOOKUP($A109, LS_current!$B$4:$AY$138,LS_current!X$148, FALSE))/2)</f>
        <v>-105037</v>
      </c>
      <c r="CU109" s="227">
        <f t="array" ref="CU109">IF($BU109=0, INDEX(LS_current!$D$4:$AY$138, MATCH('Staging Table'!$A109, LS_current!$B$4:$B$138, 0), MATCH(CU$4&amp;CU$5, LS_current!$D$2:$AY$2&amp;LS_current!$D$3:$AY$3, 0)),SUM(VLOOKUP($A109, LS_current!$B$4:$AY$138, LS_current!Y$148, FALSE), VLOOKUP($A109, LS_current!$B$4:$AY$138,LS_current!Y$148, FALSE))/2)</f>
        <v>-16698</v>
      </c>
      <c r="CV109" s="227">
        <f t="array" ref="CV109">IF($BU109=0, INDEX(LS_current!$D$4:$AY$138, MATCH('Staging Table'!$A109, LS_current!$B$4:$B$138, 0), MATCH(CV$4&amp;CV$5, LS_current!$D$2:$AY$2&amp;LS_current!$D$3:$AY$3, 0)),SUM(VLOOKUP($A109, LS_current!$B$4:$AY$138, LS_current!Z$148, FALSE), VLOOKUP($A109, LS_current!$B$4:$AY$138,LS_current!Z$148, FALSE))/2)</f>
        <v>32405</v>
      </c>
      <c r="CW109" s="227">
        <f t="array" ref="CW109">IF($BU109=0, INDEX(LS_current!$D$4:$AY$138, MATCH('Staging Table'!$A109, LS_current!$B$4:$B$138, 0), MATCH(CW$4&amp;CW$5, LS_current!$D$2:$AY$2&amp;LS_current!$D$3:$AY$3, 0)),SUM(VLOOKUP($A109, LS_current!$B$4:$AY$138, LS_current!AA$148, FALSE), VLOOKUP($A109, LS_current!$B$4:$AY$138,LS_current!AA$148, FALSE))/2)</f>
        <v>44291</v>
      </c>
      <c r="CX109" s="229">
        <f t="array" ref="CX109">INDEX(Demand_current!$D$4:$AY$138, MATCH($A109, Demand_current!$B$4:$B$138, 0), MATCH(CX$4&amp;CX$5,Demand_current!$D$2:$AY$2&amp;Demand_current!$D$3:$AY$3, 0))/1000</f>
        <v>0</v>
      </c>
      <c r="CY109" s="229">
        <f t="array" ref="CY109">INDEX(Demand_current!$D$4:$AY$138, MATCH($A109, Demand_current!$B$4:$B$138, 0), MATCH(CY$4&amp;CY$5,Demand_current!$D$2:$AY$2&amp;Demand_current!$D$3:$AY$3, 0))/1000</f>
        <v>0</v>
      </c>
      <c r="CZ109" s="229">
        <f t="array" ref="CZ109">INDEX(Demand_current!$D$4:$AY$138, MATCH($A109, Demand_current!$B$4:$B$138, 0), MATCH(CZ$4&amp;CZ$5,Demand_current!$D$2:$AY$2&amp;Demand_current!$D$3:$AY$3, 0))/1000</f>
        <v>0</v>
      </c>
      <c r="DA109" s="229">
        <f t="array" ref="DA109">INDEX(Demand_current!$D$4:$AY$138, MATCH($A109, Demand_current!$B$4:$B$138, 0), MATCH(DA$4&amp;DA$5,Demand_current!$D$2:$AY$2&amp;Demand_current!$D$3:$AY$3, 0))/1000</f>
        <v>0</v>
      </c>
      <c r="DB109" s="229">
        <f t="array" ref="DB109">INDEX(Demand_current!$D$4:$AY$138, MATCH($A109, Demand_current!$B$4:$B$138, 0), MATCH(DB$4&amp;DB$5,Demand_current!$D$2:$AY$2&amp;Demand_current!$D$3:$AY$3, 0))/1000</f>
        <v>0</v>
      </c>
      <c r="DC109" s="229">
        <f t="array" ref="DC109">INDEX(Demand_current!$D$4:$AY$138, MATCH($A109, Demand_current!$B$4:$B$138, 0), MATCH(DC$4&amp;DC$5,Demand_current!$D$2:$AY$2&amp;Demand_current!$D$3:$AY$3, 0))/1000</f>
        <v>0</v>
      </c>
      <c r="DD109" s="229">
        <f t="array" ref="DD109">INDEX(Demand_current!$D$4:$AY$138, MATCH($A109, Demand_current!$B$4:$B$138, 0), MATCH(DD$4&amp;DD$5,Demand_current!$D$2:$AY$2&amp;Demand_current!$D$3:$AY$3, 0))/1000</f>
        <v>0</v>
      </c>
      <c r="DE109" s="229">
        <f t="array" ref="DE109">INDEX(Demand_current!$D$4:$AY$138, MATCH($A109, Demand_current!$B$4:$B$138, 0), MATCH(DE$4&amp;DE$5,Demand_current!$D$2:$AY$2&amp;Demand_current!$D$3:$AY$3, 0))/1000</f>
        <v>0</v>
      </c>
      <c r="DF109" s="229">
        <f t="array" ref="DF109">INDEX(Demand_current!$D$4:$AY$138, MATCH($A109, Demand_current!$B$4:$B$138, 0), MATCH(DF$4&amp;DF$5,Demand_current!$D$2:$AY$2&amp;Demand_current!$D$3:$AY$3, 0))/1000</f>
        <v>0</v>
      </c>
      <c r="DG109" s="229">
        <f t="array" ref="DG109">INDEX(Demand_current!$D$4:$AY$138, MATCH($A109, Demand_current!$B$4:$B$138, 0), MATCH(DG$4&amp;DG$5,Demand_current!$D$2:$AY$2&amp;Demand_current!$D$3:$AY$3, 0))/1000</f>
        <v>0</v>
      </c>
      <c r="DH109" s="229">
        <f t="array" ref="DH109">INDEX(Demand_current!$D$4:$AY$138, MATCH($A109, Demand_current!$B$4:$B$138, 0), MATCH(DH$4&amp;DH$5,Demand_current!$D$2:$AY$2&amp;Demand_current!$D$3:$AY$3, 0))/1000</f>
        <v>0</v>
      </c>
      <c r="DI109" s="229">
        <f t="array" ref="DI109">INDEX(Demand_current!$D$4:$AY$138, MATCH($A109, Demand_current!$B$4:$B$138, 0), MATCH(DI$4&amp;DI$5,Demand_current!$D$2:$AY$2&amp;Demand_current!$D$3:$AY$3, 0))/1000</f>
        <v>0</v>
      </c>
      <c r="DJ109" s="227">
        <f>$BT109*(VLOOKUP(DJ$4, Rates_current!$G$6:$Q$29, 10, FALSE)+VLOOKUP(DJ$4, Rates_current!$G$6:$Q$29, 11, FALSE))</f>
        <v>332751.58104693599</v>
      </c>
      <c r="DK109" s="227">
        <f>$BT109*(VLOOKUP(DK$4, Rates_current!$G$6:$Q$29, 10, FALSE)+VLOOKUP(DK$4, Rates_current!$G$6:$Q$29, 11, FALSE))</f>
        <v>422698.31180177402</v>
      </c>
      <c r="DL109" s="227">
        <f>$BT109*(VLOOKUP(DL$4, Rates_current!$G$6:$Q$29, 10, FALSE)+VLOOKUP(DL$4, Rates_current!$G$6:$Q$29, 11, FALSE))</f>
        <v>417593.65772493609</v>
      </c>
      <c r="DM109" s="227">
        <f>$BT109*(VLOOKUP(DM$4, Rates_current!$G$6:$Q$29, 10, FALSE)+VLOOKUP(DM$4, Rates_current!$G$6:$Q$29, 11, FALSE))</f>
        <v>348089.74815693608</v>
      </c>
      <c r="DN109" s="227">
        <f>$BT109*(VLOOKUP(DN$4, Rates_current!$G$6:$Q$29, 10, FALSE)+VLOOKUP(DN$4, Rates_current!$G$6:$Q$29, 11, FALSE))</f>
        <v>315333.20030880003</v>
      </c>
      <c r="DO109" s="227">
        <f>$BT109*(VLOOKUP(DO$4, Rates_current!$G$6:$Q$29, 10, FALSE)+VLOOKUP(DO$4, Rates_current!$G$6:$Q$29, 11, FALSE))</f>
        <v>350750.694475842</v>
      </c>
      <c r="DP109" s="227">
        <f>$BT109*(VLOOKUP(DP$4, Rates_current!$G$6:$Q$29, 10, FALSE)+VLOOKUP(DP$4, Rates_current!$G$6:$Q$29, 11, FALSE))</f>
        <v>285581.59393968002</v>
      </c>
      <c r="DQ109" s="227">
        <f>$BT109*(VLOOKUP(DQ$4, Rates_current!$G$6:$Q$29, 10, FALSE)+VLOOKUP(DQ$4, Rates_current!$G$6:$Q$29, 11, FALSE))</f>
        <v>385149.36435993604</v>
      </c>
      <c r="DR109" s="227">
        <f>$BT109*(VLOOKUP(DR$4, Rates_current!$G$6:$Q$29, 10, FALSE)+VLOOKUP(DR$4, Rates_current!$G$6:$Q$29, 11, FALSE))</f>
        <v>491424.39436668006</v>
      </c>
      <c r="DS109" s="227">
        <f>$BT109*(VLOOKUP(DS$4, Rates_current!$G$6:$Q$29, 10, FALSE)+VLOOKUP(DS$4, Rates_current!$G$6:$Q$29, 11, FALSE))</f>
        <v>385292.30727093609</v>
      </c>
      <c r="DT109" s="227">
        <f>$BT109*(VLOOKUP(DT$4, Rates_current!$G$6:$Q$29, 10, FALSE)+VLOOKUP(DT$4, Rates_current!$G$6:$Q$29, 11, FALSE))</f>
        <v>375197.98661793605</v>
      </c>
      <c r="DU109" s="227">
        <f>$BT109*(VLOOKUP(DU$4, Rates_current!$G$6:$Q$29, 10, FALSE)+VLOOKUP(DU$4, Rates_current!$G$6:$Q$29, 11, FALSE))</f>
        <v>336847.97708568006</v>
      </c>
      <c r="DV109" s="229">
        <f>IF(D109=0,IF(C109=0,MAX(0,DY109 - (VLOOKUP($A109,TOCA_current!$A$2:$AI$137,MATCH("RHWM 2020",TOCA_current!$A$2:$AI$2,0),FALSE)*$BT$2)), 0),0)</f>
        <v>0</v>
      </c>
      <c r="DW109" s="266">
        <f>VLOOKUP($A109,REP_current!$A$1:$D$135,MATCH("FY "&amp;$BT$1&amp; " Total Refund",REP_current!$A$1:$D$1,0),0)</f>
        <v>0</v>
      </c>
      <c r="DX109" s="295">
        <f>MIN(VLOOKUP($A109,TOCA_current!$A$2:$AI$137,MATCH("TRL - NLSL - Existing Resource "&amp;$BT$1,TOCA_current!$A$2:$AI$2,0),FALSE)*$BT$2, VLOOKUP($A109,TOCA_current!$A$2:$AI$137,MATCH("RHWM 2020",TOCA_current!$A$2:$AI$2,0),FALSE)*$BT$2)</f>
        <v>4446715.5360000003</v>
      </c>
      <c r="DY109" s="240">
        <f>SUM(BZ109:CW109)+(BT109*RT1SC!$C$4*$BT$2)</f>
        <v>4446714.9840609282</v>
      </c>
      <c r="DZ109" s="271">
        <f>VLOOKUP($A109,TOCA_current!$A$2:$AI$137,MATCH("Above RHWM Not Served with LS "&amp;$BT$1,TOCA_current!$A$2:$AI$2,0),FALSE)*$BT$2</f>
        <v>0</v>
      </c>
      <c r="EA109" s="244">
        <f t="shared" si="29"/>
        <v>-0.55193907208740711</v>
      </c>
      <c r="EB109" s="295">
        <f>(VLOOKUP($A109,TOCA_current!$A$2:$AI$137,MATCH("RHWM 2020",TOCA_current!$A$2:$AI$2,0),FALSE)*$BT$2) - $DX109</f>
        <v>130960.65600000042</v>
      </c>
      <c r="EC109" s="240">
        <f t="shared" si="30"/>
        <v>0</v>
      </c>
      <c r="ED109" s="240">
        <f t="shared" si="31"/>
        <v>0.55193907208740711</v>
      </c>
      <c r="EE109" s="240">
        <f t="shared" si="32"/>
        <v>0</v>
      </c>
      <c r="EF109" s="240">
        <f t="shared" si="33"/>
        <v>0</v>
      </c>
    </row>
    <row r="110" spans="1:136">
      <c r="A110" s="166">
        <v>10352</v>
      </c>
      <c r="B110" s="167" t="s">
        <v>111</v>
      </c>
      <c r="C110" s="240">
        <v>0</v>
      </c>
      <c r="D110" s="240">
        <v>0</v>
      </c>
      <c r="E110" s="150">
        <f>VLOOKUP($A110,TOCA_previous!$A$2:$AI$137,MATCH(E$4,TOCA_previous!$A$2:$AI$2,0),FALSE)</f>
        <v>2.1955999999999998E-3</v>
      </c>
      <c r="F110" s="151">
        <f>VLOOKUP($A110,TOCA_previous!$A$2:$AI$137,MATCH(F$4,TOCA_previous!$A$2:$AI$2,0),FALSE)</f>
        <v>2.1955999999999998E-3</v>
      </c>
      <c r="G110" s="151">
        <f t="shared" si="18"/>
        <v>0</v>
      </c>
      <c r="H110" s="151">
        <f>VLOOKUP($A110,TOCA_previous!$A$2:$AI$137,MATCH(H$4,TOCA_previous!$A$2:$AI$2,0),FALSE)</f>
        <v>4.4999999999999998E-2</v>
      </c>
      <c r="I110" s="151">
        <f t="shared" si="19"/>
        <v>0</v>
      </c>
      <c r="J110" s="151">
        <f t="shared" si="20"/>
        <v>0</v>
      </c>
      <c r="K110" s="226">
        <f>VLOOKUP(A110, IRD!$A$5:$C$139, 3, FALSE)</f>
        <v>0</v>
      </c>
      <c r="L110" s="227">
        <f t="array" ref="L110">IF($G110=0, INDEX(LS_previous!$D$4:$AY$138, MATCH('Staging Table'!$A110, LS_previous!$B$4:$B$138, 0), MATCH(L$4&amp;L$5, LS_previous!$D$2:$AY$2&amp;LS_previous!$D$3:$AY$3, 0)),SUM(VLOOKUP($A110, LS_previous!$B$4:$AY$138, LS_previous!D$149, FALSE), VLOOKUP('Staging Table'!$A110, LS_previous!$B$4:$AY$138,LS_previous!AB$149, FALSE))/2)</f>
        <v>-129</v>
      </c>
      <c r="M110" s="227">
        <f t="array" ref="M110">IF($G110=0, INDEX(LS_previous!$D$4:$AY$138, MATCH('Staging Table'!$A110, LS_previous!$B$4:$B$138, 0), MATCH(M$4&amp;M$5, LS_previous!$D$2:$AY$2&amp;LS_previous!$D$3:$AY$3, 0)),SUM(VLOOKUP($A110, LS_previous!$B$4:$AY$138, LS_previous!E$149, FALSE), VLOOKUP('Staging Table'!$A110, LS_previous!$B$4:$AY$138,LS_previous!AC$149, FALSE))/2)</f>
        <v>-166</v>
      </c>
      <c r="N110" s="227">
        <f t="array" ref="N110">IF($G110=0, INDEX(LS_previous!$D$4:$AY$138, MATCH('Staging Table'!$A110, LS_previous!$B$4:$B$138, 0), MATCH(N$4&amp;N$5, LS_previous!$D$2:$AY$2&amp;LS_previous!$D$3:$AY$3, 0)),SUM(VLOOKUP($A110, LS_previous!$B$4:$AY$138, LS_previous!F$149, FALSE), VLOOKUP('Staging Table'!$A110, LS_previous!$B$4:$AY$138,LS_previous!AD$149, FALSE))/2)</f>
        <v>-324</v>
      </c>
      <c r="O110" s="227">
        <f t="array" ref="O110">IF($G110=0, INDEX(LS_previous!$D$4:$AY$138, MATCH('Staging Table'!$A110, LS_previous!$B$4:$B$138, 0), MATCH(O$4&amp;O$5, LS_previous!$D$2:$AY$2&amp;LS_previous!$D$3:$AY$3, 0)),SUM(VLOOKUP($A110, LS_previous!$B$4:$AY$138, LS_previous!G$149, FALSE), VLOOKUP('Staging Table'!$A110, LS_previous!$B$4:$AY$138,LS_previous!AE$149, FALSE))/2)</f>
        <v>99</v>
      </c>
      <c r="P110" s="227">
        <f t="array" ref="P110">IF($G110=0, INDEX(LS_previous!$D$4:$AY$138, MATCH('Staging Table'!$A110, LS_previous!$B$4:$B$138, 0), MATCH(P$4&amp;P$5, LS_previous!$D$2:$AY$2&amp;LS_previous!$D$3:$AY$3, 0)),SUM(VLOOKUP($A110, LS_previous!$B$4:$AY$138, LS_previous!H$149, FALSE), VLOOKUP('Staging Table'!$A110, LS_previous!$B$4:$AY$138,LS_previous!AF$149, FALSE))/2)</f>
        <v>1477</v>
      </c>
      <c r="Q110" s="227">
        <f t="array" ref="Q110">IF($G110=0, INDEX(LS_previous!$D$4:$AY$138, MATCH('Staging Table'!$A110, LS_previous!$B$4:$B$138, 0), MATCH(Q$4&amp;Q$5, LS_previous!$D$2:$AY$2&amp;LS_previous!$D$3:$AY$3, 0)),SUM(VLOOKUP($A110, LS_previous!$B$4:$AY$138, LS_previous!I$149, FALSE), VLOOKUP('Staging Table'!$A110, LS_previous!$B$4:$AY$138,LS_previous!AG$149, FALSE))/2)</f>
        <v>1763</v>
      </c>
      <c r="R110" s="227">
        <f t="array" ref="R110">IF($G110=0, INDEX(LS_previous!$D$4:$AY$138, MATCH('Staging Table'!$A110, LS_previous!$B$4:$B$138, 0), MATCH(R$4&amp;R$5, LS_previous!$D$2:$AY$2&amp;LS_previous!$D$3:$AY$3, 0)),SUM(VLOOKUP($A110, LS_previous!$B$4:$AY$138, LS_previous!J$149, FALSE), VLOOKUP('Staging Table'!$A110, LS_previous!$B$4:$AY$138,LS_previous!AH$149, FALSE))/2)</f>
        <v>2778</v>
      </c>
      <c r="S110" s="227">
        <f t="array" ref="S110">IF($G110=0, INDEX(LS_previous!$D$4:$AY$138, MATCH('Staging Table'!$A110, LS_previous!$B$4:$B$138, 0), MATCH(S$4&amp;S$5, LS_previous!$D$2:$AY$2&amp;LS_previous!$D$3:$AY$3, 0)),SUM(VLOOKUP($A110, LS_previous!$B$4:$AY$138, LS_previous!K$149, FALSE), VLOOKUP('Staging Table'!$A110, LS_previous!$B$4:$AY$138,LS_previous!AI$149, FALSE))/2)</f>
        <v>1865</v>
      </c>
      <c r="T110" s="227">
        <f t="array" ref="T110">IF($G110=0, INDEX(LS_previous!$D$4:$AY$138, MATCH('Staging Table'!$A110, LS_previous!$B$4:$B$138, 0), MATCH(T$4&amp;T$5, LS_previous!$D$2:$AY$2&amp;LS_previous!$D$3:$AY$3, 0)),SUM(VLOOKUP($A110, LS_previous!$B$4:$AY$138, LS_previous!L$149, FALSE), VLOOKUP('Staging Table'!$A110, LS_previous!$B$4:$AY$138,LS_previous!AJ$149, FALSE))/2)</f>
        <v>2831</v>
      </c>
      <c r="U110" s="227">
        <f t="array" ref="U110">IF($G110=0, INDEX(LS_previous!$D$4:$AY$138, MATCH('Staging Table'!$A110, LS_previous!$B$4:$B$138, 0), MATCH(U$4&amp;U$5, LS_previous!$D$2:$AY$2&amp;LS_previous!$D$3:$AY$3, 0)),SUM(VLOOKUP($A110, LS_previous!$B$4:$AY$138, LS_previous!M$149, FALSE), VLOOKUP('Staging Table'!$A110, LS_previous!$B$4:$AY$138,LS_previous!AK$149, FALSE))/2)</f>
        <v>1680</v>
      </c>
      <c r="V110" s="227">
        <f t="array" ref="V110">IF($G110=0, INDEX(LS_previous!$D$4:$AY$138, MATCH('Staging Table'!$A110, LS_previous!$B$4:$B$138, 0), MATCH(V$4&amp;V$5, LS_previous!$D$2:$AY$2&amp;LS_previous!$D$3:$AY$3, 0)),SUM(VLOOKUP($A110, LS_previous!$B$4:$AY$138, LS_previous!N$149, FALSE), VLOOKUP('Staging Table'!$A110, LS_previous!$B$4:$AY$138,LS_previous!AL$149, FALSE))/2)</f>
        <v>849</v>
      </c>
      <c r="W110" s="227">
        <f t="array" ref="W110">IF($G110=0, INDEX(LS_previous!$D$4:$AY$138, MATCH('Staging Table'!$A110, LS_previous!$B$4:$B$138, 0), MATCH(W$4&amp;W$5, LS_previous!$D$2:$AY$2&amp;LS_previous!$D$3:$AY$3, 0)),SUM(VLOOKUP($A110, LS_previous!$B$4:$AY$138, LS_previous!O$149, FALSE), VLOOKUP('Staging Table'!$A110, LS_previous!$B$4:$AY$138,LS_previous!AM$149, FALSE))/2)</f>
        <v>813</v>
      </c>
      <c r="X110" s="227">
        <f t="array" ref="X110">IF($G110=0, INDEX(LS_previous!$D$4:$AY$138, MATCH('Staging Table'!$A110, LS_previous!$B$4:$B$138, 0), MATCH(X$4&amp;X$5, LS_previous!$D$2:$AY$2&amp;LS_previous!$D$3:$AY$3, 0)),SUM(VLOOKUP($A110, LS_previous!$B$4:$AY$138, LS_previous!P$149, FALSE), VLOOKUP('Staging Table'!$A110, LS_previous!$B$4:$AY$138,LS_previous!AN$149, FALSE))/2)</f>
        <v>340</v>
      </c>
      <c r="Y110" s="227">
        <f t="array" ref="Y110">IF($G110=0, INDEX(LS_previous!$D$4:$AY$138, MATCH('Staging Table'!$A110, LS_previous!$B$4:$B$138, 0), MATCH(Y$4&amp;Y$5, LS_previous!$D$2:$AY$2&amp;LS_previous!$D$3:$AY$3, 0)),SUM(VLOOKUP($A110, LS_previous!$B$4:$AY$138, LS_previous!Q$149, FALSE), VLOOKUP('Staging Table'!$A110, LS_previous!$B$4:$AY$138,LS_previous!AO$149, FALSE))/2)</f>
        <v>239</v>
      </c>
      <c r="Z110" s="227">
        <f t="array" ref="Z110">IF($G110=0, INDEX(LS_previous!$D$4:$AY$138, MATCH('Staging Table'!$A110, LS_previous!$B$4:$B$138, 0), MATCH(Z$4&amp;Z$5, LS_previous!$D$2:$AY$2&amp;LS_previous!$D$3:$AY$3, 0)),SUM(VLOOKUP($A110, LS_previous!$B$4:$AY$138, LS_previous!R$149, FALSE), VLOOKUP('Staging Table'!$A110, LS_previous!$B$4:$AY$138,LS_previous!AP$149, FALSE))/2)</f>
        <v>-3572</v>
      </c>
      <c r="AA110" s="227">
        <f t="array" ref="AA110">IF($G110=0, INDEX(LS_previous!$D$4:$AY$138, MATCH('Staging Table'!$A110, LS_previous!$B$4:$B$138, 0), MATCH(AA$4&amp;AA$5, LS_previous!$D$2:$AY$2&amp;LS_previous!$D$3:$AY$3, 0)),SUM(VLOOKUP($A110, LS_previous!$B$4:$AY$138, LS_previous!S$149, FALSE), VLOOKUP('Staging Table'!$A110, LS_previous!$B$4:$AY$138,LS_previous!AQ$149, FALSE))/2)</f>
        <v>-1650</v>
      </c>
      <c r="AB110" s="227">
        <f t="array" ref="AB110">IF($G110=0, INDEX(LS_previous!$D$4:$AY$138, MATCH('Staging Table'!$A110, LS_previous!$B$4:$B$138, 0), MATCH(AB$4&amp;AB$5, LS_previous!$D$2:$AY$2&amp;LS_previous!$D$3:$AY$3, 0)),SUM(VLOOKUP($A110, LS_previous!$B$4:$AY$138, LS_previous!T$149, FALSE), VLOOKUP('Staging Table'!$A110, LS_previous!$B$4:$AY$138,LS_previous!AR$149, FALSE))/2)</f>
        <v>-1998</v>
      </c>
      <c r="AC110" s="227">
        <f t="array" ref="AC110">IF($G110=0, INDEX(LS_previous!$D$4:$AY$138, MATCH('Staging Table'!$A110, LS_previous!$B$4:$B$138, 0), MATCH(AC$4&amp;AC$5, LS_previous!$D$2:$AY$2&amp;LS_previous!$D$3:$AY$3, 0)),SUM(VLOOKUP($A110, LS_previous!$B$4:$AY$138, LS_previous!U$149, FALSE), VLOOKUP('Staging Table'!$A110, LS_previous!$B$4:$AY$138,LS_previous!AS$149, FALSE))/2)</f>
        <v>-1104</v>
      </c>
      <c r="AD110" s="227">
        <f t="array" ref="AD110">IF($G110=0, INDEX(LS_previous!$D$4:$AY$138, MATCH('Staging Table'!$A110, LS_previous!$B$4:$B$138, 0), MATCH(AD$4&amp;AD$5, LS_previous!$D$2:$AY$2&amp;LS_previous!$D$3:$AY$3, 0)),SUM(VLOOKUP($A110, LS_previous!$B$4:$AY$138, LS_previous!V$149, FALSE), VLOOKUP('Staging Table'!$A110, LS_previous!$B$4:$AY$138,LS_previous!AT$149, FALSE))/2)</f>
        <v>-924</v>
      </c>
      <c r="AE110" s="227">
        <f t="array" ref="AE110">IF($G110=0, INDEX(LS_previous!$D$4:$AY$138, MATCH('Staging Table'!$A110, LS_previous!$B$4:$B$138, 0), MATCH(AE$4&amp;AE$5, LS_previous!$D$2:$AY$2&amp;LS_previous!$D$3:$AY$3, 0)),SUM(VLOOKUP($A110, LS_previous!$B$4:$AY$138, LS_previous!W$149, FALSE), VLOOKUP('Staging Table'!$A110, LS_previous!$B$4:$AY$138,LS_previous!AU$149, FALSE))/2)</f>
        <v>-293</v>
      </c>
      <c r="AF110" s="227">
        <f t="array" ref="AF110">IF($G110=0, INDEX(LS_previous!$D$4:$AY$138, MATCH('Staging Table'!$A110, LS_previous!$B$4:$B$138, 0), MATCH(AF$4&amp;AF$5, LS_previous!$D$2:$AY$2&amp;LS_previous!$D$3:$AY$3, 0)),SUM(VLOOKUP($A110, LS_previous!$B$4:$AY$138, LS_previous!X$149, FALSE), VLOOKUP('Staging Table'!$A110, LS_previous!$B$4:$AY$138,LS_previous!AV$149, FALSE))/2)</f>
        <v>-1643</v>
      </c>
      <c r="AG110" s="227">
        <f t="array" ref="AG110">IF($G110=0, INDEX(LS_previous!$D$4:$AY$138, MATCH('Staging Table'!$A110, LS_previous!$B$4:$B$138, 0), MATCH(AG$4&amp;AG$5, LS_previous!$D$2:$AY$2&amp;LS_previous!$D$3:$AY$3, 0)),SUM(VLOOKUP($A110, LS_previous!$B$4:$AY$138, LS_previous!Y$149, FALSE), VLOOKUP('Staging Table'!$A110, LS_previous!$B$4:$AY$138,LS_previous!AW$149, FALSE))/2)</f>
        <v>-434</v>
      </c>
      <c r="AH110" s="227">
        <f t="array" ref="AH110">IF($G110=0, INDEX(LS_previous!$D$4:$AY$138, MATCH('Staging Table'!$A110, LS_previous!$B$4:$B$138, 0), MATCH(AH$4&amp;AH$5, LS_previous!$D$2:$AY$2&amp;LS_previous!$D$3:$AY$3, 0)),SUM(VLOOKUP($A110, LS_previous!$B$4:$AY$138, LS_previous!Z$149, FALSE), VLOOKUP('Staging Table'!$A110, LS_previous!$B$4:$AY$138,LS_previous!AX$149, FALSE))/2)</f>
        <v>-1017</v>
      </c>
      <c r="AI110" s="227">
        <f t="array" ref="AI110">IF($G110=0, INDEX(LS_previous!$D$4:$AY$138, MATCH('Staging Table'!$A110, LS_previous!$B$4:$B$138, 0), MATCH(AI$4&amp;AI$5, LS_previous!$D$2:$AY$2&amp;LS_previous!$D$3:$AY$3, 0)),SUM(VLOOKUP($A110, LS_previous!$B$4:$AY$138, LS_previous!AA$149, FALSE), VLOOKUP('Staging Table'!$A110, LS_previous!$B$4:$AY$138,LS_previous!AY$149, FALSE))/2)</f>
        <v>-544</v>
      </c>
      <c r="AJ110" s="424">
        <f t="array" ref="AJ110">INDEX(Demand_previous!$D$4:$AY$138, MATCH('Staging Table'!$A110, Demand_previous!$B$4:$B$138, 0), MATCH(AJ$4&amp;AJ$5,Demand_previous!$D$2:$AY$2&amp;Demand_previous!$D$3:$AY$3, 0))/1000</f>
        <v>1.778</v>
      </c>
      <c r="AK110" s="424">
        <f t="array" ref="AK110">INDEX(Demand_previous!$D$4:$AY$138, MATCH('Staging Table'!$A110, Demand_previous!$B$4:$B$138, 0), MATCH(AK$4&amp;AK$5,Demand_previous!$D$2:$AY$2&amp;Demand_previous!$D$3:$AY$3, 0))/1000</f>
        <v>2.653</v>
      </c>
      <c r="AL110" s="424">
        <f t="array" ref="AL110">INDEX(Demand_previous!$D$4:$AY$138, MATCH('Staging Table'!$A110, Demand_previous!$B$4:$B$138, 0), MATCH(AL$4&amp;AL$5,Demand_previous!$D$2:$AY$2&amp;Demand_previous!$D$3:$AY$3, 0))/1000</f>
        <v>2.1560000000000001</v>
      </c>
      <c r="AM110" s="424">
        <f t="array" ref="AM110">INDEX(Demand_previous!$D$4:$AY$138, MATCH('Staging Table'!$A110, Demand_previous!$B$4:$B$138, 0), MATCH(AM$4&amp;AM$5,Demand_previous!$D$2:$AY$2&amp;Demand_previous!$D$3:$AY$3, 0))/1000</f>
        <v>4.8250000000000002</v>
      </c>
      <c r="AN110" s="424">
        <f t="array" ref="AN110">INDEX(Demand_previous!$D$4:$AY$138, MATCH('Staging Table'!$A110, Demand_previous!$B$4:$B$138, 0), MATCH(AN$4&amp;AN$5,Demand_previous!$D$2:$AY$2&amp;Demand_previous!$D$3:$AY$3, 0))/1000</f>
        <v>0.32900000000000001</v>
      </c>
      <c r="AO110" s="424">
        <f t="array" ref="AO110">INDEX(Demand_previous!$D$4:$AY$138, MATCH('Staging Table'!$A110, Demand_previous!$B$4:$B$138, 0), MATCH(AO$4&amp;AO$5,Demand_previous!$D$2:$AY$2&amp;Demand_previous!$D$3:$AY$3, 0))/1000</f>
        <v>6.2679999999999998</v>
      </c>
      <c r="AP110" s="424">
        <f t="array" ref="AP110">INDEX(Demand_previous!$D$4:$AY$138, MATCH('Staging Table'!$A110, Demand_previous!$B$4:$B$138, 0), MATCH(AP$4&amp;AP$5,Demand_previous!$D$2:$AY$2&amp;Demand_previous!$D$3:$AY$3, 0))/1000</f>
        <v>1.6419999999999999</v>
      </c>
      <c r="AQ110" s="424">
        <f t="array" ref="AQ110">INDEX(Demand_previous!$D$4:$AY$138, MATCH('Staging Table'!$A110, Demand_previous!$B$4:$B$138, 0), MATCH(AQ$4&amp;AQ$5,Demand_previous!$D$2:$AY$2&amp;Demand_previous!$D$3:$AY$3, 0))/1000</f>
        <v>0.56499999999999995</v>
      </c>
      <c r="AR110" s="424">
        <f t="array" ref="AR110">INDEX(Demand_previous!$D$4:$AY$138, MATCH('Staging Table'!$A110, Demand_previous!$B$4:$B$138, 0), MATCH(AR$4&amp;AR$5,Demand_previous!$D$2:$AY$2&amp;Demand_previous!$D$3:$AY$3, 0))/1000</f>
        <v>2.2869999999999999</v>
      </c>
      <c r="AS110" s="424">
        <f t="array" ref="AS110">INDEX(Demand_previous!$D$4:$AY$138, MATCH('Staging Table'!$A110, Demand_previous!$B$4:$B$138, 0), MATCH(AS$4&amp;AS$5,Demand_previous!$D$2:$AY$2&amp;Demand_previous!$D$3:$AY$3, 0))/1000</f>
        <v>1.345</v>
      </c>
      <c r="AT110" s="424">
        <f t="array" ref="AT110">INDEX(Demand_previous!$D$4:$AY$138, MATCH('Staging Table'!$A110, Demand_previous!$B$4:$B$138, 0), MATCH(AT$4&amp;AT$5,Demand_previous!$D$2:$AY$2&amp;Demand_previous!$D$3:$AY$3, 0))/1000</f>
        <v>3.476</v>
      </c>
      <c r="AU110" s="424">
        <f t="array" ref="AU110">INDEX(Demand_previous!$D$4:$AY$138, MATCH('Staging Table'!$A110, Demand_previous!$B$4:$B$138, 0), MATCH(AU$4&amp;AU$5,Demand_previous!$D$2:$AY$2&amp;Demand_previous!$D$3:$AY$3, 0))/1000</f>
        <v>1.016</v>
      </c>
      <c r="AV110" s="227">
        <f>$F110*(VLOOKUP(AV$4, Rates_previous!$G$6:$Q$29, 10, FALSE)+VLOOKUP(AV$4, Rates_previous!$G$6:$Q$29, 11, FALSE))</f>
        <v>10294.812191102385</v>
      </c>
      <c r="AW110" s="227">
        <f>$F110*(VLOOKUP(AW$4, Rates_previous!$G$6:$Q$29, 10, FALSE)+VLOOKUP(AW$4, Rates_previous!$G$6:$Q$29, 11, FALSE))</f>
        <v>12723.605421009963</v>
      </c>
      <c r="AX110" s="227">
        <f>$F110*(VLOOKUP(AX$4, Rates_previous!$G$6:$Q$29, 10, FALSE)+VLOOKUP(AX$4, Rates_previous!$G$6:$Q$29, 11, FALSE))</f>
        <v>12570.810138070787</v>
      </c>
      <c r="AY110" s="227">
        <f>$F110*(VLOOKUP(AY$4, Rates_previous!$G$6:$Q$29, 10, FALSE)+VLOOKUP(AY$4, Rates_previous!$G$6:$Q$29, 11, FALSE))</f>
        <v>10740.559066885295</v>
      </c>
      <c r="AZ110" s="227">
        <f>$F110*(VLOOKUP(AZ$4, Rates_previous!$G$6:$Q$29, 10, FALSE)+VLOOKUP(AZ$4, Rates_previous!$G$6:$Q$29, 11, FALSE))</f>
        <v>8805.1750762744796</v>
      </c>
      <c r="BA110" s="227">
        <f>$F110*(VLOOKUP(BA$4, Rates_previous!$G$6:$Q$29, 10, FALSE)+VLOOKUP(BA$4, Rates_previous!$G$6:$Q$29, 11, FALSE))</f>
        <v>10425.007456667843</v>
      </c>
      <c r="BB110" s="227">
        <f>$F110*(VLOOKUP(BB$4, Rates_previous!$G$6:$Q$29, 10, FALSE)+VLOOKUP(BB$4, Rates_previous!$G$6:$Q$29, 11, FALSE))</f>
        <v>10019.948575706852</v>
      </c>
      <c r="BC110" s="227">
        <f>$F110*(VLOOKUP(BC$4, Rates_previous!$G$6:$Q$29, 10, FALSE)+VLOOKUP(BC$4, Rates_previous!$G$6:$Q$29, 11, FALSE))</f>
        <v>14703.565495758647</v>
      </c>
      <c r="BD110" s="227">
        <f>$F110*(VLOOKUP(BD$4, Rates_previous!$G$6:$Q$29, 10, FALSE)+VLOOKUP(BD$4, Rates_previous!$G$6:$Q$29, 11, FALSE))</f>
        <v>11600.724556180434</v>
      </c>
      <c r="BE110" s="227">
        <f>$F110*(VLOOKUP(BE$4, Rates_previous!$G$6:$Q$29, 10, FALSE)+VLOOKUP(BE$4, Rates_previous!$G$6:$Q$29, 11, FALSE))</f>
        <v>10186.409873293433</v>
      </c>
      <c r="BF110" s="227">
        <f>$F110*(VLOOKUP(BF$4, Rates_previous!$G$6:$Q$29, 10, FALSE)+VLOOKUP(BF$4, Rates_previous!$G$6:$Q$29, 11, FALSE))</f>
        <v>11281.856673361459</v>
      </c>
      <c r="BG110" s="227">
        <f>$F110*(VLOOKUP(BG$4, Rates_previous!$G$6:$Q$29, 10, FALSE)+VLOOKUP(BG$4, Rates_previous!$G$6:$Q$29, 11, FALSE))</f>
        <v>10220.91349474426</v>
      </c>
      <c r="BH110" s="229">
        <f>IF($D110=0,IF(C110=0, MAX(BK110 - (VLOOKUP($A110,TOCA_previous!$A$2:$AI$137,MATCH("RHWM 2018",TOCA_previous!$A$2:$AI$2,0),FALSE)*$F$2*TOCA_previous!C107),0),0), 0)</f>
        <v>0</v>
      </c>
      <c r="BI110" s="266">
        <f>VLOOKUP($A110,REP_previous!$A$1:$D$135,MATCH("FY "&amp;$F$1&amp; " Total Refund",REP_previous!$A$1:$D$1,0),0)</f>
        <v>197551.89390883379</v>
      </c>
      <c r="BJ110" s="241">
        <f>MIN(VLOOKUP($A110,TOCA_previous!$A$2:$AI$137,MATCH("TRL - NLSL - Existing Resource "&amp;$F$1,TOCA_previous!$A$2:$AI$2,0),FALSE)*$F$2,(VLOOKUP($A110,TOCA_previous!$A$2:$AI$137,MATCH("RHWM 2018",TOCA_previous!$A$2:$AI$2,0),FALSE)*$F$2))</f>
        <v>133572.47999999998</v>
      </c>
      <c r="BK110" s="229">
        <f>SUM(L110:AI110)+(F110*RT1SC!$C$3*$F$2)</f>
        <v>134509.38996777599</v>
      </c>
      <c r="BL110" s="241">
        <f>VLOOKUP($A110,TOCA_previous!$A$2:$AI$137,MATCH("Above RHWM Not Served with LS "&amp;$F$1,TOCA_previous!$A$2:$AI$2,0),FALSE)*$F$2</f>
        <v>0</v>
      </c>
      <c r="BM110" s="151">
        <f t="shared" si="21"/>
        <v>936.90996777600958</v>
      </c>
      <c r="BN110" s="242">
        <f>(VLOOKUP($A110,TOCA_previous!$A$2:$AI$137,MATCH("RHWM 2018",TOCA_previous!$A$2:$AI$2,0),FALSE)*$F$2) - $BJ110</f>
        <v>3530.2800000000279</v>
      </c>
      <c r="BO110" s="151">
        <f t="shared" si="22"/>
        <v>-936.90996777600958</v>
      </c>
      <c r="BP110" s="243">
        <f t="shared" si="23"/>
        <v>0</v>
      </c>
      <c r="BQ110" s="237">
        <f t="shared" si="24"/>
        <v>0</v>
      </c>
      <c r="BR110" s="242">
        <f t="shared" si="25"/>
        <v>-936.90996777600958</v>
      </c>
      <c r="BS110" s="151">
        <f>VLOOKUP($A110,TOCA_current!$A$2:$AI$137,MATCH(BS$4,TOCA_current!$A$2:$AI$2,0),FALSE)</f>
        <v>2.1808000000000001E-3</v>
      </c>
      <c r="BT110" s="151">
        <f>VLOOKUP($A110,TOCA_current!$A$2:$AI$137,MATCH(BT$4,TOCA_current!$A$2:$AI$2,0),FALSE)</f>
        <v>2.1808000000000001E-3</v>
      </c>
      <c r="BU110" s="236">
        <f t="shared" si="26"/>
        <v>0</v>
      </c>
      <c r="BV110" s="151">
        <f>VLOOKUP($A110,TOCA_current!A106:BG241,MATCH(BV$4,TOCA_current!$A$2:$BG$2,0),FALSE)</f>
        <v>4.4999999999999998E-2</v>
      </c>
      <c r="BW110" s="151">
        <f t="shared" si="27"/>
        <v>0</v>
      </c>
      <c r="BX110" s="151">
        <f t="shared" si="28"/>
        <v>0</v>
      </c>
      <c r="BY110" s="226">
        <f>VLOOKUP($A110,IRD!$A$4:$G$139, 7, FALSE)</f>
        <v>0</v>
      </c>
      <c r="BZ110" s="227">
        <f t="array" ref="BZ110">IF($BU110=0, INDEX(LS_current!$D$4:$AY$138, MATCH('Staging Table'!$A110, LS_current!$B$4:$B$138, 0), MATCH(BZ$4&amp;BZ$5, LS_current!$D$2:$AY$2&amp;LS_current!$D$3:$AY$3, 0)),SUM(VLOOKUP($A110, LS_current!$B$4:$AY$138, LS_current!D$148, FALSE), VLOOKUP($A110, LS_current!$B$4:$AY$138,LS_current!D$148, FALSE))/2)</f>
        <v>5</v>
      </c>
      <c r="CA110" s="227">
        <f t="array" ref="CA110">IF($BU110=0, INDEX(LS_current!$D$4:$AY$138, MATCH('Staging Table'!$A110, LS_current!$B$4:$B$138, 0), MATCH(CA$4&amp;CA$5, LS_current!$D$2:$AY$2&amp;LS_current!$D$3:$AY$3, 0)),SUM(VLOOKUP($A110, LS_current!$B$4:$AY$138, LS_current!E$148, FALSE), VLOOKUP($A110, LS_current!$B$4:$AY$138,LS_current!E$148, FALSE))/2)</f>
        <v>-74</v>
      </c>
      <c r="CB110" s="227">
        <f t="array" ref="CB110">IF($BU110=0, INDEX(LS_current!$D$4:$AY$138, MATCH('Staging Table'!$A110, LS_current!$B$4:$B$138, 0), MATCH(CB$4&amp;CB$5, LS_current!$D$2:$AY$2&amp;LS_current!$D$3:$AY$3, 0)),SUM(VLOOKUP($A110, LS_current!$B$4:$AY$138, LS_current!F$148, FALSE), VLOOKUP($A110, LS_current!$B$4:$AY$138,LS_current!F$148, FALSE))/2)</f>
        <v>-326</v>
      </c>
      <c r="CC110" s="227">
        <f t="array" ref="CC110">IF($BU110=0, INDEX(LS_current!$D$4:$AY$138, MATCH('Staging Table'!$A110, LS_current!$B$4:$B$138, 0), MATCH(CC$4&amp;CC$5, LS_current!$D$2:$AY$2&amp;LS_current!$D$3:$AY$3, 0)),SUM(VLOOKUP($A110, LS_current!$B$4:$AY$138, LS_current!G$148, FALSE), VLOOKUP($A110, LS_current!$B$4:$AY$138,LS_current!G$148, FALSE))/2)</f>
        <v>33</v>
      </c>
      <c r="CD110" s="227">
        <f t="array" ref="CD110">IF($BU110=0, INDEX(LS_current!$D$4:$AY$138, MATCH('Staging Table'!$A110, LS_current!$B$4:$B$138, 0), MATCH(CD$4&amp;CD$5, LS_current!$D$2:$AY$2&amp;LS_current!$D$3:$AY$3, 0)),SUM(VLOOKUP($A110, LS_current!$B$4:$AY$138, LS_current!H$148, FALSE), VLOOKUP($A110, LS_current!$B$4:$AY$138,LS_current!H$148, FALSE))/2)</f>
        <v>1460</v>
      </c>
      <c r="CE110" s="227">
        <f t="array" ref="CE110">IF($BU110=0, INDEX(LS_current!$D$4:$AY$138, MATCH('Staging Table'!$A110, LS_current!$B$4:$B$138, 0), MATCH(CE$4&amp;CE$5, LS_current!$D$2:$AY$2&amp;LS_current!$D$3:$AY$3, 0)),SUM(VLOOKUP($A110, LS_current!$B$4:$AY$138, LS_current!I$148, FALSE), VLOOKUP($A110, LS_current!$B$4:$AY$138,LS_current!I$148, FALSE))/2)</f>
        <v>1713</v>
      </c>
      <c r="CF110" s="227">
        <f t="array" ref="CF110">IF($BU110=0, INDEX(LS_current!$D$4:$AY$138, MATCH('Staging Table'!$A110, LS_current!$B$4:$B$138, 0), MATCH(CF$4&amp;CF$5, LS_current!$D$2:$AY$2&amp;LS_current!$D$3:$AY$3, 0)),SUM(VLOOKUP($A110, LS_current!$B$4:$AY$138, LS_current!J$148, FALSE), VLOOKUP($A110, LS_current!$B$4:$AY$138,LS_current!J$148, FALSE))/2)</f>
        <v>2793</v>
      </c>
      <c r="CG110" s="227">
        <f t="array" ref="CG110">IF($BU110=0, INDEX(LS_current!$D$4:$AY$138, MATCH('Staging Table'!$A110, LS_current!$B$4:$B$138, 0), MATCH(CG$4&amp;CG$5, LS_current!$D$2:$AY$2&amp;LS_current!$D$3:$AY$3, 0)),SUM(VLOOKUP($A110, LS_current!$B$4:$AY$138, LS_current!K$148, FALSE), VLOOKUP($A110, LS_current!$B$4:$AY$138,LS_current!K$148, FALSE))/2)</f>
        <v>2056</v>
      </c>
      <c r="CH110" s="227">
        <f t="array" ref="CH110">IF($BU110=0, INDEX(LS_current!$D$4:$AY$138, MATCH('Staging Table'!$A110, LS_current!$B$4:$B$138, 0), MATCH(CH$4&amp;CH$5, LS_current!$D$2:$AY$2&amp;LS_current!$D$3:$AY$3, 0)),SUM(VLOOKUP($A110, LS_current!$B$4:$AY$138, LS_current!L$148, FALSE), VLOOKUP($A110, LS_current!$B$4:$AY$138,LS_current!L$148, FALSE))/2)</f>
        <v>2373</v>
      </c>
      <c r="CI110" s="227">
        <f t="array" ref="CI110">IF($BU110=0, INDEX(LS_current!$D$4:$AY$138, MATCH('Staging Table'!$A110, LS_current!$B$4:$B$138, 0), MATCH(CI$4&amp;CI$5, LS_current!$D$2:$AY$2&amp;LS_current!$D$3:$AY$3, 0)),SUM(VLOOKUP($A110, LS_current!$B$4:$AY$138, LS_current!M$148, FALSE), VLOOKUP($A110, LS_current!$B$4:$AY$138,LS_current!M$148, FALSE))/2)</f>
        <v>1401</v>
      </c>
      <c r="CJ110" s="227">
        <f t="array" ref="CJ110">IF($BU110=0, INDEX(LS_current!$D$4:$AY$138, MATCH('Staging Table'!$A110, LS_current!$B$4:$B$138, 0), MATCH(CJ$4&amp;CJ$5, LS_current!$D$2:$AY$2&amp;LS_current!$D$3:$AY$3, 0)),SUM(VLOOKUP($A110, LS_current!$B$4:$AY$138, LS_current!N$148, FALSE), VLOOKUP($A110, LS_current!$B$4:$AY$138,LS_current!N$148, FALSE))/2)</f>
        <v>693</v>
      </c>
      <c r="CK110" s="227">
        <f t="array" ref="CK110">IF($BU110=0, INDEX(LS_current!$D$4:$AY$138, MATCH('Staging Table'!$A110, LS_current!$B$4:$B$138, 0), MATCH(CK$4&amp;CK$5, LS_current!$D$2:$AY$2&amp;LS_current!$D$3:$AY$3, 0)),SUM(VLOOKUP($A110, LS_current!$B$4:$AY$138, LS_current!O$148, FALSE), VLOOKUP($A110, LS_current!$B$4:$AY$138,LS_current!O$148, FALSE))/2)</f>
        <v>780</v>
      </c>
      <c r="CL110" s="227">
        <f t="array" ref="CL110">IF($BU110=0, INDEX(LS_current!$D$4:$AY$138, MATCH('Staging Table'!$A110, LS_current!$B$4:$B$138, 0), MATCH(CL$4&amp;CL$5, LS_current!$D$2:$AY$2&amp;LS_current!$D$3:$AY$3, 0)),SUM(VLOOKUP($A110, LS_current!$B$4:$AY$138, LS_current!P$148, FALSE), VLOOKUP($A110, LS_current!$B$4:$AY$138,LS_current!P$148, FALSE))/2)</f>
        <v>1346</v>
      </c>
      <c r="CM110" s="227">
        <f t="array" ref="CM110">IF($BU110=0, INDEX(LS_current!$D$4:$AY$138, MATCH('Staging Table'!$A110, LS_current!$B$4:$B$138, 0), MATCH(CM$4&amp;CM$5, LS_current!$D$2:$AY$2&amp;LS_current!$D$3:$AY$3, 0)),SUM(VLOOKUP($A110, LS_current!$B$4:$AY$138, LS_current!Q$148, FALSE), VLOOKUP($A110, LS_current!$B$4:$AY$138,LS_current!Q$148, FALSE))/2)</f>
        <v>611</v>
      </c>
      <c r="CN110" s="227">
        <f t="array" ref="CN110">IF($BU110=0, INDEX(LS_current!$D$4:$AY$138, MATCH('Staging Table'!$A110, LS_current!$B$4:$B$138, 0), MATCH(CN$4&amp;CN$5, LS_current!$D$2:$AY$2&amp;LS_current!$D$3:$AY$3, 0)),SUM(VLOOKUP($A110, LS_current!$B$4:$AY$138, LS_current!R$148, FALSE), VLOOKUP($A110, LS_current!$B$4:$AY$138,LS_current!R$148, FALSE))/2)</f>
        <v>-1764</v>
      </c>
      <c r="CO110" s="227">
        <f t="array" ref="CO110">IF($BU110=0, INDEX(LS_current!$D$4:$AY$138, MATCH('Staging Table'!$A110, LS_current!$B$4:$B$138, 0), MATCH(CO$4&amp;CO$5, LS_current!$D$2:$AY$2&amp;LS_current!$D$3:$AY$3, 0)),SUM(VLOOKUP($A110, LS_current!$B$4:$AY$138, LS_current!S$148, FALSE), VLOOKUP($A110, LS_current!$B$4:$AY$138,LS_current!S$148, FALSE))/2)</f>
        <v>-410</v>
      </c>
      <c r="CP110" s="227">
        <f t="array" ref="CP110">IF($BU110=0, INDEX(LS_current!$D$4:$AY$138, MATCH('Staging Table'!$A110, LS_current!$B$4:$B$138, 0), MATCH(CP$4&amp;CP$5, LS_current!$D$2:$AY$2&amp;LS_current!$D$3:$AY$3, 0)),SUM(VLOOKUP($A110, LS_current!$B$4:$AY$138, LS_current!T$148, FALSE), VLOOKUP($A110, LS_current!$B$4:$AY$138,LS_current!T$148, FALSE))/2)</f>
        <v>-4060</v>
      </c>
      <c r="CQ110" s="227">
        <f t="array" ref="CQ110">IF($BU110=0, INDEX(LS_current!$D$4:$AY$138, MATCH('Staging Table'!$A110, LS_current!$B$4:$B$138, 0), MATCH(CQ$4&amp;CQ$5, LS_current!$D$2:$AY$2&amp;LS_current!$D$3:$AY$3, 0)),SUM(VLOOKUP($A110, LS_current!$B$4:$AY$138, LS_current!U$148, FALSE), VLOOKUP($A110, LS_current!$B$4:$AY$138,LS_current!U$148, FALSE))/2)</f>
        <v>-2312</v>
      </c>
      <c r="CR110" s="227">
        <f t="array" ref="CR110">IF($BU110=0, INDEX(LS_current!$D$4:$AY$138, MATCH('Staging Table'!$A110, LS_current!$B$4:$B$138, 0), MATCH(CR$4&amp;CR$5, LS_current!$D$2:$AY$2&amp;LS_current!$D$3:$AY$3, 0)),SUM(VLOOKUP($A110, LS_current!$B$4:$AY$138, LS_current!V$148, FALSE), VLOOKUP($A110, LS_current!$B$4:$AY$138,LS_current!V$148, FALSE))/2)</f>
        <v>-2290</v>
      </c>
      <c r="CS110" s="227">
        <f t="array" ref="CS110">IF($BU110=0, INDEX(LS_current!$D$4:$AY$138, MATCH('Staging Table'!$A110, LS_current!$B$4:$B$138, 0), MATCH(CS$4&amp;CS$5, LS_current!$D$2:$AY$2&amp;LS_current!$D$3:$AY$3, 0)),SUM(VLOOKUP($A110, LS_current!$B$4:$AY$138, LS_current!W$148, FALSE), VLOOKUP($A110, LS_current!$B$4:$AY$138,LS_current!W$148, FALSE))/2)</f>
        <v>-400</v>
      </c>
      <c r="CT110" s="227">
        <f t="array" ref="CT110">IF($BU110=0, INDEX(LS_current!$D$4:$AY$138, MATCH('Staging Table'!$A110, LS_current!$B$4:$B$138, 0), MATCH(CT$4&amp;CT$5, LS_current!$D$2:$AY$2&amp;LS_current!$D$3:$AY$3, 0)),SUM(VLOOKUP($A110, LS_current!$B$4:$AY$138, LS_current!X$148, FALSE), VLOOKUP($A110, LS_current!$B$4:$AY$138,LS_current!X$148, FALSE))/2)</f>
        <v>-1876</v>
      </c>
      <c r="CU110" s="227">
        <f t="array" ref="CU110">IF($BU110=0, INDEX(LS_current!$D$4:$AY$138, MATCH('Staging Table'!$A110, LS_current!$B$4:$B$138, 0), MATCH(CU$4&amp;CU$5, LS_current!$D$2:$AY$2&amp;LS_current!$D$3:$AY$3, 0)),SUM(VLOOKUP($A110, LS_current!$B$4:$AY$138, LS_current!Y$148, FALSE), VLOOKUP($A110, LS_current!$B$4:$AY$138,LS_current!Y$148, FALSE))/2)</f>
        <v>-273</v>
      </c>
      <c r="CV110" s="227">
        <f t="array" ref="CV110">IF($BU110=0, INDEX(LS_current!$D$4:$AY$138, MATCH('Staging Table'!$A110, LS_current!$B$4:$B$138, 0), MATCH(CV$4&amp;CV$5, LS_current!$D$2:$AY$2&amp;LS_current!$D$3:$AY$3, 0)),SUM(VLOOKUP($A110, LS_current!$B$4:$AY$138, LS_current!Z$148, FALSE), VLOOKUP($A110, LS_current!$B$4:$AY$138,LS_current!Z$148, FALSE))/2)</f>
        <v>-1012</v>
      </c>
      <c r="CW110" s="227">
        <f t="array" ref="CW110">IF($BU110=0, INDEX(LS_current!$D$4:$AY$138, MATCH('Staging Table'!$A110, LS_current!$B$4:$B$138, 0), MATCH(CW$4&amp;CW$5, LS_current!$D$2:$AY$2&amp;LS_current!$D$3:$AY$3, 0)),SUM(VLOOKUP($A110, LS_current!$B$4:$AY$138, LS_current!AA$148, FALSE), VLOOKUP($A110, LS_current!$B$4:$AY$138,LS_current!AA$148, FALSE))/2)</f>
        <v>-522</v>
      </c>
      <c r="CX110" s="229">
        <f t="array" ref="CX110">INDEX(Demand_current!$D$4:$AY$138, MATCH($A110, Demand_current!$B$4:$B$138, 0), MATCH(CX$4&amp;CX$5,Demand_current!$D$2:$AY$2&amp;Demand_current!$D$3:$AY$3, 0))/1000</f>
        <v>2.363</v>
      </c>
      <c r="CY110" s="229">
        <f t="array" ref="CY110">INDEX(Demand_current!$D$4:$AY$138, MATCH($A110, Demand_current!$B$4:$B$138, 0), MATCH(CY$4&amp;CY$5,Demand_current!$D$2:$AY$2&amp;Demand_current!$D$3:$AY$3, 0))/1000</f>
        <v>2.653</v>
      </c>
      <c r="CZ110" s="229">
        <f t="array" ref="CZ110">INDEX(Demand_current!$D$4:$AY$138, MATCH($A110, Demand_current!$B$4:$B$138, 0), MATCH(CZ$4&amp;CZ$5,Demand_current!$D$2:$AY$2&amp;Demand_current!$D$3:$AY$3, 0))/1000</f>
        <v>2.1560000000000001</v>
      </c>
      <c r="DA110" s="229">
        <f t="array" ref="DA110">INDEX(Demand_current!$D$4:$AY$138, MATCH($A110, Demand_current!$B$4:$B$138, 0), MATCH(DA$4&amp;DA$5,Demand_current!$D$2:$AY$2&amp;Demand_current!$D$3:$AY$3, 0))/1000</f>
        <v>4.8250000000000002</v>
      </c>
      <c r="DB110" s="229">
        <f t="array" ref="DB110">INDEX(Demand_current!$D$4:$AY$138, MATCH($A110, Demand_current!$B$4:$B$138, 0), MATCH(DB$4&amp;DB$5,Demand_current!$D$2:$AY$2&amp;Demand_current!$D$3:$AY$3, 0))/1000</f>
        <v>1.2030000000000001</v>
      </c>
      <c r="DC110" s="229">
        <f t="array" ref="DC110">INDEX(Demand_current!$D$4:$AY$138, MATCH($A110, Demand_current!$B$4:$B$138, 0), MATCH(DC$4&amp;DC$5,Demand_current!$D$2:$AY$2&amp;Demand_current!$D$3:$AY$3, 0))/1000</f>
        <v>5.6059999999999999</v>
      </c>
      <c r="DD110" s="229">
        <f t="array" ref="DD110">INDEX(Demand_current!$D$4:$AY$138, MATCH($A110, Demand_current!$B$4:$B$138, 0), MATCH(DD$4&amp;DD$5,Demand_current!$D$2:$AY$2&amp;Demand_current!$D$3:$AY$3, 0))/1000</f>
        <v>2.294</v>
      </c>
      <c r="DE110" s="229">
        <f t="array" ref="DE110">INDEX(Demand_current!$D$4:$AY$138, MATCH($A110, Demand_current!$B$4:$B$138, 0), MATCH(DE$4&amp;DE$5,Demand_current!$D$2:$AY$2&amp;Demand_current!$D$3:$AY$3, 0))/1000</f>
        <v>7.0000000000000001E-3</v>
      </c>
      <c r="DF110" s="229">
        <f t="array" ref="DF110">INDEX(Demand_current!$D$4:$AY$138, MATCH($A110, Demand_current!$B$4:$B$138, 0), MATCH(DF$4&amp;DF$5,Demand_current!$D$2:$AY$2&amp;Demand_current!$D$3:$AY$3, 0))/1000</f>
        <v>2.2869999999999999</v>
      </c>
      <c r="DG110" s="229">
        <f t="array" ref="DG110">INDEX(Demand_current!$D$4:$AY$138, MATCH($A110, Demand_current!$B$4:$B$138, 0), MATCH(DG$4&amp;DG$5,Demand_current!$D$2:$AY$2&amp;Demand_current!$D$3:$AY$3, 0))/1000</f>
        <v>1.8959999999999999</v>
      </c>
      <c r="DH110" s="229">
        <f t="array" ref="DH110">INDEX(Demand_current!$D$4:$AY$138, MATCH($A110, Demand_current!$B$4:$B$138, 0), MATCH(DH$4&amp;DH$5,Demand_current!$D$2:$AY$2&amp;Demand_current!$D$3:$AY$3, 0))/1000</f>
        <v>2.9510000000000001</v>
      </c>
      <c r="DI110" s="229">
        <f t="array" ref="DI110">INDEX(Demand_current!$D$4:$AY$138, MATCH($A110, Demand_current!$B$4:$B$138, 0), MATCH(DI$4&amp;DI$5,Demand_current!$D$2:$AY$2&amp;Demand_current!$D$3:$AY$3, 0))/1000</f>
        <v>1.59</v>
      </c>
      <c r="DJ110" s="227">
        <f>$BT110*(VLOOKUP(DJ$4, Rates_current!$G$6:$Q$29, 10, FALSE)+VLOOKUP(DJ$4, Rates_current!$G$6:$Q$29, 11, FALSE))</f>
        <v>10069.445341036799</v>
      </c>
      <c r="DK110" s="227">
        <f>$BT110*(VLOOKUP(DK$4, Rates_current!$G$6:$Q$29, 10, FALSE)+VLOOKUP(DK$4, Rates_current!$G$6:$Q$29, 11, FALSE))</f>
        <v>12791.3368076112</v>
      </c>
      <c r="DL110" s="227">
        <f>$BT110*(VLOOKUP(DL$4, Rates_current!$G$6:$Q$29, 10, FALSE)+VLOOKUP(DL$4, Rates_current!$G$6:$Q$29, 11, FALSE))</f>
        <v>12636.864107436802</v>
      </c>
      <c r="DM110" s="227">
        <f>$BT110*(VLOOKUP(DM$4, Rates_current!$G$6:$Q$29, 10, FALSE)+VLOOKUP(DM$4, Rates_current!$G$6:$Q$29, 11, FALSE))</f>
        <v>10533.595909036801</v>
      </c>
      <c r="DN110" s="227">
        <f>$BT110*(VLOOKUP(DN$4, Rates_current!$G$6:$Q$29, 10, FALSE)+VLOOKUP(DN$4, Rates_current!$G$6:$Q$29, 11, FALSE))</f>
        <v>9542.3451174399997</v>
      </c>
      <c r="DO110" s="227">
        <f>$BT110*(VLOOKUP(DO$4, Rates_current!$G$6:$Q$29, 10, FALSE)+VLOOKUP(DO$4, Rates_current!$G$6:$Q$29, 11, FALSE))</f>
        <v>10614.1192034096</v>
      </c>
      <c r="DP110" s="227">
        <f>$BT110*(VLOOKUP(DP$4, Rates_current!$G$6:$Q$29, 10, FALSE)+VLOOKUP(DP$4, Rates_current!$G$6:$Q$29, 11, FALSE))</f>
        <v>8642.0273091840008</v>
      </c>
      <c r="DQ110" s="227">
        <f>$BT110*(VLOOKUP(DQ$4, Rates_current!$G$6:$Q$29, 10, FALSE)+VLOOKUP(DQ$4, Rates_current!$G$6:$Q$29, 11, FALSE))</f>
        <v>11655.062495436801</v>
      </c>
      <c r="DR110" s="227">
        <f>$BT110*(VLOOKUP(DR$4, Rates_current!$G$6:$Q$29, 10, FALSE)+VLOOKUP(DR$4, Rates_current!$G$6:$Q$29, 11, FALSE))</f>
        <v>14871.067066784002</v>
      </c>
      <c r="DS110" s="227">
        <f>$BT110*(VLOOKUP(DS$4, Rates_current!$G$6:$Q$29, 10, FALSE)+VLOOKUP(DS$4, Rates_current!$G$6:$Q$29, 11, FALSE))</f>
        <v>11659.388112236802</v>
      </c>
      <c r="DT110" s="227">
        <f>$BT110*(VLOOKUP(DT$4, Rates_current!$G$6:$Q$29, 10, FALSE)+VLOOKUP(DT$4, Rates_current!$G$6:$Q$29, 11, FALSE))</f>
        <v>11353.922365836801</v>
      </c>
      <c r="DU110" s="227">
        <f>$BT110*(VLOOKUP(DU$4, Rates_current!$G$6:$Q$29, 10, FALSE)+VLOOKUP(DU$4, Rates_current!$G$6:$Q$29, 11, FALSE))</f>
        <v>10193.406993984001</v>
      </c>
      <c r="DV110" s="229">
        <f>IF(D110=0,IF(C110=0,MAX(0,DY110 - (VLOOKUP($A110,TOCA_current!$A$2:$AI$137,MATCH("RHWM 2020",TOCA_current!$A$2:$AI$2,0),FALSE)*$BT$2)), 0),0)</f>
        <v>0</v>
      </c>
      <c r="DW110" s="266">
        <f>VLOOKUP($A110,REP_current!$A$1:$D$135,MATCH("FY "&amp;$BT$1&amp; " Total Refund",REP_current!$A$1:$D$1,0),0)</f>
        <v>0</v>
      </c>
      <c r="DX110" s="295">
        <f>MIN(VLOOKUP($A110,TOCA_current!$A$2:$AI$137,MATCH("TRL - NLSL - Existing Resource "&amp;$BT$1,TOCA_current!$A$2:$AI$2,0),FALSE)*$BT$2, VLOOKUP($A110,TOCA_current!$A$2:$AI$137,MATCH("RHWM 2020",TOCA_current!$A$2:$AI$2,0),FALSE)*$BT$2)</f>
        <v>134562.09600000002</v>
      </c>
      <c r="DY110" s="240">
        <f>SUM(BZ110:CW110)+(BT110*RT1SC!$C$4*$BT$2)</f>
        <v>134507.58588016641</v>
      </c>
      <c r="DZ110" s="271">
        <f>VLOOKUP($A110,TOCA_current!$A$2:$AI$137,MATCH("Above RHWM Not Served with LS "&amp;$BT$1,TOCA_current!$A$2:$AI$2,0),FALSE)*$BT$2</f>
        <v>0</v>
      </c>
      <c r="EA110" s="244">
        <f t="shared" si="29"/>
        <v>-54.510119833605131</v>
      </c>
      <c r="EB110" s="295">
        <f>(VLOOKUP($A110,TOCA_current!$A$2:$AI$137,MATCH("RHWM 2020",TOCA_current!$A$2:$AI$2,0),FALSE)*$BT$2) - $DX110</f>
        <v>4418.3519999999844</v>
      </c>
      <c r="EC110" s="240">
        <f t="shared" si="30"/>
        <v>0</v>
      </c>
      <c r="ED110" s="240">
        <f t="shared" si="31"/>
        <v>54.510119833605131</v>
      </c>
      <c r="EE110" s="240">
        <f t="shared" si="32"/>
        <v>0</v>
      </c>
      <c r="EF110" s="240">
        <f t="shared" si="33"/>
        <v>54.510119833605131</v>
      </c>
    </row>
    <row r="111" spans="1:136">
      <c r="A111" s="166">
        <v>10354</v>
      </c>
      <c r="B111" s="167" t="s">
        <v>112</v>
      </c>
      <c r="C111" s="240">
        <v>0</v>
      </c>
      <c r="D111" s="240">
        <v>1</v>
      </c>
      <c r="E111" s="150">
        <f>VLOOKUP($A111,TOCA_previous!$A$2:$AI$137,MATCH(E$4,TOCA_previous!$A$2:$AI$2,0),FALSE)</f>
        <v>0.10471750000000001</v>
      </c>
      <c r="F111" s="151">
        <f>VLOOKUP($A111,TOCA_previous!$A$2:$AI$137,MATCH(F$4,TOCA_previous!$A$2:$AI$2,0),FALSE)</f>
        <v>5.03247E-2</v>
      </c>
      <c r="G111" s="151">
        <f t="shared" si="18"/>
        <v>5.4392800000000005E-2</v>
      </c>
      <c r="H111" s="151">
        <f>VLOOKUP($A111,TOCA_previous!$A$2:$AI$137,MATCH(H$4,TOCA_previous!$A$2:$AI$2,0),FALSE)</f>
        <v>0</v>
      </c>
      <c r="I111" s="151">
        <f t="shared" si="19"/>
        <v>0</v>
      </c>
      <c r="J111" s="151">
        <f t="shared" si="20"/>
        <v>0</v>
      </c>
      <c r="K111" s="226">
        <f>VLOOKUP(A111, IRD!$A$5:$C$139, 3, FALSE)</f>
        <v>0</v>
      </c>
      <c r="L111" s="227">
        <f t="array" ref="L111">IF($G111=0, INDEX(LS_previous!$D$4:$AY$138, MATCH('Staging Table'!$A111, LS_previous!$B$4:$B$138, 0), MATCH(L$4&amp;L$5, LS_previous!$D$2:$AY$2&amp;LS_previous!$D$3:$AY$3, 0)),SUM(VLOOKUP($A111, LS_previous!$B$4:$AY$138, LS_previous!D$149, FALSE), VLOOKUP('Staging Table'!$A111, LS_previous!$B$4:$AY$138,LS_previous!AB$149, FALSE))/2)</f>
        <v>-10344.5</v>
      </c>
      <c r="M111" s="227">
        <f t="array" ref="M111">IF($G111=0, INDEX(LS_previous!$D$4:$AY$138, MATCH('Staging Table'!$A111, LS_previous!$B$4:$B$138, 0), MATCH(M$4&amp;M$5, LS_previous!$D$2:$AY$2&amp;LS_previous!$D$3:$AY$3, 0)),SUM(VLOOKUP($A111, LS_previous!$B$4:$AY$138, LS_previous!E$149, FALSE), VLOOKUP('Staging Table'!$A111, LS_previous!$B$4:$AY$138,LS_previous!AC$149, FALSE))/2)</f>
        <v>25351</v>
      </c>
      <c r="N111" s="227">
        <f t="array" ref="N111">IF($G111=0, INDEX(LS_previous!$D$4:$AY$138, MATCH('Staging Table'!$A111, LS_previous!$B$4:$B$138, 0), MATCH(N$4&amp;N$5, LS_previous!$D$2:$AY$2&amp;LS_previous!$D$3:$AY$3, 0)),SUM(VLOOKUP($A111, LS_previous!$B$4:$AY$138, LS_previous!F$149, FALSE), VLOOKUP('Staging Table'!$A111, LS_previous!$B$4:$AY$138,LS_previous!AD$149, FALSE))/2)</f>
        <v>-27393.5</v>
      </c>
      <c r="O111" s="227">
        <f t="array" ref="O111">IF($G111=0, INDEX(LS_previous!$D$4:$AY$138, MATCH('Staging Table'!$A111, LS_previous!$B$4:$B$138, 0), MATCH(O$4&amp;O$5, LS_previous!$D$2:$AY$2&amp;LS_previous!$D$3:$AY$3, 0)),SUM(VLOOKUP($A111, LS_previous!$B$4:$AY$138, LS_previous!G$149, FALSE), VLOOKUP('Staging Table'!$A111, LS_previous!$B$4:$AY$138,LS_previous!AE$149, FALSE))/2)</f>
        <v>17448</v>
      </c>
      <c r="P111" s="227">
        <f t="array" ref="P111">IF($G111=0, INDEX(LS_previous!$D$4:$AY$138, MATCH('Staging Table'!$A111, LS_previous!$B$4:$B$138, 0), MATCH(P$4&amp;P$5, LS_previous!$D$2:$AY$2&amp;LS_previous!$D$3:$AY$3, 0)),SUM(VLOOKUP($A111, LS_previous!$B$4:$AY$138, LS_previous!H$149, FALSE), VLOOKUP('Staging Table'!$A111, LS_previous!$B$4:$AY$138,LS_previous!AF$149, FALSE))/2)</f>
        <v>-3341.5</v>
      </c>
      <c r="Q111" s="227">
        <f t="array" ref="Q111">IF($G111=0, INDEX(LS_previous!$D$4:$AY$138, MATCH('Staging Table'!$A111, LS_previous!$B$4:$B$138, 0), MATCH(Q$4&amp;Q$5, LS_previous!$D$2:$AY$2&amp;LS_previous!$D$3:$AY$3, 0)),SUM(VLOOKUP($A111, LS_previous!$B$4:$AY$138, LS_previous!I$149, FALSE), VLOOKUP('Staging Table'!$A111, LS_previous!$B$4:$AY$138,LS_previous!AG$149, FALSE))/2)</f>
        <v>42658.5</v>
      </c>
      <c r="R111" s="227">
        <f t="array" ref="R111">IF($G111=0, INDEX(LS_previous!$D$4:$AY$138, MATCH('Staging Table'!$A111, LS_previous!$B$4:$B$138, 0), MATCH(R$4&amp;R$5, LS_previous!$D$2:$AY$2&amp;LS_previous!$D$3:$AY$3, 0)),SUM(VLOOKUP($A111, LS_previous!$B$4:$AY$138, LS_previous!J$149, FALSE), VLOOKUP('Staging Table'!$A111, LS_previous!$B$4:$AY$138,LS_previous!AH$149, FALSE))/2)</f>
        <v>27629</v>
      </c>
      <c r="S111" s="227">
        <f t="array" ref="S111">IF($G111=0, INDEX(LS_previous!$D$4:$AY$138, MATCH('Staging Table'!$A111, LS_previous!$B$4:$B$138, 0), MATCH(S$4&amp;S$5, LS_previous!$D$2:$AY$2&amp;LS_previous!$D$3:$AY$3, 0)),SUM(VLOOKUP($A111, LS_previous!$B$4:$AY$138, LS_previous!K$149, FALSE), VLOOKUP('Staging Table'!$A111, LS_previous!$B$4:$AY$138,LS_previous!AI$149, FALSE))/2)</f>
        <v>47511.5</v>
      </c>
      <c r="T111" s="227">
        <f t="array" ref="T111">IF($G111=0, INDEX(LS_previous!$D$4:$AY$138, MATCH('Staging Table'!$A111, LS_previous!$B$4:$B$138, 0), MATCH(T$4&amp;T$5, LS_previous!$D$2:$AY$2&amp;LS_previous!$D$3:$AY$3, 0)),SUM(VLOOKUP($A111, LS_previous!$B$4:$AY$138, LS_previous!L$149, FALSE), VLOOKUP('Staging Table'!$A111, LS_previous!$B$4:$AY$138,LS_previous!AJ$149, FALSE))/2)</f>
        <v>26263</v>
      </c>
      <c r="U111" s="227">
        <f t="array" ref="U111">IF($G111=0, INDEX(LS_previous!$D$4:$AY$138, MATCH('Staging Table'!$A111, LS_previous!$B$4:$B$138, 0), MATCH(U$4&amp;U$5, LS_previous!$D$2:$AY$2&amp;LS_previous!$D$3:$AY$3, 0)),SUM(VLOOKUP($A111, LS_previous!$B$4:$AY$138, LS_previous!M$149, FALSE), VLOOKUP('Staging Table'!$A111, LS_previous!$B$4:$AY$138,LS_previous!AK$149, FALSE))/2)</f>
        <v>40888</v>
      </c>
      <c r="V111" s="227">
        <f t="array" ref="V111">IF($G111=0, INDEX(LS_previous!$D$4:$AY$138, MATCH('Staging Table'!$A111, LS_previous!$B$4:$B$138, 0), MATCH(V$4&amp;V$5, LS_previous!$D$2:$AY$2&amp;LS_previous!$D$3:$AY$3, 0)),SUM(VLOOKUP($A111, LS_previous!$B$4:$AY$138, LS_previous!N$149, FALSE), VLOOKUP('Staging Table'!$A111, LS_previous!$B$4:$AY$138,LS_previous!AL$149, FALSE))/2)</f>
        <v>4264</v>
      </c>
      <c r="W111" s="227">
        <f t="array" ref="W111">IF($G111=0, INDEX(LS_previous!$D$4:$AY$138, MATCH('Staging Table'!$A111, LS_previous!$B$4:$B$138, 0), MATCH(W$4&amp;W$5, LS_previous!$D$2:$AY$2&amp;LS_previous!$D$3:$AY$3, 0)),SUM(VLOOKUP($A111, LS_previous!$B$4:$AY$138, LS_previous!O$149, FALSE), VLOOKUP('Staging Table'!$A111, LS_previous!$B$4:$AY$138,LS_previous!AM$149, FALSE))/2)</f>
        <v>28981.5</v>
      </c>
      <c r="X111" s="227">
        <f t="array" ref="X111">IF($G111=0, INDEX(LS_previous!$D$4:$AY$138, MATCH('Staging Table'!$A111, LS_previous!$B$4:$B$138, 0), MATCH(X$4&amp;X$5, LS_previous!$D$2:$AY$2&amp;LS_previous!$D$3:$AY$3, 0)),SUM(VLOOKUP($A111, LS_previous!$B$4:$AY$138, LS_previous!P$149, FALSE), VLOOKUP('Staging Table'!$A111, LS_previous!$B$4:$AY$138,LS_previous!AN$149, FALSE))/2)</f>
        <v>-12216.5</v>
      </c>
      <c r="Y111" s="227">
        <f t="array" ref="Y111">IF($G111=0, INDEX(LS_previous!$D$4:$AY$138, MATCH('Staging Table'!$A111, LS_previous!$B$4:$B$138, 0), MATCH(Y$4&amp;Y$5, LS_previous!$D$2:$AY$2&amp;LS_previous!$D$3:$AY$3, 0)),SUM(VLOOKUP($A111, LS_previous!$B$4:$AY$138, LS_previous!Q$149, FALSE), VLOOKUP('Staging Table'!$A111, LS_previous!$B$4:$AY$138,LS_previous!AO$149, FALSE))/2)</f>
        <v>21473</v>
      </c>
      <c r="Z111" s="227">
        <f t="array" ref="Z111">IF($G111=0, INDEX(LS_previous!$D$4:$AY$138, MATCH('Staging Table'!$A111, LS_previous!$B$4:$B$138, 0), MATCH(Z$4&amp;Z$5, LS_previous!$D$2:$AY$2&amp;LS_previous!$D$3:$AY$3, 0)),SUM(VLOOKUP($A111, LS_previous!$B$4:$AY$138, LS_previous!R$149, FALSE), VLOOKUP('Staging Table'!$A111, LS_previous!$B$4:$AY$138,LS_previous!AP$149, FALSE))/2)</f>
        <v>-87644.5</v>
      </c>
      <c r="AA111" s="227">
        <f t="array" ref="AA111">IF($G111=0, INDEX(LS_previous!$D$4:$AY$138, MATCH('Staging Table'!$A111, LS_previous!$B$4:$B$138, 0), MATCH(AA$4&amp;AA$5, LS_previous!$D$2:$AY$2&amp;LS_previous!$D$3:$AY$3, 0)),SUM(VLOOKUP($A111, LS_previous!$B$4:$AY$138, LS_previous!S$149, FALSE), VLOOKUP('Staging Table'!$A111, LS_previous!$B$4:$AY$138,LS_previous!AQ$149, FALSE))/2)</f>
        <v>-22158</v>
      </c>
      <c r="AB111" s="227">
        <f t="array" ref="AB111">IF($G111=0, INDEX(LS_previous!$D$4:$AY$138, MATCH('Staging Table'!$A111, LS_previous!$B$4:$B$138, 0), MATCH(AB$4&amp;AB$5, LS_previous!$D$2:$AY$2&amp;LS_previous!$D$3:$AY$3, 0)),SUM(VLOOKUP($A111, LS_previous!$B$4:$AY$138, LS_previous!T$149, FALSE), VLOOKUP('Staging Table'!$A111, LS_previous!$B$4:$AY$138,LS_previous!AR$149, FALSE))/2)</f>
        <v>-50636.5</v>
      </c>
      <c r="AC111" s="227">
        <f t="array" ref="AC111">IF($G111=0, INDEX(LS_previous!$D$4:$AY$138, MATCH('Staging Table'!$A111, LS_previous!$B$4:$B$138, 0), MATCH(AC$4&amp;AC$5, LS_previous!$D$2:$AY$2&amp;LS_previous!$D$3:$AY$3, 0)),SUM(VLOOKUP($A111, LS_previous!$B$4:$AY$138, LS_previous!U$149, FALSE), VLOOKUP('Staging Table'!$A111, LS_previous!$B$4:$AY$138,LS_previous!AS$149, FALSE))/2)</f>
        <v>2211.5</v>
      </c>
      <c r="AD111" s="227">
        <f t="array" ref="AD111">IF($G111=0, INDEX(LS_previous!$D$4:$AY$138, MATCH('Staging Table'!$A111, LS_previous!$B$4:$B$138, 0), MATCH(AD$4&amp;AD$5, LS_previous!$D$2:$AY$2&amp;LS_previous!$D$3:$AY$3, 0)),SUM(VLOOKUP($A111, LS_previous!$B$4:$AY$138, LS_previous!V$149, FALSE), VLOOKUP('Staging Table'!$A111, LS_previous!$B$4:$AY$138,LS_previous!AT$149, FALSE))/2)</f>
        <v>-33262</v>
      </c>
      <c r="AE111" s="227">
        <f t="array" ref="AE111">IF($G111=0, INDEX(LS_previous!$D$4:$AY$138, MATCH('Staging Table'!$A111, LS_previous!$B$4:$B$138, 0), MATCH(AE$4&amp;AE$5, LS_previous!$D$2:$AY$2&amp;LS_previous!$D$3:$AY$3, 0)),SUM(VLOOKUP($A111, LS_previous!$B$4:$AY$138, LS_previous!W$149, FALSE), VLOOKUP('Staging Table'!$A111, LS_previous!$B$4:$AY$138,LS_previous!AU$149, FALSE))/2)</f>
        <v>17263</v>
      </c>
      <c r="AF111" s="227">
        <f t="array" ref="AF111">IF($G111=0, INDEX(LS_previous!$D$4:$AY$138, MATCH('Staging Table'!$A111, LS_previous!$B$4:$B$138, 0), MATCH(AF$4&amp;AF$5, LS_previous!$D$2:$AY$2&amp;LS_previous!$D$3:$AY$3, 0)),SUM(VLOOKUP($A111, LS_previous!$B$4:$AY$138, LS_previous!X$149, FALSE), VLOOKUP('Staging Table'!$A111, LS_previous!$B$4:$AY$138,LS_previous!AV$149, FALSE))/2)</f>
        <v>-46561.5</v>
      </c>
      <c r="AG111" s="227">
        <f t="array" ref="AG111">IF($G111=0, INDEX(LS_previous!$D$4:$AY$138, MATCH('Staging Table'!$A111, LS_previous!$B$4:$B$138, 0), MATCH(AG$4&amp;AG$5, LS_previous!$D$2:$AY$2&amp;LS_previous!$D$3:$AY$3, 0)),SUM(VLOOKUP($A111, LS_previous!$B$4:$AY$138, LS_previous!Y$149, FALSE), VLOOKUP('Staging Table'!$A111, LS_previous!$B$4:$AY$138,LS_previous!AW$149, FALSE))/2)</f>
        <v>5559</v>
      </c>
      <c r="AH111" s="227">
        <f t="array" ref="AH111">IF($G111=0, INDEX(LS_previous!$D$4:$AY$138, MATCH('Staging Table'!$A111, LS_previous!$B$4:$B$138, 0), MATCH(AH$4&amp;AH$5, LS_previous!$D$2:$AY$2&amp;LS_previous!$D$3:$AY$3, 0)),SUM(VLOOKUP($A111, LS_previous!$B$4:$AY$138, LS_previous!Z$149, FALSE), VLOOKUP('Staging Table'!$A111, LS_previous!$B$4:$AY$138,LS_previous!AX$149, FALSE))/2)</f>
        <v>-32200.5</v>
      </c>
      <c r="AI111" s="227">
        <f t="array" ref="AI111">IF($G111=0, INDEX(LS_previous!$D$4:$AY$138, MATCH('Staging Table'!$A111, LS_previous!$B$4:$B$138, 0), MATCH(AI$4&amp;AI$5, LS_previous!$D$2:$AY$2&amp;LS_previous!$D$3:$AY$3, 0)),SUM(VLOOKUP($A111, LS_previous!$B$4:$AY$138, LS_previous!AA$149, FALSE), VLOOKUP('Staging Table'!$A111, LS_previous!$B$4:$AY$138,LS_previous!AY$149, FALSE))/2)</f>
        <v>18149.5</v>
      </c>
      <c r="AJ111" s="424">
        <f t="array" ref="AJ111">INDEX(Demand_previous!$D$4:$AY$138, MATCH('Staging Table'!$A111, Demand_previous!$B$4:$B$138, 0), MATCH(AJ$4&amp;AJ$5,Demand_previous!$D$2:$AY$2&amp;Demand_previous!$D$3:$AY$3, 0))/1000</f>
        <v>0</v>
      </c>
      <c r="AK111" s="424">
        <f t="array" ref="AK111">INDEX(Demand_previous!$D$4:$AY$138, MATCH('Staging Table'!$A111, Demand_previous!$B$4:$B$138, 0), MATCH(AK$4&amp;AK$5,Demand_previous!$D$2:$AY$2&amp;Demand_previous!$D$3:$AY$3, 0))/1000</f>
        <v>0</v>
      </c>
      <c r="AL111" s="424">
        <f t="array" ref="AL111">INDEX(Demand_previous!$D$4:$AY$138, MATCH('Staging Table'!$A111, Demand_previous!$B$4:$B$138, 0), MATCH(AL$4&amp;AL$5,Demand_previous!$D$2:$AY$2&amp;Demand_previous!$D$3:$AY$3, 0))/1000</f>
        <v>0</v>
      </c>
      <c r="AM111" s="424">
        <f t="array" ref="AM111">INDEX(Demand_previous!$D$4:$AY$138, MATCH('Staging Table'!$A111, Demand_previous!$B$4:$B$138, 0), MATCH(AM$4&amp;AM$5,Demand_previous!$D$2:$AY$2&amp;Demand_previous!$D$3:$AY$3, 0))/1000</f>
        <v>0</v>
      </c>
      <c r="AN111" s="424">
        <f t="array" ref="AN111">INDEX(Demand_previous!$D$4:$AY$138, MATCH('Staging Table'!$A111, Demand_previous!$B$4:$B$138, 0), MATCH(AN$4&amp;AN$5,Demand_previous!$D$2:$AY$2&amp;Demand_previous!$D$3:$AY$3, 0))/1000</f>
        <v>0</v>
      </c>
      <c r="AO111" s="424">
        <f t="array" ref="AO111">INDEX(Demand_previous!$D$4:$AY$138, MATCH('Staging Table'!$A111, Demand_previous!$B$4:$B$138, 0), MATCH(AO$4&amp;AO$5,Demand_previous!$D$2:$AY$2&amp;Demand_previous!$D$3:$AY$3, 0))/1000</f>
        <v>0</v>
      </c>
      <c r="AP111" s="424">
        <f t="array" ref="AP111">INDEX(Demand_previous!$D$4:$AY$138, MATCH('Staging Table'!$A111, Demand_previous!$B$4:$B$138, 0), MATCH(AP$4&amp;AP$5,Demand_previous!$D$2:$AY$2&amp;Demand_previous!$D$3:$AY$3, 0))/1000</f>
        <v>0</v>
      </c>
      <c r="AQ111" s="424">
        <f t="array" ref="AQ111">INDEX(Demand_previous!$D$4:$AY$138, MATCH('Staging Table'!$A111, Demand_previous!$B$4:$B$138, 0), MATCH(AQ$4&amp;AQ$5,Demand_previous!$D$2:$AY$2&amp;Demand_previous!$D$3:$AY$3, 0))/1000</f>
        <v>0</v>
      </c>
      <c r="AR111" s="424">
        <f t="array" ref="AR111">INDEX(Demand_previous!$D$4:$AY$138, MATCH('Staging Table'!$A111, Demand_previous!$B$4:$B$138, 0), MATCH(AR$4&amp;AR$5,Demand_previous!$D$2:$AY$2&amp;Demand_previous!$D$3:$AY$3, 0))/1000</f>
        <v>0</v>
      </c>
      <c r="AS111" s="424">
        <f t="array" ref="AS111">INDEX(Demand_previous!$D$4:$AY$138, MATCH('Staging Table'!$A111, Demand_previous!$B$4:$B$138, 0), MATCH(AS$4&amp;AS$5,Demand_previous!$D$2:$AY$2&amp;Demand_previous!$D$3:$AY$3, 0))/1000</f>
        <v>0</v>
      </c>
      <c r="AT111" s="424">
        <f t="array" ref="AT111">INDEX(Demand_previous!$D$4:$AY$138, MATCH('Staging Table'!$A111, Demand_previous!$B$4:$B$138, 0), MATCH(AT$4&amp;AT$5,Demand_previous!$D$2:$AY$2&amp;Demand_previous!$D$3:$AY$3, 0))/1000</f>
        <v>0</v>
      </c>
      <c r="AU111" s="424">
        <f t="array" ref="AU111">INDEX(Demand_previous!$D$4:$AY$138, MATCH('Staging Table'!$A111, Demand_previous!$B$4:$B$138, 0), MATCH(AU$4&amp;AU$5,Demand_previous!$D$2:$AY$2&amp;Demand_previous!$D$3:$AY$3, 0))/1000</f>
        <v>0</v>
      </c>
      <c r="AV111" s="227">
        <f>$F111*(VLOOKUP(AV$4, Rates_previous!$G$6:$Q$29, 10, FALSE)+VLOOKUP(AV$4, Rates_previous!$G$6:$Q$29, 11, FALSE))</f>
        <v>235964.35374092284</v>
      </c>
      <c r="AW111" s="227">
        <f>$F111*(VLOOKUP(AW$4, Rates_previous!$G$6:$Q$29, 10, FALSE)+VLOOKUP(AW$4, Rates_previous!$G$6:$Q$29, 11, FALSE))</f>
        <v>291634.00698246498</v>
      </c>
      <c r="AX111" s="227">
        <f>$F111*(VLOOKUP(AX$4, Rates_previous!$G$6:$Q$29, 10, FALSE)+VLOOKUP(AX$4, Rates_previous!$G$6:$Q$29, 11, FALSE))</f>
        <v>288131.83136972628</v>
      </c>
      <c r="AY111" s="227">
        <f>$F111*(VLOOKUP(AY$4, Rates_previous!$G$6:$Q$29, 10, FALSE)+VLOOKUP(AY$4, Rates_previous!$G$6:$Q$29, 11, FALSE))</f>
        <v>246181.18640612246</v>
      </c>
      <c r="AZ111" s="227">
        <f>$F111*(VLOOKUP(AZ$4, Rates_previous!$G$6:$Q$29, 10, FALSE)+VLOOKUP(AZ$4, Rates_previous!$G$6:$Q$29, 11, FALSE))</f>
        <v>201820.82080569791</v>
      </c>
      <c r="BA111" s="227">
        <f>$F111*(VLOOKUP(BA$4, Rates_previous!$G$6:$Q$29, 10, FALSE)+VLOOKUP(BA$4, Rates_previous!$G$6:$Q$29, 11, FALSE))</f>
        <v>238948.52102139383</v>
      </c>
      <c r="BB111" s="227">
        <f>$F111*(VLOOKUP(BB$4, Rates_previous!$G$6:$Q$29, 10, FALSE)+VLOOKUP(BB$4, Rates_previous!$G$6:$Q$29, 11, FALSE))</f>
        <v>229664.28588443919</v>
      </c>
      <c r="BC111" s="227">
        <f>$F111*(VLOOKUP(BC$4, Rates_previous!$G$6:$Q$29, 10, FALSE)+VLOOKUP(BC$4, Rates_previous!$G$6:$Q$29, 11, FALSE))</f>
        <v>337016.08785953966</v>
      </c>
      <c r="BD111" s="227">
        <f>$F111*(VLOOKUP(BD$4, Rates_previous!$G$6:$Q$29, 10, FALSE)+VLOOKUP(BD$4, Rates_previous!$G$6:$Q$29, 11, FALSE))</f>
        <v>265896.78587739728</v>
      </c>
      <c r="BE111" s="227">
        <f>$F111*(VLOOKUP(BE$4, Rates_previous!$G$6:$Q$29, 10, FALSE)+VLOOKUP(BE$4, Rates_previous!$G$6:$Q$29, 11, FALSE))</f>
        <v>233479.69618807163</v>
      </c>
      <c r="BF111" s="227">
        <f>$F111*(VLOOKUP(BF$4, Rates_previous!$G$6:$Q$29, 10, FALSE)+VLOOKUP(BF$4, Rates_previous!$G$6:$Q$29, 11, FALSE))</f>
        <v>258588.1091865155</v>
      </c>
      <c r="BG111" s="227">
        <f>$F111*(VLOOKUP(BG$4, Rates_previous!$G$6:$Q$29, 10, FALSE)+VLOOKUP(BG$4, Rates_previous!$G$6:$Q$29, 11, FALSE))</f>
        <v>234270.54351838064</v>
      </c>
      <c r="BH111" s="229">
        <f>IF($D111=0,IF(C111=0, MAX(BK111 - (VLOOKUP($A111,TOCA_previous!$A$2:$AI$137,MATCH("RHWM 2018",TOCA_previous!$A$2:$AI$2,0),FALSE)*$F$2*TOCA_previous!C108),0),0), 0)</f>
        <v>0</v>
      </c>
      <c r="BI111" s="266">
        <f>VLOOKUP($A111,REP_previous!$A$1:$D$135,MATCH("FY "&amp;$F$1&amp; " Total Refund",REP_previous!$A$1:$D$1,0),0)</f>
        <v>8816685.9150738344</v>
      </c>
      <c r="BJ111" s="241">
        <f>MIN(VLOOKUP($A111,TOCA_previous!$A$2:$AI$137,MATCH("TRL - NLSL - Existing Resource "&amp;$F$1,TOCA_previous!$A$2:$AI$2,0),FALSE)*$F$2,(VLOOKUP($A111,TOCA_previous!$A$2:$AI$137,MATCH("RHWM 2018",TOCA_previous!$A$2:$AI$2,0),FALSE)*$F$2))</f>
        <v>6370683.7199999997</v>
      </c>
      <c r="BK111" s="229">
        <f>SUM(L111:AI111)+(F111*RT1SC!$C$3*$F$2)</f>
        <v>3061487.7735067117</v>
      </c>
      <c r="BL111" s="241">
        <f>VLOOKUP($A111,TOCA_previous!$A$2:$AI$137,MATCH("Above RHWM Not Served with LS "&amp;$F$1,TOCA_previous!$A$2:$AI$2,0),FALSE)*$F$2</f>
        <v>0</v>
      </c>
      <c r="BM111" s="151">
        <f t="shared" si="21"/>
        <v>-3309195.946493288</v>
      </c>
      <c r="BN111" s="242">
        <f>(VLOOKUP($A111,TOCA_previous!$A$2:$AI$137,MATCH("RHWM 2018",TOCA_previous!$A$2:$AI$2,0),FALSE)*$F$2) - $BJ111</f>
        <v>516822.48000000045</v>
      </c>
      <c r="BO111" s="151">
        <f t="shared" si="22"/>
        <v>0</v>
      </c>
      <c r="BP111" s="243">
        <f t="shared" si="23"/>
        <v>3309195.946493288</v>
      </c>
      <c r="BQ111" s="237">
        <f t="shared" si="24"/>
        <v>0</v>
      </c>
      <c r="BR111" s="242">
        <f t="shared" si="25"/>
        <v>0</v>
      </c>
      <c r="BS111" s="151">
        <f>VLOOKUP($A111,TOCA_current!$A$2:$AI$137,MATCH(BS$4,TOCA_current!$A$2:$AI$2,0),FALSE)</f>
        <v>0.10324709999999999</v>
      </c>
      <c r="BT111" s="151">
        <f>VLOOKUP($A111,TOCA_current!$A$2:$AI$137,MATCH(BT$4,TOCA_current!$A$2:$AI$2,0),FALSE)</f>
        <v>4.88834E-2</v>
      </c>
      <c r="BU111" s="236">
        <f t="shared" si="26"/>
        <v>5.4363699999999994E-2</v>
      </c>
      <c r="BV111" s="151">
        <f>VLOOKUP($A111,TOCA_current!A107:BG242,MATCH(BV$4,TOCA_current!$A$2:$BG$2,0),FALSE)</f>
        <v>0</v>
      </c>
      <c r="BW111" s="151">
        <f t="shared" si="27"/>
        <v>0</v>
      </c>
      <c r="BX111" s="151">
        <f t="shared" si="28"/>
        <v>0</v>
      </c>
      <c r="BY111" s="226">
        <f>VLOOKUP($A111,IRD!$A$4:$G$139, 7, FALSE)</f>
        <v>0</v>
      </c>
      <c r="BZ111" s="227">
        <f t="array" ref="BZ111">IF($BU111=0, INDEX(LS_current!$D$4:$AY$138, MATCH('Staging Table'!$A111, LS_current!$B$4:$B$138, 0), MATCH(BZ$4&amp;BZ$5, LS_current!$D$2:$AY$2&amp;LS_current!$D$3:$AY$3, 0)),SUM(VLOOKUP($A111, LS_current!$B$4:$AY$138, LS_current!D$148, FALSE), VLOOKUP($A111, LS_current!$B$4:$AY$138,LS_current!D$148, FALSE))/2)</f>
        <v>-4152</v>
      </c>
      <c r="CA111" s="227">
        <f t="array" ref="CA111">IF($BU111=0, INDEX(LS_current!$D$4:$AY$138, MATCH('Staging Table'!$A111, LS_current!$B$4:$B$138, 0), MATCH(CA$4&amp;CA$5, LS_current!$D$2:$AY$2&amp;LS_current!$D$3:$AY$3, 0)),SUM(VLOOKUP($A111, LS_current!$B$4:$AY$138, LS_current!E$148, FALSE), VLOOKUP($A111, LS_current!$B$4:$AY$138,LS_current!E$148, FALSE))/2)</f>
        <v>24619</v>
      </c>
      <c r="CB111" s="227">
        <f t="array" ref="CB111">IF($BU111=0, INDEX(LS_current!$D$4:$AY$138, MATCH('Staging Table'!$A111, LS_current!$B$4:$B$138, 0), MATCH(CB$4&amp;CB$5, LS_current!$D$2:$AY$2&amp;LS_current!$D$3:$AY$3, 0)),SUM(VLOOKUP($A111, LS_current!$B$4:$AY$138, LS_current!F$148, FALSE), VLOOKUP($A111, LS_current!$B$4:$AY$138,LS_current!F$148, FALSE))/2)</f>
        <v>-26532</v>
      </c>
      <c r="CC111" s="227">
        <f t="array" ref="CC111">IF($BU111=0, INDEX(LS_current!$D$4:$AY$138, MATCH('Staging Table'!$A111, LS_current!$B$4:$B$138, 0), MATCH(CC$4&amp;CC$5, LS_current!$D$2:$AY$2&amp;LS_current!$D$3:$AY$3, 0)),SUM(VLOOKUP($A111, LS_current!$B$4:$AY$138, LS_current!G$148, FALSE), VLOOKUP($A111, LS_current!$B$4:$AY$138,LS_current!G$148, FALSE))/2)</f>
        <v>16008</v>
      </c>
      <c r="CD111" s="227">
        <f t="array" ref="CD111">IF($BU111=0, INDEX(LS_current!$D$4:$AY$138, MATCH('Staging Table'!$A111, LS_current!$B$4:$B$138, 0), MATCH(CD$4&amp;CD$5, LS_current!$D$2:$AY$2&amp;LS_current!$D$3:$AY$3, 0)),SUM(VLOOKUP($A111, LS_current!$B$4:$AY$138, LS_current!H$148, FALSE), VLOOKUP($A111, LS_current!$B$4:$AY$138,LS_current!H$148, FALSE))/2)</f>
        <v>-3200</v>
      </c>
      <c r="CE111" s="227">
        <f t="array" ref="CE111">IF($BU111=0, INDEX(LS_current!$D$4:$AY$138, MATCH('Staging Table'!$A111, LS_current!$B$4:$B$138, 0), MATCH(CE$4&amp;CE$5, LS_current!$D$2:$AY$2&amp;LS_current!$D$3:$AY$3, 0)),SUM(VLOOKUP($A111, LS_current!$B$4:$AY$138, LS_current!I$148, FALSE), VLOOKUP($A111, LS_current!$B$4:$AY$138,LS_current!I$148, FALSE))/2)</f>
        <v>41171</v>
      </c>
      <c r="CF111" s="227">
        <f t="array" ref="CF111">IF($BU111=0, INDEX(LS_current!$D$4:$AY$138, MATCH('Staging Table'!$A111, LS_current!$B$4:$B$138, 0), MATCH(CF$4&amp;CF$5, LS_current!$D$2:$AY$2&amp;LS_current!$D$3:$AY$3, 0)),SUM(VLOOKUP($A111, LS_current!$B$4:$AY$138, LS_current!J$148, FALSE), VLOOKUP($A111, LS_current!$B$4:$AY$138,LS_current!J$148, FALSE))/2)</f>
        <v>27866</v>
      </c>
      <c r="CG111" s="227">
        <f t="array" ref="CG111">IF($BU111=0, INDEX(LS_current!$D$4:$AY$138, MATCH('Staging Table'!$A111, LS_current!$B$4:$B$138, 0), MATCH(CG$4&amp;CG$5, LS_current!$D$2:$AY$2&amp;LS_current!$D$3:$AY$3, 0)),SUM(VLOOKUP($A111, LS_current!$B$4:$AY$138, LS_current!K$148, FALSE), VLOOKUP($A111, LS_current!$B$4:$AY$138,LS_current!K$148, FALSE))/2)</f>
        <v>51246</v>
      </c>
      <c r="CH111" s="227">
        <f t="array" ref="CH111">IF($BU111=0, INDEX(LS_current!$D$4:$AY$138, MATCH('Staging Table'!$A111, LS_current!$B$4:$B$138, 0), MATCH(CH$4&amp;CH$5, LS_current!$D$2:$AY$2&amp;LS_current!$D$3:$AY$3, 0)),SUM(VLOOKUP($A111, LS_current!$B$4:$AY$138, LS_current!L$148, FALSE), VLOOKUP($A111, LS_current!$B$4:$AY$138,LS_current!L$148, FALSE))/2)</f>
        <v>16886</v>
      </c>
      <c r="CI111" s="227">
        <f t="array" ref="CI111">IF($BU111=0, INDEX(LS_current!$D$4:$AY$138, MATCH('Staging Table'!$A111, LS_current!$B$4:$B$138, 0), MATCH(CI$4&amp;CI$5, LS_current!$D$2:$AY$2&amp;LS_current!$D$3:$AY$3, 0)),SUM(VLOOKUP($A111, LS_current!$B$4:$AY$138, LS_current!M$148, FALSE), VLOOKUP($A111, LS_current!$B$4:$AY$138,LS_current!M$148, FALSE))/2)</f>
        <v>33409</v>
      </c>
      <c r="CJ111" s="227">
        <f t="array" ref="CJ111">IF($BU111=0, INDEX(LS_current!$D$4:$AY$138, MATCH('Staging Table'!$A111, LS_current!$B$4:$B$138, 0), MATCH(CJ$4&amp;CJ$5, LS_current!$D$2:$AY$2&amp;LS_current!$D$3:$AY$3, 0)),SUM(VLOOKUP($A111, LS_current!$B$4:$AY$138, LS_current!N$148, FALSE), VLOOKUP($A111, LS_current!$B$4:$AY$138,LS_current!N$148, FALSE))/2)</f>
        <v>-1676</v>
      </c>
      <c r="CK111" s="227">
        <f t="array" ref="CK111">IF($BU111=0, INDEX(LS_current!$D$4:$AY$138, MATCH('Staging Table'!$A111, LS_current!$B$4:$B$138, 0), MATCH(CK$4&amp;CK$5, LS_current!$D$2:$AY$2&amp;LS_current!$D$3:$AY$3, 0)),SUM(VLOOKUP($A111, LS_current!$B$4:$AY$138, LS_current!O$148, FALSE), VLOOKUP($A111, LS_current!$B$4:$AY$138,LS_current!O$148, FALSE))/2)</f>
        <v>30948</v>
      </c>
      <c r="CL111" s="227">
        <f t="array" ref="CL111">IF($BU111=0, INDEX(LS_current!$D$4:$AY$138, MATCH('Staging Table'!$A111, LS_current!$B$4:$B$138, 0), MATCH(CL$4&amp;CL$5, LS_current!$D$2:$AY$2&amp;LS_current!$D$3:$AY$3, 0)),SUM(VLOOKUP($A111, LS_current!$B$4:$AY$138, LS_current!P$148, FALSE), VLOOKUP($A111, LS_current!$B$4:$AY$138,LS_current!P$148, FALSE))/2)</f>
        <v>13402</v>
      </c>
      <c r="CM111" s="227">
        <f t="array" ref="CM111">IF($BU111=0, INDEX(LS_current!$D$4:$AY$138, MATCH('Staging Table'!$A111, LS_current!$B$4:$B$138, 0), MATCH(CM$4&amp;CM$5, LS_current!$D$2:$AY$2&amp;LS_current!$D$3:$AY$3, 0)),SUM(VLOOKUP($A111, LS_current!$B$4:$AY$138, LS_current!Q$148, FALSE), VLOOKUP($A111, LS_current!$B$4:$AY$138,LS_current!Q$148, FALSE))/2)</f>
        <v>27052</v>
      </c>
      <c r="CN111" s="227">
        <f t="array" ref="CN111">IF($BU111=0, INDEX(LS_current!$D$4:$AY$138, MATCH('Staging Table'!$A111, LS_current!$B$4:$B$138, 0), MATCH(CN$4&amp;CN$5, LS_current!$D$2:$AY$2&amp;LS_current!$D$3:$AY$3, 0)),SUM(VLOOKUP($A111, LS_current!$B$4:$AY$138, LS_current!R$148, FALSE), VLOOKUP($A111, LS_current!$B$4:$AY$138,LS_current!R$148, FALSE))/2)</f>
        <v>-50091</v>
      </c>
      <c r="CO111" s="227">
        <f t="array" ref="CO111">IF($BU111=0, INDEX(LS_current!$D$4:$AY$138, MATCH('Staging Table'!$A111, LS_current!$B$4:$B$138, 0), MATCH(CO$4&amp;CO$5, LS_current!$D$2:$AY$2&amp;LS_current!$D$3:$AY$3, 0)),SUM(VLOOKUP($A111, LS_current!$B$4:$AY$138, LS_current!S$148, FALSE), VLOOKUP($A111, LS_current!$B$4:$AY$138,LS_current!S$148, FALSE))/2)</f>
        <v>10998</v>
      </c>
      <c r="CP111" s="227">
        <f t="array" ref="CP111">IF($BU111=0, INDEX(LS_current!$D$4:$AY$138, MATCH('Staging Table'!$A111, LS_current!$B$4:$B$138, 0), MATCH(CP$4&amp;CP$5, LS_current!$D$2:$AY$2&amp;LS_current!$D$3:$AY$3, 0)),SUM(VLOOKUP($A111, LS_current!$B$4:$AY$138, LS_current!T$148, FALSE), VLOOKUP($A111, LS_current!$B$4:$AY$138,LS_current!T$148, FALSE))/2)</f>
        <v>-93184</v>
      </c>
      <c r="CQ111" s="227">
        <f t="array" ref="CQ111">IF($BU111=0, INDEX(LS_current!$D$4:$AY$138, MATCH('Staging Table'!$A111, LS_current!$B$4:$B$138, 0), MATCH(CQ$4&amp;CQ$5, LS_current!$D$2:$AY$2&amp;LS_current!$D$3:$AY$3, 0)),SUM(VLOOKUP($A111, LS_current!$B$4:$AY$138, LS_current!U$148, FALSE), VLOOKUP($A111, LS_current!$B$4:$AY$138,LS_current!U$148, FALSE))/2)</f>
        <v>-27003</v>
      </c>
      <c r="CR111" s="227">
        <f t="array" ref="CR111">IF($BU111=0, INDEX(LS_current!$D$4:$AY$138, MATCH('Staging Table'!$A111, LS_current!$B$4:$B$138, 0), MATCH(CR$4&amp;CR$5, LS_current!$D$2:$AY$2&amp;LS_current!$D$3:$AY$3, 0)),SUM(VLOOKUP($A111, LS_current!$B$4:$AY$138, LS_current!V$148, FALSE), VLOOKUP($A111, LS_current!$B$4:$AY$138,LS_current!V$148, FALSE))/2)</f>
        <v>-60724</v>
      </c>
      <c r="CS111" s="227">
        <f t="array" ref="CS111">IF($BU111=0, INDEX(LS_current!$D$4:$AY$138, MATCH('Staging Table'!$A111, LS_current!$B$4:$B$138, 0), MATCH(CS$4&amp;CS$5, LS_current!$D$2:$AY$2&amp;LS_current!$D$3:$AY$3, 0)),SUM(VLOOKUP($A111, LS_current!$B$4:$AY$138, LS_current!W$148, FALSE), VLOOKUP($A111, LS_current!$B$4:$AY$138,LS_current!W$148, FALSE))/2)</f>
        <v>12528</v>
      </c>
      <c r="CT111" s="227">
        <f t="array" ref="CT111">IF($BU111=0, INDEX(LS_current!$D$4:$AY$138, MATCH('Staging Table'!$A111, LS_current!$B$4:$B$138, 0), MATCH(CT$4&amp;CT$5, LS_current!$D$2:$AY$2&amp;LS_current!$D$3:$AY$3, 0)),SUM(VLOOKUP($A111, LS_current!$B$4:$AY$138, LS_current!X$148, FALSE), VLOOKUP($A111, LS_current!$B$4:$AY$138,LS_current!X$148, FALSE))/2)</f>
        <v>-55222</v>
      </c>
      <c r="CU111" s="227">
        <f t="array" ref="CU111">IF($BU111=0, INDEX(LS_current!$D$4:$AY$138, MATCH('Staging Table'!$A111, LS_current!$B$4:$B$138, 0), MATCH(CU$4&amp;CU$5, LS_current!$D$2:$AY$2&amp;LS_current!$D$3:$AY$3, 0)),SUM(VLOOKUP($A111, LS_current!$B$4:$AY$138, LS_current!Y$148, FALSE), VLOOKUP($A111, LS_current!$B$4:$AY$138,LS_current!Y$148, FALSE))/2)</f>
        <v>13873</v>
      </c>
      <c r="CV111" s="227">
        <f t="array" ref="CV111">IF($BU111=0, INDEX(LS_current!$D$4:$AY$138, MATCH('Staging Table'!$A111, LS_current!$B$4:$B$138, 0), MATCH(CV$4&amp;CV$5, LS_current!$D$2:$AY$2&amp;LS_current!$D$3:$AY$3, 0)),SUM(VLOOKUP($A111, LS_current!$B$4:$AY$138, LS_current!Z$148, FALSE), VLOOKUP($A111, LS_current!$B$4:$AY$138,LS_current!Z$148, FALSE))/2)</f>
        <v>-26241</v>
      </c>
      <c r="CW111" s="227">
        <f t="array" ref="CW111">IF($BU111=0, INDEX(LS_current!$D$4:$AY$138, MATCH('Staging Table'!$A111, LS_current!$B$4:$B$138, 0), MATCH(CW$4&amp;CW$5, LS_current!$D$2:$AY$2&amp;LS_current!$D$3:$AY$3, 0)),SUM(VLOOKUP($A111, LS_current!$B$4:$AY$138, LS_current!AA$148, FALSE), VLOOKUP($A111, LS_current!$B$4:$AY$138,LS_current!AA$148, FALSE))/2)</f>
        <v>13907</v>
      </c>
      <c r="CX111" s="229">
        <f t="array" ref="CX111">INDEX(Demand_current!$D$4:$AY$138, MATCH($A111, Demand_current!$B$4:$B$138, 0), MATCH(CX$4&amp;CX$5,Demand_current!$D$2:$AY$2&amp;Demand_current!$D$3:$AY$3, 0))/1000</f>
        <v>0</v>
      </c>
      <c r="CY111" s="229">
        <f t="array" ref="CY111">INDEX(Demand_current!$D$4:$AY$138, MATCH($A111, Demand_current!$B$4:$B$138, 0), MATCH(CY$4&amp;CY$5,Demand_current!$D$2:$AY$2&amp;Demand_current!$D$3:$AY$3, 0))/1000</f>
        <v>0</v>
      </c>
      <c r="CZ111" s="229">
        <f t="array" ref="CZ111">INDEX(Demand_current!$D$4:$AY$138, MATCH($A111, Demand_current!$B$4:$B$138, 0), MATCH(CZ$4&amp;CZ$5,Demand_current!$D$2:$AY$2&amp;Demand_current!$D$3:$AY$3, 0))/1000</f>
        <v>0</v>
      </c>
      <c r="DA111" s="229">
        <f t="array" ref="DA111">INDEX(Demand_current!$D$4:$AY$138, MATCH($A111, Demand_current!$B$4:$B$138, 0), MATCH(DA$4&amp;DA$5,Demand_current!$D$2:$AY$2&amp;Demand_current!$D$3:$AY$3, 0))/1000</f>
        <v>0</v>
      </c>
      <c r="DB111" s="229">
        <f t="array" ref="DB111">INDEX(Demand_current!$D$4:$AY$138, MATCH($A111, Demand_current!$B$4:$B$138, 0), MATCH(DB$4&amp;DB$5,Demand_current!$D$2:$AY$2&amp;Demand_current!$D$3:$AY$3, 0))/1000</f>
        <v>0</v>
      </c>
      <c r="DC111" s="229">
        <f t="array" ref="DC111">INDEX(Demand_current!$D$4:$AY$138, MATCH($A111, Demand_current!$B$4:$B$138, 0), MATCH(DC$4&amp;DC$5,Demand_current!$D$2:$AY$2&amp;Demand_current!$D$3:$AY$3, 0))/1000</f>
        <v>0</v>
      </c>
      <c r="DD111" s="229">
        <f t="array" ref="DD111">INDEX(Demand_current!$D$4:$AY$138, MATCH($A111, Demand_current!$B$4:$B$138, 0), MATCH(DD$4&amp;DD$5,Demand_current!$D$2:$AY$2&amp;Demand_current!$D$3:$AY$3, 0))/1000</f>
        <v>0</v>
      </c>
      <c r="DE111" s="229">
        <f t="array" ref="DE111">INDEX(Demand_current!$D$4:$AY$138, MATCH($A111, Demand_current!$B$4:$B$138, 0), MATCH(DE$4&amp;DE$5,Demand_current!$D$2:$AY$2&amp;Demand_current!$D$3:$AY$3, 0))/1000</f>
        <v>0</v>
      </c>
      <c r="DF111" s="229">
        <f t="array" ref="DF111">INDEX(Demand_current!$D$4:$AY$138, MATCH($A111, Demand_current!$B$4:$B$138, 0), MATCH(DF$4&amp;DF$5,Demand_current!$D$2:$AY$2&amp;Demand_current!$D$3:$AY$3, 0))/1000</f>
        <v>0</v>
      </c>
      <c r="DG111" s="229">
        <f t="array" ref="DG111">INDEX(Demand_current!$D$4:$AY$138, MATCH($A111, Demand_current!$B$4:$B$138, 0), MATCH(DG$4&amp;DG$5,Demand_current!$D$2:$AY$2&amp;Demand_current!$D$3:$AY$3, 0))/1000</f>
        <v>0</v>
      </c>
      <c r="DH111" s="229">
        <f t="array" ref="DH111">INDEX(Demand_current!$D$4:$AY$138, MATCH($A111, Demand_current!$B$4:$B$138, 0), MATCH(DH$4&amp;DH$5,Demand_current!$D$2:$AY$2&amp;Demand_current!$D$3:$AY$3, 0))/1000</f>
        <v>0</v>
      </c>
      <c r="DI111" s="229">
        <f t="array" ref="DI111">INDEX(Demand_current!$D$4:$AY$138, MATCH($A111, Demand_current!$B$4:$B$138, 0), MATCH(DI$4&amp;DI$5,Demand_current!$D$2:$AY$2&amp;Demand_current!$D$3:$AY$3, 0))/1000</f>
        <v>0</v>
      </c>
      <c r="DJ111" s="227">
        <f>$BT111*(VLOOKUP(DJ$4, Rates_current!$G$6:$Q$29, 10, FALSE)+VLOOKUP(DJ$4, Rates_current!$G$6:$Q$29, 11, FALSE))</f>
        <v>225710.16341894638</v>
      </c>
      <c r="DK111" s="227">
        <f>$BT111*(VLOOKUP(DK$4, Rates_current!$G$6:$Q$29, 10, FALSE)+VLOOKUP(DK$4, Rates_current!$G$6:$Q$29, 11, FALSE))</f>
        <v>286722.31919533259</v>
      </c>
      <c r="DL111" s="227">
        <f>$BT111*(VLOOKUP(DL$4, Rates_current!$G$6:$Q$29, 10, FALSE)+VLOOKUP(DL$4, Rates_current!$G$6:$Q$29, 11, FALSE))</f>
        <v>283259.75922114641</v>
      </c>
      <c r="DM111" s="227">
        <f>$BT111*(VLOOKUP(DM$4, Rates_current!$G$6:$Q$29, 10, FALSE)+VLOOKUP(DM$4, Rates_current!$G$6:$Q$29, 11, FALSE))</f>
        <v>236114.26185794643</v>
      </c>
      <c r="DN111" s="227">
        <f>$BT111*(VLOOKUP(DN$4, Rates_current!$G$6:$Q$29, 10, FALSE)+VLOOKUP(DN$4, Rates_current!$G$6:$Q$29, 11, FALSE))</f>
        <v>213895.02628111999</v>
      </c>
      <c r="DO111" s="227">
        <f>$BT111*(VLOOKUP(DO$4, Rates_current!$G$6:$Q$29, 10, FALSE)+VLOOKUP(DO$4, Rates_current!$G$6:$Q$29, 11, FALSE))</f>
        <v>237919.21985874581</v>
      </c>
      <c r="DP111" s="227">
        <f>$BT111*(VLOOKUP(DP$4, Rates_current!$G$6:$Q$29, 10, FALSE)+VLOOKUP(DP$4, Rates_current!$G$6:$Q$29, 11, FALSE))</f>
        <v>193714.085549232</v>
      </c>
      <c r="DQ111" s="227">
        <f>$BT111*(VLOOKUP(DQ$4, Rates_current!$G$6:$Q$29, 10, FALSE)+VLOOKUP(DQ$4, Rates_current!$G$6:$Q$29, 11, FALSE))</f>
        <v>261252.33033264644</v>
      </c>
      <c r="DR111" s="227">
        <f>$BT111*(VLOOKUP(DR$4, Rates_current!$G$6:$Q$29, 10, FALSE)+VLOOKUP(DR$4, Rates_current!$G$6:$Q$29, 11, FALSE))</f>
        <v>333340.20536153205</v>
      </c>
      <c r="DS111" s="227">
        <f>$BT111*(VLOOKUP(DS$4, Rates_current!$G$6:$Q$29, 10, FALSE)+VLOOKUP(DS$4, Rates_current!$G$6:$Q$29, 11, FALSE))</f>
        <v>261349.29055654642</v>
      </c>
      <c r="DT111" s="227">
        <f>$BT111*(VLOOKUP(DT$4, Rates_current!$G$6:$Q$29, 10, FALSE)+VLOOKUP(DT$4, Rates_current!$G$6:$Q$29, 11, FALSE))</f>
        <v>254502.16827684644</v>
      </c>
      <c r="DU111" s="227">
        <f>$BT111*(VLOOKUP(DU$4, Rates_current!$G$6:$Q$29, 10, FALSE)+VLOOKUP(DU$4, Rates_current!$G$6:$Q$29, 11, FALSE))</f>
        <v>228488.80752463202</v>
      </c>
      <c r="DV111" s="229">
        <f>IF(D111=0,IF(C111=0,MAX(0,DY111 - (VLOOKUP($A111,TOCA_current!$A$2:$AI$137,MATCH("RHWM 2020",TOCA_current!$A$2:$AI$2,0),FALSE)*$BT$2)), 0),0)</f>
        <v>0</v>
      </c>
      <c r="DW111" s="266">
        <f>VLOOKUP($A111,REP_current!$A$1:$D$135,MATCH("FY "&amp;$BT$1&amp; " Total Refund",REP_current!$A$1:$D$1,0),0)</f>
        <v>0</v>
      </c>
      <c r="DX111" s="295">
        <f>MIN(VLOOKUP($A111,TOCA_current!$A$2:$AI$137,MATCH("TRL - NLSL - Existing Resource "&amp;$BT$1,TOCA_current!$A$2:$AI$2,0),FALSE)*$BT$2, VLOOKUP($A111,TOCA_current!$A$2:$AI$137,MATCH("RHWM 2020",TOCA_current!$A$2:$AI$2,0),FALSE)*$BT$2)</f>
        <v>6370692.6239999998</v>
      </c>
      <c r="DY111" s="240">
        <f>SUM(BZ111:CW111)+(BT111*RT1SC!$C$4*$BT$2)</f>
        <v>3002155.7506486271</v>
      </c>
      <c r="DZ111" s="271">
        <f>VLOOKUP($A111,TOCA_current!$A$2:$AI$137,MATCH("Above RHWM Not Served with LS "&amp;$BT$1,TOCA_current!$A$2:$AI$2,0),FALSE)*$BT$2</f>
        <v>0</v>
      </c>
      <c r="EA111" s="244">
        <f t="shared" si="29"/>
        <v>-3368536.8733513728</v>
      </c>
      <c r="EB111" s="295">
        <f>(VLOOKUP($A111,TOCA_current!$A$2:$AI$137,MATCH("RHWM 2020",TOCA_current!$A$2:$AI$2,0),FALSE)*$BT$2) - $DX111</f>
        <v>611173.1520000007</v>
      </c>
      <c r="EC111" s="240">
        <f t="shared" si="30"/>
        <v>0</v>
      </c>
      <c r="ED111" s="240">
        <f t="shared" si="31"/>
        <v>3368536.8733513728</v>
      </c>
      <c r="EE111" s="240">
        <f t="shared" si="32"/>
        <v>0</v>
      </c>
      <c r="EF111" s="240">
        <f t="shared" si="33"/>
        <v>0</v>
      </c>
    </row>
    <row r="112" spans="1:136">
      <c r="A112" s="166">
        <v>10360</v>
      </c>
      <c r="B112" s="167" t="s">
        <v>113</v>
      </c>
      <c r="C112" s="240">
        <v>0</v>
      </c>
      <c r="D112" s="240">
        <v>0</v>
      </c>
      <c r="E112" s="150">
        <f>VLOOKUP($A112,TOCA_previous!$A$2:$AI$137,MATCH(E$4,TOCA_previous!$A$2:$AI$2,0),FALSE)</f>
        <v>9.5859999999999999E-4</v>
      </c>
      <c r="F112" s="151">
        <f>VLOOKUP($A112,TOCA_previous!$A$2:$AI$137,MATCH(F$4,TOCA_previous!$A$2:$AI$2,0),FALSE)</f>
        <v>9.5859999999999999E-4</v>
      </c>
      <c r="G112" s="151">
        <f t="shared" si="18"/>
        <v>0</v>
      </c>
      <c r="H112" s="151">
        <f>VLOOKUP($A112,TOCA_previous!$A$2:$AI$137,MATCH(H$4,TOCA_previous!$A$2:$AI$2,0),FALSE)</f>
        <v>4.7081999999999999E-2</v>
      </c>
      <c r="I112" s="151">
        <f t="shared" si="19"/>
        <v>0</v>
      </c>
      <c r="J112" s="151">
        <f t="shared" si="20"/>
        <v>0</v>
      </c>
      <c r="K112" s="226">
        <f>VLOOKUP(A112, IRD!$A$5:$C$139, 3, FALSE)</f>
        <v>20009.34</v>
      </c>
      <c r="L112" s="227">
        <f t="array" ref="L112">IF($G112=0, INDEX(LS_previous!$D$4:$AY$138, MATCH('Staging Table'!$A112, LS_previous!$B$4:$B$138, 0), MATCH(L$4&amp;L$5, LS_previous!$D$2:$AY$2&amp;LS_previous!$D$3:$AY$3, 0)),SUM(VLOOKUP($A112, LS_previous!$B$4:$AY$138, LS_previous!D$149, FALSE), VLOOKUP('Staging Table'!$A112, LS_previous!$B$4:$AY$138,LS_previous!AB$149, FALSE))/2)</f>
        <v>-1241</v>
      </c>
      <c r="M112" s="227">
        <f t="array" ref="M112">IF($G112=0, INDEX(LS_previous!$D$4:$AY$138, MATCH('Staging Table'!$A112, LS_previous!$B$4:$B$138, 0), MATCH(M$4&amp;M$5, LS_previous!$D$2:$AY$2&amp;LS_previous!$D$3:$AY$3, 0)),SUM(VLOOKUP($A112, LS_previous!$B$4:$AY$138, LS_previous!E$149, FALSE), VLOOKUP('Staging Table'!$A112, LS_previous!$B$4:$AY$138,LS_previous!AC$149, FALSE))/2)</f>
        <v>-448</v>
      </c>
      <c r="N112" s="227">
        <f t="array" ref="N112">IF($G112=0, INDEX(LS_previous!$D$4:$AY$138, MATCH('Staging Table'!$A112, LS_previous!$B$4:$B$138, 0), MATCH(N$4&amp;N$5, LS_previous!$D$2:$AY$2&amp;LS_previous!$D$3:$AY$3, 0)),SUM(VLOOKUP($A112, LS_previous!$B$4:$AY$138, LS_previous!F$149, FALSE), VLOOKUP('Staging Table'!$A112, LS_previous!$B$4:$AY$138,LS_previous!AD$149, FALSE))/2)</f>
        <v>-1826</v>
      </c>
      <c r="O112" s="227">
        <f t="array" ref="O112">IF($G112=0, INDEX(LS_previous!$D$4:$AY$138, MATCH('Staging Table'!$A112, LS_previous!$B$4:$B$138, 0), MATCH(O$4&amp;O$5, LS_previous!$D$2:$AY$2&amp;LS_previous!$D$3:$AY$3, 0)),SUM(VLOOKUP($A112, LS_previous!$B$4:$AY$138, LS_previous!G$149, FALSE), VLOOKUP('Staging Table'!$A112, LS_previous!$B$4:$AY$138,LS_previous!AE$149, FALSE))/2)</f>
        <v>-743</v>
      </c>
      <c r="P112" s="227">
        <f t="array" ref="P112">IF($G112=0, INDEX(LS_previous!$D$4:$AY$138, MATCH('Staging Table'!$A112, LS_previous!$B$4:$B$138, 0), MATCH(P$4&amp;P$5, LS_previous!$D$2:$AY$2&amp;LS_previous!$D$3:$AY$3, 0)),SUM(VLOOKUP($A112, LS_previous!$B$4:$AY$138, LS_previous!H$149, FALSE), VLOOKUP('Staging Table'!$A112, LS_previous!$B$4:$AY$138,LS_previous!AF$149, FALSE))/2)</f>
        <v>-1254</v>
      </c>
      <c r="Q112" s="227">
        <f t="array" ref="Q112">IF($G112=0, INDEX(LS_previous!$D$4:$AY$138, MATCH('Staging Table'!$A112, LS_previous!$B$4:$B$138, 0), MATCH(Q$4&amp;Q$5, LS_previous!$D$2:$AY$2&amp;LS_previous!$D$3:$AY$3, 0)),SUM(VLOOKUP($A112, LS_previous!$B$4:$AY$138, LS_previous!I$149, FALSE), VLOOKUP('Staging Table'!$A112, LS_previous!$B$4:$AY$138,LS_previous!AG$149, FALSE))/2)</f>
        <v>-263</v>
      </c>
      <c r="R112" s="227">
        <f t="array" ref="R112">IF($G112=0, INDEX(LS_previous!$D$4:$AY$138, MATCH('Staging Table'!$A112, LS_previous!$B$4:$B$138, 0), MATCH(R$4&amp;R$5, LS_previous!$D$2:$AY$2&amp;LS_previous!$D$3:$AY$3, 0)),SUM(VLOOKUP($A112, LS_previous!$B$4:$AY$138, LS_previous!J$149, FALSE), VLOOKUP('Staging Table'!$A112, LS_previous!$B$4:$AY$138,LS_previous!AH$149, FALSE))/2)</f>
        <v>-625</v>
      </c>
      <c r="S112" s="227">
        <f t="array" ref="S112">IF($G112=0, INDEX(LS_previous!$D$4:$AY$138, MATCH('Staging Table'!$A112, LS_previous!$B$4:$B$138, 0), MATCH(S$4&amp;S$5, LS_previous!$D$2:$AY$2&amp;LS_previous!$D$3:$AY$3, 0)),SUM(VLOOKUP($A112, LS_previous!$B$4:$AY$138, LS_previous!K$149, FALSE), VLOOKUP('Staging Table'!$A112, LS_previous!$B$4:$AY$138,LS_previous!AI$149, FALSE))/2)</f>
        <v>-6</v>
      </c>
      <c r="T112" s="227">
        <f t="array" ref="T112">IF($G112=0, INDEX(LS_previous!$D$4:$AY$138, MATCH('Staging Table'!$A112, LS_previous!$B$4:$B$138, 0), MATCH(T$4&amp;T$5, LS_previous!$D$2:$AY$2&amp;LS_previous!$D$3:$AY$3, 0)),SUM(VLOOKUP($A112, LS_previous!$B$4:$AY$138, LS_previous!L$149, FALSE), VLOOKUP('Staging Table'!$A112, LS_previous!$B$4:$AY$138,LS_previous!AJ$149, FALSE))/2)</f>
        <v>-489</v>
      </c>
      <c r="U112" s="227">
        <f t="array" ref="U112">IF($G112=0, INDEX(LS_previous!$D$4:$AY$138, MATCH('Staging Table'!$A112, LS_previous!$B$4:$B$138, 0), MATCH(U$4&amp;U$5, LS_previous!$D$2:$AY$2&amp;LS_previous!$D$3:$AY$3, 0)),SUM(VLOOKUP($A112, LS_previous!$B$4:$AY$138, LS_previous!M$149, FALSE), VLOOKUP('Staging Table'!$A112, LS_previous!$B$4:$AY$138,LS_previous!AK$149, FALSE))/2)</f>
        <v>2</v>
      </c>
      <c r="V112" s="227">
        <f t="array" ref="V112">IF($G112=0, INDEX(LS_previous!$D$4:$AY$138, MATCH('Staging Table'!$A112, LS_previous!$B$4:$B$138, 0), MATCH(V$4&amp;V$5, LS_previous!$D$2:$AY$2&amp;LS_previous!$D$3:$AY$3, 0)),SUM(VLOOKUP($A112, LS_previous!$B$4:$AY$138, LS_previous!N$149, FALSE), VLOOKUP('Staging Table'!$A112, LS_previous!$B$4:$AY$138,LS_previous!AL$149, FALSE))/2)</f>
        <v>-1311</v>
      </c>
      <c r="W112" s="227">
        <f t="array" ref="W112">IF($G112=0, INDEX(LS_previous!$D$4:$AY$138, MATCH('Staging Table'!$A112, LS_previous!$B$4:$B$138, 0), MATCH(W$4&amp;W$5, LS_previous!$D$2:$AY$2&amp;LS_previous!$D$3:$AY$3, 0)),SUM(VLOOKUP($A112, LS_previous!$B$4:$AY$138, LS_previous!O$149, FALSE), VLOOKUP('Staging Table'!$A112, LS_previous!$B$4:$AY$138,LS_previous!AM$149, FALSE))/2)</f>
        <v>-444</v>
      </c>
      <c r="X112" s="227">
        <f t="array" ref="X112">IF($G112=0, INDEX(LS_previous!$D$4:$AY$138, MATCH('Staging Table'!$A112, LS_previous!$B$4:$B$138, 0), MATCH(X$4&amp;X$5, LS_previous!$D$2:$AY$2&amp;LS_previous!$D$3:$AY$3, 0)),SUM(VLOOKUP($A112, LS_previous!$B$4:$AY$138, LS_previous!P$149, FALSE), VLOOKUP('Staging Table'!$A112, LS_previous!$B$4:$AY$138,LS_previous!AN$149, FALSE))/2)</f>
        <v>-707</v>
      </c>
      <c r="Y112" s="227">
        <f t="array" ref="Y112">IF($G112=0, INDEX(LS_previous!$D$4:$AY$138, MATCH('Staging Table'!$A112, LS_previous!$B$4:$B$138, 0), MATCH(Y$4&amp;Y$5, LS_previous!$D$2:$AY$2&amp;LS_previous!$D$3:$AY$3, 0)),SUM(VLOOKUP($A112, LS_previous!$B$4:$AY$138, LS_previous!Q$149, FALSE), VLOOKUP('Staging Table'!$A112, LS_previous!$B$4:$AY$138,LS_previous!AO$149, FALSE))/2)</f>
        <v>-120</v>
      </c>
      <c r="Z112" s="227">
        <f t="array" ref="Z112">IF($G112=0, INDEX(LS_previous!$D$4:$AY$138, MATCH('Staging Table'!$A112, LS_previous!$B$4:$B$138, 0), MATCH(Z$4&amp;Z$5, LS_previous!$D$2:$AY$2&amp;LS_previous!$D$3:$AY$3, 0)),SUM(VLOOKUP($A112, LS_previous!$B$4:$AY$138, LS_previous!R$149, FALSE), VLOOKUP('Staging Table'!$A112, LS_previous!$B$4:$AY$138,LS_previous!AP$149, FALSE))/2)</f>
        <v>-678</v>
      </c>
      <c r="AA112" s="227">
        <f t="array" ref="AA112">IF($G112=0, INDEX(LS_previous!$D$4:$AY$138, MATCH('Staging Table'!$A112, LS_previous!$B$4:$B$138, 0), MATCH(AA$4&amp;AA$5, LS_previous!$D$2:$AY$2&amp;LS_previous!$D$3:$AY$3, 0)),SUM(VLOOKUP($A112, LS_previous!$B$4:$AY$138, LS_previous!S$149, FALSE), VLOOKUP('Staging Table'!$A112, LS_previous!$B$4:$AY$138,LS_previous!AQ$149, FALSE))/2)</f>
        <v>360</v>
      </c>
      <c r="AB112" s="227">
        <f t="array" ref="AB112">IF($G112=0, INDEX(LS_previous!$D$4:$AY$138, MATCH('Staging Table'!$A112, LS_previous!$B$4:$B$138, 0), MATCH(AB$4&amp;AB$5, LS_previous!$D$2:$AY$2&amp;LS_previous!$D$3:$AY$3, 0)),SUM(VLOOKUP($A112, LS_previous!$B$4:$AY$138, LS_previous!T$149, FALSE), VLOOKUP('Staging Table'!$A112, LS_previous!$B$4:$AY$138,LS_previous!AR$149, FALSE))/2)</f>
        <v>2355</v>
      </c>
      <c r="AC112" s="227">
        <f t="array" ref="AC112">IF($G112=0, INDEX(LS_previous!$D$4:$AY$138, MATCH('Staging Table'!$A112, LS_previous!$B$4:$B$138, 0), MATCH(AC$4&amp;AC$5, LS_previous!$D$2:$AY$2&amp;LS_previous!$D$3:$AY$3, 0)),SUM(VLOOKUP($A112, LS_previous!$B$4:$AY$138, LS_previous!U$149, FALSE), VLOOKUP('Staging Table'!$A112, LS_previous!$B$4:$AY$138,LS_previous!AS$149, FALSE))/2)</f>
        <v>2112</v>
      </c>
      <c r="AD112" s="227">
        <f t="array" ref="AD112">IF($G112=0, INDEX(LS_previous!$D$4:$AY$138, MATCH('Staging Table'!$A112, LS_previous!$B$4:$B$138, 0), MATCH(AD$4&amp;AD$5, LS_previous!$D$2:$AY$2&amp;LS_previous!$D$3:$AY$3, 0)),SUM(VLOOKUP($A112, LS_previous!$B$4:$AY$138, LS_previous!V$149, FALSE), VLOOKUP('Staging Table'!$A112, LS_previous!$B$4:$AY$138,LS_previous!AT$149, FALSE))/2)</f>
        <v>2803</v>
      </c>
      <c r="AE112" s="227">
        <f t="array" ref="AE112">IF($G112=0, INDEX(LS_previous!$D$4:$AY$138, MATCH('Staging Table'!$A112, LS_previous!$B$4:$B$138, 0), MATCH(AE$4&amp;AE$5, LS_previous!$D$2:$AY$2&amp;LS_previous!$D$3:$AY$3, 0)),SUM(VLOOKUP($A112, LS_previous!$B$4:$AY$138, LS_previous!W$149, FALSE), VLOOKUP('Staging Table'!$A112, LS_previous!$B$4:$AY$138,LS_previous!AU$149, FALSE))/2)</f>
        <v>2694</v>
      </c>
      <c r="AF112" s="227">
        <f t="array" ref="AF112">IF($G112=0, INDEX(LS_previous!$D$4:$AY$138, MATCH('Staging Table'!$A112, LS_previous!$B$4:$B$138, 0), MATCH(AF$4&amp;AF$5, LS_previous!$D$2:$AY$2&amp;LS_previous!$D$3:$AY$3, 0)),SUM(VLOOKUP($A112, LS_previous!$B$4:$AY$138, LS_previous!X$149, FALSE), VLOOKUP('Staging Table'!$A112, LS_previous!$B$4:$AY$138,LS_previous!AV$149, FALSE))/2)</f>
        <v>1840</v>
      </c>
      <c r="AG112" s="227">
        <f t="array" ref="AG112">IF($G112=0, INDEX(LS_previous!$D$4:$AY$138, MATCH('Staging Table'!$A112, LS_previous!$B$4:$B$138, 0), MATCH(AG$4&amp;AG$5, LS_previous!$D$2:$AY$2&amp;LS_previous!$D$3:$AY$3, 0)),SUM(VLOOKUP($A112, LS_previous!$B$4:$AY$138, LS_previous!Y$149, FALSE), VLOOKUP('Staging Table'!$A112, LS_previous!$B$4:$AY$138,LS_previous!AW$149, FALSE))/2)</f>
        <v>2125</v>
      </c>
      <c r="AH112" s="227">
        <f t="array" ref="AH112">IF($G112=0, INDEX(LS_previous!$D$4:$AY$138, MATCH('Staging Table'!$A112, LS_previous!$B$4:$B$138, 0), MATCH(AH$4&amp;AH$5, LS_previous!$D$2:$AY$2&amp;LS_previous!$D$3:$AY$3, 0)),SUM(VLOOKUP($A112, LS_previous!$B$4:$AY$138, LS_previous!Z$149, FALSE), VLOOKUP('Staging Table'!$A112, LS_previous!$B$4:$AY$138,LS_previous!AX$149, FALSE))/2)</f>
        <v>-42</v>
      </c>
      <c r="AI112" s="227">
        <f t="array" ref="AI112">IF($G112=0, INDEX(LS_previous!$D$4:$AY$138, MATCH('Staging Table'!$A112, LS_previous!$B$4:$B$138, 0), MATCH(AI$4&amp;AI$5, LS_previous!$D$2:$AY$2&amp;LS_previous!$D$3:$AY$3, 0)),SUM(VLOOKUP($A112, LS_previous!$B$4:$AY$138, LS_previous!AA$149, FALSE), VLOOKUP('Staging Table'!$A112, LS_previous!$B$4:$AY$138,LS_previous!AY$149, FALSE))/2)</f>
        <v>528</v>
      </c>
      <c r="AJ112" s="424">
        <f t="array" ref="AJ112">INDEX(Demand_previous!$D$4:$AY$138, MATCH('Staging Table'!$A112, Demand_previous!$B$4:$B$138, 0), MATCH(AJ$4&amp;AJ$5,Demand_previous!$D$2:$AY$2&amp;Demand_previous!$D$3:$AY$3, 0))/1000</f>
        <v>1.1100000000000001</v>
      </c>
      <c r="AK112" s="424">
        <f t="array" ref="AK112">INDEX(Demand_previous!$D$4:$AY$138, MATCH('Staging Table'!$A112, Demand_previous!$B$4:$B$138, 0), MATCH(AK$4&amp;AK$5,Demand_previous!$D$2:$AY$2&amp;Demand_previous!$D$3:$AY$3, 0))/1000</f>
        <v>0.85499999999999998</v>
      </c>
      <c r="AL112" s="424">
        <f t="array" ref="AL112">INDEX(Demand_previous!$D$4:$AY$138, MATCH('Staging Table'!$A112, Demand_previous!$B$4:$B$138, 0), MATCH(AL$4&amp;AL$5,Demand_previous!$D$2:$AY$2&amp;Demand_previous!$D$3:$AY$3, 0))/1000</f>
        <v>0.95299999999999996</v>
      </c>
      <c r="AM112" s="424">
        <f t="array" ref="AM112">INDEX(Demand_previous!$D$4:$AY$138, MATCH('Staging Table'!$A112, Demand_previous!$B$4:$B$138, 0), MATCH(AM$4&amp;AM$5,Demand_previous!$D$2:$AY$2&amp;Demand_previous!$D$3:$AY$3, 0))/1000</f>
        <v>1.853</v>
      </c>
      <c r="AN112" s="424">
        <f t="array" ref="AN112">INDEX(Demand_previous!$D$4:$AY$138, MATCH('Staging Table'!$A112, Demand_previous!$B$4:$B$138, 0), MATCH(AN$4&amp;AN$5,Demand_previous!$D$2:$AY$2&amp;Demand_previous!$D$3:$AY$3, 0))/1000</f>
        <v>0.25600000000000001</v>
      </c>
      <c r="AO112" s="424">
        <f t="array" ref="AO112">INDEX(Demand_previous!$D$4:$AY$138, MATCH('Staging Table'!$A112, Demand_previous!$B$4:$B$138, 0), MATCH(AO$4&amp;AO$5,Demand_previous!$D$2:$AY$2&amp;Demand_previous!$D$3:$AY$3, 0))/1000</f>
        <v>0.94499999999999995</v>
      </c>
      <c r="AP112" s="424">
        <f t="array" ref="AP112">INDEX(Demand_previous!$D$4:$AY$138, MATCH('Staging Table'!$A112, Demand_previous!$B$4:$B$138, 0), MATCH(AP$4&amp;AP$5,Demand_previous!$D$2:$AY$2&amp;Demand_previous!$D$3:$AY$3, 0))/1000</f>
        <v>1.446</v>
      </c>
      <c r="AQ112" s="424">
        <f t="array" ref="AQ112">INDEX(Demand_previous!$D$4:$AY$138, MATCH('Staging Table'!$A112, Demand_previous!$B$4:$B$138, 0), MATCH(AQ$4&amp;AQ$5,Demand_previous!$D$2:$AY$2&amp;Demand_previous!$D$3:$AY$3, 0))/1000</f>
        <v>1.069</v>
      </c>
      <c r="AR112" s="424">
        <f t="array" ref="AR112">INDEX(Demand_previous!$D$4:$AY$138, MATCH('Staging Table'!$A112, Demand_previous!$B$4:$B$138, 0), MATCH(AR$4&amp;AR$5,Demand_previous!$D$2:$AY$2&amp;Demand_previous!$D$3:$AY$3, 0))/1000</f>
        <v>1.8089999999999999</v>
      </c>
      <c r="AS112" s="424">
        <f t="array" ref="AS112">INDEX(Demand_previous!$D$4:$AY$138, MATCH('Staging Table'!$A112, Demand_previous!$B$4:$B$138, 0), MATCH(AS$4&amp;AS$5,Demand_previous!$D$2:$AY$2&amp;Demand_previous!$D$3:$AY$3, 0))/1000</f>
        <v>1.865</v>
      </c>
      <c r="AT112" s="424">
        <f t="array" ref="AT112">INDEX(Demand_previous!$D$4:$AY$138, MATCH('Staging Table'!$A112, Demand_previous!$B$4:$B$138, 0), MATCH(AT$4&amp;AT$5,Demand_previous!$D$2:$AY$2&amp;Demand_previous!$D$3:$AY$3, 0))/1000</f>
        <v>1.5940000000000001</v>
      </c>
      <c r="AU112" s="424">
        <f t="array" ref="AU112">INDEX(Demand_previous!$D$4:$AY$138, MATCH('Staging Table'!$A112, Demand_previous!$B$4:$B$138, 0), MATCH(AU$4&amp;AU$5,Demand_previous!$D$2:$AY$2&amp;Demand_previous!$D$3:$AY$3, 0))/1000</f>
        <v>0.81599999999999995</v>
      </c>
      <c r="AV112" s="227">
        <f>$F112*(VLOOKUP(AV$4, Rates_previous!$G$6:$Q$29, 10, FALSE)+VLOOKUP(AV$4, Rates_previous!$G$6:$Q$29, 11, FALSE))</f>
        <v>4494.7198790265747</v>
      </c>
      <c r="AW112" s="227">
        <f>$F112*(VLOOKUP(AW$4, Rates_previous!$G$6:$Q$29, 10, FALSE)+VLOOKUP(AW$4, Rates_previous!$G$6:$Q$29, 11, FALSE))</f>
        <v>5555.132153661938</v>
      </c>
      <c r="AX112" s="227">
        <f>$F112*(VLOOKUP(AX$4, Rates_previous!$G$6:$Q$29, 10, FALSE)+VLOOKUP(AX$4, Rates_previous!$G$6:$Q$29, 11, FALSE))</f>
        <v>5488.4216607554463</v>
      </c>
      <c r="AY112" s="227">
        <f>$F112*(VLOOKUP(AY$4, Rates_previous!$G$6:$Q$29, 10, FALSE)+VLOOKUP(AY$4, Rates_previous!$G$6:$Q$29, 11, FALSE))</f>
        <v>4689.3331761323761</v>
      </c>
      <c r="AZ112" s="227">
        <f>$F112*(VLOOKUP(AZ$4, Rates_previous!$G$6:$Q$29, 10, FALSE)+VLOOKUP(AZ$4, Rates_previous!$G$6:$Q$29, 11, FALSE))</f>
        <v>3844.3436090894138</v>
      </c>
      <c r="BA112" s="227">
        <f>$F112*(VLOOKUP(BA$4, Rates_previous!$G$6:$Q$29, 10, FALSE)+VLOOKUP(BA$4, Rates_previous!$G$6:$Q$29, 11, FALSE))</f>
        <v>4551.5631936426471</v>
      </c>
      <c r="BB112" s="227">
        <f>$F112*(VLOOKUP(BB$4, Rates_previous!$G$6:$Q$29, 10, FALSE)+VLOOKUP(BB$4, Rates_previous!$G$6:$Q$29, 11, FALSE))</f>
        <v>4374.7142943489662</v>
      </c>
      <c r="BC112" s="227">
        <f>$F112*(VLOOKUP(BC$4, Rates_previous!$G$6:$Q$29, 10, FALSE)+VLOOKUP(BC$4, Rates_previous!$G$6:$Q$29, 11, FALSE))</f>
        <v>6419.5836601540532</v>
      </c>
      <c r="BD112" s="227">
        <f>$F112*(VLOOKUP(BD$4, Rates_previous!$G$6:$Q$29, 10, FALSE)+VLOOKUP(BD$4, Rates_previous!$G$6:$Q$29, 11, FALSE))</f>
        <v>5064.8818361971962</v>
      </c>
      <c r="BE112" s="227">
        <f>$F112*(VLOOKUP(BE$4, Rates_previous!$G$6:$Q$29, 10, FALSE)+VLOOKUP(BE$4, Rates_previous!$G$6:$Q$29, 11, FALSE))</f>
        <v>4447.3913757237588</v>
      </c>
      <c r="BF112" s="227">
        <f>$F112*(VLOOKUP(BF$4, Rates_previous!$G$6:$Q$29, 10, FALSE)+VLOOKUP(BF$4, Rates_previous!$G$6:$Q$29, 11, FALSE))</f>
        <v>4925.663967518808</v>
      </c>
      <c r="BG112" s="227">
        <f>$F112*(VLOOKUP(BG$4, Rates_previous!$G$6:$Q$29, 10, FALSE)+VLOOKUP(BG$4, Rates_previous!$G$6:$Q$29, 11, FALSE))</f>
        <v>4462.4556731926805</v>
      </c>
      <c r="BH112" s="229">
        <f>IF($D112=0,IF(C112=0, MAX(BK112 - (VLOOKUP($A112,TOCA_previous!$A$2:$AI$137,MATCH("RHWM 2018",TOCA_previous!$A$2:$AI$2,0),FALSE)*$F$2*TOCA_previous!C109),0),0), 0)</f>
        <v>4624.8853302560019</v>
      </c>
      <c r="BI112" s="266">
        <f>VLOOKUP($A112,REP_previous!$A$1:$D$135,MATCH("FY "&amp;$F$1&amp; " Total Refund",REP_previous!$A$1:$D$1,0),0)</f>
        <v>38025.107164965273</v>
      </c>
      <c r="BJ112" s="241">
        <f>MIN(VLOOKUP($A112,TOCA_previous!$A$2:$AI$137,MATCH("TRL - NLSL - Existing Resource "&amp;$F$1,TOCA_previous!$A$2:$AI$2,0),FALSE)*$F$2,(VLOOKUP($A112,TOCA_previous!$A$2:$AI$137,MATCH("RHWM 2018",TOCA_previous!$A$2:$AI$2,0),FALSE)*$F$2))</f>
        <v>58315.32</v>
      </c>
      <c r="BK112" s="229">
        <f>SUM(L112:AI112)+(F112*RT1SC!$C$3*$F$2)</f>
        <v>62940.205330256002</v>
      </c>
      <c r="BL112" s="241">
        <f>VLOOKUP($A112,TOCA_previous!$A$2:$AI$137,MATCH("Above RHWM Not Served with LS "&amp;$F$1,TOCA_previous!$A$2:$AI$2,0),FALSE)*$F$2</f>
        <v>0</v>
      </c>
      <c r="BM112" s="151">
        <f t="shared" si="21"/>
        <v>4624.8853302560019</v>
      </c>
      <c r="BN112" s="242">
        <f>(VLOOKUP($A112,TOCA_previous!$A$2:$AI$137,MATCH("RHWM 2018",TOCA_previous!$A$2:$AI$2,0),FALSE)*$F$2) - $BJ112</f>
        <v>0</v>
      </c>
      <c r="BO112" s="151">
        <f t="shared" si="22"/>
        <v>0</v>
      </c>
      <c r="BP112" s="243">
        <f t="shared" si="23"/>
        <v>0</v>
      </c>
      <c r="BQ112" s="237">
        <f t="shared" si="24"/>
        <v>0</v>
      </c>
      <c r="BR112" s="242">
        <f t="shared" si="25"/>
        <v>0</v>
      </c>
      <c r="BS112" s="151">
        <f>VLOOKUP($A112,TOCA_current!$A$2:$AI$137,MATCH(BS$4,TOCA_current!$A$2:$AI$2,0),FALSE)</f>
        <v>9.5790000000000003E-4</v>
      </c>
      <c r="BT112" s="151">
        <f>VLOOKUP($A112,TOCA_current!$A$2:$AI$137,MATCH(BT$4,TOCA_current!$A$2:$AI$2,0),FALSE)</f>
        <v>9.5790000000000003E-4</v>
      </c>
      <c r="BU112" s="236">
        <f t="shared" si="26"/>
        <v>0</v>
      </c>
      <c r="BV112" s="151">
        <f>VLOOKUP($A112,TOCA_current!A108:BG243,MATCH(BV$4,TOCA_current!$A$2:$BG$2,0),FALSE)</f>
        <v>4.7795400000000002E-2</v>
      </c>
      <c r="BW112" s="151">
        <f t="shared" si="27"/>
        <v>0</v>
      </c>
      <c r="BX112" s="151">
        <f t="shared" si="28"/>
        <v>0</v>
      </c>
      <c r="BY112" s="226">
        <f>VLOOKUP($A112,IRD!$A$4:$G$139, 7, FALSE)</f>
        <v>20009.34</v>
      </c>
      <c r="BZ112" s="227">
        <f t="array" ref="BZ112">IF($BU112=0, INDEX(LS_current!$D$4:$AY$138, MATCH('Staging Table'!$A112, LS_current!$B$4:$B$138, 0), MATCH(BZ$4&amp;BZ$5, LS_current!$D$2:$AY$2&amp;LS_current!$D$3:$AY$3, 0)),SUM(VLOOKUP($A112, LS_current!$B$4:$AY$138, LS_current!D$148, FALSE), VLOOKUP($A112, LS_current!$B$4:$AY$138,LS_current!D$148, FALSE))/2)</f>
        <v>-1200</v>
      </c>
      <c r="CA112" s="227">
        <f t="array" ref="CA112">IF($BU112=0, INDEX(LS_current!$D$4:$AY$138, MATCH('Staging Table'!$A112, LS_current!$B$4:$B$138, 0), MATCH(CA$4&amp;CA$5, LS_current!$D$2:$AY$2&amp;LS_current!$D$3:$AY$3, 0)),SUM(VLOOKUP($A112, LS_current!$B$4:$AY$138, LS_current!E$148, FALSE), VLOOKUP($A112, LS_current!$B$4:$AY$138,LS_current!E$148, FALSE))/2)</f>
        <v>-417</v>
      </c>
      <c r="CB112" s="227">
        <f t="array" ref="CB112">IF($BU112=0, INDEX(LS_current!$D$4:$AY$138, MATCH('Staging Table'!$A112, LS_current!$B$4:$B$138, 0), MATCH(CB$4&amp;CB$5, LS_current!$D$2:$AY$2&amp;LS_current!$D$3:$AY$3, 0)),SUM(VLOOKUP($A112, LS_current!$B$4:$AY$138, LS_current!F$148, FALSE), VLOOKUP($A112, LS_current!$B$4:$AY$138,LS_current!F$148, FALSE))/2)</f>
        <v>-1848</v>
      </c>
      <c r="CC112" s="227">
        <f t="array" ref="CC112">IF($BU112=0, INDEX(LS_current!$D$4:$AY$138, MATCH('Staging Table'!$A112, LS_current!$B$4:$B$138, 0), MATCH(CC$4&amp;CC$5, LS_current!$D$2:$AY$2&amp;LS_current!$D$3:$AY$3, 0)),SUM(VLOOKUP($A112, LS_current!$B$4:$AY$138, LS_current!G$148, FALSE), VLOOKUP($A112, LS_current!$B$4:$AY$138,LS_current!G$148, FALSE))/2)</f>
        <v>-784</v>
      </c>
      <c r="CD112" s="227">
        <f t="array" ref="CD112">IF($BU112=0, INDEX(LS_current!$D$4:$AY$138, MATCH('Staging Table'!$A112, LS_current!$B$4:$B$138, 0), MATCH(CD$4&amp;CD$5, LS_current!$D$2:$AY$2&amp;LS_current!$D$3:$AY$3, 0)),SUM(VLOOKUP($A112, LS_current!$B$4:$AY$138, LS_current!H$148, FALSE), VLOOKUP($A112, LS_current!$B$4:$AY$138,LS_current!H$148, FALSE))/2)</f>
        <v>-1282</v>
      </c>
      <c r="CE112" s="227">
        <f t="array" ref="CE112">IF($BU112=0, INDEX(LS_current!$D$4:$AY$138, MATCH('Staging Table'!$A112, LS_current!$B$4:$B$138, 0), MATCH(CE$4&amp;CE$5, LS_current!$D$2:$AY$2&amp;LS_current!$D$3:$AY$3, 0)),SUM(VLOOKUP($A112, LS_current!$B$4:$AY$138, LS_current!I$148, FALSE), VLOOKUP($A112, LS_current!$B$4:$AY$138,LS_current!I$148, FALSE))/2)</f>
        <v>-297</v>
      </c>
      <c r="CF112" s="227">
        <f t="array" ref="CF112">IF($BU112=0, INDEX(LS_current!$D$4:$AY$138, MATCH('Staging Table'!$A112, LS_current!$B$4:$B$138, 0), MATCH(CF$4&amp;CF$5, LS_current!$D$2:$AY$2&amp;LS_current!$D$3:$AY$3, 0)),SUM(VLOOKUP($A112, LS_current!$B$4:$AY$138, LS_current!J$148, FALSE), VLOOKUP($A112, LS_current!$B$4:$AY$138,LS_current!J$148, FALSE))/2)</f>
        <v>-636</v>
      </c>
      <c r="CG112" s="227">
        <f t="array" ref="CG112">IF($BU112=0, INDEX(LS_current!$D$4:$AY$138, MATCH('Staging Table'!$A112, LS_current!$B$4:$B$138, 0), MATCH(CG$4&amp;CG$5, LS_current!$D$2:$AY$2&amp;LS_current!$D$3:$AY$3, 0)),SUM(VLOOKUP($A112, LS_current!$B$4:$AY$138, LS_current!K$148, FALSE), VLOOKUP($A112, LS_current!$B$4:$AY$138,LS_current!K$148, FALSE))/2)</f>
        <v>68</v>
      </c>
      <c r="CH112" s="227">
        <f t="array" ref="CH112">IF($BU112=0, INDEX(LS_current!$D$4:$AY$138, MATCH('Staging Table'!$A112, LS_current!$B$4:$B$138, 0), MATCH(CH$4&amp;CH$5, LS_current!$D$2:$AY$2&amp;LS_current!$D$3:$AY$3, 0)),SUM(VLOOKUP($A112, LS_current!$B$4:$AY$138, LS_current!L$148, FALSE), VLOOKUP($A112, LS_current!$B$4:$AY$138,LS_current!L$148, FALSE))/2)</f>
        <v>-705</v>
      </c>
      <c r="CI112" s="227">
        <f t="array" ref="CI112">IF($BU112=0, INDEX(LS_current!$D$4:$AY$138, MATCH('Staging Table'!$A112, LS_current!$B$4:$B$138, 0), MATCH(CI$4&amp;CI$5, LS_current!$D$2:$AY$2&amp;LS_current!$D$3:$AY$3, 0)),SUM(VLOOKUP($A112, LS_current!$B$4:$AY$138, LS_current!M$148, FALSE), VLOOKUP($A112, LS_current!$B$4:$AY$138,LS_current!M$148, FALSE))/2)</f>
        <v>-129</v>
      </c>
      <c r="CJ112" s="227">
        <f t="array" ref="CJ112">IF($BU112=0, INDEX(LS_current!$D$4:$AY$138, MATCH('Staging Table'!$A112, LS_current!$B$4:$B$138, 0), MATCH(CJ$4&amp;CJ$5, LS_current!$D$2:$AY$2&amp;LS_current!$D$3:$AY$3, 0)),SUM(VLOOKUP($A112, LS_current!$B$4:$AY$138, LS_current!N$148, FALSE), VLOOKUP($A112, LS_current!$B$4:$AY$138,LS_current!N$148, FALSE))/2)</f>
        <v>-1397</v>
      </c>
      <c r="CK112" s="227">
        <f t="array" ref="CK112">IF($BU112=0, INDEX(LS_current!$D$4:$AY$138, MATCH('Staging Table'!$A112, LS_current!$B$4:$B$138, 0), MATCH(CK$4&amp;CK$5, LS_current!$D$2:$AY$2&amp;LS_current!$D$3:$AY$3, 0)),SUM(VLOOKUP($A112, LS_current!$B$4:$AY$138, LS_current!O$148, FALSE), VLOOKUP($A112, LS_current!$B$4:$AY$138,LS_current!O$148, FALSE))/2)</f>
        <v>-468</v>
      </c>
      <c r="CL112" s="227">
        <f t="array" ref="CL112">IF($BU112=0, INDEX(LS_current!$D$4:$AY$138, MATCH('Staging Table'!$A112, LS_current!$B$4:$B$138, 0), MATCH(CL$4&amp;CL$5, LS_current!$D$2:$AY$2&amp;LS_current!$D$3:$AY$3, 0)),SUM(VLOOKUP($A112, LS_current!$B$4:$AY$138, LS_current!P$148, FALSE), VLOOKUP($A112, LS_current!$B$4:$AY$138,LS_current!P$148, FALSE))/2)</f>
        <v>-282</v>
      </c>
      <c r="CM112" s="227">
        <f t="array" ref="CM112">IF($BU112=0, INDEX(LS_current!$D$4:$AY$138, MATCH('Staging Table'!$A112, LS_current!$B$4:$B$138, 0), MATCH(CM$4&amp;CM$5, LS_current!$D$2:$AY$2&amp;LS_current!$D$3:$AY$3, 0)),SUM(VLOOKUP($A112, LS_current!$B$4:$AY$138, LS_current!Q$148, FALSE), VLOOKUP($A112, LS_current!$B$4:$AY$138,LS_current!Q$148, FALSE))/2)</f>
        <v>34</v>
      </c>
      <c r="CN112" s="227">
        <f t="array" ref="CN112">IF($BU112=0, INDEX(LS_current!$D$4:$AY$138, MATCH('Staging Table'!$A112, LS_current!$B$4:$B$138, 0), MATCH(CN$4&amp;CN$5, LS_current!$D$2:$AY$2&amp;LS_current!$D$3:$AY$3, 0)),SUM(VLOOKUP($A112, LS_current!$B$4:$AY$138, LS_current!R$148, FALSE), VLOOKUP($A112, LS_current!$B$4:$AY$138,LS_current!R$148, FALSE))/2)</f>
        <v>92</v>
      </c>
      <c r="CO112" s="227">
        <f t="array" ref="CO112">IF($BU112=0, INDEX(LS_current!$D$4:$AY$138, MATCH('Staging Table'!$A112, LS_current!$B$4:$B$138, 0), MATCH(CO$4&amp;CO$5, LS_current!$D$2:$AY$2&amp;LS_current!$D$3:$AY$3, 0)),SUM(VLOOKUP($A112, LS_current!$B$4:$AY$138, LS_current!S$148, FALSE), VLOOKUP($A112, LS_current!$B$4:$AY$138,LS_current!S$148, FALSE))/2)</f>
        <v>891</v>
      </c>
      <c r="CP112" s="227">
        <f t="array" ref="CP112">IF($BU112=0, INDEX(LS_current!$D$4:$AY$138, MATCH('Staging Table'!$A112, LS_current!$B$4:$B$138, 0), MATCH(CP$4&amp;CP$5, LS_current!$D$2:$AY$2&amp;LS_current!$D$3:$AY$3, 0)),SUM(VLOOKUP($A112, LS_current!$B$4:$AY$138, LS_current!T$148, FALSE), VLOOKUP($A112, LS_current!$B$4:$AY$138,LS_current!T$148, FALSE))/2)</f>
        <v>1429</v>
      </c>
      <c r="CQ112" s="227">
        <f t="array" ref="CQ112">IF($BU112=0, INDEX(LS_current!$D$4:$AY$138, MATCH('Staging Table'!$A112, LS_current!$B$4:$B$138, 0), MATCH(CQ$4&amp;CQ$5, LS_current!$D$2:$AY$2&amp;LS_current!$D$3:$AY$3, 0)),SUM(VLOOKUP($A112, LS_current!$B$4:$AY$138, LS_current!U$148, FALSE), VLOOKUP($A112, LS_current!$B$4:$AY$138,LS_current!U$148, FALSE))/2)</f>
        <v>1571</v>
      </c>
      <c r="CR112" s="227">
        <f t="array" ref="CR112">IF($BU112=0, INDEX(LS_current!$D$4:$AY$138, MATCH('Staging Table'!$A112, LS_current!$B$4:$B$138, 0), MATCH(CR$4&amp;CR$5, LS_current!$D$2:$AY$2&amp;LS_current!$D$3:$AY$3, 0)),SUM(VLOOKUP($A112, LS_current!$B$4:$AY$138, LS_current!V$148, FALSE), VLOOKUP($A112, LS_current!$B$4:$AY$138,LS_current!V$148, FALSE))/2)</f>
        <v>2185</v>
      </c>
      <c r="CS112" s="227">
        <f t="array" ref="CS112">IF($BU112=0, INDEX(LS_current!$D$4:$AY$138, MATCH('Staging Table'!$A112, LS_current!$B$4:$B$138, 0), MATCH(CS$4&amp;CS$5, LS_current!$D$2:$AY$2&amp;LS_current!$D$3:$AY$3, 0)),SUM(VLOOKUP($A112, LS_current!$B$4:$AY$138, LS_current!W$148, FALSE), VLOOKUP($A112, LS_current!$B$4:$AY$138,LS_current!W$148, FALSE))/2)</f>
        <v>2638</v>
      </c>
      <c r="CT112" s="227">
        <f t="array" ref="CT112">IF($BU112=0, INDEX(LS_current!$D$4:$AY$138, MATCH('Staging Table'!$A112, LS_current!$B$4:$B$138, 0), MATCH(CT$4&amp;CT$5, LS_current!$D$2:$AY$2&amp;LS_current!$D$3:$AY$3, 0)),SUM(VLOOKUP($A112, LS_current!$B$4:$AY$138, LS_current!X$148, FALSE), VLOOKUP($A112, LS_current!$B$4:$AY$138,LS_current!X$148, FALSE))/2)</f>
        <v>1718</v>
      </c>
      <c r="CU112" s="227">
        <f t="array" ref="CU112">IF($BU112=0, INDEX(LS_current!$D$4:$AY$138, MATCH('Staging Table'!$A112, LS_current!$B$4:$B$138, 0), MATCH(CU$4&amp;CU$5, LS_current!$D$2:$AY$2&amp;LS_current!$D$3:$AY$3, 0)),SUM(VLOOKUP($A112, LS_current!$B$4:$AY$138, LS_current!Y$148, FALSE), VLOOKUP($A112, LS_current!$B$4:$AY$138,LS_current!Y$148, FALSE))/2)</f>
        <v>2186</v>
      </c>
      <c r="CV112" s="227">
        <f t="array" ref="CV112">IF($BU112=0, INDEX(LS_current!$D$4:$AY$138, MATCH('Staging Table'!$A112, LS_current!$B$4:$B$138, 0), MATCH(CV$4&amp;CV$5, LS_current!$D$2:$AY$2&amp;LS_current!$D$3:$AY$3, 0)),SUM(VLOOKUP($A112, LS_current!$B$4:$AY$138, LS_current!Z$148, FALSE), VLOOKUP($A112, LS_current!$B$4:$AY$138,LS_current!Z$148, FALSE))/2)</f>
        <v>-57</v>
      </c>
      <c r="CW112" s="227">
        <f t="array" ref="CW112">IF($BU112=0, INDEX(LS_current!$D$4:$AY$138, MATCH('Staging Table'!$A112, LS_current!$B$4:$B$138, 0), MATCH(CW$4&amp;CW$5, LS_current!$D$2:$AY$2&amp;LS_current!$D$3:$AY$3, 0)),SUM(VLOOKUP($A112, LS_current!$B$4:$AY$138, LS_current!AA$148, FALSE), VLOOKUP($A112, LS_current!$B$4:$AY$138,LS_current!AA$148, FALSE))/2)</f>
        <v>528</v>
      </c>
      <c r="CX112" s="229">
        <f t="array" ref="CX112">INDEX(Demand_current!$D$4:$AY$138, MATCH($A112, Demand_current!$B$4:$B$138, 0), MATCH(CX$4&amp;CX$5,Demand_current!$D$2:$AY$2&amp;Demand_current!$D$3:$AY$3, 0))/1000</f>
        <v>1.26</v>
      </c>
      <c r="CY112" s="229">
        <f t="array" ref="CY112">INDEX(Demand_current!$D$4:$AY$138, MATCH($A112, Demand_current!$B$4:$B$138, 0), MATCH(CY$4&amp;CY$5,Demand_current!$D$2:$AY$2&amp;Demand_current!$D$3:$AY$3, 0))/1000</f>
        <v>0.85499999999999998</v>
      </c>
      <c r="CZ112" s="229">
        <f t="array" ref="CZ112">INDEX(Demand_current!$D$4:$AY$138, MATCH($A112, Demand_current!$B$4:$B$138, 0), MATCH(CZ$4&amp;CZ$5,Demand_current!$D$2:$AY$2&amp;Demand_current!$D$3:$AY$3, 0))/1000</f>
        <v>0.95299999999999996</v>
      </c>
      <c r="DA112" s="229">
        <f t="array" ref="DA112">INDEX(Demand_current!$D$4:$AY$138, MATCH($A112, Demand_current!$B$4:$B$138, 0), MATCH(DA$4&amp;DA$5,Demand_current!$D$2:$AY$2&amp;Demand_current!$D$3:$AY$3, 0))/1000</f>
        <v>1.853</v>
      </c>
      <c r="DB112" s="229">
        <f t="array" ref="DB112">INDEX(Demand_current!$D$4:$AY$138, MATCH($A112, Demand_current!$B$4:$B$138, 0), MATCH(DB$4&amp;DB$5,Demand_current!$D$2:$AY$2&amp;Demand_current!$D$3:$AY$3, 0))/1000</f>
        <v>0.45800000000000002</v>
      </c>
      <c r="DC112" s="229">
        <f t="array" ref="DC112">INDEX(Demand_current!$D$4:$AY$138, MATCH($A112, Demand_current!$B$4:$B$138, 0), MATCH(DC$4&amp;DC$5,Demand_current!$D$2:$AY$2&amp;Demand_current!$D$3:$AY$3, 0))/1000</f>
        <v>0.80600000000000005</v>
      </c>
      <c r="DD112" s="229">
        <f t="array" ref="DD112">INDEX(Demand_current!$D$4:$AY$138, MATCH($A112, Demand_current!$B$4:$B$138, 0), MATCH(DD$4&amp;DD$5,Demand_current!$D$2:$AY$2&amp;Demand_current!$D$3:$AY$3, 0))/1000</f>
        <v>1.6479999999999999</v>
      </c>
      <c r="DE112" s="229">
        <f t="array" ref="DE112">INDEX(Demand_current!$D$4:$AY$138, MATCH($A112, Demand_current!$B$4:$B$138, 0), MATCH(DE$4&amp;DE$5,Demand_current!$D$2:$AY$2&amp;Demand_current!$D$3:$AY$3, 0))/1000</f>
        <v>0.74099999999999999</v>
      </c>
      <c r="DF112" s="229">
        <f t="array" ref="DF112">INDEX(Demand_current!$D$4:$AY$138, MATCH($A112, Demand_current!$B$4:$B$138, 0), MATCH(DF$4&amp;DF$5,Demand_current!$D$2:$AY$2&amp;Demand_current!$D$3:$AY$3, 0))/1000</f>
        <v>1.8089999999999999</v>
      </c>
      <c r="DG112" s="229">
        <f t="array" ref="DG112">INDEX(Demand_current!$D$4:$AY$138, MATCH($A112, Demand_current!$B$4:$B$138, 0), MATCH(DG$4&amp;DG$5,Demand_current!$D$2:$AY$2&amp;Demand_current!$D$3:$AY$3, 0))/1000</f>
        <v>2.4140000000000001</v>
      </c>
      <c r="DH112" s="229">
        <f t="array" ref="DH112">INDEX(Demand_current!$D$4:$AY$138, MATCH($A112, Demand_current!$B$4:$B$138, 0), MATCH(DH$4&amp;DH$5,Demand_current!$D$2:$AY$2&amp;Demand_current!$D$3:$AY$3, 0))/1000</f>
        <v>1.137</v>
      </c>
      <c r="DI112" s="229">
        <f t="array" ref="DI112">INDEX(Demand_current!$D$4:$AY$138, MATCH($A112, Demand_current!$B$4:$B$138, 0), MATCH(DI$4&amp;DI$5,Demand_current!$D$2:$AY$2&amp;Demand_current!$D$3:$AY$3, 0))/1000</f>
        <v>1.109</v>
      </c>
      <c r="DJ112" s="227">
        <f>$BT112*(VLOOKUP(DJ$4, Rates_current!$G$6:$Q$29, 10, FALSE)+VLOOKUP(DJ$4, Rates_current!$G$6:$Q$29, 11, FALSE))</f>
        <v>4422.9281420483994</v>
      </c>
      <c r="DK112" s="227">
        <f>$BT112*(VLOOKUP(DK$4, Rates_current!$G$6:$Q$29, 10, FALSE)+VLOOKUP(DK$4, Rates_current!$G$6:$Q$29, 11, FALSE))</f>
        <v>5618.4984996380999</v>
      </c>
      <c r="DL112" s="227">
        <f>$BT112*(VLOOKUP(DL$4, Rates_current!$G$6:$Q$29, 10, FALSE)+VLOOKUP(DL$4, Rates_current!$G$6:$Q$29, 11, FALSE))</f>
        <v>5550.6475277484005</v>
      </c>
      <c r="DM112" s="227">
        <f>$BT112*(VLOOKUP(DM$4, Rates_current!$G$6:$Q$29, 10, FALSE)+VLOOKUP(DM$4, Rates_current!$G$6:$Q$29, 11, FALSE))</f>
        <v>4626.8027885484007</v>
      </c>
      <c r="DN112" s="227">
        <f>$BT112*(VLOOKUP(DN$4, Rates_current!$G$6:$Q$29, 10, FALSE)+VLOOKUP(DN$4, Rates_current!$G$6:$Q$29, 11, FALSE))</f>
        <v>4191.4033327199995</v>
      </c>
      <c r="DO112" s="227">
        <f>$BT112*(VLOOKUP(DO$4, Rates_current!$G$6:$Q$29, 10, FALSE)+VLOOKUP(DO$4, Rates_current!$G$6:$Q$29, 11, FALSE))</f>
        <v>4662.1720400523</v>
      </c>
      <c r="DP112" s="227">
        <f>$BT112*(VLOOKUP(DP$4, Rates_current!$G$6:$Q$29, 10, FALSE)+VLOOKUP(DP$4, Rates_current!$G$6:$Q$29, 11, FALSE))</f>
        <v>3795.9455059920001</v>
      </c>
      <c r="DQ112" s="227">
        <f>$BT112*(VLOOKUP(DQ$4, Rates_current!$G$6:$Q$29, 10, FALSE)+VLOOKUP(DQ$4, Rates_current!$G$6:$Q$29, 11, FALSE))</f>
        <v>5119.3985529984002</v>
      </c>
      <c r="DR112" s="227">
        <f>$BT112*(VLOOKUP(DR$4, Rates_current!$G$6:$Q$29, 10, FALSE)+VLOOKUP(DR$4, Rates_current!$G$6:$Q$29, 11, FALSE))</f>
        <v>6532.0043760420003</v>
      </c>
      <c r="DS112" s="227">
        <f>$BT112*(VLOOKUP(DS$4, Rates_current!$G$6:$Q$29, 10, FALSE)+VLOOKUP(DS$4, Rates_current!$G$6:$Q$29, 11, FALSE))</f>
        <v>5121.2985476484009</v>
      </c>
      <c r="DT112" s="227">
        <f>$BT112*(VLOOKUP(DT$4, Rates_current!$G$6:$Q$29, 10, FALSE)+VLOOKUP(DT$4, Rates_current!$G$6:$Q$29, 11, FALSE))</f>
        <v>4987.1250156984006</v>
      </c>
      <c r="DU112" s="227">
        <f>$BT112*(VLOOKUP(DU$4, Rates_current!$G$6:$Q$29, 10, FALSE)+VLOOKUP(DU$4, Rates_current!$G$6:$Q$29, 11, FALSE))</f>
        <v>4477.3773658920009</v>
      </c>
      <c r="DV112" s="229">
        <f>IF(D112=0,IF(C112=0,MAX(0,DY112 - (VLOOKUP($A112,TOCA_current!$A$2:$AI$137,MATCH("RHWM 2020",TOCA_current!$A$2:$AI$2,0),FALSE)*$BT$2)), 0),0)</f>
        <v>3836.0679135231985</v>
      </c>
      <c r="DW112" s="266">
        <f>VLOOKUP($A112,REP_current!$A$1:$D$135,MATCH("FY "&amp;$BT$1&amp; " Total Refund",REP_current!$A$1:$D$1,0),0)</f>
        <v>0</v>
      </c>
      <c r="DX112" s="295">
        <f>MIN(VLOOKUP($A112,TOCA_current!$A$2:$AI$137,MATCH("TRL - NLSL - Existing Resource "&amp;$BT$1,TOCA_current!$A$2:$AI$2,0),FALSE)*$BT$2, VLOOKUP($A112,TOCA_current!$A$2:$AI$137,MATCH("RHWM 2020",TOCA_current!$A$2:$AI$2,0),FALSE)*$BT$2)</f>
        <v>59107.536</v>
      </c>
      <c r="DY112" s="240">
        <f>SUM(BZ112:CW112)+(BT112*RT1SC!$C$4*$BT$2)</f>
        <v>62943.603913523199</v>
      </c>
      <c r="DZ112" s="271">
        <f>VLOOKUP($A112,TOCA_current!$A$2:$AI$137,MATCH("Above RHWM Not Served with LS "&amp;$BT$1,TOCA_current!$A$2:$AI$2,0),FALSE)*$BT$2</f>
        <v>0</v>
      </c>
      <c r="EA112" s="244">
        <f t="shared" si="29"/>
        <v>3836.0679135231985</v>
      </c>
      <c r="EB112" s="295">
        <f>(VLOOKUP($A112,TOCA_current!$A$2:$AI$137,MATCH("RHWM 2020",TOCA_current!$A$2:$AI$2,0),FALSE)*$BT$2) - $DX112</f>
        <v>0</v>
      </c>
      <c r="EC112" s="240">
        <f t="shared" si="30"/>
        <v>0</v>
      </c>
      <c r="ED112" s="240">
        <f t="shared" si="31"/>
        <v>0</v>
      </c>
      <c r="EE112" s="240">
        <f t="shared" si="32"/>
        <v>0</v>
      </c>
      <c r="EF112" s="240">
        <f t="shared" si="33"/>
        <v>0</v>
      </c>
    </row>
    <row r="113" spans="1:136">
      <c r="A113" s="166">
        <v>10363</v>
      </c>
      <c r="B113" s="167" t="s">
        <v>114</v>
      </c>
      <c r="C113" s="240">
        <v>0</v>
      </c>
      <c r="D113" s="240">
        <v>0</v>
      </c>
      <c r="E113" s="150">
        <f>VLOOKUP($A113,TOCA_previous!$A$2:$AI$137,MATCH(E$4,TOCA_previous!$A$2:$AI$2,0),FALSE)</f>
        <v>1.35911E-2</v>
      </c>
      <c r="F113" s="151">
        <f>VLOOKUP($A113,TOCA_previous!$A$2:$AI$137,MATCH(F$4,TOCA_previous!$A$2:$AI$2,0),FALSE)</f>
        <v>1.35911E-2</v>
      </c>
      <c r="G113" s="151">
        <f t="shared" si="18"/>
        <v>0</v>
      </c>
      <c r="H113" s="151">
        <f>VLOOKUP($A113,TOCA_previous!$A$2:$AI$137,MATCH(H$4,TOCA_previous!$A$2:$AI$2,0),FALSE)</f>
        <v>0</v>
      </c>
      <c r="I113" s="151">
        <f t="shared" si="19"/>
        <v>0</v>
      </c>
      <c r="J113" s="151">
        <f t="shared" si="20"/>
        <v>0</v>
      </c>
      <c r="K113" s="226">
        <f>VLOOKUP(A113, IRD!$A$5:$C$139, 3, FALSE)</f>
        <v>0</v>
      </c>
      <c r="L113" s="227">
        <f t="array" ref="L113">IF($G113=0, INDEX(LS_previous!$D$4:$AY$138, MATCH('Staging Table'!$A113, LS_previous!$B$4:$B$138, 0), MATCH(L$4&amp;L$5, LS_previous!$D$2:$AY$2&amp;LS_previous!$D$3:$AY$3, 0)),SUM(VLOOKUP($A113, LS_previous!$B$4:$AY$138, LS_previous!D$149, FALSE), VLOOKUP('Staging Table'!$A113, LS_previous!$B$4:$AY$138,LS_previous!AB$149, FALSE))/2)</f>
        <v>-605</v>
      </c>
      <c r="M113" s="227">
        <f t="array" ref="M113">IF($G113=0, INDEX(LS_previous!$D$4:$AY$138, MATCH('Staging Table'!$A113, LS_previous!$B$4:$B$138, 0), MATCH(M$4&amp;M$5, LS_previous!$D$2:$AY$2&amp;LS_previous!$D$3:$AY$3, 0)),SUM(VLOOKUP($A113, LS_previous!$B$4:$AY$138, LS_previous!E$149, FALSE), VLOOKUP('Staging Table'!$A113, LS_previous!$B$4:$AY$138,LS_previous!AC$149, FALSE))/2)</f>
        <v>292</v>
      </c>
      <c r="N113" s="227">
        <f t="array" ref="N113">IF($G113=0, INDEX(LS_previous!$D$4:$AY$138, MATCH('Staging Table'!$A113, LS_previous!$B$4:$B$138, 0), MATCH(N$4&amp;N$5, LS_previous!$D$2:$AY$2&amp;LS_previous!$D$3:$AY$3, 0)),SUM(VLOOKUP($A113, LS_previous!$B$4:$AY$138, LS_previous!F$149, FALSE), VLOOKUP('Staging Table'!$A113, LS_previous!$B$4:$AY$138,LS_previous!AD$149, FALSE))/2)</f>
        <v>-2804</v>
      </c>
      <c r="O113" s="227">
        <f t="array" ref="O113">IF($G113=0, INDEX(LS_previous!$D$4:$AY$138, MATCH('Staging Table'!$A113, LS_previous!$B$4:$B$138, 0), MATCH(O$4&amp;O$5, LS_previous!$D$2:$AY$2&amp;LS_previous!$D$3:$AY$3, 0)),SUM(VLOOKUP($A113, LS_previous!$B$4:$AY$138, LS_previous!G$149, FALSE), VLOOKUP('Staging Table'!$A113, LS_previous!$B$4:$AY$138,LS_previous!AE$149, FALSE))/2)</f>
        <v>1398</v>
      </c>
      <c r="P113" s="227">
        <f t="array" ref="P113">IF($G113=0, INDEX(LS_previous!$D$4:$AY$138, MATCH('Staging Table'!$A113, LS_previous!$B$4:$B$138, 0), MATCH(P$4&amp;P$5, LS_previous!$D$2:$AY$2&amp;LS_previous!$D$3:$AY$3, 0)),SUM(VLOOKUP($A113, LS_previous!$B$4:$AY$138, LS_previous!H$149, FALSE), VLOOKUP('Staging Table'!$A113, LS_previous!$B$4:$AY$138,LS_previous!AF$149, FALSE))/2)</f>
        <v>3141</v>
      </c>
      <c r="Q113" s="227">
        <f t="array" ref="Q113">IF($G113=0, INDEX(LS_previous!$D$4:$AY$138, MATCH('Staging Table'!$A113, LS_previous!$B$4:$B$138, 0), MATCH(Q$4&amp;Q$5, LS_previous!$D$2:$AY$2&amp;LS_previous!$D$3:$AY$3, 0)),SUM(VLOOKUP($A113, LS_previous!$B$4:$AY$138, LS_previous!I$149, FALSE), VLOOKUP('Staging Table'!$A113, LS_previous!$B$4:$AY$138,LS_previous!AG$149, FALSE))/2)</f>
        <v>7330</v>
      </c>
      <c r="R113" s="227">
        <f t="array" ref="R113">IF($G113=0, INDEX(LS_previous!$D$4:$AY$138, MATCH('Staging Table'!$A113, LS_previous!$B$4:$B$138, 0), MATCH(R$4&amp;R$5, LS_previous!$D$2:$AY$2&amp;LS_previous!$D$3:$AY$3, 0)),SUM(VLOOKUP($A113, LS_previous!$B$4:$AY$138, LS_previous!J$149, FALSE), VLOOKUP('Staging Table'!$A113, LS_previous!$B$4:$AY$138,LS_previous!AH$149, FALSE))/2)</f>
        <v>10227</v>
      </c>
      <c r="S113" s="227">
        <f t="array" ref="S113">IF($G113=0, INDEX(LS_previous!$D$4:$AY$138, MATCH('Staging Table'!$A113, LS_previous!$B$4:$B$138, 0), MATCH(S$4&amp;S$5, LS_previous!$D$2:$AY$2&amp;LS_previous!$D$3:$AY$3, 0)),SUM(VLOOKUP($A113, LS_previous!$B$4:$AY$138, LS_previous!K$149, FALSE), VLOOKUP('Staging Table'!$A113, LS_previous!$B$4:$AY$138,LS_previous!AI$149, FALSE))/2)</f>
        <v>8217</v>
      </c>
      <c r="T113" s="227">
        <f t="array" ref="T113">IF($G113=0, INDEX(LS_previous!$D$4:$AY$138, MATCH('Staging Table'!$A113, LS_previous!$B$4:$B$138, 0), MATCH(T$4&amp;T$5, LS_previous!$D$2:$AY$2&amp;LS_previous!$D$3:$AY$3, 0)),SUM(VLOOKUP($A113, LS_previous!$B$4:$AY$138, LS_previous!L$149, FALSE), VLOOKUP('Staging Table'!$A113, LS_previous!$B$4:$AY$138,LS_previous!AJ$149, FALSE))/2)</f>
        <v>14016</v>
      </c>
      <c r="U113" s="227">
        <f t="array" ref="U113">IF($G113=0, INDEX(LS_previous!$D$4:$AY$138, MATCH('Staging Table'!$A113, LS_previous!$B$4:$B$138, 0), MATCH(U$4&amp;U$5, LS_previous!$D$2:$AY$2&amp;LS_previous!$D$3:$AY$3, 0)),SUM(VLOOKUP($A113, LS_previous!$B$4:$AY$138, LS_previous!M$149, FALSE), VLOOKUP('Staging Table'!$A113, LS_previous!$B$4:$AY$138,LS_previous!AK$149, FALSE))/2)</f>
        <v>9351</v>
      </c>
      <c r="V113" s="227">
        <f t="array" ref="V113">IF($G113=0, INDEX(LS_previous!$D$4:$AY$138, MATCH('Staging Table'!$A113, LS_previous!$B$4:$B$138, 0), MATCH(V$4&amp;V$5, LS_previous!$D$2:$AY$2&amp;LS_previous!$D$3:$AY$3, 0)),SUM(VLOOKUP($A113, LS_previous!$B$4:$AY$138, LS_previous!N$149, FALSE), VLOOKUP('Staging Table'!$A113, LS_previous!$B$4:$AY$138,LS_previous!AL$149, FALSE))/2)</f>
        <v>2287</v>
      </c>
      <c r="W113" s="227">
        <f t="array" ref="W113">IF($G113=0, INDEX(LS_previous!$D$4:$AY$138, MATCH('Staging Table'!$A113, LS_previous!$B$4:$B$138, 0), MATCH(W$4&amp;W$5, LS_previous!$D$2:$AY$2&amp;LS_previous!$D$3:$AY$3, 0)),SUM(VLOOKUP($A113, LS_previous!$B$4:$AY$138, LS_previous!O$149, FALSE), VLOOKUP('Staging Table'!$A113, LS_previous!$B$4:$AY$138,LS_previous!AM$149, FALSE))/2)</f>
        <v>4113</v>
      </c>
      <c r="X113" s="227">
        <f t="array" ref="X113">IF($G113=0, INDEX(LS_previous!$D$4:$AY$138, MATCH('Staging Table'!$A113, LS_previous!$B$4:$B$138, 0), MATCH(X$4&amp;X$5, LS_previous!$D$2:$AY$2&amp;LS_previous!$D$3:$AY$3, 0)),SUM(VLOOKUP($A113, LS_previous!$B$4:$AY$138, LS_previous!P$149, FALSE), VLOOKUP('Staging Table'!$A113, LS_previous!$B$4:$AY$138,LS_previous!AN$149, FALSE))/2)</f>
        <v>1307</v>
      </c>
      <c r="Y113" s="227">
        <f t="array" ref="Y113">IF($G113=0, INDEX(LS_previous!$D$4:$AY$138, MATCH('Staging Table'!$A113, LS_previous!$B$4:$B$138, 0), MATCH(Y$4&amp;Y$5, LS_previous!$D$2:$AY$2&amp;LS_previous!$D$3:$AY$3, 0)),SUM(VLOOKUP($A113, LS_previous!$B$4:$AY$138, LS_previous!Q$149, FALSE), VLOOKUP('Staging Table'!$A113, LS_previous!$B$4:$AY$138,LS_previous!AO$149, FALSE))/2)</f>
        <v>1947</v>
      </c>
      <c r="Z113" s="227">
        <f t="array" ref="Z113">IF($G113=0, INDEX(LS_previous!$D$4:$AY$138, MATCH('Staging Table'!$A113, LS_previous!$B$4:$B$138, 0), MATCH(Z$4&amp;Z$5, LS_previous!$D$2:$AY$2&amp;LS_previous!$D$3:$AY$3, 0)),SUM(VLOOKUP($A113, LS_previous!$B$4:$AY$138, LS_previous!R$149, FALSE), VLOOKUP('Staging Table'!$A113, LS_previous!$B$4:$AY$138,LS_previous!AP$149, FALSE))/2)</f>
        <v>-21451</v>
      </c>
      <c r="AA113" s="227">
        <f t="array" ref="AA113">IF($G113=0, INDEX(LS_previous!$D$4:$AY$138, MATCH('Staging Table'!$A113, LS_previous!$B$4:$B$138, 0), MATCH(AA$4&amp;AA$5, LS_previous!$D$2:$AY$2&amp;LS_previous!$D$3:$AY$3, 0)),SUM(VLOOKUP($A113, LS_previous!$B$4:$AY$138, LS_previous!S$149, FALSE), VLOOKUP('Staging Table'!$A113, LS_previous!$B$4:$AY$138,LS_previous!AQ$149, FALSE))/2)</f>
        <v>-8534</v>
      </c>
      <c r="AB113" s="227">
        <f t="array" ref="AB113">IF($G113=0, INDEX(LS_previous!$D$4:$AY$138, MATCH('Staging Table'!$A113, LS_previous!$B$4:$B$138, 0), MATCH(AB$4&amp;AB$5, LS_previous!$D$2:$AY$2&amp;LS_previous!$D$3:$AY$3, 0)),SUM(VLOOKUP($A113, LS_previous!$B$4:$AY$138, LS_previous!T$149, FALSE), VLOOKUP('Staging Table'!$A113, LS_previous!$B$4:$AY$138,LS_previous!AR$149, FALSE))/2)</f>
        <v>-9081</v>
      </c>
      <c r="AC113" s="227">
        <f t="array" ref="AC113">IF($G113=0, INDEX(LS_previous!$D$4:$AY$138, MATCH('Staging Table'!$A113, LS_previous!$B$4:$B$138, 0), MATCH(AC$4&amp;AC$5, LS_previous!$D$2:$AY$2&amp;LS_previous!$D$3:$AY$3, 0)),SUM(VLOOKUP($A113, LS_previous!$B$4:$AY$138, LS_previous!U$149, FALSE), VLOOKUP('Staging Table'!$A113, LS_previous!$B$4:$AY$138,LS_previous!AS$149, FALSE))/2)</f>
        <v>-3780</v>
      </c>
      <c r="AD113" s="227">
        <f t="array" ref="AD113">IF($G113=0, INDEX(LS_previous!$D$4:$AY$138, MATCH('Staging Table'!$A113, LS_previous!$B$4:$B$138, 0), MATCH(AD$4&amp;AD$5, LS_previous!$D$2:$AY$2&amp;LS_previous!$D$3:$AY$3, 0)),SUM(VLOOKUP($A113, LS_previous!$B$4:$AY$138, LS_previous!V$149, FALSE), VLOOKUP('Staging Table'!$A113, LS_previous!$B$4:$AY$138,LS_previous!AT$149, FALSE))/2)</f>
        <v>-1145</v>
      </c>
      <c r="AE113" s="227">
        <f t="array" ref="AE113">IF($G113=0, INDEX(LS_previous!$D$4:$AY$138, MATCH('Staging Table'!$A113, LS_previous!$B$4:$B$138, 0), MATCH(AE$4&amp;AE$5, LS_previous!$D$2:$AY$2&amp;LS_previous!$D$3:$AY$3, 0)),SUM(VLOOKUP($A113, LS_previous!$B$4:$AY$138, LS_previous!W$149, FALSE), VLOOKUP('Staging Table'!$A113, LS_previous!$B$4:$AY$138,LS_previous!AU$149, FALSE))/2)</f>
        <v>1729</v>
      </c>
      <c r="AF113" s="227">
        <f t="array" ref="AF113">IF($G113=0, INDEX(LS_previous!$D$4:$AY$138, MATCH('Staging Table'!$A113, LS_previous!$B$4:$B$138, 0), MATCH(AF$4&amp;AF$5, LS_previous!$D$2:$AY$2&amp;LS_previous!$D$3:$AY$3, 0)),SUM(VLOOKUP($A113, LS_previous!$B$4:$AY$138, LS_previous!X$149, FALSE), VLOOKUP('Staging Table'!$A113, LS_previous!$B$4:$AY$138,LS_previous!AV$149, FALSE))/2)</f>
        <v>-6494</v>
      </c>
      <c r="AG113" s="227">
        <f t="array" ref="AG113">IF($G113=0, INDEX(LS_previous!$D$4:$AY$138, MATCH('Staging Table'!$A113, LS_previous!$B$4:$B$138, 0), MATCH(AG$4&amp;AG$5, LS_previous!$D$2:$AY$2&amp;LS_previous!$D$3:$AY$3, 0)),SUM(VLOOKUP($A113, LS_previous!$B$4:$AY$138, LS_previous!Y$149, FALSE), VLOOKUP('Staging Table'!$A113, LS_previous!$B$4:$AY$138,LS_previous!AW$149, FALSE))/2)</f>
        <v>655</v>
      </c>
      <c r="AH113" s="227">
        <f t="array" ref="AH113">IF($G113=0, INDEX(LS_previous!$D$4:$AY$138, MATCH('Staging Table'!$A113, LS_previous!$B$4:$B$138, 0), MATCH(AH$4&amp;AH$5, LS_previous!$D$2:$AY$2&amp;LS_previous!$D$3:$AY$3, 0)),SUM(VLOOKUP($A113, LS_previous!$B$4:$AY$138, LS_previous!Z$149, FALSE), VLOOKUP('Staging Table'!$A113, LS_previous!$B$4:$AY$138,LS_previous!AX$149, FALSE))/2)</f>
        <v>-4891</v>
      </c>
      <c r="AI113" s="227">
        <f t="array" ref="AI113">IF($G113=0, INDEX(LS_previous!$D$4:$AY$138, MATCH('Staging Table'!$A113, LS_previous!$B$4:$B$138, 0), MATCH(AI$4&amp;AI$5, LS_previous!$D$2:$AY$2&amp;LS_previous!$D$3:$AY$3, 0)),SUM(VLOOKUP($A113, LS_previous!$B$4:$AY$138, LS_previous!AA$149, FALSE), VLOOKUP('Staging Table'!$A113, LS_previous!$B$4:$AY$138,LS_previous!AY$149, FALSE))/2)</f>
        <v>-1527</v>
      </c>
      <c r="AJ113" s="424">
        <f t="array" ref="AJ113">INDEX(Demand_previous!$D$4:$AY$138, MATCH('Staging Table'!$A113, Demand_previous!$B$4:$B$138, 0), MATCH(AJ$4&amp;AJ$5,Demand_previous!$D$2:$AY$2&amp;Demand_previous!$D$3:$AY$3, 0))/1000</f>
        <v>5.625</v>
      </c>
      <c r="AK113" s="424">
        <f t="array" ref="AK113">INDEX(Demand_previous!$D$4:$AY$138, MATCH('Staging Table'!$A113, Demand_previous!$B$4:$B$138, 0), MATCH(AK$4&amp;AK$5,Demand_previous!$D$2:$AY$2&amp;Demand_previous!$D$3:$AY$3, 0))/1000</f>
        <v>18.672000000000001</v>
      </c>
      <c r="AL113" s="424">
        <f t="array" ref="AL113">INDEX(Demand_previous!$D$4:$AY$138, MATCH('Staging Table'!$A113, Demand_previous!$B$4:$B$138, 0), MATCH(AL$4&amp;AL$5,Demand_previous!$D$2:$AY$2&amp;Demand_previous!$D$3:$AY$3, 0))/1000</f>
        <v>21.5</v>
      </c>
      <c r="AM113" s="424">
        <f t="array" ref="AM113">INDEX(Demand_previous!$D$4:$AY$138, MATCH('Staging Table'!$A113, Demand_previous!$B$4:$B$138, 0), MATCH(AM$4&amp;AM$5,Demand_previous!$D$2:$AY$2&amp;Demand_previous!$D$3:$AY$3, 0))/1000</f>
        <v>21.19</v>
      </c>
      <c r="AN113" s="424">
        <f t="array" ref="AN113">INDEX(Demand_previous!$D$4:$AY$138, MATCH('Staging Table'!$A113, Demand_previous!$B$4:$B$138, 0), MATCH(AN$4&amp;AN$5,Demand_previous!$D$2:$AY$2&amp;Demand_previous!$D$3:$AY$3, 0))/1000</f>
        <v>6.3159999999999998</v>
      </c>
      <c r="AO113" s="424">
        <f t="array" ref="AO113">INDEX(Demand_previous!$D$4:$AY$138, MATCH('Staging Table'!$A113, Demand_previous!$B$4:$B$138, 0), MATCH(AO$4&amp;AO$5,Demand_previous!$D$2:$AY$2&amp;Demand_previous!$D$3:$AY$3, 0))/1000</f>
        <v>25</v>
      </c>
      <c r="AP113" s="424">
        <f t="array" ref="AP113">INDEX(Demand_previous!$D$4:$AY$138, MATCH('Staging Table'!$A113, Demand_previous!$B$4:$B$138, 0), MATCH(AP$4&amp;AP$5,Demand_previous!$D$2:$AY$2&amp;Demand_previous!$D$3:$AY$3, 0))/1000</f>
        <v>9.0640000000000001</v>
      </c>
      <c r="AQ113" s="424">
        <f t="array" ref="AQ113">INDEX(Demand_previous!$D$4:$AY$138, MATCH('Staging Table'!$A113, Demand_previous!$B$4:$B$138, 0), MATCH(AQ$4&amp;AQ$5,Demand_previous!$D$2:$AY$2&amp;Demand_previous!$D$3:$AY$3, 0))/1000</f>
        <v>7.39</v>
      </c>
      <c r="AR113" s="424">
        <f t="array" ref="AR113">INDEX(Demand_previous!$D$4:$AY$138, MATCH('Staging Table'!$A113, Demand_previous!$B$4:$B$138, 0), MATCH(AR$4&amp;AR$5,Demand_previous!$D$2:$AY$2&amp;Demand_previous!$D$3:$AY$3, 0))/1000</f>
        <v>14.53</v>
      </c>
      <c r="AS113" s="424">
        <f t="array" ref="AS113">INDEX(Demand_previous!$D$4:$AY$138, MATCH('Staging Table'!$A113, Demand_previous!$B$4:$B$138, 0), MATCH(AS$4&amp;AS$5,Demand_previous!$D$2:$AY$2&amp;Demand_previous!$D$3:$AY$3, 0))/1000</f>
        <v>10.417999999999999</v>
      </c>
      <c r="AT113" s="424">
        <f t="array" ref="AT113">INDEX(Demand_previous!$D$4:$AY$138, MATCH('Staging Table'!$A113, Demand_previous!$B$4:$B$138, 0), MATCH(AT$4&amp;AT$5,Demand_previous!$D$2:$AY$2&amp;Demand_previous!$D$3:$AY$3, 0))/1000</f>
        <v>21.956</v>
      </c>
      <c r="AU113" s="424">
        <f t="array" ref="AU113">INDEX(Demand_previous!$D$4:$AY$138, MATCH('Staging Table'!$A113, Demand_previous!$B$4:$B$138, 0), MATCH(AU$4&amp;AU$5,Demand_previous!$D$2:$AY$2&amp;Demand_previous!$D$3:$AY$3, 0))/1000</f>
        <v>16.385000000000002</v>
      </c>
      <c r="AV113" s="227">
        <f>$F113*(VLOOKUP(AV$4, Rates_previous!$G$6:$Q$29, 10, FALSE)+VLOOKUP(AV$4, Rates_previous!$G$6:$Q$29, 11, FALSE))</f>
        <v>63726.462912411931</v>
      </c>
      <c r="AW113" s="227">
        <f>$F113*(VLOOKUP(AW$4, Rates_previous!$G$6:$Q$29, 10, FALSE)+VLOOKUP(AW$4, Rates_previous!$G$6:$Q$29, 11, FALSE))</f>
        <v>78761.064691878535</v>
      </c>
      <c r="AX113" s="227">
        <f>$F113*(VLOOKUP(AX$4, Rates_previous!$G$6:$Q$29, 10, FALSE)+VLOOKUP(AX$4, Rates_previous!$G$6:$Q$29, 11, FALSE))</f>
        <v>77815.238507712653</v>
      </c>
      <c r="AY113" s="227">
        <f>$F113*(VLOOKUP(AY$4, Rates_previous!$G$6:$Q$29, 10, FALSE)+VLOOKUP(AY$4, Rates_previous!$G$6:$Q$29, 11, FALSE))</f>
        <v>66485.704287641071</v>
      </c>
      <c r="AZ113" s="227">
        <f>$F113*(VLOOKUP(AZ$4, Rates_previous!$G$6:$Q$29, 10, FALSE)+VLOOKUP(AZ$4, Rates_previous!$G$6:$Q$29, 11, FALSE))</f>
        <v>54505.381207485014</v>
      </c>
      <c r="BA113" s="227">
        <f>$F113*(VLOOKUP(BA$4, Rates_previous!$G$6:$Q$29, 10, FALSE)+VLOOKUP(BA$4, Rates_previous!$G$6:$Q$29, 11, FALSE))</f>
        <v>64532.39153047838</v>
      </c>
      <c r="BB113" s="227">
        <f>$F113*(VLOOKUP(BB$4, Rates_previous!$G$6:$Q$29, 10, FALSE)+VLOOKUP(BB$4, Rates_previous!$G$6:$Q$29, 11, FALSE))</f>
        <v>62025.01506981664</v>
      </c>
      <c r="BC113" s="227">
        <f>$F113*(VLOOKUP(BC$4, Rates_previous!$G$6:$Q$29, 10, FALSE)+VLOOKUP(BC$4, Rates_previous!$G$6:$Q$29, 11, FALSE))</f>
        <v>91017.320554475024</v>
      </c>
      <c r="BD113" s="227">
        <f>$F113*(VLOOKUP(BD$4, Rates_previous!$G$6:$Q$29, 10, FALSE)+VLOOKUP(BD$4, Rates_previous!$G$6:$Q$29, 11, FALSE))</f>
        <v>71810.260300375245</v>
      </c>
      <c r="BE113" s="227">
        <f>$F113*(VLOOKUP(BE$4, Rates_previous!$G$6:$Q$29, 10, FALSE)+VLOOKUP(BE$4, Rates_previous!$G$6:$Q$29, 11, FALSE))</f>
        <v>63055.435976005821</v>
      </c>
      <c r="BF113" s="227">
        <f>$F113*(VLOOKUP(BF$4, Rates_previous!$G$6:$Q$29, 10, FALSE)+VLOOKUP(BF$4, Rates_previous!$G$6:$Q$29, 11, FALSE))</f>
        <v>69836.419308308861</v>
      </c>
      <c r="BG113" s="227">
        <f>$F113*(VLOOKUP(BG$4, Rates_previous!$G$6:$Q$29, 10, FALSE)+VLOOKUP(BG$4, Rates_previous!$G$6:$Q$29, 11, FALSE))</f>
        <v>63269.01867299086</v>
      </c>
      <c r="BH113" s="229">
        <f>IF($D113=0,IF(C113=0, MAX(BK113 - (VLOOKUP($A113,TOCA_previous!$A$2:$AI$137,MATCH("RHWM 2018",TOCA_previous!$A$2:$AI$2,0),FALSE)*$F$2*TOCA_previous!C110),0),0), 0)</f>
        <v>0</v>
      </c>
      <c r="BI113" s="266">
        <f>VLOOKUP($A113,REP_previous!$A$1:$D$135,MATCH("FY "&amp;$F$1&amp; " Total Refund",REP_previous!$A$1:$D$1,0),0)</f>
        <v>1029859.1874471301</v>
      </c>
      <c r="BJ113" s="241">
        <f>MIN(VLOOKUP($A113,TOCA_previous!$A$2:$AI$137,MATCH("TRL - NLSL - Existing Resource "&amp;$F$1,TOCA_previous!$A$2:$AI$2,0),FALSE)*$F$2,(VLOOKUP($A113,TOCA_previous!$A$2:$AI$137,MATCH("RHWM 2018",TOCA_previous!$A$2:$AI$2,0),FALSE)*$F$2))</f>
        <v>826838.88</v>
      </c>
      <c r="BK113" s="229">
        <f>SUM(L113:AI113)+(F113*RT1SC!$C$3*$F$2)</f>
        <v>832537.7250824559</v>
      </c>
      <c r="BL113" s="241">
        <f>VLOOKUP($A113,TOCA_previous!$A$2:$AI$137,MATCH("Above RHWM Not Served with LS "&amp;$F$1,TOCA_previous!$A$2:$AI$2,0),FALSE)*$F$2</f>
        <v>0</v>
      </c>
      <c r="BM113" s="151">
        <f t="shared" si="21"/>
        <v>5698.8450824558968</v>
      </c>
      <c r="BN113" s="242">
        <f>(VLOOKUP($A113,TOCA_previous!$A$2:$AI$137,MATCH("RHWM 2018",TOCA_previous!$A$2:$AI$2,0),FALSE)*$F$2) - $BJ113</f>
        <v>41180.760000000009</v>
      </c>
      <c r="BO113" s="151">
        <f t="shared" si="22"/>
        <v>-5698.8450824558968</v>
      </c>
      <c r="BP113" s="243">
        <f t="shared" si="23"/>
        <v>0</v>
      </c>
      <c r="BQ113" s="237">
        <f t="shared" si="24"/>
        <v>0</v>
      </c>
      <c r="BR113" s="242">
        <f t="shared" si="25"/>
        <v>-5698.8450824558968</v>
      </c>
      <c r="BS113" s="151">
        <f>VLOOKUP($A113,TOCA_current!$A$2:$AI$137,MATCH(BS$4,TOCA_current!$A$2:$AI$2,0),FALSE)</f>
        <v>1.3498599999999999E-2</v>
      </c>
      <c r="BT113" s="151">
        <f>VLOOKUP($A113,TOCA_current!$A$2:$AI$137,MATCH(BT$4,TOCA_current!$A$2:$AI$2,0),FALSE)</f>
        <v>1.3498599999999999E-2</v>
      </c>
      <c r="BU113" s="236">
        <f t="shared" si="26"/>
        <v>0</v>
      </c>
      <c r="BV113" s="151">
        <f>VLOOKUP($A113,TOCA_current!A109:BG244,MATCH(BV$4,TOCA_current!$A$2:$BG$2,0),FALSE)</f>
        <v>0</v>
      </c>
      <c r="BW113" s="151">
        <f t="shared" si="27"/>
        <v>0</v>
      </c>
      <c r="BX113" s="151">
        <f t="shared" si="28"/>
        <v>0</v>
      </c>
      <c r="BY113" s="226">
        <f>VLOOKUP($A113,IRD!$A$4:$G$139, 7, FALSE)</f>
        <v>0</v>
      </c>
      <c r="BZ113" s="227">
        <f t="array" ref="BZ113">IF($BU113=0, INDEX(LS_current!$D$4:$AY$138, MATCH('Staging Table'!$A113, LS_current!$B$4:$B$138, 0), MATCH(BZ$4&amp;BZ$5, LS_current!$D$2:$AY$2&amp;LS_current!$D$3:$AY$3, 0)),SUM(VLOOKUP($A113, LS_current!$B$4:$AY$138, LS_current!D$148, FALSE), VLOOKUP($A113, LS_current!$B$4:$AY$138,LS_current!D$148, FALSE))/2)</f>
        <v>226</v>
      </c>
      <c r="CA113" s="227">
        <f t="array" ref="CA113">IF($BU113=0, INDEX(LS_current!$D$4:$AY$138, MATCH('Staging Table'!$A113, LS_current!$B$4:$B$138, 0), MATCH(CA$4&amp;CA$5, LS_current!$D$2:$AY$2&amp;LS_current!$D$3:$AY$3, 0)),SUM(VLOOKUP($A113, LS_current!$B$4:$AY$138, LS_current!E$148, FALSE), VLOOKUP($A113, LS_current!$B$4:$AY$138,LS_current!E$148, FALSE))/2)</f>
        <v>861</v>
      </c>
      <c r="CB113" s="227">
        <f t="array" ref="CB113">IF($BU113=0, INDEX(LS_current!$D$4:$AY$138, MATCH('Staging Table'!$A113, LS_current!$B$4:$B$138, 0), MATCH(CB$4&amp;CB$5, LS_current!$D$2:$AY$2&amp;LS_current!$D$3:$AY$3, 0)),SUM(VLOOKUP($A113, LS_current!$B$4:$AY$138, LS_current!F$148, FALSE), VLOOKUP($A113, LS_current!$B$4:$AY$138,LS_current!F$148, FALSE))/2)</f>
        <v>-2815</v>
      </c>
      <c r="CC113" s="227">
        <f t="array" ref="CC113">IF($BU113=0, INDEX(LS_current!$D$4:$AY$138, MATCH('Staging Table'!$A113, LS_current!$B$4:$B$138, 0), MATCH(CC$4&amp;CC$5, LS_current!$D$2:$AY$2&amp;LS_current!$D$3:$AY$3, 0)),SUM(VLOOKUP($A113, LS_current!$B$4:$AY$138, LS_current!G$148, FALSE), VLOOKUP($A113, LS_current!$B$4:$AY$138,LS_current!G$148, FALSE))/2)</f>
        <v>995</v>
      </c>
      <c r="CD113" s="227">
        <f t="array" ref="CD113">IF($BU113=0, INDEX(LS_current!$D$4:$AY$138, MATCH('Staging Table'!$A113, LS_current!$B$4:$B$138, 0), MATCH(CD$4&amp;CD$5, LS_current!$D$2:$AY$2&amp;LS_current!$D$3:$AY$3, 0)),SUM(VLOOKUP($A113, LS_current!$B$4:$AY$138, LS_current!H$148, FALSE), VLOOKUP($A113, LS_current!$B$4:$AY$138,LS_current!H$148, FALSE))/2)</f>
        <v>3042</v>
      </c>
      <c r="CE113" s="227">
        <f t="array" ref="CE113">IF($BU113=0, INDEX(LS_current!$D$4:$AY$138, MATCH('Staging Table'!$A113, LS_current!$B$4:$B$138, 0), MATCH(CE$4&amp;CE$5, LS_current!$D$2:$AY$2&amp;LS_current!$D$3:$AY$3, 0)),SUM(VLOOKUP($A113, LS_current!$B$4:$AY$138, LS_current!I$148, FALSE), VLOOKUP($A113, LS_current!$B$4:$AY$138,LS_current!I$148, FALSE))/2)</f>
        <v>7026</v>
      </c>
      <c r="CF113" s="227">
        <f t="array" ref="CF113">IF($BU113=0, INDEX(LS_current!$D$4:$AY$138, MATCH('Staging Table'!$A113, LS_current!$B$4:$B$138, 0), MATCH(CF$4&amp;CF$5, LS_current!$D$2:$AY$2&amp;LS_current!$D$3:$AY$3, 0)),SUM(VLOOKUP($A113, LS_current!$B$4:$AY$138, LS_current!J$148, FALSE), VLOOKUP($A113, LS_current!$B$4:$AY$138,LS_current!J$148, FALSE))/2)</f>
        <v>10327</v>
      </c>
      <c r="CG113" s="227">
        <f t="array" ref="CG113">IF($BU113=0, INDEX(LS_current!$D$4:$AY$138, MATCH('Staging Table'!$A113, LS_current!$B$4:$B$138, 0), MATCH(CG$4&amp;CG$5, LS_current!$D$2:$AY$2&amp;LS_current!$D$3:$AY$3, 0)),SUM(VLOOKUP($A113, LS_current!$B$4:$AY$138, LS_current!K$148, FALSE), VLOOKUP($A113, LS_current!$B$4:$AY$138,LS_current!K$148, FALSE))/2)</f>
        <v>9402</v>
      </c>
      <c r="CH113" s="227">
        <f t="array" ref="CH113">IF($BU113=0, INDEX(LS_current!$D$4:$AY$138, MATCH('Staging Table'!$A113, LS_current!$B$4:$B$138, 0), MATCH(CH$4&amp;CH$5, LS_current!$D$2:$AY$2&amp;LS_current!$D$3:$AY$3, 0)),SUM(VLOOKUP($A113, LS_current!$B$4:$AY$138, LS_current!L$148, FALSE), VLOOKUP($A113, LS_current!$B$4:$AY$138,LS_current!L$148, FALSE))/2)</f>
        <v>11182</v>
      </c>
      <c r="CI113" s="227">
        <f t="array" ref="CI113">IF($BU113=0, INDEX(LS_current!$D$4:$AY$138, MATCH('Staging Table'!$A113, LS_current!$B$4:$B$138, 0), MATCH(CI$4&amp;CI$5, LS_current!$D$2:$AY$2&amp;LS_current!$D$3:$AY$3, 0)),SUM(VLOOKUP($A113, LS_current!$B$4:$AY$138, LS_current!M$148, FALSE), VLOOKUP($A113, LS_current!$B$4:$AY$138,LS_current!M$148, FALSE))/2)</f>
        <v>7626</v>
      </c>
      <c r="CJ113" s="227">
        <f t="array" ref="CJ113">IF($BU113=0, INDEX(LS_current!$D$4:$AY$138, MATCH('Staging Table'!$A113, LS_current!$B$4:$B$138, 0), MATCH(CJ$4&amp;CJ$5, LS_current!$D$2:$AY$2&amp;LS_current!$D$3:$AY$3, 0)),SUM(VLOOKUP($A113, LS_current!$B$4:$AY$138, LS_current!N$148, FALSE), VLOOKUP($A113, LS_current!$B$4:$AY$138,LS_current!N$148, FALSE))/2)</f>
        <v>1322</v>
      </c>
      <c r="CK113" s="227">
        <f t="array" ref="CK113">IF($BU113=0, INDEX(LS_current!$D$4:$AY$138, MATCH('Staging Table'!$A113, LS_current!$B$4:$B$138, 0), MATCH(CK$4&amp;CK$5, LS_current!$D$2:$AY$2&amp;LS_current!$D$3:$AY$3, 0)),SUM(VLOOKUP($A113, LS_current!$B$4:$AY$138, LS_current!O$148, FALSE), VLOOKUP($A113, LS_current!$B$4:$AY$138,LS_current!O$148, FALSE))/2)</f>
        <v>3911</v>
      </c>
      <c r="CL113" s="227">
        <f t="array" ref="CL113">IF($BU113=0, INDEX(LS_current!$D$4:$AY$138, MATCH('Staging Table'!$A113, LS_current!$B$4:$B$138, 0), MATCH(CL$4&amp;CL$5, LS_current!$D$2:$AY$2&amp;LS_current!$D$3:$AY$3, 0)),SUM(VLOOKUP($A113, LS_current!$B$4:$AY$138, LS_current!P$148, FALSE), VLOOKUP($A113, LS_current!$B$4:$AY$138,LS_current!P$148, FALSE))/2)</f>
        <v>7536</v>
      </c>
      <c r="CM113" s="227">
        <f t="array" ref="CM113">IF($BU113=0, INDEX(LS_current!$D$4:$AY$138, MATCH('Staging Table'!$A113, LS_current!$B$4:$B$138, 0), MATCH(CM$4&amp;CM$5, LS_current!$D$2:$AY$2&amp;LS_current!$D$3:$AY$3, 0)),SUM(VLOOKUP($A113, LS_current!$B$4:$AY$138, LS_current!Q$148, FALSE), VLOOKUP($A113, LS_current!$B$4:$AY$138,LS_current!Q$148, FALSE))/2)</f>
        <v>4252</v>
      </c>
      <c r="CN113" s="227">
        <f t="array" ref="CN113">IF($BU113=0, INDEX(LS_current!$D$4:$AY$138, MATCH('Staging Table'!$A113, LS_current!$B$4:$B$138, 0), MATCH(CN$4&amp;CN$5, LS_current!$D$2:$AY$2&amp;LS_current!$D$3:$AY$3, 0)),SUM(VLOOKUP($A113, LS_current!$B$4:$AY$138, LS_current!R$148, FALSE), VLOOKUP($A113, LS_current!$B$4:$AY$138,LS_current!R$148, FALSE))/2)</f>
        <v>-10256</v>
      </c>
      <c r="CO113" s="227">
        <f t="array" ref="CO113">IF($BU113=0, INDEX(LS_current!$D$4:$AY$138, MATCH('Staging Table'!$A113, LS_current!$B$4:$B$138, 0), MATCH(CO$4&amp;CO$5, LS_current!$D$2:$AY$2&amp;LS_current!$D$3:$AY$3, 0)),SUM(VLOOKUP($A113, LS_current!$B$4:$AY$138, LS_current!S$148, FALSE), VLOOKUP($A113, LS_current!$B$4:$AY$138,LS_current!S$148, FALSE))/2)</f>
        <v>-855</v>
      </c>
      <c r="CP113" s="227">
        <f t="array" ref="CP113">IF($BU113=0, INDEX(LS_current!$D$4:$AY$138, MATCH('Staging Table'!$A113, LS_current!$B$4:$B$138, 0), MATCH(CP$4&amp;CP$5, LS_current!$D$2:$AY$2&amp;LS_current!$D$3:$AY$3, 0)),SUM(VLOOKUP($A113, LS_current!$B$4:$AY$138, LS_current!T$148, FALSE), VLOOKUP($A113, LS_current!$B$4:$AY$138,LS_current!T$148, FALSE))/2)</f>
        <v>-21842</v>
      </c>
      <c r="CQ113" s="227">
        <f t="array" ref="CQ113">IF($BU113=0, INDEX(LS_current!$D$4:$AY$138, MATCH('Staging Table'!$A113, LS_current!$B$4:$B$138, 0), MATCH(CQ$4&amp;CQ$5, LS_current!$D$2:$AY$2&amp;LS_current!$D$3:$AY$3, 0)),SUM(VLOOKUP($A113, LS_current!$B$4:$AY$138, LS_current!U$148, FALSE), VLOOKUP($A113, LS_current!$B$4:$AY$138,LS_current!U$148, FALSE))/2)</f>
        <v>-11256</v>
      </c>
      <c r="CR113" s="227">
        <f t="array" ref="CR113">IF($BU113=0, INDEX(LS_current!$D$4:$AY$138, MATCH('Staging Table'!$A113, LS_current!$B$4:$B$138, 0), MATCH(CR$4&amp;CR$5, LS_current!$D$2:$AY$2&amp;LS_current!$D$3:$AY$3, 0)),SUM(VLOOKUP($A113, LS_current!$B$4:$AY$138, LS_current!V$148, FALSE), VLOOKUP($A113, LS_current!$B$4:$AY$138,LS_current!V$148, FALSE))/2)</f>
        <v>-9600</v>
      </c>
      <c r="CS113" s="227">
        <f t="array" ref="CS113">IF($BU113=0, INDEX(LS_current!$D$4:$AY$138, MATCH('Staging Table'!$A113, LS_current!$B$4:$B$138, 0), MATCH(CS$4&amp;CS$5, LS_current!$D$2:$AY$2&amp;LS_current!$D$3:$AY$3, 0)),SUM(VLOOKUP($A113, LS_current!$B$4:$AY$138, LS_current!W$148, FALSE), VLOOKUP($A113, LS_current!$B$4:$AY$138,LS_current!W$148, FALSE))/2)</f>
        <v>1070</v>
      </c>
      <c r="CT113" s="227">
        <f t="array" ref="CT113">IF($BU113=0, INDEX(LS_current!$D$4:$AY$138, MATCH('Staging Table'!$A113, LS_current!$B$4:$B$138, 0), MATCH(CT$4&amp;CT$5, LS_current!$D$2:$AY$2&amp;LS_current!$D$3:$AY$3, 0)),SUM(VLOOKUP($A113, LS_current!$B$4:$AY$138, LS_current!X$148, FALSE), VLOOKUP($A113, LS_current!$B$4:$AY$138,LS_current!X$148, FALSE))/2)</f>
        <v>-7933</v>
      </c>
      <c r="CU113" s="227">
        <f t="array" ref="CU113">IF($BU113=0, INDEX(LS_current!$D$4:$AY$138, MATCH('Staging Table'!$A113, LS_current!$B$4:$B$138, 0), MATCH(CU$4&amp;CU$5, LS_current!$D$2:$AY$2&amp;LS_current!$D$3:$AY$3, 0)),SUM(VLOOKUP($A113, LS_current!$B$4:$AY$138, LS_current!Y$148, FALSE), VLOOKUP($A113, LS_current!$B$4:$AY$138,LS_current!Y$148, FALSE))/2)</f>
        <v>1652</v>
      </c>
      <c r="CV113" s="227">
        <f t="array" ref="CV113">IF($BU113=0, INDEX(LS_current!$D$4:$AY$138, MATCH('Staging Table'!$A113, LS_current!$B$4:$B$138, 0), MATCH(CV$4&amp;CV$5, LS_current!$D$2:$AY$2&amp;LS_current!$D$3:$AY$3, 0)),SUM(VLOOKUP($A113, LS_current!$B$4:$AY$138, LS_current!Z$148, FALSE), VLOOKUP($A113, LS_current!$B$4:$AY$138,LS_current!Z$148, FALSE))/2)</f>
        <v>-4854</v>
      </c>
      <c r="CW113" s="227">
        <f t="array" ref="CW113">IF($BU113=0, INDEX(LS_current!$D$4:$AY$138, MATCH('Staging Table'!$A113, LS_current!$B$4:$B$138, 0), MATCH(CW$4&amp;CW$5, LS_current!$D$2:$AY$2&amp;LS_current!$D$3:$AY$3, 0)),SUM(VLOOKUP($A113, LS_current!$B$4:$AY$138, LS_current!AA$148, FALSE), VLOOKUP($A113, LS_current!$B$4:$AY$138,LS_current!AA$148, FALSE))/2)</f>
        <v>-1390</v>
      </c>
      <c r="CX113" s="229">
        <f t="array" ref="CX113">INDEX(Demand_current!$D$4:$AY$138, MATCH($A113, Demand_current!$B$4:$B$138, 0), MATCH(CX$4&amp;CX$5,Demand_current!$D$2:$AY$2&amp;Demand_current!$D$3:$AY$3, 0))/1000</f>
        <v>9.2620000000000005</v>
      </c>
      <c r="CY113" s="229">
        <f t="array" ref="CY113">INDEX(Demand_current!$D$4:$AY$138, MATCH($A113, Demand_current!$B$4:$B$138, 0), MATCH(CY$4&amp;CY$5,Demand_current!$D$2:$AY$2&amp;Demand_current!$D$3:$AY$3, 0))/1000</f>
        <v>18.672000000000001</v>
      </c>
      <c r="CZ113" s="229">
        <f t="array" ref="CZ113">INDEX(Demand_current!$D$4:$AY$138, MATCH($A113, Demand_current!$B$4:$B$138, 0), MATCH(CZ$4&amp;CZ$5,Demand_current!$D$2:$AY$2&amp;Demand_current!$D$3:$AY$3, 0))/1000</f>
        <v>21.5</v>
      </c>
      <c r="DA113" s="229">
        <f t="array" ref="DA113">INDEX(Demand_current!$D$4:$AY$138, MATCH($A113, Demand_current!$B$4:$B$138, 0), MATCH(DA$4&amp;DA$5,Demand_current!$D$2:$AY$2&amp;Demand_current!$D$3:$AY$3, 0))/1000</f>
        <v>21.19</v>
      </c>
      <c r="DB113" s="229">
        <f t="array" ref="DB113">INDEX(Demand_current!$D$4:$AY$138, MATCH($A113, Demand_current!$B$4:$B$138, 0), MATCH(DB$4&amp;DB$5,Demand_current!$D$2:$AY$2&amp;Demand_current!$D$3:$AY$3, 0))/1000</f>
        <v>11.362</v>
      </c>
      <c r="DC113" s="229">
        <f t="array" ref="DC113">INDEX(Demand_current!$D$4:$AY$138, MATCH($A113, Demand_current!$B$4:$B$138, 0), MATCH(DC$4&amp;DC$5,Demand_current!$D$2:$AY$2&amp;Demand_current!$D$3:$AY$3, 0))/1000</f>
        <v>21.163</v>
      </c>
      <c r="DD113" s="229">
        <f t="array" ref="DD113">INDEX(Demand_current!$D$4:$AY$138, MATCH($A113, Demand_current!$B$4:$B$138, 0), MATCH(DD$4&amp;DD$5,Demand_current!$D$2:$AY$2&amp;Demand_current!$D$3:$AY$3, 0))/1000</f>
        <v>13.026</v>
      </c>
      <c r="DE113" s="229">
        <f t="array" ref="DE113">INDEX(Demand_current!$D$4:$AY$138, MATCH($A113, Demand_current!$B$4:$B$138, 0), MATCH(DE$4&amp;DE$5,Demand_current!$D$2:$AY$2&amp;Demand_current!$D$3:$AY$3, 0))/1000</f>
        <v>3.875</v>
      </c>
      <c r="DF113" s="229">
        <f t="array" ref="DF113">INDEX(Demand_current!$D$4:$AY$138, MATCH($A113, Demand_current!$B$4:$B$138, 0), MATCH(DF$4&amp;DF$5,Demand_current!$D$2:$AY$2&amp;Demand_current!$D$3:$AY$3, 0))/1000</f>
        <v>14.53</v>
      </c>
      <c r="DG113" s="229">
        <f t="array" ref="DG113">INDEX(Demand_current!$D$4:$AY$138, MATCH($A113, Demand_current!$B$4:$B$138, 0), MATCH(DG$4&amp;DG$5,Demand_current!$D$2:$AY$2&amp;Demand_current!$D$3:$AY$3, 0))/1000</f>
        <v>14.271000000000001</v>
      </c>
      <c r="DH113" s="229">
        <f t="array" ref="DH113">INDEX(Demand_current!$D$4:$AY$138, MATCH($A113, Demand_current!$B$4:$B$138, 0), MATCH(DH$4&amp;DH$5,Demand_current!$D$2:$AY$2&amp;Demand_current!$D$3:$AY$3, 0))/1000</f>
        <v>18.375</v>
      </c>
      <c r="DI113" s="229">
        <f t="array" ref="DI113">INDEX(Demand_current!$D$4:$AY$138, MATCH($A113, Demand_current!$B$4:$B$138, 0), MATCH(DI$4&amp;DI$5,Demand_current!$D$2:$AY$2&amp;Demand_current!$D$3:$AY$3, 0))/1000</f>
        <v>20.088999999999999</v>
      </c>
      <c r="DJ113" s="227">
        <f>$BT113*(VLOOKUP(DJ$4, Rates_current!$G$6:$Q$29, 10, FALSE)+VLOOKUP(DJ$4, Rates_current!$G$6:$Q$29, 11, FALSE))</f>
        <v>62327.317901925591</v>
      </c>
      <c r="DK113" s="227">
        <f>$BT113*(VLOOKUP(DK$4, Rates_current!$G$6:$Q$29, 10, FALSE)+VLOOKUP(DK$4, Rates_current!$G$6:$Q$29, 11, FALSE))</f>
        <v>79175.137119965395</v>
      </c>
      <c r="DL113" s="227">
        <f>$BT113*(VLOOKUP(DL$4, Rates_current!$G$6:$Q$29, 10, FALSE)+VLOOKUP(DL$4, Rates_current!$G$6:$Q$29, 11, FALSE))</f>
        <v>78218.990205725597</v>
      </c>
      <c r="DM113" s="227">
        <f>$BT113*(VLOOKUP(DM$4, Rates_current!$G$6:$Q$29, 10, FALSE)+VLOOKUP(DM$4, Rates_current!$G$6:$Q$29, 11, FALSE))</f>
        <v>65200.292432925606</v>
      </c>
      <c r="DN113" s="227">
        <f>$BT113*(VLOOKUP(DN$4, Rates_current!$G$6:$Q$29, 10, FALSE)+VLOOKUP(DN$4, Rates_current!$G$6:$Q$29, 11, FALSE))</f>
        <v>59064.700936479996</v>
      </c>
      <c r="DO113" s="227">
        <f>$BT113*(VLOOKUP(DO$4, Rates_current!$G$6:$Q$29, 10, FALSE)+VLOOKUP(DO$4, Rates_current!$G$6:$Q$29, 11, FALSE))</f>
        <v>65698.711243188198</v>
      </c>
      <c r="DP113" s="227">
        <f>$BT113*(VLOOKUP(DP$4, Rates_current!$G$6:$Q$29, 10, FALSE)+VLOOKUP(DP$4, Rates_current!$G$6:$Q$29, 11, FALSE))</f>
        <v>53491.961590127998</v>
      </c>
      <c r="DQ113" s="227">
        <f>$BT113*(VLOOKUP(DQ$4, Rates_current!$G$6:$Q$29, 10, FALSE)+VLOOKUP(DQ$4, Rates_current!$G$6:$Q$29, 11, FALSE))</f>
        <v>72141.886739225607</v>
      </c>
      <c r="DR113" s="227">
        <f>$BT113*(VLOOKUP(DR$4, Rates_current!$G$6:$Q$29, 10, FALSE)+VLOOKUP(DR$4, Rates_current!$G$6:$Q$29, 11, FALSE))</f>
        <v>92048.141006828009</v>
      </c>
      <c r="DS113" s="227">
        <f>$BT113*(VLOOKUP(DS$4, Rates_current!$G$6:$Q$29, 10, FALSE)+VLOOKUP(DS$4, Rates_current!$G$6:$Q$29, 11, FALSE))</f>
        <v>72168.661212325605</v>
      </c>
      <c r="DT113" s="227">
        <f>$BT113*(VLOOKUP(DT$4, Rates_current!$G$6:$Q$29, 10, FALSE)+VLOOKUP(DT$4, Rates_current!$G$6:$Q$29, 11, FALSE))</f>
        <v>70277.905561025604</v>
      </c>
      <c r="DU113" s="227">
        <f>$BT113*(VLOOKUP(DU$4, Rates_current!$G$6:$Q$29, 10, FALSE)+VLOOKUP(DU$4, Rates_current!$G$6:$Q$29, 11, FALSE))</f>
        <v>63094.609156728002</v>
      </c>
      <c r="DV113" s="229">
        <f>IF(D113=0,IF(C113=0,MAX(0,DY113 - (VLOOKUP($A113,TOCA_current!$A$2:$AI$137,MATCH("RHWM 2020",TOCA_current!$A$2:$AI$2,0),FALSE)*$BT$2)), 0),0)</f>
        <v>0</v>
      </c>
      <c r="DW113" s="266">
        <f>VLOOKUP($A113,REP_current!$A$1:$D$135,MATCH("FY "&amp;$BT$1&amp; " Total Refund",REP_current!$A$1:$D$1,0),0)</f>
        <v>0</v>
      </c>
      <c r="DX113" s="295">
        <f>MIN(VLOOKUP($A113,TOCA_current!$A$2:$AI$137,MATCH("TRL - NLSL - Existing Resource "&amp;$BT$1,TOCA_current!$A$2:$AI$2,0),FALSE)*$BT$2, VLOOKUP($A113,TOCA_current!$A$2:$AI$137,MATCH("RHWM 2020",TOCA_current!$A$2:$AI$2,0),FALSE)*$BT$2)</f>
        <v>832907.66399999999</v>
      </c>
      <c r="DY113" s="240">
        <f>SUM(BZ113:CW113)+(BT113*RT1SC!$C$4*$BT$2)</f>
        <v>832537.34636922868</v>
      </c>
      <c r="DZ113" s="271">
        <f>VLOOKUP($A113,TOCA_current!$A$2:$AI$137,MATCH("Above RHWM Not Served with LS "&amp;$BT$1,TOCA_current!$A$2:$AI$2,0),FALSE)*$BT$2</f>
        <v>0</v>
      </c>
      <c r="EA113" s="244">
        <f t="shared" si="29"/>
        <v>-370.31763077131473</v>
      </c>
      <c r="EB113" s="295">
        <f>(VLOOKUP($A113,TOCA_current!$A$2:$AI$137,MATCH("RHWM 2020",TOCA_current!$A$2:$AI$2,0),FALSE)*$BT$2) - $DX113</f>
        <v>47011.967999999993</v>
      </c>
      <c r="EC113" s="240">
        <f t="shared" si="30"/>
        <v>0</v>
      </c>
      <c r="ED113" s="240">
        <f t="shared" si="31"/>
        <v>370.31763077131473</v>
      </c>
      <c r="EE113" s="240">
        <f t="shared" si="32"/>
        <v>0</v>
      </c>
      <c r="EF113" s="240">
        <f t="shared" si="33"/>
        <v>370.31763077131473</v>
      </c>
    </row>
    <row r="114" spans="1:136">
      <c r="A114" s="166">
        <v>10369</v>
      </c>
      <c r="B114" s="167" t="s">
        <v>115</v>
      </c>
      <c r="C114" s="240">
        <v>0</v>
      </c>
      <c r="D114" s="240">
        <v>0</v>
      </c>
      <c r="E114" s="150">
        <f>VLOOKUP($A114,TOCA_previous!$A$2:$AI$137,MATCH(E$4,TOCA_previous!$A$2:$AI$2,0),FALSE)</f>
        <v>2.3281E-3</v>
      </c>
      <c r="F114" s="151">
        <f>VLOOKUP($A114,TOCA_previous!$A$2:$AI$137,MATCH(F$4,TOCA_previous!$A$2:$AI$2,0),FALSE)</f>
        <v>2.3281E-3</v>
      </c>
      <c r="G114" s="151">
        <f t="shared" si="18"/>
        <v>0</v>
      </c>
      <c r="H114" s="151">
        <f>VLOOKUP($A114,TOCA_previous!$A$2:$AI$137,MATCH(H$4,TOCA_previous!$A$2:$AI$2,0),FALSE)</f>
        <v>7.3061000000000001E-2</v>
      </c>
      <c r="I114" s="151">
        <f t="shared" si="19"/>
        <v>0</v>
      </c>
      <c r="J114" s="151">
        <f t="shared" si="20"/>
        <v>0</v>
      </c>
      <c r="K114" s="226">
        <f>VLOOKUP(A114, IRD!$A$5:$C$139, 3, FALSE)</f>
        <v>46210.901000000005</v>
      </c>
      <c r="L114" s="227">
        <f t="array" ref="L114">IF($G114=0, INDEX(LS_previous!$D$4:$AY$138, MATCH('Staging Table'!$A114, LS_previous!$B$4:$B$138, 0), MATCH(L$4&amp;L$5, LS_previous!$D$2:$AY$2&amp;LS_previous!$D$3:$AY$3, 0)),SUM(VLOOKUP($A114, LS_previous!$B$4:$AY$138, LS_previous!D$149, FALSE), VLOOKUP('Staging Table'!$A114, LS_previous!$B$4:$AY$138,LS_previous!AB$149, FALSE))/2)</f>
        <v>-2031</v>
      </c>
      <c r="M114" s="227">
        <f t="array" ref="M114">IF($G114=0, INDEX(LS_previous!$D$4:$AY$138, MATCH('Staging Table'!$A114, LS_previous!$B$4:$B$138, 0), MATCH(M$4&amp;M$5, LS_previous!$D$2:$AY$2&amp;LS_previous!$D$3:$AY$3, 0)),SUM(VLOOKUP($A114, LS_previous!$B$4:$AY$138, LS_previous!E$149, FALSE), VLOOKUP('Staging Table'!$A114, LS_previous!$B$4:$AY$138,LS_previous!AC$149, FALSE))/2)</f>
        <v>-690</v>
      </c>
      <c r="N114" s="227">
        <f t="array" ref="N114">IF($G114=0, INDEX(LS_previous!$D$4:$AY$138, MATCH('Staging Table'!$A114, LS_previous!$B$4:$B$138, 0), MATCH(N$4&amp;N$5, LS_previous!$D$2:$AY$2&amp;LS_previous!$D$3:$AY$3, 0)),SUM(VLOOKUP($A114, LS_previous!$B$4:$AY$138, LS_previous!F$149, FALSE), VLOOKUP('Staging Table'!$A114, LS_previous!$B$4:$AY$138,LS_previous!AD$149, FALSE))/2)</f>
        <v>-4303</v>
      </c>
      <c r="O114" s="227">
        <f t="array" ref="O114">IF($G114=0, INDEX(LS_previous!$D$4:$AY$138, MATCH('Staging Table'!$A114, LS_previous!$B$4:$B$138, 0), MATCH(O$4&amp;O$5, LS_previous!$D$2:$AY$2&amp;LS_previous!$D$3:$AY$3, 0)),SUM(VLOOKUP($A114, LS_previous!$B$4:$AY$138, LS_previous!G$149, FALSE), VLOOKUP('Staging Table'!$A114, LS_previous!$B$4:$AY$138,LS_previous!AE$149, FALSE))/2)</f>
        <v>-1970</v>
      </c>
      <c r="P114" s="227">
        <f t="array" ref="P114">IF($G114=0, INDEX(LS_previous!$D$4:$AY$138, MATCH('Staging Table'!$A114, LS_previous!$B$4:$B$138, 0), MATCH(P$4&amp;P$5, LS_previous!$D$2:$AY$2&amp;LS_previous!$D$3:$AY$3, 0)),SUM(VLOOKUP($A114, LS_previous!$B$4:$AY$138, LS_previous!H$149, FALSE), VLOOKUP('Staging Table'!$A114, LS_previous!$B$4:$AY$138,LS_previous!AF$149, FALSE))/2)</f>
        <v>-3161</v>
      </c>
      <c r="Q114" s="227">
        <f t="array" ref="Q114">IF($G114=0, INDEX(LS_previous!$D$4:$AY$138, MATCH('Staging Table'!$A114, LS_previous!$B$4:$B$138, 0), MATCH(Q$4&amp;Q$5, LS_previous!$D$2:$AY$2&amp;LS_previous!$D$3:$AY$3, 0)),SUM(VLOOKUP($A114, LS_previous!$B$4:$AY$138, LS_previous!I$149, FALSE), VLOOKUP('Staging Table'!$A114, LS_previous!$B$4:$AY$138,LS_previous!AG$149, FALSE))/2)</f>
        <v>-1029</v>
      </c>
      <c r="R114" s="227">
        <f t="array" ref="R114">IF($G114=0, INDEX(LS_previous!$D$4:$AY$138, MATCH('Staging Table'!$A114, LS_previous!$B$4:$B$138, 0), MATCH(R$4&amp;R$5, LS_previous!$D$2:$AY$2&amp;LS_previous!$D$3:$AY$3, 0)),SUM(VLOOKUP($A114, LS_previous!$B$4:$AY$138, LS_previous!J$149, FALSE), VLOOKUP('Staging Table'!$A114, LS_previous!$B$4:$AY$138,LS_previous!AH$149, FALSE))/2)</f>
        <v>-1376</v>
      </c>
      <c r="S114" s="227">
        <f t="array" ref="S114">IF($G114=0, INDEX(LS_previous!$D$4:$AY$138, MATCH('Staging Table'!$A114, LS_previous!$B$4:$B$138, 0), MATCH(S$4&amp;S$5, LS_previous!$D$2:$AY$2&amp;LS_previous!$D$3:$AY$3, 0)),SUM(VLOOKUP($A114, LS_previous!$B$4:$AY$138, LS_previous!K$149, FALSE), VLOOKUP('Staging Table'!$A114, LS_previous!$B$4:$AY$138,LS_previous!AI$149, FALSE))/2)</f>
        <v>-274</v>
      </c>
      <c r="T114" s="227">
        <f t="array" ref="T114">IF($G114=0, INDEX(LS_previous!$D$4:$AY$138, MATCH('Staging Table'!$A114, LS_previous!$B$4:$B$138, 0), MATCH(T$4&amp;T$5, LS_previous!$D$2:$AY$2&amp;LS_previous!$D$3:$AY$3, 0)),SUM(VLOOKUP($A114, LS_previous!$B$4:$AY$138, LS_previous!L$149, FALSE), VLOOKUP('Staging Table'!$A114, LS_previous!$B$4:$AY$138,LS_previous!AJ$149, FALSE))/2)</f>
        <v>-1513</v>
      </c>
      <c r="U114" s="227">
        <f t="array" ref="U114">IF($G114=0, INDEX(LS_previous!$D$4:$AY$138, MATCH('Staging Table'!$A114, LS_previous!$B$4:$B$138, 0), MATCH(U$4&amp;U$5, LS_previous!$D$2:$AY$2&amp;LS_previous!$D$3:$AY$3, 0)),SUM(VLOOKUP($A114, LS_previous!$B$4:$AY$138, LS_previous!M$149, FALSE), VLOOKUP('Staging Table'!$A114, LS_previous!$B$4:$AY$138,LS_previous!AK$149, FALSE))/2)</f>
        <v>-470</v>
      </c>
      <c r="V114" s="227">
        <f t="array" ref="V114">IF($G114=0, INDEX(LS_previous!$D$4:$AY$138, MATCH('Staging Table'!$A114, LS_previous!$B$4:$B$138, 0), MATCH(V$4&amp;V$5, LS_previous!$D$2:$AY$2&amp;LS_previous!$D$3:$AY$3, 0)),SUM(VLOOKUP($A114, LS_previous!$B$4:$AY$138, LS_previous!N$149, FALSE), VLOOKUP('Staging Table'!$A114, LS_previous!$B$4:$AY$138,LS_previous!AL$149, FALSE))/2)</f>
        <v>-2684</v>
      </c>
      <c r="W114" s="227">
        <f t="array" ref="W114">IF($G114=0, INDEX(LS_previous!$D$4:$AY$138, MATCH('Staging Table'!$A114, LS_previous!$B$4:$B$138, 0), MATCH(W$4&amp;W$5, LS_previous!$D$2:$AY$2&amp;LS_previous!$D$3:$AY$3, 0)),SUM(VLOOKUP($A114, LS_previous!$B$4:$AY$138, LS_previous!O$149, FALSE), VLOOKUP('Staging Table'!$A114, LS_previous!$B$4:$AY$138,LS_previous!AM$149, FALSE))/2)</f>
        <v>-951</v>
      </c>
      <c r="X114" s="227">
        <f t="array" ref="X114">IF($G114=0, INDEX(LS_previous!$D$4:$AY$138, MATCH('Staging Table'!$A114, LS_previous!$B$4:$B$138, 0), MATCH(X$4&amp;X$5, LS_previous!$D$2:$AY$2&amp;LS_previous!$D$3:$AY$3, 0)),SUM(VLOOKUP($A114, LS_previous!$B$4:$AY$138, LS_previous!P$149, FALSE), VLOOKUP('Staging Table'!$A114, LS_previous!$B$4:$AY$138,LS_previous!AN$149, FALSE))/2)</f>
        <v>-1269</v>
      </c>
      <c r="Y114" s="227">
        <f t="array" ref="Y114">IF($G114=0, INDEX(LS_previous!$D$4:$AY$138, MATCH('Staging Table'!$A114, LS_previous!$B$4:$B$138, 0), MATCH(Y$4&amp;Y$5, LS_previous!$D$2:$AY$2&amp;LS_previous!$D$3:$AY$3, 0)),SUM(VLOOKUP($A114, LS_previous!$B$4:$AY$138, LS_previous!Q$149, FALSE), VLOOKUP('Staging Table'!$A114, LS_previous!$B$4:$AY$138,LS_previous!AO$149, FALSE))/2)</f>
        <v>-211</v>
      </c>
      <c r="Z114" s="227">
        <f t="array" ref="Z114">IF($G114=0, INDEX(LS_previous!$D$4:$AY$138, MATCH('Staging Table'!$A114, LS_previous!$B$4:$B$138, 0), MATCH(Z$4&amp;Z$5, LS_previous!$D$2:$AY$2&amp;LS_previous!$D$3:$AY$3, 0)),SUM(VLOOKUP($A114, LS_previous!$B$4:$AY$138, LS_previous!R$149, FALSE), VLOOKUP('Staging Table'!$A114, LS_previous!$B$4:$AY$138,LS_previous!AP$149, FALSE))/2)</f>
        <v>-1771</v>
      </c>
      <c r="AA114" s="227">
        <f t="array" ref="AA114">IF($G114=0, INDEX(LS_previous!$D$4:$AY$138, MATCH('Staging Table'!$A114, LS_previous!$B$4:$B$138, 0), MATCH(AA$4&amp;AA$5, LS_previous!$D$2:$AY$2&amp;LS_previous!$D$3:$AY$3, 0)),SUM(VLOOKUP($A114, LS_previous!$B$4:$AY$138, LS_previous!S$149, FALSE), VLOOKUP('Staging Table'!$A114, LS_previous!$B$4:$AY$138,LS_previous!AQ$149, FALSE))/2)</f>
        <v>719</v>
      </c>
      <c r="AB114" s="227">
        <f t="array" ref="AB114">IF($G114=0, INDEX(LS_previous!$D$4:$AY$138, MATCH('Staging Table'!$A114, LS_previous!$B$4:$B$138, 0), MATCH(AB$4&amp;AB$5, LS_previous!$D$2:$AY$2&amp;LS_previous!$D$3:$AY$3, 0)),SUM(VLOOKUP($A114, LS_previous!$B$4:$AY$138, LS_previous!T$149, FALSE), VLOOKUP('Staging Table'!$A114, LS_previous!$B$4:$AY$138,LS_previous!AR$149, FALSE))/2)</f>
        <v>2340</v>
      </c>
      <c r="AC114" s="227">
        <f t="array" ref="AC114">IF($G114=0, INDEX(LS_previous!$D$4:$AY$138, MATCH('Staging Table'!$A114, LS_previous!$B$4:$B$138, 0), MATCH(AC$4&amp;AC$5, LS_previous!$D$2:$AY$2&amp;LS_previous!$D$3:$AY$3, 0)),SUM(VLOOKUP($A114, LS_previous!$B$4:$AY$138, LS_previous!U$149, FALSE), VLOOKUP('Staging Table'!$A114, LS_previous!$B$4:$AY$138,LS_previous!AS$149, FALSE))/2)</f>
        <v>2537</v>
      </c>
      <c r="AD114" s="227">
        <f t="array" ref="AD114">IF($G114=0, INDEX(LS_previous!$D$4:$AY$138, MATCH('Staging Table'!$A114, LS_previous!$B$4:$B$138, 0), MATCH(AD$4&amp;AD$5, LS_previous!$D$2:$AY$2&amp;LS_previous!$D$3:$AY$3, 0)),SUM(VLOOKUP($A114, LS_previous!$B$4:$AY$138, LS_previous!V$149, FALSE), VLOOKUP('Staging Table'!$A114, LS_previous!$B$4:$AY$138,LS_previous!AT$149, FALSE))/2)</f>
        <v>6178</v>
      </c>
      <c r="AE114" s="227">
        <f t="array" ref="AE114">IF($G114=0, INDEX(LS_previous!$D$4:$AY$138, MATCH('Staging Table'!$A114, LS_previous!$B$4:$B$138, 0), MATCH(AE$4&amp;AE$5, LS_previous!$D$2:$AY$2&amp;LS_previous!$D$3:$AY$3, 0)),SUM(VLOOKUP($A114, LS_previous!$B$4:$AY$138, LS_previous!W$149, FALSE), VLOOKUP('Staging Table'!$A114, LS_previous!$B$4:$AY$138,LS_previous!AU$149, FALSE))/2)</f>
        <v>5781</v>
      </c>
      <c r="AF114" s="227">
        <f t="array" ref="AF114">IF($G114=0, INDEX(LS_previous!$D$4:$AY$138, MATCH('Staging Table'!$A114, LS_previous!$B$4:$B$138, 0), MATCH(AF$4&amp;AF$5, LS_previous!$D$2:$AY$2&amp;LS_previous!$D$3:$AY$3, 0)),SUM(VLOOKUP($A114, LS_previous!$B$4:$AY$138, LS_previous!X$149, FALSE), VLOOKUP('Staging Table'!$A114, LS_previous!$B$4:$AY$138,LS_previous!AV$149, FALSE))/2)</f>
        <v>5086</v>
      </c>
      <c r="AG114" s="227">
        <f t="array" ref="AG114">IF($G114=0, INDEX(LS_previous!$D$4:$AY$138, MATCH('Staging Table'!$A114, LS_previous!$B$4:$B$138, 0), MATCH(AG$4&amp;AG$5, LS_previous!$D$2:$AY$2&amp;LS_previous!$D$3:$AY$3, 0)),SUM(VLOOKUP($A114, LS_previous!$B$4:$AY$138, LS_previous!Y$149, FALSE), VLOOKUP('Staging Table'!$A114, LS_previous!$B$4:$AY$138,LS_previous!AW$149, FALSE))/2)</f>
        <v>5513</v>
      </c>
      <c r="AH114" s="227">
        <f t="array" ref="AH114">IF($G114=0, INDEX(LS_previous!$D$4:$AY$138, MATCH('Staging Table'!$A114, LS_previous!$B$4:$B$138, 0), MATCH(AH$4&amp;AH$5, LS_previous!$D$2:$AY$2&amp;LS_previous!$D$3:$AY$3, 0)),SUM(VLOOKUP($A114, LS_previous!$B$4:$AY$138, LS_previous!Z$149, FALSE), VLOOKUP('Staging Table'!$A114, LS_previous!$B$4:$AY$138,LS_previous!AX$149, FALSE))/2)</f>
        <v>1850</v>
      </c>
      <c r="AI114" s="227">
        <f t="array" ref="AI114">IF($G114=0, INDEX(LS_previous!$D$4:$AY$138, MATCH('Staging Table'!$A114, LS_previous!$B$4:$B$138, 0), MATCH(AI$4&amp;AI$5, LS_previous!$D$2:$AY$2&amp;LS_previous!$D$3:$AY$3, 0)),SUM(VLOOKUP($A114, LS_previous!$B$4:$AY$138, LS_previous!AA$149, FALSE), VLOOKUP('Staging Table'!$A114, LS_previous!$B$4:$AY$138,LS_previous!AY$149, FALSE))/2)</f>
        <v>2429</v>
      </c>
      <c r="AJ114" s="424">
        <f t="array" ref="AJ114">INDEX(Demand_previous!$D$4:$AY$138, MATCH('Staging Table'!$A114, Demand_previous!$B$4:$B$138, 0), MATCH(AJ$4&amp;AJ$5,Demand_previous!$D$2:$AY$2&amp;Demand_previous!$D$3:$AY$3, 0))/1000</f>
        <v>2.1269999999999998</v>
      </c>
      <c r="AK114" s="424">
        <f t="array" ref="AK114">INDEX(Demand_previous!$D$4:$AY$138, MATCH('Staging Table'!$A114, Demand_previous!$B$4:$B$138, 0), MATCH(AK$4&amp;AK$5,Demand_previous!$D$2:$AY$2&amp;Demand_previous!$D$3:$AY$3, 0))/1000</f>
        <v>0.45</v>
      </c>
      <c r="AL114" s="424">
        <f t="array" ref="AL114">INDEX(Demand_previous!$D$4:$AY$138, MATCH('Staging Table'!$A114, Demand_previous!$B$4:$B$138, 0), MATCH(AL$4&amp;AL$5,Demand_previous!$D$2:$AY$2&amp;Demand_previous!$D$3:$AY$3, 0))/1000</f>
        <v>2.2549999999999999</v>
      </c>
      <c r="AM114" s="424">
        <f t="array" ref="AM114">INDEX(Demand_previous!$D$4:$AY$138, MATCH('Staging Table'!$A114, Demand_previous!$B$4:$B$138, 0), MATCH(AM$4&amp;AM$5,Demand_previous!$D$2:$AY$2&amp;Demand_previous!$D$3:$AY$3, 0))/1000</f>
        <v>2.3159999999999998</v>
      </c>
      <c r="AN114" s="424">
        <f t="array" ref="AN114">INDEX(Demand_previous!$D$4:$AY$138, MATCH('Staging Table'!$A114, Demand_previous!$B$4:$B$138, 0), MATCH(AN$4&amp;AN$5,Demand_previous!$D$2:$AY$2&amp;Demand_previous!$D$3:$AY$3, 0))/1000</f>
        <v>0.54900000000000004</v>
      </c>
      <c r="AO114" s="424">
        <f t="array" ref="AO114">INDEX(Demand_previous!$D$4:$AY$138, MATCH('Staging Table'!$A114, Demand_previous!$B$4:$B$138, 0), MATCH(AO$4&amp;AO$5,Demand_previous!$D$2:$AY$2&amp;Demand_previous!$D$3:$AY$3, 0))/1000</f>
        <v>1.863</v>
      </c>
      <c r="AP114" s="424">
        <f t="array" ref="AP114">INDEX(Demand_previous!$D$4:$AY$138, MATCH('Staging Table'!$A114, Demand_previous!$B$4:$B$138, 0), MATCH(AP$4&amp;AP$5,Demand_previous!$D$2:$AY$2&amp;Demand_previous!$D$3:$AY$3, 0))/1000</f>
        <v>2.6869999999999998</v>
      </c>
      <c r="AQ114" s="424">
        <f t="array" ref="AQ114">INDEX(Demand_previous!$D$4:$AY$138, MATCH('Staging Table'!$A114, Demand_previous!$B$4:$B$138, 0), MATCH(AQ$4&amp;AQ$5,Demand_previous!$D$2:$AY$2&amp;Demand_previous!$D$3:$AY$3, 0))/1000</f>
        <v>2.6539999999999999</v>
      </c>
      <c r="AR114" s="424">
        <f t="array" ref="AR114">INDEX(Demand_previous!$D$4:$AY$138, MATCH('Staging Table'!$A114, Demand_previous!$B$4:$B$138, 0), MATCH(AR$4&amp;AR$5,Demand_previous!$D$2:$AY$2&amp;Demand_previous!$D$3:$AY$3, 0))/1000</f>
        <v>0.88300000000000001</v>
      </c>
      <c r="AS114" s="424">
        <f t="array" ref="AS114">INDEX(Demand_previous!$D$4:$AY$138, MATCH('Staging Table'!$A114, Demand_previous!$B$4:$B$138, 0), MATCH(AS$4&amp;AS$5,Demand_previous!$D$2:$AY$2&amp;Demand_previous!$D$3:$AY$3, 0))/1000</f>
        <v>2.851</v>
      </c>
      <c r="AT114" s="424">
        <f t="array" ref="AT114">INDEX(Demand_previous!$D$4:$AY$138, MATCH('Staging Table'!$A114, Demand_previous!$B$4:$B$138, 0), MATCH(AT$4&amp;AT$5,Demand_previous!$D$2:$AY$2&amp;Demand_previous!$D$3:$AY$3, 0))/1000</f>
        <v>5.95</v>
      </c>
      <c r="AU114" s="424">
        <f t="array" ref="AU114">INDEX(Demand_previous!$D$4:$AY$138, MATCH('Staging Table'!$A114, Demand_previous!$B$4:$B$138, 0), MATCH(AU$4&amp;AU$5,Demand_previous!$D$2:$AY$2&amp;Demand_previous!$D$3:$AY$3, 0))/1000</f>
        <v>1.4</v>
      </c>
      <c r="AV114" s="227">
        <f>$F114*(VLOOKUP(AV$4, Rates_previous!$G$6:$Q$29, 10, FALSE)+VLOOKUP(AV$4, Rates_previous!$G$6:$Q$29, 11, FALSE))</f>
        <v>10916.083194618994</v>
      </c>
      <c r="AW114" s="227">
        <f>$F114*(VLOOKUP(AW$4, Rates_previous!$G$6:$Q$29, 10, FALSE)+VLOOKUP(AW$4, Rates_previous!$G$6:$Q$29, 11, FALSE))</f>
        <v>13491.449162257833</v>
      </c>
      <c r="AX114" s="227">
        <f>$F114*(VLOOKUP(AX$4, Rates_previous!$G$6:$Q$29, 10, FALSE)+VLOOKUP(AX$4, Rates_previous!$G$6:$Q$29, 11, FALSE))</f>
        <v>13329.432994371744</v>
      </c>
      <c r="AY114" s="227">
        <f>$F114*(VLOOKUP(AY$4, Rates_previous!$G$6:$Q$29, 10, FALSE)+VLOOKUP(AY$4, Rates_previous!$G$6:$Q$29, 11, FALSE))</f>
        <v>11388.729988893996</v>
      </c>
      <c r="AZ114" s="227">
        <f>$F114*(VLOOKUP(AZ$4, Rates_previous!$G$6:$Q$29, 10, FALSE)+VLOOKUP(AZ$4, Rates_previous!$G$6:$Q$29, 11, FALSE))</f>
        <v>9336.5495058638262</v>
      </c>
      <c r="BA114" s="227">
        <f>$F114*(VLOOKUP(BA$4, Rates_previous!$G$6:$Q$29, 10, FALSE)+VLOOKUP(BA$4, Rates_previous!$G$6:$Q$29, 11, FALSE))</f>
        <v>11054.135479991077</v>
      </c>
      <c r="BB114" s="227">
        <f>$F114*(VLOOKUP(BB$4, Rates_previous!$G$6:$Q$29, 10, FALSE)+VLOOKUP(BB$4, Rates_previous!$G$6:$Q$29, 11, FALSE))</f>
        <v>10624.632118374533</v>
      </c>
      <c r="BC114" s="227">
        <f>$F114*(VLOOKUP(BC$4, Rates_previous!$G$6:$Q$29, 10, FALSE)+VLOOKUP(BC$4, Rates_previous!$G$6:$Q$29, 11, FALSE))</f>
        <v>15590.895805554614</v>
      </c>
      <c r="BD114" s="227">
        <f>$F114*(VLOOKUP(BD$4, Rates_previous!$G$6:$Q$29, 10, FALSE)+VLOOKUP(BD$4, Rates_previous!$G$6:$Q$29, 11, FALSE))</f>
        <v>12300.80471818349</v>
      </c>
      <c r="BE114" s="227">
        <f>$F114*(VLOOKUP(BE$4, Rates_previous!$G$6:$Q$29, 10, FALSE)+VLOOKUP(BE$4, Rates_previous!$G$6:$Q$29, 11, FALSE))</f>
        <v>10801.139017131738</v>
      </c>
      <c r="BF114" s="227">
        <f>$F114*(VLOOKUP(BF$4, Rates_previous!$G$6:$Q$29, 10, FALSE)+VLOOKUP(BF$4, Rates_previous!$G$6:$Q$29, 11, FALSE))</f>
        <v>11962.693806364006</v>
      </c>
      <c r="BG114" s="227">
        <f>$F114*(VLOOKUP(BG$4, Rates_previous!$G$6:$Q$29, 10, FALSE)+VLOOKUP(BG$4, Rates_previous!$G$6:$Q$29, 11, FALSE))</f>
        <v>10837.724862048695</v>
      </c>
      <c r="BH114" s="229">
        <f>IF($D114=0,IF(C114=0, MAX(BK114 - (VLOOKUP($A114,TOCA_previous!$A$2:$AI$137,MATCH("RHWM 2018",TOCA_previous!$A$2:$AI$2,0),FALSE)*$F$2*TOCA_previous!C111),0),0), 0)</f>
        <v>8732.5927199760044</v>
      </c>
      <c r="BI114" s="266">
        <f>VLOOKUP($A114,REP_previous!$A$1:$D$135,MATCH("FY "&amp;$F$1&amp; " Total Refund",REP_previous!$A$1:$D$1,0),0)</f>
        <v>174129.32770838495</v>
      </c>
      <c r="BJ114" s="241">
        <f>MIN(VLOOKUP($A114,TOCA_previous!$A$2:$AI$137,MATCH("TRL - NLSL - Existing Resource "&amp;$F$1,TOCA_previous!$A$2:$AI$2,0),FALSE)*$F$2,(VLOOKUP($A114,TOCA_previous!$A$2:$AI$137,MATCH("RHWM 2018",TOCA_previous!$A$2:$AI$2,0),FALSE)*$F$2))</f>
        <v>141631.67999999999</v>
      </c>
      <c r="BK114" s="229">
        <f>SUM(L114:AI114)+(F114*RT1SC!$C$3*$F$2)</f>
        <v>150364.272719976</v>
      </c>
      <c r="BL114" s="241">
        <f>VLOOKUP($A114,TOCA_previous!$A$2:$AI$137,MATCH("Above RHWM Not Served with LS "&amp;$F$1,TOCA_previous!$A$2:$AI$2,0),FALSE)*$F$2</f>
        <v>0</v>
      </c>
      <c r="BM114" s="151">
        <f t="shared" si="21"/>
        <v>8732.5927199760044</v>
      </c>
      <c r="BN114" s="242">
        <f>(VLOOKUP($A114,TOCA_previous!$A$2:$AI$137,MATCH("RHWM 2018",TOCA_previous!$A$2:$AI$2,0),FALSE)*$F$2) - $BJ114</f>
        <v>0</v>
      </c>
      <c r="BO114" s="151">
        <f t="shared" si="22"/>
        <v>0</v>
      </c>
      <c r="BP114" s="243">
        <f t="shared" si="23"/>
        <v>0</v>
      </c>
      <c r="BQ114" s="237">
        <f t="shared" si="24"/>
        <v>0</v>
      </c>
      <c r="BR114" s="242">
        <f t="shared" si="25"/>
        <v>0</v>
      </c>
      <c r="BS114" s="151">
        <f>VLOOKUP($A114,TOCA_current!$A$2:$AI$137,MATCH(BS$4,TOCA_current!$A$2:$AI$2,0),FALSE)</f>
        <v>2.3268999999999998E-3</v>
      </c>
      <c r="BT114" s="151">
        <f>VLOOKUP($A114,TOCA_current!$A$2:$AI$137,MATCH(BT$4,TOCA_current!$A$2:$AI$2,0),FALSE)</f>
        <v>2.3268999999999998E-3</v>
      </c>
      <c r="BU114" s="236">
        <f t="shared" si="26"/>
        <v>0</v>
      </c>
      <c r="BV114" s="151">
        <f>VLOOKUP($A114,TOCA_current!A110:BG245,MATCH(BV$4,TOCA_current!$A$2:$BG$2,0),FALSE)</f>
        <v>7.7147800000000002E-2</v>
      </c>
      <c r="BW114" s="151">
        <f t="shared" si="27"/>
        <v>0</v>
      </c>
      <c r="BX114" s="151">
        <f t="shared" si="28"/>
        <v>0</v>
      </c>
      <c r="BY114" s="226">
        <f>VLOOKUP($A114,IRD!$A$4:$G$139, 7, FALSE)</f>
        <v>46210.901000000005</v>
      </c>
      <c r="BZ114" s="227">
        <f t="array" ref="BZ114">IF($BU114=0, INDEX(LS_current!$D$4:$AY$138, MATCH('Staging Table'!$A114, LS_current!$B$4:$B$138, 0), MATCH(BZ$4&amp;BZ$5, LS_current!$D$2:$AY$2&amp;LS_current!$D$3:$AY$3, 0)),SUM(VLOOKUP($A114, LS_current!$B$4:$AY$138, LS_current!D$148, FALSE), VLOOKUP($A114, LS_current!$B$4:$AY$138,LS_current!D$148, FALSE))/2)</f>
        <v>-2654</v>
      </c>
      <c r="CA114" s="227">
        <f t="array" ref="CA114">IF($BU114=0, INDEX(LS_current!$D$4:$AY$138, MATCH('Staging Table'!$A114, LS_current!$B$4:$B$138, 0), MATCH(CA$4&amp;CA$5, LS_current!$D$2:$AY$2&amp;LS_current!$D$3:$AY$3, 0)),SUM(VLOOKUP($A114, LS_current!$B$4:$AY$138, LS_current!E$148, FALSE), VLOOKUP($A114, LS_current!$B$4:$AY$138,LS_current!E$148, FALSE))/2)</f>
        <v>-1137</v>
      </c>
      <c r="CB114" s="227">
        <f t="array" ref="CB114">IF($BU114=0, INDEX(LS_current!$D$4:$AY$138, MATCH('Staging Table'!$A114, LS_current!$B$4:$B$138, 0), MATCH(CB$4&amp;CB$5, LS_current!$D$2:$AY$2&amp;LS_current!$D$3:$AY$3, 0)),SUM(VLOOKUP($A114, LS_current!$B$4:$AY$138, LS_current!F$148, FALSE), VLOOKUP($A114, LS_current!$B$4:$AY$138,LS_current!F$148, FALSE))/2)</f>
        <v>-5026</v>
      </c>
      <c r="CC114" s="227">
        <f t="array" ref="CC114">IF($BU114=0, INDEX(LS_current!$D$4:$AY$138, MATCH('Staging Table'!$A114, LS_current!$B$4:$B$138, 0), MATCH(CC$4&amp;CC$5, LS_current!$D$2:$AY$2&amp;LS_current!$D$3:$AY$3, 0)),SUM(VLOOKUP($A114, LS_current!$B$4:$AY$138, LS_current!G$148, FALSE), VLOOKUP($A114, LS_current!$B$4:$AY$138,LS_current!G$148, FALSE))/2)</f>
        <v>-2607</v>
      </c>
      <c r="CD114" s="227">
        <f t="array" ref="CD114">IF($BU114=0, INDEX(LS_current!$D$4:$AY$138, MATCH('Staging Table'!$A114, LS_current!$B$4:$B$138, 0), MATCH(CD$4&amp;CD$5, LS_current!$D$2:$AY$2&amp;LS_current!$D$3:$AY$3, 0)),SUM(VLOOKUP($A114, LS_current!$B$4:$AY$138, LS_current!H$148, FALSE), VLOOKUP($A114, LS_current!$B$4:$AY$138,LS_current!H$148, FALSE))/2)</f>
        <v>-3898</v>
      </c>
      <c r="CE114" s="227">
        <f t="array" ref="CE114">IF($BU114=0, INDEX(LS_current!$D$4:$AY$138, MATCH('Staging Table'!$A114, LS_current!$B$4:$B$138, 0), MATCH(CE$4&amp;CE$5, LS_current!$D$2:$AY$2&amp;LS_current!$D$3:$AY$3, 0)),SUM(VLOOKUP($A114, LS_current!$B$4:$AY$138, LS_current!I$148, FALSE), VLOOKUP($A114, LS_current!$B$4:$AY$138,LS_current!I$148, FALSE))/2)</f>
        <v>-1688</v>
      </c>
      <c r="CF114" s="227">
        <f t="array" ref="CF114">IF($BU114=0, INDEX(LS_current!$D$4:$AY$138, MATCH('Staging Table'!$A114, LS_current!$B$4:$B$138, 0), MATCH(CF$4&amp;CF$5, LS_current!$D$2:$AY$2&amp;LS_current!$D$3:$AY$3, 0)),SUM(VLOOKUP($A114, LS_current!$B$4:$AY$138, LS_current!J$148, FALSE), VLOOKUP($A114, LS_current!$B$4:$AY$138,LS_current!J$148, FALSE))/2)</f>
        <v>-2098</v>
      </c>
      <c r="CG114" s="227">
        <f t="array" ref="CG114">IF($BU114=0, INDEX(LS_current!$D$4:$AY$138, MATCH('Staging Table'!$A114, LS_current!$B$4:$B$138, 0), MATCH(CG$4&amp;CG$5, LS_current!$D$2:$AY$2&amp;LS_current!$D$3:$AY$3, 0)),SUM(VLOOKUP($A114, LS_current!$B$4:$AY$138, LS_current!K$148, FALSE), VLOOKUP($A114, LS_current!$B$4:$AY$138,LS_current!K$148, FALSE))/2)</f>
        <v>-645</v>
      </c>
      <c r="CH114" s="227">
        <f t="array" ref="CH114">IF($BU114=0, INDEX(LS_current!$D$4:$AY$138, MATCH('Staging Table'!$A114, LS_current!$B$4:$B$138, 0), MATCH(CH$4&amp;CH$5, LS_current!$D$2:$AY$2&amp;LS_current!$D$3:$AY$3, 0)),SUM(VLOOKUP($A114, LS_current!$B$4:$AY$138, LS_current!L$148, FALSE), VLOOKUP($A114, LS_current!$B$4:$AY$138,LS_current!L$148, FALSE))/2)</f>
        <v>-2706</v>
      </c>
      <c r="CI114" s="227">
        <f t="array" ref="CI114">IF($BU114=0, INDEX(LS_current!$D$4:$AY$138, MATCH('Staging Table'!$A114, LS_current!$B$4:$B$138, 0), MATCH(CI$4&amp;CI$5, LS_current!$D$2:$AY$2&amp;LS_current!$D$3:$AY$3, 0)),SUM(VLOOKUP($A114, LS_current!$B$4:$AY$138, LS_current!M$148, FALSE), VLOOKUP($A114, LS_current!$B$4:$AY$138,LS_current!M$148, FALSE))/2)</f>
        <v>-1283</v>
      </c>
      <c r="CJ114" s="227">
        <f t="array" ref="CJ114">IF($BU114=0, INDEX(LS_current!$D$4:$AY$138, MATCH('Staging Table'!$A114, LS_current!$B$4:$B$138, 0), MATCH(CJ$4&amp;CJ$5, LS_current!$D$2:$AY$2&amp;LS_current!$D$3:$AY$3, 0)),SUM(VLOOKUP($A114, LS_current!$B$4:$AY$138, LS_current!N$148, FALSE), VLOOKUP($A114, LS_current!$B$4:$AY$138,LS_current!N$148, FALSE))/2)</f>
        <v>-3588</v>
      </c>
      <c r="CK114" s="227">
        <f t="array" ref="CK114">IF($BU114=0, INDEX(LS_current!$D$4:$AY$138, MATCH('Staging Table'!$A114, LS_current!$B$4:$B$138, 0), MATCH(CK$4&amp;CK$5, LS_current!$D$2:$AY$2&amp;LS_current!$D$3:$AY$3, 0)),SUM(VLOOKUP($A114, LS_current!$B$4:$AY$138, LS_current!O$148, FALSE), VLOOKUP($A114, LS_current!$B$4:$AY$138,LS_current!O$148, FALSE))/2)</f>
        <v>-1558</v>
      </c>
      <c r="CL114" s="227">
        <f t="array" ref="CL114">IF($BU114=0, INDEX(LS_current!$D$4:$AY$138, MATCH('Staging Table'!$A114, LS_current!$B$4:$B$138, 0), MATCH(CL$4&amp;CL$5, LS_current!$D$2:$AY$2&amp;LS_current!$D$3:$AY$3, 0)),SUM(VLOOKUP($A114, LS_current!$B$4:$AY$138, LS_current!P$148, FALSE), VLOOKUP($A114, LS_current!$B$4:$AY$138,LS_current!P$148, FALSE))/2)</f>
        <v>-933</v>
      </c>
      <c r="CM114" s="227">
        <f t="array" ref="CM114">IF($BU114=0, INDEX(LS_current!$D$4:$AY$138, MATCH('Staging Table'!$A114, LS_current!$B$4:$B$138, 0), MATCH(CM$4&amp;CM$5, LS_current!$D$2:$AY$2&amp;LS_current!$D$3:$AY$3, 0)),SUM(VLOOKUP($A114, LS_current!$B$4:$AY$138, LS_current!Q$148, FALSE), VLOOKUP($A114, LS_current!$B$4:$AY$138,LS_current!Q$148, FALSE))/2)</f>
        <v>-346</v>
      </c>
      <c r="CN114" s="227">
        <f t="array" ref="CN114">IF($BU114=0, INDEX(LS_current!$D$4:$AY$138, MATCH('Staging Table'!$A114, LS_current!$B$4:$B$138, 0), MATCH(CN$4&amp;CN$5, LS_current!$D$2:$AY$2&amp;LS_current!$D$3:$AY$3, 0)),SUM(VLOOKUP($A114, LS_current!$B$4:$AY$138, LS_current!R$148, FALSE), VLOOKUP($A114, LS_current!$B$4:$AY$138,LS_current!R$148, FALSE))/2)</f>
        <v>-572</v>
      </c>
      <c r="CO114" s="227">
        <f t="array" ref="CO114">IF($BU114=0, INDEX(LS_current!$D$4:$AY$138, MATCH('Staging Table'!$A114, LS_current!$B$4:$B$138, 0), MATCH(CO$4&amp;CO$5, LS_current!$D$2:$AY$2&amp;LS_current!$D$3:$AY$3, 0)),SUM(VLOOKUP($A114, LS_current!$B$4:$AY$138, LS_current!S$148, FALSE), VLOOKUP($A114, LS_current!$B$4:$AY$138,LS_current!S$148, FALSE))/2)</f>
        <v>1433</v>
      </c>
      <c r="CP114" s="227">
        <f t="array" ref="CP114">IF($BU114=0, INDEX(LS_current!$D$4:$AY$138, MATCH('Staging Table'!$A114, LS_current!$B$4:$B$138, 0), MATCH(CP$4&amp;CP$5, LS_current!$D$2:$AY$2&amp;LS_current!$D$3:$AY$3, 0)),SUM(VLOOKUP($A114, LS_current!$B$4:$AY$138, LS_current!T$148, FALSE), VLOOKUP($A114, LS_current!$B$4:$AY$138,LS_current!T$148, FALSE))/2)</f>
        <v>-605</v>
      </c>
      <c r="CQ114" s="227">
        <f t="array" ref="CQ114">IF($BU114=0, INDEX(LS_current!$D$4:$AY$138, MATCH('Staging Table'!$A114, LS_current!$B$4:$B$138, 0), MATCH(CQ$4&amp;CQ$5, LS_current!$D$2:$AY$2&amp;LS_current!$D$3:$AY$3, 0)),SUM(VLOOKUP($A114, LS_current!$B$4:$AY$138, LS_current!U$148, FALSE), VLOOKUP($A114, LS_current!$B$4:$AY$138,LS_current!U$148, FALSE))/2)</f>
        <v>714</v>
      </c>
      <c r="CR114" s="227">
        <f t="array" ref="CR114">IF($BU114=0, INDEX(LS_current!$D$4:$AY$138, MATCH('Staging Table'!$A114, LS_current!$B$4:$B$138, 0), MATCH(CR$4&amp;CR$5, LS_current!$D$2:$AY$2&amp;LS_current!$D$3:$AY$3, 0)),SUM(VLOOKUP($A114, LS_current!$B$4:$AY$138, LS_current!V$148, FALSE), VLOOKUP($A114, LS_current!$B$4:$AY$138,LS_current!V$148, FALSE))/2)</f>
        <v>3981</v>
      </c>
      <c r="CS114" s="227">
        <f t="array" ref="CS114">IF($BU114=0, INDEX(LS_current!$D$4:$AY$138, MATCH('Staging Table'!$A114, LS_current!$B$4:$B$138, 0), MATCH(CS$4&amp;CS$5, LS_current!$D$2:$AY$2&amp;LS_current!$D$3:$AY$3, 0)),SUM(VLOOKUP($A114, LS_current!$B$4:$AY$138, LS_current!W$148, FALSE), VLOOKUP($A114, LS_current!$B$4:$AY$138,LS_current!W$148, FALSE))/2)</f>
        <v>5096</v>
      </c>
      <c r="CT114" s="227">
        <f t="array" ref="CT114">IF($BU114=0, INDEX(LS_current!$D$4:$AY$138, MATCH('Staging Table'!$A114, LS_current!$B$4:$B$138, 0), MATCH(CT$4&amp;CT$5, LS_current!$D$2:$AY$2&amp;LS_current!$D$3:$AY$3, 0)),SUM(VLOOKUP($A114, LS_current!$B$4:$AY$138, LS_current!X$148, FALSE), VLOOKUP($A114, LS_current!$B$4:$AY$138,LS_current!X$148, FALSE))/2)</f>
        <v>4093</v>
      </c>
      <c r="CU114" s="227">
        <f t="array" ref="CU114">IF($BU114=0, INDEX(LS_current!$D$4:$AY$138, MATCH('Staging Table'!$A114, LS_current!$B$4:$B$138, 0), MATCH(CU$4&amp;CU$5, LS_current!$D$2:$AY$2&amp;LS_current!$D$3:$AY$3, 0)),SUM(VLOOKUP($A114, LS_current!$B$4:$AY$138, LS_current!Y$148, FALSE), VLOOKUP($A114, LS_current!$B$4:$AY$138,LS_current!Y$148, FALSE))/2)</f>
        <v>5112</v>
      </c>
      <c r="CV114" s="227">
        <f t="array" ref="CV114">IF($BU114=0, INDEX(LS_current!$D$4:$AY$138, MATCH('Staging Table'!$A114, LS_current!$B$4:$B$138, 0), MATCH(CV$4&amp;CV$5, LS_current!$D$2:$AY$2&amp;LS_current!$D$3:$AY$3, 0)),SUM(VLOOKUP($A114, LS_current!$B$4:$AY$138, LS_current!Z$148, FALSE), VLOOKUP($A114, LS_current!$B$4:$AY$138,LS_current!Z$148, FALSE))/2)</f>
        <v>1145</v>
      </c>
      <c r="CW114" s="227">
        <f t="array" ref="CW114">IF($BU114=0, INDEX(LS_current!$D$4:$AY$138, MATCH('Staging Table'!$A114, LS_current!$B$4:$B$138, 0), MATCH(CW$4&amp;CW$5, LS_current!$D$2:$AY$2&amp;LS_current!$D$3:$AY$3, 0)),SUM(VLOOKUP($A114, LS_current!$B$4:$AY$138, LS_current!AA$148, FALSE), VLOOKUP($A114, LS_current!$B$4:$AY$138,LS_current!AA$148, FALSE))/2)</f>
        <v>1894</v>
      </c>
      <c r="CX114" s="229">
        <f t="array" ref="CX114">INDEX(Demand_current!$D$4:$AY$138, MATCH($A114, Demand_current!$B$4:$B$138, 0), MATCH(CX$4&amp;CX$5,Demand_current!$D$2:$AY$2&amp;Demand_current!$D$3:$AY$3, 0))/1000</f>
        <v>2.5779999999999998</v>
      </c>
      <c r="CY114" s="229">
        <f t="array" ref="CY114">INDEX(Demand_current!$D$4:$AY$138, MATCH($A114, Demand_current!$B$4:$B$138, 0), MATCH(CY$4&amp;CY$5,Demand_current!$D$2:$AY$2&amp;Demand_current!$D$3:$AY$3, 0))/1000</f>
        <v>0.45</v>
      </c>
      <c r="CZ114" s="229">
        <f t="array" ref="CZ114">INDEX(Demand_current!$D$4:$AY$138, MATCH($A114, Demand_current!$B$4:$B$138, 0), MATCH(CZ$4&amp;CZ$5,Demand_current!$D$2:$AY$2&amp;Demand_current!$D$3:$AY$3, 0))/1000</f>
        <v>2.2549999999999999</v>
      </c>
      <c r="DA114" s="229">
        <f t="array" ref="DA114">INDEX(Demand_current!$D$4:$AY$138, MATCH($A114, Demand_current!$B$4:$B$138, 0), MATCH(DA$4&amp;DA$5,Demand_current!$D$2:$AY$2&amp;Demand_current!$D$3:$AY$3, 0))/1000</f>
        <v>2.3159999999999998</v>
      </c>
      <c r="DB114" s="229">
        <f t="array" ref="DB114">INDEX(Demand_current!$D$4:$AY$138, MATCH($A114, Demand_current!$B$4:$B$138, 0), MATCH(DB$4&amp;DB$5,Demand_current!$D$2:$AY$2&amp;Demand_current!$D$3:$AY$3, 0))/1000</f>
        <v>1.006</v>
      </c>
      <c r="DC114" s="229">
        <f t="array" ref="DC114">INDEX(Demand_current!$D$4:$AY$138, MATCH($A114, Demand_current!$B$4:$B$138, 0), MATCH(DC$4&amp;DC$5,Demand_current!$D$2:$AY$2&amp;Demand_current!$D$3:$AY$3, 0))/1000</f>
        <v>1.4790000000000001</v>
      </c>
      <c r="DD114" s="229">
        <f t="array" ref="DD114">INDEX(Demand_current!$D$4:$AY$138, MATCH($A114, Demand_current!$B$4:$B$138, 0), MATCH(DD$4&amp;DD$5,Demand_current!$D$2:$AY$2&amp;Demand_current!$D$3:$AY$3, 0))/1000</f>
        <v>3.222</v>
      </c>
      <c r="DE114" s="229">
        <f t="array" ref="DE114">INDEX(Demand_current!$D$4:$AY$138, MATCH($A114, Demand_current!$B$4:$B$138, 0), MATCH(DE$4&amp;DE$5,Demand_current!$D$2:$AY$2&amp;Demand_current!$D$3:$AY$3, 0))/1000</f>
        <v>1.869</v>
      </c>
      <c r="DF114" s="229">
        <f t="array" ref="DF114">INDEX(Demand_current!$D$4:$AY$138, MATCH($A114, Demand_current!$B$4:$B$138, 0), MATCH(DF$4&amp;DF$5,Demand_current!$D$2:$AY$2&amp;Demand_current!$D$3:$AY$3, 0))/1000</f>
        <v>0.88300000000000001</v>
      </c>
      <c r="DG114" s="229">
        <f t="array" ref="DG114">INDEX(Demand_current!$D$4:$AY$138, MATCH($A114, Demand_current!$B$4:$B$138, 0), MATCH(DG$4&amp;DG$5,Demand_current!$D$2:$AY$2&amp;Demand_current!$D$3:$AY$3, 0))/1000</f>
        <v>4.1239999999999997</v>
      </c>
      <c r="DH114" s="229">
        <f t="array" ref="DH114">INDEX(Demand_current!$D$4:$AY$138, MATCH($A114, Demand_current!$B$4:$B$138, 0), MATCH(DH$4&amp;DH$5,Demand_current!$D$2:$AY$2&amp;Demand_current!$D$3:$AY$3, 0))/1000</f>
        <v>4.7850000000000001</v>
      </c>
      <c r="DI114" s="229">
        <f t="array" ref="DI114">INDEX(Demand_current!$D$4:$AY$138, MATCH($A114, Demand_current!$B$4:$B$138, 0), MATCH(DI$4&amp;DI$5,Demand_current!$D$2:$AY$2&amp;Demand_current!$D$3:$AY$3, 0))/1000</f>
        <v>2.3140000000000001</v>
      </c>
      <c r="DJ114" s="227">
        <f>$BT114*(VLOOKUP(DJ$4, Rates_current!$G$6:$Q$29, 10, FALSE)+VLOOKUP(DJ$4, Rates_current!$G$6:$Q$29, 11, FALSE))</f>
        <v>10744.035383372398</v>
      </c>
      <c r="DK114" s="227">
        <f>$BT114*(VLOOKUP(DK$4, Rates_current!$G$6:$Q$29, 10, FALSE)+VLOOKUP(DK$4, Rates_current!$G$6:$Q$29, 11, FALSE))</f>
        <v>13648.276603829099</v>
      </c>
      <c r="DL114" s="227">
        <f>$BT114*(VLOOKUP(DL$4, Rates_current!$G$6:$Q$29, 10, FALSE)+VLOOKUP(DL$4, Rates_current!$G$6:$Q$29, 11, FALSE))</f>
        <v>13483.4551960724</v>
      </c>
      <c r="DM114" s="227">
        <f>$BT114*(VLOOKUP(DM$4, Rates_current!$G$6:$Q$29, 10, FALSE)+VLOOKUP(DM$4, Rates_current!$G$6:$Q$29, 11, FALSE))</f>
        <v>11239.281144872401</v>
      </c>
      <c r="DN114" s="227">
        <f>$BT114*(VLOOKUP(DN$4, Rates_current!$G$6:$Q$29, 10, FALSE)+VLOOKUP(DN$4, Rates_current!$G$6:$Q$29, 11, FALSE))</f>
        <v>10181.622731919999</v>
      </c>
      <c r="DO114" s="227">
        <f>$BT114*(VLOOKUP(DO$4, Rates_current!$G$6:$Q$29, 10, FALSE)+VLOOKUP(DO$4, Rates_current!$G$6:$Q$29, 11, FALSE))</f>
        <v>11325.198997805299</v>
      </c>
      <c r="DP114" s="227">
        <f>$BT114*(VLOOKUP(DP$4, Rates_current!$G$6:$Q$29, 10, FALSE)+VLOOKUP(DP$4, Rates_current!$G$6:$Q$29, 11, FALSE))</f>
        <v>9220.9892451119995</v>
      </c>
      <c r="DQ114" s="227">
        <f>$BT114*(VLOOKUP(DQ$4, Rates_current!$G$6:$Q$29, 10, FALSE)+VLOOKUP(DQ$4, Rates_current!$G$6:$Q$29, 11, FALSE))</f>
        <v>12435.8789988224</v>
      </c>
      <c r="DR114" s="227">
        <f>$BT114*(VLOOKUP(DR$4, Rates_current!$G$6:$Q$29, 10, FALSE)+VLOOKUP(DR$4, Rates_current!$G$6:$Q$29, 11, FALSE))</f>
        <v>15867.335820662</v>
      </c>
      <c r="DS114" s="227">
        <f>$BT114*(VLOOKUP(DS$4, Rates_current!$G$6:$Q$29, 10, FALSE)+VLOOKUP(DS$4, Rates_current!$G$6:$Q$29, 11, FALSE))</f>
        <v>12440.4944049724</v>
      </c>
      <c r="DT114" s="227">
        <f>$BT114*(VLOOKUP(DT$4, Rates_current!$G$6:$Q$29, 10, FALSE)+VLOOKUP(DT$4, Rates_current!$G$6:$Q$29, 11, FALSE))</f>
        <v>12114.564358522401</v>
      </c>
      <c r="DU114" s="227">
        <f>$BT114*(VLOOKUP(DU$4, Rates_current!$G$6:$Q$29, 10, FALSE)+VLOOKUP(DU$4, Rates_current!$G$6:$Q$29, 11, FALSE))</f>
        <v>10876.301694012</v>
      </c>
      <c r="DV114" s="229">
        <f>IF(D114=0,IF(C114=0,MAX(0,DY114 - (VLOOKUP($A114,TOCA_current!$A$2:$AI$137,MATCH("RHWM 2020",TOCA_current!$A$2:$AI$2,0),FALSE)*$BT$2)), 0),0)</f>
        <v>0</v>
      </c>
      <c r="DW114" s="266">
        <f>VLOOKUP($A114,REP_current!$A$1:$D$135,MATCH("FY "&amp;$BT$1&amp; " Total Refund",REP_current!$A$1:$D$1,0),0)</f>
        <v>0</v>
      </c>
      <c r="DX114" s="295">
        <f>MIN(VLOOKUP($A114,TOCA_current!$A$2:$AI$137,MATCH("TRL - NLSL - Existing Resource "&amp;$BT$1,TOCA_current!$A$2:$AI$2,0),FALSE)*$BT$2, VLOOKUP($A114,TOCA_current!$A$2:$AI$137,MATCH("RHWM 2020",TOCA_current!$A$2:$AI$2,0),FALSE)*$BT$2)</f>
        <v>143574.47999999998</v>
      </c>
      <c r="DY114" s="240">
        <f>SUM(BZ114:CW114)+(BT114*RT1SC!$C$4*$BT$2)</f>
        <v>135701.43996907517</v>
      </c>
      <c r="DZ114" s="271">
        <f>VLOOKUP($A114,TOCA_current!$A$2:$AI$137,MATCH("Above RHWM Not Served with LS "&amp;$BT$1,TOCA_current!$A$2:$AI$2,0),FALSE)*$BT$2</f>
        <v>14660.496000000001</v>
      </c>
      <c r="EA114" s="244">
        <f t="shared" si="29"/>
        <v>-7873.0400309248071</v>
      </c>
      <c r="EB114" s="295">
        <f>(VLOOKUP($A114,TOCA_current!$A$2:$AI$137,MATCH("RHWM 2020",TOCA_current!$A$2:$AI$2,0),FALSE)*$BT$2) - $DX114</f>
        <v>0</v>
      </c>
      <c r="EC114" s="240">
        <f t="shared" si="30"/>
        <v>0</v>
      </c>
      <c r="ED114" s="240">
        <f t="shared" si="31"/>
        <v>0</v>
      </c>
      <c r="EE114" s="240">
        <f t="shared" si="32"/>
        <v>0</v>
      </c>
      <c r="EF114" s="240">
        <f t="shared" si="33"/>
        <v>0</v>
      </c>
    </row>
    <row r="115" spans="1:136">
      <c r="A115" s="166">
        <v>10370</v>
      </c>
      <c r="B115" s="167" t="s">
        <v>116</v>
      </c>
      <c r="C115" s="240">
        <v>0</v>
      </c>
      <c r="D115" s="240">
        <v>1</v>
      </c>
      <c r="E115" s="150">
        <f>VLOOKUP($A115,TOCA_previous!$A$2:$AI$137,MATCH(E$4,TOCA_previous!$A$2:$AI$2,0),FALSE)</f>
        <v>5.5387800000000001E-2</v>
      </c>
      <c r="F115" s="151">
        <f>VLOOKUP($A115,TOCA_previous!$A$2:$AI$137,MATCH(F$4,TOCA_previous!$A$2:$AI$2,0),FALSE)</f>
        <v>2.57609E-2</v>
      </c>
      <c r="G115" s="151">
        <f t="shared" si="18"/>
        <v>2.9626900000000001E-2</v>
      </c>
      <c r="H115" s="151">
        <f>VLOOKUP($A115,TOCA_previous!$A$2:$AI$137,MATCH(H$4,TOCA_previous!$A$2:$AI$2,0),FALSE)</f>
        <v>0</v>
      </c>
      <c r="I115" s="151">
        <f t="shared" si="19"/>
        <v>0</v>
      </c>
      <c r="J115" s="151">
        <f t="shared" si="20"/>
        <v>0</v>
      </c>
      <c r="K115" s="226">
        <f>VLOOKUP(A115, IRD!$A$5:$C$139, 3, FALSE)</f>
        <v>0</v>
      </c>
      <c r="L115" s="227">
        <f t="array" ref="L115">IF($G115=0, INDEX(LS_previous!$D$4:$AY$138, MATCH('Staging Table'!$A115, LS_previous!$B$4:$B$138, 0), MATCH(L$4&amp;L$5, LS_previous!$D$2:$AY$2&amp;LS_previous!$D$3:$AY$3, 0)),SUM(VLOOKUP($A115, LS_previous!$B$4:$AY$138, LS_previous!D$149, FALSE), VLOOKUP('Staging Table'!$A115, LS_previous!$B$4:$AY$138,LS_previous!AB$149, FALSE))/2)</f>
        <v>-17703.5</v>
      </c>
      <c r="M115" s="227">
        <f t="array" ref="M115">IF($G115=0, INDEX(LS_previous!$D$4:$AY$138, MATCH('Staging Table'!$A115, LS_previous!$B$4:$B$138, 0), MATCH(M$4&amp;M$5, LS_previous!$D$2:$AY$2&amp;LS_previous!$D$3:$AY$3, 0)),SUM(VLOOKUP($A115, LS_previous!$B$4:$AY$138, LS_previous!E$149, FALSE), VLOOKUP('Staging Table'!$A115, LS_previous!$B$4:$AY$138,LS_previous!AC$149, FALSE))/2)</f>
        <v>3591.5</v>
      </c>
      <c r="N115" s="227">
        <f t="array" ref="N115">IF($G115=0, INDEX(LS_previous!$D$4:$AY$138, MATCH('Staging Table'!$A115, LS_previous!$B$4:$B$138, 0), MATCH(N$4&amp;N$5, LS_previous!$D$2:$AY$2&amp;LS_previous!$D$3:$AY$3, 0)),SUM(VLOOKUP($A115, LS_previous!$B$4:$AY$138, LS_previous!F$149, FALSE), VLOOKUP('Staging Table'!$A115, LS_previous!$B$4:$AY$138,LS_previous!AD$149, FALSE))/2)</f>
        <v>-17355</v>
      </c>
      <c r="O115" s="227">
        <f t="array" ref="O115">IF($G115=0, INDEX(LS_previous!$D$4:$AY$138, MATCH('Staging Table'!$A115, LS_previous!$B$4:$B$138, 0), MATCH(O$4&amp;O$5, LS_previous!$D$2:$AY$2&amp;LS_previous!$D$3:$AY$3, 0)),SUM(VLOOKUP($A115, LS_previous!$B$4:$AY$138, LS_previous!G$149, FALSE), VLOOKUP('Staging Table'!$A115, LS_previous!$B$4:$AY$138,LS_previous!AE$149, FALSE))/2)</f>
        <v>6232</v>
      </c>
      <c r="P115" s="227">
        <f t="array" ref="P115">IF($G115=0, INDEX(LS_previous!$D$4:$AY$138, MATCH('Staging Table'!$A115, LS_previous!$B$4:$B$138, 0), MATCH(P$4&amp;P$5, LS_previous!$D$2:$AY$2&amp;LS_previous!$D$3:$AY$3, 0)),SUM(VLOOKUP($A115, LS_previous!$B$4:$AY$138, LS_previous!H$149, FALSE), VLOOKUP('Staging Table'!$A115, LS_previous!$B$4:$AY$138,LS_previous!AF$149, FALSE))/2)</f>
        <v>19</v>
      </c>
      <c r="Q115" s="227">
        <f t="array" ref="Q115">IF($G115=0, INDEX(LS_previous!$D$4:$AY$138, MATCH('Staging Table'!$A115, LS_previous!$B$4:$B$138, 0), MATCH(Q$4&amp;Q$5, LS_previous!$D$2:$AY$2&amp;LS_previous!$D$3:$AY$3, 0)),SUM(VLOOKUP($A115, LS_previous!$B$4:$AY$138, LS_previous!I$149, FALSE), VLOOKUP('Staging Table'!$A115, LS_previous!$B$4:$AY$138,LS_previous!AG$149, FALSE))/2)</f>
        <v>23294.5</v>
      </c>
      <c r="R115" s="227">
        <f t="array" ref="R115">IF($G115=0, INDEX(LS_previous!$D$4:$AY$138, MATCH('Staging Table'!$A115, LS_previous!$B$4:$B$138, 0), MATCH(R$4&amp;R$5, LS_previous!$D$2:$AY$2&amp;LS_previous!$D$3:$AY$3, 0)),SUM(VLOOKUP($A115, LS_previous!$B$4:$AY$138, LS_previous!J$149, FALSE), VLOOKUP('Staging Table'!$A115, LS_previous!$B$4:$AY$138,LS_previous!AH$149, FALSE))/2)</f>
        <v>12215.5</v>
      </c>
      <c r="S115" s="227">
        <f t="array" ref="S115">IF($G115=0, INDEX(LS_previous!$D$4:$AY$138, MATCH('Staging Table'!$A115, LS_previous!$B$4:$B$138, 0), MATCH(S$4&amp;S$5, LS_previous!$D$2:$AY$2&amp;LS_previous!$D$3:$AY$3, 0)),SUM(VLOOKUP($A115, LS_previous!$B$4:$AY$138, LS_previous!K$149, FALSE), VLOOKUP('Staging Table'!$A115, LS_previous!$B$4:$AY$138,LS_previous!AI$149, FALSE))/2)</f>
        <v>22784</v>
      </c>
      <c r="T115" s="227">
        <f t="array" ref="T115">IF($G115=0, INDEX(LS_previous!$D$4:$AY$138, MATCH('Staging Table'!$A115, LS_previous!$B$4:$B$138, 0), MATCH(T$4&amp;T$5, LS_previous!$D$2:$AY$2&amp;LS_previous!$D$3:$AY$3, 0)),SUM(VLOOKUP($A115, LS_previous!$B$4:$AY$138, LS_previous!L$149, FALSE), VLOOKUP('Staging Table'!$A115, LS_previous!$B$4:$AY$138,LS_previous!AJ$149, FALSE))/2)</f>
        <v>13624</v>
      </c>
      <c r="U115" s="227">
        <f t="array" ref="U115">IF($G115=0, INDEX(LS_previous!$D$4:$AY$138, MATCH('Staging Table'!$A115, LS_previous!$B$4:$B$138, 0), MATCH(U$4&amp;U$5, LS_previous!$D$2:$AY$2&amp;LS_previous!$D$3:$AY$3, 0)),SUM(VLOOKUP($A115, LS_previous!$B$4:$AY$138, LS_previous!M$149, FALSE), VLOOKUP('Staging Table'!$A115, LS_previous!$B$4:$AY$138,LS_previous!AK$149, FALSE))/2)</f>
        <v>21052</v>
      </c>
      <c r="V115" s="227">
        <f t="array" ref="V115">IF($G115=0, INDEX(LS_previous!$D$4:$AY$138, MATCH('Staging Table'!$A115, LS_previous!$B$4:$B$138, 0), MATCH(V$4&amp;V$5, LS_previous!$D$2:$AY$2&amp;LS_previous!$D$3:$AY$3, 0)),SUM(VLOOKUP($A115, LS_previous!$B$4:$AY$138, LS_previous!N$149, FALSE), VLOOKUP('Staging Table'!$A115, LS_previous!$B$4:$AY$138,LS_previous!AL$149, FALSE))/2)</f>
        <v>12943.5</v>
      </c>
      <c r="W115" s="227">
        <f t="array" ref="W115">IF($G115=0, INDEX(LS_previous!$D$4:$AY$138, MATCH('Staging Table'!$A115, LS_previous!$B$4:$B$138, 0), MATCH(W$4&amp;W$5, LS_previous!$D$2:$AY$2&amp;LS_previous!$D$3:$AY$3, 0)),SUM(VLOOKUP($A115, LS_previous!$B$4:$AY$138, LS_previous!O$149, FALSE), VLOOKUP('Staging Table'!$A115, LS_previous!$B$4:$AY$138,LS_previous!AM$149, FALSE))/2)</f>
        <v>22921.5</v>
      </c>
      <c r="X115" s="227">
        <f t="array" ref="X115">IF($G115=0, INDEX(LS_previous!$D$4:$AY$138, MATCH('Staging Table'!$A115, LS_previous!$B$4:$B$138, 0), MATCH(X$4&amp;X$5, LS_previous!$D$2:$AY$2&amp;LS_previous!$D$3:$AY$3, 0)),SUM(VLOOKUP($A115, LS_previous!$B$4:$AY$138, LS_previous!P$149, FALSE), VLOOKUP('Staging Table'!$A115, LS_previous!$B$4:$AY$138,LS_previous!AN$149, FALSE))/2)</f>
        <v>-114.5</v>
      </c>
      <c r="Y115" s="227">
        <f t="array" ref="Y115">IF($G115=0, INDEX(LS_previous!$D$4:$AY$138, MATCH('Staging Table'!$A115, LS_previous!$B$4:$B$138, 0), MATCH(Y$4&amp;Y$5, LS_previous!$D$2:$AY$2&amp;LS_previous!$D$3:$AY$3, 0)),SUM(VLOOKUP($A115, LS_previous!$B$4:$AY$138, LS_previous!Q$149, FALSE), VLOOKUP('Staging Table'!$A115, LS_previous!$B$4:$AY$138,LS_previous!AO$149, FALSE))/2)</f>
        <v>15670.5</v>
      </c>
      <c r="Z115" s="227">
        <f t="array" ref="Z115">IF($G115=0, INDEX(LS_previous!$D$4:$AY$138, MATCH('Staging Table'!$A115, LS_previous!$B$4:$B$138, 0), MATCH(Z$4&amp;Z$5, LS_previous!$D$2:$AY$2&amp;LS_previous!$D$3:$AY$3, 0)),SUM(VLOOKUP($A115, LS_previous!$B$4:$AY$138, LS_previous!R$149, FALSE), VLOOKUP('Staging Table'!$A115, LS_previous!$B$4:$AY$138,LS_previous!AP$149, FALSE))/2)</f>
        <v>-43212</v>
      </c>
      <c r="AA115" s="227">
        <f t="array" ref="AA115">IF($G115=0, INDEX(LS_previous!$D$4:$AY$138, MATCH('Staging Table'!$A115, LS_previous!$B$4:$B$138, 0), MATCH(AA$4&amp;AA$5, LS_previous!$D$2:$AY$2&amp;LS_previous!$D$3:$AY$3, 0)),SUM(VLOOKUP($A115, LS_previous!$B$4:$AY$138, LS_previous!S$149, FALSE), VLOOKUP('Staging Table'!$A115, LS_previous!$B$4:$AY$138,LS_previous!AQ$149, FALSE))/2)</f>
        <v>-10070</v>
      </c>
      <c r="AB115" s="227">
        <f t="array" ref="AB115">IF($G115=0, INDEX(LS_previous!$D$4:$AY$138, MATCH('Staging Table'!$A115, LS_previous!$B$4:$B$138, 0), MATCH(AB$4&amp;AB$5, LS_previous!$D$2:$AY$2&amp;LS_previous!$D$3:$AY$3, 0)),SUM(VLOOKUP($A115, LS_previous!$B$4:$AY$138, LS_previous!T$149, FALSE), VLOOKUP('Staging Table'!$A115, LS_previous!$B$4:$AY$138,LS_previous!AR$149, FALSE))/2)</f>
        <v>-28590.5</v>
      </c>
      <c r="AC115" s="227">
        <f t="array" ref="AC115">IF($G115=0, INDEX(LS_previous!$D$4:$AY$138, MATCH('Staging Table'!$A115, LS_previous!$B$4:$B$138, 0), MATCH(AC$4&amp;AC$5, LS_previous!$D$2:$AY$2&amp;LS_previous!$D$3:$AY$3, 0)),SUM(VLOOKUP($A115, LS_previous!$B$4:$AY$138, LS_previous!U$149, FALSE), VLOOKUP('Staging Table'!$A115, LS_previous!$B$4:$AY$138,LS_previous!AS$149, FALSE))/2)</f>
        <v>-940</v>
      </c>
      <c r="AD115" s="227">
        <f t="array" ref="AD115">IF($G115=0, INDEX(LS_previous!$D$4:$AY$138, MATCH('Staging Table'!$A115, LS_previous!$B$4:$B$138, 0), MATCH(AD$4&amp;AD$5, LS_previous!$D$2:$AY$2&amp;LS_previous!$D$3:$AY$3, 0)),SUM(VLOOKUP($A115, LS_previous!$B$4:$AY$138, LS_previous!V$149, FALSE), VLOOKUP('Staging Table'!$A115, LS_previous!$B$4:$AY$138,LS_previous!AT$149, FALSE))/2)</f>
        <v>-15280.5</v>
      </c>
      <c r="AE115" s="227">
        <f t="array" ref="AE115">IF($G115=0, INDEX(LS_previous!$D$4:$AY$138, MATCH('Staging Table'!$A115, LS_previous!$B$4:$B$138, 0), MATCH(AE$4&amp;AE$5, LS_previous!$D$2:$AY$2&amp;LS_previous!$D$3:$AY$3, 0)),SUM(VLOOKUP($A115, LS_previous!$B$4:$AY$138, LS_previous!W$149, FALSE), VLOOKUP('Staging Table'!$A115, LS_previous!$B$4:$AY$138,LS_previous!AU$149, FALSE))/2)</f>
        <v>10246</v>
      </c>
      <c r="AF115" s="227">
        <f t="array" ref="AF115">IF($G115=0, INDEX(LS_previous!$D$4:$AY$138, MATCH('Staging Table'!$A115, LS_previous!$B$4:$B$138, 0), MATCH(AF$4&amp;AF$5, LS_previous!$D$2:$AY$2&amp;LS_previous!$D$3:$AY$3, 0)),SUM(VLOOKUP($A115, LS_previous!$B$4:$AY$138, LS_previous!X$149, FALSE), VLOOKUP('Staging Table'!$A115, LS_previous!$B$4:$AY$138,LS_previous!AV$149, FALSE))/2)</f>
        <v>-25650.5</v>
      </c>
      <c r="AG115" s="227">
        <f t="array" ref="AG115">IF($G115=0, INDEX(LS_previous!$D$4:$AY$138, MATCH('Staging Table'!$A115, LS_previous!$B$4:$B$138, 0), MATCH(AG$4&amp;AG$5, LS_previous!$D$2:$AY$2&amp;LS_previous!$D$3:$AY$3, 0)),SUM(VLOOKUP($A115, LS_previous!$B$4:$AY$138, LS_previous!Y$149, FALSE), VLOOKUP('Staging Table'!$A115, LS_previous!$B$4:$AY$138,LS_previous!AW$149, FALSE))/2)</f>
        <v>1508.5</v>
      </c>
      <c r="AH115" s="227">
        <f t="array" ref="AH115">IF($G115=0, INDEX(LS_previous!$D$4:$AY$138, MATCH('Staging Table'!$A115, LS_previous!$B$4:$B$138, 0), MATCH(AH$4&amp;AH$5, LS_previous!$D$2:$AY$2&amp;LS_previous!$D$3:$AY$3, 0)),SUM(VLOOKUP($A115, LS_previous!$B$4:$AY$138, LS_previous!Z$149, FALSE), VLOOKUP('Staging Table'!$A115, LS_previous!$B$4:$AY$138,LS_previous!AX$149, FALSE))/2)</f>
        <v>-16337.5</v>
      </c>
      <c r="AI115" s="227">
        <f t="array" ref="AI115">IF($G115=0, INDEX(LS_previous!$D$4:$AY$138, MATCH('Staging Table'!$A115, LS_previous!$B$4:$B$138, 0), MATCH(AI$4&amp;AI$5, LS_previous!$D$2:$AY$2&amp;LS_previous!$D$3:$AY$3, 0)),SUM(VLOOKUP($A115, LS_previous!$B$4:$AY$138, LS_previous!AA$149, FALSE), VLOOKUP('Staging Table'!$A115, LS_previous!$B$4:$AY$138,LS_previous!AY$149, FALSE))/2)</f>
        <v>9388.5</v>
      </c>
      <c r="AJ115" s="424">
        <f t="array" ref="AJ115">INDEX(Demand_previous!$D$4:$AY$138, MATCH('Staging Table'!$A115, Demand_previous!$B$4:$B$138, 0), MATCH(AJ$4&amp;AJ$5,Demand_previous!$D$2:$AY$2&amp;Demand_previous!$D$3:$AY$3, 0))/1000</f>
        <v>0</v>
      </c>
      <c r="AK115" s="424">
        <f t="array" ref="AK115">INDEX(Demand_previous!$D$4:$AY$138, MATCH('Staging Table'!$A115, Demand_previous!$B$4:$B$138, 0), MATCH(AK$4&amp;AK$5,Demand_previous!$D$2:$AY$2&amp;Demand_previous!$D$3:$AY$3, 0))/1000</f>
        <v>0</v>
      </c>
      <c r="AL115" s="424">
        <f t="array" ref="AL115">INDEX(Demand_previous!$D$4:$AY$138, MATCH('Staging Table'!$A115, Demand_previous!$B$4:$B$138, 0), MATCH(AL$4&amp;AL$5,Demand_previous!$D$2:$AY$2&amp;Demand_previous!$D$3:$AY$3, 0))/1000</f>
        <v>0</v>
      </c>
      <c r="AM115" s="424">
        <f t="array" ref="AM115">INDEX(Demand_previous!$D$4:$AY$138, MATCH('Staging Table'!$A115, Demand_previous!$B$4:$B$138, 0), MATCH(AM$4&amp;AM$5,Demand_previous!$D$2:$AY$2&amp;Demand_previous!$D$3:$AY$3, 0))/1000</f>
        <v>0</v>
      </c>
      <c r="AN115" s="424">
        <f t="array" ref="AN115">INDEX(Demand_previous!$D$4:$AY$138, MATCH('Staging Table'!$A115, Demand_previous!$B$4:$B$138, 0), MATCH(AN$4&amp;AN$5,Demand_previous!$D$2:$AY$2&amp;Demand_previous!$D$3:$AY$3, 0))/1000</f>
        <v>0</v>
      </c>
      <c r="AO115" s="424">
        <f t="array" ref="AO115">INDEX(Demand_previous!$D$4:$AY$138, MATCH('Staging Table'!$A115, Demand_previous!$B$4:$B$138, 0), MATCH(AO$4&amp;AO$5,Demand_previous!$D$2:$AY$2&amp;Demand_previous!$D$3:$AY$3, 0))/1000</f>
        <v>0</v>
      </c>
      <c r="AP115" s="424">
        <f t="array" ref="AP115">INDEX(Demand_previous!$D$4:$AY$138, MATCH('Staging Table'!$A115, Demand_previous!$B$4:$B$138, 0), MATCH(AP$4&amp;AP$5,Demand_previous!$D$2:$AY$2&amp;Demand_previous!$D$3:$AY$3, 0))/1000</f>
        <v>0</v>
      </c>
      <c r="AQ115" s="424">
        <f t="array" ref="AQ115">INDEX(Demand_previous!$D$4:$AY$138, MATCH('Staging Table'!$A115, Demand_previous!$B$4:$B$138, 0), MATCH(AQ$4&amp;AQ$5,Demand_previous!$D$2:$AY$2&amp;Demand_previous!$D$3:$AY$3, 0))/1000</f>
        <v>0</v>
      </c>
      <c r="AR115" s="424">
        <f t="array" ref="AR115">INDEX(Demand_previous!$D$4:$AY$138, MATCH('Staging Table'!$A115, Demand_previous!$B$4:$B$138, 0), MATCH(AR$4&amp;AR$5,Demand_previous!$D$2:$AY$2&amp;Demand_previous!$D$3:$AY$3, 0))/1000</f>
        <v>0</v>
      </c>
      <c r="AS115" s="424">
        <f t="array" ref="AS115">INDEX(Demand_previous!$D$4:$AY$138, MATCH('Staging Table'!$A115, Demand_previous!$B$4:$B$138, 0), MATCH(AS$4&amp;AS$5,Demand_previous!$D$2:$AY$2&amp;Demand_previous!$D$3:$AY$3, 0))/1000</f>
        <v>0</v>
      </c>
      <c r="AT115" s="424">
        <f t="array" ref="AT115">INDEX(Demand_previous!$D$4:$AY$138, MATCH('Staging Table'!$A115, Demand_previous!$B$4:$B$138, 0), MATCH(AT$4&amp;AT$5,Demand_previous!$D$2:$AY$2&amp;Demand_previous!$D$3:$AY$3, 0))/1000</f>
        <v>0</v>
      </c>
      <c r="AU115" s="424">
        <f t="array" ref="AU115">INDEX(Demand_previous!$D$4:$AY$138, MATCH('Staging Table'!$A115, Demand_previous!$B$4:$B$138, 0), MATCH(AU$4&amp;AU$5,Demand_previous!$D$2:$AY$2&amp;Demand_previous!$D$3:$AY$3, 0))/1000</f>
        <v>0</v>
      </c>
      <c r="AV115" s="227">
        <f>$F115*(VLOOKUP(AV$4, Rates_previous!$G$6:$Q$29, 10, FALSE)+VLOOKUP(AV$4, Rates_previous!$G$6:$Q$29, 11, FALSE))</f>
        <v>120788.68071313966</v>
      </c>
      <c r="AW115" s="227">
        <f>$F115*(VLOOKUP(AW$4, Rates_previous!$G$6:$Q$29, 10, FALSE)+VLOOKUP(AW$4, Rates_previous!$G$6:$Q$29, 11, FALSE))</f>
        <v>149285.62893518654</v>
      </c>
      <c r="AX115" s="227">
        <f>$F115*(VLOOKUP(AX$4, Rates_previous!$G$6:$Q$29, 10, FALSE)+VLOOKUP(AX$4, Rates_previous!$G$6:$Q$29, 11, FALSE))</f>
        <v>147492.8870859117</v>
      </c>
      <c r="AY115" s="227">
        <f>$F115*(VLOOKUP(AY$4, Rates_previous!$G$6:$Q$29, 10, FALSE)+VLOOKUP(AY$4, Rates_previous!$G$6:$Q$29, 11, FALSE))</f>
        <v>126018.61362093524</v>
      </c>
      <c r="AZ115" s="227">
        <f>$F115*(VLOOKUP(AZ$4, Rates_previous!$G$6:$Q$29, 10, FALSE)+VLOOKUP(AZ$4, Rates_previous!$G$6:$Q$29, 11, FALSE))</f>
        <v>103310.81919402408</v>
      </c>
      <c r="BA115" s="227">
        <f>$F115*(VLOOKUP(BA$4, Rates_previous!$G$6:$Q$29, 10, FALSE)+VLOOKUP(BA$4, Rates_previous!$G$6:$Q$29, 11, FALSE))</f>
        <v>122316.25732850913</v>
      </c>
      <c r="BB115" s="227">
        <f>$F115*(VLOOKUP(BB$4, Rates_previous!$G$6:$Q$29, 10, FALSE)+VLOOKUP(BB$4, Rates_previous!$G$6:$Q$29, 11, FALSE))</f>
        <v>117563.715277795</v>
      </c>
      <c r="BC115" s="227">
        <f>$F115*(VLOOKUP(BC$4, Rates_previous!$G$6:$Q$29, 10, FALSE)+VLOOKUP(BC$4, Rates_previous!$G$6:$Q$29, 11, FALSE))</f>
        <v>172516.43303866321</v>
      </c>
      <c r="BD115" s="227">
        <f>$F115*(VLOOKUP(BD$4, Rates_previous!$G$6:$Q$29, 10, FALSE)+VLOOKUP(BD$4, Rates_previous!$G$6:$Q$29, 11, FALSE))</f>
        <v>136110.90600260001</v>
      </c>
      <c r="BE115" s="227">
        <f>$F115*(VLOOKUP(BE$4, Rates_previous!$G$6:$Q$29, 10, FALSE)+VLOOKUP(BE$4, Rates_previous!$G$6:$Q$29, 11, FALSE))</f>
        <v>119516.80001135216</v>
      </c>
      <c r="BF115" s="227">
        <f>$F115*(VLOOKUP(BF$4, Rates_previous!$G$6:$Q$29, 10, FALSE)+VLOOKUP(BF$4, Rates_previous!$G$6:$Q$29, 11, FALSE))</f>
        <v>132369.63999671943</v>
      </c>
      <c r="BG115" s="227">
        <f>$F115*(VLOOKUP(BG$4, Rates_previous!$G$6:$Q$29, 10, FALSE)+VLOOKUP(BG$4, Rates_previous!$G$6:$Q$29, 11, FALSE))</f>
        <v>119921.62982636064</v>
      </c>
      <c r="BH115" s="229">
        <f>IF($D115=0,IF(C115=0, MAX(BK115 - (VLOOKUP($A115,TOCA_previous!$A$2:$AI$137,MATCH("RHWM 2018",TOCA_previous!$A$2:$AI$2,0),FALSE)*$F$2*TOCA_previous!C112),0),0), 0)</f>
        <v>0</v>
      </c>
      <c r="BI115" s="266">
        <f>VLOOKUP($A115,REP_previous!$A$1:$D$135,MATCH("FY "&amp;$F$1&amp; " Total Refund",REP_previous!$A$1:$D$1,0),0)</f>
        <v>5125709.8285247767</v>
      </c>
      <c r="BJ115" s="241">
        <f>MIN(VLOOKUP($A115,TOCA_previous!$A$2:$AI$137,MATCH("TRL - NLSL - Existing Resource "&amp;$F$1,TOCA_previous!$A$2:$AI$2,0),FALSE)*$F$2,(VLOOKUP($A115,TOCA_previous!$A$2:$AI$137,MATCH("RHWM 2018",TOCA_previous!$A$2:$AI$2,0),FALSE)*$F$2))</f>
        <v>3369621.6</v>
      </c>
      <c r="BK115" s="229">
        <f>SUM(L115:AI115)+(F115*RT1SC!$C$3*$F$2)</f>
        <v>1567449.0338954639</v>
      </c>
      <c r="BL115" s="241">
        <f>VLOOKUP($A115,TOCA_previous!$A$2:$AI$137,MATCH("Above RHWM Not Served with LS "&amp;$F$1,TOCA_previous!$A$2:$AI$2,0),FALSE)*$F$2</f>
        <v>0</v>
      </c>
      <c r="BM115" s="151">
        <f t="shared" si="21"/>
        <v>-1802172.5661045362</v>
      </c>
      <c r="BN115" s="242">
        <f>(VLOOKUP($A115,TOCA_previous!$A$2:$AI$137,MATCH("RHWM 2018",TOCA_previous!$A$2:$AI$2,0),FALSE)*$F$2) - $BJ115</f>
        <v>98742.720000000205</v>
      </c>
      <c r="BO115" s="151">
        <f t="shared" si="22"/>
        <v>0</v>
      </c>
      <c r="BP115" s="243">
        <f t="shared" si="23"/>
        <v>1802172.5661045362</v>
      </c>
      <c r="BQ115" s="237">
        <f t="shared" si="24"/>
        <v>0</v>
      </c>
      <c r="BR115" s="242">
        <f t="shared" si="25"/>
        <v>0</v>
      </c>
      <c r="BS115" s="151">
        <f>VLOOKUP($A115,TOCA_current!$A$2:$AI$137,MATCH(BS$4,TOCA_current!$A$2:$AI$2,0),FALSE)</f>
        <v>5.4609999999999999E-2</v>
      </c>
      <c r="BT115" s="151">
        <f>VLOOKUP($A115,TOCA_current!$A$2:$AI$137,MATCH(BT$4,TOCA_current!$A$2:$AI$2,0),FALSE)</f>
        <v>2.4998900000000001E-2</v>
      </c>
      <c r="BU115" s="236">
        <f t="shared" si="26"/>
        <v>2.9611099999999998E-2</v>
      </c>
      <c r="BV115" s="151">
        <f>VLOOKUP($A115,TOCA_current!A111:BG246,MATCH(BV$4,TOCA_current!$A$2:$BG$2,0),FALSE)</f>
        <v>0</v>
      </c>
      <c r="BW115" s="151">
        <f t="shared" si="27"/>
        <v>0</v>
      </c>
      <c r="BX115" s="151">
        <f t="shared" si="28"/>
        <v>0</v>
      </c>
      <c r="BY115" s="226">
        <f>VLOOKUP($A115,IRD!$A$4:$G$139, 7, FALSE)</f>
        <v>0</v>
      </c>
      <c r="BZ115" s="227">
        <f t="array" ref="BZ115">IF($BU115=0, INDEX(LS_current!$D$4:$AY$138, MATCH('Staging Table'!$A115, LS_current!$B$4:$B$138, 0), MATCH(BZ$4&amp;BZ$5, LS_current!$D$2:$AY$2&amp;LS_current!$D$3:$AY$3, 0)),SUM(VLOOKUP($A115, LS_current!$B$4:$AY$138, LS_current!D$148, FALSE), VLOOKUP($A115, LS_current!$B$4:$AY$138,LS_current!D$148, FALSE))/2)</f>
        <v>-14622</v>
      </c>
      <c r="CA115" s="227">
        <f t="array" ref="CA115">IF($BU115=0, INDEX(LS_current!$D$4:$AY$138, MATCH('Staging Table'!$A115, LS_current!$B$4:$B$138, 0), MATCH(CA$4&amp;CA$5, LS_current!$D$2:$AY$2&amp;LS_current!$D$3:$AY$3, 0)),SUM(VLOOKUP($A115, LS_current!$B$4:$AY$138, LS_current!E$148, FALSE), VLOOKUP($A115, LS_current!$B$4:$AY$138,LS_current!E$148, FALSE))/2)</f>
        <v>3563</v>
      </c>
      <c r="CB115" s="227">
        <f t="array" ref="CB115">IF($BU115=0, INDEX(LS_current!$D$4:$AY$138, MATCH('Staging Table'!$A115, LS_current!$B$4:$B$138, 0), MATCH(CB$4&amp;CB$5, LS_current!$D$2:$AY$2&amp;LS_current!$D$3:$AY$3, 0)),SUM(VLOOKUP($A115, LS_current!$B$4:$AY$138, LS_current!F$148, FALSE), VLOOKUP($A115, LS_current!$B$4:$AY$138,LS_current!F$148, FALSE))/2)</f>
        <v>-16998</v>
      </c>
      <c r="CC115" s="227">
        <f t="array" ref="CC115">IF($BU115=0, INDEX(LS_current!$D$4:$AY$138, MATCH('Staging Table'!$A115, LS_current!$B$4:$B$138, 0), MATCH(CC$4&amp;CC$5, LS_current!$D$2:$AY$2&amp;LS_current!$D$3:$AY$3, 0)),SUM(VLOOKUP($A115, LS_current!$B$4:$AY$138, LS_current!G$148, FALSE), VLOOKUP($A115, LS_current!$B$4:$AY$138,LS_current!G$148, FALSE))/2)</f>
        <v>5434</v>
      </c>
      <c r="CD115" s="227">
        <f t="array" ref="CD115">IF($BU115=0, INDEX(LS_current!$D$4:$AY$138, MATCH('Staging Table'!$A115, LS_current!$B$4:$B$138, 0), MATCH(CD$4&amp;CD$5, LS_current!$D$2:$AY$2&amp;LS_current!$D$3:$AY$3, 0)),SUM(VLOOKUP($A115, LS_current!$B$4:$AY$138, LS_current!H$148, FALSE), VLOOKUP($A115, LS_current!$B$4:$AY$138,LS_current!H$148, FALSE))/2)</f>
        <v>-13</v>
      </c>
      <c r="CE115" s="227">
        <f t="array" ref="CE115">IF($BU115=0, INDEX(LS_current!$D$4:$AY$138, MATCH('Staging Table'!$A115, LS_current!$B$4:$B$138, 0), MATCH(CE$4&amp;CE$5, LS_current!$D$2:$AY$2&amp;LS_current!$D$3:$AY$3, 0)),SUM(VLOOKUP($A115, LS_current!$B$4:$AY$138, LS_current!I$148, FALSE), VLOOKUP($A115, LS_current!$B$4:$AY$138,LS_current!I$148, FALSE))/2)</f>
        <v>22451</v>
      </c>
      <c r="CF115" s="227">
        <f t="array" ref="CF115">IF($BU115=0, INDEX(LS_current!$D$4:$AY$138, MATCH('Staging Table'!$A115, LS_current!$B$4:$B$138, 0), MATCH(CF$4&amp;CF$5, LS_current!$D$2:$AY$2&amp;LS_current!$D$3:$AY$3, 0)),SUM(VLOOKUP($A115, LS_current!$B$4:$AY$138, LS_current!J$148, FALSE), VLOOKUP($A115, LS_current!$B$4:$AY$138,LS_current!J$148, FALSE))/2)</f>
        <v>12507</v>
      </c>
      <c r="CG115" s="227">
        <f t="array" ref="CG115">IF($BU115=0, INDEX(LS_current!$D$4:$AY$138, MATCH('Staging Table'!$A115, LS_current!$B$4:$B$138, 0), MATCH(CG$4&amp;CG$5, LS_current!$D$2:$AY$2&amp;LS_current!$D$3:$AY$3, 0)),SUM(VLOOKUP($A115, LS_current!$B$4:$AY$138, LS_current!K$148, FALSE), VLOOKUP($A115, LS_current!$B$4:$AY$138,LS_current!K$148, FALSE))/2)</f>
        <v>24832</v>
      </c>
      <c r="CH115" s="227">
        <f t="array" ref="CH115">IF($BU115=0, INDEX(LS_current!$D$4:$AY$138, MATCH('Staging Table'!$A115, LS_current!$B$4:$B$138, 0), MATCH(CH$4&amp;CH$5, LS_current!$D$2:$AY$2&amp;LS_current!$D$3:$AY$3, 0)),SUM(VLOOKUP($A115, LS_current!$B$4:$AY$138, LS_current!L$148, FALSE), VLOOKUP($A115, LS_current!$B$4:$AY$138,LS_current!L$148, FALSE))/2)</f>
        <v>8612</v>
      </c>
      <c r="CI115" s="227">
        <f t="array" ref="CI115">IF($BU115=0, INDEX(LS_current!$D$4:$AY$138, MATCH('Staging Table'!$A115, LS_current!$B$4:$B$138, 0), MATCH(CI$4&amp;CI$5, LS_current!$D$2:$AY$2&amp;LS_current!$D$3:$AY$3, 0)),SUM(VLOOKUP($A115, LS_current!$B$4:$AY$138, LS_current!M$148, FALSE), VLOOKUP($A115, LS_current!$B$4:$AY$138,LS_current!M$148, FALSE))/2)</f>
        <v>17068</v>
      </c>
      <c r="CJ115" s="227">
        <f t="array" ref="CJ115">IF($BU115=0, INDEX(LS_current!$D$4:$AY$138, MATCH('Staging Table'!$A115, LS_current!$B$4:$B$138, 0), MATCH(CJ$4&amp;CJ$5, LS_current!$D$2:$AY$2&amp;LS_current!$D$3:$AY$3, 0)),SUM(VLOOKUP($A115, LS_current!$B$4:$AY$138, LS_current!N$148, FALSE), VLOOKUP($A115, LS_current!$B$4:$AY$138,LS_current!N$148, FALSE))/2)</f>
        <v>9432</v>
      </c>
      <c r="CK115" s="227">
        <f t="array" ref="CK115">IF($BU115=0, INDEX(LS_current!$D$4:$AY$138, MATCH('Staging Table'!$A115, LS_current!$B$4:$B$138, 0), MATCH(CK$4&amp;CK$5, LS_current!$D$2:$AY$2&amp;LS_current!$D$3:$AY$3, 0)),SUM(VLOOKUP($A115, LS_current!$B$4:$AY$138, LS_current!O$148, FALSE), VLOOKUP($A115, LS_current!$B$4:$AY$138,LS_current!O$148, FALSE))/2)</f>
        <v>23914</v>
      </c>
      <c r="CL115" s="227">
        <f t="array" ref="CL115">IF($BU115=0, INDEX(LS_current!$D$4:$AY$138, MATCH('Staging Table'!$A115, LS_current!$B$4:$B$138, 0), MATCH(CL$4&amp;CL$5, LS_current!$D$2:$AY$2&amp;LS_current!$D$3:$AY$3, 0)),SUM(VLOOKUP($A115, LS_current!$B$4:$AY$138, LS_current!P$148, FALSE), VLOOKUP($A115, LS_current!$B$4:$AY$138,LS_current!P$148, FALSE))/2)</f>
        <v>13040</v>
      </c>
      <c r="CM115" s="227">
        <f t="array" ref="CM115">IF($BU115=0, INDEX(LS_current!$D$4:$AY$138, MATCH('Staging Table'!$A115, LS_current!$B$4:$B$138, 0), MATCH(CM$4&amp;CM$5, LS_current!$D$2:$AY$2&amp;LS_current!$D$3:$AY$3, 0)),SUM(VLOOKUP($A115, LS_current!$B$4:$AY$138, LS_current!Q$148, FALSE), VLOOKUP($A115, LS_current!$B$4:$AY$138,LS_current!Q$148, FALSE))/2)</f>
        <v>18355</v>
      </c>
      <c r="CN115" s="227">
        <f t="array" ref="CN115">IF($BU115=0, INDEX(LS_current!$D$4:$AY$138, MATCH('Staging Table'!$A115, LS_current!$B$4:$B$138, 0), MATCH(CN$4&amp;CN$5, LS_current!$D$2:$AY$2&amp;LS_current!$D$3:$AY$3, 0)),SUM(VLOOKUP($A115, LS_current!$B$4:$AY$138, LS_current!R$148, FALSE), VLOOKUP($A115, LS_current!$B$4:$AY$138,LS_current!R$148, FALSE))/2)</f>
        <v>-23985</v>
      </c>
      <c r="CO115" s="227">
        <f t="array" ref="CO115">IF($BU115=0, INDEX(LS_current!$D$4:$AY$138, MATCH('Staging Table'!$A115, LS_current!$B$4:$B$138, 0), MATCH(CO$4&amp;CO$5, LS_current!$D$2:$AY$2&amp;LS_current!$D$3:$AY$3, 0)),SUM(VLOOKUP($A115, LS_current!$B$4:$AY$138, LS_current!S$148, FALSE), VLOOKUP($A115, LS_current!$B$4:$AY$138,LS_current!S$148, FALSE))/2)</f>
        <v>7028</v>
      </c>
      <c r="CP115" s="227">
        <f t="array" ref="CP115">IF($BU115=0, INDEX(LS_current!$D$4:$AY$138, MATCH('Staging Table'!$A115, LS_current!$B$4:$B$138, 0), MATCH(CP$4&amp;CP$5, LS_current!$D$2:$AY$2&amp;LS_current!$D$3:$AY$3, 0)),SUM(VLOOKUP($A115, LS_current!$B$4:$AY$138, LS_current!T$148, FALSE), VLOOKUP($A115, LS_current!$B$4:$AY$138,LS_current!T$148, FALSE))/2)</f>
        <v>-50334</v>
      </c>
      <c r="CQ115" s="227">
        <f t="array" ref="CQ115">IF($BU115=0, INDEX(LS_current!$D$4:$AY$138, MATCH('Staging Table'!$A115, LS_current!$B$4:$B$138, 0), MATCH(CQ$4&amp;CQ$5, LS_current!$D$2:$AY$2&amp;LS_current!$D$3:$AY$3, 0)),SUM(VLOOKUP($A115, LS_current!$B$4:$AY$138, LS_current!U$148, FALSE), VLOOKUP($A115, LS_current!$B$4:$AY$138,LS_current!U$148, FALSE))/2)</f>
        <v>-15768</v>
      </c>
      <c r="CR115" s="227">
        <f t="array" ref="CR115">IF($BU115=0, INDEX(LS_current!$D$4:$AY$138, MATCH('Staging Table'!$A115, LS_current!$B$4:$B$138, 0), MATCH(CR$4&amp;CR$5, LS_current!$D$2:$AY$2&amp;LS_current!$D$3:$AY$3, 0)),SUM(VLOOKUP($A115, LS_current!$B$4:$AY$138, LS_current!V$148, FALSE), VLOOKUP($A115, LS_current!$B$4:$AY$138,LS_current!V$148, FALSE))/2)</f>
        <v>-29356</v>
      </c>
      <c r="CS115" s="227">
        <f t="array" ref="CS115">IF($BU115=0, INDEX(LS_current!$D$4:$AY$138, MATCH('Staging Table'!$A115, LS_current!$B$4:$B$138, 0), MATCH(CS$4&amp;CS$5, LS_current!$D$2:$AY$2&amp;LS_current!$D$3:$AY$3, 0)),SUM(VLOOKUP($A115, LS_current!$B$4:$AY$138, LS_current!W$148, FALSE), VLOOKUP($A115, LS_current!$B$4:$AY$138,LS_current!W$148, FALSE))/2)</f>
        <v>7745</v>
      </c>
      <c r="CT115" s="227">
        <f t="array" ref="CT115">IF($BU115=0, INDEX(LS_current!$D$4:$AY$138, MATCH('Staging Table'!$A115, LS_current!$B$4:$B$138, 0), MATCH(CT$4&amp;CT$5, LS_current!$D$2:$AY$2&amp;LS_current!$D$3:$AY$3, 0)),SUM(VLOOKUP($A115, LS_current!$B$4:$AY$138, LS_current!X$148, FALSE), VLOOKUP($A115, LS_current!$B$4:$AY$138,LS_current!X$148, FALSE))/2)</f>
        <v>-29975</v>
      </c>
      <c r="CU115" s="227">
        <f t="array" ref="CU115">IF($BU115=0, INDEX(LS_current!$D$4:$AY$138, MATCH('Staging Table'!$A115, LS_current!$B$4:$B$138, 0), MATCH(CU$4&amp;CU$5, LS_current!$D$2:$AY$2&amp;LS_current!$D$3:$AY$3, 0)),SUM(VLOOKUP($A115, LS_current!$B$4:$AY$138, LS_current!Y$148, FALSE), VLOOKUP($A115, LS_current!$B$4:$AY$138,LS_current!Y$148, FALSE))/2)</f>
        <v>5727</v>
      </c>
      <c r="CV115" s="227">
        <f t="array" ref="CV115">IF($BU115=0, INDEX(LS_current!$D$4:$AY$138, MATCH('Staging Table'!$A115, LS_current!$B$4:$B$138, 0), MATCH(CV$4&amp;CV$5, LS_current!$D$2:$AY$2&amp;LS_current!$D$3:$AY$3, 0)),SUM(VLOOKUP($A115, LS_current!$B$4:$AY$138, LS_current!Z$148, FALSE), VLOOKUP($A115, LS_current!$B$4:$AY$138,LS_current!Z$148, FALSE))/2)</f>
        <v>-13438</v>
      </c>
      <c r="CW115" s="227">
        <f t="array" ref="CW115">IF($BU115=0, INDEX(LS_current!$D$4:$AY$138, MATCH('Staging Table'!$A115, LS_current!$B$4:$B$138, 0), MATCH(CW$4&amp;CW$5, LS_current!$D$2:$AY$2&amp;LS_current!$D$3:$AY$3, 0)),SUM(VLOOKUP($A115, LS_current!$B$4:$AY$138, LS_current!AA$148, FALSE), VLOOKUP($A115, LS_current!$B$4:$AY$138,LS_current!AA$148, FALSE))/2)</f>
        <v>7097</v>
      </c>
      <c r="CX115" s="229">
        <f t="array" ref="CX115">INDEX(Demand_current!$D$4:$AY$138, MATCH($A115, Demand_current!$B$4:$B$138, 0), MATCH(CX$4&amp;CX$5,Demand_current!$D$2:$AY$2&amp;Demand_current!$D$3:$AY$3, 0))/1000</f>
        <v>0</v>
      </c>
      <c r="CY115" s="229">
        <f t="array" ref="CY115">INDEX(Demand_current!$D$4:$AY$138, MATCH($A115, Demand_current!$B$4:$B$138, 0), MATCH(CY$4&amp;CY$5,Demand_current!$D$2:$AY$2&amp;Demand_current!$D$3:$AY$3, 0))/1000</f>
        <v>0</v>
      </c>
      <c r="CZ115" s="229">
        <f t="array" ref="CZ115">INDEX(Demand_current!$D$4:$AY$138, MATCH($A115, Demand_current!$B$4:$B$138, 0), MATCH(CZ$4&amp;CZ$5,Demand_current!$D$2:$AY$2&amp;Demand_current!$D$3:$AY$3, 0))/1000</f>
        <v>0</v>
      </c>
      <c r="DA115" s="229">
        <f t="array" ref="DA115">INDEX(Demand_current!$D$4:$AY$138, MATCH($A115, Demand_current!$B$4:$B$138, 0), MATCH(DA$4&amp;DA$5,Demand_current!$D$2:$AY$2&amp;Demand_current!$D$3:$AY$3, 0))/1000</f>
        <v>0</v>
      </c>
      <c r="DB115" s="229">
        <f t="array" ref="DB115">INDEX(Demand_current!$D$4:$AY$138, MATCH($A115, Demand_current!$B$4:$B$138, 0), MATCH(DB$4&amp;DB$5,Demand_current!$D$2:$AY$2&amp;Demand_current!$D$3:$AY$3, 0))/1000</f>
        <v>0</v>
      </c>
      <c r="DC115" s="229">
        <f t="array" ref="DC115">INDEX(Demand_current!$D$4:$AY$138, MATCH($A115, Demand_current!$B$4:$B$138, 0), MATCH(DC$4&amp;DC$5,Demand_current!$D$2:$AY$2&amp;Demand_current!$D$3:$AY$3, 0))/1000</f>
        <v>0</v>
      </c>
      <c r="DD115" s="229">
        <f t="array" ref="DD115">INDEX(Demand_current!$D$4:$AY$138, MATCH($A115, Demand_current!$B$4:$B$138, 0), MATCH(DD$4&amp;DD$5,Demand_current!$D$2:$AY$2&amp;Demand_current!$D$3:$AY$3, 0))/1000</f>
        <v>0</v>
      </c>
      <c r="DE115" s="229">
        <f t="array" ref="DE115">INDEX(Demand_current!$D$4:$AY$138, MATCH($A115, Demand_current!$B$4:$B$138, 0), MATCH(DE$4&amp;DE$5,Demand_current!$D$2:$AY$2&amp;Demand_current!$D$3:$AY$3, 0))/1000</f>
        <v>0</v>
      </c>
      <c r="DF115" s="229">
        <f t="array" ref="DF115">INDEX(Demand_current!$D$4:$AY$138, MATCH($A115, Demand_current!$B$4:$B$138, 0), MATCH(DF$4&amp;DF$5,Demand_current!$D$2:$AY$2&amp;Demand_current!$D$3:$AY$3, 0))/1000</f>
        <v>0</v>
      </c>
      <c r="DG115" s="229">
        <f t="array" ref="DG115">INDEX(Demand_current!$D$4:$AY$138, MATCH($A115, Demand_current!$B$4:$B$138, 0), MATCH(DG$4&amp;DG$5,Demand_current!$D$2:$AY$2&amp;Demand_current!$D$3:$AY$3, 0))/1000</f>
        <v>0</v>
      </c>
      <c r="DH115" s="229">
        <f t="array" ref="DH115">INDEX(Demand_current!$D$4:$AY$138, MATCH($A115, Demand_current!$B$4:$B$138, 0), MATCH(DH$4&amp;DH$5,Demand_current!$D$2:$AY$2&amp;Demand_current!$D$3:$AY$3, 0))/1000</f>
        <v>0</v>
      </c>
      <c r="DI115" s="229">
        <f t="array" ref="DI115">INDEX(Demand_current!$D$4:$AY$138, MATCH($A115, Demand_current!$B$4:$B$138, 0), MATCH(DI$4&amp;DI$5,Demand_current!$D$2:$AY$2&amp;Demand_current!$D$3:$AY$3, 0))/1000</f>
        <v>0</v>
      </c>
      <c r="DJ115" s="227">
        <f>$BT115*(VLOOKUP(DJ$4, Rates_current!$G$6:$Q$29, 10, FALSE)+VLOOKUP(DJ$4, Rates_current!$G$6:$Q$29, 11, FALSE))</f>
        <v>115427.8508510844</v>
      </c>
      <c r="DK115" s="227">
        <f>$BT115*(VLOOKUP(DK$4, Rates_current!$G$6:$Q$29, 10, FALSE)+VLOOKUP(DK$4, Rates_current!$G$6:$Q$29, 11, FALSE))</f>
        <v>146629.37899843711</v>
      </c>
      <c r="DL115" s="227">
        <f>$BT115*(VLOOKUP(DL$4, Rates_current!$G$6:$Q$29, 10, FALSE)+VLOOKUP(DL$4, Rates_current!$G$6:$Q$29, 11, FALSE))</f>
        <v>144858.63083978443</v>
      </c>
      <c r="DM115" s="227">
        <f>$BT115*(VLOOKUP(DM$4, Rates_current!$G$6:$Q$29, 10, FALSE)+VLOOKUP(DM$4, Rates_current!$G$6:$Q$29, 11, FALSE))</f>
        <v>120748.49173258441</v>
      </c>
      <c r="DN115" s="227">
        <f>$BT115*(VLOOKUP(DN$4, Rates_current!$G$6:$Q$29, 10, FALSE)+VLOOKUP(DN$4, Rates_current!$G$6:$Q$29, 11, FALSE))</f>
        <v>109385.60682152001</v>
      </c>
      <c r="DO115" s="227">
        <f>$BT115*(VLOOKUP(DO$4, Rates_current!$G$6:$Q$29, 10, FALSE)+VLOOKUP(DO$4, Rates_current!$G$6:$Q$29, 11, FALSE))</f>
        <v>121671.5446414693</v>
      </c>
      <c r="DP115" s="227">
        <f>$BT115*(VLOOKUP(DP$4, Rates_current!$G$6:$Q$29, 10, FALSE)+VLOOKUP(DP$4, Rates_current!$G$6:$Q$29, 11, FALSE))</f>
        <v>99065.102943671998</v>
      </c>
      <c r="DQ115" s="227">
        <f>$BT115*(VLOOKUP(DQ$4, Rates_current!$G$6:$Q$29, 10, FALSE)+VLOOKUP(DQ$4, Rates_current!$G$6:$Q$29, 11, FALSE))</f>
        <v>133604.06356253443</v>
      </c>
      <c r="DR115" s="227">
        <f>$BT115*(VLOOKUP(DR$4, Rates_current!$G$6:$Q$29, 10, FALSE)+VLOOKUP(DR$4, Rates_current!$G$6:$Q$29, 11, FALSE))</f>
        <v>170469.69850322203</v>
      </c>
      <c r="DS115" s="227">
        <f>$BT115*(VLOOKUP(DS$4, Rates_current!$G$6:$Q$29, 10, FALSE)+VLOOKUP(DS$4, Rates_current!$G$6:$Q$29, 11, FALSE))</f>
        <v>133653.64888068443</v>
      </c>
      <c r="DT115" s="227">
        <f>$BT115*(VLOOKUP(DT$4, Rates_current!$G$6:$Q$29, 10, FALSE)+VLOOKUP(DT$4, Rates_current!$G$6:$Q$29, 11, FALSE))</f>
        <v>130152.04045823442</v>
      </c>
      <c r="DU115" s="227">
        <f>$BT115*(VLOOKUP(DU$4, Rates_current!$G$6:$Q$29, 10, FALSE)+VLOOKUP(DU$4, Rates_current!$G$6:$Q$29, 11, FALSE))</f>
        <v>116848.84542457202</v>
      </c>
      <c r="DV115" s="229">
        <f>IF(D115=0,IF(C115=0,MAX(0,DY115 - (VLOOKUP($A115,TOCA_current!$A$2:$AI$137,MATCH("RHWM 2020",TOCA_current!$A$2:$AI$2,0),FALSE)*$BT$2)), 0),0)</f>
        <v>0</v>
      </c>
      <c r="DW115" s="266">
        <f>VLOOKUP($A115,REP_current!$A$1:$D$135,MATCH("FY "&amp;$BT$1&amp; " Total Refund",REP_current!$A$1:$D$1,0),0)</f>
        <v>0</v>
      </c>
      <c r="DX115" s="295">
        <f>MIN(VLOOKUP($A115,TOCA_current!$A$2:$AI$137,MATCH("TRL - NLSL - Existing Resource "&amp;$BT$1,TOCA_current!$A$2:$AI$2,0),FALSE)*$BT$2, VLOOKUP($A115,TOCA_current!$A$2:$AI$137,MATCH("RHWM 2020",TOCA_current!$A$2:$AI$2,0),FALSE)*$BT$2)</f>
        <v>3369621.4559999998</v>
      </c>
      <c r="DY115" s="240">
        <f>SUM(BZ115:CW115)+(BT115*RT1SC!$C$4*$BT$2)</f>
        <v>1534830.9615552512</v>
      </c>
      <c r="DZ115" s="271">
        <f>VLOOKUP($A115,TOCA_current!$A$2:$AI$137,MATCH("Above RHWM Not Served with LS "&amp;$BT$1,TOCA_current!$A$2:$AI$2,0),FALSE)*$BT$2</f>
        <v>0</v>
      </c>
      <c r="EA115" s="244">
        <f t="shared" si="29"/>
        <v>-1834790.4944447486</v>
      </c>
      <c r="EB115" s="295">
        <f>(VLOOKUP($A115,TOCA_current!$A$2:$AI$137,MATCH("RHWM 2020",TOCA_current!$A$2:$AI$2,0),FALSE)*$BT$2) - $DX115</f>
        <v>146262.38400000008</v>
      </c>
      <c r="EC115" s="240">
        <f t="shared" si="30"/>
        <v>0</v>
      </c>
      <c r="ED115" s="240">
        <f t="shared" si="31"/>
        <v>1834790.4944447486</v>
      </c>
      <c r="EE115" s="240">
        <f t="shared" si="32"/>
        <v>0</v>
      </c>
      <c r="EF115" s="240">
        <f t="shared" si="33"/>
        <v>0</v>
      </c>
    </row>
    <row r="116" spans="1:136">
      <c r="A116" s="166">
        <v>10371</v>
      </c>
      <c r="B116" s="167" t="s">
        <v>117</v>
      </c>
      <c r="C116" s="240">
        <v>0</v>
      </c>
      <c r="D116" s="240">
        <v>0</v>
      </c>
      <c r="E116" s="150">
        <f>VLOOKUP($A116,TOCA_previous!$A$2:$AI$137,MATCH(E$4,TOCA_previous!$A$2:$AI$2,0),FALSE)</f>
        <v>1.5629999999999999E-3</v>
      </c>
      <c r="F116" s="151">
        <f>VLOOKUP($A116,TOCA_previous!$A$2:$AI$137,MATCH(F$4,TOCA_previous!$A$2:$AI$2,0),FALSE)</f>
        <v>1.5629999999999999E-3</v>
      </c>
      <c r="G116" s="151">
        <f t="shared" si="18"/>
        <v>0</v>
      </c>
      <c r="H116" s="151">
        <f>VLOOKUP($A116,TOCA_previous!$A$2:$AI$137,MATCH(H$4,TOCA_previous!$A$2:$AI$2,0),FALSE)</f>
        <v>0</v>
      </c>
      <c r="I116" s="151">
        <f t="shared" si="19"/>
        <v>0</v>
      </c>
      <c r="J116" s="151">
        <f t="shared" si="20"/>
        <v>0</v>
      </c>
      <c r="K116" s="226">
        <f>VLOOKUP(A116, IRD!$A$5:$C$139, 3, FALSE)</f>
        <v>0</v>
      </c>
      <c r="L116" s="227">
        <f t="array" ref="L116">IF($G116=0, INDEX(LS_previous!$D$4:$AY$138, MATCH('Staging Table'!$A116, LS_previous!$B$4:$B$138, 0), MATCH(L$4&amp;L$5, LS_previous!$D$2:$AY$2&amp;LS_previous!$D$3:$AY$3, 0)),SUM(VLOOKUP($A116, LS_previous!$B$4:$AY$138, LS_previous!D$149, FALSE), VLOOKUP('Staging Table'!$A116, LS_previous!$B$4:$AY$138,LS_previous!AB$149, FALSE))/2)</f>
        <v>-133</v>
      </c>
      <c r="M116" s="227">
        <f t="array" ref="M116">IF($G116=0, INDEX(LS_previous!$D$4:$AY$138, MATCH('Staging Table'!$A116, LS_previous!$B$4:$B$138, 0), MATCH(M$4&amp;M$5, LS_previous!$D$2:$AY$2&amp;LS_previous!$D$3:$AY$3, 0)),SUM(VLOOKUP($A116, LS_previous!$B$4:$AY$138, LS_previous!E$149, FALSE), VLOOKUP('Staging Table'!$A116, LS_previous!$B$4:$AY$138,LS_previous!AC$149, FALSE))/2)</f>
        <v>115</v>
      </c>
      <c r="N116" s="227">
        <f t="array" ref="N116">IF($G116=0, INDEX(LS_previous!$D$4:$AY$138, MATCH('Staging Table'!$A116, LS_previous!$B$4:$B$138, 0), MATCH(N$4&amp;N$5, LS_previous!$D$2:$AY$2&amp;LS_previous!$D$3:$AY$3, 0)),SUM(VLOOKUP($A116, LS_previous!$B$4:$AY$138, LS_previous!F$149, FALSE), VLOOKUP('Staging Table'!$A116, LS_previous!$B$4:$AY$138,LS_previous!AD$149, FALSE))/2)</f>
        <v>-445</v>
      </c>
      <c r="O116" s="227">
        <f t="array" ref="O116">IF($G116=0, INDEX(LS_previous!$D$4:$AY$138, MATCH('Staging Table'!$A116, LS_previous!$B$4:$B$138, 0), MATCH(O$4&amp;O$5, LS_previous!$D$2:$AY$2&amp;LS_previous!$D$3:$AY$3, 0)),SUM(VLOOKUP($A116, LS_previous!$B$4:$AY$138, LS_previous!G$149, FALSE), VLOOKUP('Staging Table'!$A116, LS_previous!$B$4:$AY$138,LS_previous!AE$149, FALSE))/2)</f>
        <v>124</v>
      </c>
      <c r="P116" s="227">
        <f t="array" ref="P116">IF($G116=0, INDEX(LS_previous!$D$4:$AY$138, MATCH('Staging Table'!$A116, LS_previous!$B$4:$B$138, 0), MATCH(P$4&amp;P$5, LS_previous!$D$2:$AY$2&amp;LS_previous!$D$3:$AY$3, 0)),SUM(VLOOKUP($A116, LS_previous!$B$4:$AY$138, LS_previous!H$149, FALSE), VLOOKUP('Staging Table'!$A116, LS_previous!$B$4:$AY$138,LS_previous!AF$149, FALSE))/2)</f>
        <v>287</v>
      </c>
      <c r="Q116" s="227">
        <f t="array" ref="Q116">IF($G116=0, INDEX(LS_previous!$D$4:$AY$138, MATCH('Staging Table'!$A116, LS_previous!$B$4:$B$138, 0), MATCH(Q$4&amp;Q$5, LS_previous!$D$2:$AY$2&amp;LS_previous!$D$3:$AY$3, 0)),SUM(VLOOKUP($A116, LS_previous!$B$4:$AY$138, LS_previous!I$149, FALSE), VLOOKUP('Staging Table'!$A116, LS_previous!$B$4:$AY$138,LS_previous!AG$149, FALSE))/2)</f>
        <v>350</v>
      </c>
      <c r="R116" s="227">
        <f t="array" ref="R116">IF($G116=0, INDEX(LS_previous!$D$4:$AY$138, MATCH('Staging Table'!$A116, LS_previous!$B$4:$B$138, 0), MATCH(R$4&amp;R$5, LS_previous!$D$2:$AY$2&amp;LS_previous!$D$3:$AY$3, 0)),SUM(VLOOKUP($A116, LS_previous!$B$4:$AY$138, LS_previous!J$149, FALSE), VLOOKUP('Staging Table'!$A116, LS_previous!$B$4:$AY$138,LS_previous!AH$149, FALSE))/2)</f>
        <v>931</v>
      </c>
      <c r="S116" s="227">
        <f t="array" ref="S116">IF($G116=0, INDEX(LS_previous!$D$4:$AY$138, MATCH('Staging Table'!$A116, LS_previous!$B$4:$B$138, 0), MATCH(S$4&amp;S$5, LS_previous!$D$2:$AY$2&amp;LS_previous!$D$3:$AY$3, 0)),SUM(VLOOKUP($A116, LS_previous!$B$4:$AY$138, LS_previous!K$149, FALSE), VLOOKUP('Staging Table'!$A116, LS_previous!$B$4:$AY$138,LS_previous!AI$149, FALSE))/2)</f>
        <v>881</v>
      </c>
      <c r="T116" s="227">
        <f t="array" ref="T116">IF($G116=0, INDEX(LS_previous!$D$4:$AY$138, MATCH('Staging Table'!$A116, LS_previous!$B$4:$B$138, 0), MATCH(T$4&amp;T$5, LS_previous!$D$2:$AY$2&amp;LS_previous!$D$3:$AY$3, 0)),SUM(VLOOKUP($A116, LS_previous!$B$4:$AY$138, LS_previous!L$149, FALSE), VLOOKUP('Staging Table'!$A116, LS_previous!$B$4:$AY$138,LS_previous!AJ$149, FALSE))/2)</f>
        <v>1224</v>
      </c>
      <c r="U116" s="227">
        <f t="array" ref="U116">IF($G116=0, INDEX(LS_previous!$D$4:$AY$138, MATCH('Staging Table'!$A116, LS_previous!$B$4:$B$138, 0), MATCH(U$4&amp;U$5, LS_previous!$D$2:$AY$2&amp;LS_previous!$D$3:$AY$3, 0)),SUM(VLOOKUP($A116, LS_previous!$B$4:$AY$138, LS_previous!M$149, FALSE), VLOOKUP('Staging Table'!$A116, LS_previous!$B$4:$AY$138,LS_previous!AK$149, FALSE))/2)</f>
        <v>935</v>
      </c>
      <c r="V116" s="227">
        <f t="array" ref="V116">IF($G116=0, INDEX(LS_previous!$D$4:$AY$138, MATCH('Staging Table'!$A116, LS_previous!$B$4:$B$138, 0), MATCH(V$4&amp;V$5, LS_previous!$D$2:$AY$2&amp;LS_previous!$D$3:$AY$3, 0)),SUM(VLOOKUP($A116, LS_previous!$B$4:$AY$138, LS_previous!N$149, FALSE), VLOOKUP('Staging Table'!$A116, LS_previous!$B$4:$AY$138,LS_previous!AL$149, FALSE))/2)</f>
        <v>441</v>
      </c>
      <c r="W116" s="227">
        <f t="array" ref="W116">IF($G116=0, INDEX(LS_previous!$D$4:$AY$138, MATCH('Staging Table'!$A116, LS_previous!$B$4:$B$138, 0), MATCH(W$4&amp;W$5, LS_previous!$D$2:$AY$2&amp;LS_previous!$D$3:$AY$3, 0)),SUM(VLOOKUP($A116, LS_previous!$B$4:$AY$138, LS_previous!O$149, FALSE), VLOOKUP('Staging Table'!$A116, LS_previous!$B$4:$AY$138,LS_previous!AM$149, FALSE))/2)</f>
        <v>390</v>
      </c>
      <c r="X116" s="227">
        <f t="array" ref="X116">IF($G116=0, INDEX(LS_previous!$D$4:$AY$138, MATCH('Staging Table'!$A116, LS_previous!$B$4:$B$138, 0), MATCH(X$4&amp;X$5, LS_previous!$D$2:$AY$2&amp;LS_previous!$D$3:$AY$3, 0)),SUM(VLOOKUP($A116, LS_previous!$B$4:$AY$138, LS_previous!P$149, FALSE), VLOOKUP('Staging Table'!$A116, LS_previous!$B$4:$AY$138,LS_previous!AN$149, FALSE))/2)</f>
        <v>21</v>
      </c>
      <c r="Y116" s="227">
        <f t="array" ref="Y116">IF($G116=0, INDEX(LS_previous!$D$4:$AY$138, MATCH('Staging Table'!$A116, LS_previous!$B$4:$B$138, 0), MATCH(Y$4&amp;Y$5, LS_previous!$D$2:$AY$2&amp;LS_previous!$D$3:$AY$3, 0)),SUM(VLOOKUP($A116, LS_previous!$B$4:$AY$138, LS_previous!Q$149, FALSE), VLOOKUP('Staging Table'!$A116, LS_previous!$B$4:$AY$138,LS_previous!AO$149, FALSE))/2)</f>
        <v>245</v>
      </c>
      <c r="Z116" s="227">
        <f t="array" ref="Z116">IF($G116=0, INDEX(LS_previous!$D$4:$AY$138, MATCH('Staging Table'!$A116, LS_previous!$B$4:$B$138, 0), MATCH(Z$4&amp;Z$5, LS_previous!$D$2:$AY$2&amp;LS_previous!$D$3:$AY$3, 0)),SUM(VLOOKUP($A116, LS_previous!$B$4:$AY$138, LS_previous!R$149, FALSE), VLOOKUP('Staging Table'!$A116, LS_previous!$B$4:$AY$138,LS_previous!AP$149, FALSE))/2)</f>
        <v>-2778</v>
      </c>
      <c r="AA116" s="227">
        <f t="array" ref="AA116">IF($G116=0, INDEX(LS_previous!$D$4:$AY$138, MATCH('Staging Table'!$A116, LS_previous!$B$4:$B$138, 0), MATCH(AA$4&amp;AA$5, LS_previous!$D$2:$AY$2&amp;LS_previous!$D$3:$AY$3, 0)),SUM(VLOOKUP($A116, LS_previous!$B$4:$AY$138, LS_previous!S$149, FALSE), VLOOKUP('Staging Table'!$A116, LS_previous!$B$4:$AY$138,LS_previous!AQ$149, FALSE))/2)</f>
        <v>-1166</v>
      </c>
      <c r="AB116" s="227">
        <f t="array" ref="AB116">IF($G116=0, INDEX(LS_previous!$D$4:$AY$138, MATCH('Staging Table'!$A116, LS_previous!$B$4:$B$138, 0), MATCH(AB$4&amp;AB$5, LS_previous!$D$2:$AY$2&amp;LS_previous!$D$3:$AY$3, 0)),SUM(VLOOKUP($A116, LS_previous!$B$4:$AY$138, LS_previous!T$149, FALSE), VLOOKUP('Staging Table'!$A116, LS_previous!$B$4:$AY$138,LS_previous!AR$149, FALSE))/2)</f>
        <v>-1578</v>
      </c>
      <c r="AC116" s="227">
        <f t="array" ref="AC116">IF($G116=0, INDEX(LS_previous!$D$4:$AY$138, MATCH('Staging Table'!$A116, LS_previous!$B$4:$B$138, 0), MATCH(AC$4&amp;AC$5, LS_previous!$D$2:$AY$2&amp;LS_previous!$D$3:$AY$3, 0)),SUM(VLOOKUP($A116, LS_previous!$B$4:$AY$138, LS_previous!U$149, FALSE), VLOOKUP('Staging Table'!$A116, LS_previous!$B$4:$AY$138,LS_previous!AS$149, FALSE))/2)</f>
        <v>-544</v>
      </c>
      <c r="AD116" s="227">
        <f t="array" ref="AD116">IF($G116=0, INDEX(LS_previous!$D$4:$AY$138, MATCH('Staging Table'!$A116, LS_previous!$B$4:$B$138, 0), MATCH(AD$4&amp;AD$5, LS_previous!$D$2:$AY$2&amp;LS_previous!$D$3:$AY$3, 0)),SUM(VLOOKUP($A116, LS_previous!$B$4:$AY$138, LS_previous!V$149, FALSE), VLOOKUP('Staging Table'!$A116, LS_previous!$B$4:$AY$138,LS_previous!AT$149, FALSE))/2)</f>
        <v>-681</v>
      </c>
      <c r="AE116" s="227">
        <f t="array" ref="AE116">IF($G116=0, INDEX(LS_previous!$D$4:$AY$138, MATCH('Staging Table'!$A116, LS_previous!$B$4:$B$138, 0), MATCH(AE$4&amp;AE$5, LS_previous!$D$2:$AY$2&amp;LS_previous!$D$3:$AY$3, 0)),SUM(VLOOKUP($A116, LS_previous!$B$4:$AY$138, LS_previous!W$149, FALSE), VLOOKUP('Staging Table'!$A116, LS_previous!$B$4:$AY$138,LS_previous!AU$149, FALSE))/2)</f>
        <v>104</v>
      </c>
      <c r="AF116" s="227">
        <f t="array" ref="AF116">IF($G116=0, INDEX(LS_previous!$D$4:$AY$138, MATCH('Staging Table'!$A116, LS_previous!$B$4:$B$138, 0), MATCH(AF$4&amp;AF$5, LS_previous!$D$2:$AY$2&amp;LS_previous!$D$3:$AY$3, 0)),SUM(VLOOKUP($A116, LS_previous!$B$4:$AY$138, LS_previous!X$149, FALSE), VLOOKUP('Staging Table'!$A116, LS_previous!$B$4:$AY$138,LS_previous!AV$149, FALSE))/2)</f>
        <v>-1166</v>
      </c>
      <c r="AG116" s="227">
        <f t="array" ref="AG116">IF($G116=0, INDEX(LS_previous!$D$4:$AY$138, MATCH('Staging Table'!$A116, LS_previous!$B$4:$B$138, 0), MATCH(AG$4&amp;AG$5, LS_previous!$D$2:$AY$2&amp;LS_previous!$D$3:$AY$3, 0)),SUM(VLOOKUP($A116, LS_previous!$B$4:$AY$138, LS_previous!Y$149, FALSE), VLOOKUP('Staging Table'!$A116, LS_previous!$B$4:$AY$138,LS_previous!AW$149, FALSE))/2)</f>
        <v>-166</v>
      </c>
      <c r="AH116" s="227">
        <f t="array" ref="AH116">IF($G116=0, INDEX(LS_previous!$D$4:$AY$138, MATCH('Staging Table'!$A116, LS_previous!$B$4:$B$138, 0), MATCH(AH$4&amp;AH$5, LS_previous!$D$2:$AY$2&amp;LS_previous!$D$3:$AY$3, 0)),SUM(VLOOKUP($A116, LS_previous!$B$4:$AY$138, LS_previous!Z$149, FALSE), VLOOKUP('Staging Table'!$A116, LS_previous!$B$4:$AY$138,LS_previous!AX$149, FALSE))/2)</f>
        <v>-949</v>
      </c>
      <c r="AI116" s="227">
        <f t="array" ref="AI116">IF($G116=0, INDEX(LS_previous!$D$4:$AY$138, MATCH('Staging Table'!$A116, LS_previous!$B$4:$B$138, 0), MATCH(AI$4&amp;AI$5, LS_previous!$D$2:$AY$2&amp;LS_previous!$D$3:$AY$3, 0)),SUM(VLOOKUP($A116, LS_previous!$B$4:$AY$138, LS_previous!AA$149, FALSE), VLOOKUP('Staging Table'!$A116, LS_previous!$B$4:$AY$138,LS_previous!AY$149, FALSE))/2)</f>
        <v>-252</v>
      </c>
      <c r="AJ116" s="424">
        <f t="array" ref="AJ116">INDEX(Demand_previous!$D$4:$AY$138, MATCH('Staging Table'!$A116, Demand_previous!$B$4:$B$138, 0), MATCH(AJ$4&amp;AJ$5,Demand_previous!$D$2:$AY$2&amp;Demand_previous!$D$3:$AY$3, 0))/1000</f>
        <v>0</v>
      </c>
      <c r="AK116" s="424">
        <f t="array" ref="AK116">INDEX(Demand_previous!$D$4:$AY$138, MATCH('Staging Table'!$A116, Demand_previous!$B$4:$B$138, 0), MATCH(AK$4&amp;AK$5,Demand_previous!$D$2:$AY$2&amp;Demand_previous!$D$3:$AY$3, 0))/1000</f>
        <v>7.8E-2</v>
      </c>
      <c r="AL116" s="424">
        <f t="array" ref="AL116">INDEX(Demand_previous!$D$4:$AY$138, MATCH('Staging Table'!$A116, Demand_previous!$B$4:$B$138, 0), MATCH(AL$4&amp;AL$5,Demand_previous!$D$2:$AY$2&amp;Demand_previous!$D$3:$AY$3, 0))/1000</f>
        <v>2.5000000000000001E-2</v>
      </c>
      <c r="AM116" s="424">
        <f t="array" ref="AM116">INDEX(Demand_previous!$D$4:$AY$138, MATCH('Staging Table'!$A116, Demand_previous!$B$4:$B$138, 0), MATCH(AM$4&amp;AM$5,Demand_previous!$D$2:$AY$2&amp;Demand_previous!$D$3:$AY$3, 0))/1000</f>
        <v>1.5549999999999999</v>
      </c>
      <c r="AN116" s="424">
        <f t="array" ref="AN116">INDEX(Demand_previous!$D$4:$AY$138, MATCH('Staging Table'!$A116, Demand_previous!$B$4:$B$138, 0), MATCH(AN$4&amp;AN$5,Demand_previous!$D$2:$AY$2&amp;Demand_previous!$D$3:$AY$3, 0))/1000</f>
        <v>0.84599999999999997</v>
      </c>
      <c r="AO116" s="424">
        <f t="array" ref="AO116">INDEX(Demand_previous!$D$4:$AY$138, MATCH('Staging Table'!$A116, Demand_previous!$B$4:$B$138, 0), MATCH(AO$4&amp;AO$5,Demand_previous!$D$2:$AY$2&amp;Demand_previous!$D$3:$AY$3, 0))/1000</f>
        <v>0.54800000000000004</v>
      </c>
      <c r="AP116" s="424">
        <f t="array" ref="AP116">INDEX(Demand_previous!$D$4:$AY$138, MATCH('Staging Table'!$A116, Demand_previous!$B$4:$B$138, 0), MATCH(AP$4&amp;AP$5,Demand_previous!$D$2:$AY$2&amp;Demand_previous!$D$3:$AY$3, 0))/1000</f>
        <v>0</v>
      </c>
      <c r="AQ116" s="424">
        <f t="array" ref="AQ116">INDEX(Demand_previous!$D$4:$AY$138, MATCH('Staging Table'!$A116, Demand_previous!$B$4:$B$138, 0), MATCH(AQ$4&amp;AQ$5,Demand_previous!$D$2:$AY$2&amp;Demand_previous!$D$3:$AY$3, 0))/1000</f>
        <v>0.51100000000000001</v>
      </c>
      <c r="AR116" s="424">
        <f t="array" ref="AR116">INDEX(Demand_previous!$D$4:$AY$138, MATCH('Staging Table'!$A116, Demand_previous!$B$4:$B$138, 0), MATCH(AR$4&amp;AR$5,Demand_previous!$D$2:$AY$2&amp;Demand_previous!$D$3:$AY$3, 0))/1000</f>
        <v>1.54</v>
      </c>
      <c r="AS116" s="424">
        <f t="array" ref="AS116">INDEX(Demand_previous!$D$4:$AY$138, MATCH('Staging Table'!$A116, Demand_previous!$B$4:$B$138, 0), MATCH(AS$4&amp;AS$5,Demand_previous!$D$2:$AY$2&amp;Demand_previous!$D$3:$AY$3, 0))/1000</f>
        <v>0.63700000000000001</v>
      </c>
      <c r="AT116" s="424">
        <f t="array" ref="AT116">INDEX(Demand_previous!$D$4:$AY$138, MATCH('Staging Table'!$A116, Demand_previous!$B$4:$B$138, 0), MATCH(AT$4&amp;AT$5,Demand_previous!$D$2:$AY$2&amp;Demand_previous!$D$3:$AY$3, 0))/1000</f>
        <v>1.103</v>
      </c>
      <c r="AU116" s="424">
        <f t="array" ref="AU116">INDEX(Demand_previous!$D$4:$AY$138, MATCH('Staging Table'!$A116, Demand_previous!$B$4:$B$138, 0), MATCH(AU$4&amp;AU$5,Demand_previous!$D$2:$AY$2&amp;Demand_previous!$D$3:$AY$3, 0))/1000</f>
        <v>0</v>
      </c>
      <c r="AV116" s="227">
        <f>$F116*(VLOOKUP(AV$4, Rates_previous!$G$6:$Q$29, 10, FALSE)+VLOOKUP(AV$4, Rates_previous!$G$6:$Q$29, 11, FALSE))</f>
        <v>7328.6534226147878</v>
      </c>
      <c r="AW116" s="227">
        <f>$F116*(VLOOKUP(AW$4, Rates_previous!$G$6:$Q$29, 10, FALSE)+VLOOKUP(AW$4, Rates_previous!$G$6:$Q$29, 11, FALSE))</f>
        <v>9057.6586231729707</v>
      </c>
      <c r="AX116" s="227">
        <f>$F116*(VLOOKUP(AX$4, Rates_previous!$G$6:$Q$29, 10, FALSE)+VLOOKUP(AX$4, Rates_previous!$G$6:$Q$29, 11, FALSE))</f>
        <v>8948.886976591657</v>
      </c>
      <c r="AY116" s="227">
        <f>$F116*(VLOOKUP(AY$4, Rates_previous!$G$6:$Q$29, 10, FALSE)+VLOOKUP(AY$4, Rates_previous!$G$6:$Q$29, 11, FALSE))</f>
        <v>7645.9709516950797</v>
      </c>
      <c r="AZ116" s="227">
        <f>$F116*(VLOOKUP(AZ$4, Rates_previous!$G$6:$Q$29, 10, FALSE)+VLOOKUP(AZ$4, Rates_previous!$G$6:$Q$29, 11, FALSE))</f>
        <v>6268.2130826275334</v>
      </c>
      <c r="BA116" s="227">
        <f>$F116*(VLOOKUP(BA$4, Rates_previous!$G$6:$Q$29, 10, FALSE)+VLOOKUP(BA$4, Rates_previous!$G$6:$Q$29, 11, FALSE))</f>
        <v>7421.3366072016033</v>
      </c>
      <c r="BB116" s="227">
        <f>$F116*(VLOOKUP(BB$4, Rates_previous!$G$6:$Q$29, 10, FALSE)+VLOOKUP(BB$4, Rates_previous!$G$6:$Q$29, 11, FALSE))</f>
        <v>7132.9839787893115</v>
      </c>
      <c r="BC116" s="227">
        <f>$F116*(VLOOKUP(BC$4, Rates_previous!$G$6:$Q$29, 10, FALSE)+VLOOKUP(BC$4, Rates_previous!$G$6:$Q$29, 11, FALSE))</f>
        <v>10467.149239329006</v>
      </c>
      <c r="BD116" s="227">
        <f>$F116*(VLOOKUP(BD$4, Rates_previous!$G$6:$Q$29, 10, FALSE)+VLOOKUP(BD$4, Rates_previous!$G$6:$Q$29, 11, FALSE))</f>
        <v>8258.3040997039625</v>
      </c>
      <c r="BE116" s="227">
        <f>$F116*(VLOOKUP(BE$4, Rates_previous!$G$6:$Q$29, 10, FALSE)+VLOOKUP(BE$4, Rates_previous!$G$6:$Q$29, 11, FALSE))</f>
        <v>7251.4841646737268</v>
      </c>
      <c r="BF116" s="227">
        <f>$F116*(VLOOKUP(BF$4, Rates_previous!$G$6:$Q$29, 10, FALSE)+VLOOKUP(BF$4, Rates_previous!$G$6:$Q$29, 11, FALSE))</f>
        <v>8031.3089727017486</v>
      </c>
      <c r="BG116" s="227">
        <f>$F116*(VLOOKUP(BG$4, Rates_previous!$G$6:$Q$29, 10, FALSE)+VLOOKUP(BG$4, Rates_previous!$G$6:$Q$29, 11, FALSE))</f>
        <v>7276.046544127018</v>
      </c>
      <c r="BH116" s="229">
        <f>IF($D116=0,IF(C116=0, MAX(BK116 - (VLOOKUP($A116,TOCA_previous!$A$2:$AI$137,MATCH("RHWM 2018",TOCA_previous!$A$2:$AI$2,0),FALSE)*$F$2*TOCA_previous!C113),0),0), 0)</f>
        <v>0</v>
      </c>
      <c r="BI116" s="266">
        <f>VLOOKUP($A116,REP_previous!$A$1:$D$135,MATCH("FY "&amp;$F$1&amp; " Total Refund",REP_previous!$A$1:$D$1,0),0)</f>
        <v>121409.34421493355</v>
      </c>
      <c r="BJ116" s="241">
        <f>MIN(VLOOKUP($A116,TOCA_previous!$A$2:$AI$137,MATCH("TRL - NLSL - Existing Resource "&amp;$F$1,TOCA_previous!$A$2:$AI$2,0),FALSE)*$F$2,(VLOOKUP($A116,TOCA_previous!$A$2:$AI$137,MATCH("RHWM 2018",TOCA_previous!$A$2:$AI$2,0),FALSE)*$F$2))</f>
        <v>95089.8</v>
      </c>
      <c r="BK116" s="229">
        <f>SUM(L116:AI116)+(F116*RT1SC!$C$3*$F$2)</f>
        <v>91277.99805047999</v>
      </c>
      <c r="BL116" s="241">
        <f>VLOOKUP($A116,TOCA_previous!$A$2:$AI$137,MATCH("Above RHWM Not Served with LS "&amp;$F$1,TOCA_previous!$A$2:$AI$2,0),FALSE)*$F$2</f>
        <v>7848.96</v>
      </c>
      <c r="BM116" s="151">
        <f t="shared" si="21"/>
        <v>-3811.8019495200133</v>
      </c>
      <c r="BN116" s="242">
        <f>(VLOOKUP($A116,TOCA_previous!$A$2:$AI$137,MATCH("RHWM 2018",TOCA_previous!$A$2:$AI$2,0),FALSE)*$F$2) - $BJ116</f>
        <v>0</v>
      </c>
      <c r="BO116" s="151">
        <f t="shared" si="22"/>
        <v>0</v>
      </c>
      <c r="BP116" s="243">
        <f t="shared" si="23"/>
        <v>0</v>
      </c>
      <c r="BQ116" s="237">
        <f t="shared" si="24"/>
        <v>0</v>
      </c>
      <c r="BR116" s="242">
        <f t="shared" si="25"/>
        <v>0</v>
      </c>
      <c r="BS116" s="151">
        <f>VLOOKUP($A116,TOCA_current!$A$2:$AI$137,MATCH(BS$4,TOCA_current!$A$2:$AI$2,0),FALSE)</f>
        <v>1.5621999999999999E-3</v>
      </c>
      <c r="BT116" s="151">
        <f>VLOOKUP($A116,TOCA_current!$A$2:$AI$137,MATCH(BT$4,TOCA_current!$A$2:$AI$2,0),FALSE)</f>
        <v>1.5621999999999999E-3</v>
      </c>
      <c r="BU116" s="236">
        <f t="shared" si="26"/>
        <v>0</v>
      </c>
      <c r="BV116" s="151">
        <f>VLOOKUP($A116,TOCA_current!A112:BG247,MATCH(BV$4,TOCA_current!$A$2:$BG$2,0),FALSE)</f>
        <v>0</v>
      </c>
      <c r="BW116" s="151">
        <f t="shared" si="27"/>
        <v>0</v>
      </c>
      <c r="BX116" s="151">
        <f t="shared" si="28"/>
        <v>0</v>
      </c>
      <c r="BY116" s="226">
        <f>VLOOKUP($A116,IRD!$A$4:$G$139, 7, FALSE)</f>
        <v>0</v>
      </c>
      <c r="BZ116" s="227">
        <f t="array" ref="BZ116">IF($BU116=0, INDEX(LS_current!$D$4:$AY$138, MATCH('Staging Table'!$A116, LS_current!$B$4:$B$138, 0), MATCH(BZ$4&amp;BZ$5, LS_current!$D$2:$AY$2&amp;LS_current!$D$3:$AY$3, 0)),SUM(VLOOKUP($A116, LS_current!$B$4:$AY$138, LS_current!D$148, FALSE), VLOOKUP($A116, LS_current!$B$4:$AY$138,LS_current!D$148, FALSE))/2)</f>
        <v>306</v>
      </c>
      <c r="CA116" s="227">
        <f t="array" ref="CA116">IF($BU116=0, INDEX(LS_current!$D$4:$AY$138, MATCH('Staging Table'!$A116, LS_current!$B$4:$B$138, 0), MATCH(CA$4&amp;CA$5, LS_current!$D$2:$AY$2&amp;LS_current!$D$3:$AY$3, 0)),SUM(VLOOKUP($A116, LS_current!$B$4:$AY$138, LS_current!E$148, FALSE), VLOOKUP($A116, LS_current!$B$4:$AY$138,LS_current!E$148, FALSE))/2)</f>
        <v>459</v>
      </c>
      <c r="CB116" s="227">
        <f t="array" ref="CB116">IF($BU116=0, INDEX(LS_current!$D$4:$AY$138, MATCH('Staging Table'!$A116, LS_current!$B$4:$B$138, 0), MATCH(CB$4&amp;CB$5, LS_current!$D$2:$AY$2&amp;LS_current!$D$3:$AY$3, 0)),SUM(VLOOKUP($A116, LS_current!$B$4:$AY$138, LS_current!F$148, FALSE), VLOOKUP($A116, LS_current!$B$4:$AY$138,LS_current!F$148, FALSE))/2)</f>
        <v>-124</v>
      </c>
      <c r="CC116" s="227">
        <f t="array" ref="CC116">IF($BU116=0, INDEX(LS_current!$D$4:$AY$138, MATCH('Staging Table'!$A116, LS_current!$B$4:$B$138, 0), MATCH(CC$4&amp;CC$5, LS_current!$D$2:$AY$2&amp;LS_current!$D$3:$AY$3, 0)),SUM(VLOOKUP($A116, LS_current!$B$4:$AY$138, LS_current!G$148, FALSE), VLOOKUP($A116, LS_current!$B$4:$AY$138,LS_current!G$148, FALSE))/2)</f>
        <v>344</v>
      </c>
      <c r="CD116" s="227">
        <f t="array" ref="CD116">IF($BU116=0, INDEX(LS_current!$D$4:$AY$138, MATCH('Staging Table'!$A116, LS_current!$B$4:$B$138, 0), MATCH(CD$4&amp;CD$5, LS_current!$D$2:$AY$2&amp;LS_current!$D$3:$AY$3, 0)),SUM(VLOOKUP($A116, LS_current!$B$4:$AY$138, LS_current!H$148, FALSE), VLOOKUP($A116, LS_current!$B$4:$AY$138,LS_current!H$148, FALSE))/2)</f>
        <v>598</v>
      </c>
      <c r="CE116" s="227">
        <f t="array" ref="CE116">IF($BU116=0, INDEX(LS_current!$D$4:$AY$138, MATCH('Staging Table'!$A116, LS_current!$B$4:$B$138, 0), MATCH(CE$4&amp;CE$5, LS_current!$D$2:$AY$2&amp;LS_current!$D$3:$AY$3, 0)),SUM(VLOOKUP($A116, LS_current!$B$4:$AY$138, LS_current!I$148, FALSE), VLOOKUP($A116, LS_current!$B$4:$AY$138,LS_current!I$148, FALSE))/2)</f>
        <v>602</v>
      </c>
      <c r="CF116" s="227">
        <f t="array" ref="CF116">IF($BU116=0, INDEX(LS_current!$D$4:$AY$138, MATCH('Staging Table'!$A116, LS_current!$B$4:$B$138, 0), MATCH(CF$4&amp;CF$5, LS_current!$D$2:$AY$2&amp;LS_current!$D$3:$AY$3, 0)),SUM(VLOOKUP($A116, LS_current!$B$4:$AY$138, LS_current!J$148, FALSE), VLOOKUP($A116, LS_current!$B$4:$AY$138,LS_current!J$148, FALSE))/2)</f>
        <v>1285</v>
      </c>
      <c r="CG116" s="227">
        <f t="array" ref="CG116">IF($BU116=0, INDEX(LS_current!$D$4:$AY$138, MATCH('Staging Table'!$A116, LS_current!$B$4:$B$138, 0), MATCH(CG$4&amp;CG$5, LS_current!$D$2:$AY$2&amp;LS_current!$D$3:$AY$3, 0)),SUM(VLOOKUP($A116, LS_current!$B$4:$AY$138, LS_current!K$148, FALSE), VLOOKUP($A116, LS_current!$B$4:$AY$138,LS_current!K$148, FALSE))/2)</f>
        <v>1294</v>
      </c>
      <c r="CH116" s="227">
        <f t="array" ref="CH116">IF($BU116=0, INDEX(LS_current!$D$4:$AY$138, MATCH('Staging Table'!$A116, LS_current!$B$4:$B$138, 0), MATCH(CH$4&amp;CH$5, LS_current!$D$2:$AY$2&amp;LS_current!$D$3:$AY$3, 0)),SUM(VLOOKUP($A116, LS_current!$B$4:$AY$138, LS_current!L$148, FALSE), VLOOKUP($A116, LS_current!$B$4:$AY$138,LS_current!L$148, FALSE))/2)</f>
        <v>1215</v>
      </c>
      <c r="CI116" s="227">
        <f t="array" ref="CI116">IF($BU116=0, INDEX(LS_current!$D$4:$AY$138, MATCH('Staging Table'!$A116, LS_current!$B$4:$B$138, 0), MATCH(CI$4&amp;CI$5, LS_current!$D$2:$AY$2&amp;LS_current!$D$3:$AY$3, 0)),SUM(VLOOKUP($A116, LS_current!$B$4:$AY$138, LS_current!M$148, FALSE), VLOOKUP($A116, LS_current!$B$4:$AY$138,LS_current!M$148, FALSE))/2)</f>
        <v>979</v>
      </c>
      <c r="CJ116" s="227">
        <f t="array" ref="CJ116">IF($BU116=0, INDEX(LS_current!$D$4:$AY$138, MATCH('Staging Table'!$A116, LS_current!$B$4:$B$138, 0), MATCH(CJ$4&amp;CJ$5, LS_current!$D$2:$AY$2&amp;LS_current!$D$3:$AY$3, 0)),SUM(VLOOKUP($A116, LS_current!$B$4:$AY$138, LS_current!N$148, FALSE), VLOOKUP($A116, LS_current!$B$4:$AY$138,LS_current!N$148, FALSE))/2)</f>
        <v>686</v>
      </c>
      <c r="CK116" s="227">
        <f t="array" ref="CK116">IF($BU116=0, INDEX(LS_current!$D$4:$AY$138, MATCH('Staging Table'!$A116, LS_current!$B$4:$B$138, 0), MATCH(CK$4&amp;CK$5, LS_current!$D$2:$AY$2&amp;LS_current!$D$3:$AY$3, 0)),SUM(VLOOKUP($A116, LS_current!$B$4:$AY$138, LS_current!O$148, FALSE), VLOOKUP($A116, LS_current!$B$4:$AY$138,LS_current!O$148, FALSE))/2)</f>
        <v>627</v>
      </c>
      <c r="CL116" s="227">
        <f t="array" ref="CL116">IF($BU116=0, INDEX(LS_current!$D$4:$AY$138, MATCH('Staging Table'!$A116, LS_current!$B$4:$B$138, 0), MATCH(CL$4&amp;CL$5, LS_current!$D$2:$AY$2&amp;LS_current!$D$3:$AY$3, 0)),SUM(VLOOKUP($A116, LS_current!$B$4:$AY$138, LS_current!P$148, FALSE), VLOOKUP($A116, LS_current!$B$4:$AY$138,LS_current!P$148, FALSE))/2)</f>
        <v>1071</v>
      </c>
      <c r="CM116" s="227">
        <f t="array" ref="CM116">IF($BU116=0, INDEX(LS_current!$D$4:$AY$138, MATCH('Staging Table'!$A116, LS_current!$B$4:$B$138, 0), MATCH(CM$4&amp;CM$5, LS_current!$D$2:$AY$2&amp;LS_current!$D$3:$AY$3, 0)),SUM(VLOOKUP($A116, LS_current!$B$4:$AY$138, LS_current!Q$148, FALSE), VLOOKUP($A116, LS_current!$B$4:$AY$138,LS_current!Q$148, FALSE))/2)</f>
        <v>783</v>
      </c>
      <c r="CN116" s="227">
        <f t="array" ref="CN116">IF($BU116=0, INDEX(LS_current!$D$4:$AY$138, MATCH('Staging Table'!$A116, LS_current!$B$4:$B$138, 0), MATCH(CN$4&amp;CN$5, LS_current!$D$2:$AY$2&amp;LS_current!$D$3:$AY$3, 0)),SUM(VLOOKUP($A116, LS_current!$B$4:$AY$138, LS_current!R$148, FALSE), VLOOKUP($A116, LS_current!$B$4:$AY$138,LS_current!R$148, FALSE))/2)</f>
        <v>-1152</v>
      </c>
      <c r="CO116" s="227">
        <f t="array" ref="CO116">IF($BU116=0, INDEX(LS_current!$D$4:$AY$138, MATCH('Staging Table'!$A116, LS_current!$B$4:$B$138, 0), MATCH(CO$4&amp;CO$5, LS_current!$D$2:$AY$2&amp;LS_current!$D$3:$AY$3, 0)),SUM(VLOOKUP($A116, LS_current!$B$4:$AY$138, LS_current!S$148, FALSE), VLOOKUP($A116, LS_current!$B$4:$AY$138,LS_current!S$148, FALSE))/2)</f>
        <v>-7</v>
      </c>
      <c r="CP116" s="227">
        <f t="array" ref="CP116">IF($BU116=0, INDEX(LS_current!$D$4:$AY$138, MATCH('Staging Table'!$A116, LS_current!$B$4:$B$138, 0), MATCH(CP$4&amp;CP$5, LS_current!$D$2:$AY$2&amp;LS_current!$D$3:$AY$3, 0)),SUM(VLOOKUP($A116, LS_current!$B$4:$AY$138, LS_current!T$148, FALSE), VLOOKUP($A116, LS_current!$B$4:$AY$138,LS_current!T$148, FALSE))/2)</f>
        <v>-2717</v>
      </c>
      <c r="CQ116" s="227">
        <f t="array" ref="CQ116">IF($BU116=0, INDEX(LS_current!$D$4:$AY$138, MATCH('Staging Table'!$A116, LS_current!$B$4:$B$138, 0), MATCH(CQ$4&amp;CQ$5, LS_current!$D$2:$AY$2&amp;LS_current!$D$3:$AY$3, 0)),SUM(VLOOKUP($A116, LS_current!$B$4:$AY$138, LS_current!U$148, FALSE), VLOOKUP($A116, LS_current!$B$4:$AY$138,LS_current!U$148, FALSE))/2)</f>
        <v>-1154</v>
      </c>
      <c r="CR116" s="227">
        <f t="array" ref="CR116">IF($BU116=0, INDEX(LS_current!$D$4:$AY$138, MATCH('Staging Table'!$A116, LS_current!$B$4:$B$138, 0), MATCH(CR$4&amp;CR$5, LS_current!$D$2:$AY$2&amp;LS_current!$D$3:$AY$3, 0)),SUM(VLOOKUP($A116, LS_current!$B$4:$AY$138, LS_current!V$148, FALSE), VLOOKUP($A116, LS_current!$B$4:$AY$138,LS_current!V$148, FALSE))/2)</f>
        <v>-1331</v>
      </c>
      <c r="CS116" s="227">
        <f t="array" ref="CS116">IF($BU116=0, INDEX(LS_current!$D$4:$AY$138, MATCH('Staging Table'!$A116, LS_current!$B$4:$B$138, 0), MATCH(CS$4&amp;CS$5, LS_current!$D$2:$AY$2&amp;LS_current!$D$3:$AY$3, 0)),SUM(VLOOKUP($A116, LS_current!$B$4:$AY$138, LS_current!W$148, FALSE), VLOOKUP($A116, LS_current!$B$4:$AY$138,LS_current!W$148, FALSE))/2)</f>
        <v>321</v>
      </c>
      <c r="CT116" s="227">
        <f t="array" ref="CT116">IF($BU116=0, INDEX(LS_current!$D$4:$AY$138, MATCH('Staging Table'!$A116, LS_current!$B$4:$B$138, 0), MATCH(CT$4&amp;CT$5, LS_current!$D$2:$AY$2&amp;LS_current!$D$3:$AY$3, 0)),SUM(VLOOKUP($A116, LS_current!$B$4:$AY$138, LS_current!X$148, FALSE), VLOOKUP($A116, LS_current!$B$4:$AY$138,LS_current!X$148, FALSE))/2)</f>
        <v>-979</v>
      </c>
      <c r="CU116" s="227">
        <f t="array" ref="CU116">IF($BU116=0, INDEX(LS_current!$D$4:$AY$138, MATCH('Staging Table'!$A116, LS_current!$B$4:$B$138, 0), MATCH(CU$4&amp;CU$5, LS_current!$D$2:$AY$2&amp;LS_current!$D$3:$AY$3, 0)),SUM(VLOOKUP($A116, LS_current!$B$4:$AY$138, LS_current!Y$148, FALSE), VLOOKUP($A116, LS_current!$B$4:$AY$138,LS_current!Y$148, FALSE))/2)</f>
        <v>212</v>
      </c>
      <c r="CV116" s="227">
        <f t="array" ref="CV116">IF($BU116=0, INDEX(LS_current!$D$4:$AY$138, MATCH('Staging Table'!$A116, LS_current!$B$4:$B$138, 0), MATCH(CV$4&amp;CV$5, LS_current!$D$2:$AY$2&amp;LS_current!$D$3:$AY$3, 0)),SUM(VLOOKUP($A116, LS_current!$B$4:$AY$138, LS_current!Z$148, FALSE), VLOOKUP($A116, LS_current!$B$4:$AY$138,LS_current!Z$148, FALSE))/2)</f>
        <v>-630</v>
      </c>
      <c r="CW116" s="227">
        <f t="array" ref="CW116">IF($BU116=0, INDEX(LS_current!$D$4:$AY$138, MATCH('Staging Table'!$A116, LS_current!$B$4:$B$138, 0), MATCH(CW$4&amp;CW$5, LS_current!$D$2:$AY$2&amp;LS_current!$D$3:$AY$3, 0)),SUM(VLOOKUP($A116, LS_current!$B$4:$AY$138, LS_current!AA$148, FALSE), VLOOKUP($A116, LS_current!$B$4:$AY$138,LS_current!AA$148, FALSE))/2)</f>
        <v>48</v>
      </c>
      <c r="CX116" s="229">
        <f t="array" ref="CX116">INDEX(Demand_current!$D$4:$AY$138, MATCH($A116, Demand_current!$B$4:$B$138, 0), MATCH(CX$4&amp;CX$5,Demand_current!$D$2:$AY$2&amp;Demand_current!$D$3:$AY$3, 0))/1000</f>
        <v>0</v>
      </c>
      <c r="CY116" s="229">
        <f t="array" ref="CY116">INDEX(Demand_current!$D$4:$AY$138, MATCH($A116, Demand_current!$B$4:$B$138, 0), MATCH(CY$4&amp;CY$5,Demand_current!$D$2:$AY$2&amp;Demand_current!$D$3:$AY$3, 0))/1000</f>
        <v>7.8E-2</v>
      </c>
      <c r="CZ116" s="229">
        <f t="array" ref="CZ116">INDEX(Demand_current!$D$4:$AY$138, MATCH($A116, Demand_current!$B$4:$B$138, 0), MATCH(CZ$4&amp;CZ$5,Demand_current!$D$2:$AY$2&amp;Demand_current!$D$3:$AY$3, 0))/1000</f>
        <v>2.5000000000000001E-2</v>
      </c>
      <c r="DA116" s="229">
        <f t="array" ref="DA116">INDEX(Demand_current!$D$4:$AY$138, MATCH($A116, Demand_current!$B$4:$B$138, 0), MATCH(DA$4&amp;DA$5,Demand_current!$D$2:$AY$2&amp;Demand_current!$D$3:$AY$3, 0))/1000</f>
        <v>1.5549999999999999</v>
      </c>
      <c r="DB116" s="229">
        <f t="array" ref="DB116">INDEX(Demand_current!$D$4:$AY$138, MATCH($A116, Demand_current!$B$4:$B$138, 0), MATCH(DB$4&amp;DB$5,Demand_current!$D$2:$AY$2&amp;Demand_current!$D$3:$AY$3, 0))/1000</f>
        <v>1.4219999999999999</v>
      </c>
      <c r="DC116" s="229">
        <f t="array" ref="DC116">INDEX(Demand_current!$D$4:$AY$138, MATCH($A116, Demand_current!$B$4:$B$138, 0), MATCH(DC$4&amp;DC$5,Demand_current!$D$2:$AY$2&amp;Demand_current!$D$3:$AY$3, 0))/1000</f>
        <v>5.6000000000000001E-2</v>
      </c>
      <c r="DD116" s="229">
        <f t="array" ref="DD116">INDEX(Demand_current!$D$4:$AY$138, MATCH($A116, Demand_current!$B$4:$B$138, 0), MATCH(DD$4&amp;DD$5,Demand_current!$D$2:$AY$2&amp;Demand_current!$D$3:$AY$3, 0))/1000</f>
        <v>0</v>
      </c>
      <c r="DE116" s="229">
        <f t="array" ref="DE116">INDEX(Demand_current!$D$4:$AY$138, MATCH($A116, Demand_current!$B$4:$B$138, 0), MATCH(DE$4&amp;DE$5,Demand_current!$D$2:$AY$2&amp;Demand_current!$D$3:$AY$3, 0))/1000</f>
        <v>0.1</v>
      </c>
      <c r="DF116" s="229">
        <f t="array" ref="DF116">INDEX(Demand_current!$D$4:$AY$138, MATCH($A116, Demand_current!$B$4:$B$138, 0), MATCH(DF$4&amp;DF$5,Demand_current!$D$2:$AY$2&amp;Demand_current!$D$3:$AY$3, 0))/1000</f>
        <v>1.54</v>
      </c>
      <c r="DG116" s="229">
        <f t="array" ref="DG116">INDEX(Demand_current!$D$4:$AY$138, MATCH($A116, Demand_current!$B$4:$B$138, 0), MATCH(DG$4&amp;DG$5,Demand_current!$D$2:$AY$2&amp;Demand_current!$D$3:$AY$3, 0))/1000</f>
        <v>1.0620000000000001</v>
      </c>
      <c r="DH116" s="229">
        <f t="array" ref="DH116">INDEX(Demand_current!$D$4:$AY$138, MATCH($A116, Demand_current!$B$4:$B$138, 0), MATCH(DH$4&amp;DH$5,Demand_current!$D$2:$AY$2&amp;Demand_current!$D$3:$AY$3, 0))/1000</f>
        <v>0.69399999999999995</v>
      </c>
      <c r="DI116" s="229">
        <f t="array" ref="DI116">INDEX(Demand_current!$D$4:$AY$138, MATCH($A116, Demand_current!$B$4:$B$138, 0), MATCH(DI$4&amp;DI$5,Demand_current!$D$2:$AY$2&amp;Demand_current!$D$3:$AY$3, 0))/1000</f>
        <v>0</v>
      </c>
      <c r="DJ116" s="227">
        <f>$BT116*(VLOOKUP(DJ$4, Rates_current!$G$6:$Q$29, 10, FALSE)+VLOOKUP(DJ$4, Rates_current!$G$6:$Q$29, 11, FALSE))</f>
        <v>7213.1729235911989</v>
      </c>
      <c r="DK116" s="227">
        <f>$BT116*(VLOOKUP(DK$4, Rates_current!$G$6:$Q$29, 10, FALSE)+VLOOKUP(DK$4, Rates_current!$G$6:$Q$29, 11, FALSE))</f>
        <v>9162.9798059657987</v>
      </c>
      <c r="DL116" s="227">
        <f>$BT116*(VLOOKUP(DL$4, Rates_current!$G$6:$Q$29, 10, FALSE)+VLOOKUP(DL$4, Rates_current!$G$6:$Q$29, 11, FALSE))</f>
        <v>9052.3244261912005</v>
      </c>
      <c r="DM116" s="227">
        <f>$BT116*(VLOOKUP(DM$4, Rates_current!$G$6:$Q$29, 10, FALSE)+VLOOKUP(DM$4, Rates_current!$G$6:$Q$29, 11, FALSE))</f>
        <v>7545.6637605912001</v>
      </c>
      <c r="DN116" s="227">
        <f>$BT116*(VLOOKUP(DN$4, Rates_current!$G$6:$Q$29, 10, FALSE)+VLOOKUP(DN$4, Rates_current!$G$6:$Q$29, 11, FALSE))</f>
        <v>6835.5885649599995</v>
      </c>
      <c r="DO116" s="227">
        <f>$BT116*(VLOOKUP(DO$4, Rates_current!$G$6:$Q$29, 10, FALSE)+VLOOKUP(DO$4, Rates_current!$G$6:$Q$29, 11, FALSE))</f>
        <v>7603.3460287813996</v>
      </c>
      <c r="DP116" s="227">
        <f>$BT116*(VLOOKUP(DP$4, Rates_current!$G$6:$Q$29, 10, FALSE)+VLOOKUP(DP$4, Rates_current!$G$6:$Q$29, 11, FALSE))</f>
        <v>6190.6525414559992</v>
      </c>
      <c r="DQ116" s="227">
        <f>$BT116*(VLOOKUP(DQ$4, Rates_current!$G$6:$Q$29, 10, FALSE)+VLOOKUP(DQ$4, Rates_current!$G$6:$Q$29, 11, FALSE))</f>
        <v>8349.0180806911994</v>
      </c>
      <c r="DR116" s="227">
        <f>$BT116*(VLOOKUP(DR$4, Rates_current!$G$6:$Q$29, 10, FALSE)+VLOOKUP(DR$4, Rates_current!$G$6:$Q$29, 11, FALSE))</f>
        <v>10652.779242356</v>
      </c>
      <c r="DS116" s="227">
        <f>$BT116*(VLOOKUP(DS$4, Rates_current!$G$6:$Q$29, 10, FALSE)+VLOOKUP(DS$4, Rates_current!$G$6:$Q$29, 11, FALSE))</f>
        <v>8352.116704391201</v>
      </c>
      <c r="DT116" s="227">
        <f>$BT116*(VLOOKUP(DT$4, Rates_current!$G$6:$Q$29, 10, FALSE)+VLOOKUP(DT$4, Rates_current!$G$6:$Q$29, 11, FALSE))</f>
        <v>8133.2985692912007</v>
      </c>
      <c r="DU116" s="227">
        <f>$BT116*(VLOOKUP(DU$4, Rates_current!$G$6:$Q$29, 10, FALSE)+VLOOKUP(DU$4, Rates_current!$G$6:$Q$29, 11, FALSE))</f>
        <v>7301.9719396560004</v>
      </c>
      <c r="DV116" s="229">
        <f>IF(D116=0,IF(C116=0,MAX(0,DY116 - (VLOOKUP($A116,TOCA_current!$A$2:$AI$137,MATCH("RHWM 2020",TOCA_current!$A$2:$AI$2,0),FALSE)*$BT$2)), 0),0)</f>
        <v>2733.3002059775899</v>
      </c>
      <c r="DW116" s="266">
        <f>VLOOKUP($A116,REP_current!$A$1:$D$135,MATCH("FY "&amp;$BT$1&amp; " Total Refund",REP_current!$A$1:$D$1,0),0)</f>
        <v>0</v>
      </c>
      <c r="DX116" s="295">
        <f>MIN(VLOOKUP($A116,TOCA_current!$A$2:$AI$137,MATCH("TRL - NLSL - Existing Resource "&amp;$BT$1,TOCA_current!$A$2:$AI$2,0),FALSE)*$BT$2, VLOOKUP($A116,TOCA_current!$A$2:$AI$137,MATCH("RHWM 2020",TOCA_current!$A$2:$AI$2,0),FALSE)*$BT$2)</f>
        <v>96395.615999999995</v>
      </c>
      <c r="DY116" s="240">
        <f>SUM(BZ116:CW116)+(BT116*RT1SC!$C$4*$BT$2)</f>
        <v>99128.916205977584</v>
      </c>
      <c r="DZ116" s="271">
        <f>VLOOKUP($A116,TOCA_current!$A$2:$AI$137,MATCH("Above RHWM Not Served with LS "&amp;$BT$1,TOCA_current!$A$2:$AI$2,0),FALSE)*$BT$2</f>
        <v>0</v>
      </c>
      <c r="EA116" s="244">
        <f t="shared" si="29"/>
        <v>2733.3002059775899</v>
      </c>
      <c r="EB116" s="295">
        <f>(VLOOKUP($A116,TOCA_current!$A$2:$AI$137,MATCH("RHWM 2020",TOCA_current!$A$2:$AI$2,0),FALSE)*$BT$2) - $DX116</f>
        <v>0</v>
      </c>
      <c r="EC116" s="240">
        <f t="shared" si="30"/>
        <v>0</v>
      </c>
      <c r="ED116" s="240">
        <f t="shared" si="31"/>
        <v>0</v>
      </c>
      <c r="EE116" s="240">
        <f t="shared" si="32"/>
        <v>0</v>
      </c>
      <c r="EF116" s="240">
        <f t="shared" si="33"/>
        <v>0</v>
      </c>
    </row>
    <row r="117" spans="1:136">
      <c r="A117" s="166">
        <v>10376</v>
      </c>
      <c r="B117" s="167" t="s">
        <v>118</v>
      </c>
      <c r="C117" s="240">
        <v>0</v>
      </c>
      <c r="D117" s="240">
        <v>0</v>
      </c>
      <c r="E117" s="150">
        <f>VLOOKUP($A117,TOCA_previous!$A$2:$AI$137,MATCH(E$4,TOCA_previous!$A$2:$AI$2,0),FALSE)</f>
        <v>7.8107999999999997E-3</v>
      </c>
      <c r="F117" s="151">
        <f>VLOOKUP($A117,TOCA_previous!$A$2:$AI$137,MATCH(F$4,TOCA_previous!$A$2:$AI$2,0),FALSE)</f>
        <v>7.8107999999999997E-3</v>
      </c>
      <c r="G117" s="151">
        <f t="shared" si="18"/>
        <v>0</v>
      </c>
      <c r="H117" s="151">
        <f>VLOOKUP($A117,TOCA_previous!$A$2:$AI$137,MATCH(H$4,TOCA_previous!$A$2:$AI$2,0),FALSE)</f>
        <v>0</v>
      </c>
      <c r="I117" s="151">
        <f t="shared" si="19"/>
        <v>0</v>
      </c>
      <c r="J117" s="151">
        <f t="shared" si="20"/>
        <v>0</v>
      </c>
      <c r="K117" s="226">
        <f>VLOOKUP(A117, IRD!$A$5:$C$139, 3, FALSE)</f>
        <v>0</v>
      </c>
      <c r="L117" s="227">
        <f t="array" ref="L117">IF($G117=0, INDEX(LS_previous!$D$4:$AY$138, MATCH('Staging Table'!$A117, LS_previous!$B$4:$B$138, 0), MATCH(L$4&amp;L$5, LS_previous!$D$2:$AY$2&amp;LS_previous!$D$3:$AY$3, 0)),SUM(VLOOKUP($A117, LS_previous!$B$4:$AY$138, LS_previous!D$149, FALSE), VLOOKUP('Staging Table'!$A117, LS_previous!$B$4:$AY$138,LS_previous!AB$149, FALSE))/2)</f>
        <v>415</v>
      </c>
      <c r="M117" s="227">
        <f t="array" ref="M117">IF($G117=0, INDEX(LS_previous!$D$4:$AY$138, MATCH('Staging Table'!$A117, LS_previous!$B$4:$B$138, 0), MATCH(M$4&amp;M$5, LS_previous!$D$2:$AY$2&amp;LS_previous!$D$3:$AY$3, 0)),SUM(VLOOKUP($A117, LS_previous!$B$4:$AY$138, LS_previous!E$149, FALSE), VLOOKUP('Staging Table'!$A117, LS_previous!$B$4:$AY$138,LS_previous!AC$149, FALSE))/2)</f>
        <v>1165</v>
      </c>
      <c r="N117" s="227">
        <f t="array" ref="N117">IF($G117=0, INDEX(LS_previous!$D$4:$AY$138, MATCH('Staging Table'!$A117, LS_previous!$B$4:$B$138, 0), MATCH(N$4&amp;N$5, LS_previous!$D$2:$AY$2&amp;LS_previous!$D$3:$AY$3, 0)),SUM(VLOOKUP($A117, LS_previous!$B$4:$AY$138, LS_previous!F$149, FALSE), VLOOKUP('Staging Table'!$A117, LS_previous!$B$4:$AY$138,LS_previous!AD$149, FALSE))/2)</f>
        <v>-853</v>
      </c>
      <c r="O117" s="227">
        <f t="array" ref="O117">IF($G117=0, INDEX(LS_previous!$D$4:$AY$138, MATCH('Staging Table'!$A117, LS_previous!$B$4:$B$138, 0), MATCH(O$4&amp;O$5, LS_previous!$D$2:$AY$2&amp;LS_previous!$D$3:$AY$3, 0)),SUM(VLOOKUP($A117, LS_previous!$B$4:$AY$138, LS_previous!G$149, FALSE), VLOOKUP('Staging Table'!$A117, LS_previous!$B$4:$AY$138,LS_previous!AE$149, FALSE))/2)</f>
        <v>2171</v>
      </c>
      <c r="P117" s="227">
        <f t="array" ref="P117">IF($G117=0, INDEX(LS_previous!$D$4:$AY$138, MATCH('Staging Table'!$A117, LS_previous!$B$4:$B$138, 0), MATCH(P$4&amp;P$5, LS_previous!$D$2:$AY$2&amp;LS_previous!$D$3:$AY$3, 0)),SUM(VLOOKUP($A117, LS_previous!$B$4:$AY$138, LS_previous!H$149, FALSE), VLOOKUP('Staging Table'!$A117, LS_previous!$B$4:$AY$138,LS_previous!AF$149, FALSE))/2)</f>
        <v>1865</v>
      </c>
      <c r="Q117" s="227">
        <f t="array" ref="Q117">IF($G117=0, INDEX(LS_previous!$D$4:$AY$138, MATCH('Staging Table'!$A117, LS_previous!$B$4:$B$138, 0), MATCH(Q$4&amp;Q$5, LS_previous!$D$2:$AY$2&amp;LS_previous!$D$3:$AY$3, 0)),SUM(VLOOKUP($A117, LS_previous!$B$4:$AY$138, LS_previous!I$149, FALSE), VLOOKUP('Staging Table'!$A117, LS_previous!$B$4:$AY$138,LS_previous!AG$149, FALSE))/2)</f>
        <v>4989</v>
      </c>
      <c r="R117" s="227">
        <f t="array" ref="R117">IF($G117=0, INDEX(LS_previous!$D$4:$AY$138, MATCH('Staging Table'!$A117, LS_previous!$B$4:$B$138, 0), MATCH(R$4&amp;R$5, LS_previous!$D$2:$AY$2&amp;LS_previous!$D$3:$AY$3, 0)),SUM(VLOOKUP($A117, LS_previous!$B$4:$AY$138, LS_previous!J$149, FALSE), VLOOKUP('Staging Table'!$A117, LS_previous!$B$4:$AY$138,LS_previous!AH$149, FALSE))/2)</f>
        <v>7467</v>
      </c>
      <c r="S117" s="227">
        <f t="array" ref="S117">IF($G117=0, INDEX(LS_previous!$D$4:$AY$138, MATCH('Staging Table'!$A117, LS_previous!$B$4:$B$138, 0), MATCH(S$4&amp;S$5, LS_previous!$D$2:$AY$2&amp;LS_previous!$D$3:$AY$3, 0)),SUM(VLOOKUP($A117, LS_previous!$B$4:$AY$138, LS_previous!K$149, FALSE), VLOOKUP('Staging Table'!$A117, LS_previous!$B$4:$AY$138,LS_previous!AI$149, FALSE))/2)</f>
        <v>6672</v>
      </c>
      <c r="T117" s="227">
        <f t="array" ref="T117">IF($G117=0, INDEX(LS_previous!$D$4:$AY$138, MATCH('Staging Table'!$A117, LS_previous!$B$4:$B$138, 0), MATCH(T$4&amp;T$5, LS_previous!$D$2:$AY$2&amp;LS_previous!$D$3:$AY$3, 0)),SUM(VLOOKUP($A117, LS_previous!$B$4:$AY$138, LS_previous!L$149, FALSE), VLOOKUP('Staging Table'!$A117, LS_previous!$B$4:$AY$138,LS_previous!AJ$149, FALSE))/2)</f>
        <v>7541</v>
      </c>
      <c r="U117" s="227">
        <f t="array" ref="U117">IF($G117=0, INDEX(LS_previous!$D$4:$AY$138, MATCH('Staging Table'!$A117, LS_previous!$B$4:$B$138, 0), MATCH(U$4&amp;U$5, LS_previous!$D$2:$AY$2&amp;LS_previous!$D$3:$AY$3, 0)),SUM(VLOOKUP($A117, LS_previous!$B$4:$AY$138, LS_previous!M$149, FALSE), VLOOKUP('Staging Table'!$A117, LS_previous!$B$4:$AY$138,LS_previous!AK$149, FALSE))/2)</f>
        <v>5679</v>
      </c>
      <c r="V117" s="227">
        <f t="array" ref="V117">IF($G117=0, INDEX(LS_previous!$D$4:$AY$138, MATCH('Staging Table'!$A117, LS_previous!$B$4:$B$138, 0), MATCH(V$4&amp;V$5, LS_previous!$D$2:$AY$2&amp;LS_previous!$D$3:$AY$3, 0)),SUM(VLOOKUP($A117, LS_previous!$B$4:$AY$138, LS_previous!N$149, FALSE), VLOOKUP('Staging Table'!$A117, LS_previous!$B$4:$AY$138,LS_previous!AL$149, FALSE))/2)</f>
        <v>3843</v>
      </c>
      <c r="W117" s="227">
        <f t="array" ref="W117">IF($G117=0, INDEX(LS_previous!$D$4:$AY$138, MATCH('Staging Table'!$A117, LS_previous!$B$4:$B$138, 0), MATCH(W$4&amp;W$5, LS_previous!$D$2:$AY$2&amp;LS_previous!$D$3:$AY$3, 0)),SUM(VLOOKUP($A117, LS_previous!$B$4:$AY$138, LS_previous!O$149, FALSE), VLOOKUP('Staging Table'!$A117, LS_previous!$B$4:$AY$138,LS_previous!AM$149, FALSE))/2)</f>
        <v>4659</v>
      </c>
      <c r="X117" s="227">
        <f t="array" ref="X117">IF($G117=0, INDEX(LS_previous!$D$4:$AY$138, MATCH('Staging Table'!$A117, LS_previous!$B$4:$B$138, 0), MATCH(X$4&amp;X$5, LS_previous!$D$2:$AY$2&amp;LS_previous!$D$3:$AY$3, 0)),SUM(VLOOKUP($A117, LS_previous!$B$4:$AY$138, LS_previous!P$149, FALSE), VLOOKUP('Staging Table'!$A117, LS_previous!$B$4:$AY$138,LS_previous!AN$149, FALSE))/2)</f>
        <v>1156</v>
      </c>
      <c r="Y117" s="227">
        <f t="array" ref="Y117">IF($G117=0, INDEX(LS_previous!$D$4:$AY$138, MATCH('Staging Table'!$A117, LS_previous!$B$4:$B$138, 0), MATCH(Y$4&amp;Y$5, LS_previous!$D$2:$AY$2&amp;LS_previous!$D$3:$AY$3, 0)),SUM(VLOOKUP($A117, LS_previous!$B$4:$AY$138, LS_previous!Q$149, FALSE), VLOOKUP('Staging Table'!$A117, LS_previous!$B$4:$AY$138,LS_previous!AO$149, FALSE))/2)</f>
        <v>2049</v>
      </c>
      <c r="Z117" s="227">
        <f t="array" ref="Z117">IF($G117=0, INDEX(LS_previous!$D$4:$AY$138, MATCH('Staging Table'!$A117, LS_previous!$B$4:$B$138, 0), MATCH(Z$4&amp;Z$5, LS_previous!$D$2:$AY$2&amp;LS_previous!$D$3:$AY$3, 0)),SUM(VLOOKUP($A117, LS_previous!$B$4:$AY$138, LS_previous!R$149, FALSE), VLOOKUP('Staging Table'!$A117, LS_previous!$B$4:$AY$138,LS_previous!AP$149, FALSE))/2)</f>
        <v>-13590</v>
      </c>
      <c r="AA117" s="227">
        <f t="array" ref="AA117">IF($G117=0, INDEX(LS_previous!$D$4:$AY$138, MATCH('Staging Table'!$A117, LS_previous!$B$4:$B$138, 0), MATCH(AA$4&amp;AA$5, LS_previous!$D$2:$AY$2&amp;LS_previous!$D$3:$AY$3, 0)),SUM(VLOOKUP($A117, LS_previous!$B$4:$AY$138, LS_previous!S$149, FALSE), VLOOKUP('Staging Table'!$A117, LS_previous!$B$4:$AY$138,LS_previous!AQ$149, FALSE))/2)</f>
        <v>-4711</v>
      </c>
      <c r="AB117" s="227">
        <f t="array" ref="AB117">IF($G117=0, INDEX(LS_previous!$D$4:$AY$138, MATCH('Staging Table'!$A117, LS_previous!$B$4:$B$138, 0), MATCH(AB$4&amp;AB$5, LS_previous!$D$2:$AY$2&amp;LS_previous!$D$3:$AY$3, 0)),SUM(VLOOKUP($A117, LS_previous!$B$4:$AY$138, LS_previous!T$149, FALSE), VLOOKUP('Staging Table'!$A117, LS_previous!$B$4:$AY$138,LS_previous!AR$149, FALSE))/2)</f>
        <v>-6535</v>
      </c>
      <c r="AC117" s="227">
        <f t="array" ref="AC117">IF($G117=0, INDEX(LS_previous!$D$4:$AY$138, MATCH('Staging Table'!$A117, LS_previous!$B$4:$B$138, 0), MATCH(AC$4&amp;AC$5, LS_previous!$D$2:$AY$2&amp;LS_previous!$D$3:$AY$3, 0)),SUM(VLOOKUP($A117, LS_previous!$B$4:$AY$138, LS_previous!U$149, FALSE), VLOOKUP('Staging Table'!$A117, LS_previous!$B$4:$AY$138,LS_previous!AS$149, FALSE))/2)</f>
        <v>-2054</v>
      </c>
      <c r="AD117" s="227">
        <f t="array" ref="AD117">IF($G117=0, INDEX(LS_previous!$D$4:$AY$138, MATCH('Staging Table'!$A117, LS_previous!$B$4:$B$138, 0), MATCH(AD$4&amp;AD$5, LS_previous!$D$2:$AY$2&amp;LS_previous!$D$3:$AY$3, 0)),SUM(VLOOKUP($A117, LS_previous!$B$4:$AY$138, LS_previous!V$149, FALSE), VLOOKUP('Staging Table'!$A117, LS_previous!$B$4:$AY$138,LS_previous!AT$149, FALSE))/2)</f>
        <v>-3194</v>
      </c>
      <c r="AE117" s="227">
        <f t="array" ref="AE117">IF($G117=0, INDEX(LS_previous!$D$4:$AY$138, MATCH('Staging Table'!$A117, LS_previous!$B$4:$B$138, 0), MATCH(AE$4&amp;AE$5, LS_previous!$D$2:$AY$2&amp;LS_previous!$D$3:$AY$3, 0)),SUM(VLOOKUP($A117, LS_previous!$B$4:$AY$138, LS_previous!W$149, FALSE), VLOOKUP('Staging Table'!$A117, LS_previous!$B$4:$AY$138,LS_previous!AU$149, FALSE))/2)</f>
        <v>617</v>
      </c>
      <c r="AF117" s="227">
        <f t="array" ref="AF117">IF($G117=0, INDEX(LS_previous!$D$4:$AY$138, MATCH('Staging Table'!$A117, LS_previous!$B$4:$B$138, 0), MATCH(AF$4&amp;AF$5, LS_previous!$D$2:$AY$2&amp;LS_previous!$D$3:$AY$3, 0)),SUM(VLOOKUP($A117, LS_previous!$B$4:$AY$138, LS_previous!X$149, FALSE), VLOOKUP('Staging Table'!$A117, LS_previous!$B$4:$AY$138,LS_previous!AV$149, FALSE))/2)</f>
        <v>-6230</v>
      </c>
      <c r="AG117" s="227">
        <f t="array" ref="AG117">IF($G117=0, INDEX(LS_previous!$D$4:$AY$138, MATCH('Staging Table'!$A117, LS_previous!$B$4:$B$138, 0), MATCH(AG$4&amp;AG$5, LS_previous!$D$2:$AY$2&amp;LS_previous!$D$3:$AY$3, 0)),SUM(VLOOKUP($A117, LS_previous!$B$4:$AY$138, LS_previous!Y$149, FALSE), VLOOKUP('Staging Table'!$A117, LS_previous!$B$4:$AY$138,LS_previous!AW$149, FALSE))/2)</f>
        <v>-226</v>
      </c>
      <c r="AH117" s="227">
        <f t="array" ref="AH117">IF($G117=0, INDEX(LS_previous!$D$4:$AY$138, MATCH('Staging Table'!$A117, LS_previous!$B$4:$B$138, 0), MATCH(AH$4&amp;AH$5, LS_previous!$D$2:$AY$2&amp;LS_previous!$D$3:$AY$3, 0)),SUM(VLOOKUP($A117, LS_previous!$B$4:$AY$138, LS_previous!Z$149, FALSE), VLOOKUP('Staging Table'!$A117, LS_previous!$B$4:$AY$138,LS_previous!AX$149, FALSE))/2)</f>
        <v>-2572</v>
      </c>
      <c r="AI117" s="227">
        <f t="array" ref="AI117">IF($G117=0, INDEX(LS_previous!$D$4:$AY$138, MATCH('Staging Table'!$A117, LS_previous!$B$4:$B$138, 0), MATCH(AI$4&amp;AI$5, LS_previous!$D$2:$AY$2&amp;LS_previous!$D$3:$AY$3, 0)),SUM(VLOOKUP($A117, LS_previous!$B$4:$AY$138, LS_previous!AA$149, FALSE), VLOOKUP('Staging Table'!$A117, LS_previous!$B$4:$AY$138,LS_previous!AY$149, FALSE))/2)</f>
        <v>279</v>
      </c>
      <c r="AJ117" s="424">
        <f t="array" ref="AJ117">INDEX(Demand_previous!$D$4:$AY$138, MATCH('Staging Table'!$A117, Demand_previous!$B$4:$B$138, 0), MATCH(AJ$4&amp;AJ$5,Demand_previous!$D$2:$AY$2&amp;Demand_previous!$D$3:$AY$3, 0))/1000</f>
        <v>4.851</v>
      </c>
      <c r="AK117" s="424">
        <f t="array" ref="AK117">INDEX(Demand_previous!$D$4:$AY$138, MATCH('Staging Table'!$A117, Demand_previous!$B$4:$B$138, 0), MATCH(AK$4&amp;AK$5,Demand_previous!$D$2:$AY$2&amp;Demand_previous!$D$3:$AY$3, 0))/1000</f>
        <v>3.641</v>
      </c>
      <c r="AL117" s="424">
        <f t="array" ref="AL117">INDEX(Demand_previous!$D$4:$AY$138, MATCH('Staging Table'!$A117, Demand_previous!$B$4:$B$138, 0), MATCH(AL$4&amp;AL$5,Demand_previous!$D$2:$AY$2&amp;Demand_previous!$D$3:$AY$3, 0))/1000</f>
        <v>10.234</v>
      </c>
      <c r="AM117" s="424">
        <f t="array" ref="AM117">INDEX(Demand_previous!$D$4:$AY$138, MATCH('Staging Table'!$A117, Demand_previous!$B$4:$B$138, 0), MATCH(AM$4&amp;AM$5,Demand_previous!$D$2:$AY$2&amp;Demand_previous!$D$3:$AY$3, 0))/1000</f>
        <v>15.199</v>
      </c>
      <c r="AN117" s="424">
        <f t="array" ref="AN117">INDEX(Demand_previous!$D$4:$AY$138, MATCH('Staging Table'!$A117, Demand_previous!$B$4:$B$138, 0), MATCH(AN$4&amp;AN$5,Demand_previous!$D$2:$AY$2&amp;Demand_previous!$D$3:$AY$3, 0))/1000</f>
        <v>4.5540000000000003</v>
      </c>
      <c r="AO117" s="424">
        <f t="array" ref="AO117">INDEX(Demand_previous!$D$4:$AY$138, MATCH('Staging Table'!$A117, Demand_previous!$B$4:$B$138, 0), MATCH(AO$4&amp;AO$5,Demand_previous!$D$2:$AY$2&amp;Demand_previous!$D$3:$AY$3, 0))/1000</f>
        <v>14.933999999999999</v>
      </c>
      <c r="AP117" s="424">
        <f t="array" ref="AP117">INDEX(Demand_previous!$D$4:$AY$138, MATCH('Staging Table'!$A117, Demand_previous!$B$4:$B$138, 0), MATCH(AP$4&amp;AP$5,Demand_previous!$D$2:$AY$2&amp;Demand_previous!$D$3:$AY$3, 0))/1000</f>
        <v>6.7670000000000003</v>
      </c>
      <c r="AQ117" s="424">
        <f t="array" ref="AQ117">INDEX(Demand_previous!$D$4:$AY$138, MATCH('Staging Table'!$A117, Demand_previous!$B$4:$B$138, 0), MATCH(AQ$4&amp;AQ$5,Demand_previous!$D$2:$AY$2&amp;Demand_previous!$D$3:$AY$3, 0))/1000</f>
        <v>7.25</v>
      </c>
      <c r="AR117" s="424">
        <f t="array" ref="AR117">INDEX(Demand_previous!$D$4:$AY$138, MATCH('Staging Table'!$A117, Demand_previous!$B$4:$B$138, 0), MATCH(AR$4&amp;AR$5,Demand_previous!$D$2:$AY$2&amp;Demand_previous!$D$3:$AY$3, 0))/1000</f>
        <v>2.64</v>
      </c>
      <c r="AS117" s="424">
        <f t="array" ref="AS117">INDEX(Demand_previous!$D$4:$AY$138, MATCH('Staging Table'!$A117, Demand_previous!$B$4:$B$138, 0), MATCH(AS$4&amp;AS$5,Demand_previous!$D$2:$AY$2&amp;Demand_previous!$D$3:$AY$3, 0))/1000</f>
        <v>2.4060000000000001</v>
      </c>
      <c r="AT117" s="424">
        <f t="array" ref="AT117">INDEX(Demand_previous!$D$4:$AY$138, MATCH('Staging Table'!$A117, Demand_previous!$B$4:$B$138, 0), MATCH(AT$4&amp;AT$5,Demand_previous!$D$2:$AY$2&amp;Demand_previous!$D$3:$AY$3, 0))/1000</f>
        <v>6.665</v>
      </c>
      <c r="AU117" s="424">
        <f t="array" ref="AU117">INDEX(Demand_previous!$D$4:$AY$138, MATCH('Staging Table'!$A117, Demand_previous!$B$4:$B$138, 0), MATCH(AU$4&amp;AU$5,Demand_previous!$D$2:$AY$2&amp;Demand_previous!$D$3:$AY$3, 0))/1000</f>
        <v>0</v>
      </c>
      <c r="AV117" s="227">
        <f>$F117*(VLOOKUP(AV$4, Rates_previous!$G$6:$Q$29, 10, FALSE)+VLOOKUP(AV$4, Rates_previous!$G$6:$Q$29, 11, FALSE))</f>
        <v>36623.573994471903</v>
      </c>
      <c r="AW117" s="227">
        <f>$F117*(VLOOKUP(AW$4, Rates_previous!$G$6:$Q$29, 10, FALSE)+VLOOKUP(AW$4, Rates_previous!$G$6:$Q$29, 11, FALSE))</f>
        <v>45263.953918029067</v>
      </c>
      <c r="AX117" s="227">
        <f>$F117*(VLOOKUP(AX$4, Rates_previous!$G$6:$Q$29, 10, FALSE)+VLOOKUP(AX$4, Rates_previous!$G$6:$Q$29, 11, FALSE))</f>
        <v>44720.387969777425</v>
      </c>
      <c r="AY117" s="227">
        <f>$F117*(VLOOKUP(AY$4, Rates_previous!$G$6:$Q$29, 10, FALSE)+VLOOKUP(AY$4, Rates_previous!$G$6:$Q$29, 11, FALSE))</f>
        <v>38209.308963211726</v>
      </c>
      <c r="AZ117" s="227">
        <f>$F117*(VLOOKUP(AZ$4, Rates_previous!$G$6:$Q$29, 10, FALSE)+VLOOKUP(AZ$4, Rates_previous!$G$6:$Q$29, 11, FALSE))</f>
        <v>31324.221846312947</v>
      </c>
      <c r="BA117" s="227">
        <f>$F117*(VLOOKUP(BA$4, Rates_previous!$G$6:$Q$29, 10, FALSE)+VLOOKUP(BA$4, Rates_previous!$G$6:$Q$29, 11, FALSE))</f>
        <v>37086.740864702675</v>
      </c>
      <c r="BB117" s="227">
        <f>$F117*(VLOOKUP(BB$4, Rates_previous!$G$6:$Q$29, 10, FALSE)+VLOOKUP(BB$4, Rates_previous!$G$6:$Q$29, 11, FALSE))</f>
        <v>35645.752566556337</v>
      </c>
      <c r="BC117" s="227">
        <f>$F117*(VLOOKUP(BC$4, Rates_previous!$G$6:$Q$29, 10, FALSE)+VLOOKUP(BC$4, Rates_previous!$G$6:$Q$29, 11, FALSE))</f>
        <v>52307.619500032633</v>
      </c>
      <c r="BD117" s="227">
        <f>$F117*(VLOOKUP(BD$4, Rates_previous!$G$6:$Q$29, 10, FALSE)+VLOOKUP(BD$4, Rates_previous!$G$6:$Q$29, 11, FALSE))</f>
        <v>41269.329278290279</v>
      </c>
      <c r="BE117" s="227">
        <f>$F117*(VLOOKUP(BE$4, Rates_previous!$G$6:$Q$29, 10, FALSE)+VLOOKUP(BE$4, Rates_previous!$G$6:$Q$29, 11, FALSE))</f>
        <v>36237.935069375271</v>
      </c>
      <c r="BF117" s="227">
        <f>$F117*(VLOOKUP(BF$4, Rates_previous!$G$6:$Q$29, 10, FALSE)+VLOOKUP(BF$4, Rates_previous!$G$6:$Q$29, 11, FALSE))</f>
        <v>40134.963610990926</v>
      </c>
      <c r="BG117" s="227">
        <f>$F117*(VLOOKUP(BG$4, Rates_previous!$G$6:$Q$29, 10, FALSE)+VLOOKUP(BG$4, Rates_previous!$G$6:$Q$29, 11, FALSE))</f>
        <v>36360.680964086569</v>
      </c>
      <c r="BH117" s="229">
        <f>IF($D117=0,IF(C117=0, MAX(BK117 - (VLOOKUP($A117,TOCA_previous!$A$2:$AI$137,MATCH("RHWM 2018",TOCA_previous!$A$2:$AI$2,0),FALSE)*$F$2*TOCA_previous!C114),0),0), 0)</f>
        <v>2847.6754783678916</v>
      </c>
      <c r="BI117" s="266">
        <f>VLOOKUP($A117,REP_previous!$A$1:$D$135,MATCH("FY "&amp;$F$1&amp; " Total Refund",REP_previous!$A$1:$D$1,0),0)</f>
        <v>597358.67315951898</v>
      </c>
      <c r="BJ117" s="241">
        <f>MIN(VLOOKUP($A117,TOCA_previous!$A$2:$AI$137,MATCH("TRL - NLSL - Existing Resource "&amp;$F$1,TOCA_previous!$A$2:$AI$2,0),FALSE)*$F$2,(VLOOKUP($A117,TOCA_previous!$A$2:$AI$137,MATCH("RHWM 2018",TOCA_previous!$A$2:$AI$2,0),FALSE)*$F$2))</f>
        <v>475186.19999999995</v>
      </c>
      <c r="BK117" s="229">
        <f>SUM(L117:AI117)+(F117*RT1SC!$C$3*$F$2)</f>
        <v>485786.47547836794</v>
      </c>
      <c r="BL117" s="241">
        <f>VLOOKUP($A117,TOCA_previous!$A$2:$AI$137,MATCH("Above RHWM Not Served with LS "&amp;$F$1,TOCA_previous!$A$2:$AI$2,0),FALSE)*$F$2</f>
        <v>0</v>
      </c>
      <c r="BM117" s="151">
        <f t="shared" si="21"/>
        <v>10600.275478367985</v>
      </c>
      <c r="BN117" s="242">
        <f>(VLOOKUP($A117,TOCA_previous!$A$2:$AI$137,MATCH("RHWM 2018",TOCA_previous!$A$2:$AI$2,0),FALSE)*$F$2) - $BJ117</f>
        <v>7752.6000000000931</v>
      </c>
      <c r="BO117" s="151">
        <f t="shared" si="22"/>
        <v>-7752.6000000000931</v>
      </c>
      <c r="BP117" s="243">
        <f t="shared" si="23"/>
        <v>0</v>
      </c>
      <c r="BQ117" s="237">
        <f t="shared" si="24"/>
        <v>0</v>
      </c>
      <c r="BR117" s="242">
        <f t="shared" si="25"/>
        <v>-7752.6000000000931</v>
      </c>
      <c r="BS117" s="151">
        <f>VLOOKUP($A117,TOCA_current!$A$2:$AI$137,MATCH(BS$4,TOCA_current!$A$2:$AI$2,0),FALSE)</f>
        <v>7.7594999999999999E-3</v>
      </c>
      <c r="BT117" s="151">
        <f>VLOOKUP($A117,TOCA_current!$A$2:$AI$137,MATCH(BT$4,TOCA_current!$A$2:$AI$2,0),FALSE)</f>
        <v>7.7594999999999999E-3</v>
      </c>
      <c r="BU117" s="236">
        <f t="shared" si="26"/>
        <v>0</v>
      </c>
      <c r="BV117" s="151">
        <f>VLOOKUP($A117,TOCA_current!A113:BG248,MATCH(BV$4,TOCA_current!$A$2:$BG$2,0),FALSE)</f>
        <v>0</v>
      </c>
      <c r="BW117" s="151">
        <f t="shared" si="27"/>
        <v>0</v>
      </c>
      <c r="BX117" s="151">
        <f t="shared" si="28"/>
        <v>0</v>
      </c>
      <c r="BY117" s="226">
        <f>VLOOKUP($A117,IRD!$A$4:$G$139, 7, FALSE)</f>
        <v>0</v>
      </c>
      <c r="BZ117" s="227">
        <f t="array" ref="BZ117">IF($BU117=0, INDEX(LS_current!$D$4:$AY$138, MATCH('Staging Table'!$A117, LS_current!$B$4:$B$138, 0), MATCH(BZ$4&amp;BZ$5, LS_current!$D$2:$AY$2&amp;LS_current!$D$3:$AY$3, 0)),SUM(VLOOKUP($A117, LS_current!$B$4:$AY$138, LS_current!D$148, FALSE), VLOOKUP($A117, LS_current!$B$4:$AY$138,LS_current!D$148, FALSE))/2)</f>
        <v>887</v>
      </c>
      <c r="CA117" s="227">
        <f t="array" ref="CA117">IF($BU117=0, INDEX(LS_current!$D$4:$AY$138, MATCH('Staging Table'!$A117, LS_current!$B$4:$B$138, 0), MATCH(CA$4&amp;CA$5, LS_current!$D$2:$AY$2&amp;LS_current!$D$3:$AY$3, 0)),SUM(VLOOKUP($A117, LS_current!$B$4:$AY$138, LS_current!E$148, FALSE), VLOOKUP($A117, LS_current!$B$4:$AY$138,LS_current!E$148, FALSE))/2)</f>
        <v>1489</v>
      </c>
      <c r="CB117" s="227">
        <f t="array" ref="CB117">IF($BU117=0, INDEX(LS_current!$D$4:$AY$138, MATCH('Staging Table'!$A117, LS_current!$B$4:$B$138, 0), MATCH(CB$4&amp;CB$5, LS_current!$D$2:$AY$2&amp;LS_current!$D$3:$AY$3, 0)),SUM(VLOOKUP($A117, LS_current!$B$4:$AY$138, LS_current!F$148, FALSE), VLOOKUP($A117, LS_current!$B$4:$AY$138,LS_current!F$148, FALSE))/2)</f>
        <v>-866</v>
      </c>
      <c r="CC117" s="227">
        <f t="array" ref="CC117">IF($BU117=0, INDEX(LS_current!$D$4:$AY$138, MATCH('Staging Table'!$A117, LS_current!$B$4:$B$138, 0), MATCH(CC$4&amp;CC$5, LS_current!$D$2:$AY$2&amp;LS_current!$D$3:$AY$3, 0)),SUM(VLOOKUP($A117, LS_current!$B$4:$AY$138, LS_current!G$148, FALSE), VLOOKUP($A117, LS_current!$B$4:$AY$138,LS_current!G$148, FALSE))/2)</f>
        <v>1935</v>
      </c>
      <c r="CD117" s="227">
        <f t="array" ref="CD117">IF($BU117=0, INDEX(LS_current!$D$4:$AY$138, MATCH('Staging Table'!$A117, LS_current!$B$4:$B$138, 0), MATCH(CD$4&amp;CD$5, LS_current!$D$2:$AY$2&amp;LS_current!$D$3:$AY$3, 0)),SUM(VLOOKUP($A117, LS_current!$B$4:$AY$138, LS_current!H$148, FALSE), VLOOKUP($A117, LS_current!$B$4:$AY$138,LS_current!H$148, FALSE))/2)</f>
        <v>1801</v>
      </c>
      <c r="CE117" s="227">
        <f t="array" ref="CE117">IF($BU117=0, INDEX(LS_current!$D$4:$AY$138, MATCH('Staging Table'!$A117, LS_current!$B$4:$B$138, 0), MATCH(CE$4&amp;CE$5, LS_current!$D$2:$AY$2&amp;LS_current!$D$3:$AY$3, 0)),SUM(VLOOKUP($A117, LS_current!$B$4:$AY$138, LS_current!I$148, FALSE), VLOOKUP($A117, LS_current!$B$4:$AY$138,LS_current!I$148, FALSE))/2)</f>
        <v>4810</v>
      </c>
      <c r="CF117" s="227">
        <f t="array" ref="CF117">IF($BU117=0, INDEX(LS_current!$D$4:$AY$138, MATCH('Staging Table'!$A117, LS_current!$B$4:$B$138, 0), MATCH(CF$4&amp;CF$5, LS_current!$D$2:$AY$2&amp;LS_current!$D$3:$AY$3, 0)),SUM(VLOOKUP($A117, LS_current!$B$4:$AY$138, LS_current!J$148, FALSE), VLOOKUP($A117, LS_current!$B$4:$AY$138,LS_current!J$148, FALSE))/2)</f>
        <v>7519</v>
      </c>
      <c r="CG117" s="227">
        <f t="array" ref="CG117">IF($BU117=0, INDEX(LS_current!$D$4:$AY$138, MATCH('Staging Table'!$A117, LS_current!$B$4:$B$138, 0), MATCH(CG$4&amp;CG$5, LS_current!$D$2:$AY$2&amp;LS_current!$D$3:$AY$3, 0)),SUM(VLOOKUP($A117, LS_current!$B$4:$AY$138, LS_current!K$148, FALSE), VLOOKUP($A117, LS_current!$B$4:$AY$138,LS_current!K$148, FALSE))/2)</f>
        <v>7350</v>
      </c>
      <c r="CH117" s="227">
        <f t="array" ref="CH117">IF($BU117=0, INDEX(LS_current!$D$4:$AY$138, MATCH('Staging Table'!$A117, LS_current!$B$4:$B$138, 0), MATCH(CH$4&amp;CH$5, LS_current!$D$2:$AY$2&amp;LS_current!$D$3:$AY$3, 0)),SUM(VLOOKUP($A117, LS_current!$B$4:$AY$138, LS_current!L$148, FALSE), VLOOKUP($A117, LS_current!$B$4:$AY$138,LS_current!L$148, FALSE))/2)</f>
        <v>5907</v>
      </c>
      <c r="CI117" s="227">
        <f t="array" ref="CI117">IF($BU117=0, INDEX(LS_current!$D$4:$AY$138, MATCH('Staging Table'!$A117, LS_current!$B$4:$B$138, 0), MATCH(CI$4&amp;CI$5, LS_current!$D$2:$AY$2&amp;LS_current!$D$3:$AY$3, 0)),SUM(VLOOKUP($A117, LS_current!$B$4:$AY$138, LS_current!M$148, FALSE), VLOOKUP($A117, LS_current!$B$4:$AY$138,LS_current!M$148, FALSE))/2)</f>
        <v>4684</v>
      </c>
      <c r="CJ117" s="227">
        <f t="array" ref="CJ117">IF($BU117=0, INDEX(LS_current!$D$4:$AY$138, MATCH('Staging Table'!$A117, LS_current!$B$4:$B$138, 0), MATCH(CJ$4&amp;CJ$5, LS_current!$D$2:$AY$2&amp;LS_current!$D$3:$AY$3, 0)),SUM(VLOOKUP($A117, LS_current!$B$4:$AY$138, LS_current!N$148, FALSE), VLOOKUP($A117, LS_current!$B$4:$AY$138,LS_current!N$148, FALSE))/2)</f>
        <v>3283</v>
      </c>
      <c r="CK117" s="227">
        <f t="array" ref="CK117">IF($BU117=0, INDEX(LS_current!$D$4:$AY$138, MATCH('Staging Table'!$A117, LS_current!$B$4:$B$138, 0), MATCH(CK$4&amp;CK$5, LS_current!$D$2:$AY$2&amp;LS_current!$D$3:$AY$3, 0)),SUM(VLOOKUP($A117, LS_current!$B$4:$AY$138, LS_current!O$148, FALSE), VLOOKUP($A117, LS_current!$B$4:$AY$138,LS_current!O$148, FALSE))/2)</f>
        <v>4540</v>
      </c>
      <c r="CL117" s="227">
        <f t="array" ref="CL117">IF($BU117=0, INDEX(LS_current!$D$4:$AY$138, MATCH('Staging Table'!$A117, LS_current!$B$4:$B$138, 0), MATCH(CL$4&amp;CL$5, LS_current!$D$2:$AY$2&amp;LS_current!$D$3:$AY$3, 0)),SUM(VLOOKUP($A117, LS_current!$B$4:$AY$138, LS_current!P$148, FALSE), VLOOKUP($A117, LS_current!$B$4:$AY$138,LS_current!P$148, FALSE))/2)</f>
        <v>4731</v>
      </c>
      <c r="CM117" s="227">
        <f t="array" ref="CM117">IF($BU117=0, INDEX(LS_current!$D$4:$AY$138, MATCH('Staging Table'!$A117, LS_current!$B$4:$B$138, 0), MATCH(CM$4&amp;CM$5, LS_current!$D$2:$AY$2&amp;LS_current!$D$3:$AY$3, 0)),SUM(VLOOKUP($A117, LS_current!$B$4:$AY$138, LS_current!Q$148, FALSE), VLOOKUP($A117, LS_current!$B$4:$AY$138,LS_current!Q$148, FALSE))/2)</f>
        <v>3371</v>
      </c>
      <c r="CN117" s="227">
        <f t="array" ref="CN117">IF($BU117=0, INDEX(LS_current!$D$4:$AY$138, MATCH('Staging Table'!$A117, LS_current!$B$4:$B$138, 0), MATCH(CN$4&amp;CN$5, LS_current!$D$2:$AY$2&amp;LS_current!$D$3:$AY$3, 0)),SUM(VLOOKUP($A117, LS_current!$B$4:$AY$138, LS_current!R$148, FALSE), VLOOKUP($A117, LS_current!$B$4:$AY$138,LS_current!R$148, FALSE))/2)</f>
        <v>-7162</v>
      </c>
      <c r="CO117" s="227">
        <f t="array" ref="CO117">IF($BU117=0, INDEX(LS_current!$D$4:$AY$138, MATCH('Staging Table'!$A117, LS_current!$B$4:$B$138, 0), MATCH(CO$4&amp;CO$5, LS_current!$D$2:$AY$2&amp;LS_current!$D$3:$AY$3, 0)),SUM(VLOOKUP($A117, LS_current!$B$4:$AY$138, LS_current!S$148, FALSE), VLOOKUP($A117, LS_current!$B$4:$AY$138,LS_current!S$148, FALSE))/2)</f>
        <v>-301</v>
      </c>
      <c r="CP117" s="227">
        <f t="array" ref="CP117">IF($BU117=0, INDEX(LS_current!$D$4:$AY$138, MATCH('Staging Table'!$A117, LS_current!$B$4:$B$138, 0), MATCH(CP$4&amp;CP$5, LS_current!$D$2:$AY$2&amp;LS_current!$D$3:$AY$3, 0)),SUM(VLOOKUP($A117, LS_current!$B$4:$AY$138, LS_current!T$148, FALSE), VLOOKUP($A117, LS_current!$B$4:$AY$138,LS_current!T$148, FALSE))/2)</f>
        <v>-13878</v>
      </c>
      <c r="CQ117" s="227">
        <f t="array" ref="CQ117">IF($BU117=0, INDEX(LS_current!$D$4:$AY$138, MATCH('Staging Table'!$A117, LS_current!$B$4:$B$138, 0), MATCH(CQ$4&amp;CQ$5, LS_current!$D$2:$AY$2&amp;LS_current!$D$3:$AY$3, 0)),SUM(VLOOKUP($A117, LS_current!$B$4:$AY$138, LS_current!U$148, FALSE), VLOOKUP($A117, LS_current!$B$4:$AY$138,LS_current!U$148, FALSE))/2)</f>
        <v>-6355</v>
      </c>
      <c r="CR117" s="227">
        <f t="array" ref="CR117">IF($BU117=0, INDEX(LS_current!$D$4:$AY$138, MATCH('Staging Table'!$A117, LS_current!$B$4:$B$138, 0), MATCH(CR$4&amp;CR$5, LS_current!$D$2:$AY$2&amp;LS_current!$D$3:$AY$3, 0)),SUM(VLOOKUP($A117, LS_current!$B$4:$AY$138, LS_current!V$148, FALSE), VLOOKUP($A117, LS_current!$B$4:$AY$138,LS_current!V$148, FALSE))/2)</f>
        <v>-8060</v>
      </c>
      <c r="CS117" s="227">
        <f t="array" ref="CS117">IF($BU117=0, INDEX(LS_current!$D$4:$AY$138, MATCH('Staging Table'!$A117, LS_current!$B$4:$B$138, 0), MATCH(CS$4&amp;CS$5, LS_current!$D$2:$AY$2&amp;LS_current!$D$3:$AY$3, 0)),SUM(VLOOKUP($A117, LS_current!$B$4:$AY$138, LS_current!W$148, FALSE), VLOOKUP($A117, LS_current!$B$4:$AY$138,LS_current!W$148, FALSE))/2)</f>
        <v>236</v>
      </c>
      <c r="CT117" s="227">
        <f t="array" ref="CT117">IF($BU117=0, INDEX(LS_current!$D$4:$AY$138, MATCH('Staging Table'!$A117, LS_current!$B$4:$B$138, 0), MATCH(CT$4&amp;CT$5, LS_current!$D$2:$AY$2&amp;LS_current!$D$3:$AY$3, 0)),SUM(VLOOKUP($A117, LS_current!$B$4:$AY$138, LS_current!X$148, FALSE), VLOOKUP($A117, LS_current!$B$4:$AY$138,LS_current!X$148, FALSE))/2)</f>
        <v>-7063</v>
      </c>
      <c r="CU117" s="227">
        <f t="array" ref="CU117">IF($BU117=0, INDEX(LS_current!$D$4:$AY$138, MATCH('Staging Table'!$A117, LS_current!$B$4:$B$138, 0), MATCH(CU$4&amp;CU$5, LS_current!$D$2:$AY$2&amp;LS_current!$D$3:$AY$3, 0)),SUM(VLOOKUP($A117, LS_current!$B$4:$AY$138, LS_current!Y$148, FALSE), VLOOKUP($A117, LS_current!$B$4:$AY$138,LS_current!Y$148, FALSE))/2)</f>
        <v>345</v>
      </c>
      <c r="CV117" s="227">
        <f t="array" ref="CV117">IF($BU117=0, INDEX(LS_current!$D$4:$AY$138, MATCH('Staging Table'!$A117, LS_current!$B$4:$B$138, 0), MATCH(CV$4&amp;CV$5, LS_current!$D$2:$AY$2&amp;LS_current!$D$3:$AY$3, 0)),SUM(VLOOKUP($A117, LS_current!$B$4:$AY$138, LS_current!Z$148, FALSE), VLOOKUP($A117, LS_current!$B$4:$AY$138,LS_current!Z$148, FALSE))/2)</f>
        <v>-2556</v>
      </c>
      <c r="CW117" s="227">
        <f t="array" ref="CW117">IF($BU117=0, INDEX(LS_current!$D$4:$AY$138, MATCH('Staging Table'!$A117, LS_current!$B$4:$B$138, 0), MATCH(CW$4&amp;CW$5, LS_current!$D$2:$AY$2&amp;LS_current!$D$3:$AY$3, 0)),SUM(VLOOKUP($A117, LS_current!$B$4:$AY$138, LS_current!AA$148, FALSE), VLOOKUP($A117, LS_current!$B$4:$AY$138,LS_current!AA$148, FALSE))/2)</f>
        <v>354</v>
      </c>
      <c r="CX117" s="229">
        <f t="array" ref="CX117">INDEX(Demand_current!$D$4:$AY$138, MATCH($A117, Demand_current!$B$4:$B$138, 0), MATCH(CX$4&amp;CX$5,Demand_current!$D$2:$AY$2&amp;Demand_current!$D$3:$AY$3, 0))/1000</f>
        <v>7.0359999999999996</v>
      </c>
      <c r="CY117" s="229">
        <f t="array" ref="CY117">INDEX(Demand_current!$D$4:$AY$138, MATCH($A117, Demand_current!$B$4:$B$138, 0), MATCH(CY$4&amp;CY$5,Demand_current!$D$2:$AY$2&amp;Demand_current!$D$3:$AY$3, 0))/1000</f>
        <v>3.641</v>
      </c>
      <c r="CZ117" s="229">
        <f t="array" ref="CZ117">INDEX(Demand_current!$D$4:$AY$138, MATCH($A117, Demand_current!$B$4:$B$138, 0), MATCH(CZ$4&amp;CZ$5,Demand_current!$D$2:$AY$2&amp;Demand_current!$D$3:$AY$3, 0))/1000</f>
        <v>10.234</v>
      </c>
      <c r="DA117" s="229">
        <f t="array" ref="DA117">INDEX(Demand_current!$D$4:$AY$138, MATCH($A117, Demand_current!$B$4:$B$138, 0), MATCH(DA$4&amp;DA$5,Demand_current!$D$2:$AY$2&amp;Demand_current!$D$3:$AY$3, 0))/1000</f>
        <v>15.199</v>
      </c>
      <c r="DB117" s="229">
        <f t="array" ref="DB117">INDEX(Demand_current!$D$4:$AY$138, MATCH($A117, Demand_current!$B$4:$B$138, 0), MATCH(DB$4&amp;DB$5,Demand_current!$D$2:$AY$2&amp;Demand_current!$D$3:$AY$3, 0))/1000</f>
        <v>7.43</v>
      </c>
      <c r="DC117" s="229">
        <f t="array" ref="DC117">INDEX(Demand_current!$D$4:$AY$138, MATCH($A117, Demand_current!$B$4:$B$138, 0), MATCH(DC$4&amp;DC$5,Demand_current!$D$2:$AY$2&amp;Demand_current!$D$3:$AY$3, 0))/1000</f>
        <v>12.478</v>
      </c>
      <c r="DD117" s="229">
        <f t="array" ref="DD117">INDEX(Demand_current!$D$4:$AY$138, MATCH($A117, Demand_current!$B$4:$B$138, 0), MATCH(DD$4&amp;DD$5,Demand_current!$D$2:$AY$2&amp;Demand_current!$D$3:$AY$3, 0))/1000</f>
        <v>9.11</v>
      </c>
      <c r="DE117" s="229">
        <f t="array" ref="DE117">INDEX(Demand_current!$D$4:$AY$138, MATCH($A117, Demand_current!$B$4:$B$138, 0), MATCH(DE$4&amp;DE$5,Demand_current!$D$2:$AY$2&amp;Demand_current!$D$3:$AY$3, 0))/1000</f>
        <v>5.3239999999999998</v>
      </c>
      <c r="DF117" s="229">
        <f t="array" ref="DF117">INDEX(Demand_current!$D$4:$AY$138, MATCH($A117, Demand_current!$B$4:$B$138, 0), MATCH(DF$4&amp;DF$5,Demand_current!$D$2:$AY$2&amp;Demand_current!$D$3:$AY$3, 0))/1000</f>
        <v>2.64</v>
      </c>
      <c r="DG117" s="229">
        <f t="array" ref="DG117">INDEX(Demand_current!$D$4:$AY$138, MATCH($A117, Demand_current!$B$4:$B$138, 0), MATCH(DG$4&amp;DG$5,Demand_current!$D$2:$AY$2&amp;Demand_current!$D$3:$AY$3, 0))/1000</f>
        <v>4.4050000000000002</v>
      </c>
      <c r="DH117" s="229">
        <f t="array" ref="DH117">INDEX(Demand_current!$D$4:$AY$138, MATCH($A117, Demand_current!$B$4:$B$138, 0), MATCH(DH$4&amp;DH$5,Demand_current!$D$2:$AY$2&amp;Demand_current!$D$3:$AY$3, 0))/1000</f>
        <v>4.8029999999999999</v>
      </c>
      <c r="DI117" s="229">
        <f t="array" ref="DI117">INDEX(Demand_current!$D$4:$AY$138, MATCH($A117, Demand_current!$B$4:$B$138, 0), MATCH(DI$4&amp;DI$5,Demand_current!$D$2:$AY$2&amp;Demand_current!$D$3:$AY$3, 0))/1000</f>
        <v>0</v>
      </c>
      <c r="DJ117" s="227">
        <f>$BT117*(VLOOKUP(DJ$4, Rates_current!$G$6:$Q$29, 10, FALSE)+VLOOKUP(DJ$4, Rates_current!$G$6:$Q$29, 11, FALSE))</f>
        <v>35828.072782361996</v>
      </c>
      <c r="DK117" s="227">
        <f>$BT117*(VLOOKUP(DK$4, Rates_current!$G$6:$Q$29, 10, FALSE)+VLOOKUP(DK$4, Rates_current!$G$6:$Q$29, 11, FALSE))</f>
        <v>45512.829218020503</v>
      </c>
      <c r="DL117" s="227">
        <f>$BT117*(VLOOKUP(DL$4, Rates_current!$G$6:$Q$29, 10, FALSE)+VLOOKUP(DL$4, Rates_current!$G$6:$Q$29, 11, FALSE))</f>
        <v>44963.200220862003</v>
      </c>
      <c r="DM117" s="227">
        <f>$BT117*(VLOOKUP(DM$4, Rates_current!$G$6:$Q$29, 10, FALSE)+VLOOKUP(DM$4, Rates_current!$G$6:$Q$29, 11, FALSE))</f>
        <v>37479.565964862006</v>
      </c>
      <c r="DN117" s="227">
        <f>$BT117*(VLOOKUP(DN$4, Rates_current!$G$6:$Q$29, 10, FALSE)+VLOOKUP(DN$4, Rates_current!$G$6:$Q$29, 11, FALSE))</f>
        <v>33952.598559599995</v>
      </c>
      <c r="DO117" s="227">
        <f>$BT117*(VLOOKUP(DO$4, Rates_current!$G$6:$Q$29, 10, FALSE)+VLOOKUP(DO$4, Rates_current!$G$6:$Q$29, 11, FALSE))</f>
        <v>37766.075733151498</v>
      </c>
      <c r="DP117" s="227">
        <f>$BT117*(VLOOKUP(DP$4, Rates_current!$G$6:$Q$29, 10, FALSE)+VLOOKUP(DP$4, Rates_current!$G$6:$Q$29, 11, FALSE))</f>
        <v>30749.179615559999</v>
      </c>
      <c r="DQ117" s="227">
        <f>$BT117*(VLOOKUP(DQ$4, Rates_current!$G$6:$Q$29, 10, FALSE)+VLOOKUP(DQ$4, Rates_current!$G$6:$Q$29, 11, FALSE))</f>
        <v>41469.853922112001</v>
      </c>
      <c r="DR117" s="227">
        <f>$BT117*(VLOOKUP(DR$4, Rates_current!$G$6:$Q$29, 10, FALSE)+VLOOKUP(DR$4, Rates_current!$G$6:$Q$29, 11, FALSE))</f>
        <v>52912.713180810002</v>
      </c>
      <c r="DS117" s="227">
        <f>$BT117*(VLOOKUP(DS$4, Rates_current!$G$6:$Q$29, 10, FALSE)+VLOOKUP(DS$4, Rates_current!$G$6:$Q$29, 11, FALSE))</f>
        <v>41485.244890362002</v>
      </c>
      <c r="DT117" s="227">
        <f>$BT117*(VLOOKUP(DT$4, Rates_current!$G$6:$Q$29, 10, FALSE)+VLOOKUP(DT$4, Rates_current!$G$6:$Q$29, 11, FALSE))</f>
        <v>40398.367845612003</v>
      </c>
      <c r="DU117" s="227">
        <f>$BT117*(VLOOKUP(DU$4, Rates_current!$G$6:$Q$29, 10, FALSE)+VLOOKUP(DU$4, Rates_current!$G$6:$Q$29, 11, FALSE))</f>
        <v>36269.140485060001</v>
      </c>
      <c r="DV117" s="229">
        <f>IF(D117=0,IF(C117=0,MAX(0,DY117 - (VLOOKUP($A117,TOCA_current!$A$2:$AI$137,MATCH("RHWM 2020",TOCA_current!$A$2:$AI$2,0),FALSE)*$BT$2)), 0),0)</f>
        <v>0</v>
      </c>
      <c r="DW117" s="266">
        <f>VLOOKUP($A117,REP_current!$A$1:$D$135,MATCH("FY "&amp;$BT$1&amp; " Total Refund",REP_current!$A$1:$D$1,0),0)</f>
        <v>0</v>
      </c>
      <c r="DX117" s="295">
        <f>MIN(VLOOKUP($A117,TOCA_current!$A$2:$AI$137,MATCH("TRL - NLSL - Existing Resource "&amp;$BT$1,TOCA_current!$A$2:$AI$2,0),FALSE)*$BT$2, VLOOKUP($A117,TOCA_current!$A$2:$AI$137,MATCH("RHWM 2020",TOCA_current!$A$2:$AI$2,0),FALSE)*$BT$2)</f>
        <v>478789.48799999995</v>
      </c>
      <c r="DY117" s="240">
        <f>SUM(BZ117:CW117)+(BT117*RT1SC!$C$4*$BT$2)</f>
        <v>485787.86038937594</v>
      </c>
      <c r="DZ117" s="271">
        <f>VLOOKUP($A117,TOCA_current!$A$2:$AI$137,MATCH("Above RHWM Not Served with LS "&amp;$BT$1,TOCA_current!$A$2:$AI$2,0),FALSE)*$BT$2</f>
        <v>0</v>
      </c>
      <c r="EA117" s="244">
        <f t="shared" si="29"/>
        <v>6998.3723893759889</v>
      </c>
      <c r="EB117" s="295">
        <f>(VLOOKUP($A117,TOCA_current!$A$2:$AI$137,MATCH("RHWM 2020",TOCA_current!$A$2:$AI$2,0),FALSE)*$BT$2) - $DX117</f>
        <v>10769.184000000008</v>
      </c>
      <c r="EC117" s="240">
        <f t="shared" si="30"/>
        <v>-6998.3723893759889</v>
      </c>
      <c r="ED117" s="240">
        <f t="shared" si="31"/>
        <v>0</v>
      </c>
      <c r="EE117" s="240">
        <f t="shared" si="32"/>
        <v>0</v>
      </c>
      <c r="EF117" s="240">
        <f t="shared" si="33"/>
        <v>-6998.3723893759889</v>
      </c>
    </row>
    <row r="118" spans="1:136">
      <c r="A118" s="166">
        <v>10378</v>
      </c>
      <c r="B118" s="167" t="s">
        <v>119</v>
      </c>
      <c r="C118" s="240">
        <v>0</v>
      </c>
      <c r="D118" s="240">
        <v>0</v>
      </c>
      <c r="E118" s="150">
        <f>VLOOKUP($A118,TOCA_previous!$A$2:$AI$137,MATCH(E$4,TOCA_previous!$A$2:$AI$2,0),FALSE)</f>
        <v>2.7109999999999998E-4</v>
      </c>
      <c r="F118" s="151">
        <f>VLOOKUP($A118,TOCA_previous!$A$2:$AI$137,MATCH(F$4,TOCA_previous!$A$2:$AI$2,0),FALSE)</f>
        <v>2.7109999999999998E-4</v>
      </c>
      <c r="G118" s="151">
        <f t="shared" si="18"/>
        <v>0</v>
      </c>
      <c r="H118" s="151">
        <f>VLOOKUP($A118,TOCA_previous!$A$2:$AI$137,MATCH(H$4,TOCA_previous!$A$2:$AI$2,0),FALSE)</f>
        <v>0</v>
      </c>
      <c r="I118" s="151">
        <f t="shared" si="19"/>
        <v>0</v>
      </c>
      <c r="J118" s="151">
        <f t="shared" si="20"/>
        <v>0</v>
      </c>
      <c r="K118" s="226">
        <f>VLOOKUP(A118, IRD!$A$5:$C$139, 3, FALSE)</f>
        <v>0</v>
      </c>
      <c r="L118" s="227">
        <f t="array" ref="L118">IF($G118=0, INDEX(LS_previous!$D$4:$AY$138, MATCH('Staging Table'!$A118, LS_previous!$B$4:$B$138, 0), MATCH(L$4&amp;L$5, LS_previous!$D$2:$AY$2&amp;LS_previous!$D$3:$AY$3, 0)),SUM(VLOOKUP($A118, LS_previous!$B$4:$AY$138, LS_previous!D$149, FALSE), VLOOKUP('Staging Table'!$A118, LS_previous!$B$4:$AY$138,LS_previous!AB$149, FALSE))/2)</f>
        <v>-188</v>
      </c>
      <c r="M118" s="227">
        <f t="array" ref="M118">IF($G118=0, INDEX(LS_previous!$D$4:$AY$138, MATCH('Staging Table'!$A118, LS_previous!$B$4:$B$138, 0), MATCH(M$4&amp;M$5, LS_previous!$D$2:$AY$2&amp;LS_previous!$D$3:$AY$3, 0)),SUM(VLOOKUP($A118, LS_previous!$B$4:$AY$138, LS_previous!E$149, FALSE), VLOOKUP('Staging Table'!$A118, LS_previous!$B$4:$AY$138,LS_previous!AC$149, FALSE))/2)</f>
        <v>-71</v>
      </c>
      <c r="N118" s="227">
        <f t="array" ref="N118">IF($G118=0, INDEX(LS_previous!$D$4:$AY$138, MATCH('Staging Table'!$A118, LS_previous!$B$4:$B$138, 0), MATCH(N$4&amp;N$5, LS_previous!$D$2:$AY$2&amp;LS_previous!$D$3:$AY$3, 0)),SUM(VLOOKUP($A118, LS_previous!$B$4:$AY$138, LS_previous!F$149, FALSE), VLOOKUP('Staging Table'!$A118, LS_previous!$B$4:$AY$138,LS_previous!AD$149, FALSE))/2)</f>
        <v>13</v>
      </c>
      <c r="O118" s="227">
        <f t="array" ref="O118">IF($G118=0, INDEX(LS_previous!$D$4:$AY$138, MATCH('Staging Table'!$A118, LS_previous!$B$4:$B$138, 0), MATCH(O$4&amp;O$5, LS_previous!$D$2:$AY$2&amp;LS_previous!$D$3:$AY$3, 0)),SUM(VLOOKUP($A118, LS_previous!$B$4:$AY$138, LS_previous!G$149, FALSE), VLOOKUP('Staging Table'!$A118, LS_previous!$B$4:$AY$138,LS_previous!AE$149, FALSE))/2)</f>
        <v>147</v>
      </c>
      <c r="P118" s="227">
        <f t="array" ref="P118">IF($G118=0, INDEX(LS_previous!$D$4:$AY$138, MATCH('Staging Table'!$A118, LS_previous!$B$4:$B$138, 0), MATCH(P$4&amp;P$5, LS_previous!$D$2:$AY$2&amp;LS_previous!$D$3:$AY$3, 0)),SUM(VLOOKUP($A118, LS_previous!$B$4:$AY$138, LS_previous!H$149, FALSE), VLOOKUP('Staging Table'!$A118, LS_previous!$B$4:$AY$138,LS_previous!AF$149, FALSE))/2)</f>
        <v>331</v>
      </c>
      <c r="Q118" s="227">
        <f t="array" ref="Q118">IF($G118=0, INDEX(LS_previous!$D$4:$AY$138, MATCH('Staging Table'!$A118, LS_previous!$B$4:$B$138, 0), MATCH(Q$4&amp;Q$5, LS_previous!$D$2:$AY$2&amp;LS_previous!$D$3:$AY$3, 0)),SUM(VLOOKUP($A118, LS_previous!$B$4:$AY$138, LS_previous!I$149, FALSE), VLOOKUP('Staging Table'!$A118, LS_previous!$B$4:$AY$138,LS_previous!AG$149, FALSE))/2)</f>
        <v>342</v>
      </c>
      <c r="R118" s="227">
        <f t="array" ref="R118">IF($G118=0, INDEX(LS_previous!$D$4:$AY$138, MATCH('Staging Table'!$A118, LS_previous!$B$4:$B$138, 0), MATCH(R$4&amp;R$5, LS_previous!$D$2:$AY$2&amp;LS_previous!$D$3:$AY$3, 0)),SUM(VLOOKUP($A118, LS_previous!$B$4:$AY$138, LS_previous!J$149, FALSE), VLOOKUP('Staging Table'!$A118, LS_previous!$B$4:$AY$138,LS_previous!AH$149, FALSE))/2)</f>
        <v>504</v>
      </c>
      <c r="S118" s="227">
        <f t="array" ref="S118">IF($G118=0, INDEX(LS_previous!$D$4:$AY$138, MATCH('Staging Table'!$A118, LS_previous!$B$4:$B$138, 0), MATCH(S$4&amp;S$5, LS_previous!$D$2:$AY$2&amp;LS_previous!$D$3:$AY$3, 0)),SUM(VLOOKUP($A118, LS_previous!$B$4:$AY$138, LS_previous!K$149, FALSE), VLOOKUP('Staging Table'!$A118, LS_previous!$B$4:$AY$138,LS_previous!AI$149, FALSE))/2)</f>
        <v>460</v>
      </c>
      <c r="T118" s="227">
        <f t="array" ref="T118">IF($G118=0, INDEX(LS_previous!$D$4:$AY$138, MATCH('Staging Table'!$A118, LS_previous!$B$4:$B$138, 0), MATCH(T$4&amp;T$5, LS_previous!$D$2:$AY$2&amp;LS_previous!$D$3:$AY$3, 0)),SUM(VLOOKUP($A118, LS_previous!$B$4:$AY$138, LS_previous!L$149, FALSE), VLOOKUP('Staging Table'!$A118, LS_previous!$B$4:$AY$138,LS_previous!AJ$149, FALSE))/2)</f>
        <v>275</v>
      </c>
      <c r="U118" s="227">
        <f t="array" ref="U118">IF($G118=0, INDEX(LS_previous!$D$4:$AY$138, MATCH('Staging Table'!$A118, LS_previous!$B$4:$B$138, 0), MATCH(U$4&amp;U$5, LS_previous!$D$2:$AY$2&amp;LS_previous!$D$3:$AY$3, 0)),SUM(VLOOKUP($A118, LS_previous!$B$4:$AY$138, LS_previous!M$149, FALSE), VLOOKUP('Staging Table'!$A118, LS_previous!$B$4:$AY$138,LS_previous!AK$149, FALSE))/2)</f>
        <v>271</v>
      </c>
      <c r="V118" s="227">
        <f t="array" ref="V118">IF($G118=0, INDEX(LS_previous!$D$4:$AY$138, MATCH('Staging Table'!$A118, LS_previous!$B$4:$B$138, 0), MATCH(V$4&amp;V$5, LS_previous!$D$2:$AY$2&amp;LS_previous!$D$3:$AY$3, 0)),SUM(VLOOKUP($A118, LS_previous!$B$4:$AY$138, LS_previous!N$149, FALSE), VLOOKUP('Staging Table'!$A118, LS_previous!$B$4:$AY$138,LS_previous!AL$149, FALSE))/2)</f>
        <v>40</v>
      </c>
      <c r="W118" s="227">
        <f t="array" ref="W118">IF($G118=0, INDEX(LS_previous!$D$4:$AY$138, MATCH('Staging Table'!$A118, LS_previous!$B$4:$B$138, 0), MATCH(W$4&amp;W$5, LS_previous!$D$2:$AY$2&amp;LS_previous!$D$3:$AY$3, 0)),SUM(VLOOKUP($A118, LS_previous!$B$4:$AY$138, LS_previous!O$149, FALSE), VLOOKUP('Staging Table'!$A118, LS_previous!$B$4:$AY$138,LS_previous!AM$149, FALSE))/2)</f>
        <v>107</v>
      </c>
      <c r="X118" s="227">
        <f t="array" ref="X118">IF($G118=0, INDEX(LS_previous!$D$4:$AY$138, MATCH('Staging Table'!$A118, LS_previous!$B$4:$B$138, 0), MATCH(X$4&amp;X$5, LS_previous!$D$2:$AY$2&amp;LS_previous!$D$3:$AY$3, 0)),SUM(VLOOKUP($A118, LS_previous!$B$4:$AY$138, LS_previous!P$149, FALSE), VLOOKUP('Staging Table'!$A118, LS_previous!$B$4:$AY$138,LS_previous!AN$149, FALSE))/2)</f>
        <v>-106</v>
      </c>
      <c r="Y118" s="227">
        <f t="array" ref="Y118">IF($G118=0, INDEX(LS_previous!$D$4:$AY$138, MATCH('Staging Table'!$A118, LS_previous!$B$4:$B$138, 0), MATCH(Y$4&amp;Y$5, LS_previous!$D$2:$AY$2&amp;LS_previous!$D$3:$AY$3, 0)),SUM(VLOOKUP($A118, LS_previous!$B$4:$AY$138, LS_previous!Q$149, FALSE), VLOOKUP('Staging Table'!$A118, LS_previous!$B$4:$AY$138,LS_previous!AO$149, FALSE))/2)</f>
        <v>1</v>
      </c>
      <c r="Z118" s="227">
        <f t="array" ref="Z118">IF($G118=0, INDEX(LS_previous!$D$4:$AY$138, MATCH('Staging Table'!$A118, LS_previous!$B$4:$B$138, 0), MATCH(Z$4&amp;Z$5, LS_previous!$D$2:$AY$2&amp;LS_previous!$D$3:$AY$3, 0)),SUM(VLOOKUP($A118, LS_previous!$B$4:$AY$138, LS_previous!R$149, FALSE), VLOOKUP('Staging Table'!$A118, LS_previous!$B$4:$AY$138,LS_previous!AP$149, FALSE))/2)</f>
        <v>-568</v>
      </c>
      <c r="AA118" s="227">
        <f t="array" ref="AA118">IF($G118=0, INDEX(LS_previous!$D$4:$AY$138, MATCH('Staging Table'!$A118, LS_previous!$B$4:$B$138, 0), MATCH(AA$4&amp;AA$5, LS_previous!$D$2:$AY$2&amp;LS_previous!$D$3:$AY$3, 0)),SUM(VLOOKUP($A118, LS_previous!$B$4:$AY$138, LS_previous!S$149, FALSE), VLOOKUP('Staging Table'!$A118, LS_previous!$B$4:$AY$138,LS_previous!AQ$149, FALSE))/2)</f>
        <v>-283</v>
      </c>
      <c r="AB118" s="227">
        <f t="array" ref="AB118">IF($G118=0, INDEX(LS_previous!$D$4:$AY$138, MATCH('Staging Table'!$A118, LS_previous!$B$4:$B$138, 0), MATCH(AB$4&amp;AB$5, LS_previous!$D$2:$AY$2&amp;LS_previous!$D$3:$AY$3, 0)),SUM(VLOOKUP($A118, LS_previous!$B$4:$AY$138, LS_previous!T$149, FALSE), VLOOKUP('Staging Table'!$A118, LS_previous!$B$4:$AY$138,LS_previous!AR$149, FALSE))/2)</f>
        <v>-255</v>
      </c>
      <c r="AC118" s="227">
        <f t="array" ref="AC118">IF($G118=0, INDEX(LS_previous!$D$4:$AY$138, MATCH('Staging Table'!$A118, LS_previous!$B$4:$B$138, 0), MATCH(AC$4&amp;AC$5, LS_previous!$D$2:$AY$2&amp;LS_previous!$D$3:$AY$3, 0)),SUM(VLOOKUP($A118, LS_previous!$B$4:$AY$138, LS_previous!U$149, FALSE), VLOOKUP('Staging Table'!$A118, LS_previous!$B$4:$AY$138,LS_previous!AS$149, FALSE))/2)</f>
        <v>-99</v>
      </c>
      <c r="AD118" s="227">
        <f t="array" ref="AD118">IF($G118=0, INDEX(LS_previous!$D$4:$AY$138, MATCH('Staging Table'!$A118, LS_previous!$B$4:$B$138, 0), MATCH(AD$4&amp;AD$5, LS_previous!$D$2:$AY$2&amp;LS_previous!$D$3:$AY$3, 0)),SUM(VLOOKUP($A118, LS_previous!$B$4:$AY$138, LS_previous!V$149, FALSE), VLOOKUP('Staging Table'!$A118, LS_previous!$B$4:$AY$138,LS_previous!AT$149, FALSE))/2)</f>
        <v>-87</v>
      </c>
      <c r="AE118" s="227">
        <f t="array" ref="AE118">IF($G118=0, INDEX(LS_previous!$D$4:$AY$138, MATCH('Staging Table'!$A118, LS_previous!$B$4:$B$138, 0), MATCH(AE$4&amp;AE$5, LS_previous!$D$2:$AY$2&amp;LS_previous!$D$3:$AY$3, 0)),SUM(VLOOKUP($A118, LS_previous!$B$4:$AY$138, LS_previous!W$149, FALSE), VLOOKUP('Staging Table'!$A118, LS_previous!$B$4:$AY$138,LS_previous!AU$149, FALSE))/2)</f>
        <v>23</v>
      </c>
      <c r="AF118" s="227">
        <f t="array" ref="AF118">IF($G118=0, INDEX(LS_previous!$D$4:$AY$138, MATCH('Staging Table'!$A118, LS_previous!$B$4:$B$138, 0), MATCH(AF$4&amp;AF$5, LS_previous!$D$2:$AY$2&amp;LS_previous!$D$3:$AY$3, 0)),SUM(VLOOKUP($A118, LS_previous!$B$4:$AY$138, LS_previous!X$149, FALSE), VLOOKUP('Staging Table'!$A118, LS_previous!$B$4:$AY$138,LS_previous!AV$149, FALSE))/2)</f>
        <v>-216</v>
      </c>
      <c r="AG118" s="227">
        <f t="array" ref="AG118">IF($G118=0, INDEX(LS_previous!$D$4:$AY$138, MATCH('Staging Table'!$A118, LS_previous!$B$4:$B$138, 0), MATCH(AG$4&amp;AG$5, LS_previous!$D$2:$AY$2&amp;LS_previous!$D$3:$AY$3, 0)),SUM(VLOOKUP($A118, LS_previous!$B$4:$AY$138, LS_previous!Y$149, FALSE), VLOOKUP('Staging Table'!$A118, LS_previous!$B$4:$AY$138,LS_previous!AW$149, FALSE))/2)</f>
        <v>-53</v>
      </c>
      <c r="AH118" s="227">
        <f t="array" ref="AH118">IF($G118=0, INDEX(LS_previous!$D$4:$AY$138, MATCH('Staging Table'!$A118, LS_previous!$B$4:$B$138, 0), MATCH(AH$4&amp;AH$5, LS_previous!$D$2:$AY$2&amp;LS_previous!$D$3:$AY$3, 0)),SUM(VLOOKUP($A118, LS_previous!$B$4:$AY$138, LS_previous!Z$149, FALSE), VLOOKUP('Staging Table'!$A118, LS_previous!$B$4:$AY$138,LS_previous!AX$149, FALSE))/2)</f>
        <v>-258</v>
      </c>
      <c r="AI118" s="227">
        <f t="array" ref="AI118">IF($G118=0, INDEX(LS_previous!$D$4:$AY$138, MATCH('Staging Table'!$A118, LS_previous!$B$4:$B$138, 0), MATCH(AI$4&amp;AI$5, LS_previous!$D$2:$AY$2&amp;LS_previous!$D$3:$AY$3, 0)),SUM(VLOOKUP($A118, LS_previous!$B$4:$AY$138, LS_previous!AA$149, FALSE), VLOOKUP('Staging Table'!$A118, LS_previous!$B$4:$AY$138,LS_previous!AY$149, FALSE))/2)</f>
        <v>-111</v>
      </c>
      <c r="AJ118" s="424">
        <f t="array" ref="AJ118">INDEX(Demand_previous!$D$4:$AY$138, MATCH('Staging Table'!$A118, Demand_previous!$B$4:$B$138, 0), MATCH(AJ$4&amp;AJ$5,Demand_previous!$D$2:$AY$2&amp;Demand_previous!$D$3:$AY$3, 0))/1000</f>
        <v>0</v>
      </c>
      <c r="AK118" s="424">
        <f t="array" ref="AK118">INDEX(Demand_previous!$D$4:$AY$138, MATCH('Staging Table'!$A118, Demand_previous!$B$4:$B$138, 0), MATCH(AK$4&amp;AK$5,Demand_previous!$D$2:$AY$2&amp;Demand_previous!$D$3:$AY$3, 0))/1000</f>
        <v>0</v>
      </c>
      <c r="AL118" s="424">
        <f t="array" ref="AL118">INDEX(Demand_previous!$D$4:$AY$138, MATCH('Staging Table'!$A118, Demand_previous!$B$4:$B$138, 0), MATCH(AL$4&amp;AL$5,Demand_previous!$D$2:$AY$2&amp;Demand_previous!$D$3:$AY$3, 0))/1000</f>
        <v>9.4E-2</v>
      </c>
      <c r="AM118" s="424">
        <f t="array" ref="AM118">INDEX(Demand_previous!$D$4:$AY$138, MATCH('Staging Table'!$A118, Demand_previous!$B$4:$B$138, 0), MATCH(AM$4&amp;AM$5,Demand_previous!$D$2:$AY$2&amp;Demand_previous!$D$3:$AY$3, 0))/1000</f>
        <v>0.314</v>
      </c>
      <c r="AN118" s="424">
        <f t="array" ref="AN118">INDEX(Demand_previous!$D$4:$AY$138, MATCH('Staging Table'!$A118, Demand_previous!$B$4:$B$138, 0), MATCH(AN$4&amp;AN$5,Demand_previous!$D$2:$AY$2&amp;Demand_previous!$D$3:$AY$3, 0))/1000</f>
        <v>0</v>
      </c>
      <c r="AO118" s="424">
        <f t="array" ref="AO118">INDEX(Demand_previous!$D$4:$AY$138, MATCH('Staging Table'!$A118, Demand_previous!$B$4:$B$138, 0), MATCH(AO$4&amp;AO$5,Demand_previous!$D$2:$AY$2&amp;Demand_previous!$D$3:$AY$3, 0))/1000</f>
        <v>7.0000000000000001E-3</v>
      </c>
      <c r="AP118" s="424">
        <f t="array" ref="AP118">INDEX(Demand_previous!$D$4:$AY$138, MATCH('Staging Table'!$A118, Demand_previous!$B$4:$B$138, 0), MATCH(AP$4&amp;AP$5,Demand_previous!$D$2:$AY$2&amp;Demand_previous!$D$3:$AY$3, 0))/1000</f>
        <v>0</v>
      </c>
      <c r="AQ118" s="424">
        <f t="array" ref="AQ118">INDEX(Demand_previous!$D$4:$AY$138, MATCH('Staging Table'!$A118, Demand_previous!$B$4:$B$138, 0), MATCH(AQ$4&amp;AQ$5,Demand_previous!$D$2:$AY$2&amp;Demand_previous!$D$3:$AY$3, 0))/1000</f>
        <v>0.13400000000000001</v>
      </c>
      <c r="AR118" s="424">
        <f t="array" ref="AR118">INDEX(Demand_previous!$D$4:$AY$138, MATCH('Staging Table'!$A118, Demand_previous!$B$4:$B$138, 0), MATCH(AR$4&amp;AR$5,Demand_previous!$D$2:$AY$2&amp;Demand_previous!$D$3:$AY$3, 0))/1000</f>
        <v>5.8999999999999997E-2</v>
      </c>
      <c r="AS118" s="424">
        <f t="array" ref="AS118">INDEX(Demand_previous!$D$4:$AY$138, MATCH('Staging Table'!$A118, Demand_previous!$B$4:$B$138, 0), MATCH(AS$4&amp;AS$5,Demand_previous!$D$2:$AY$2&amp;Demand_previous!$D$3:$AY$3, 0))/1000</f>
        <v>0.11799999999999999</v>
      </c>
      <c r="AT118" s="424">
        <f t="array" ref="AT118">INDEX(Demand_previous!$D$4:$AY$138, MATCH('Staging Table'!$A118, Demand_previous!$B$4:$B$138, 0), MATCH(AT$4&amp;AT$5,Demand_previous!$D$2:$AY$2&amp;Demand_previous!$D$3:$AY$3, 0))/1000</f>
        <v>0.19600000000000001</v>
      </c>
      <c r="AU118" s="424">
        <f t="array" ref="AU118">INDEX(Demand_previous!$D$4:$AY$138, MATCH('Staging Table'!$A118, Demand_previous!$B$4:$B$138, 0), MATCH(AU$4&amp;AU$5,Demand_previous!$D$2:$AY$2&amp;Demand_previous!$D$3:$AY$3, 0))/1000</f>
        <v>9.9000000000000005E-2</v>
      </c>
      <c r="AV118" s="227">
        <f>$F118*(VLOOKUP(AV$4, Rates_previous!$G$6:$Q$29, 10, FALSE)+VLOOKUP(AV$4, Rates_previous!$G$6:$Q$29, 11, FALSE))</f>
        <v>1271.1439173837932</v>
      </c>
      <c r="AW118" s="227">
        <f>$F118*(VLOOKUP(AW$4, Rates_previous!$G$6:$Q$29, 10, FALSE)+VLOOKUP(AW$4, Rates_previous!$G$6:$Q$29, 11, FALSE))</f>
        <v>1571.0372698286578</v>
      </c>
      <c r="AX118" s="227">
        <f>$F118*(VLOOKUP(AX$4, Rates_previous!$G$6:$Q$29, 10, FALSE)+VLOOKUP(AX$4, Rates_previous!$G$6:$Q$29, 11, FALSE))</f>
        <v>1552.1709912693525</v>
      </c>
      <c r="AY118" s="227">
        <f>$F118*(VLOOKUP(AY$4, Rates_previous!$G$6:$Q$29, 10, FALSE)+VLOOKUP(AY$4, Rates_previous!$G$6:$Q$29, 11, FALSE))</f>
        <v>1326.1821657098758</v>
      </c>
      <c r="AZ118" s="227">
        <f>$F118*(VLOOKUP(AZ$4, Rates_previous!$G$6:$Q$29, 10, FALSE)+VLOOKUP(AZ$4, Rates_previous!$G$6:$Q$29, 11, FALSE))</f>
        <v>1087.2121348050698</v>
      </c>
      <c r="BA118" s="227">
        <f>$F118*(VLOOKUP(BA$4, Rates_previous!$G$6:$Q$29, 10, FALSE)+VLOOKUP(BA$4, Rates_previous!$G$6:$Q$29, 11, FALSE))</f>
        <v>1287.2196763994591</v>
      </c>
      <c r="BB118" s="227">
        <f>$F118*(VLOOKUP(BB$4, Rates_previous!$G$6:$Q$29, 10, FALSE)+VLOOKUP(BB$4, Rates_previous!$G$6:$Q$29, 11, FALSE))</f>
        <v>1237.2053465449662</v>
      </c>
      <c r="BC118" s="227">
        <f>$F118*(VLOOKUP(BC$4, Rates_previous!$G$6:$Q$29, 10, FALSE)+VLOOKUP(BC$4, Rates_previous!$G$6:$Q$29, 11, FALSE))</f>
        <v>1815.5112980051781</v>
      </c>
      <c r="BD118" s="227">
        <f>$F118*(VLOOKUP(BD$4, Rates_previous!$G$6:$Q$29, 10, FALSE)+VLOOKUP(BD$4, Rates_previous!$G$6:$Q$29, 11, FALSE))</f>
        <v>1432.3904295775712</v>
      </c>
      <c r="BE118" s="227">
        <f>$F118*(VLOOKUP(BE$4, Rates_previous!$G$6:$Q$29, 10, FALSE)+VLOOKUP(BE$4, Rates_previous!$G$6:$Q$29, 11, FALSE))</f>
        <v>1257.7590256193521</v>
      </c>
      <c r="BF118" s="227">
        <f>$F118*(VLOOKUP(BF$4, Rates_previous!$G$6:$Q$29, 10, FALSE)+VLOOKUP(BF$4, Rates_previous!$G$6:$Q$29, 11, FALSE))</f>
        <v>1393.0184660904952</v>
      </c>
      <c r="BG118" s="227">
        <f>$F118*(VLOOKUP(BG$4, Rates_previous!$G$6:$Q$29, 10, FALSE)+VLOOKUP(BG$4, Rates_previous!$G$6:$Q$29, 11, FALSE))</f>
        <v>1262.0193334055243</v>
      </c>
      <c r="BH118" s="229">
        <f>IF($D118=0,IF(C118=0, MAX(BK118 - (VLOOKUP($A118,TOCA_previous!$A$2:$AI$137,MATCH("RHWM 2018",TOCA_previous!$A$2:$AI$2,0),FALSE)*$F$2*TOCA_previous!C115),0),0), 0)</f>
        <v>0</v>
      </c>
      <c r="BI118" s="266">
        <f>VLOOKUP($A118,REP_previous!$A$1:$D$135,MATCH("FY "&amp;$F$1&amp; " Total Refund",REP_previous!$A$1:$D$1,0),0)</f>
        <v>10753.814471544005</v>
      </c>
      <c r="BJ118" s="241">
        <f>MIN(VLOOKUP($A118,TOCA_previous!$A$2:$AI$137,MATCH("TRL - NLSL - Existing Resource "&amp;$F$1,TOCA_previous!$A$2:$AI$2,0),FALSE)*$F$2,(VLOOKUP($A118,TOCA_previous!$A$2:$AI$137,MATCH("RHWM 2018",TOCA_previous!$A$2:$AI$2,0),FALSE)*$F$2))</f>
        <v>16495.080000000002</v>
      </c>
      <c r="BK118" s="229">
        <f>SUM(L118:AI118)+(F118*RT1SC!$C$3*$F$2)</f>
        <v>16711.870295255998</v>
      </c>
      <c r="BL118" s="241">
        <f>VLOOKUP($A118,TOCA_previous!$A$2:$AI$137,MATCH("Above RHWM Not Served with LS "&amp;$F$1,TOCA_previous!$A$2:$AI$2,0),FALSE)*$F$2</f>
        <v>0</v>
      </c>
      <c r="BM118" s="151">
        <f t="shared" si="21"/>
        <v>216.79029525599617</v>
      </c>
      <c r="BN118" s="242">
        <f>(VLOOKUP($A118,TOCA_previous!$A$2:$AI$137,MATCH("RHWM 2018",TOCA_previous!$A$2:$AI$2,0),FALSE)*$F$2) - $BJ118</f>
        <v>919.79999999999927</v>
      </c>
      <c r="BO118" s="151">
        <f t="shared" si="22"/>
        <v>-216.79029525599617</v>
      </c>
      <c r="BP118" s="243">
        <f t="shared" si="23"/>
        <v>0</v>
      </c>
      <c r="BQ118" s="237">
        <f t="shared" si="24"/>
        <v>0</v>
      </c>
      <c r="BR118" s="242">
        <f t="shared" si="25"/>
        <v>-216.79029525599617</v>
      </c>
      <c r="BS118" s="151">
        <f>VLOOKUP($A118,TOCA_current!$A$2:$AI$137,MATCH(BS$4,TOCA_current!$A$2:$AI$2,0),FALSE)</f>
        <v>2.7090000000000003E-4</v>
      </c>
      <c r="BT118" s="151">
        <f>VLOOKUP($A118,TOCA_current!$A$2:$AI$137,MATCH(BT$4,TOCA_current!$A$2:$AI$2,0),FALSE)</f>
        <v>2.7090000000000003E-4</v>
      </c>
      <c r="BU118" s="236">
        <f t="shared" si="26"/>
        <v>0</v>
      </c>
      <c r="BV118" s="151">
        <f>VLOOKUP($A118,TOCA_current!A114:BG249,MATCH(BV$4,TOCA_current!$A$2:$BG$2,0),FALSE)</f>
        <v>0</v>
      </c>
      <c r="BW118" s="151">
        <f t="shared" si="27"/>
        <v>0</v>
      </c>
      <c r="BX118" s="151">
        <f t="shared" si="28"/>
        <v>0</v>
      </c>
      <c r="BY118" s="226">
        <f>VLOOKUP($A118,IRD!$A$4:$G$139, 7, FALSE)</f>
        <v>0</v>
      </c>
      <c r="BZ118" s="227">
        <f t="array" ref="BZ118">IF($BU118=0, INDEX(LS_current!$D$4:$AY$138, MATCH('Staging Table'!$A118, LS_current!$B$4:$B$138, 0), MATCH(BZ$4&amp;BZ$5, LS_current!$D$2:$AY$2&amp;LS_current!$D$3:$AY$3, 0)),SUM(VLOOKUP($A118, LS_current!$B$4:$AY$138, LS_current!D$148, FALSE), VLOOKUP($A118, LS_current!$B$4:$AY$138,LS_current!D$148, FALSE))/2)</f>
        <v>-176</v>
      </c>
      <c r="CA118" s="227">
        <f t="array" ref="CA118">IF($BU118=0, INDEX(LS_current!$D$4:$AY$138, MATCH('Staging Table'!$A118, LS_current!$B$4:$B$138, 0), MATCH(CA$4&amp;CA$5, LS_current!$D$2:$AY$2&amp;LS_current!$D$3:$AY$3, 0)),SUM(VLOOKUP($A118, LS_current!$B$4:$AY$138, LS_current!E$148, FALSE), VLOOKUP($A118, LS_current!$B$4:$AY$138,LS_current!E$148, FALSE))/2)</f>
        <v>-62</v>
      </c>
      <c r="CB118" s="227">
        <f t="array" ref="CB118">IF($BU118=0, INDEX(LS_current!$D$4:$AY$138, MATCH('Staging Table'!$A118, LS_current!$B$4:$B$138, 0), MATCH(CB$4&amp;CB$5, LS_current!$D$2:$AY$2&amp;LS_current!$D$3:$AY$3, 0)),SUM(VLOOKUP($A118, LS_current!$B$4:$AY$138, LS_current!F$148, FALSE), VLOOKUP($A118, LS_current!$B$4:$AY$138,LS_current!F$148, FALSE))/2)</f>
        <v>7</v>
      </c>
      <c r="CC118" s="227">
        <f t="array" ref="CC118">IF($BU118=0, INDEX(LS_current!$D$4:$AY$138, MATCH('Staging Table'!$A118, LS_current!$B$4:$B$138, 0), MATCH(CC$4&amp;CC$5, LS_current!$D$2:$AY$2&amp;LS_current!$D$3:$AY$3, 0)),SUM(VLOOKUP($A118, LS_current!$B$4:$AY$138, LS_current!G$148, FALSE), VLOOKUP($A118, LS_current!$B$4:$AY$138,LS_current!G$148, FALSE))/2)</f>
        <v>135</v>
      </c>
      <c r="CD118" s="227">
        <f t="array" ref="CD118">IF($BU118=0, INDEX(LS_current!$D$4:$AY$138, MATCH('Staging Table'!$A118, LS_current!$B$4:$B$138, 0), MATCH(CD$4&amp;CD$5, LS_current!$D$2:$AY$2&amp;LS_current!$D$3:$AY$3, 0)),SUM(VLOOKUP($A118, LS_current!$B$4:$AY$138, LS_current!H$148, FALSE), VLOOKUP($A118, LS_current!$B$4:$AY$138,LS_current!H$148, FALSE))/2)</f>
        <v>323</v>
      </c>
      <c r="CE118" s="227">
        <f t="array" ref="CE118">IF($BU118=0, INDEX(LS_current!$D$4:$AY$138, MATCH('Staging Table'!$A118, LS_current!$B$4:$B$138, 0), MATCH(CE$4&amp;CE$5, LS_current!$D$2:$AY$2&amp;LS_current!$D$3:$AY$3, 0)),SUM(VLOOKUP($A118, LS_current!$B$4:$AY$138, LS_current!I$148, FALSE), VLOOKUP($A118, LS_current!$B$4:$AY$138,LS_current!I$148, FALSE))/2)</f>
        <v>332</v>
      </c>
      <c r="CF118" s="227">
        <f t="array" ref="CF118">IF($BU118=0, INDEX(LS_current!$D$4:$AY$138, MATCH('Staging Table'!$A118, LS_current!$B$4:$B$138, 0), MATCH(CF$4&amp;CF$5, LS_current!$D$2:$AY$2&amp;LS_current!$D$3:$AY$3, 0)),SUM(VLOOKUP($A118, LS_current!$B$4:$AY$138, LS_current!J$148, FALSE), VLOOKUP($A118, LS_current!$B$4:$AY$138,LS_current!J$148, FALSE))/2)</f>
        <v>501</v>
      </c>
      <c r="CG118" s="227">
        <f t="array" ref="CG118">IF($BU118=0, INDEX(LS_current!$D$4:$AY$138, MATCH('Staging Table'!$A118, LS_current!$B$4:$B$138, 0), MATCH(CG$4&amp;CG$5, LS_current!$D$2:$AY$2&amp;LS_current!$D$3:$AY$3, 0)),SUM(VLOOKUP($A118, LS_current!$B$4:$AY$138, LS_current!K$148, FALSE), VLOOKUP($A118, LS_current!$B$4:$AY$138,LS_current!K$148, FALSE))/2)</f>
        <v>481</v>
      </c>
      <c r="CH118" s="227">
        <f t="array" ref="CH118">IF($BU118=0, INDEX(LS_current!$D$4:$AY$138, MATCH('Staging Table'!$A118, LS_current!$B$4:$B$138, 0), MATCH(CH$4&amp;CH$5, LS_current!$D$2:$AY$2&amp;LS_current!$D$3:$AY$3, 0)),SUM(VLOOKUP($A118, LS_current!$B$4:$AY$138, LS_current!L$148, FALSE), VLOOKUP($A118, LS_current!$B$4:$AY$138,LS_current!L$148, FALSE))/2)</f>
        <v>214</v>
      </c>
      <c r="CI118" s="227">
        <f t="array" ref="CI118">IF($BU118=0, INDEX(LS_current!$D$4:$AY$138, MATCH('Staging Table'!$A118, LS_current!$B$4:$B$138, 0), MATCH(CI$4&amp;CI$5, LS_current!$D$2:$AY$2&amp;LS_current!$D$3:$AY$3, 0)),SUM(VLOOKUP($A118, LS_current!$B$4:$AY$138, LS_current!M$148, FALSE), VLOOKUP($A118, LS_current!$B$4:$AY$138,LS_current!M$148, FALSE))/2)</f>
        <v>234</v>
      </c>
      <c r="CJ118" s="227">
        <f t="array" ref="CJ118">IF($BU118=0, INDEX(LS_current!$D$4:$AY$138, MATCH('Staging Table'!$A118, LS_current!$B$4:$B$138, 0), MATCH(CJ$4&amp;CJ$5, LS_current!$D$2:$AY$2&amp;LS_current!$D$3:$AY$3, 0)),SUM(VLOOKUP($A118, LS_current!$B$4:$AY$138, LS_current!N$148, FALSE), VLOOKUP($A118, LS_current!$B$4:$AY$138,LS_current!N$148, FALSE))/2)</f>
        <v>16</v>
      </c>
      <c r="CK118" s="227">
        <f t="array" ref="CK118">IF($BU118=0, INDEX(LS_current!$D$4:$AY$138, MATCH('Staging Table'!$A118, LS_current!$B$4:$B$138, 0), MATCH(CK$4&amp;CK$5, LS_current!$D$2:$AY$2&amp;LS_current!$D$3:$AY$3, 0)),SUM(VLOOKUP($A118, LS_current!$B$4:$AY$138, LS_current!O$148, FALSE), VLOOKUP($A118, LS_current!$B$4:$AY$138,LS_current!O$148, FALSE))/2)</f>
        <v>100</v>
      </c>
      <c r="CL118" s="227">
        <f t="array" ref="CL118">IF($BU118=0, INDEX(LS_current!$D$4:$AY$138, MATCH('Staging Table'!$A118, LS_current!$B$4:$B$138, 0), MATCH(CL$4&amp;CL$5, LS_current!$D$2:$AY$2&amp;LS_current!$D$3:$AY$3, 0)),SUM(VLOOKUP($A118, LS_current!$B$4:$AY$138, LS_current!P$148, FALSE), VLOOKUP($A118, LS_current!$B$4:$AY$138,LS_current!P$148, FALSE))/2)</f>
        <v>14</v>
      </c>
      <c r="CM118" s="227">
        <f t="array" ref="CM118">IF($BU118=0, INDEX(LS_current!$D$4:$AY$138, MATCH('Staging Table'!$A118, LS_current!$B$4:$B$138, 0), MATCH(CM$4&amp;CM$5, LS_current!$D$2:$AY$2&amp;LS_current!$D$3:$AY$3, 0)),SUM(VLOOKUP($A118, LS_current!$B$4:$AY$138, LS_current!Q$148, FALSE), VLOOKUP($A118, LS_current!$B$4:$AY$138,LS_current!Q$148, FALSE))/2)</f>
        <v>44</v>
      </c>
      <c r="CN118" s="227">
        <f t="array" ref="CN118">IF($BU118=0, INDEX(LS_current!$D$4:$AY$138, MATCH('Staging Table'!$A118, LS_current!$B$4:$B$138, 0), MATCH(CN$4&amp;CN$5, LS_current!$D$2:$AY$2&amp;LS_current!$D$3:$AY$3, 0)),SUM(VLOOKUP($A118, LS_current!$B$4:$AY$138, LS_current!R$148, FALSE), VLOOKUP($A118, LS_current!$B$4:$AY$138,LS_current!R$148, FALSE))/2)</f>
        <v>-350</v>
      </c>
      <c r="CO118" s="227">
        <f t="array" ref="CO118">IF($BU118=0, INDEX(LS_current!$D$4:$AY$138, MATCH('Staging Table'!$A118, LS_current!$B$4:$B$138, 0), MATCH(CO$4&amp;CO$5, LS_current!$D$2:$AY$2&amp;LS_current!$D$3:$AY$3, 0)),SUM(VLOOKUP($A118, LS_current!$B$4:$AY$138, LS_current!S$148, FALSE), VLOOKUP($A118, LS_current!$B$4:$AY$138,LS_current!S$148, FALSE))/2)</f>
        <v>-133</v>
      </c>
      <c r="CP118" s="227">
        <f t="array" ref="CP118">IF($BU118=0, INDEX(LS_current!$D$4:$AY$138, MATCH('Staging Table'!$A118, LS_current!$B$4:$B$138, 0), MATCH(CP$4&amp;CP$5, LS_current!$D$2:$AY$2&amp;LS_current!$D$3:$AY$3, 0)),SUM(VLOOKUP($A118, LS_current!$B$4:$AY$138, LS_current!T$148, FALSE), VLOOKUP($A118, LS_current!$B$4:$AY$138,LS_current!T$148, FALSE))/2)</f>
        <v>-517</v>
      </c>
      <c r="CQ118" s="227">
        <f t="array" ref="CQ118">IF($BU118=0, INDEX(LS_current!$D$4:$AY$138, MATCH('Staging Table'!$A118, LS_current!$B$4:$B$138, 0), MATCH(CQ$4&amp;CQ$5, LS_current!$D$2:$AY$2&amp;LS_current!$D$3:$AY$3, 0)),SUM(VLOOKUP($A118, LS_current!$B$4:$AY$138, LS_current!U$148, FALSE), VLOOKUP($A118, LS_current!$B$4:$AY$138,LS_current!U$148, FALSE))/2)</f>
        <v>-252</v>
      </c>
      <c r="CR118" s="227">
        <f t="array" ref="CR118">IF($BU118=0, INDEX(LS_current!$D$4:$AY$138, MATCH('Staging Table'!$A118, LS_current!$B$4:$B$138, 0), MATCH(CR$4&amp;CR$5, LS_current!$D$2:$AY$2&amp;LS_current!$D$3:$AY$3, 0)),SUM(VLOOKUP($A118, LS_current!$B$4:$AY$138, LS_current!V$148, FALSE), VLOOKUP($A118, LS_current!$B$4:$AY$138,LS_current!V$148, FALSE))/2)</f>
        <v>-261</v>
      </c>
      <c r="CS118" s="227">
        <f t="array" ref="CS118">IF($BU118=0, INDEX(LS_current!$D$4:$AY$138, MATCH('Staging Table'!$A118, LS_current!$B$4:$B$138, 0), MATCH(CS$4&amp;CS$5, LS_current!$D$2:$AY$2&amp;LS_current!$D$3:$AY$3, 0)),SUM(VLOOKUP($A118, LS_current!$B$4:$AY$138, LS_current!W$148, FALSE), VLOOKUP($A118, LS_current!$B$4:$AY$138,LS_current!W$148, FALSE))/2)</f>
        <v>8</v>
      </c>
      <c r="CT118" s="227">
        <f t="array" ref="CT118">IF($BU118=0, INDEX(LS_current!$D$4:$AY$138, MATCH('Staging Table'!$A118, LS_current!$B$4:$B$138, 0), MATCH(CT$4&amp;CT$5, LS_current!$D$2:$AY$2&amp;LS_current!$D$3:$AY$3, 0)),SUM(VLOOKUP($A118, LS_current!$B$4:$AY$138, LS_current!X$148, FALSE), VLOOKUP($A118, LS_current!$B$4:$AY$138,LS_current!X$148, FALSE))/2)</f>
        <v>-251</v>
      </c>
      <c r="CU118" s="227">
        <f t="array" ref="CU118">IF($BU118=0, INDEX(LS_current!$D$4:$AY$138, MATCH('Staging Table'!$A118, LS_current!$B$4:$B$138, 0), MATCH(CU$4&amp;CU$5, LS_current!$D$2:$AY$2&amp;LS_current!$D$3:$AY$3, 0)),SUM(VLOOKUP($A118, LS_current!$B$4:$AY$138, LS_current!Y$148, FALSE), VLOOKUP($A118, LS_current!$B$4:$AY$138,LS_current!Y$148, FALSE))/2)</f>
        <v>-36</v>
      </c>
      <c r="CV118" s="227">
        <f t="array" ref="CV118">IF($BU118=0, INDEX(LS_current!$D$4:$AY$138, MATCH('Staging Table'!$A118, LS_current!$B$4:$B$138, 0), MATCH(CV$4&amp;CV$5, LS_current!$D$2:$AY$2&amp;LS_current!$D$3:$AY$3, 0)),SUM(VLOOKUP($A118, LS_current!$B$4:$AY$138, LS_current!Z$148, FALSE), VLOOKUP($A118, LS_current!$B$4:$AY$138,LS_current!Z$148, FALSE))/2)</f>
        <v>-263</v>
      </c>
      <c r="CW118" s="227">
        <f t="array" ref="CW118">IF($BU118=0, INDEX(LS_current!$D$4:$AY$138, MATCH('Staging Table'!$A118, LS_current!$B$4:$B$138, 0), MATCH(CW$4&amp;CW$5, LS_current!$D$2:$AY$2&amp;LS_current!$D$3:$AY$3, 0)),SUM(VLOOKUP($A118, LS_current!$B$4:$AY$138, LS_current!AA$148, FALSE), VLOOKUP($A118, LS_current!$B$4:$AY$138,LS_current!AA$148, FALSE))/2)</f>
        <v>-111</v>
      </c>
      <c r="CX118" s="229">
        <f t="array" ref="CX118">INDEX(Demand_current!$D$4:$AY$138, MATCH($A118, Demand_current!$B$4:$B$138, 0), MATCH(CX$4&amp;CX$5,Demand_current!$D$2:$AY$2&amp;Demand_current!$D$3:$AY$3, 0))/1000</f>
        <v>0</v>
      </c>
      <c r="CY118" s="229">
        <f t="array" ref="CY118">INDEX(Demand_current!$D$4:$AY$138, MATCH($A118, Demand_current!$B$4:$B$138, 0), MATCH(CY$4&amp;CY$5,Demand_current!$D$2:$AY$2&amp;Demand_current!$D$3:$AY$3, 0))/1000</f>
        <v>0</v>
      </c>
      <c r="CZ118" s="229">
        <f t="array" ref="CZ118">INDEX(Demand_current!$D$4:$AY$138, MATCH($A118, Demand_current!$B$4:$B$138, 0), MATCH(CZ$4&amp;CZ$5,Demand_current!$D$2:$AY$2&amp;Demand_current!$D$3:$AY$3, 0))/1000</f>
        <v>9.4E-2</v>
      </c>
      <c r="DA118" s="229">
        <f t="array" ref="DA118">INDEX(Demand_current!$D$4:$AY$138, MATCH($A118, Demand_current!$B$4:$B$138, 0), MATCH(DA$4&amp;DA$5,Demand_current!$D$2:$AY$2&amp;Demand_current!$D$3:$AY$3, 0))/1000</f>
        <v>0.314</v>
      </c>
      <c r="DB118" s="229">
        <f t="array" ref="DB118">INDEX(Demand_current!$D$4:$AY$138, MATCH($A118, Demand_current!$B$4:$B$138, 0), MATCH(DB$4&amp;DB$5,Demand_current!$D$2:$AY$2&amp;Demand_current!$D$3:$AY$3, 0))/1000</f>
        <v>0</v>
      </c>
      <c r="DC118" s="229">
        <f t="array" ref="DC118">INDEX(Demand_current!$D$4:$AY$138, MATCH($A118, Demand_current!$B$4:$B$138, 0), MATCH(DC$4&amp;DC$5,Demand_current!$D$2:$AY$2&amp;Demand_current!$D$3:$AY$3, 0))/1000</f>
        <v>0</v>
      </c>
      <c r="DD118" s="229">
        <f t="array" ref="DD118">INDEX(Demand_current!$D$4:$AY$138, MATCH($A118, Demand_current!$B$4:$B$138, 0), MATCH(DD$4&amp;DD$5,Demand_current!$D$2:$AY$2&amp;Demand_current!$D$3:$AY$3, 0))/1000</f>
        <v>0</v>
      </c>
      <c r="DE118" s="229">
        <f t="array" ref="DE118">INDEX(Demand_current!$D$4:$AY$138, MATCH($A118, Demand_current!$B$4:$B$138, 0), MATCH(DE$4&amp;DE$5,Demand_current!$D$2:$AY$2&amp;Demand_current!$D$3:$AY$3, 0))/1000</f>
        <v>7.6999999999999999E-2</v>
      </c>
      <c r="DF118" s="229">
        <f t="array" ref="DF118">INDEX(Demand_current!$D$4:$AY$138, MATCH($A118, Demand_current!$B$4:$B$138, 0), MATCH(DF$4&amp;DF$5,Demand_current!$D$2:$AY$2&amp;Demand_current!$D$3:$AY$3, 0))/1000</f>
        <v>5.8999999999999997E-2</v>
      </c>
      <c r="DG118" s="229">
        <f t="array" ref="DG118">INDEX(Demand_current!$D$4:$AY$138, MATCH($A118, Demand_current!$B$4:$B$138, 0), MATCH(DG$4&amp;DG$5,Demand_current!$D$2:$AY$2&amp;Demand_current!$D$3:$AY$3, 0))/1000</f>
        <v>0.189</v>
      </c>
      <c r="DH118" s="229">
        <f t="array" ref="DH118">INDEX(Demand_current!$D$4:$AY$138, MATCH($A118, Demand_current!$B$4:$B$138, 0), MATCH(DH$4&amp;DH$5,Demand_current!$D$2:$AY$2&amp;Demand_current!$D$3:$AY$3, 0))/1000</f>
        <v>0.13200000000000001</v>
      </c>
      <c r="DI118" s="229">
        <f t="array" ref="DI118">INDEX(Demand_current!$D$4:$AY$138, MATCH($A118, Demand_current!$B$4:$B$138, 0), MATCH(DI$4&amp;DI$5,Demand_current!$D$2:$AY$2&amp;Demand_current!$D$3:$AY$3, 0))/1000</f>
        <v>0.156</v>
      </c>
      <c r="DJ118" s="227">
        <f>$BT118*(VLOOKUP(DJ$4, Rates_current!$G$6:$Q$29, 10, FALSE)+VLOOKUP(DJ$4, Rates_current!$G$6:$Q$29, 11, FALSE))</f>
        <v>1250.8312283964001</v>
      </c>
      <c r="DK118" s="227">
        <f>$BT118*(VLOOKUP(DK$4, Rates_current!$G$6:$Q$29, 10, FALSE)+VLOOKUP(DK$4, Rates_current!$G$6:$Q$29, 11, FALSE))</f>
        <v>1588.9458644451001</v>
      </c>
      <c r="DL118" s="227">
        <f>$BT118*(VLOOKUP(DL$4, Rates_current!$G$6:$Q$29, 10, FALSE)+VLOOKUP(DL$4, Rates_current!$G$6:$Q$29, 11, FALSE))</f>
        <v>1569.7571930964002</v>
      </c>
      <c r="DM118" s="227">
        <f>$BT118*(VLOOKUP(DM$4, Rates_current!$G$6:$Q$29, 10, FALSE)+VLOOKUP(DM$4, Rates_current!$G$6:$Q$29, 11, FALSE))</f>
        <v>1308.4882298964003</v>
      </c>
      <c r="DN118" s="227">
        <f>$BT118*(VLOOKUP(DN$4, Rates_current!$G$6:$Q$29, 10, FALSE)+VLOOKUP(DN$4, Rates_current!$G$6:$Q$29, 11, FALSE))</f>
        <v>1185.3545911200001</v>
      </c>
      <c r="DO118" s="227">
        <f>$BT118*(VLOOKUP(DO$4, Rates_current!$G$6:$Q$29, 10, FALSE)+VLOOKUP(DO$4, Rates_current!$G$6:$Q$29, 11, FALSE))</f>
        <v>1318.4908713333</v>
      </c>
      <c r="DP118" s="227">
        <f>$BT118*(VLOOKUP(DP$4, Rates_current!$G$6:$Q$29, 10, FALSE)+VLOOKUP(DP$4, Rates_current!$G$6:$Q$29, 11, FALSE))</f>
        <v>1073.5166902320002</v>
      </c>
      <c r="DQ118" s="227">
        <f>$BT118*(VLOOKUP(DQ$4, Rates_current!$G$6:$Q$29, 10, FALSE)+VLOOKUP(DQ$4, Rates_current!$G$6:$Q$29, 11, FALSE))</f>
        <v>1447.7973358464003</v>
      </c>
      <c r="DR118" s="227">
        <f>$BT118*(VLOOKUP(DR$4, Rates_current!$G$6:$Q$29, 10, FALSE)+VLOOKUP(DR$4, Rates_current!$G$6:$Q$29, 11, FALSE))</f>
        <v>1847.2909337820004</v>
      </c>
      <c r="DS118" s="227">
        <f>$BT118*(VLOOKUP(DS$4, Rates_current!$G$6:$Q$29, 10, FALSE)+VLOOKUP(DS$4, Rates_current!$G$6:$Q$29, 11, FALSE))</f>
        <v>1448.3346659964002</v>
      </c>
      <c r="DT118" s="227">
        <f>$BT118*(VLOOKUP(DT$4, Rates_current!$G$6:$Q$29, 10, FALSE)+VLOOKUP(DT$4, Rates_current!$G$6:$Q$29, 11, FALSE))</f>
        <v>1410.3895675464003</v>
      </c>
      <c r="DU118" s="227">
        <f>$BT118*(VLOOKUP(DU$4, Rates_current!$G$6:$Q$29, 10, FALSE)+VLOOKUP(DU$4, Rates_current!$G$6:$Q$29, 11, FALSE))</f>
        <v>1266.2298031320001</v>
      </c>
      <c r="DV118" s="229">
        <f>IF(D118=0,IF(C118=0,MAX(0,DY118 - (VLOOKUP($A118,TOCA_current!$A$2:$AI$137,MATCH("RHWM 2020",TOCA_current!$A$2:$AI$2,0),FALSE)*$BT$2)), 0),0)</f>
        <v>0</v>
      </c>
      <c r="DW118" s="266">
        <f>VLOOKUP($A118,REP_current!$A$1:$D$135,MATCH("FY "&amp;$BT$1&amp; " Total Refund",REP_current!$A$1:$D$1,0),0)</f>
        <v>0</v>
      </c>
      <c r="DX118" s="295">
        <f>MIN(VLOOKUP($A118,TOCA_current!$A$2:$AI$137,MATCH("TRL - NLSL - Existing Resource "&amp;$BT$1,TOCA_current!$A$2:$AI$2,0),FALSE)*$BT$2, VLOOKUP($A118,TOCA_current!$A$2:$AI$137,MATCH("RHWM 2020",TOCA_current!$A$2:$AI$2,0),FALSE)*$BT$2)</f>
        <v>16715.952000000001</v>
      </c>
      <c r="DY118" s="240">
        <f>SUM(BZ118:CW118)+(BT118*RT1SC!$C$4*$BT$2)</f>
        <v>16712.427602227202</v>
      </c>
      <c r="DZ118" s="271">
        <f>VLOOKUP($A118,TOCA_current!$A$2:$AI$137,MATCH("Above RHWM Not Served with LS "&amp;$BT$1,TOCA_current!$A$2:$AI$2,0),FALSE)*$BT$2</f>
        <v>0</v>
      </c>
      <c r="EA118" s="244">
        <f t="shared" si="29"/>
        <v>-3.524397772798693</v>
      </c>
      <c r="EB118" s="295">
        <f>(VLOOKUP($A118,TOCA_current!$A$2:$AI$137,MATCH("RHWM 2020",TOCA_current!$A$2:$AI$2,0),FALSE)*$BT$2) - $DX118</f>
        <v>939.88799999999537</v>
      </c>
      <c r="EC118" s="240">
        <f t="shared" si="30"/>
        <v>0</v>
      </c>
      <c r="ED118" s="240">
        <f t="shared" si="31"/>
        <v>3.524397772798693</v>
      </c>
      <c r="EE118" s="240">
        <f t="shared" si="32"/>
        <v>0</v>
      </c>
      <c r="EF118" s="240">
        <f t="shared" si="33"/>
        <v>3.524397772798693</v>
      </c>
    </row>
    <row r="119" spans="1:136">
      <c r="A119" s="166">
        <v>10379</v>
      </c>
      <c r="B119" s="167" t="s">
        <v>120</v>
      </c>
      <c r="C119" s="240">
        <v>0</v>
      </c>
      <c r="D119" s="240">
        <v>0</v>
      </c>
      <c r="E119" s="150">
        <f>VLOOKUP($A119,TOCA_previous!$A$2:$AI$137,MATCH(E$4,TOCA_previous!$A$2:$AI$2,0),FALSE)</f>
        <v>6.7690000000000003E-4</v>
      </c>
      <c r="F119" s="151">
        <f>VLOOKUP($A119,TOCA_previous!$A$2:$AI$137,MATCH(F$4,TOCA_previous!$A$2:$AI$2,0),FALSE)</f>
        <v>6.7690000000000003E-4</v>
      </c>
      <c r="G119" s="151">
        <f t="shared" si="18"/>
        <v>0</v>
      </c>
      <c r="H119" s="151">
        <f>VLOOKUP($A119,TOCA_previous!$A$2:$AI$137,MATCH(H$4,TOCA_previous!$A$2:$AI$2,0),FALSE)</f>
        <v>0</v>
      </c>
      <c r="I119" s="151">
        <f t="shared" si="19"/>
        <v>0</v>
      </c>
      <c r="J119" s="151">
        <f t="shared" si="20"/>
        <v>0</v>
      </c>
      <c r="K119" s="226">
        <f>VLOOKUP(A119, IRD!$A$5:$C$139, 3, FALSE)</f>
        <v>0</v>
      </c>
      <c r="L119" s="227">
        <f t="array" ref="L119">IF($G119=0, INDEX(LS_previous!$D$4:$AY$138, MATCH('Staging Table'!$A119, LS_previous!$B$4:$B$138, 0), MATCH(L$4&amp;L$5, LS_previous!$D$2:$AY$2&amp;LS_previous!$D$3:$AY$3, 0)),SUM(VLOOKUP($A119, LS_previous!$B$4:$AY$138, LS_previous!D$149, FALSE), VLOOKUP('Staging Table'!$A119, LS_previous!$B$4:$AY$138,LS_previous!AB$149, FALSE))/2)</f>
        <v>-76</v>
      </c>
      <c r="M119" s="227">
        <f t="array" ref="M119">IF($G119=0, INDEX(LS_previous!$D$4:$AY$138, MATCH('Staging Table'!$A119, LS_previous!$B$4:$B$138, 0), MATCH(M$4&amp;M$5, LS_previous!$D$2:$AY$2&amp;LS_previous!$D$3:$AY$3, 0)),SUM(VLOOKUP($A119, LS_previous!$B$4:$AY$138, LS_previous!E$149, FALSE), VLOOKUP('Staging Table'!$A119, LS_previous!$B$4:$AY$138,LS_previous!AC$149, FALSE))/2)</f>
        <v>80</v>
      </c>
      <c r="N119" s="227">
        <f t="array" ref="N119">IF($G119=0, INDEX(LS_previous!$D$4:$AY$138, MATCH('Staging Table'!$A119, LS_previous!$B$4:$B$138, 0), MATCH(N$4&amp;N$5, LS_previous!$D$2:$AY$2&amp;LS_previous!$D$3:$AY$3, 0)),SUM(VLOOKUP($A119, LS_previous!$B$4:$AY$138, LS_previous!F$149, FALSE), VLOOKUP('Staging Table'!$A119, LS_previous!$B$4:$AY$138,LS_previous!AD$149, FALSE))/2)</f>
        <v>-29</v>
      </c>
      <c r="O119" s="227">
        <f t="array" ref="O119">IF($G119=0, INDEX(LS_previous!$D$4:$AY$138, MATCH('Staging Table'!$A119, LS_previous!$B$4:$B$138, 0), MATCH(O$4&amp;O$5, LS_previous!$D$2:$AY$2&amp;LS_previous!$D$3:$AY$3, 0)),SUM(VLOOKUP($A119, LS_previous!$B$4:$AY$138, LS_previous!G$149, FALSE), VLOOKUP('Staging Table'!$A119, LS_previous!$B$4:$AY$138,LS_previous!AE$149, FALSE))/2)</f>
        <v>230</v>
      </c>
      <c r="P119" s="227">
        <f t="array" ref="P119">IF($G119=0, INDEX(LS_previous!$D$4:$AY$138, MATCH('Staging Table'!$A119, LS_previous!$B$4:$B$138, 0), MATCH(P$4&amp;P$5, LS_previous!$D$2:$AY$2&amp;LS_previous!$D$3:$AY$3, 0)),SUM(VLOOKUP($A119, LS_previous!$B$4:$AY$138, LS_previous!H$149, FALSE), VLOOKUP('Staging Table'!$A119, LS_previous!$B$4:$AY$138,LS_previous!AF$149, FALSE))/2)</f>
        <v>376</v>
      </c>
      <c r="Q119" s="227">
        <f t="array" ref="Q119">IF($G119=0, INDEX(LS_previous!$D$4:$AY$138, MATCH('Staging Table'!$A119, LS_previous!$B$4:$B$138, 0), MATCH(Q$4&amp;Q$5, LS_previous!$D$2:$AY$2&amp;LS_previous!$D$3:$AY$3, 0)),SUM(VLOOKUP($A119, LS_previous!$B$4:$AY$138, LS_previous!I$149, FALSE), VLOOKUP('Staging Table'!$A119, LS_previous!$B$4:$AY$138,LS_previous!AG$149, FALSE))/2)</f>
        <v>357</v>
      </c>
      <c r="R119" s="227">
        <f t="array" ref="R119">IF($G119=0, INDEX(LS_previous!$D$4:$AY$138, MATCH('Staging Table'!$A119, LS_previous!$B$4:$B$138, 0), MATCH(R$4&amp;R$5, LS_previous!$D$2:$AY$2&amp;LS_previous!$D$3:$AY$3, 0)),SUM(VLOOKUP($A119, LS_previous!$B$4:$AY$138, LS_previous!J$149, FALSE), VLOOKUP('Staging Table'!$A119, LS_previous!$B$4:$AY$138,LS_previous!AH$149, FALSE))/2)</f>
        <v>738</v>
      </c>
      <c r="S119" s="227">
        <f t="array" ref="S119">IF($G119=0, INDEX(LS_previous!$D$4:$AY$138, MATCH('Staging Table'!$A119, LS_previous!$B$4:$B$138, 0), MATCH(S$4&amp;S$5, LS_previous!$D$2:$AY$2&amp;LS_previous!$D$3:$AY$3, 0)),SUM(VLOOKUP($A119, LS_previous!$B$4:$AY$138, LS_previous!K$149, FALSE), VLOOKUP('Staging Table'!$A119, LS_previous!$B$4:$AY$138,LS_previous!AI$149, FALSE))/2)</f>
        <v>649</v>
      </c>
      <c r="T119" s="227">
        <f t="array" ref="T119">IF($G119=0, INDEX(LS_previous!$D$4:$AY$138, MATCH('Staging Table'!$A119, LS_previous!$B$4:$B$138, 0), MATCH(T$4&amp;T$5, LS_previous!$D$2:$AY$2&amp;LS_previous!$D$3:$AY$3, 0)),SUM(VLOOKUP($A119, LS_previous!$B$4:$AY$138, LS_previous!L$149, FALSE), VLOOKUP('Staging Table'!$A119, LS_previous!$B$4:$AY$138,LS_previous!AJ$149, FALSE))/2)</f>
        <v>811</v>
      </c>
      <c r="U119" s="227">
        <f t="array" ref="U119">IF($G119=0, INDEX(LS_previous!$D$4:$AY$138, MATCH('Staging Table'!$A119, LS_previous!$B$4:$B$138, 0), MATCH(U$4&amp;U$5, LS_previous!$D$2:$AY$2&amp;LS_previous!$D$3:$AY$3, 0)),SUM(VLOOKUP($A119, LS_previous!$B$4:$AY$138, LS_previous!M$149, FALSE), VLOOKUP('Staging Table'!$A119, LS_previous!$B$4:$AY$138,LS_previous!AK$149, FALSE))/2)</f>
        <v>618</v>
      </c>
      <c r="V119" s="227">
        <f t="array" ref="V119">IF($G119=0, INDEX(LS_previous!$D$4:$AY$138, MATCH('Staging Table'!$A119, LS_previous!$B$4:$B$138, 0), MATCH(V$4&amp;V$5, LS_previous!$D$2:$AY$2&amp;LS_previous!$D$3:$AY$3, 0)),SUM(VLOOKUP($A119, LS_previous!$B$4:$AY$138, LS_previous!N$149, FALSE), VLOOKUP('Staging Table'!$A119, LS_previous!$B$4:$AY$138,LS_previous!AL$149, FALSE))/2)</f>
        <v>265</v>
      </c>
      <c r="W119" s="227">
        <f t="array" ref="W119">IF($G119=0, INDEX(LS_previous!$D$4:$AY$138, MATCH('Staging Table'!$A119, LS_previous!$B$4:$B$138, 0), MATCH(W$4&amp;W$5, LS_previous!$D$2:$AY$2&amp;LS_previous!$D$3:$AY$3, 0)),SUM(VLOOKUP($A119, LS_previous!$B$4:$AY$138, LS_previous!O$149, FALSE), VLOOKUP('Staging Table'!$A119, LS_previous!$B$4:$AY$138,LS_previous!AM$149, FALSE))/2)</f>
        <v>257</v>
      </c>
      <c r="X119" s="227">
        <f t="array" ref="X119">IF($G119=0, INDEX(LS_previous!$D$4:$AY$138, MATCH('Staging Table'!$A119, LS_previous!$B$4:$B$138, 0), MATCH(X$4&amp;X$5, LS_previous!$D$2:$AY$2&amp;LS_previous!$D$3:$AY$3, 0)),SUM(VLOOKUP($A119, LS_previous!$B$4:$AY$138, LS_previous!P$149, FALSE), VLOOKUP('Staging Table'!$A119, LS_previous!$B$4:$AY$138,LS_previous!AN$149, FALSE))/2)</f>
        <v>42</v>
      </c>
      <c r="Y119" s="227">
        <f t="array" ref="Y119">IF($G119=0, INDEX(LS_previous!$D$4:$AY$138, MATCH('Staging Table'!$A119, LS_previous!$B$4:$B$138, 0), MATCH(Y$4&amp;Y$5, LS_previous!$D$2:$AY$2&amp;LS_previous!$D$3:$AY$3, 0)),SUM(VLOOKUP($A119, LS_previous!$B$4:$AY$138, LS_previous!Q$149, FALSE), VLOOKUP('Staging Table'!$A119, LS_previous!$B$4:$AY$138,LS_previous!AO$149, FALSE))/2)</f>
        <v>179</v>
      </c>
      <c r="Z119" s="227">
        <f t="array" ref="Z119">IF($G119=0, INDEX(LS_previous!$D$4:$AY$138, MATCH('Staging Table'!$A119, LS_previous!$B$4:$B$138, 0), MATCH(Z$4&amp;Z$5, LS_previous!$D$2:$AY$2&amp;LS_previous!$D$3:$AY$3, 0)),SUM(VLOOKUP($A119, LS_previous!$B$4:$AY$138, LS_previous!R$149, FALSE), VLOOKUP('Staging Table'!$A119, LS_previous!$B$4:$AY$138,LS_previous!AP$149, FALSE))/2)</f>
        <v>-1269</v>
      </c>
      <c r="AA119" s="227">
        <f t="array" ref="AA119">IF($G119=0, INDEX(LS_previous!$D$4:$AY$138, MATCH('Staging Table'!$A119, LS_previous!$B$4:$B$138, 0), MATCH(AA$4&amp;AA$5, LS_previous!$D$2:$AY$2&amp;LS_previous!$D$3:$AY$3, 0)),SUM(VLOOKUP($A119, LS_previous!$B$4:$AY$138, LS_previous!S$149, FALSE), VLOOKUP('Staging Table'!$A119, LS_previous!$B$4:$AY$138,LS_previous!AQ$149, FALSE))/2)</f>
        <v>-525</v>
      </c>
      <c r="AB119" s="227">
        <f t="array" ref="AB119">IF($G119=0, INDEX(LS_previous!$D$4:$AY$138, MATCH('Staging Table'!$A119, LS_previous!$B$4:$B$138, 0), MATCH(AB$4&amp;AB$5, LS_previous!$D$2:$AY$2&amp;LS_previous!$D$3:$AY$3, 0)),SUM(VLOOKUP($A119, LS_previous!$B$4:$AY$138, LS_previous!T$149, FALSE), VLOOKUP('Staging Table'!$A119, LS_previous!$B$4:$AY$138,LS_previous!AR$149, FALSE))/2)</f>
        <v>-828</v>
      </c>
      <c r="AC119" s="227">
        <f t="array" ref="AC119">IF($G119=0, INDEX(LS_previous!$D$4:$AY$138, MATCH('Staging Table'!$A119, LS_previous!$B$4:$B$138, 0), MATCH(AC$4&amp;AC$5, LS_previous!$D$2:$AY$2&amp;LS_previous!$D$3:$AY$3, 0)),SUM(VLOOKUP($A119, LS_previous!$B$4:$AY$138, LS_previous!U$149, FALSE), VLOOKUP('Staging Table'!$A119, LS_previous!$B$4:$AY$138,LS_previous!AS$149, FALSE))/2)</f>
        <v>-312</v>
      </c>
      <c r="AD119" s="227">
        <f t="array" ref="AD119">IF($G119=0, INDEX(LS_previous!$D$4:$AY$138, MATCH('Staging Table'!$A119, LS_previous!$B$4:$B$138, 0), MATCH(AD$4&amp;AD$5, LS_previous!$D$2:$AY$2&amp;LS_previous!$D$3:$AY$3, 0)),SUM(VLOOKUP($A119, LS_previous!$B$4:$AY$138, LS_previous!V$149, FALSE), VLOOKUP('Staging Table'!$A119, LS_previous!$B$4:$AY$138,LS_previous!AT$149, FALSE))/2)</f>
        <v>-528</v>
      </c>
      <c r="AE119" s="227">
        <f t="array" ref="AE119">IF($G119=0, INDEX(LS_previous!$D$4:$AY$138, MATCH('Staging Table'!$A119, LS_previous!$B$4:$B$138, 0), MATCH(AE$4&amp;AE$5, LS_previous!$D$2:$AY$2&amp;LS_previous!$D$3:$AY$3, 0)),SUM(VLOOKUP($A119, LS_previous!$B$4:$AY$138, LS_previous!W$149, FALSE), VLOOKUP('Staging Table'!$A119, LS_previous!$B$4:$AY$138,LS_previous!AU$149, FALSE))/2)</f>
        <v>-34</v>
      </c>
      <c r="AF119" s="227">
        <f t="array" ref="AF119">IF($G119=0, INDEX(LS_previous!$D$4:$AY$138, MATCH('Staging Table'!$A119, LS_previous!$B$4:$B$138, 0), MATCH(AF$4&amp;AF$5, LS_previous!$D$2:$AY$2&amp;LS_previous!$D$3:$AY$3, 0)),SUM(VLOOKUP($A119, LS_previous!$B$4:$AY$138, LS_previous!X$149, FALSE), VLOOKUP('Staging Table'!$A119, LS_previous!$B$4:$AY$138,LS_previous!AV$149, FALSE))/2)</f>
        <v>-729</v>
      </c>
      <c r="AG119" s="227">
        <f t="array" ref="AG119">IF($G119=0, INDEX(LS_previous!$D$4:$AY$138, MATCH('Staging Table'!$A119, LS_previous!$B$4:$B$138, 0), MATCH(AG$4&amp;AG$5, LS_previous!$D$2:$AY$2&amp;LS_previous!$D$3:$AY$3, 0)),SUM(VLOOKUP($A119, LS_previous!$B$4:$AY$138, LS_previous!Y$149, FALSE), VLOOKUP('Staging Table'!$A119, LS_previous!$B$4:$AY$138,LS_previous!AW$149, FALSE))/2)</f>
        <v>-155</v>
      </c>
      <c r="AH119" s="227">
        <f t="array" ref="AH119">IF($G119=0, INDEX(LS_previous!$D$4:$AY$138, MATCH('Staging Table'!$A119, LS_previous!$B$4:$B$138, 0), MATCH(AH$4&amp;AH$5, LS_previous!$D$2:$AY$2&amp;LS_previous!$D$3:$AY$3, 0)),SUM(VLOOKUP($A119, LS_previous!$B$4:$AY$138, LS_previous!Z$149, FALSE), VLOOKUP('Staging Table'!$A119, LS_previous!$B$4:$AY$138,LS_previous!AX$149, FALSE))/2)</f>
        <v>-501</v>
      </c>
      <c r="AI119" s="227">
        <f t="array" ref="AI119">IF($G119=0, INDEX(LS_previous!$D$4:$AY$138, MATCH('Staging Table'!$A119, LS_previous!$B$4:$B$138, 0), MATCH(AI$4&amp;AI$5, LS_previous!$D$2:$AY$2&amp;LS_previous!$D$3:$AY$3, 0)),SUM(VLOOKUP($A119, LS_previous!$B$4:$AY$138, LS_previous!AA$149, FALSE), VLOOKUP('Staging Table'!$A119, LS_previous!$B$4:$AY$138,LS_previous!AY$149, FALSE))/2)</f>
        <v>-157</v>
      </c>
      <c r="AJ119" s="424">
        <f t="array" ref="AJ119">INDEX(Demand_previous!$D$4:$AY$138, MATCH('Staging Table'!$A119, Demand_previous!$B$4:$B$138, 0), MATCH(AJ$4&amp;AJ$5,Demand_previous!$D$2:$AY$2&amp;Demand_previous!$D$3:$AY$3, 0))/1000</f>
        <v>0.48599999999999999</v>
      </c>
      <c r="AK119" s="424">
        <f t="array" ref="AK119">INDEX(Demand_previous!$D$4:$AY$138, MATCH('Staging Table'!$A119, Demand_previous!$B$4:$B$138, 0), MATCH(AK$4&amp;AK$5,Demand_previous!$D$2:$AY$2&amp;Demand_previous!$D$3:$AY$3, 0))/1000</f>
        <v>0.51200000000000001</v>
      </c>
      <c r="AL119" s="424">
        <f t="array" ref="AL119">INDEX(Demand_previous!$D$4:$AY$138, MATCH('Staging Table'!$A119, Demand_previous!$B$4:$B$138, 0), MATCH(AL$4&amp;AL$5,Demand_previous!$D$2:$AY$2&amp;Demand_previous!$D$3:$AY$3, 0))/1000</f>
        <v>1.4390000000000001</v>
      </c>
      <c r="AM119" s="424">
        <f t="array" ref="AM119">INDEX(Demand_previous!$D$4:$AY$138, MATCH('Staging Table'!$A119, Demand_previous!$B$4:$B$138, 0), MATCH(AM$4&amp;AM$5,Demand_previous!$D$2:$AY$2&amp;Demand_previous!$D$3:$AY$3, 0))/1000</f>
        <v>1.472</v>
      </c>
      <c r="AN119" s="424">
        <f t="array" ref="AN119">INDEX(Demand_previous!$D$4:$AY$138, MATCH('Staging Table'!$A119, Demand_previous!$B$4:$B$138, 0), MATCH(AN$4&amp;AN$5,Demand_previous!$D$2:$AY$2&amp;Demand_previous!$D$3:$AY$3, 0))/1000</f>
        <v>0.83399999999999996</v>
      </c>
      <c r="AO119" s="424">
        <f t="array" ref="AO119">INDEX(Demand_previous!$D$4:$AY$138, MATCH('Staging Table'!$A119, Demand_previous!$B$4:$B$138, 0), MATCH(AO$4&amp;AO$5,Demand_previous!$D$2:$AY$2&amp;Demand_previous!$D$3:$AY$3, 0))/1000</f>
        <v>1.167</v>
      </c>
      <c r="AP119" s="424">
        <f t="array" ref="AP119">INDEX(Demand_previous!$D$4:$AY$138, MATCH('Staging Table'!$A119, Demand_previous!$B$4:$B$138, 0), MATCH(AP$4&amp;AP$5,Demand_previous!$D$2:$AY$2&amp;Demand_previous!$D$3:$AY$3, 0))/1000</f>
        <v>9.4E-2</v>
      </c>
      <c r="AQ119" s="424">
        <f t="array" ref="AQ119">INDEX(Demand_previous!$D$4:$AY$138, MATCH('Staging Table'!$A119, Demand_previous!$B$4:$B$138, 0), MATCH(AQ$4&amp;AQ$5,Demand_previous!$D$2:$AY$2&amp;Demand_previous!$D$3:$AY$3, 0))/1000</f>
        <v>0.51700000000000002</v>
      </c>
      <c r="AR119" s="424">
        <f t="array" ref="AR119">INDEX(Demand_previous!$D$4:$AY$138, MATCH('Staging Table'!$A119, Demand_previous!$B$4:$B$138, 0), MATCH(AR$4&amp;AR$5,Demand_previous!$D$2:$AY$2&amp;Demand_previous!$D$3:$AY$3, 0))/1000</f>
        <v>1.145</v>
      </c>
      <c r="AS119" s="424">
        <f t="array" ref="AS119">INDEX(Demand_previous!$D$4:$AY$138, MATCH('Staging Table'!$A119, Demand_previous!$B$4:$B$138, 0), MATCH(AS$4&amp;AS$5,Demand_previous!$D$2:$AY$2&amp;Demand_previous!$D$3:$AY$3, 0))/1000</f>
        <v>0.76100000000000001</v>
      </c>
      <c r="AT119" s="424">
        <f t="array" ref="AT119">INDEX(Demand_previous!$D$4:$AY$138, MATCH('Staging Table'!$A119, Demand_previous!$B$4:$B$138, 0), MATCH(AT$4&amp;AT$5,Demand_previous!$D$2:$AY$2&amp;Demand_previous!$D$3:$AY$3, 0))/1000</f>
        <v>1.0569999999999999</v>
      </c>
      <c r="AU119" s="424">
        <f t="array" ref="AU119">INDEX(Demand_previous!$D$4:$AY$138, MATCH('Staging Table'!$A119, Demand_previous!$B$4:$B$138, 0), MATCH(AU$4&amp;AU$5,Demand_previous!$D$2:$AY$2&amp;Demand_previous!$D$3:$AY$3, 0))/1000</f>
        <v>0.316</v>
      </c>
      <c r="AV119" s="227">
        <f>$F119*(VLOOKUP(AV$4, Rates_previous!$G$6:$Q$29, 10, FALSE)+VLOOKUP(AV$4, Rates_previous!$G$6:$Q$29, 11, FALSE))</f>
        <v>3173.8742813614526</v>
      </c>
      <c r="AW119" s="227">
        <f>$F119*(VLOOKUP(AW$4, Rates_previous!$G$6:$Q$29, 10, FALSE)+VLOOKUP(AW$4, Rates_previous!$G$6:$Q$29, 11, FALSE))</f>
        <v>3922.6673845334512</v>
      </c>
      <c r="AX119" s="227">
        <f>$F119*(VLOOKUP(AX$4, Rates_previous!$G$6:$Q$29, 10, FALSE)+VLOOKUP(AX$4, Rates_previous!$G$6:$Q$29, 11, FALSE))</f>
        <v>3875.560840982017</v>
      </c>
      <c r="AY119" s="227">
        <f>$F119*(VLOOKUP(AY$4, Rates_previous!$G$6:$Q$29, 10, FALSE)+VLOOKUP(AY$4, Rates_previous!$G$6:$Q$29, 11, FALSE))</f>
        <v>3311.2973366618039</v>
      </c>
      <c r="AZ119" s="227">
        <f>$F119*(VLOOKUP(AZ$4, Rates_previous!$G$6:$Q$29, 10, FALSE)+VLOOKUP(AZ$4, Rates_previous!$G$6:$Q$29, 11, FALSE))</f>
        <v>2714.6215199171961</v>
      </c>
      <c r="BA119" s="227">
        <f>$F119*(VLOOKUP(BA$4, Rates_previous!$G$6:$Q$29, 10, FALSE)+VLOOKUP(BA$4, Rates_previous!$G$6:$Q$29, 11, FALSE))</f>
        <v>3214.0132753773291</v>
      </c>
      <c r="BB119" s="227">
        <f>$F119*(VLOOKUP(BB$4, Rates_previous!$G$6:$Q$29, 10, FALSE)+VLOOKUP(BB$4, Rates_previous!$G$6:$Q$29, 11, FALSE))</f>
        <v>3089.1342643905855</v>
      </c>
      <c r="BC119" s="227">
        <f>$F119*(VLOOKUP(BC$4, Rates_previous!$G$6:$Q$29, 10, FALSE)+VLOOKUP(BC$4, Rates_previous!$G$6:$Q$29, 11, FALSE))</f>
        <v>4533.0859373651983</v>
      </c>
      <c r="BD119" s="227">
        <f>$F119*(VLOOKUP(BD$4, Rates_previous!$G$6:$Q$29, 10, FALSE)+VLOOKUP(BD$4, Rates_previous!$G$6:$Q$29, 11, FALSE))</f>
        <v>3576.484993659381</v>
      </c>
      <c r="BE119" s="227">
        <f>$F119*(VLOOKUP(BE$4, Rates_previous!$G$6:$Q$29, 10, FALSE)+VLOOKUP(BE$4, Rates_previous!$G$6:$Q$29, 11, FALSE))</f>
        <v>3140.4540185973424</v>
      </c>
      <c r="BF119" s="227">
        <f>$F119*(VLOOKUP(BF$4, Rates_previous!$G$6:$Q$29, 10, FALSE)+VLOOKUP(BF$4, Rates_previous!$G$6:$Q$29, 11, FALSE))</f>
        <v>3478.1785307881091</v>
      </c>
      <c r="BG119" s="227">
        <f>$F119*(VLOOKUP(BG$4, Rates_previous!$G$6:$Q$29, 10, FALSE)+VLOOKUP(BG$4, Rates_previous!$G$6:$Q$29, 11, FALSE))</f>
        <v>3151.0914304028015</v>
      </c>
      <c r="BH119" s="229">
        <f>IF($D119=0,IF(C119=0, MAX(BK119 - (VLOOKUP($A119,TOCA_previous!$A$2:$AI$137,MATCH("RHWM 2018",TOCA_previous!$A$2:$AI$2,0),FALSE)*$F$2*TOCA_previous!C116),0),0), 0)</f>
        <v>0</v>
      </c>
      <c r="BI119" s="266">
        <f>VLOOKUP($A119,REP_previous!$A$1:$D$135,MATCH("FY "&amp;$F$1&amp; " Total Refund",REP_previous!$A$1:$D$1,0),0)</f>
        <v>62377.837502015303</v>
      </c>
      <c r="BJ119" s="241">
        <f>MIN(VLOOKUP($A119,TOCA_previous!$A$2:$AI$137,MATCH("TRL - NLSL - Existing Resource "&amp;$F$1,TOCA_previous!$A$2:$AI$2,0),FALSE)*$F$2,(VLOOKUP($A119,TOCA_previous!$A$2:$AI$137,MATCH("RHWM 2018",TOCA_previous!$A$2:$AI$2,0),FALSE)*$F$2))</f>
        <v>41180.759999999995</v>
      </c>
      <c r="BK119" s="229">
        <f>SUM(L119:AI119)+(F119*RT1SC!$C$3*$F$2)</f>
        <v>40639.464414824004</v>
      </c>
      <c r="BL119" s="241">
        <f>VLOOKUP($A119,TOCA_previous!$A$2:$AI$137,MATCH("Above RHWM Not Served with LS "&amp;$F$1,TOCA_previous!$A$2:$AI$2,0),FALSE)*$F$2</f>
        <v>0</v>
      </c>
      <c r="BM119" s="151">
        <f t="shared" si="21"/>
        <v>-541.29558517599071</v>
      </c>
      <c r="BN119" s="242">
        <f>(VLOOKUP($A119,TOCA_previous!$A$2:$AI$137,MATCH("RHWM 2018",TOCA_previous!$A$2:$AI$2,0),FALSE)*$F$2) - $BJ119</f>
        <v>262.80000000000291</v>
      </c>
      <c r="BO119" s="151">
        <f t="shared" si="22"/>
        <v>0</v>
      </c>
      <c r="BP119" s="243">
        <f t="shared" si="23"/>
        <v>541.29558517599071</v>
      </c>
      <c r="BQ119" s="237">
        <f t="shared" si="24"/>
        <v>0</v>
      </c>
      <c r="BR119" s="242">
        <f t="shared" si="25"/>
        <v>541.29558517599071</v>
      </c>
      <c r="BS119" s="151">
        <f>VLOOKUP($A119,TOCA_current!$A$2:$AI$137,MATCH(BS$4,TOCA_current!$A$2:$AI$2,0),FALSE)</f>
        <v>6.7560000000000005E-4</v>
      </c>
      <c r="BT119" s="151">
        <f>VLOOKUP($A119,TOCA_current!$A$2:$AI$137,MATCH(BT$4,TOCA_current!$A$2:$AI$2,0),FALSE)</f>
        <v>6.7560000000000005E-4</v>
      </c>
      <c r="BU119" s="236">
        <f t="shared" si="26"/>
        <v>0</v>
      </c>
      <c r="BV119" s="151">
        <f>VLOOKUP($A119,TOCA_current!A115:BG250,MATCH(BV$4,TOCA_current!$A$2:$BG$2,0),FALSE)</f>
        <v>0</v>
      </c>
      <c r="BW119" s="151">
        <f t="shared" si="27"/>
        <v>0</v>
      </c>
      <c r="BX119" s="151">
        <f t="shared" si="28"/>
        <v>0</v>
      </c>
      <c r="BY119" s="226">
        <f>VLOOKUP($A119,IRD!$A$4:$G$139, 7, FALSE)</f>
        <v>0</v>
      </c>
      <c r="BZ119" s="227">
        <f t="array" ref="BZ119">IF($BU119=0, INDEX(LS_current!$D$4:$AY$138, MATCH('Staging Table'!$A119, LS_current!$B$4:$B$138, 0), MATCH(BZ$4&amp;BZ$5, LS_current!$D$2:$AY$2&amp;LS_current!$D$3:$AY$3, 0)),SUM(VLOOKUP($A119, LS_current!$B$4:$AY$138, LS_current!D$148, FALSE), VLOOKUP($A119, LS_current!$B$4:$AY$138,LS_current!D$148, FALSE))/2)</f>
        <v>-45</v>
      </c>
      <c r="CA119" s="227">
        <f t="array" ref="CA119">IF($BU119=0, INDEX(LS_current!$D$4:$AY$138, MATCH('Staging Table'!$A119, LS_current!$B$4:$B$138, 0), MATCH(CA$4&amp;CA$5, LS_current!$D$2:$AY$2&amp;LS_current!$D$3:$AY$3, 0)),SUM(VLOOKUP($A119, LS_current!$B$4:$AY$138, LS_current!E$148, FALSE), VLOOKUP($A119, LS_current!$B$4:$AY$138,LS_current!E$148, FALSE))/2)</f>
        <v>103</v>
      </c>
      <c r="CB119" s="227">
        <f t="array" ref="CB119">IF($BU119=0, INDEX(LS_current!$D$4:$AY$138, MATCH('Staging Table'!$A119, LS_current!$B$4:$B$138, 0), MATCH(CB$4&amp;CB$5, LS_current!$D$2:$AY$2&amp;LS_current!$D$3:$AY$3, 0)),SUM(VLOOKUP($A119, LS_current!$B$4:$AY$138, LS_current!F$148, FALSE), VLOOKUP($A119, LS_current!$B$4:$AY$138,LS_current!F$148, FALSE))/2)</f>
        <v>-42</v>
      </c>
      <c r="CC119" s="227">
        <f t="array" ref="CC119">IF($BU119=0, INDEX(LS_current!$D$4:$AY$138, MATCH('Staging Table'!$A119, LS_current!$B$4:$B$138, 0), MATCH(CC$4&amp;CC$5, LS_current!$D$2:$AY$2&amp;LS_current!$D$3:$AY$3, 0)),SUM(VLOOKUP($A119, LS_current!$B$4:$AY$138, LS_current!G$148, FALSE), VLOOKUP($A119, LS_current!$B$4:$AY$138,LS_current!G$148, FALSE))/2)</f>
        <v>203</v>
      </c>
      <c r="CD119" s="227">
        <f t="array" ref="CD119">IF($BU119=0, INDEX(LS_current!$D$4:$AY$138, MATCH('Staging Table'!$A119, LS_current!$B$4:$B$138, 0), MATCH(CD$4&amp;CD$5, LS_current!$D$2:$AY$2&amp;LS_current!$D$3:$AY$3, 0)),SUM(VLOOKUP($A119, LS_current!$B$4:$AY$138, LS_current!H$148, FALSE), VLOOKUP($A119, LS_current!$B$4:$AY$138,LS_current!H$148, FALSE))/2)</f>
        <v>359</v>
      </c>
      <c r="CE119" s="227">
        <f t="array" ref="CE119">IF($BU119=0, INDEX(LS_current!$D$4:$AY$138, MATCH('Staging Table'!$A119, LS_current!$B$4:$B$138, 0), MATCH(CE$4&amp;CE$5, LS_current!$D$2:$AY$2&amp;LS_current!$D$3:$AY$3, 0)),SUM(VLOOKUP($A119, LS_current!$B$4:$AY$138, LS_current!I$148, FALSE), VLOOKUP($A119, LS_current!$B$4:$AY$138,LS_current!I$148, FALSE))/2)</f>
        <v>335</v>
      </c>
      <c r="CF119" s="227">
        <f t="array" ref="CF119">IF($BU119=0, INDEX(LS_current!$D$4:$AY$138, MATCH('Staging Table'!$A119, LS_current!$B$4:$B$138, 0), MATCH(CF$4&amp;CF$5, LS_current!$D$2:$AY$2&amp;LS_current!$D$3:$AY$3, 0)),SUM(VLOOKUP($A119, LS_current!$B$4:$AY$138, LS_current!J$148, FALSE), VLOOKUP($A119, LS_current!$B$4:$AY$138,LS_current!J$148, FALSE))/2)</f>
        <v>733</v>
      </c>
      <c r="CG119" s="227">
        <f t="array" ref="CG119">IF($BU119=0, INDEX(LS_current!$D$4:$AY$138, MATCH('Staging Table'!$A119, LS_current!$B$4:$B$138, 0), MATCH(CG$4&amp;CG$5, LS_current!$D$2:$AY$2&amp;LS_current!$D$3:$AY$3, 0)),SUM(VLOOKUP($A119, LS_current!$B$4:$AY$138, LS_current!K$148, FALSE), VLOOKUP($A119, LS_current!$B$4:$AY$138,LS_current!K$148, FALSE))/2)</f>
        <v>702</v>
      </c>
      <c r="CH119" s="227">
        <f t="array" ref="CH119">IF($BU119=0, INDEX(LS_current!$D$4:$AY$138, MATCH('Staging Table'!$A119, LS_current!$B$4:$B$138, 0), MATCH(CH$4&amp;CH$5, LS_current!$D$2:$AY$2&amp;LS_current!$D$3:$AY$3, 0)),SUM(VLOOKUP($A119, LS_current!$B$4:$AY$138, LS_current!L$148, FALSE), VLOOKUP($A119, LS_current!$B$4:$AY$138,LS_current!L$148, FALSE))/2)</f>
        <v>661</v>
      </c>
      <c r="CI119" s="227">
        <f t="array" ref="CI119">IF($BU119=0, INDEX(LS_current!$D$4:$AY$138, MATCH('Staging Table'!$A119, LS_current!$B$4:$B$138, 0), MATCH(CI$4&amp;CI$5, LS_current!$D$2:$AY$2&amp;LS_current!$D$3:$AY$3, 0)),SUM(VLOOKUP($A119, LS_current!$B$4:$AY$138, LS_current!M$148, FALSE), VLOOKUP($A119, LS_current!$B$4:$AY$138,LS_current!M$148, FALSE))/2)</f>
        <v>527</v>
      </c>
      <c r="CJ119" s="227">
        <f t="array" ref="CJ119">IF($BU119=0, INDEX(LS_current!$D$4:$AY$138, MATCH('Staging Table'!$A119, LS_current!$B$4:$B$138, 0), MATCH(CJ$4&amp;CJ$5, LS_current!$D$2:$AY$2&amp;LS_current!$D$3:$AY$3, 0)),SUM(VLOOKUP($A119, LS_current!$B$4:$AY$138, LS_current!N$148, FALSE), VLOOKUP($A119, LS_current!$B$4:$AY$138,LS_current!N$148, FALSE))/2)</f>
        <v>207</v>
      </c>
      <c r="CK119" s="227">
        <f t="array" ref="CK119">IF($BU119=0, INDEX(LS_current!$D$4:$AY$138, MATCH('Staging Table'!$A119, LS_current!$B$4:$B$138, 0), MATCH(CK$4&amp;CK$5, LS_current!$D$2:$AY$2&amp;LS_current!$D$3:$AY$3, 0)),SUM(VLOOKUP($A119, LS_current!$B$4:$AY$138, LS_current!O$148, FALSE), VLOOKUP($A119, LS_current!$B$4:$AY$138,LS_current!O$148, FALSE))/2)</f>
        <v>241</v>
      </c>
      <c r="CL119" s="227">
        <f t="array" ref="CL119">IF($BU119=0, INDEX(LS_current!$D$4:$AY$138, MATCH('Staging Table'!$A119, LS_current!$B$4:$B$138, 0), MATCH(CL$4&amp;CL$5, LS_current!$D$2:$AY$2&amp;LS_current!$D$3:$AY$3, 0)),SUM(VLOOKUP($A119, LS_current!$B$4:$AY$138, LS_current!P$148, FALSE), VLOOKUP($A119, LS_current!$B$4:$AY$138,LS_current!P$148, FALSE))/2)</f>
        <v>344</v>
      </c>
      <c r="CM119" s="227">
        <f t="array" ref="CM119">IF($BU119=0, INDEX(LS_current!$D$4:$AY$138, MATCH('Staging Table'!$A119, LS_current!$B$4:$B$138, 0), MATCH(CM$4&amp;CM$5, LS_current!$D$2:$AY$2&amp;LS_current!$D$3:$AY$3, 0)),SUM(VLOOKUP($A119, LS_current!$B$4:$AY$138, LS_current!Q$148, FALSE), VLOOKUP($A119, LS_current!$B$4:$AY$138,LS_current!Q$148, FALSE))/2)</f>
        <v>289</v>
      </c>
      <c r="CN119" s="227">
        <f t="array" ref="CN119">IF($BU119=0, INDEX(LS_current!$D$4:$AY$138, MATCH('Staging Table'!$A119, LS_current!$B$4:$B$138, 0), MATCH(CN$4&amp;CN$5, LS_current!$D$2:$AY$2&amp;LS_current!$D$3:$AY$3, 0)),SUM(VLOOKUP($A119, LS_current!$B$4:$AY$138, LS_current!R$148, FALSE), VLOOKUP($A119, LS_current!$B$4:$AY$138,LS_current!R$148, FALSE))/2)</f>
        <v>-723</v>
      </c>
      <c r="CO119" s="227">
        <f t="array" ref="CO119">IF($BU119=0, INDEX(LS_current!$D$4:$AY$138, MATCH('Staging Table'!$A119, LS_current!$B$4:$B$138, 0), MATCH(CO$4&amp;CO$5, LS_current!$D$2:$AY$2&amp;LS_current!$D$3:$AY$3, 0)),SUM(VLOOKUP($A119, LS_current!$B$4:$AY$138, LS_current!S$148, FALSE), VLOOKUP($A119, LS_current!$B$4:$AY$138,LS_current!S$148, FALSE))/2)</f>
        <v>-149</v>
      </c>
      <c r="CP119" s="227">
        <f t="array" ref="CP119">IF($BU119=0, INDEX(LS_current!$D$4:$AY$138, MATCH('Staging Table'!$A119, LS_current!$B$4:$B$138, 0), MATCH(CP$4&amp;CP$5, LS_current!$D$2:$AY$2&amp;LS_current!$D$3:$AY$3, 0)),SUM(VLOOKUP($A119, LS_current!$B$4:$AY$138, LS_current!T$148, FALSE), VLOOKUP($A119, LS_current!$B$4:$AY$138,LS_current!T$148, FALSE))/2)</f>
        <v>-1479</v>
      </c>
      <c r="CQ119" s="227">
        <f t="array" ref="CQ119">IF($BU119=0, INDEX(LS_current!$D$4:$AY$138, MATCH('Staging Table'!$A119, LS_current!$B$4:$B$138, 0), MATCH(CQ$4&amp;CQ$5, LS_current!$D$2:$AY$2&amp;LS_current!$D$3:$AY$3, 0)),SUM(VLOOKUP($A119, LS_current!$B$4:$AY$138, LS_current!U$148, FALSE), VLOOKUP($A119, LS_current!$B$4:$AY$138,LS_current!U$148, FALSE))/2)</f>
        <v>-693</v>
      </c>
      <c r="CR119" s="227">
        <f t="array" ref="CR119">IF($BU119=0, INDEX(LS_current!$D$4:$AY$138, MATCH('Staging Table'!$A119, LS_current!$B$4:$B$138, 0), MATCH(CR$4&amp;CR$5, LS_current!$D$2:$AY$2&amp;LS_current!$D$3:$AY$3, 0)),SUM(VLOOKUP($A119, LS_current!$B$4:$AY$138, LS_current!V$148, FALSE), VLOOKUP($A119, LS_current!$B$4:$AY$138,LS_current!V$148, FALSE))/2)</f>
        <v>-961</v>
      </c>
      <c r="CS119" s="227">
        <f t="array" ref="CS119">IF($BU119=0, INDEX(LS_current!$D$4:$AY$138, MATCH('Staging Table'!$A119, LS_current!$B$4:$B$138, 0), MATCH(CS$4&amp;CS$5, LS_current!$D$2:$AY$2&amp;LS_current!$D$3:$AY$3, 0)),SUM(VLOOKUP($A119, LS_current!$B$4:$AY$138, LS_current!W$148, FALSE), VLOOKUP($A119, LS_current!$B$4:$AY$138,LS_current!W$148, FALSE))/2)</f>
        <v>-73</v>
      </c>
      <c r="CT119" s="227">
        <f t="array" ref="CT119">IF($BU119=0, INDEX(LS_current!$D$4:$AY$138, MATCH('Staging Table'!$A119, LS_current!$B$4:$B$138, 0), MATCH(CT$4&amp;CT$5, LS_current!$D$2:$AY$2&amp;LS_current!$D$3:$AY$3, 0)),SUM(VLOOKUP($A119, LS_current!$B$4:$AY$138, LS_current!X$148, FALSE), VLOOKUP($A119, LS_current!$B$4:$AY$138,LS_current!X$148, FALSE))/2)</f>
        <v>-813</v>
      </c>
      <c r="CU119" s="227">
        <f t="array" ref="CU119">IF($BU119=0, INDEX(LS_current!$D$4:$AY$138, MATCH('Staging Table'!$A119, LS_current!$B$4:$B$138, 0), MATCH(CU$4&amp;CU$5, LS_current!$D$2:$AY$2&amp;LS_current!$D$3:$AY$3, 0)),SUM(VLOOKUP($A119, LS_current!$B$4:$AY$138, LS_current!Y$148, FALSE), VLOOKUP($A119, LS_current!$B$4:$AY$138,LS_current!Y$148, FALSE))/2)</f>
        <v>-111</v>
      </c>
      <c r="CV119" s="227">
        <f t="array" ref="CV119">IF($BU119=0, INDEX(LS_current!$D$4:$AY$138, MATCH('Staging Table'!$A119, LS_current!$B$4:$B$138, 0), MATCH(CV$4&amp;CV$5, LS_current!$D$2:$AY$2&amp;LS_current!$D$3:$AY$3, 0)),SUM(VLOOKUP($A119, LS_current!$B$4:$AY$138, LS_current!Z$148, FALSE), VLOOKUP($A119, LS_current!$B$4:$AY$138,LS_current!Z$148, FALSE))/2)</f>
        <v>-509</v>
      </c>
      <c r="CW119" s="227">
        <f t="array" ref="CW119">IF($BU119=0, INDEX(LS_current!$D$4:$AY$138, MATCH('Staging Table'!$A119, LS_current!$B$4:$B$138, 0), MATCH(CW$4&amp;CW$5, LS_current!$D$2:$AY$2&amp;LS_current!$D$3:$AY$3, 0)),SUM(VLOOKUP($A119, LS_current!$B$4:$AY$138, LS_current!AA$148, FALSE), VLOOKUP($A119, LS_current!$B$4:$AY$138,LS_current!AA$148, FALSE))/2)</f>
        <v>-156</v>
      </c>
      <c r="CX119" s="229">
        <f t="array" ref="CX119">INDEX(Demand_current!$D$4:$AY$138, MATCH($A119, Demand_current!$B$4:$B$138, 0), MATCH(CX$4&amp;CX$5,Demand_current!$D$2:$AY$2&amp;Demand_current!$D$3:$AY$3, 0))/1000</f>
        <v>0.66300000000000003</v>
      </c>
      <c r="CY119" s="229">
        <f t="array" ref="CY119">INDEX(Demand_current!$D$4:$AY$138, MATCH($A119, Demand_current!$B$4:$B$138, 0), MATCH(CY$4&amp;CY$5,Demand_current!$D$2:$AY$2&amp;Demand_current!$D$3:$AY$3, 0))/1000</f>
        <v>0.51200000000000001</v>
      </c>
      <c r="CZ119" s="229">
        <f t="array" ref="CZ119">INDEX(Demand_current!$D$4:$AY$138, MATCH($A119, Demand_current!$B$4:$B$138, 0), MATCH(CZ$4&amp;CZ$5,Demand_current!$D$2:$AY$2&amp;Demand_current!$D$3:$AY$3, 0))/1000</f>
        <v>1.4390000000000001</v>
      </c>
      <c r="DA119" s="229">
        <f t="array" ref="DA119">INDEX(Demand_current!$D$4:$AY$138, MATCH($A119, Demand_current!$B$4:$B$138, 0), MATCH(DA$4&amp;DA$5,Demand_current!$D$2:$AY$2&amp;Demand_current!$D$3:$AY$3, 0))/1000</f>
        <v>1.472</v>
      </c>
      <c r="DB119" s="229">
        <f t="array" ref="DB119">INDEX(Demand_current!$D$4:$AY$138, MATCH($A119, Demand_current!$B$4:$B$138, 0), MATCH(DB$4&amp;DB$5,Demand_current!$D$2:$AY$2&amp;Demand_current!$D$3:$AY$3, 0))/1000</f>
        <v>1.097</v>
      </c>
      <c r="DC119" s="229">
        <f t="array" ref="DC119">INDEX(Demand_current!$D$4:$AY$138, MATCH($A119, Demand_current!$B$4:$B$138, 0), MATCH(DC$4&amp;DC$5,Demand_current!$D$2:$AY$2&amp;Demand_current!$D$3:$AY$3, 0))/1000</f>
        <v>0.96199999999999997</v>
      </c>
      <c r="DD119" s="229">
        <f t="array" ref="DD119">INDEX(Demand_current!$D$4:$AY$138, MATCH($A119, Demand_current!$B$4:$B$138, 0), MATCH(DD$4&amp;DD$5,Demand_current!$D$2:$AY$2&amp;Demand_current!$D$3:$AY$3, 0))/1000</f>
        <v>0.28899999999999998</v>
      </c>
      <c r="DE119" s="229">
        <f t="array" ref="DE119">INDEX(Demand_current!$D$4:$AY$138, MATCH($A119, Demand_current!$B$4:$B$138, 0), MATCH(DE$4&amp;DE$5,Demand_current!$D$2:$AY$2&amp;Demand_current!$D$3:$AY$3, 0))/1000</f>
        <v>0.36099999999999999</v>
      </c>
      <c r="DF119" s="229">
        <f t="array" ref="DF119">INDEX(Demand_current!$D$4:$AY$138, MATCH($A119, Demand_current!$B$4:$B$138, 0), MATCH(DF$4&amp;DF$5,Demand_current!$D$2:$AY$2&amp;Demand_current!$D$3:$AY$3, 0))/1000</f>
        <v>1.145</v>
      </c>
      <c r="DG119" s="229">
        <f t="array" ref="DG119">INDEX(Demand_current!$D$4:$AY$138, MATCH($A119, Demand_current!$B$4:$B$138, 0), MATCH(DG$4&amp;DG$5,Demand_current!$D$2:$AY$2&amp;Demand_current!$D$3:$AY$3, 0))/1000</f>
        <v>0.90700000000000003</v>
      </c>
      <c r="DH119" s="229">
        <f t="array" ref="DH119">INDEX(Demand_current!$D$4:$AY$138, MATCH($A119, Demand_current!$B$4:$B$138, 0), MATCH(DH$4&amp;DH$5,Demand_current!$D$2:$AY$2&amp;Demand_current!$D$3:$AY$3, 0))/1000</f>
        <v>0.91400000000000003</v>
      </c>
      <c r="DI119" s="229">
        <f t="array" ref="DI119">INDEX(Demand_current!$D$4:$AY$138, MATCH($A119, Demand_current!$B$4:$B$138, 0), MATCH(DI$4&amp;DI$5,Demand_current!$D$2:$AY$2&amp;Demand_current!$D$3:$AY$3, 0))/1000</f>
        <v>0.47399999999999998</v>
      </c>
      <c r="DJ119" s="227">
        <f>$BT119*(VLOOKUP(DJ$4, Rates_current!$G$6:$Q$29, 10, FALSE)+VLOOKUP(DJ$4, Rates_current!$G$6:$Q$29, 11, FALSE))</f>
        <v>3119.4594976175999</v>
      </c>
      <c r="DK119" s="227">
        <f>$BT119*(VLOOKUP(DK$4, Rates_current!$G$6:$Q$29, 10, FALSE)+VLOOKUP(DK$4, Rates_current!$G$6:$Q$29, 11, FALSE))</f>
        <v>3962.6866962684003</v>
      </c>
      <c r="DL119" s="227">
        <f>$BT119*(VLOOKUP(DL$4, Rates_current!$G$6:$Q$29, 10, FALSE)+VLOOKUP(DL$4, Rates_current!$G$6:$Q$29, 11, FALSE))</f>
        <v>3914.8318924176006</v>
      </c>
      <c r="DM119" s="227">
        <f>$BT119*(VLOOKUP(DM$4, Rates_current!$G$6:$Q$29, 10, FALSE)+VLOOKUP(DM$4, Rates_current!$G$6:$Q$29, 11, FALSE))</f>
        <v>3263.2508236176004</v>
      </c>
      <c r="DN119" s="227">
        <f>$BT119*(VLOOKUP(DN$4, Rates_current!$G$6:$Q$29, 10, FALSE)+VLOOKUP(DN$4, Rates_current!$G$6:$Q$29, 11, FALSE))</f>
        <v>2956.16671008</v>
      </c>
      <c r="DO119" s="227">
        <f>$BT119*(VLOOKUP(DO$4, Rates_current!$G$6:$Q$29, 10, FALSE)+VLOOKUP(DO$4, Rates_current!$G$6:$Q$29, 11, FALSE))</f>
        <v>3288.1965030372003</v>
      </c>
      <c r="DP119" s="227">
        <f>$BT119*(VLOOKUP(DP$4, Rates_current!$G$6:$Q$29, 10, FALSE)+VLOOKUP(DP$4, Rates_current!$G$6:$Q$29, 11, FALSE))</f>
        <v>2677.2531410880001</v>
      </c>
      <c r="DQ119" s="227">
        <f>$BT119*(VLOOKUP(DQ$4, Rates_current!$G$6:$Q$29, 10, FALSE)+VLOOKUP(DQ$4, Rates_current!$G$6:$Q$29, 11, FALSE))</f>
        <v>3610.6750834176005</v>
      </c>
      <c r="DR119" s="227">
        <f>$BT119*(VLOOKUP(DR$4, Rates_current!$G$6:$Q$29, 10, FALSE)+VLOOKUP(DR$4, Rates_current!$G$6:$Q$29, 11, FALSE))</f>
        <v>4606.9758392880003</v>
      </c>
      <c r="DS119" s="227">
        <f>$BT119*(VLOOKUP(DS$4, Rates_current!$G$6:$Q$29, 10, FALSE)+VLOOKUP(DS$4, Rates_current!$G$6:$Q$29, 11, FALSE))</f>
        <v>3612.0151360176005</v>
      </c>
      <c r="DT119" s="227">
        <f>$BT119*(VLOOKUP(DT$4, Rates_current!$G$6:$Q$29, 10, FALSE)+VLOOKUP(DT$4, Rates_current!$G$6:$Q$29, 11, FALSE))</f>
        <v>3517.3835062176004</v>
      </c>
      <c r="DU119" s="227">
        <f>$BT119*(VLOOKUP(DU$4, Rates_current!$G$6:$Q$29, 10, FALSE)+VLOOKUP(DU$4, Rates_current!$G$6:$Q$29, 11, FALSE))</f>
        <v>3157.8621446880006</v>
      </c>
      <c r="DV119" s="229">
        <f>IF(D119=0,IF(C119=0,MAX(0,DY119 - (VLOOKUP($A119,TOCA_current!$A$2:$AI$137,MATCH("RHWM 2020",TOCA_current!$A$2:$AI$2,0),FALSE)*$BT$2)), 0),0)</f>
        <v>0</v>
      </c>
      <c r="DW119" s="266">
        <f>VLOOKUP($A119,REP_current!$A$1:$D$135,MATCH("FY "&amp;$BT$1&amp; " Total Refund",REP_current!$A$1:$D$1,0),0)</f>
        <v>0</v>
      </c>
      <c r="DX119" s="295">
        <f>MIN(VLOOKUP($A119,TOCA_current!$A$2:$AI$137,MATCH("TRL - NLSL - Existing Resource "&amp;$BT$1,TOCA_current!$A$2:$AI$2,0),FALSE)*$BT$2, VLOOKUP($A119,TOCA_current!$A$2:$AI$137,MATCH("RHWM 2020",TOCA_current!$A$2:$AI$2,0),FALSE)*$BT$2)</f>
        <v>41688.864000000001</v>
      </c>
      <c r="DY119" s="240">
        <f>SUM(BZ119:CW119)+(BT119*RT1SC!$C$4*$BT$2)</f>
        <v>40636.758538444803</v>
      </c>
      <c r="DZ119" s="271">
        <f>VLOOKUP($A119,TOCA_current!$A$2:$AI$137,MATCH("Above RHWM Not Served with LS "&amp;$BT$1,TOCA_current!$A$2:$AI$2,0),FALSE)*$BT$2</f>
        <v>0</v>
      </c>
      <c r="EA119" s="244">
        <f t="shared" si="29"/>
        <v>-1052.1054615551984</v>
      </c>
      <c r="EB119" s="295">
        <f>(VLOOKUP($A119,TOCA_current!$A$2:$AI$137,MATCH("RHWM 2020",TOCA_current!$A$2:$AI$2,0),FALSE)*$BT$2) - $DX119</f>
        <v>325.00800000000163</v>
      </c>
      <c r="EC119" s="240">
        <f t="shared" si="30"/>
        <v>0</v>
      </c>
      <c r="ED119" s="240">
        <f t="shared" si="31"/>
        <v>1052.1054615551984</v>
      </c>
      <c r="EE119" s="240">
        <f t="shared" si="32"/>
        <v>0</v>
      </c>
      <c r="EF119" s="240">
        <f t="shared" si="33"/>
        <v>1052.1054615551984</v>
      </c>
    </row>
    <row r="120" spans="1:136">
      <c r="A120" s="166">
        <v>10388</v>
      </c>
      <c r="B120" s="167" t="s">
        <v>121</v>
      </c>
      <c r="C120" s="240">
        <v>1</v>
      </c>
      <c r="D120" s="240">
        <v>0</v>
      </c>
      <c r="E120" s="150">
        <f>VLOOKUP($A120,TOCA_previous!$A$2:$AI$137,MATCH(E$4,TOCA_previous!$A$2:$AI$2,0),FALSE)</f>
        <v>1.60415E-2</v>
      </c>
      <c r="F120" s="151">
        <f>VLOOKUP($A120,TOCA_previous!$A$2:$AI$137,MATCH(F$4,TOCA_previous!$A$2:$AI$2,0),FALSE)</f>
        <v>1.60415E-2</v>
      </c>
      <c r="G120" s="151">
        <f t="shared" si="18"/>
        <v>0</v>
      </c>
      <c r="H120" s="151">
        <f>VLOOKUP($A120,TOCA_previous!$A$2:$AI$137,MATCH(H$4,TOCA_previous!$A$2:$AI$2,0),FALSE)</f>
        <v>8.9369699999999996E-2</v>
      </c>
      <c r="I120" s="151">
        <f t="shared" si="19"/>
        <v>8.9369699999999996E-2</v>
      </c>
      <c r="J120" s="151">
        <f t="shared" si="20"/>
        <v>1.60415E-2</v>
      </c>
      <c r="K120" s="226">
        <f>VLOOKUP(A120, IRD!$A$5:$C$139, 3, FALSE)</f>
        <v>228772.42700000003</v>
      </c>
      <c r="L120" s="227">
        <f t="array" ref="L120">IF($G120=0, INDEX(LS_previous!$D$4:$AY$138, MATCH('Staging Table'!$A120, LS_previous!$B$4:$B$138, 0), MATCH(L$4&amp;L$5, LS_previous!$D$2:$AY$2&amp;LS_previous!$D$3:$AY$3, 0)),SUM(VLOOKUP($A120, LS_previous!$B$4:$AY$138, LS_previous!D$149, FALSE), VLOOKUP('Staging Table'!$A120, LS_previous!$B$4:$AY$138,LS_previous!AB$149, FALSE))/2)</f>
        <v>0</v>
      </c>
      <c r="M120" s="227">
        <f t="array" ref="M120">IF($G120=0, INDEX(LS_previous!$D$4:$AY$138, MATCH('Staging Table'!$A120, LS_previous!$B$4:$B$138, 0), MATCH(M$4&amp;M$5, LS_previous!$D$2:$AY$2&amp;LS_previous!$D$3:$AY$3, 0)),SUM(VLOOKUP($A120, LS_previous!$B$4:$AY$138, LS_previous!E$149, FALSE), VLOOKUP('Staging Table'!$A120, LS_previous!$B$4:$AY$138,LS_previous!AC$149, FALSE))/2)</f>
        <v>0</v>
      </c>
      <c r="N120" s="227">
        <f t="array" ref="N120">IF($G120=0, INDEX(LS_previous!$D$4:$AY$138, MATCH('Staging Table'!$A120, LS_previous!$B$4:$B$138, 0), MATCH(N$4&amp;N$5, LS_previous!$D$2:$AY$2&amp;LS_previous!$D$3:$AY$3, 0)),SUM(VLOOKUP($A120, LS_previous!$B$4:$AY$138, LS_previous!F$149, FALSE), VLOOKUP('Staging Table'!$A120, LS_previous!$B$4:$AY$138,LS_previous!AD$149, FALSE))/2)</f>
        <v>0</v>
      </c>
      <c r="O120" s="227">
        <f t="array" ref="O120">IF($G120=0, INDEX(LS_previous!$D$4:$AY$138, MATCH('Staging Table'!$A120, LS_previous!$B$4:$B$138, 0), MATCH(O$4&amp;O$5, LS_previous!$D$2:$AY$2&amp;LS_previous!$D$3:$AY$3, 0)),SUM(VLOOKUP($A120, LS_previous!$B$4:$AY$138, LS_previous!G$149, FALSE), VLOOKUP('Staging Table'!$A120, LS_previous!$B$4:$AY$138,LS_previous!AE$149, FALSE))/2)</f>
        <v>0</v>
      </c>
      <c r="P120" s="227">
        <f t="array" ref="P120">IF($G120=0, INDEX(LS_previous!$D$4:$AY$138, MATCH('Staging Table'!$A120, LS_previous!$B$4:$B$138, 0), MATCH(P$4&amp;P$5, LS_previous!$D$2:$AY$2&amp;LS_previous!$D$3:$AY$3, 0)),SUM(VLOOKUP($A120, LS_previous!$B$4:$AY$138, LS_previous!H$149, FALSE), VLOOKUP('Staging Table'!$A120, LS_previous!$B$4:$AY$138,LS_previous!AF$149, FALSE))/2)</f>
        <v>0</v>
      </c>
      <c r="Q120" s="227">
        <f t="array" ref="Q120">IF($G120=0, INDEX(LS_previous!$D$4:$AY$138, MATCH('Staging Table'!$A120, LS_previous!$B$4:$B$138, 0), MATCH(Q$4&amp;Q$5, LS_previous!$D$2:$AY$2&amp;LS_previous!$D$3:$AY$3, 0)),SUM(VLOOKUP($A120, LS_previous!$B$4:$AY$138, LS_previous!I$149, FALSE), VLOOKUP('Staging Table'!$A120, LS_previous!$B$4:$AY$138,LS_previous!AG$149, FALSE))/2)</f>
        <v>0</v>
      </c>
      <c r="R120" s="227">
        <f t="array" ref="R120">IF($G120=0, INDEX(LS_previous!$D$4:$AY$138, MATCH('Staging Table'!$A120, LS_previous!$B$4:$B$138, 0), MATCH(R$4&amp;R$5, LS_previous!$D$2:$AY$2&amp;LS_previous!$D$3:$AY$3, 0)),SUM(VLOOKUP($A120, LS_previous!$B$4:$AY$138, LS_previous!J$149, FALSE), VLOOKUP('Staging Table'!$A120, LS_previous!$B$4:$AY$138,LS_previous!AH$149, FALSE))/2)</f>
        <v>0</v>
      </c>
      <c r="S120" s="227">
        <f t="array" ref="S120">IF($G120=0, INDEX(LS_previous!$D$4:$AY$138, MATCH('Staging Table'!$A120, LS_previous!$B$4:$B$138, 0), MATCH(S$4&amp;S$5, LS_previous!$D$2:$AY$2&amp;LS_previous!$D$3:$AY$3, 0)),SUM(VLOOKUP($A120, LS_previous!$B$4:$AY$138, LS_previous!K$149, FALSE), VLOOKUP('Staging Table'!$A120, LS_previous!$B$4:$AY$138,LS_previous!AI$149, FALSE))/2)</f>
        <v>0</v>
      </c>
      <c r="T120" s="227">
        <f t="array" ref="T120">IF($G120=0, INDEX(LS_previous!$D$4:$AY$138, MATCH('Staging Table'!$A120, LS_previous!$B$4:$B$138, 0), MATCH(T$4&amp;T$5, LS_previous!$D$2:$AY$2&amp;LS_previous!$D$3:$AY$3, 0)),SUM(VLOOKUP($A120, LS_previous!$B$4:$AY$138, LS_previous!L$149, FALSE), VLOOKUP('Staging Table'!$A120, LS_previous!$B$4:$AY$138,LS_previous!AJ$149, FALSE))/2)</f>
        <v>0</v>
      </c>
      <c r="U120" s="227">
        <f t="array" ref="U120">IF($G120=0, INDEX(LS_previous!$D$4:$AY$138, MATCH('Staging Table'!$A120, LS_previous!$B$4:$B$138, 0), MATCH(U$4&amp;U$5, LS_previous!$D$2:$AY$2&amp;LS_previous!$D$3:$AY$3, 0)),SUM(VLOOKUP($A120, LS_previous!$B$4:$AY$138, LS_previous!M$149, FALSE), VLOOKUP('Staging Table'!$A120, LS_previous!$B$4:$AY$138,LS_previous!AK$149, FALSE))/2)</f>
        <v>0</v>
      </c>
      <c r="V120" s="227">
        <f t="array" ref="V120">IF($G120=0, INDEX(LS_previous!$D$4:$AY$138, MATCH('Staging Table'!$A120, LS_previous!$B$4:$B$138, 0), MATCH(V$4&amp;V$5, LS_previous!$D$2:$AY$2&amp;LS_previous!$D$3:$AY$3, 0)),SUM(VLOOKUP($A120, LS_previous!$B$4:$AY$138, LS_previous!N$149, FALSE), VLOOKUP('Staging Table'!$A120, LS_previous!$B$4:$AY$138,LS_previous!AL$149, FALSE))/2)</f>
        <v>0</v>
      </c>
      <c r="W120" s="227">
        <f t="array" ref="W120">IF($G120=0, INDEX(LS_previous!$D$4:$AY$138, MATCH('Staging Table'!$A120, LS_previous!$B$4:$B$138, 0), MATCH(W$4&amp;W$5, LS_previous!$D$2:$AY$2&amp;LS_previous!$D$3:$AY$3, 0)),SUM(VLOOKUP($A120, LS_previous!$B$4:$AY$138, LS_previous!O$149, FALSE), VLOOKUP('Staging Table'!$A120, LS_previous!$B$4:$AY$138,LS_previous!AM$149, FALSE))/2)</f>
        <v>0</v>
      </c>
      <c r="X120" s="227">
        <f t="array" ref="X120">IF($G120=0, INDEX(LS_previous!$D$4:$AY$138, MATCH('Staging Table'!$A120, LS_previous!$B$4:$B$138, 0), MATCH(X$4&amp;X$5, LS_previous!$D$2:$AY$2&amp;LS_previous!$D$3:$AY$3, 0)),SUM(VLOOKUP($A120, LS_previous!$B$4:$AY$138, LS_previous!P$149, FALSE), VLOOKUP('Staging Table'!$A120, LS_previous!$B$4:$AY$138,LS_previous!AN$149, FALSE))/2)</f>
        <v>0</v>
      </c>
      <c r="Y120" s="227">
        <f t="array" ref="Y120">IF($G120=0, INDEX(LS_previous!$D$4:$AY$138, MATCH('Staging Table'!$A120, LS_previous!$B$4:$B$138, 0), MATCH(Y$4&amp;Y$5, LS_previous!$D$2:$AY$2&amp;LS_previous!$D$3:$AY$3, 0)),SUM(VLOOKUP($A120, LS_previous!$B$4:$AY$138, LS_previous!Q$149, FALSE), VLOOKUP('Staging Table'!$A120, LS_previous!$B$4:$AY$138,LS_previous!AO$149, FALSE))/2)</f>
        <v>0</v>
      </c>
      <c r="Z120" s="227">
        <f t="array" ref="Z120">IF($G120=0, INDEX(LS_previous!$D$4:$AY$138, MATCH('Staging Table'!$A120, LS_previous!$B$4:$B$138, 0), MATCH(Z$4&amp;Z$5, LS_previous!$D$2:$AY$2&amp;LS_previous!$D$3:$AY$3, 0)),SUM(VLOOKUP($A120, LS_previous!$B$4:$AY$138, LS_previous!R$149, FALSE), VLOOKUP('Staging Table'!$A120, LS_previous!$B$4:$AY$138,LS_previous!AP$149, FALSE))/2)</f>
        <v>0</v>
      </c>
      <c r="AA120" s="227">
        <f t="array" ref="AA120">IF($G120=0, INDEX(LS_previous!$D$4:$AY$138, MATCH('Staging Table'!$A120, LS_previous!$B$4:$B$138, 0), MATCH(AA$4&amp;AA$5, LS_previous!$D$2:$AY$2&amp;LS_previous!$D$3:$AY$3, 0)),SUM(VLOOKUP($A120, LS_previous!$B$4:$AY$138, LS_previous!S$149, FALSE), VLOOKUP('Staging Table'!$A120, LS_previous!$B$4:$AY$138,LS_previous!AQ$149, FALSE))/2)</f>
        <v>0</v>
      </c>
      <c r="AB120" s="227">
        <f t="array" ref="AB120">IF($G120=0, INDEX(LS_previous!$D$4:$AY$138, MATCH('Staging Table'!$A120, LS_previous!$B$4:$B$138, 0), MATCH(AB$4&amp;AB$5, LS_previous!$D$2:$AY$2&amp;LS_previous!$D$3:$AY$3, 0)),SUM(VLOOKUP($A120, LS_previous!$B$4:$AY$138, LS_previous!T$149, FALSE), VLOOKUP('Staging Table'!$A120, LS_previous!$B$4:$AY$138,LS_previous!AR$149, FALSE))/2)</f>
        <v>0</v>
      </c>
      <c r="AC120" s="227">
        <f t="array" ref="AC120">IF($G120=0, INDEX(LS_previous!$D$4:$AY$138, MATCH('Staging Table'!$A120, LS_previous!$B$4:$B$138, 0), MATCH(AC$4&amp;AC$5, LS_previous!$D$2:$AY$2&amp;LS_previous!$D$3:$AY$3, 0)),SUM(VLOOKUP($A120, LS_previous!$B$4:$AY$138, LS_previous!U$149, FALSE), VLOOKUP('Staging Table'!$A120, LS_previous!$B$4:$AY$138,LS_previous!AS$149, FALSE))/2)</f>
        <v>0</v>
      </c>
      <c r="AD120" s="227">
        <f t="array" ref="AD120">IF($G120=0, INDEX(LS_previous!$D$4:$AY$138, MATCH('Staging Table'!$A120, LS_previous!$B$4:$B$138, 0), MATCH(AD$4&amp;AD$5, LS_previous!$D$2:$AY$2&amp;LS_previous!$D$3:$AY$3, 0)),SUM(VLOOKUP($A120, LS_previous!$B$4:$AY$138, LS_previous!V$149, FALSE), VLOOKUP('Staging Table'!$A120, LS_previous!$B$4:$AY$138,LS_previous!AT$149, FALSE))/2)</f>
        <v>0</v>
      </c>
      <c r="AE120" s="227">
        <f t="array" ref="AE120">IF($G120=0, INDEX(LS_previous!$D$4:$AY$138, MATCH('Staging Table'!$A120, LS_previous!$B$4:$B$138, 0), MATCH(AE$4&amp;AE$5, LS_previous!$D$2:$AY$2&amp;LS_previous!$D$3:$AY$3, 0)),SUM(VLOOKUP($A120, LS_previous!$B$4:$AY$138, LS_previous!W$149, FALSE), VLOOKUP('Staging Table'!$A120, LS_previous!$B$4:$AY$138,LS_previous!AU$149, FALSE))/2)</f>
        <v>0</v>
      </c>
      <c r="AF120" s="227">
        <f t="array" ref="AF120">IF($G120=0, INDEX(LS_previous!$D$4:$AY$138, MATCH('Staging Table'!$A120, LS_previous!$B$4:$B$138, 0), MATCH(AF$4&amp;AF$5, LS_previous!$D$2:$AY$2&amp;LS_previous!$D$3:$AY$3, 0)),SUM(VLOOKUP($A120, LS_previous!$B$4:$AY$138, LS_previous!X$149, FALSE), VLOOKUP('Staging Table'!$A120, LS_previous!$B$4:$AY$138,LS_previous!AV$149, FALSE))/2)</f>
        <v>0</v>
      </c>
      <c r="AG120" s="227">
        <f t="array" ref="AG120">IF($G120=0, INDEX(LS_previous!$D$4:$AY$138, MATCH('Staging Table'!$A120, LS_previous!$B$4:$B$138, 0), MATCH(AG$4&amp;AG$5, LS_previous!$D$2:$AY$2&amp;LS_previous!$D$3:$AY$3, 0)),SUM(VLOOKUP($A120, LS_previous!$B$4:$AY$138, LS_previous!Y$149, FALSE), VLOOKUP('Staging Table'!$A120, LS_previous!$B$4:$AY$138,LS_previous!AW$149, FALSE))/2)</f>
        <v>0</v>
      </c>
      <c r="AH120" s="227">
        <f t="array" ref="AH120">IF($G120=0, INDEX(LS_previous!$D$4:$AY$138, MATCH('Staging Table'!$A120, LS_previous!$B$4:$B$138, 0), MATCH(AH$4&amp;AH$5, LS_previous!$D$2:$AY$2&amp;LS_previous!$D$3:$AY$3, 0)),SUM(VLOOKUP($A120, LS_previous!$B$4:$AY$138, LS_previous!Z$149, FALSE), VLOOKUP('Staging Table'!$A120, LS_previous!$B$4:$AY$138,LS_previous!AX$149, FALSE))/2)</f>
        <v>0</v>
      </c>
      <c r="AI120" s="227">
        <f t="array" ref="AI120">IF($G120=0, INDEX(LS_previous!$D$4:$AY$138, MATCH('Staging Table'!$A120, LS_previous!$B$4:$B$138, 0), MATCH(AI$4&amp;AI$5, LS_previous!$D$2:$AY$2&amp;LS_previous!$D$3:$AY$3, 0)),SUM(VLOOKUP($A120, LS_previous!$B$4:$AY$138, LS_previous!AA$149, FALSE), VLOOKUP('Staging Table'!$A120, LS_previous!$B$4:$AY$138,LS_previous!AY$149, FALSE))/2)</f>
        <v>0</v>
      </c>
      <c r="AJ120" s="424">
        <f t="array" ref="AJ120">INDEX(Demand_previous!$D$4:$AY$138, MATCH('Staging Table'!$A120, Demand_previous!$B$4:$B$138, 0), MATCH(AJ$4&amp;AJ$5,Demand_previous!$D$2:$AY$2&amp;Demand_previous!$D$3:$AY$3, 0))/1000</f>
        <v>0</v>
      </c>
      <c r="AK120" s="424">
        <f t="array" ref="AK120">INDEX(Demand_previous!$D$4:$AY$138, MATCH('Staging Table'!$A120, Demand_previous!$B$4:$B$138, 0), MATCH(AK$4&amp;AK$5,Demand_previous!$D$2:$AY$2&amp;Demand_previous!$D$3:$AY$3, 0))/1000</f>
        <v>0</v>
      </c>
      <c r="AL120" s="424">
        <f t="array" ref="AL120">INDEX(Demand_previous!$D$4:$AY$138, MATCH('Staging Table'!$A120, Demand_previous!$B$4:$B$138, 0), MATCH(AL$4&amp;AL$5,Demand_previous!$D$2:$AY$2&amp;Demand_previous!$D$3:$AY$3, 0))/1000</f>
        <v>0</v>
      </c>
      <c r="AM120" s="424">
        <f t="array" ref="AM120">INDEX(Demand_previous!$D$4:$AY$138, MATCH('Staging Table'!$A120, Demand_previous!$B$4:$B$138, 0), MATCH(AM$4&amp;AM$5,Demand_previous!$D$2:$AY$2&amp;Demand_previous!$D$3:$AY$3, 0))/1000</f>
        <v>0</v>
      </c>
      <c r="AN120" s="424">
        <f t="array" ref="AN120">INDEX(Demand_previous!$D$4:$AY$138, MATCH('Staging Table'!$A120, Demand_previous!$B$4:$B$138, 0), MATCH(AN$4&amp;AN$5,Demand_previous!$D$2:$AY$2&amp;Demand_previous!$D$3:$AY$3, 0))/1000</f>
        <v>0</v>
      </c>
      <c r="AO120" s="424">
        <f t="array" ref="AO120">INDEX(Demand_previous!$D$4:$AY$138, MATCH('Staging Table'!$A120, Demand_previous!$B$4:$B$138, 0), MATCH(AO$4&amp;AO$5,Demand_previous!$D$2:$AY$2&amp;Demand_previous!$D$3:$AY$3, 0))/1000</f>
        <v>0</v>
      </c>
      <c r="AP120" s="424">
        <f t="array" ref="AP120">INDEX(Demand_previous!$D$4:$AY$138, MATCH('Staging Table'!$A120, Demand_previous!$B$4:$B$138, 0), MATCH(AP$4&amp;AP$5,Demand_previous!$D$2:$AY$2&amp;Demand_previous!$D$3:$AY$3, 0))/1000</f>
        <v>0</v>
      </c>
      <c r="AQ120" s="424">
        <f t="array" ref="AQ120">INDEX(Demand_previous!$D$4:$AY$138, MATCH('Staging Table'!$A120, Demand_previous!$B$4:$B$138, 0), MATCH(AQ$4&amp;AQ$5,Demand_previous!$D$2:$AY$2&amp;Demand_previous!$D$3:$AY$3, 0))/1000</f>
        <v>0</v>
      </c>
      <c r="AR120" s="424">
        <f t="array" ref="AR120">INDEX(Demand_previous!$D$4:$AY$138, MATCH('Staging Table'!$A120, Demand_previous!$B$4:$B$138, 0), MATCH(AR$4&amp;AR$5,Demand_previous!$D$2:$AY$2&amp;Demand_previous!$D$3:$AY$3, 0))/1000</f>
        <v>0</v>
      </c>
      <c r="AS120" s="424">
        <f t="array" ref="AS120">INDEX(Demand_previous!$D$4:$AY$138, MATCH('Staging Table'!$A120, Demand_previous!$B$4:$B$138, 0), MATCH(AS$4&amp;AS$5,Demand_previous!$D$2:$AY$2&amp;Demand_previous!$D$3:$AY$3, 0))/1000</f>
        <v>0</v>
      </c>
      <c r="AT120" s="424">
        <f t="array" ref="AT120">INDEX(Demand_previous!$D$4:$AY$138, MATCH('Staging Table'!$A120, Demand_previous!$B$4:$B$138, 0), MATCH(AT$4&amp;AT$5,Demand_previous!$D$2:$AY$2&amp;Demand_previous!$D$3:$AY$3, 0))/1000</f>
        <v>0</v>
      </c>
      <c r="AU120" s="424">
        <f t="array" ref="AU120">INDEX(Demand_previous!$D$4:$AY$138, MATCH('Staging Table'!$A120, Demand_previous!$B$4:$B$138, 0), MATCH(AU$4&amp;AU$5,Demand_previous!$D$2:$AY$2&amp;Demand_previous!$D$3:$AY$3, 0))/1000</f>
        <v>0</v>
      </c>
      <c r="AV120" s="227">
        <f>$F120*(VLOOKUP(AV$4, Rates_previous!$G$6:$Q$29, 10, FALSE)+VLOOKUP(AV$4, Rates_previous!$G$6:$Q$29, 11, FALSE))</f>
        <v>75215.990965371166</v>
      </c>
      <c r="AW120" s="227">
        <f>$F120*(VLOOKUP(AW$4, Rates_previous!$G$6:$Q$29, 10, FALSE)+VLOOKUP(AW$4, Rates_previous!$G$6:$Q$29, 11, FALSE))</f>
        <v>92961.248114925911</v>
      </c>
      <c r="AX120" s="227">
        <f>$F120*(VLOOKUP(AX$4, Rates_previous!$G$6:$Q$29, 10, FALSE)+VLOOKUP(AX$4, Rates_previous!$G$6:$Q$29, 11, FALSE))</f>
        <v>91844.894712088979</v>
      </c>
      <c r="AY120" s="227">
        <f>$F120*(VLOOKUP(AY$4, Rates_previous!$G$6:$Q$29, 10, FALSE)+VLOOKUP(AY$4, Rates_previous!$G$6:$Q$29, 11, FALSE))</f>
        <v>78472.70826718914</v>
      </c>
      <c r="AZ120" s="227">
        <f>$F120*(VLOOKUP(AZ$4, Rates_previous!$G$6:$Q$29, 10, FALSE)+VLOOKUP(AZ$4, Rates_previous!$G$6:$Q$29, 11, FALSE))</f>
        <v>64332.399337792442</v>
      </c>
      <c r="BA120" s="227">
        <f>$F120*(VLOOKUP(BA$4, Rates_previous!$G$6:$Q$29, 10, FALSE)+VLOOKUP(BA$4, Rates_previous!$G$6:$Q$29, 11, FALSE))</f>
        <v>76167.224046336865</v>
      </c>
      <c r="BB120" s="227">
        <f>$F120*(VLOOKUP(BB$4, Rates_previous!$G$6:$Q$29, 10, FALSE)+VLOOKUP(BB$4, Rates_previous!$G$6:$Q$29, 11, FALSE))</f>
        <v>73207.781507196894</v>
      </c>
      <c r="BC120" s="227">
        <f>$F120*(VLOOKUP(BC$4, Rates_previous!$G$6:$Q$29, 10, FALSE)+VLOOKUP(BC$4, Rates_previous!$G$6:$Q$29, 11, FALSE))</f>
        <v>107427.23897805263</v>
      </c>
      <c r="BD120" s="227">
        <f>$F120*(VLOOKUP(BD$4, Rates_previous!$G$6:$Q$29, 10, FALSE)+VLOOKUP(BD$4, Rates_previous!$G$6:$Q$29, 11, FALSE))</f>
        <v>84757.252217147223</v>
      </c>
      <c r="BE120" s="227">
        <f>$F120*(VLOOKUP(BE$4, Rates_previous!$G$6:$Q$29, 10, FALSE)+VLOOKUP(BE$4, Rates_previous!$G$6:$Q$29, 11, FALSE))</f>
        <v>74423.98159156341</v>
      </c>
      <c r="BF120" s="227">
        <f>$F120*(VLOOKUP(BF$4, Rates_previous!$G$6:$Q$29, 10, FALSE)+VLOOKUP(BF$4, Rates_previous!$G$6:$Q$29, 11, FALSE))</f>
        <v>82427.538634417855</v>
      </c>
      <c r="BG120" s="227">
        <f>$F120*(VLOOKUP(BG$4, Rates_previous!$G$6:$Q$29, 10, FALSE)+VLOOKUP(BG$4, Rates_previous!$G$6:$Q$29, 11, FALSE))</f>
        <v>74676.072065011875</v>
      </c>
      <c r="BH120" s="229">
        <f>IF($D120=0,IF(C120=0, MAX(BK120 - (VLOOKUP($A120,TOCA_previous!$A$2:$AI$137,MATCH("RHWM 2018",TOCA_previous!$A$2:$AI$2,0),FALSE)*$F$2*TOCA_previous!C117),0),0), 0)</f>
        <v>0</v>
      </c>
      <c r="BI120" s="266">
        <f>VLOOKUP($A120,REP_previous!$A$1:$D$135,MATCH("FY "&amp;$F$1&amp; " Total Refund",REP_previous!$A$1:$D$1,0),0)</f>
        <v>1194203.9412840679</v>
      </c>
      <c r="BJ120" s="241">
        <f>MIN(VLOOKUP($A120,TOCA_previous!$A$2:$AI$137,MATCH("TRL - NLSL - Existing Resource "&amp;$F$1,TOCA_previous!$A$2:$AI$2,0),FALSE)*$F$2,(VLOOKUP($A120,TOCA_previous!$A$2:$AI$137,MATCH("RHWM 2018",TOCA_previous!$A$2:$AI$2,0),FALSE)*$F$2))</f>
        <v>975916.56</v>
      </c>
      <c r="BK120" s="229">
        <f>SUM(L120:AI120)+(F120*RT1SC!$C$3*$F$2)</f>
        <v>975914.34467483987</v>
      </c>
      <c r="BL120" s="241">
        <f>VLOOKUP($A120,TOCA_previous!$A$2:$AI$137,MATCH("Above RHWM Not Served with LS "&amp;$F$1,TOCA_previous!$A$2:$AI$2,0),FALSE)*$F$2</f>
        <v>609853.67999999993</v>
      </c>
      <c r="BM120" s="151">
        <f t="shared" si="21"/>
        <v>-2.2153251601848751</v>
      </c>
      <c r="BN120" s="242">
        <f>(VLOOKUP($A120,TOCA_previous!$A$2:$AI$137,MATCH("RHWM 2018",TOCA_previous!$A$2:$AI$2,0),FALSE)*$F$2) - $BJ120</f>
        <v>0</v>
      </c>
      <c r="BO120" s="151">
        <f t="shared" si="22"/>
        <v>0</v>
      </c>
      <c r="BP120" s="243">
        <f t="shared" si="23"/>
        <v>0</v>
      </c>
      <c r="BQ120" s="237">
        <f t="shared" si="24"/>
        <v>0</v>
      </c>
      <c r="BR120" s="242">
        <f t="shared" si="25"/>
        <v>0</v>
      </c>
      <c r="BS120" s="151">
        <f>VLOOKUP($A120,TOCA_current!$A$2:$AI$137,MATCH(BS$4,TOCA_current!$A$2:$AI$2,0),FALSE)</f>
        <v>1.6032999999999999E-2</v>
      </c>
      <c r="BT120" s="151">
        <f>VLOOKUP($A120,TOCA_current!$A$2:$AI$137,MATCH(BT$4,TOCA_current!$A$2:$AI$2,0),FALSE)</f>
        <v>1.6032999999999999E-2</v>
      </c>
      <c r="BU120" s="236">
        <f t="shared" si="26"/>
        <v>0</v>
      </c>
      <c r="BV120" s="151">
        <f>VLOOKUP($A120,TOCA_current!A116:BG251,MATCH(BV$4,TOCA_current!$A$2:$BG$2,0),FALSE)</f>
        <v>0.1075348</v>
      </c>
      <c r="BW120" s="151">
        <f t="shared" si="27"/>
        <v>0.1075348</v>
      </c>
      <c r="BX120" s="151">
        <f t="shared" si="28"/>
        <v>1.6032999999999999E-2</v>
      </c>
      <c r="BY120" s="226">
        <f>VLOOKUP($A120,IRD!$A$4:$G$139, 7, FALSE)</f>
        <v>228772.42700000003</v>
      </c>
      <c r="BZ120" s="227">
        <f t="array" ref="BZ120">IF($BU120=0, INDEX(LS_current!$D$4:$AY$138, MATCH('Staging Table'!$A120, LS_current!$B$4:$B$138, 0), MATCH(BZ$4&amp;BZ$5, LS_current!$D$2:$AY$2&amp;LS_current!$D$3:$AY$3, 0)),SUM(VLOOKUP($A120, LS_current!$B$4:$AY$138, LS_current!D$148, FALSE), VLOOKUP($A120, LS_current!$B$4:$AY$138,LS_current!D$148, FALSE))/2)</f>
        <v>0</v>
      </c>
      <c r="CA120" s="227">
        <f t="array" ref="CA120">IF($BU120=0, INDEX(LS_current!$D$4:$AY$138, MATCH('Staging Table'!$A120, LS_current!$B$4:$B$138, 0), MATCH(CA$4&amp;CA$5, LS_current!$D$2:$AY$2&amp;LS_current!$D$3:$AY$3, 0)),SUM(VLOOKUP($A120, LS_current!$B$4:$AY$138, LS_current!E$148, FALSE), VLOOKUP($A120, LS_current!$B$4:$AY$138,LS_current!E$148, FALSE))/2)</f>
        <v>0</v>
      </c>
      <c r="CB120" s="227">
        <f t="array" ref="CB120">IF($BU120=0, INDEX(LS_current!$D$4:$AY$138, MATCH('Staging Table'!$A120, LS_current!$B$4:$B$138, 0), MATCH(CB$4&amp;CB$5, LS_current!$D$2:$AY$2&amp;LS_current!$D$3:$AY$3, 0)),SUM(VLOOKUP($A120, LS_current!$B$4:$AY$138, LS_current!F$148, FALSE), VLOOKUP($A120, LS_current!$B$4:$AY$138,LS_current!F$148, FALSE))/2)</f>
        <v>0</v>
      </c>
      <c r="CC120" s="227">
        <f t="array" ref="CC120">IF($BU120=0, INDEX(LS_current!$D$4:$AY$138, MATCH('Staging Table'!$A120, LS_current!$B$4:$B$138, 0), MATCH(CC$4&amp;CC$5, LS_current!$D$2:$AY$2&amp;LS_current!$D$3:$AY$3, 0)),SUM(VLOOKUP($A120, LS_current!$B$4:$AY$138, LS_current!G$148, FALSE), VLOOKUP($A120, LS_current!$B$4:$AY$138,LS_current!G$148, FALSE))/2)</f>
        <v>0</v>
      </c>
      <c r="CD120" s="227">
        <f t="array" ref="CD120">IF($BU120=0, INDEX(LS_current!$D$4:$AY$138, MATCH('Staging Table'!$A120, LS_current!$B$4:$B$138, 0), MATCH(CD$4&amp;CD$5, LS_current!$D$2:$AY$2&amp;LS_current!$D$3:$AY$3, 0)),SUM(VLOOKUP($A120, LS_current!$B$4:$AY$138, LS_current!H$148, FALSE), VLOOKUP($A120, LS_current!$B$4:$AY$138,LS_current!H$148, FALSE))/2)</f>
        <v>0</v>
      </c>
      <c r="CE120" s="227">
        <f t="array" ref="CE120">IF($BU120=0, INDEX(LS_current!$D$4:$AY$138, MATCH('Staging Table'!$A120, LS_current!$B$4:$B$138, 0), MATCH(CE$4&amp;CE$5, LS_current!$D$2:$AY$2&amp;LS_current!$D$3:$AY$3, 0)),SUM(VLOOKUP($A120, LS_current!$B$4:$AY$138, LS_current!I$148, FALSE), VLOOKUP($A120, LS_current!$B$4:$AY$138,LS_current!I$148, FALSE))/2)</f>
        <v>0</v>
      </c>
      <c r="CF120" s="227">
        <f t="array" ref="CF120">IF($BU120=0, INDEX(LS_current!$D$4:$AY$138, MATCH('Staging Table'!$A120, LS_current!$B$4:$B$138, 0), MATCH(CF$4&amp;CF$5, LS_current!$D$2:$AY$2&amp;LS_current!$D$3:$AY$3, 0)),SUM(VLOOKUP($A120, LS_current!$B$4:$AY$138, LS_current!J$148, FALSE), VLOOKUP($A120, LS_current!$B$4:$AY$138,LS_current!J$148, FALSE))/2)</f>
        <v>0</v>
      </c>
      <c r="CG120" s="227">
        <f t="array" ref="CG120">IF($BU120=0, INDEX(LS_current!$D$4:$AY$138, MATCH('Staging Table'!$A120, LS_current!$B$4:$B$138, 0), MATCH(CG$4&amp;CG$5, LS_current!$D$2:$AY$2&amp;LS_current!$D$3:$AY$3, 0)),SUM(VLOOKUP($A120, LS_current!$B$4:$AY$138, LS_current!K$148, FALSE), VLOOKUP($A120, LS_current!$B$4:$AY$138,LS_current!K$148, FALSE))/2)</f>
        <v>0</v>
      </c>
      <c r="CH120" s="227">
        <f t="array" ref="CH120">IF($BU120=0, INDEX(LS_current!$D$4:$AY$138, MATCH('Staging Table'!$A120, LS_current!$B$4:$B$138, 0), MATCH(CH$4&amp;CH$5, LS_current!$D$2:$AY$2&amp;LS_current!$D$3:$AY$3, 0)),SUM(VLOOKUP($A120, LS_current!$B$4:$AY$138, LS_current!L$148, FALSE), VLOOKUP($A120, LS_current!$B$4:$AY$138,LS_current!L$148, FALSE))/2)</f>
        <v>0</v>
      </c>
      <c r="CI120" s="227">
        <f t="array" ref="CI120">IF($BU120=0, INDEX(LS_current!$D$4:$AY$138, MATCH('Staging Table'!$A120, LS_current!$B$4:$B$138, 0), MATCH(CI$4&amp;CI$5, LS_current!$D$2:$AY$2&amp;LS_current!$D$3:$AY$3, 0)),SUM(VLOOKUP($A120, LS_current!$B$4:$AY$138, LS_current!M$148, FALSE), VLOOKUP($A120, LS_current!$B$4:$AY$138,LS_current!M$148, FALSE))/2)</f>
        <v>0</v>
      </c>
      <c r="CJ120" s="227">
        <f t="array" ref="CJ120">IF($BU120=0, INDEX(LS_current!$D$4:$AY$138, MATCH('Staging Table'!$A120, LS_current!$B$4:$B$138, 0), MATCH(CJ$4&amp;CJ$5, LS_current!$D$2:$AY$2&amp;LS_current!$D$3:$AY$3, 0)),SUM(VLOOKUP($A120, LS_current!$B$4:$AY$138, LS_current!N$148, FALSE), VLOOKUP($A120, LS_current!$B$4:$AY$138,LS_current!N$148, FALSE))/2)</f>
        <v>0</v>
      </c>
      <c r="CK120" s="227">
        <f t="array" ref="CK120">IF($BU120=0, INDEX(LS_current!$D$4:$AY$138, MATCH('Staging Table'!$A120, LS_current!$B$4:$B$138, 0), MATCH(CK$4&amp;CK$5, LS_current!$D$2:$AY$2&amp;LS_current!$D$3:$AY$3, 0)),SUM(VLOOKUP($A120, LS_current!$B$4:$AY$138, LS_current!O$148, FALSE), VLOOKUP($A120, LS_current!$B$4:$AY$138,LS_current!O$148, FALSE))/2)</f>
        <v>0</v>
      </c>
      <c r="CL120" s="227">
        <f t="array" ref="CL120">IF($BU120=0, INDEX(LS_current!$D$4:$AY$138, MATCH('Staging Table'!$A120, LS_current!$B$4:$B$138, 0), MATCH(CL$4&amp;CL$5, LS_current!$D$2:$AY$2&amp;LS_current!$D$3:$AY$3, 0)),SUM(VLOOKUP($A120, LS_current!$B$4:$AY$138, LS_current!P$148, FALSE), VLOOKUP($A120, LS_current!$B$4:$AY$138,LS_current!P$148, FALSE))/2)</f>
        <v>0</v>
      </c>
      <c r="CM120" s="227">
        <f t="array" ref="CM120">IF($BU120=0, INDEX(LS_current!$D$4:$AY$138, MATCH('Staging Table'!$A120, LS_current!$B$4:$B$138, 0), MATCH(CM$4&amp;CM$5, LS_current!$D$2:$AY$2&amp;LS_current!$D$3:$AY$3, 0)),SUM(VLOOKUP($A120, LS_current!$B$4:$AY$138, LS_current!Q$148, FALSE), VLOOKUP($A120, LS_current!$B$4:$AY$138,LS_current!Q$148, FALSE))/2)</f>
        <v>0</v>
      </c>
      <c r="CN120" s="227">
        <f t="array" ref="CN120">IF($BU120=0, INDEX(LS_current!$D$4:$AY$138, MATCH('Staging Table'!$A120, LS_current!$B$4:$B$138, 0), MATCH(CN$4&amp;CN$5, LS_current!$D$2:$AY$2&amp;LS_current!$D$3:$AY$3, 0)),SUM(VLOOKUP($A120, LS_current!$B$4:$AY$138, LS_current!R$148, FALSE), VLOOKUP($A120, LS_current!$B$4:$AY$138,LS_current!R$148, FALSE))/2)</f>
        <v>0</v>
      </c>
      <c r="CO120" s="227">
        <f t="array" ref="CO120">IF($BU120=0, INDEX(LS_current!$D$4:$AY$138, MATCH('Staging Table'!$A120, LS_current!$B$4:$B$138, 0), MATCH(CO$4&amp;CO$5, LS_current!$D$2:$AY$2&amp;LS_current!$D$3:$AY$3, 0)),SUM(VLOOKUP($A120, LS_current!$B$4:$AY$138, LS_current!S$148, FALSE), VLOOKUP($A120, LS_current!$B$4:$AY$138,LS_current!S$148, FALSE))/2)</f>
        <v>0</v>
      </c>
      <c r="CP120" s="227">
        <f t="array" ref="CP120">IF($BU120=0, INDEX(LS_current!$D$4:$AY$138, MATCH('Staging Table'!$A120, LS_current!$B$4:$B$138, 0), MATCH(CP$4&amp;CP$5, LS_current!$D$2:$AY$2&amp;LS_current!$D$3:$AY$3, 0)),SUM(VLOOKUP($A120, LS_current!$B$4:$AY$138, LS_current!T$148, FALSE), VLOOKUP($A120, LS_current!$B$4:$AY$138,LS_current!T$148, FALSE))/2)</f>
        <v>0</v>
      </c>
      <c r="CQ120" s="227">
        <f t="array" ref="CQ120">IF($BU120=0, INDEX(LS_current!$D$4:$AY$138, MATCH('Staging Table'!$A120, LS_current!$B$4:$B$138, 0), MATCH(CQ$4&amp;CQ$5, LS_current!$D$2:$AY$2&amp;LS_current!$D$3:$AY$3, 0)),SUM(VLOOKUP($A120, LS_current!$B$4:$AY$138, LS_current!U$148, FALSE), VLOOKUP($A120, LS_current!$B$4:$AY$138,LS_current!U$148, FALSE))/2)</f>
        <v>0</v>
      </c>
      <c r="CR120" s="227">
        <f t="array" ref="CR120">IF($BU120=0, INDEX(LS_current!$D$4:$AY$138, MATCH('Staging Table'!$A120, LS_current!$B$4:$B$138, 0), MATCH(CR$4&amp;CR$5, LS_current!$D$2:$AY$2&amp;LS_current!$D$3:$AY$3, 0)),SUM(VLOOKUP($A120, LS_current!$B$4:$AY$138, LS_current!V$148, FALSE), VLOOKUP($A120, LS_current!$B$4:$AY$138,LS_current!V$148, FALSE))/2)</f>
        <v>0</v>
      </c>
      <c r="CS120" s="227">
        <f t="array" ref="CS120">IF($BU120=0, INDEX(LS_current!$D$4:$AY$138, MATCH('Staging Table'!$A120, LS_current!$B$4:$B$138, 0), MATCH(CS$4&amp;CS$5, LS_current!$D$2:$AY$2&amp;LS_current!$D$3:$AY$3, 0)),SUM(VLOOKUP($A120, LS_current!$B$4:$AY$138, LS_current!W$148, FALSE), VLOOKUP($A120, LS_current!$B$4:$AY$138,LS_current!W$148, FALSE))/2)</f>
        <v>0</v>
      </c>
      <c r="CT120" s="227">
        <f t="array" ref="CT120">IF($BU120=0, INDEX(LS_current!$D$4:$AY$138, MATCH('Staging Table'!$A120, LS_current!$B$4:$B$138, 0), MATCH(CT$4&amp;CT$5, LS_current!$D$2:$AY$2&amp;LS_current!$D$3:$AY$3, 0)),SUM(VLOOKUP($A120, LS_current!$B$4:$AY$138, LS_current!X$148, FALSE), VLOOKUP($A120, LS_current!$B$4:$AY$138,LS_current!X$148, FALSE))/2)</f>
        <v>0</v>
      </c>
      <c r="CU120" s="227">
        <f t="array" ref="CU120">IF($BU120=0, INDEX(LS_current!$D$4:$AY$138, MATCH('Staging Table'!$A120, LS_current!$B$4:$B$138, 0), MATCH(CU$4&amp;CU$5, LS_current!$D$2:$AY$2&amp;LS_current!$D$3:$AY$3, 0)),SUM(VLOOKUP($A120, LS_current!$B$4:$AY$138, LS_current!Y$148, FALSE), VLOOKUP($A120, LS_current!$B$4:$AY$138,LS_current!Y$148, FALSE))/2)</f>
        <v>0</v>
      </c>
      <c r="CV120" s="227">
        <f t="array" ref="CV120">IF($BU120=0, INDEX(LS_current!$D$4:$AY$138, MATCH('Staging Table'!$A120, LS_current!$B$4:$B$138, 0), MATCH(CV$4&amp;CV$5, LS_current!$D$2:$AY$2&amp;LS_current!$D$3:$AY$3, 0)),SUM(VLOOKUP($A120, LS_current!$B$4:$AY$138, LS_current!Z$148, FALSE), VLOOKUP($A120, LS_current!$B$4:$AY$138,LS_current!Z$148, FALSE))/2)</f>
        <v>0</v>
      </c>
      <c r="CW120" s="227">
        <f t="array" ref="CW120">IF($BU120=0, INDEX(LS_current!$D$4:$AY$138, MATCH('Staging Table'!$A120, LS_current!$B$4:$B$138, 0), MATCH(CW$4&amp;CW$5, LS_current!$D$2:$AY$2&amp;LS_current!$D$3:$AY$3, 0)),SUM(VLOOKUP($A120, LS_current!$B$4:$AY$138, LS_current!AA$148, FALSE), VLOOKUP($A120, LS_current!$B$4:$AY$138,LS_current!AA$148, FALSE))/2)</f>
        <v>0</v>
      </c>
      <c r="CX120" s="229">
        <f t="array" ref="CX120">INDEX(Demand_current!$D$4:$AY$138, MATCH($A120, Demand_current!$B$4:$B$138, 0), MATCH(CX$4&amp;CX$5,Demand_current!$D$2:$AY$2&amp;Demand_current!$D$3:$AY$3, 0))/1000</f>
        <v>0</v>
      </c>
      <c r="CY120" s="229">
        <f t="array" ref="CY120">INDEX(Demand_current!$D$4:$AY$138, MATCH($A120, Demand_current!$B$4:$B$138, 0), MATCH(CY$4&amp;CY$5,Demand_current!$D$2:$AY$2&amp;Demand_current!$D$3:$AY$3, 0))/1000</f>
        <v>0</v>
      </c>
      <c r="CZ120" s="229">
        <f t="array" ref="CZ120">INDEX(Demand_current!$D$4:$AY$138, MATCH($A120, Demand_current!$B$4:$B$138, 0), MATCH(CZ$4&amp;CZ$5,Demand_current!$D$2:$AY$2&amp;Demand_current!$D$3:$AY$3, 0))/1000</f>
        <v>0</v>
      </c>
      <c r="DA120" s="229">
        <f t="array" ref="DA120">INDEX(Demand_current!$D$4:$AY$138, MATCH($A120, Demand_current!$B$4:$B$138, 0), MATCH(DA$4&amp;DA$5,Demand_current!$D$2:$AY$2&amp;Demand_current!$D$3:$AY$3, 0))/1000</f>
        <v>0</v>
      </c>
      <c r="DB120" s="229">
        <f t="array" ref="DB120">INDEX(Demand_current!$D$4:$AY$138, MATCH($A120, Demand_current!$B$4:$B$138, 0), MATCH(DB$4&amp;DB$5,Demand_current!$D$2:$AY$2&amp;Demand_current!$D$3:$AY$3, 0))/1000</f>
        <v>0</v>
      </c>
      <c r="DC120" s="229">
        <f t="array" ref="DC120">INDEX(Demand_current!$D$4:$AY$138, MATCH($A120, Demand_current!$B$4:$B$138, 0), MATCH(DC$4&amp;DC$5,Demand_current!$D$2:$AY$2&amp;Demand_current!$D$3:$AY$3, 0))/1000</f>
        <v>0</v>
      </c>
      <c r="DD120" s="229">
        <f t="array" ref="DD120">INDEX(Demand_current!$D$4:$AY$138, MATCH($A120, Demand_current!$B$4:$B$138, 0), MATCH(DD$4&amp;DD$5,Demand_current!$D$2:$AY$2&amp;Demand_current!$D$3:$AY$3, 0))/1000</f>
        <v>0</v>
      </c>
      <c r="DE120" s="229">
        <f t="array" ref="DE120">INDEX(Demand_current!$D$4:$AY$138, MATCH($A120, Demand_current!$B$4:$B$138, 0), MATCH(DE$4&amp;DE$5,Demand_current!$D$2:$AY$2&amp;Demand_current!$D$3:$AY$3, 0))/1000</f>
        <v>0</v>
      </c>
      <c r="DF120" s="229">
        <f t="array" ref="DF120">INDEX(Demand_current!$D$4:$AY$138, MATCH($A120, Demand_current!$B$4:$B$138, 0), MATCH(DF$4&amp;DF$5,Demand_current!$D$2:$AY$2&amp;Demand_current!$D$3:$AY$3, 0))/1000</f>
        <v>0</v>
      </c>
      <c r="DG120" s="229">
        <f t="array" ref="DG120">INDEX(Demand_current!$D$4:$AY$138, MATCH($A120, Demand_current!$B$4:$B$138, 0), MATCH(DG$4&amp;DG$5,Demand_current!$D$2:$AY$2&amp;Demand_current!$D$3:$AY$3, 0))/1000</f>
        <v>0</v>
      </c>
      <c r="DH120" s="229">
        <f t="array" ref="DH120">INDEX(Demand_current!$D$4:$AY$138, MATCH($A120, Demand_current!$B$4:$B$138, 0), MATCH(DH$4&amp;DH$5,Demand_current!$D$2:$AY$2&amp;Demand_current!$D$3:$AY$3, 0))/1000</f>
        <v>0</v>
      </c>
      <c r="DI120" s="229">
        <f t="array" ref="DI120">INDEX(Demand_current!$D$4:$AY$138, MATCH($A120, Demand_current!$B$4:$B$138, 0), MATCH(DI$4&amp;DI$5,Demand_current!$D$2:$AY$2&amp;Demand_current!$D$3:$AY$3, 0))/1000</f>
        <v>0</v>
      </c>
      <c r="DJ120" s="227">
        <f>$BT120*(VLOOKUP(DJ$4, Rates_current!$G$6:$Q$29, 10, FALSE)+VLOOKUP(DJ$4, Rates_current!$G$6:$Q$29, 11, FALSE))</f>
        <v>74029.446603467979</v>
      </c>
      <c r="DK120" s="227">
        <f>$BT120*(VLOOKUP(DK$4, Rates_current!$G$6:$Q$29, 10, FALSE)+VLOOKUP(DK$4, Rates_current!$G$6:$Q$29, 11, FALSE))</f>
        <v>94040.491120886989</v>
      </c>
      <c r="DL120" s="227">
        <f>$BT120*(VLOOKUP(DL$4, Rates_current!$G$6:$Q$29, 10, FALSE)+VLOOKUP(DL$4, Rates_current!$G$6:$Q$29, 11, FALSE))</f>
        <v>92904.824942467996</v>
      </c>
      <c r="DM120" s="227">
        <f>$BT120*(VLOOKUP(DM$4, Rates_current!$G$6:$Q$29, 10, FALSE)+VLOOKUP(DM$4, Rates_current!$G$6:$Q$29, 11, FALSE))</f>
        <v>77441.830158468001</v>
      </c>
      <c r="DN120" s="227">
        <f>$BT120*(VLOOKUP(DN$4, Rates_current!$G$6:$Q$29, 10, FALSE)+VLOOKUP(DN$4, Rates_current!$G$6:$Q$29, 11, FALSE))</f>
        <v>70154.264154399993</v>
      </c>
      <c r="DO120" s="227">
        <f>$BT120*(VLOOKUP(DO$4, Rates_current!$G$6:$Q$29, 10, FALSE)+VLOOKUP(DO$4, Rates_current!$G$6:$Q$29, 11, FALSE))</f>
        <v>78033.828497920986</v>
      </c>
      <c r="DP120" s="227">
        <f>$BT120*(VLOOKUP(DP$4, Rates_current!$G$6:$Q$29, 10, FALSE)+VLOOKUP(DP$4, Rates_current!$G$6:$Q$29, 11, FALSE))</f>
        <v>63535.227369839995</v>
      </c>
      <c r="DQ120" s="227">
        <f>$BT120*(VLOOKUP(DQ$4, Rates_current!$G$6:$Q$29, 10, FALSE)+VLOOKUP(DQ$4, Rates_current!$G$6:$Q$29, 11, FALSE))</f>
        <v>85686.728259968004</v>
      </c>
      <c r="DR120" s="227">
        <f>$BT120*(VLOOKUP(DR$4, Rates_current!$G$6:$Q$29, 10, FALSE)+VLOOKUP(DR$4, Rates_current!$G$6:$Q$29, 11, FALSE))</f>
        <v>109330.43758334</v>
      </c>
      <c r="DS120" s="227">
        <f>$BT120*(VLOOKUP(DS$4, Rates_current!$G$6:$Q$29, 10, FALSE)+VLOOKUP(DS$4, Rates_current!$G$6:$Q$29, 11, FALSE))</f>
        <v>85718.529715468001</v>
      </c>
      <c r="DT120" s="227">
        <f>$BT120*(VLOOKUP(DT$4, Rates_current!$G$6:$Q$29, 10, FALSE)+VLOOKUP(DT$4, Rates_current!$G$6:$Q$29, 11, FALSE))</f>
        <v>83472.779388968003</v>
      </c>
      <c r="DU120" s="227">
        <f>$BT120*(VLOOKUP(DU$4, Rates_current!$G$6:$Q$29, 10, FALSE)+VLOOKUP(DU$4, Rates_current!$G$6:$Q$29, 11, FALSE))</f>
        <v>74940.798942840003</v>
      </c>
      <c r="DV120" s="229">
        <f>IF(D120=0,IF(C120=0,MAX(0,DY120 - (VLOOKUP($A120,TOCA_current!$A$2:$AI$137,MATCH("RHWM 2020",TOCA_current!$A$2:$AI$2,0),FALSE)*$BT$2)), 0),0)</f>
        <v>0</v>
      </c>
      <c r="DW120" s="266">
        <f>VLOOKUP($A120,REP_current!$A$1:$D$135,MATCH("FY "&amp;$BT$1&amp; " Total Refund",REP_current!$A$1:$D$1,0),0)</f>
        <v>0</v>
      </c>
      <c r="DX120" s="295">
        <f>MIN(VLOOKUP($A120,TOCA_current!$A$2:$AI$137,MATCH("TRL - NLSL - Existing Resource "&amp;$BT$1,TOCA_current!$A$2:$AI$2,0),FALSE)*$BT$2, VLOOKUP($A120,TOCA_current!$A$2:$AI$137,MATCH("RHWM 2020",TOCA_current!$A$2:$AI$2,0),FALSE)*$BT$2)</f>
        <v>989289.21600000001</v>
      </c>
      <c r="DY120" s="240">
        <f>SUM(BZ120:CW120)+(BT120*RT1SC!$C$4*$BT$2)</f>
        <v>989289.2238704639</v>
      </c>
      <c r="DZ120" s="271">
        <f>VLOOKUP($A120,TOCA_current!$A$2:$AI$137,MATCH("Above RHWM Not Served with LS "&amp;$BT$1,TOCA_current!$A$2:$AI$2,0),FALSE)*$BT$2</f>
        <v>944947.58399999992</v>
      </c>
      <c r="EA120" s="244">
        <f t="shared" si="29"/>
        <v>7.8704638872295618E-3</v>
      </c>
      <c r="EB120" s="295">
        <f>(VLOOKUP($A120,TOCA_current!$A$2:$AI$137,MATCH("RHWM 2020",TOCA_current!$A$2:$AI$2,0),FALSE)*$BT$2) - $DX120</f>
        <v>0</v>
      </c>
      <c r="EC120" s="240">
        <f t="shared" si="30"/>
        <v>0</v>
      </c>
      <c r="ED120" s="240">
        <f t="shared" si="31"/>
        <v>0</v>
      </c>
      <c r="EE120" s="240">
        <f t="shared" si="32"/>
        <v>0</v>
      </c>
      <c r="EF120" s="240">
        <f t="shared" si="33"/>
        <v>0</v>
      </c>
    </row>
    <row r="121" spans="1:136">
      <c r="A121" s="166">
        <v>10391</v>
      </c>
      <c r="B121" s="167" t="s">
        <v>122</v>
      </c>
      <c r="C121" s="240">
        <v>0</v>
      </c>
      <c r="D121" s="240">
        <v>0</v>
      </c>
      <c r="E121" s="150">
        <f>VLOOKUP($A121,TOCA_previous!$A$2:$AI$137,MATCH(E$4,TOCA_previous!$A$2:$AI$2,0),FALSE)</f>
        <v>4.2471999999999996E-3</v>
      </c>
      <c r="F121" s="151">
        <f>VLOOKUP($A121,TOCA_previous!$A$2:$AI$137,MATCH(F$4,TOCA_previous!$A$2:$AI$2,0),FALSE)</f>
        <v>4.2471999999999996E-3</v>
      </c>
      <c r="G121" s="151">
        <f t="shared" si="18"/>
        <v>0</v>
      </c>
      <c r="H121" s="151">
        <f>VLOOKUP($A121,TOCA_previous!$A$2:$AI$137,MATCH(H$4,TOCA_previous!$A$2:$AI$2,0),FALSE)</f>
        <v>4.1615300000000001E-2</v>
      </c>
      <c r="I121" s="151">
        <f t="shared" si="19"/>
        <v>0</v>
      </c>
      <c r="J121" s="151">
        <f t="shared" si="20"/>
        <v>0</v>
      </c>
      <c r="K121" s="226">
        <f>VLOOKUP(A121, IRD!$A$5:$C$139, 3, FALSE)</f>
        <v>44270.152999999998</v>
      </c>
      <c r="L121" s="227">
        <f t="array" ref="L121">IF($G121=0, INDEX(LS_previous!$D$4:$AY$138, MATCH('Staging Table'!$A121, LS_previous!$B$4:$B$138, 0), MATCH(L$4&amp;L$5, LS_previous!$D$2:$AY$2&amp;LS_previous!$D$3:$AY$3, 0)),SUM(VLOOKUP($A121, LS_previous!$B$4:$AY$138, LS_previous!D$149, FALSE), VLOOKUP('Staging Table'!$A121, LS_previous!$B$4:$AY$138,LS_previous!AB$149, FALSE))/2)</f>
        <v>-2558</v>
      </c>
      <c r="M121" s="227">
        <f t="array" ref="M121">IF($G121=0, INDEX(LS_previous!$D$4:$AY$138, MATCH('Staging Table'!$A121, LS_previous!$B$4:$B$138, 0), MATCH(M$4&amp;M$5, LS_previous!$D$2:$AY$2&amp;LS_previous!$D$3:$AY$3, 0)),SUM(VLOOKUP($A121, LS_previous!$B$4:$AY$138, LS_previous!E$149, FALSE), VLOOKUP('Staging Table'!$A121, LS_previous!$B$4:$AY$138,LS_previous!AC$149, FALSE))/2)</f>
        <v>-597</v>
      </c>
      <c r="N121" s="227">
        <f t="array" ref="N121">IF($G121=0, INDEX(LS_previous!$D$4:$AY$138, MATCH('Staging Table'!$A121, LS_previous!$B$4:$B$138, 0), MATCH(N$4&amp;N$5, LS_previous!$D$2:$AY$2&amp;LS_previous!$D$3:$AY$3, 0)),SUM(VLOOKUP($A121, LS_previous!$B$4:$AY$138, LS_previous!F$149, FALSE), VLOOKUP('Staging Table'!$A121, LS_previous!$B$4:$AY$138,LS_previous!AD$149, FALSE))/2)</f>
        <v>-5173</v>
      </c>
      <c r="O121" s="227">
        <f t="array" ref="O121">IF($G121=0, INDEX(LS_previous!$D$4:$AY$138, MATCH('Staging Table'!$A121, LS_previous!$B$4:$B$138, 0), MATCH(O$4&amp;O$5, LS_previous!$D$2:$AY$2&amp;LS_previous!$D$3:$AY$3, 0)),SUM(VLOOKUP($A121, LS_previous!$B$4:$AY$138, LS_previous!G$149, FALSE), VLOOKUP('Staging Table'!$A121, LS_previous!$B$4:$AY$138,LS_previous!AE$149, FALSE))/2)</f>
        <v>-1537</v>
      </c>
      <c r="P121" s="227">
        <f t="array" ref="P121">IF($G121=0, INDEX(LS_previous!$D$4:$AY$138, MATCH('Staging Table'!$A121, LS_previous!$B$4:$B$138, 0), MATCH(P$4&amp;P$5, LS_previous!$D$2:$AY$2&amp;LS_previous!$D$3:$AY$3, 0)),SUM(VLOOKUP($A121, LS_previous!$B$4:$AY$138, LS_previous!H$149, FALSE), VLOOKUP('Staging Table'!$A121, LS_previous!$B$4:$AY$138,LS_previous!AF$149, FALSE))/2)</f>
        <v>-2158</v>
      </c>
      <c r="Q121" s="227">
        <f t="array" ref="Q121">IF($G121=0, INDEX(LS_previous!$D$4:$AY$138, MATCH('Staging Table'!$A121, LS_previous!$B$4:$B$138, 0), MATCH(Q$4&amp;Q$5, LS_previous!$D$2:$AY$2&amp;LS_previous!$D$3:$AY$3, 0)),SUM(VLOOKUP($A121, LS_previous!$B$4:$AY$138, LS_previous!I$149, FALSE), VLOOKUP('Staging Table'!$A121, LS_previous!$B$4:$AY$138,LS_previous!AG$149, FALSE))/2)</f>
        <v>183</v>
      </c>
      <c r="R121" s="227">
        <f t="array" ref="R121">IF($G121=0, INDEX(LS_previous!$D$4:$AY$138, MATCH('Staging Table'!$A121, LS_previous!$B$4:$B$138, 0), MATCH(R$4&amp;R$5, LS_previous!$D$2:$AY$2&amp;LS_previous!$D$3:$AY$3, 0)),SUM(VLOOKUP($A121, LS_previous!$B$4:$AY$138, LS_previous!J$149, FALSE), VLOOKUP('Staging Table'!$A121, LS_previous!$B$4:$AY$138,LS_previous!AH$149, FALSE))/2)</f>
        <v>268</v>
      </c>
      <c r="S121" s="227">
        <f t="array" ref="S121">IF($G121=0, INDEX(LS_previous!$D$4:$AY$138, MATCH('Staging Table'!$A121, LS_previous!$B$4:$B$138, 0), MATCH(S$4&amp;S$5, LS_previous!$D$2:$AY$2&amp;LS_previous!$D$3:$AY$3, 0)),SUM(VLOOKUP($A121, LS_previous!$B$4:$AY$138, LS_previous!K$149, FALSE), VLOOKUP('Staging Table'!$A121, LS_previous!$B$4:$AY$138,LS_previous!AI$149, FALSE))/2)</f>
        <v>1722</v>
      </c>
      <c r="T121" s="227">
        <f t="array" ref="T121">IF($G121=0, INDEX(LS_previous!$D$4:$AY$138, MATCH('Staging Table'!$A121, LS_previous!$B$4:$B$138, 0), MATCH(T$4&amp;T$5, LS_previous!$D$2:$AY$2&amp;LS_previous!$D$3:$AY$3, 0)),SUM(VLOOKUP($A121, LS_previous!$B$4:$AY$138, LS_previous!L$149, FALSE), VLOOKUP('Staging Table'!$A121, LS_previous!$B$4:$AY$138,LS_previous!AJ$149, FALSE))/2)</f>
        <v>728</v>
      </c>
      <c r="U121" s="227">
        <f t="array" ref="U121">IF($G121=0, INDEX(LS_previous!$D$4:$AY$138, MATCH('Staging Table'!$A121, LS_previous!$B$4:$B$138, 0), MATCH(U$4&amp;U$5, LS_previous!$D$2:$AY$2&amp;LS_previous!$D$3:$AY$3, 0)),SUM(VLOOKUP($A121, LS_previous!$B$4:$AY$138, LS_previous!M$149, FALSE), VLOOKUP('Staging Table'!$A121, LS_previous!$B$4:$AY$138,LS_previous!AK$149, FALSE))/2)</f>
        <v>1661</v>
      </c>
      <c r="V121" s="227">
        <f t="array" ref="V121">IF($G121=0, INDEX(LS_previous!$D$4:$AY$138, MATCH('Staging Table'!$A121, LS_previous!$B$4:$B$138, 0), MATCH(V$4&amp;V$5, LS_previous!$D$2:$AY$2&amp;LS_previous!$D$3:$AY$3, 0)),SUM(VLOOKUP($A121, LS_previous!$B$4:$AY$138, LS_previous!N$149, FALSE), VLOOKUP('Staging Table'!$A121, LS_previous!$B$4:$AY$138,LS_previous!AL$149, FALSE))/2)</f>
        <v>-2295</v>
      </c>
      <c r="W121" s="227">
        <f t="array" ref="W121">IF($G121=0, INDEX(LS_previous!$D$4:$AY$138, MATCH('Staging Table'!$A121, LS_previous!$B$4:$B$138, 0), MATCH(W$4&amp;W$5, LS_previous!$D$2:$AY$2&amp;LS_previous!$D$3:$AY$3, 0)),SUM(VLOOKUP($A121, LS_previous!$B$4:$AY$138, LS_previous!O$149, FALSE), VLOOKUP('Staging Table'!$A121, LS_previous!$B$4:$AY$138,LS_previous!AM$149, FALSE))/2)</f>
        <v>-412</v>
      </c>
      <c r="X121" s="227">
        <f t="array" ref="X121">IF($G121=0, INDEX(LS_previous!$D$4:$AY$138, MATCH('Staging Table'!$A121, LS_previous!$B$4:$B$138, 0), MATCH(X$4&amp;X$5, LS_previous!$D$2:$AY$2&amp;LS_previous!$D$3:$AY$3, 0)),SUM(VLOOKUP($A121, LS_previous!$B$4:$AY$138, LS_previous!P$149, FALSE), VLOOKUP('Staging Table'!$A121, LS_previous!$B$4:$AY$138,LS_previous!AN$149, FALSE))/2)</f>
        <v>-2068</v>
      </c>
      <c r="Y121" s="227">
        <f t="array" ref="Y121">IF($G121=0, INDEX(LS_previous!$D$4:$AY$138, MATCH('Staging Table'!$A121, LS_previous!$B$4:$B$138, 0), MATCH(Y$4&amp;Y$5, LS_previous!$D$2:$AY$2&amp;LS_previous!$D$3:$AY$3, 0)),SUM(VLOOKUP($A121, LS_previous!$B$4:$AY$138, LS_previous!Q$149, FALSE), VLOOKUP('Staging Table'!$A121, LS_previous!$B$4:$AY$138,LS_previous!AO$149, FALSE))/2)</f>
        <v>-487</v>
      </c>
      <c r="Z121" s="227">
        <f t="array" ref="Z121">IF($G121=0, INDEX(LS_previous!$D$4:$AY$138, MATCH('Staging Table'!$A121, LS_previous!$B$4:$B$138, 0), MATCH(Z$4&amp;Z$5, LS_previous!$D$2:$AY$2&amp;LS_previous!$D$3:$AY$3, 0)),SUM(VLOOKUP($A121, LS_previous!$B$4:$AY$138, LS_previous!R$149, FALSE), VLOOKUP('Staging Table'!$A121, LS_previous!$B$4:$AY$138,LS_previous!AP$149, FALSE))/2)</f>
        <v>-4354</v>
      </c>
      <c r="AA121" s="227">
        <f t="array" ref="AA121">IF($G121=0, INDEX(LS_previous!$D$4:$AY$138, MATCH('Staging Table'!$A121, LS_previous!$B$4:$B$138, 0), MATCH(AA$4&amp;AA$5, LS_previous!$D$2:$AY$2&amp;LS_previous!$D$3:$AY$3, 0)),SUM(VLOOKUP($A121, LS_previous!$B$4:$AY$138, LS_previous!S$149, FALSE), VLOOKUP('Staging Table'!$A121, LS_previous!$B$4:$AY$138,LS_previous!AQ$149, FALSE))/2)</f>
        <v>-753</v>
      </c>
      <c r="AB121" s="227">
        <f t="array" ref="AB121">IF($G121=0, INDEX(LS_previous!$D$4:$AY$138, MATCH('Staging Table'!$A121, LS_previous!$B$4:$B$138, 0), MATCH(AB$4&amp;AB$5, LS_previous!$D$2:$AY$2&amp;LS_previous!$D$3:$AY$3, 0)),SUM(VLOOKUP($A121, LS_previous!$B$4:$AY$138, LS_previous!T$149, FALSE), VLOOKUP('Staging Table'!$A121, LS_previous!$B$4:$AY$138,LS_previous!AR$149, FALSE))/2)</f>
        <v>4381</v>
      </c>
      <c r="AC121" s="227">
        <f t="array" ref="AC121">IF($G121=0, INDEX(LS_previous!$D$4:$AY$138, MATCH('Staging Table'!$A121, LS_previous!$B$4:$B$138, 0), MATCH(AC$4&amp;AC$5, LS_previous!$D$2:$AY$2&amp;LS_previous!$D$3:$AY$3, 0)),SUM(VLOOKUP($A121, LS_previous!$B$4:$AY$138, LS_previous!U$149, FALSE), VLOOKUP('Staging Table'!$A121, LS_previous!$B$4:$AY$138,LS_previous!AS$149, FALSE))/2)</f>
        <v>4438</v>
      </c>
      <c r="AD121" s="227">
        <f t="array" ref="AD121">IF($G121=0, INDEX(LS_previous!$D$4:$AY$138, MATCH('Staging Table'!$A121, LS_previous!$B$4:$B$138, 0), MATCH(AD$4&amp;AD$5, LS_previous!$D$2:$AY$2&amp;LS_previous!$D$3:$AY$3, 0)),SUM(VLOOKUP($A121, LS_previous!$B$4:$AY$138, LS_previous!V$149, FALSE), VLOOKUP('Staging Table'!$A121, LS_previous!$B$4:$AY$138,LS_previous!AT$149, FALSE))/2)</f>
        <v>5045</v>
      </c>
      <c r="AE121" s="227">
        <f t="array" ref="AE121">IF($G121=0, INDEX(LS_previous!$D$4:$AY$138, MATCH('Staging Table'!$A121, LS_previous!$B$4:$B$138, 0), MATCH(AE$4&amp;AE$5, LS_previous!$D$2:$AY$2&amp;LS_previous!$D$3:$AY$3, 0)),SUM(VLOOKUP($A121, LS_previous!$B$4:$AY$138, LS_previous!W$149, FALSE), VLOOKUP('Staging Table'!$A121, LS_previous!$B$4:$AY$138,LS_previous!AU$149, FALSE))/2)</f>
        <v>5841</v>
      </c>
      <c r="AF121" s="227">
        <f t="array" ref="AF121">IF($G121=0, INDEX(LS_previous!$D$4:$AY$138, MATCH('Staging Table'!$A121, LS_previous!$B$4:$B$138, 0), MATCH(AF$4&amp;AF$5, LS_previous!$D$2:$AY$2&amp;LS_previous!$D$3:$AY$3, 0)),SUM(VLOOKUP($A121, LS_previous!$B$4:$AY$138, LS_previous!X$149, FALSE), VLOOKUP('Staging Table'!$A121, LS_previous!$B$4:$AY$138,LS_previous!AV$149, FALSE))/2)</f>
        <v>1945</v>
      </c>
      <c r="AG121" s="227">
        <f t="array" ref="AG121">IF($G121=0, INDEX(LS_previous!$D$4:$AY$138, MATCH('Staging Table'!$A121, LS_previous!$B$4:$B$138, 0), MATCH(AG$4&amp;AG$5, LS_previous!$D$2:$AY$2&amp;LS_previous!$D$3:$AY$3, 0)),SUM(VLOOKUP($A121, LS_previous!$B$4:$AY$138, LS_previous!Y$149, FALSE), VLOOKUP('Staging Table'!$A121, LS_previous!$B$4:$AY$138,LS_previous!AW$149, FALSE))/2)</f>
        <v>3035</v>
      </c>
      <c r="AH121" s="227">
        <f t="array" ref="AH121">IF($G121=0, INDEX(LS_previous!$D$4:$AY$138, MATCH('Staging Table'!$A121, LS_previous!$B$4:$B$138, 0), MATCH(AH$4&amp;AH$5, LS_previous!$D$2:$AY$2&amp;LS_previous!$D$3:$AY$3, 0)),SUM(VLOOKUP($A121, LS_previous!$B$4:$AY$138, LS_previous!Z$149, FALSE), VLOOKUP('Staging Table'!$A121, LS_previous!$B$4:$AY$138,LS_previous!AX$149, FALSE))/2)</f>
        <v>-556</v>
      </c>
      <c r="AI121" s="227">
        <f t="array" ref="AI121">IF($G121=0, INDEX(LS_previous!$D$4:$AY$138, MATCH('Staging Table'!$A121, LS_previous!$B$4:$B$138, 0), MATCH(AI$4&amp;AI$5, LS_previous!$D$2:$AY$2&amp;LS_previous!$D$3:$AY$3, 0)),SUM(VLOOKUP($A121, LS_previous!$B$4:$AY$138, LS_previous!AA$149, FALSE), VLOOKUP('Staging Table'!$A121, LS_previous!$B$4:$AY$138,LS_previous!AY$149, FALSE))/2)</f>
        <v>907</v>
      </c>
      <c r="AJ121" s="424">
        <f t="array" ref="AJ121">INDEX(Demand_previous!$D$4:$AY$138, MATCH('Staging Table'!$A121, Demand_previous!$B$4:$B$138, 0), MATCH(AJ$4&amp;AJ$5,Demand_previous!$D$2:$AY$2&amp;Demand_previous!$D$3:$AY$3, 0))/1000</f>
        <v>0</v>
      </c>
      <c r="AK121" s="424">
        <f t="array" ref="AK121">INDEX(Demand_previous!$D$4:$AY$138, MATCH('Staging Table'!$A121, Demand_previous!$B$4:$B$138, 0), MATCH(AK$4&amp;AK$5,Demand_previous!$D$2:$AY$2&amp;Demand_previous!$D$3:$AY$3, 0))/1000</f>
        <v>1.657</v>
      </c>
      <c r="AL121" s="424">
        <f t="array" ref="AL121">INDEX(Demand_previous!$D$4:$AY$138, MATCH('Staging Table'!$A121, Demand_previous!$B$4:$B$138, 0), MATCH(AL$4&amp;AL$5,Demand_previous!$D$2:$AY$2&amp;Demand_previous!$D$3:$AY$3, 0))/1000</f>
        <v>3.927</v>
      </c>
      <c r="AM121" s="424">
        <f t="array" ref="AM121">INDEX(Demand_previous!$D$4:$AY$138, MATCH('Staging Table'!$A121, Demand_previous!$B$4:$B$138, 0), MATCH(AM$4&amp;AM$5,Demand_previous!$D$2:$AY$2&amp;Demand_previous!$D$3:$AY$3, 0))/1000</f>
        <v>4.8289999999999997</v>
      </c>
      <c r="AN121" s="424">
        <f t="array" ref="AN121">INDEX(Demand_previous!$D$4:$AY$138, MATCH('Staging Table'!$A121, Demand_previous!$B$4:$B$138, 0), MATCH(AN$4&amp;AN$5,Demand_previous!$D$2:$AY$2&amp;Demand_previous!$D$3:$AY$3, 0))/1000</f>
        <v>0</v>
      </c>
      <c r="AO121" s="424">
        <f t="array" ref="AO121">INDEX(Demand_previous!$D$4:$AY$138, MATCH('Staging Table'!$A121, Demand_previous!$B$4:$B$138, 0), MATCH(AO$4&amp;AO$5,Demand_previous!$D$2:$AY$2&amp;Demand_previous!$D$3:$AY$3, 0))/1000</f>
        <v>1.137</v>
      </c>
      <c r="AP121" s="424">
        <f t="array" ref="AP121">INDEX(Demand_previous!$D$4:$AY$138, MATCH('Staging Table'!$A121, Demand_previous!$B$4:$B$138, 0), MATCH(AP$4&amp;AP$5,Demand_previous!$D$2:$AY$2&amp;Demand_previous!$D$3:$AY$3, 0))/1000</f>
        <v>0</v>
      </c>
      <c r="AQ121" s="424">
        <f t="array" ref="AQ121">INDEX(Demand_previous!$D$4:$AY$138, MATCH('Staging Table'!$A121, Demand_previous!$B$4:$B$138, 0), MATCH(AQ$4&amp;AQ$5,Demand_previous!$D$2:$AY$2&amp;Demand_previous!$D$3:$AY$3, 0))/1000</f>
        <v>2.9510000000000001</v>
      </c>
      <c r="AR121" s="424">
        <f t="array" ref="AR121">INDEX(Demand_previous!$D$4:$AY$138, MATCH('Staging Table'!$A121, Demand_previous!$B$4:$B$138, 0), MATCH(AR$4&amp;AR$5,Demand_previous!$D$2:$AY$2&amp;Demand_previous!$D$3:$AY$3, 0))/1000</f>
        <v>2.2240000000000002</v>
      </c>
      <c r="AS121" s="424">
        <f t="array" ref="AS121">INDEX(Demand_previous!$D$4:$AY$138, MATCH('Staging Table'!$A121, Demand_previous!$B$4:$B$138, 0), MATCH(AS$4&amp;AS$5,Demand_previous!$D$2:$AY$2&amp;Demand_previous!$D$3:$AY$3, 0))/1000</f>
        <v>7.0529999999999999</v>
      </c>
      <c r="AT121" s="424">
        <f t="array" ref="AT121">INDEX(Demand_previous!$D$4:$AY$138, MATCH('Staging Table'!$A121, Demand_previous!$B$4:$B$138, 0), MATCH(AT$4&amp;AT$5,Demand_previous!$D$2:$AY$2&amp;Demand_previous!$D$3:$AY$3, 0))/1000</f>
        <v>6.4020000000000001</v>
      </c>
      <c r="AU121" s="424">
        <f t="array" ref="AU121">INDEX(Demand_previous!$D$4:$AY$138, MATCH('Staging Table'!$A121, Demand_previous!$B$4:$B$138, 0), MATCH(AU$4&amp;AU$5,Demand_previous!$D$2:$AY$2&amp;Demand_previous!$D$3:$AY$3, 0))/1000</f>
        <v>0</v>
      </c>
      <c r="AV121" s="227">
        <f>$F121*(VLOOKUP(AV$4, Rates_previous!$G$6:$Q$29, 10, FALSE)+VLOOKUP(AV$4, Rates_previous!$G$6:$Q$29, 11, FALSE))</f>
        <v>19914.431744420683</v>
      </c>
      <c r="AW121" s="227">
        <f>$F121*(VLOOKUP(AW$4, Rates_previous!$G$6:$Q$29, 10, FALSE)+VLOOKUP(AW$4, Rates_previous!$G$6:$Q$29, 11, FALSE))</f>
        <v>24612.724059078846</v>
      </c>
      <c r="AX121" s="227">
        <f>$F121*(VLOOKUP(AX$4, Rates_previous!$G$6:$Q$29, 10, FALSE)+VLOOKUP(AX$4, Rates_previous!$G$6:$Q$29, 11, FALSE))</f>
        <v>24317.154681369215</v>
      </c>
      <c r="AY121" s="227">
        <f>$F121*(VLOOKUP(AY$4, Rates_previous!$G$6:$Q$29, 10, FALSE)+VLOOKUP(AY$4, Rates_previous!$G$6:$Q$29, 11, FALSE))</f>
        <v>20776.690867587549</v>
      </c>
      <c r="AZ121" s="227">
        <f>$F121*(VLOOKUP(AZ$4, Rates_previous!$G$6:$Q$29, 10, FALSE)+VLOOKUP(AZ$4, Rates_previous!$G$6:$Q$29, 11, FALSE))</f>
        <v>17032.85643284431</v>
      </c>
      <c r="BA121" s="227">
        <f>$F121*(VLOOKUP(BA$4, Rates_previous!$G$6:$Q$29, 10, FALSE)+VLOOKUP(BA$4, Rates_previous!$G$6:$Q$29, 11, FALSE))</f>
        <v>20166.283325724024</v>
      </c>
      <c r="BB121" s="227">
        <f>$F121*(VLOOKUP(BB$4, Rates_previous!$G$6:$Q$29, 10, FALSE)+VLOOKUP(BB$4, Rates_previous!$G$6:$Q$29, 11, FALSE))</f>
        <v>19382.731640891849</v>
      </c>
      <c r="BC121" s="227">
        <f>$F121*(VLOOKUP(BC$4, Rates_previous!$G$6:$Q$29, 10, FALSE)+VLOOKUP(BC$4, Rates_previous!$G$6:$Q$29, 11, FALSE))</f>
        <v>28442.787107663564</v>
      </c>
      <c r="BD121" s="227">
        <f>$F121*(VLOOKUP(BD$4, Rates_previous!$G$6:$Q$29, 10, FALSE)+VLOOKUP(BD$4, Rates_previous!$G$6:$Q$29, 11, FALSE))</f>
        <v>22440.60727591981</v>
      </c>
      <c r="BE121" s="227">
        <f>$F121*(VLOOKUP(BE$4, Rates_previous!$G$6:$Q$29, 10, FALSE)+VLOOKUP(BE$4, Rates_previous!$G$6:$Q$29, 11, FALSE))</f>
        <v>19704.736752528632</v>
      </c>
      <c r="BF121" s="227">
        <f>$F121*(VLOOKUP(BF$4, Rates_previous!$G$6:$Q$29, 10, FALSE)+VLOOKUP(BF$4, Rates_previous!$G$6:$Q$29, 11, FALSE))</f>
        <v>21823.784688969205</v>
      </c>
      <c r="BG121" s="227">
        <f>$F121*(VLOOKUP(BG$4, Rates_previous!$G$6:$Q$29, 10, FALSE)+VLOOKUP(BG$4, Rates_previous!$G$6:$Q$29, 11, FALSE))</f>
        <v>19771.481050682192</v>
      </c>
      <c r="BH121" s="229">
        <f>IF($D121=0,IF(C121=0, MAX(BK121 - (VLOOKUP($A121,TOCA_previous!$A$2:$AI$137,MATCH("RHWM 2018",TOCA_previous!$A$2:$AI$2,0),FALSE)*$F$2*TOCA_previous!C118),0),0), 0)</f>
        <v>7207.3133973119257</v>
      </c>
      <c r="BI121" s="266">
        <f>VLOOKUP($A121,REP_previous!$A$1:$D$135,MATCH("FY "&amp;$F$1&amp; " Total Refund",REP_previous!$A$1:$D$1,0),0)</f>
        <v>312630.8585849707</v>
      </c>
      <c r="BJ121" s="241">
        <f>MIN(VLOOKUP($A121,TOCA_previous!$A$2:$AI$137,MATCH("TRL - NLSL - Existing Resource "&amp;$F$1,TOCA_previous!$A$2:$AI$2,0),FALSE)*$F$2,(VLOOKUP($A121,TOCA_previous!$A$2:$AI$137,MATCH("RHWM 2018",TOCA_previous!$A$2:$AI$2,0),FALSE)*$F$2))</f>
        <v>258384.96</v>
      </c>
      <c r="BK121" s="229">
        <f>SUM(L121:AI121)+(F121*RT1SC!$C$3*$F$2)</f>
        <v>265592.27339731192</v>
      </c>
      <c r="BL121" s="241">
        <f>VLOOKUP($A121,TOCA_previous!$A$2:$AI$137,MATCH("Above RHWM Not Served with LS "&amp;$F$1,TOCA_previous!$A$2:$AI$2,0),FALSE)*$F$2</f>
        <v>48837</v>
      </c>
      <c r="BM121" s="151">
        <f t="shared" si="21"/>
        <v>7207.3133973119257</v>
      </c>
      <c r="BN121" s="242">
        <f>(VLOOKUP($A121,TOCA_previous!$A$2:$AI$137,MATCH("RHWM 2018",TOCA_previous!$A$2:$AI$2,0),FALSE)*$F$2) - $BJ121</f>
        <v>0</v>
      </c>
      <c r="BO121" s="151">
        <f t="shared" si="22"/>
        <v>0</v>
      </c>
      <c r="BP121" s="243">
        <f t="shared" si="23"/>
        <v>0</v>
      </c>
      <c r="BQ121" s="237">
        <f t="shared" si="24"/>
        <v>0</v>
      </c>
      <c r="BR121" s="242">
        <f t="shared" si="25"/>
        <v>0</v>
      </c>
      <c r="BS121" s="151">
        <f>VLOOKUP($A121,TOCA_current!$A$2:$AI$137,MATCH(BS$4,TOCA_current!$A$2:$AI$2,0),FALSE)</f>
        <v>4.2448E-3</v>
      </c>
      <c r="BT121" s="151">
        <f>VLOOKUP($A121,TOCA_current!$A$2:$AI$137,MATCH(BT$4,TOCA_current!$A$2:$AI$2,0),FALSE)</f>
        <v>4.2448E-3</v>
      </c>
      <c r="BU121" s="236">
        <f t="shared" si="26"/>
        <v>0</v>
      </c>
      <c r="BV121" s="151">
        <f>VLOOKUP($A121,TOCA_current!A117:BG252,MATCH(BV$4,TOCA_current!$A$2:$BG$2,0),FALSE)</f>
        <v>3.6014499999999998E-2</v>
      </c>
      <c r="BW121" s="151">
        <f t="shared" si="27"/>
        <v>0</v>
      </c>
      <c r="BX121" s="151">
        <f t="shared" si="28"/>
        <v>0</v>
      </c>
      <c r="BY121" s="226">
        <f>VLOOKUP($A121,IRD!$A$4:$G$139, 7, FALSE)</f>
        <v>44270.152999999998</v>
      </c>
      <c r="BZ121" s="227">
        <f t="array" ref="BZ121">IF($BU121=0, INDEX(LS_current!$D$4:$AY$138, MATCH('Staging Table'!$A121, LS_current!$B$4:$B$138, 0), MATCH(BZ$4&amp;BZ$5, LS_current!$D$2:$AY$2&amp;LS_current!$D$3:$AY$3, 0)),SUM(VLOOKUP($A121, LS_current!$B$4:$AY$138, LS_current!D$148, FALSE), VLOOKUP($A121, LS_current!$B$4:$AY$138,LS_current!D$148, FALSE))/2)</f>
        <v>-2642</v>
      </c>
      <c r="CA121" s="227">
        <f t="array" ref="CA121">IF($BU121=0, INDEX(LS_current!$D$4:$AY$138, MATCH('Staging Table'!$A121, LS_current!$B$4:$B$138, 0), MATCH(CA$4&amp;CA$5, LS_current!$D$2:$AY$2&amp;LS_current!$D$3:$AY$3, 0)),SUM(VLOOKUP($A121, LS_current!$B$4:$AY$138, LS_current!E$148, FALSE), VLOOKUP($A121, LS_current!$B$4:$AY$138,LS_current!E$148, FALSE))/2)</f>
        <v>-499</v>
      </c>
      <c r="CB121" s="227">
        <f t="array" ref="CB121">IF($BU121=0, INDEX(LS_current!$D$4:$AY$138, MATCH('Staging Table'!$A121, LS_current!$B$4:$B$138, 0), MATCH(CB$4&amp;CB$5, LS_current!$D$2:$AY$2&amp;LS_current!$D$3:$AY$3, 0)),SUM(VLOOKUP($A121, LS_current!$B$4:$AY$138, LS_current!F$148, FALSE), VLOOKUP($A121, LS_current!$B$4:$AY$138,LS_current!F$148, FALSE))/2)</f>
        <v>-5435</v>
      </c>
      <c r="CC121" s="227">
        <f t="array" ref="CC121">IF($BU121=0, INDEX(LS_current!$D$4:$AY$138, MATCH('Staging Table'!$A121, LS_current!$B$4:$B$138, 0), MATCH(CC$4&amp;CC$5, LS_current!$D$2:$AY$2&amp;LS_current!$D$3:$AY$3, 0)),SUM(VLOOKUP($A121, LS_current!$B$4:$AY$138, LS_current!G$148, FALSE), VLOOKUP($A121, LS_current!$B$4:$AY$138,LS_current!G$148, FALSE))/2)</f>
        <v>-1850</v>
      </c>
      <c r="CD121" s="227">
        <f t="array" ref="CD121">IF($BU121=0, INDEX(LS_current!$D$4:$AY$138, MATCH('Staging Table'!$A121, LS_current!$B$4:$B$138, 0), MATCH(CD$4&amp;CD$5, LS_current!$D$2:$AY$2&amp;LS_current!$D$3:$AY$3, 0)),SUM(VLOOKUP($A121, LS_current!$B$4:$AY$138, LS_current!H$148, FALSE), VLOOKUP($A121, LS_current!$B$4:$AY$138,LS_current!H$148, FALSE))/2)</f>
        <v>-2446</v>
      </c>
      <c r="CE121" s="227">
        <f t="array" ref="CE121">IF($BU121=0, INDEX(LS_current!$D$4:$AY$138, MATCH('Staging Table'!$A121, LS_current!$B$4:$B$138, 0), MATCH(CE$4&amp;CE$5, LS_current!$D$2:$AY$2&amp;LS_current!$D$3:$AY$3, 0)),SUM(VLOOKUP($A121, LS_current!$B$4:$AY$138, LS_current!I$148, FALSE), VLOOKUP($A121, LS_current!$B$4:$AY$138,LS_current!I$148, FALSE))/2)</f>
        <v>-109</v>
      </c>
      <c r="CF121" s="227">
        <f t="array" ref="CF121">IF($BU121=0, INDEX(LS_current!$D$4:$AY$138, MATCH('Staging Table'!$A121, LS_current!$B$4:$B$138, 0), MATCH(CF$4&amp;CF$5, LS_current!$D$2:$AY$2&amp;LS_current!$D$3:$AY$3, 0)),SUM(VLOOKUP($A121, LS_current!$B$4:$AY$138, LS_current!J$148, FALSE), VLOOKUP($A121, LS_current!$B$4:$AY$138,LS_current!J$148, FALSE))/2)</f>
        <v>51</v>
      </c>
      <c r="CG121" s="227">
        <f t="array" ref="CG121">IF($BU121=0, INDEX(LS_current!$D$4:$AY$138, MATCH('Staging Table'!$A121, LS_current!$B$4:$B$138, 0), MATCH(CG$4&amp;CG$5, LS_current!$D$2:$AY$2&amp;LS_current!$D$3:$AY$3, 0)),SUM(VLOOKUP($A121, LS_current!$B$4:$AY$138, LS_current!K$148, FALSE), VLOOKUP($A121, LS_current!$B$4:$AY$138,LS_current!K$148, FALSE))/2)</f>
        <v>1912</v>
      </c>
      <c r="CH121" s="227">
        <f t="array" ref="CH121">IF($BU121=0, INDEX(LS_current!$D$4:$AY$138, MATCH('Staging Table'!$A121, LS_current!$B$4:$B$138, 0), MATCH(CH$4&amp;CH$5, LS_current!$D$2:$AY$2&amp;LS_current!$D$3:$AY$3, 0)),SUM(VLOOKUP($A121, LS_current!$B$4:$AY$138, LS_current!L$148, FALSE), VLOOKUP($A121, LS_current!$B$4:$AY$138,LS_current!L$148, FALSE))/2)</f>
        <v>-481</v>
      </c>
      <c r="CI121" s="227">
        <f t="array" ref="CI121">IF($BU121=0, INDEX(LS_current!$D$4:$AY$138, MATCH('Staging Table'!$A121, LS_current!$B$4:$B$138, 0), MATCH(CI$4&amp;CI$5, LS_current!$D$2:$AY$2&amp;LS_current!$D$3:$AY$3, 0)),SUM(VLOOKUP($A121, LS_current!$B$4:$AY$138, LS_current!M$148, FALSE), VLOOKUP($A121, LS_current!$B$4:$AY$138,LS_current!M$148, FALSE))/2)</f>
        <v>915</v>
      </c>
      <c r="CJ121" s="227">
        <f t="array" ref="CJ121">IF($BU121=0, INDEX(LS_current!$D$4:$AY$138, MATCH('Staging Table'!$A121, LS_current!$B$4:$B$138, 0), MATCH(CJ$4&amp;CJ$5, LS_current!$D$2:$AY$2&amp;LS_current!$D$3:$AY$3, 0)),SUM(VLOOKUP($A121, LS_current!$B$4:$AY$138, LS_current!N$148, FALSE), VLOOKUP($A121, LS_current!$B$4:$AY$138,LS_current!N$148, FALSE))/2)</f>
        <v>-2757</v>
      </c>
      <c r="CK121" s="227">
        <f t="array" ref="CK121">IF($BU121=0, INDEX(LS_current!$D$4:$AY$138, MATCH('Staging Table'!$A121, LS_current!$B$4:$B$138, 0), MATCH(CK$4&amp;CK$5, LS_current!$D$2:$AY$2&amp;LS_current!$D$3:$AY$3, 0)),SUM(VLOOKUP($A121, LS_current!$B$4:$AY$138, LS_current!O$148, FALSE), VLOOKUP($A121, LS_current!$B$4:$AY$138,LS_current!O$148, FALSE))/2)</f>
        <v>-743</v>
      </c>
      <c r="CL121" s="227">
        <f t="array" ref="CL121">IF($BU121=0, INDEX(LS_current!$D$4:$AY$138, MATCH('Staging Table'!$A121, LS_current!$B$4:$B$138, 0), MATCH(CL$4&amp;CL$5, LS_current!$D$2:$AY$2&amp;LS_current!$D$3:$AY$3, 0)),SUM(VLOOKUP($A121, LS_current!$B$4:$AY$138, LS_current!P$148, FALSE), VLOOKUP($A121, LS_current!$B$4:$AY$138,LS_current!P$148, FALSE))/2)</f>
        <v>-445</v>
      </c>
      <c r="CM121" s="227">
        <f t="array" ref="CM121">IF($BU121=0, INDEX(LS_current!$D$4:$AY$138, MATCH('Staging Table'!$A121, LS_current!$B$4:$B$138, 0), MATCH(CM$4&amp;CM$5, LS_current!$D$2:$AY$2&amp;LS_current!$D$3:$AY$3, 0)),SUM(VLOOKUP($A121, LS_current!$B$4:$AY$138, LS_current!Q$148, FALSE), VLOOKUP($A121, LS_current!$B$4:$AY$138,LS_current!Q$148, FALSE))/2)</f>
        <v>161</v>
      </c>
      <c r="CN121" s="227">
        <f t="array" ref="CN121">IF($BU121=0, INDEX(LS_current!$D$4:$AY$138, MATCH('Staging Table'!$A121, LS_current!$B$4:$B$138, 0), MATCH(CN$4&amp;CN$5, LS_current!$D$2:$AY$2&amp;LS_current!$D$3:$AY$3, 0)),SUM(VLOOKUP($A121, LS_current!$B$4:$AY$138, LS_current!R$148, FALSE), VLOOKUP($A121, LS_current!$B$4:$AY$138,LS_current!R$148, FALSE))/2)</f>
        <v>-1019</v>
      </c>
      <c r="CO121" s="227">
        <f t="array" ref="CO121">IF($BU121=0, INDEX(LS_current!$D$4:$AY$138, MATCH('Staging Table'!$A121, LS_current!$B$4:$B$138, 0), MATCH(CO$4&amp;CO$5, LS_current!$D$2:$AY$2&amp;LS_current!$D$3:$AY$3, 0)),SUM(VLOOKUP($A121, LS_current!$B$4:$AY$138, LS_current!S$148, FALSE), VLOOKUP($A121, LS_current!$B$4:$AY$138,LS_current!S$148, FALSE))/2)</f>
        <v>1369</v>
      </c>
      <c r="CP121" s="227">
        <f t="array" ref="CP121">IF($BU121=0, INDEX(LS_current!$D$4:$AY$138, MATCH('Staging Table'!$A121, LS_current!$B$4:$B$138, 0), MATCH(CP$4&amp;CP$5, LS_current!$D$2:$AY$2&amp;LS_current!$D$3:$AY$3, 0)),SUM(VLOOKUP($A121, LS_current!$B$4:$AY$138, LS_current!T$148, FALSE), VLOOKUP($A121, LS_current!$B$4:$AY$138,LS_current!T$148, FALSE))/2)</f>
        <v>108</v>
      </c>
      <c r="CQ121" s="227">
        <f t="array" ref="CQ121">IF($BU121=0, INDEX(LS_current!$D$4:$AY$138, MATCH('Staging Table'!$A121, LS_current!$B$4:$B$138, 0), MATCH(CQ$4&amp;CQ$5, LS_current!$D$2:$AY$2&amp;LS_current!$D$3:$AY$3, 0)),SUM(VLOOKUP($A121, LS_current!$B$4:$AY$138, LS_current!U$148, FALSE), VLOOKUP($A121, LS_current!$B$4:$AY$138,LS_current!U$148, FALSE))/2)</f>
        <v>1916</v>
      </c>
      <c r="CR121" s="227">
        <f t="array" ref="CR121">IF($BU121=0, INDEX(LS_current!$D$4:$AY$138, MATCH('Staging Table'!$A121, LS_current!$B$4:$B$138, 0), MATCH(CR$4&amp;CR$5, LS_current!$D$2:$AY$2&amp;LS_current!$D$3:$AY$3, 0)),SUM(VLOOKUP($A121, LS_current!$B$4:$AY$138, LS_current!V$148, FALSE), VLOOKUP($A121, LS_current!$B$4:$AY$138,LS_current!V$148, FALSE))/2)</f>
        <v>2049</v>
      </c>
      <c r="CS121" s="227">
        <f t="array" ref="CS121">IF($BU121=0, INDEX(LS_current!$D$4:$AY$138, MATCH('Staging Table'!$A121, LS_current!$B$4:$B$138, 0), MATCH(CS$4&amp;CS$5, LS_current!$D$2:$AY$2&amp;LS_current!$D$3:$AY$3, 0)),SUM(VLOOKUP($A121, LS_current!$B$4:$AY$138, LS_current!W$148, FALSE), VLOOKUP($A121, LS_current!$B$4:$AY$138,LS_current!W$148, FALSE))/2)</f>
        <v>5548</v>
      </c>
      <c r="CT121" s="227">
        <f t="array" ref="CT121">IF($BU121=0, INDEX(LS_current!$D$4:$AY$138, MATCH('Staging Table'!$A121, LS_current!$B$4:$B$138, 0), MATCH(CT$4&amp;CT$5, LS_current!$D$2:$AY$2&amp;LS_current!$D$3:$AY$3, 0)),SUM(VLOOKUP($A121, LS_current!$B$4:$AY$138, LS_current!X$148, FALSE), VLOOKUP($A121, LS_current!$B$4:$AY$138,LS_current!X$148, FALSE))/2)</f>
        <v>1323</v>
      </c>
      <c r="CU121" s="227">
        <f t="array" ref="CU121">IF($BU121=0, INDEX(LS_current!$D$4:$AY$138, MATCH('Staging Table'!$A121, LS_current!$B$4:$B$138, 0), MATCH(CU$4&amp;CU$5, LS_current!$D$2:$AY$2&amp;LS_current!$D$3:$AY$3, 0)),SUM(VLOOKUP($A121, LS_current!$B$4:$AY$138, LS_current!Y$148, FALSE), VLOOKUP($A121, LS_current!$B$4:$AY$138,LS_current!Y$148, FALSE))/2)</f>
        <v>3081</v>
      </c>
      <c r="CV121" s="227">
        <f t="array" ref="CV121">IF($BU121=0, INDEX(LS_current!$D$4:$AY$138, MATCH('Staging Table'!$A121, LS_current!$B$4:$B$138, 0), MATCH(CV$4&amp;CV$5, LS_current!$D$2:$AY$2&amp;LS_current!$D$3:$AY$3, 0)),SUM(VLOOKUP($A121, LS_current!$B$4:$AY$138, LS_current!Z$148, FALSE), VLOOKUP($A121, LS_current!$B$4:$AY$138,LS_current!Z$148, FALSE))/2)</f>
        <v>-874</v>
      </c>
      <c r="CW121" s="227">
        <f t="array" ref="CW121">IF($BU121=0, INDEX(LS_current!$D$4:$AY$138, MATCH('Staging Table'!$A121, LS_current!$B$4:$B$138, 0), MATCH(CW$4&amp;CW$5, LS_current!$D$2:$AY$2&amp;LS_current!$D$3:$AY$3, 0)),SUM(VLOOKUP($A121, LS_current!$B$4:$AY$138, LS_current!AA$148, FALSE), VLOOKUP($A121, LS_current!$B$4:$AY$138,LS_current!AA$148, FALSE))/2)</f>
        <v>865</v>
      </c>
      <c r="CX121" s="229">
        <f t="array" ref="CX121">INDEX(Demand_current!$D$4:$AY$138, MATCH($A121, Demand_current!$B$4:$B$138, 0), MATCH(CX$4&amp;CX$5,Demand_current!$D$2:$AY$2&amp;Demand_current!$D$3:$AY$3, 0))/1000</f>
        <v>0.94699999999999995</v>
      </c>
      <c r="CY121" s="229">
        <f t="array" ref="CY121">INDEX(Demand_current!$D$4:$AY$138, MATCH($A121, Demand_current!$B$4:$B$138, 0), MATCH(CY$4&amp;CY$5,Demand_current!$D$2:$AY$2&amp;Demand_current!$D$3:$AY$3, 0))/1000</f>
        <v>1.657</v>
      </c>
      <c r="CZ121" s="229">
        <f t="array" ref="CZ121">INDEX(Demand_current!$D$4:$AY$138, MATCH($A121, Demand_current!$B$4:$B$138, 0), MATCH(CZ$4&amp;CZ$5,Demand_current!$D$2:$AY$2&amp;Demand_current!$D$3:$AY$3, 0))/1000</f>
        <v>3.927</v>
      </c>
      <c r="DA121" s="229">
        <f t="array" ref="DA121">INDEX(Demand_current!$D$4:$AY$138, MATCH($A121, Demand_current!$B$4:$B$138, 0), MATCH(DA$4&amp;DA$5,Demand_current!$D$2:$AY$2&amp;Demand_current!$D$3:$AY$3, 0))/1000</f>
        <v>4.8289999999999997</v>
      </c>
      <c r="DB121" s="229">
        <f t="array" ref="DB121">INDEX(Demand_current!$D$4:$AY$138, MATCH($A121, Demand_current!$B$4:$B$138, 0), MATCH(DB$4&amp;DB$5,Demand_current!$D$2:$AY$2&amp;Demand_current!$D$3:$AY$3, 0))/1000</f>
        <v>0.75</v>
      </c>
      <c r="DC121" s="229">
        <f t="array" ref="DC121">INDEX(Demand_current!$D$4:$AY$138, MATCH($A121, Demand_current!$B$4:$B$138, 0), MATCH(DC$4&amp;DC$5,Demand_current!$D$2:$AY$2&amp;Demand_current!$D$3:$AY$3, 0))/1000</f>
        <v>0</v>
      </c>
      <c r="DD121" s="229">
        <f t="array" ref="DD121">INDEX(Demand_current!$D$4:$AY$138, MATCH($A121, Demand_current!$B$4:$B$138, 0), MATCH(DD$4&amp;DD$5,Demand_current!$D$2:$AY$2&amp;Demand_current!$D$3:$AY$3, 0))/1000</f>
        <v>0</v>
      </c>
      <c r="DE121" s="229">
        <f t="array" ref="DE121">INDEX(Demand_current!$D$4:$AY$138, MATCH($A121, Demand_current!$B$4:$B$138, 0), MATCH(DE$4&amp;DE$5,Demand_current!$D$2:$AY$2&amp;Demand_current!$D$3:$AY$3, 0))/1000</f>
        <v>1.4039999999999999</v>
      </c>
      <c r="DF121" s="229">
        <f t="array" ref="DF121">INDEX(Demand_current!$D$4:$AY$138, MATCH($A121, Demand_current!$B$4:$B$138, 0), MATCH(DF$4&amp;DF$5,Demand_current!$D$2:$AY$2&amp;Demand_current!$D$3:$AY$3, 0))/1000</f>
        <v>2.2240000000000002</v>
      </c>
      <c r="DG121" s="229">
        <f t="array" ref="DG121">INDEX(Demand_current!$D$4:$AY$138, MATCH($A121, Demand_current!$B$4:$B$138, 0), MATCH(DG$4&amp;DG$5,Demand_current!$D$2:$AY$2&amp;Demand_current!$D$3:$AY$3, 0))/1000</f>
        <v>8.9909999999999997</v>
      </c>
      <c r="DH121" s="229">
        <f t="array" ref="DH121">INDEX(Demand_current!$D$4:$AY$138, MATCH($A121, Demand_current!$B$4:$B$138, 0), MATCH(DH$4&amp;DH$5,Demand_current!$D$2:$AY$2&amp;Demand_current!$D$3:$AY$3, 0))/1000</f>
        <v>4.7149999999999999</v>
      </c>
      <c r="DI121" s="229">
        <f t="array" ref="DI121">INDEX(Demand_current!$D$4:$AY$138, MATCH($A121, Demand_current!$B$4:$B$138, 0), MATCH(DI$4&amp;DI$5,Demand_current!$D$2:$AY$2&amp;Demand_current!$D$3:$AY$3, 0))/1000</f>
        <v>0</v>
      </c>
      <c r="DJ121" s="227">
        <f>$BT121*(VLOOKUP(DJ$4, Rates_current!$G$6:$Q$29, 10, FALSE)+VLOOKUP(DJ$4, Rates_current!$G$6:$Q$29, 11, FALSE))</f>
        <v>19599.588033580796</v>
      </c>
      <c r="DK121" s="227">
        <f>$BT121*(VLOOKUP(DK$4, Rates_current!$G$6:$Q$29, 10, FALSE)+VLOOKUP(DK$4, Rates_current!$G$6:$Q$29, 11, FALSE))</f>
        <v>24897.5910129072</v>
      </c>
      <c r="DL121" s="227">
        <f>$BT121*(VLOOKUP(DL$4, Rates_current!$G$6:$Q$29, 10, FALSE)+VLOOKUP(DL$4, Rates_current!$G$6:$Q$29, 11, FALSE))</f>
        <v>24596.918911980803</v>
      </c>
      <c r="DM121" s="227">
        <f>$BT121*(VLOOKUP(DM$4, Rates_current!$G$6:$Q$29, 10, FALSE)+VLOOKUP(DM$4, Rates_current!$G$6:$Q$29, 11, FALSE))</f>
        <v>20503.030041580801</v>
      </c>
      <c r="DN121" s="227">
        <f>$BT121*(VLOOKUP(DN$4, Rates_current!$G$6:$Q$29, 10, FALSE)+VLOOKUP(DN$4, Rates_current!$G$6:$Q$29, 11, FALSE))</f>
        <v>18573.618192639999</v>
      </c>
      <c r="DO121" s="227">
        <f>$BT121*(VLOOKUP(DO$4, Rates_current!$G$6:$Q$29, 10, FALSE)+VLOOKUP(DO$4, Rates_current!$G$6:$Q$29, 11, FALSE))</f>
        <v>20659.7639373776</v>
      </c>
      <c r="DP121" s="227">
        <f>$BT121*(VLOOKUP(DP$4, Rates_current!$G$6:$Q$29, 10, FALSE)+VLOOKUP(DP$4, Rates_current!$G$6:$Q$29, 11, FALSE))</f>
        <v>16821.202091904001</v>
      </c>
      <c r="DQ121" s="227">
        <f>$BT121*(VLOOKUP(DQ$4, Rates_current!$G$6:$Q$29, 10, FALSE)+VLOOKUP(DQ$4, Rates_current!$G$6:$Q$29, 11, FALSE))</f>
        <v>22685.899339980802</v>
      </c>
      <c r="DR121" s="227">
        <f>$BT121*(VLOOKUP(DR$4, Rates_current!$G$6:$Q$29, 10, FALSE)+VLOOKUP(DR$4, Rates_current!$G$6:$Q$29, 11, FALSE))</f>
        <v>28945.664657504003</v>
      </c>
      <c r="DS121" s="227">
        <f>$BT121*(VLOOKUP(DS$4, Rates_current!$G$6:$Q$29, 10, FALSE)+VLOOKUP(DS$4, Rates_current!$G$6:$Q$29, 11, FALSE))</f>
        <v>22694.318900780803</v>
      </c>
      <c r="DT121" s="227">
        <f>$BT121*(VLOOKUP(DT$4, Rates_current!$G$6:$Q$29, 10, FALSE)+VLOOKUP(DT$4, Rates_current!$G$6:$Q$29, 11, FALSE))</f>
        <v>22099.7476423808</v>
      </c>
      <c r="DU121" s="227">
        <f>$BT121*(VLOOKUP(DU$4, Rates_current!$G$6:$Q$29, 10, FALSE)+VLOOKUP(DU$4, Rates_current!$G$6:$Q$29, 11, FALSE))</f>
        <v>19840.872160704002</v>
      </c>
      <c r="DV121" s="229">
        <f>IF(D121=0,IF(C121=0,MAX(0,DY121 - (VLOOKUP($A121,TOCA_current!$A$2:$AI$137,MATCH("RHWM 2020",TOCA_current!$A$2:$AI$2,0),FALSE)*$BT$2)), 0),0)</f>
        <v>0</v>
      </c>
      <c r="DW121" s="266">
        <f>VLOOKUP($A121,REP_current!$A$1:$D$135,MATCH("FY "&amp;$BT$1&amp; " Total Refund",REP_current!$A$1:$D$1,0),0)</f>
        <v>0</v>
      </c>
      <c r="DX121" s="295">
        <f>MIN(VLOOKUP($A121,TOCA_current!$A$2:$AI$137,MATCH("TRL - NLSL - Existing Resource "&amp;$BT$1,TOCA_current!$A$2:$AI$2,0),FALSE)*$BT$2, VLOOKUP($A121,TOCA_current!$A$2:$AI$137,MATCH("RHWM 2020",TOCA_current!$A$2:$AI$2,0),FALSE)*$BT$2)</f>
        <v>261921.31200000001</v>
      </c>
      <c r="DY121" s="240">
        <f>SUM(BZ121:CW121)+(BT121*RT1SC!$C$4*$BT$2)</f>
        <v>261916.2247542784</v>
      </c>
      <c r="DZ121" s="271">
        <f>VLOOKUP($A121,TOCA_current!$A$2:$AI$137,MATCH("Above RHWM Not Served with LS "&amp;$BT$1,TOCA_current!$A$2:$AI$2,0),FALSE)*$BT$2</f>
        <v>52510.752</v>
      </c>
      <c r="EA121" s="244">
        <f t="shared" si="29"/>
        <v>-5.0872457216028124</v>
      </c>
      <c r="EB121" s="295">
        <f>(VLOOKUP($A121,TOCA_current!$A$2:$AI$137,MATCH("RHWM 2020",TOCA_current!$A$2:$AI$2,0),FALSE)*$BT$2) - $DX121</f>
        <v>0</v>
      </c>
      <c r="EC121" s="240">
        <f t="shared" si="30"/>
        <v>0</v>
      </c>
      <c r="ED121" s="240">
        <f t="shared" si="31"/>
        <v>0</v>
      </c>
      <c r="EE121" s="240">
        <f t="shared" si="32"/>
        <v>0</v>
      </c>
      <c r="EF121" s="240">
        <f t="shared" si="33"/>
        <v>0</v>
      </c>
    </row>
    <row r="122" spans="1:136">
      <c r="A122" s="166">
        <v>10406</v>
      </c>
      <c r="B122" s="167" t="s">
        <v>123</v>
      </c>
      <c r="C122" s="240">
        <v>0</v>
      </c>
      <c r="D122" s="240">
        <v>0</v>
      </c>
      <c r="E122" s="150">
        <f>VLOOKUP($A122,TOCA_previous!$A$2:$AI$137,MATCH(E$4,TOCA_previous!$A$2:$AI$2,0),FALSE)</f>
        <v>6.4900000000000005E-5</v>
      </c>
      <c r="F122" s="151">
        <f>VLOOKUP($A122,TOCA_previous!$A$2:$AI$137,MATCH(F$4,TOCA_previous!$A$2:$AI$2,0),FALSE)</f>
        <v>6.4900000000000005E-5</v>
      </c>
      <c r="G122" s="151">
        <f t="shared" si="18"/>
        <v>0</v>
      </c>
      <c r="H122" s="151">
        <f>VLOOKUP($A122,TOCA_previous!$A$2:$AI$137,MATCH(H$4,TOCA_previous!$A$2:$AI$2,0),FALSE)</f>
        <v>0</v>
      </c>
      <c r="I122" s="151">
        <f t="shared" si="19"/>
        <v>0</v>
      </c>
      <c r="J122" s="151">
        <f t="shared" si="20"/>
        <v>0</v>
      </c>
      <c r="K122" s="226">
        <f>VLOOKUP(A122, IRD!$A$5:$C$139, 3, FALSE)</f>
        <v>0</v>
      </c>
      <c r="L122" s="227">
        <f t="array" ref="L122">IF($G122=0, INDEX(LS_previous!$D$4:$AY$138, MATCH('Staging Table'!$A122, LS_previous!$B$4:$B$138, 0), MATCH(L$4&amp;L$5, LS_previous!$D$2:$AY$2&amp;LS_previous!$D$3:$AY$3, 0)),SUM(VLOOKUP($A122, LS_previous!$B$4:$AY$138, LS_previous!D$149, FALSE), VLOOKUP('Staging Table'!$A122, LS_previous!$B$4:$AY$138,LS_previous!AB$149, FALSE))/2)</f>
        <v>36</v>
      </c>
      <c r="M122" s="227">
        <f t="array" ref="M122">IF($G122=0, INDEX(LS_previous!$D$4:$AY$138, MATCH('Staging Table'!$A122, LS_previous!$B$4:$B$138, 0), MATCH(M$4&amp;M$5, LS_previous!$D$2:$AY$2&amp;LS_previous!$D$3:$AY$3, 0)),SUM(VLOOKUP($A122, LS_previous!$B$4:$AY$138, LS_previous!E$149, FALSE), VLOOKUP('Staging Table'!$A122, LS_previous!$B$4:$AY$138,LS_previous!AC$149, FALSE))/2)</f>
        <v>51</v>
      </c>
      <c r="N122" s="227">
        <f t="array" ref="N122">IF($G122=0, INDEX(LS_previous!$D$4:$AY$138, MATCH('Staging Table'!$A122, LS_previous!$B$4:$B$138, 0), MATCH(N$4&amp;N$5, LS_previous!$D$2:$AY$2&amp;LS_previous!$D$3:$AY$3, 0)),SUM(VLOOKUP($A122, LS_previous!$B$4:$AY$138, LS_previous!F$149, FALSE), VLOOKUP('Staging Table'!$A122, LS_previous!$B$4:$AY$138,LS_previous!AD$149, FALSE))/2)</f>
        <v>75</v>
      </c>
      <c r="O122" s="227">
        <f t="array" ref="O122">IF($G122=0, INDEX(LS_previous!$D$4:$AY$138, MATCH('Staging Table'!$A122, LS_previous!$B$4:$B$138, 0), MATCH(O$4&amp;O$5, LS_previous!$D$2:$AY$2&amp;LS_previous!$D$3:$AY$3, 0)),SUM(VLOOKUP($A122, LS_previous!$B$4:$AY$138, LS_previous!G$149, FALSE), VLOOKUP('Staging Table'!$A122, LS_previous!$B$4:$AY$138,LS_previous!AE$149, FALSE))/2)</f>
        <v>110</v>
      </c>
      <c r="P122" s="227">
        <f t="array" ref="P122">IF($G122=0, INDEX(LS_previous!$D$4:$AY$138, MATCH('Staging Table'!$A122, LS_previous!$B$4:$B$138, 0), MATCH(P$4&amp;P$5, LS_previous!$D$2:$AY$2&amp;LS_previous!$D$3:$AY$3, 0)),SUM(VLOOKUP($A122, LS_previous!$B$4:$AY$138, LS_previous!H$149, FALSE), VLOOKUP('Staging Table'!$A122, LS_previous!$B$4:$AY$138,LS_previous!AF$149, FALSE))/2)</f>
        <v>137</v>
      </c>
      <c r="Q122" s="227">
        <f t="array" ref="Q122">IF($G122=0, INDEX(LS_previous!$D$4:$AY$138, MATCH('Staging Table'!$A122, LS_previous!$B$4:$B$138, 0), MATCH(Q$4&amp;Q$5, LS_previous!$D$2:$AY$2&amp;LS_previous!$D$3:$AY$3, 0)),SUM(VLOOKUP($A122, LS_previous!$B$4:$AY$138, LS_previous!I$149, FALSE), VLOOKUP('Staging Table'!$A122, LS_previous!$B$4:$AY$138,LS_previous!AG$149, FALSE))/2)</f>
        <v>170</v>
      </c>
      <c r="R122" s="227">
        <f t="array" ref="R122">IF($G122=0, INDEX(LS_previous!$D$4:$AY$138, MATCH('Staging Table'!$A122, LS_previous!$B$4:$B$138, 0), MATCH(R$4&amp;R$5, LS_previous!$D$2:$AY$2&amp;LS_previous!$D$3:$AY$3, 0)),SUM(VLOOKUP($A122, LS_previous!$B$4:$AY$138, LS_previous!J$149, FALSE), VLOOKUP('Staging Table'!$A122, LS_previous!$B$4:$AY$138,LS_previous!AH$149, FALSE))/2)</f>
        <v>177</v>
      </c>
      <c r="S122" s="227">
        <f t="array" ref="S122">IF($G122=0, INDEX(LS_previous!$D$4:$AY$138, MATCH('Staging Table'!$A122, LS_previous!$B$4:$B$138, 0), MATCH(S$4&amp;S$5, LS_previous!$D$2:$AY$2&amp;LS_previous!$D$3:$AY$3, 0)),SUM(VLOOKUP($A122, LS_previous!$B$4:$AY$138, LS_previous!K$149, FALSE), VLOOKUP('Staging Table'!$A122, LS_previous!$B$4:$AY$138,LS_previous!AI$149, FALSE))/2)</f>
        <v>171</v>
      </c>
      <c r="T122" s="227">
        <f t="array" ref="T122">IF($G122=0, INDEX(LS_previous!$D$4:$AY$138, MATCH('Staging Table'!$A122, LS_previous!$B$4:$B$138, 0), MATCH(T$4&amp;T$5, LS_previous!$D$2:$AY$2&amp;LS_previous!$D$3:$AY$3, 0)),SUM(VLOOKUP($A122, LS_previous!$B$4:$AY$138, LS_previous!L$149, FALSE), VLOOKUP('Staging Table'!$A122, LS_previous!$B$4:$AY$138,LS_previous!AJ$149, FALSE))/2)</f>
        <v>188</v>
      </c>
      <c r="U122" s="227">
        <f t="array" ref="U122">IF($G122=0, INDEX(LS_previous!$D$4:$AY$138, MATCH('Staging Table'!$A122, LS_previous!$B$4:$B$138, 0), MATCH(U$4&amp;U$5, LS_previous!$D$2:$AY$2&amp;LS_previous!$D$3:$AY$3, 0)),SUM(VLOOKUP($A122, LS_previous!$B$4:$AY$138, LS_previous!M$149, FALSE), VLOOKUP('Staging Table'!$A122, LS_previous!$B$4:$AY$138,LS_previous!AK$149, FALSE))/2)</f>
        <v>167</v>
      </c>
      <c r="V122" s="227">
        <f t="array" ref="V122">IF($G122=0, INDEX(LS_previous!$D$4:$AY$138, MATCH('Staging Table'!$A122, LS_previous!$B$4:$B$138, 0), MATCH(V$4&amp;V$5, LS_previous!$D$2:$AY$2&amp;LS_previous!$D$3:$AY$3, 0)),SUM(VLOOKUP($A122, LS_previous!$B$4:$AY$138, LS_previous!N$149, FALSE), VLOOKUP('Staging Table'!$A122, LS_previous!$B$4:$AY$138,LS_previous!AL$149, FALSE))/2)</f>
        <v>105</v>
      </c>
      <c r="W122" s="227">
        <f t="array" ref="W122">IF($G122=0, INDEX(LS_previous!$D$4:$AY$138, MATCH('Staging Table'!$A122, LS_previous!$B$4:$B$138, 0), MATCH(W$4&amp;W$5, LS_previous!$D$2:$AY$2&amp;LS_previous!$D$3:$AY$3, 0)),SUM(VLOOKUP($A122, LS_previous!$B$4:$AY$138, LS_previous!O$149, FALSE), VLOOKUP('Staging Table'!$A122, LS_previous!$B$4:$AY$138,LS_previous!AM$149, FALSE))/2)</f>
        <v>125</v>
      </c>
      <c r="X122" s="227">
        <f t="array" ref="X122">IF($G122=0, INDEX(LS_previous!$D$4:$AY$138, MATCH('Staging Table'!$A122, LS_previous!$B$4:$B$138, 0), MATCH(X$4&amp;X$5, LS_previous!$D$2:$AY$2&amp;LS_previous!$D$3:$AY$3, 0)),SUM(VLOOKUP($A122, LS_previous!$B$4:$AY$138, LS_previous!P$149, FALSE), VLOOKUP('Staging Table'!$A122, LS_previous!$B$4:$AY$138,LS_previous!AN$149, FALSE))/2)</f>
        <v>85</v>
      </c>
      <c r="Y122" s="227">
        <f t="array" ref="Y122">IF($G122=0, INDEX(LS_previous!$D$4:$AY$138, MATCH('Staging Table'!$A122, LS_previous!$B$4:$B$138, 0), MATCH(Y$4&amp;Y$5, LS_previous!$D$2:$AY$2&amp;LS_previous!$D$3:$AY$3, 0)),SUM(VLOOKUP($A122, LS_previous!$B$4:$AY$138, LS_previous!Q$149, FALSE), VLOOKUP('Staging Table'!$A122, LS_previous!$B$4:$AY$138,LS_previous!AO$149, FALSE))/2)</f>
        <v>96</v>
      </c>
      <c r="Z122" s="227">
        <f t="array" ref="Z122">IF($G122=0, INDEX(LS_previous!$D$4:$AY$138, MATCH('Staging Table'!$A122, LS_previous!$B$4:$B$138, 0), MATCH(Z$4&amp;Z$5, LS_previous!$D$2:$AY$2&amp;LS_previous!$D$3:$AY$3, 0)),SUM(VLOOKUP($A122, LS_previous!$B$4:$AY$138, LS_previous!R$149, FALSE), VLOOKUP('Staging Table'!$A122, LS_previous!$B$4:$AY$138,LS_previous!AP$149, FALSE))/2)</f>
        <v>-65</v>
      </c>
      <c r="AA122" s="227">
        <f t="array" ref="AA122">IF($G122=0, INDEX(LS_previous!$D$4:$AY$138, MATCH('Staging Table'!$A122, LS_previous!$B$4:$B$138, 0), MATCH(AA$4&amp;AA$5, LS_previous!$D$2:$AY$2&amp;LS_previous!$D$3:$AY$3, 0)),SUM(VLOOKUP($A122, LS_previous!$B$4:$AY$138, LS_previous!S$149, FALSE), VLOOKUP('Staging Table'!$A122, LS_previous!$B$4:$AY$138,LS_previous!AQ$149, FALSE))/2)</f>
        <v>17</v>
      </c>
      <c r="AB122" s="227">
        <f t="array" ref="AB122">IF($G122=0, INDEX(LS_previous!$D$4:$AY$138, MATCH('Staging Table'!$A122, LS_previous!$B$4:$B$138, 0), MATCH(AB$4&amp;AB$5, LS_previous!$D$2:$AY$2&amp;LS_previous!$D$3:$AY$3, 0)),SUM(VLOOKUP($A122, LS_previous!$B$4:$AY$138, LS_previous!T$149, FALSE), VLOOKUP('Staging Table'!$A122, LS_previous!$B$4:$AY$138,LS_previous!AR$149, FALSE))/2)</f>
        <v>-25</v>
      </c>
      <c r="AC122" s="227">
        <f t="array" ref="AC122">IF($G122=0, INDEX(LS_previous!$D$4:$AY$138, MATCH('Staging Table'!$A122, LS_previous!$B$4:$B$138, 0), MATCH(AC$4&amp;AC$5, LS_previous!$D$2:$AY$2&amp;LS_previous!$D$3:$AY$3, 0)),SUM(VLOOKUP($A122, LS_previous!$B$4:$AY$138, LS_previous!U$149, FALSE), VLOOKUP('Staging Table'!$A122, LS_previous!$B$4:$AY$138,LS_previous!AS$149, FALSE))/2)</f>
        <v>15</v>
      </c>
      <c r="AD122" s="227">
        <f t="array" ref="AD122">IF($G122=0, INDEX(LS_previous!$D$4:$AY$138, MATCH('Staging Table'!$A122, LS_previous!$B$4:$B$138, 0), MATCH(AD$4&amp;AD$5, LS_previous!$D$2:$AY$2&amp;LS_previous!$D$3:$AY$3, 0)),SUM(VLOOKUP($A122, LS_previous!$B$4:$AY$138, LS_previous!V$149, FALSE), VLOOKUP('Staging Table'!$A122, LS_previous!$B$4:$AY$138,LS_previous!AT$149, FALSE))/2)</f>
        <v>-5</v>
      </c>
      <c r="AE122" s="227">
        <f t="array" ref="AE122">IF($G122=0, INDEX(LS_previous!$D$4:$AY$138, MATCH('Staging Table'!$A122, LS_previous!$B$4:$B$138, 0), MATCH(AE$4&amp;AE$5, LS_previous!$D$2:$AY$2&amp;LS_previous!$D$3:$AY$3, 0)),SUM(VLOOKUP($A122, LS_previous!$B$4:$AY$138, LS_previous!W$149, FALSE), VLOOKUP('Staging Table'!$A122, LS_previous!$B$4:$AY$138,LS_previous!AU$149, FALSE))/2)</f>
        <v>28</v>
      </c>
      <c r="AF122" s="227">
        <f t="array" ref="AF122">IF($G122=0, INDEX(LS_previous!$D$4:$AY$138, MATCH('Staging Table'!$A122, LS_previous!$B$4:$B$138, 0), MATCH(AF$4&amp;AF$5, LS_previous!$D$2:$AY$2&amp;LS_previous!$D$3:$AY$3, 0)),SUM(VLOOKUP($A122, LS_previous!$B$4:$AY$138, LS_previous!X$149, FALSE), VLOOKUP('Staging Table'!$A122, LS_previous!$B$4:$AY$138,LS_previous!AV$149, FALSE))/2)</f>
        <v>-30</v>
      </c>
      <c r="AG122" s="227">
        <f t="array" ref="AG122">IF($G122=0, INDEX(LS_previous!$D$4:$AY$138, MATCH('Staging Table'!$A122, LS_previous!$B$4:$B$138, 0), MATCH(AG$4&amp;AG$5, LS_previous!$D$2:$AY$2&amp;LS_previous!$D$3:$AY$3, 0)),SUM(VLOOKUP($A122, LS_previous!$B$4:$AY$138, LS_previous!Y$149, FALSE), VLOOKUP('Staging Table'!$A122, LS_previous!$B$4:$AY$138,LS_previous!AW$149, FALSE))/2)</f>
        <v>22</v>
      </c>
      <c r="AH122" s="227">
        <f t="array" ref="AH122">IF($G122=0, INDEX(LS_previous!$D$4:$AY$138, MATCH('Staging Table'!$A122, LS_previous!$B$4:$B$138, 0), MATCH(AH$4&amp;AH$5, LS_previous!$D$2:$AY$2&amp;LS_previous!$D$3:$AY$3, 0)),SUM(VLOOKUP($A122, LS_previous!$B$4:$AY$138, LS_previous!Z$149, FALSE), VLOOKUP('Staging Table'!$A122, LS_previous!$B$4:$AY$138,LS_previous!AX$149, FALSE))/2)</f>
        <v>-3</v>
      </c>
      <c r="AI122" s="227">
        <f t="array" ref="AI122">IF($G122=0, INDEX(LS_previous!$D$4:$AY$138, MATCH('Staging Table'!$A122, LS_previous!$B$4:$B$138, 0), MATCH(AI$4&amp;AI$5, LS_previous!$D$2:$AY$2&amp;LS_previous!$D$3:$AY$3, 0)),SUM(VLOOKUP($A122, LS_previous!$B$4:$AY$138, LS_previous!AA$149, FALSE), VLOOKUP('Staging Table'!$A122, LS_previous!$B$4:$AY$138,LS_previous!AY$149, FALSE))/2)</f>
        <v>27</v>
      </c>
      <c r="AJ122" s="424">
        <f t="array" ref="AJ122">INDEX(Demand_previous!$D$4:$AY$138, MATCH('Staging Table'!$A122, Demand_previous!$B$4:$B$138, 0), MATCH(AJ$4&amp;AJ$5,Demand_previous!$D$2:$AY$2&amp;Demand_previous!$D$3:$AY$3, 0))/1000</f>
        <v>9.9000000000000005E-2</v>
      </c>
      <c r="AK122" s="424">
        <f t="array" ref="AK122">INDEX(Demand_previous!$D$4:$AY$138, MATCH('Staging Table'!$A122, Demand_previous!$B$4:$B$138, 0), MATCH(AK$4&amp;AK$5,Demand_previous!$D$2:$AY$2&amp;Demand_previous!$D$3:$AY$3, 0))/1000</f>
        <v>0.16600000000000001</v>
      </c>
      <c r="AL122" s="424">
        <f t="array" ref="AL122">INDEX(Demand_previous!$D$4:$AY$138, MATCH('Staging Table'!$A122, Demand_previous!$B$4:$B$138, 0), MATCH(AL$4&amp;AL$5,Demand_previous!$D$2:$AY$2&amp;Demand_previous!$D$3:$AY$3, 0))/1000</f>
        <v>4.8000000000000001E-2</v>
      </c>
      <c r="AM122" s="424">
        <f t="array" ref="AM122">INDEX(Demand_previous!$D$4:$AY$138, MATCH('Staging Table'!$A122, Demand_previous!$B$4:$B$138, 0), MATCH(AM$4&amp;AM$5,Demand_previous!$D$2:$AY$2&amp;Demand_previous!$D$3:$AY$3, 0))/1000</f>
        <v>0.17199999999999999</v>
      </c>
      <c r="AN122" s="424">
        <f t="array" ref="AN122">INDEX(Demand_previous!$D$4:$AY$138, MATCH('Staging Table'!$A122, Demand_previous!$B$4:$B$138, 0), MATCH(AN$4&amp;AN$5,Demand_previous!$D$2:$AY$2&amp;Demand_previous!$D$3:$AY$3, 0))/1000</f>
        <v>6.8000000000000005E-2</v>
      </c>
      <c r="AO122" s="424">
        <f t="array" ref="AO122">INDEX(Demand_previous!$D$4:$AY$138, MATCH('Staging Table'!$A122, Demand_previous!$B$4:$B$138, 0), MATCH(AO$4&amp;AO$5,Demand_previous!$D$2:$AY$2&amp;Demand_previous!$D$3:$AY$3, 0))/1000</f>
        <v>0.27600000000000002</v>
      </c>
      <c r="AP122" s="424">
        <f t="array" ref="AP122">INDEX(Demand_previous!$D$4:$AY$138, MATCH('Staging Table'!$A122, Demand_previous!$B$4:$B$138, 0), MATCH(AP$4&amp;AP$5,Demand_previous!$D$2:$AY$2&amp;Demand_previous!$D$3:$AY$3, 0))/1000</f>
        <v>1.7999999999999999E-2</v>
      </c>
      <c r="AQ122" s="424">
        <f t="array" ref="AQ122">INDEX(Demand_previous!$D$4:$AY$138, MATCH('Staging Table'!$A122, Demand_previous!$B$4:$B$138, 0), MATCH(AQ$4&amp;AQ$5,Demand_previous!$D$2:$AY$2&amp;Demand_previous!$D$3:$AY$3, 0))/1000</f>
        <v>0</v>
      </c>
      <c r="AR122" s="424">
        <f t="array" ref="AR122">INDEX(Demand_previous!$D$4:$AY$138, MATCH('Staging Table'!$A122, Demand_previous!$B$4:$B$138, 0), MATCH(AR$4&amp;AR$5,Demand_previous!$D$2:$AY$2&amp;Demand_previous!$D$3:$AY$3, 0))/1000</f>
        <v>3.5999999999999997E-2</v>
      </c>
      <c r="AS122" s="424">
        <f t="array" ref="AS122">INDEX(Demand_previous!$D$4:$AY$138, MATCH('Staging Table'!$A122, Demand_previous!$B$4:$B$138, 0), MATCH(AS$4&amp;AS$5,Demand_previous!$D$2:$AY$2&amp;Demand_previous!$D$3:$AY$3, 0))/1000</f>
        <v>0</v>
      </c>
      <c r="AT122" s="424">
        <f t="array" ref="AT122">INDEX(Demand_previous!$D$4:$AY$138, MATCH('Staging Table'!$A122, Demand_previous!$B$4:$B$138, 0), MATCH(AT$4&amp;AT$5,Demand_previous!$D$2:$AY$2&amp;Demand_previous!$D$3:$AY$3, 0))/1000</f>
        <v>1.7000000000000001E-2</v>
      </c>
      <c r="AU122" s="424">
        <f t="array" ref="AU122">INDEX(Demand_previous!$D$4:$AY$138, MATCH('Staging Table'!$A122, Demand_previous!$B$4:$B$138, 0), MATCH(AU$4&amp;AU$5,Demand_previous!$D$2:$AY$2&amp;Demand_previous!$D$3:$AY$3, 0))/1000</f>
        <v>0</v>
      </c>
      <c r="AV122" s="227">
        <f>$F122*(VLOOKUP(AV$4, Rates_previous!$G$6:$Q$29, 10, FALSE)+VLOOKUP(AV$4, Rates_previous!$G$6:$Q$29, 11, FALSE))</f>
        <v>304.30557077907855</v>
      </c>
      <c r="AW122" s="227">
        <f>$F122*(VLOOKUP(AW$4, Rates_previous!$G$6:$Q$29, 10, FALSE)+VLOOKUP(AW$4, Rates_previous!$G$6:$Q$29, 11, FALSE))</f>
        <v>376.09855703386171</v>
      </c>
      <c r="AX122" s="227">
        <f>$F122*(VLOOKUP(AX$4, Rates_previous!$G$6:$Q$29, 10, FALSE)+VLOOKUP(AX$4, Rates_previous!$G$6:$Q$29, 11, FALSE))</f>
        <v>371.58206319948727</v>
      </c>
      <c r="AY122" s="227">
        <f>$F122*(VLOOKUP(AY$4, Rates_previous!$G$6:$Q$29, 10, FALSE)+VLOOKUP(AY$4, Rates_previous!$G$6:$Q$29, 11, FALSE))</f>
        <v>317.481455383884</v>
      </c>
      <c r="AZ122" s="227">
        <f>$F122*(VLOOKUP(AZ$4, Rates_previous!$G$6:$Q$29, 10, FALSE)+VLOOKUP(AZ$4, Rates_previous!$G$6:$Q$29, 11, FALSE))</f>
        <v>260.27321117244207</v>
      </c>
      <c r="BA122" s="227">
        <f>$F122*(VLOOKUP(BA$4, Rates_previous!$G$6:$Q$29, 10, FALSE)+VLOOKUP(BA$4, Rates_previous!$G$6:$Q$29, 11, FALSE))</f>
        <v>308.15402802775697</v>
      </c>
      <c r="BB122" s="227">
        <f>$F122*(VLOOKUP(BB$4, Rates_previous!$G$6:$Q$29, 10, FALSE)+VLOOKUP(BB$4, Rates_previous!$G$6:$Q$29, 11, FALSE))</f>
        <v>296.18084467269762</v>
      </c>
      <c r="BC122" s="227">
        <f>$F122*(VLOOKUP(BC$4, Rates_previous!$G$6:$Q$29, 10, FALSE)+VLOOKUP(BC$4, Rates_previous!$G$6:$Q$29, 11, FALSE))</f>
        <v>434.62443098685384</v>
      </c>
      <c r="BD122" s="227">
        <f>$F122*(VLOOKUP(BD$4, Rates_previous!$G$6:$Q$29, 10, FALSE)+VLOOKUP(BD$4, Rates_previous!$G$6:$Q$29, 11, FALSE))</f>
        <v>342.90718878489264</v>
      </c>
      <c r="BE122" s="227">
        <f>$F122*(VLOOKUP(BE$4, Rates_previous!$G$6:$Q$29, 10, FALSE)+VLOOKUP(BE$4, Rates_previous!$G$6:$Q$29, 11, FALSE))</f>
        <v>301.10129384985601</v>
      </c>
      <c r="BF122" s="227">
        <f>$F122*(VLOOKUP(BF$4, Rates_previous!$G$6:$Q$29, 10, FALSE)+VLOOKUP(BF$4, Rates_previous!$G$6:$Q$29, 11, FALSE))</f>
        <v>333.48173533483271</v>
      </c>
      <c r="BG122" s="227">
        <f>$F122*(VLOOKUP(BG$4, Rates_previous!$G$6:$Q$29, 10, FALSE)+VLOOKUP(BG$4, Rates_previous!$G$6:$Q$29, 11, FALSE))</f>
        <v>302.12119047590755</v>
      </c>
      <c r="BH122" s="229">
        <f>IF($D122=0,IF(C122=0, MAX(BK122 - (VLOOKUP($A122,TOCA_previous!$A$2:$AI$137,MATCH("RHWM 2018",TOCA_previous!$A$2:$AI$2,0),FALSE)*$F$2*TOCA_previous!C119),0),0), 0)</f>
        <v>1671.5516273039993</v>
      </c>
      <c r="BI122" s="266">
        <f>VLOOKUP($A122,REP_previous!$A$1:$D$135,MATCH("FY "&amp;$F$1&amp; " Total Refund",REP_previous!$A$1:$D$1,0),0)</f>
        <v>5878.7207440806742</v>
      </c>
      <c r="BJ122" s="241">
        <f>MIN(VLOOKUP($A122,TOCA_previous!$A$2:$AI$137,MATCH("TRL - NLSL - Existing Resource "&amp;$F$1,TOCA_previous!$A$2:$AI$2,0),FALSE)*$F$2,(VLOOKUP($A122,TOCA_previous!$A$2:$AI$137,MATCH("RHWM 2018",TOCA_previous!$A$2:$AI$2,0),FALSE)*$F$2))</f>
        <v>3950.76</v>
      </c>
      <c r="BK122" s="229">
        <f>SUM(L122:AI122)+(F122*RT1SC!$C$3*$F$2)</f>
        <v>5622.3116273039996</v>
      </c>
      <c r="BL122" s="241">
        <f>VLOOKUP($A122,TOCA_previous!$A$2:$AI$137,MATCH("Above RHWM Not Served with LS "&amp;$F$1,TOCA_previous!$A$2:$AI$2,0),FALSE)*$F$2</f>
        <v>0</v>
      </c>
      <c r="BM122" s="151">
        <f t="shared" si="21"/>
        <v>1671.5516273039993</v>
      </c>
      <c r="BN122" s="242">
        <f>(VLOOKUP($A122,TOCA_previous!$A$2:$AI$137,MATCH("RHWM 2018",TOCA_previous!$A$2:$AI$2,0),FALSE)*$F$2) - $BJ122</f>
        <v>0</v>
      </c>
      <c r="BO122" s="151">
        <f t="shared" si="22"/>
        <v>0</v>
      </c>
      <c r="BP122" s="243">
        <f t="shared" si="23"/>
        <v>0</v>
      </c>
      <c r="BQ122" s="237">
        <f t="shared" si="24"/>
        <v>0</v>
      </c>
      <c r="BR122" s="242">
        <f t="shared" si="25"/>
        <v>0</v>
      </c>
      <c r="BS122" s="151">
        <f>VLOOKUP($A122,TOCA_current!$A$2:$AI$137,MATCH(BS$4,TOCA_current!$A$2:$AI$2,0),FALSE)</f>
        <v>6.4900000000000005E-5</v>
      </c>
      <c r="BT122" s="151">
        <f>VLOOKUP($A122,TOCA_current!$A$2:$AI$137,MATCH(BT$4,TOCA_current!$A$2:$AI$2,0),FALSE)</f>
        <v>6.4900000000000005E-5</v>
      </c>
      <c r="BU122" s="236">
        <f t="shared" si="26"/>
        <v>0</v>
      </c>
      <c r="BV122" s="151">
        <f>VLOOKUP($A122,TOCA_current!A118:BG253,MATCH(BV$4,TOCA_current!$A$2:$BG$2,0),FALSE)</f>
        <v>0</v>
      </c>
      <c r="BW122" s="151">
        <f t="shared" si="27"/>
        <v>0</v>
      </c>
      <c r="BX122" s="151">
        <f t="shared" si="28"/>
        <v>0</v>
      </c>
      <c r="BY122" s="226">
        <f>VLOOKUP($A122,IRD!$A$4:$G$139, 7, FALSE)</f>
        <v>0</v>
      </c>
      <c r="BZ122" s="227">
        <f t="array" ref="BZ122">IF($BU122=0, INDEX(LS_current!$D$4:$AY$138, MATCH('Staging Table'!$A122, LS_current!$B$4:$B$138, 0), MATCH(BZ$4&amp;BZ$5, LS_current!$D$2:$AY$2&amp;LS_current!$D$3:$AY$3, 0)),SUM(VLOOKUP($A122, LS_current!$B$4:$AY$138, LS_current!D$148, FALSE), VLOOKUP($A122, LS_current!$B$4:$AY$138,LS_current!D$148, FALSE))/2)</f>
        <v>39</v>
      </c>
      <c r="CA122" s="227">
        <f t="array" ref="CA122">IF($BU122=0, INDEX(LS_current!$D$4:$AY$138, MATCH('Staging Table'!$A122, LS_current!$B$4:$B$138, 0), MATCH(CA$4&amp;CA$5, LS_current!$D$2:$AY$2&amp;LS_current!$D$3:$AY$3, 0)),SUM(VLOOKUP($A122, LS_current!$B$4:$AY$138, LS_current!E$148, FALSE), VLOOKUP($A122, LS_current!$B$4:$AY$138,LS_current!E$148, FALSE))/2)</f>
        <v>53</v>
      </c>
      <c r="CB122" s="227">
        <f t="array" ref="CB122">IF($BU122=0, INDEX(LS_current!$D$4:$AY$138, MATCH('Staging Table'!$A122, LS_current!$B$4:$B$138, 0), MATCH(CB$4&amp;CB$5, LS_current!$D$2:$AY$2&amp;LS_current!$D$3:$AY$3, 0)),SUM(VLOOKUP($A122, LS_current!$B$4:$AY$138, LS_current!F$148, FALSE), VLOOKUP($A122, LS_current!$B$4:$AY$138,LS_current!F$148, FALSE))/2)</f>
        <v>73</v>
      </c>
      <c r="CC122" s="227">
        <f t="array" ref="CC122">IF($BU122=0, INDEX(LS_current!$D$4:$AY$138, MATCH('Staging Table'!$A122, LS_current!$B$4:$B$138, 0), MATCH(CC$4&amp;CC$5, LS_current!$D$2:$AY$2&amp;LS_current!$D$3:$AY$3, 0)),SUM(VLOOKUP($A122, LS_current!$B$4:$AY$138, LS_current!G$148, FALSE), VLOOKUP($A122, LS_current!$B$4:$AY$138,LS_current!G$148, FALSE))/2)</f>
        <v>107</v>
      </c>
      <c r="CD122" s="227">
        <f t="array" ref="CD122">IF($BU122=0, INDEX(LS_current!$D$4:$AY$138, MATCH('Staging Table'!$A122, LS_current!$B$4:$B$138, 0), MATCH(CD$4&amp;CD$5, LS_current!$D$2:$AY$2&amp;LS_current!$D$3:$AY$3, 0)),SUM(VLOOKUP($A122, LS_current!$B$4:$AY$138, LS_current!H$148, FALSE), VLOOKUP($A122, LS_current!$B$4:$AY$138,LS_current!H$148, FALSE))/2)</f>
        <v>135</v>
      </c>
      <c r="CE122" s="227">
        <f t="array" ref="CE122">IF($BU122=0, INDEX(LS_current!$D$4:$AY$138, MATCH('Staging Table'!$A122, LS_current!$B$4:$B$138, 0), MATCH(CE$4&amp;CE$5, LS_current!$D$2:$AY$2&amp;LS_current!$D$3:$AY$3, 0)),SUM(VLOOKUP($A122, LS_current!$B$4:$AY$138, LS_current!I$148, FALSE), VLOOKUP($A122, LS_current!$B$4:$AY$138,LS_current!I$148, FALSE))/2)</f>
        <v>168</v>
      </c>
      <c r="CF122" s="227">
        <f t="array" ref="CF122">IF($BU122=0, INDEX(LS_current!$D$4:$AY$138, MATCH('Staging Table'!$A122, LS_current!$B$4:$B$138, 0), MATCH(CF$4&amp;CF$5, LS_current!$D$2:$AY$2&amp;LS_current!$D$3:$AY$3, 0)),SUM(VLOOKUP($A122, LS_current!$B$4:$AY$138, LS_current!J$148, FALSE), VLOOKUP($A122, LS_current!$B$4:$AY$138,LS_current!J$148, FALSE))/2)</f>
        <v>177</v>
      </c>
      <c r="CG122" s="227">
        <f t="array" ref="CG122">IF($BU122=0, INDEX(LS_current!$D$4:$AY$138, MATCH('Staging Table'!$A122, LS_current!$B$4:$B$138, 0), MATCH(CG$4&amp;CG$5, LS_current!$D$2:$AY$2&amp;LS_current!$D$3:$AY$3, 0)),SUM(VLOOKUP($A122, LS_current!$B$4:$AY$138, LS_current!K$148, FALSE), VLOOKUP($A122, LS_current!$B$4:$AY$138,LS_current!K$148, FALSE))/2)</f>
        <v>176</v>
      </c>
      <c r="CH122" s="227">
        <f t="array" ref="CH122">IF($BU122=0, INDEX(LS_current!$D$4:$AY$138, MATCH('Staging Table'!$A122, LS_current!$B$4:$B$138, 0), MATCH(CH$4&amp;CH$5, LS_current!$D$2:$AY$2&amp;LS_current!$D$3:$AY$3, 0)),SUM(VLOOKUP($A122, LS_current!$B$4:$AY$138, LS_current!L$148, FALSE), VLOOKUP($A122, LS_current!$B$4:$AY$138,LS_current!L$148, FALSE))/2)</f>
        <v>173</v>
      </c>
      <c r="CI122" s="227">
        <f t="array" ref="CI122">IF($BU122=0, INDEX(LS_current!$D$4:$AY$138, MATCH('Staging Table'!$A122, LS_current!$B$4:$B$138, 0), MATCH(CI$4&amp;CI$5, LS_current!$D$2:$AY$2&amp;LS_current!$D$3:$AY$3, 0)),SUM(VLOOKUP($A122, LS_current!$B$4:$AY$138, LS_current!M$148, FALSE), VLOOKUP($A122, LS_current!$B$4:$AY$138,LS_current!M$148, FALSE))/2)</f>
        <v>158</v>
      </c>
      <c r="CJ122" s="227">
        <f t="array" ref="CJ122">IF($BU122=0, INDEX(LS_current!$D$4:$AY$138, MATCH('Staging Table'!$A122, LS_current!$B$4:$B$138, 0), MATCH(CJ$4&amp;CJ$5, LS_current!$D$2:$AY$2&amp;LS_current!$D$3:$AY$3, 0)),SUM(VLOOKUP($A122, LS_current!$B$4:$AY$138, LS_current!N$148, FALSE), VLOOKUP($A122, LS_current!$B$4:$AY$138,LS_current!N$148, FALSE))/2)</f>
        <v>99</v>
      </c>
      <c r="CK122" s="227">
        <f t="array" ref="CK122">IF($BU122=0, INDEX(LS_current!$D$4:$AY$138, MATCH('Staging Table'!$A122, LS_current!$B$4:$B$138, 0), MATCH(CK$4&amp;CK$5, LS_current!$D$2:$AY$2&amp;LS_current!$D$3:$AY$3, 0)),SUM(VLOOKUP($A122, LS_current!$B$4:$AY$138, LS_current!O$148, FALSE), VLOOKUP($A122, LS_current!$B$4:$AY$138,LS_current!O$148, FALSE))/2)</f>
        <v>123</v>
      </c>
      <c r="CL122" s="227">
        <f t="array" ref="CL122">IF($BU122=0, INDEX(LS_current!$D$4:$AY$138, MATCH('Staging Table'!$A122, LS_current!$B$4:$B$138, 0), MATCH(CL$4&amp;CL$5, LS_current!$D$2:$AY$2&amp;LS_current!$D$3:$AY$3, 0)),SUM(VLOOKUP($A122, LS_current!$B$4:$AY$138, LS_current!P$148, FALSE), VLOOKUP($A122, LS_current!$B$4:$AY$138,LS_current!P$148, FALSE))/2)</f>
        <v>114</v>
      </c>
      <c r="CM122" s="227">
        <f t="array" ref="CM122">IF($BU122=0, INDEX(LS_current!$D$4:$AY$138, MATCH('Staging Table'!$A122, LS_current!$B$4:$B$138, 0), MATCH(CM$4&amp;CM$5, LS_current!$D$2:$AY$2&amp;LS_current!$D$3:$AY$3, 0)),SUM(VLOOKUP($A122, LS_current!$B$4:$AY$138, LS_current!Q$148, FALSE), VLOOKUP($A122, LS_current!$B$4:$AY$138,LS_current!Q$148, FALSE))/2)</f>
        <v>107</v>
      </c>
      <c r="CN122" s="227">
        <f t="array" ref="CN122">IF($BU122=0, INDEX(LS_current!$D$4:$AY$138, MATCH('Staging Table'!$A122, LS_current!$B$4:$B$138, 0), MATCH(CN$4&amp;CN$5, LS_current!$D$2:$AY$2&amp;LS_current!$D$3:$AY$3, 0)),SUM(VLOOKUP($A122, LS_current!$B$4:$AY$138, LS_current!R$148, FALSE), VLOOKUP($A122, LS_current!$B$4:$AY$138,LS_current!R$148, FALSE))/2)</f>
        <v>-13</v>
      </c>
      <c r="CO122" s="227">
        <f t="array" ref="CO122">IF($BU122=0, INDEX(LS_current!$D$4:$AY$138, MATCH('Staging Table'!$A122, LS_current!$B$4:$B$138, 0), MATCH(CO$4&amp;CO$5, LS_current!$D$2:$AY$2&amp;LS_current!$D$3:$AY$3, 0)),SUM(VLOOKUP($A122, LS_current!$B$4:$AY$138, LS_current!S$148, FALSE), VLOOKUP($A122, LS_current!$B$4:$AY$138,LS_current!S$148, FALSE))/2)</f>
        <v>53</v>
      </c>
      <c r="CP122" s="227">
        <f t="array" ref="CP122">IF($BU122=0, INDEX(LS_current!$D$4:$AY$138, MATCH('Staging Table'!$A122, LS_current!$B$4:$B$138, 0), MATCH(CP$4&amp;CP$5, LS_current!$D$2:$AY$2&amp;LS_current!$D$3:$AY$3, 0)),SUM(VLOOKUP($A122, LS_current!$B$4:$AY$138, LS_current!T$148, FALSE), VLOOKUP($A122, LS_current!$B$4:$AY$138,LS_current!T$148, FALSE))/2)</f>
        <v>-88</v>
      </c>
      <c r="CQ122" s="227">
        <f t="array" ref="CQ122">IF($BU122=0, INDEX(LS_current!$D$4:$AY$138, MATCH('Staging Table'!$A122, LS_current!$B$4:$B$138, 0), MATCH(CQ$4&amp;CQ$5, LS_current!$D$2:$AY$2&amp;LS_current!$D$3:$AY$3, 0)),SUM(VLOOKUP($A122, LS_current!$B$4:$AY$138, LS_current!U$148, FALSE), VLOOKUP($A122, LS_current!$B$4:$AY$138,LS_current!U$148, FALSE))/2)</f>
        <v>-22</v>
      </c>
      <c r="CR122" s="227">
        <f t="array" ref="CR122">IF($BU122=0, INDEX(LS_current!$D$4:$AY$138, MATCH('Staging Table'!$A122, LS_current!$B$4:$B$138, 0), MATCH(CR$4&amp;CR$5, LS_current!$D$2:$AY$2&amp;LS_current!$D$3:$AY$3, 0)),SUM(VLOOKUP($A122, LS_current!$B$4:$AY$138, LS_current!V$148, FALSE), VLOOKUP($A122, LS_current!$B$4:$AY$138,LS_current!V$148, FALSE))/2)</f>
        <v>-47</v>
      </c>
      <c r="CS122" s="227">
        <f t="array" ref="CS122">IF($BU122=0, INDEX(LS_current!$D$4:$AY$138, MATCH('Staging Table'!$A122, LS_current!$B$4:$B$138, 0), MATCH(CS$4&amp;CS$5, LS_current!$D$2:$AY$2&amp;LS_current!$D$3:$AY$3, 0)),SUM(VLOOKUP($A122, LS_current!$B$4:$AY$138, LS_current!W$148, FALSE), VLOOKUP($A122, LS_current!$B$4:$AY$138,LS_current!W$148, FALSE))/2)</f>
        <v>25</v>
      </c>
      <c r="CT122" s="227">
        <f t="array" ref="CT122">IF($BU122=0, INDEX(LS_current!$D$4:$AY$138, MATCH('Staging Table'!$A122, LS_current!$B$4:$B$138, 0), MATCH(CT$4&amp;CT$5, LS_current!$D$2:$AY$2&amp;LS_current!$D$3:$AY$3, 0)),SUM(VLOOKUP($A122, LS_current!$B$4:$AY$138, LS_current!X$148, FALSE), VLOOKUP($A122, LS_current!$B$4:$AY$138,LS_current!X$148, FALSE))/2)</f>
        <v>-39</v>
      </c>
      <c r="CU122" s="227">
        <f t="array" ref="CU122">IF($BU122=0, INDEX(LS_current!$D$4:$AY$138, MATCH('Staging Table'!$A122, LS_current!$B$4:$B$138, 0), MATCH(CU$4&amp;CU$5, LS_current!$D$2:$AY$2&amp;LS_current!$D$3:$AY$3, 0)),SUM(VLOOKUP($A122, LS_current!$B$4:$AY$138, LS_current!Y$148, FALSE), VLOOKUP($A122, LS_current!$B$4:$AY$138,LS_current!Y$148, FALSE))/2)</f>
        <v>26</v>
      </c>
      <c r="CV122" s="227">
        <f t="array" ref="CV122">IF($BU122=0, INDEX(LS_current!$D$4:$AY$138, MATCH('Staging Table'!$A122, LS_current!$B$4:$B$138, 0), MATCH(CV$4&amp;CV$5, LS_current!$D$2:$AY$2&amp;LS_current!$D$3:$AY$3, 0)),SUM(VLOOKUP($A122, LS_current!$B$4:$AY$138, LS_current!Z$148, FALSE), VLOOKUP($A122, LS_current!$B$4:$AY$138,LS_current!Z$148, FALSE))/2)</f>
        <v>-4</v>
      </c>
      <c r="CW122" s="227">
        <f t="array" ref="CW122">IF($BU122=0, INDEX(LS_current!$D$4:$AY$138, MATCH('Staging Table'!$A122, LS_current!$B$4:$B$138, 0), MATCH(CW$4&amp;CW$5, LS_current!$D$2:$AY$2&amp;LS_current!$D$3:$AY$3, 0)),SUM(VLOOKUP($A122, LS_current!$B$4:$AY$138, LS_current!AA$148, FALSE), VLOOKUP($A122, LS_current!$B$4:$AY$138,LS_current!AA$148, FALSE))/2)</f>
        <v>27</v>
      </c>
      <c r="CX122" s="229">
        <f t="array" ref="CX122">INDEX(Demand_current!$D$4:$AY$138, MATCH($A122, Demand_current!$B$4:$B$138, 0), MATCH(CX$4&amp;CX$5,Demand_current!$D$2:$AY$2&amp;Demand_current!$D$3:$AY$3, 0))/1000</f>
        <v>0.12</v>
      </c>
      <c r="CY122" s="229">
        <f t="array" ref="CY122">INDEX(Demand_current!$D$4:$AY$138, MATCH($A122, Demand_current!$B$4:$B$138, 0), MATCH(CY$4&amp;CY$5,Demand_current!$D$2:$AY$2&amp;Demand_current!$D$3:$AY$3, 0))/1000</f>
        <v>0.16600000000000001</v>
      </c>
      <c r="CZ122" s="229">
        <f t="array" ref="CZ122">INDEX(Demand_current!$D$4:$AY$138, MATCH($A122, Demand_current!$B$4:$B$138, 0), MATCH(CZ$4&amp;CZ$5,Demand_current!$D$2:$AY$2&amp;Demand_current!$D$3:$AY$3, 0))/1000</f>
        <v>4.8000000000000001E-2</v>
      </c>
      <c r="DA122" s="229">
        <f t="array" ref="DA122">INDEX(Demand_current!$D$4:$AY$138, MATCH($A122, Demand_current!$B$4:$B$138, 0), MATCH(DA$4&amp;DA$5,Demand_current!$D$2:$AY$2&amp;Demand_current!$D$3:$AY$3, 0))/1000</f>
        <v>0.17199999999999999</v>
      </c>
      <c r="DB122" s="229">
        <f t="array" ref="DB122">INDEX(Demand_current!$D$4:$AY$138, MATCH($A122, Demand_current!$B$4:$B$138, 0), MATCH(DB$4&amp;DB$5,Demand_current!$D$2:$AY$2&amp;Demand_current!$D$3:$AY$3, 0))/1000</f>
        <v>0.105</v>
      </c>
      <c r="DC122" s="229">
        <f t="array" ref="DC122">INDEX(Demand_current!$D$4:$AY$138, MATCH($A122, Demand_current!$B$4:$B$138, 0), MATCH(DC$4&amp;DC$5,Demand_current!$D$2:$AY$2&amp;Demand_current!$D$3:$AY$3, 0))/1000</f>
        <v>0.249</v>
      </c>
      <c r="DD122" s="229">
        <f t="array" ref="DD122">INDEX(Demand_current!$D$4:$AY$138, MATCH($A122, Demand_current!$B$4:$B$138, 0), MATCH(DD$4&amp;DD$5,Demand_current!$D$2:$AY$2&amp;Demand_current!$D$3:$AY$3, 0))/1000</f>
        <v>4.4999999999999998E-2</v>
      </c>
      <c r="DE122" s="229">
        <f t="array" ref="DE122">INDEX(Demand_current!$D$4:$AY$138, MATCH($A122, Demand_current!$B$4:$B$138, 0), MATCH(DE$4&amp;DE$5,Demand_current!$D$2:$AY$2&amp;Demand_current!$D$3:$AY$3, 0))/1000</f>
        <v>0</v>
      </c>
      <c r="DF122" s="229">
        <f t="array" ref="DF122">INDEX(Demand_current!$D$4:$AY$138, MATCH($A122, Demand_current!$B$4:$B$138, 0), MATCH(DF$4&amp;DF$5,Demand_current!$D$2:$AY$2&amp;Demand_current!$D$3:$AY$3, 0))/1000</f>
        <v>3.5999999999999997E-2</v>
      </c>
      <c r="DG122" s="229">
        <f t="array" ref="DG122">INDEX(Demand_current!$D$4:$AY$138, MATCH($A122, Demand_current!$B$4:$B$138, 0), MATCH(DG$4&amp;DG$5,Demand_current!$D$2:$AY$2&amp;Demand_current!$D$3:$AY$3, 0))/1000</f>
        <v>0</v>
      </c>
      <c r="DH122" s="229">
        <f t="array" ref="DH122">INDEX(Demand_current!$D$4:$AY$138, MATCH($A122, Demand_current!$B$4:$B$138, 0), MATCH(DH$4&amp;DH$5,Demand_current!$D$2:$AY$2&amp;Demand_current!$D$3:$AY$3, 0))/1000</f>
        <v>0</v>
      </c>
      <c r="DI122" s="229">
        <f t="array" ref="DI122">INDEX(Demand_current!$D$4:$AY$138, MATCH($A122, Demand_current!$B$4:$B$138, 0), MATCH(DI$4&amp;DI$5,Demand_current!$D$2:$AY$2&amp;Demand_current!$D$3:$AY$3, 0))/1000</f>
        <v>0</v>
      </c>
      <c r="DJ122" s="227">
        <f>$BT122*(VLOOKUP(DJ$4, Rates_current!$G$6:$Q$29, 10, FALSE)+VLOOKUP(DJ$4, Rates_current!$G$6:$Q$29, 11, FALSE))</f>
        <v>299.66388602040001</v>
      </c>
      <c r="DK122" s="227">
        <f>$BT122*(VLOOKUP(DK$4, Rates_current!$G$6:$Q$29, 10, FALSE)+VLOOKUP(DK$4, Rates_current!$G$6:$Q$29, 11, FALSE))</f>
        <v>380.66661721110006</v>
      </c>
      <c r="DL122" s="227">
        <f>$BT122*(VLOOKUP(DL$4, Rates_current!$G$6:$Q$29, 10, FALSE)+VLOOKUP(DL$4, Rates_current!$G$6:$Q$29, 11, FALSE))</f>
        <v>376.06955272040005</v>
      </c>
      <c r="DM122" s="227">
        <f>$BT122*(VLOOKUP(DM$4, Rates_current!$G$6:$Q$29, 10, FALSE)+VLOOKUP(DM$4, Rates_current!$G$6:$Q$29, 11, FALSE))</f>
        <v>313.47687752040008</v>
      </c>
      <c r="DN122" s="227">
        <f>$BT122*(VLOOKUP(DN$4, Rates_current!$G$6:$Q$29, 10, FALSE)+VLOOKUP(DN$4, Rates_current!$G$6:$Q$29, 11, FALSE))</f>
        <v>283.97753032000003</v>
      </c>
      <c r="DO122" s="227">
        <f>$BT122*(VLOOKUP(DO$4, Rates_current!$G$6:$Q$29, 10, FALSE)+VLOOKUP(DO$4, Rates_current!$G$6:$Q$29, 11, FALSE))</f>
        <v>315.87322831130001</v>
      </c>
      <c r="DP122" s="227">
        <f>$BT122*(VLOOKUP(DP$4, Rates_current!$G$6:$Q$29, 10, FALSE)+VLOOKUP(DP$4, Rates_current!$G$6:$Q$29, 11, FALSE))</f>
        <v>257.18432335200004</v>
      </c>
      <c r="DQ122" s="227">
        <f>$BT122*(VLOOKUP(DQ$4, Rates_current!$G$6:$Q$29, 10, FALSE)+VLOOKUP(DQ$4, Rates_current!$G$6:$Q$29, 11, FALSE))</f>
        <v>346.85141047040008</v>
      </c>
      <c r="DR122" s="227">
        <f>$BT122*(VLOOKUP(DR$4, Rates_current!$G$6:$Q$29, 10, FALSE)+VLOOKUP(DR$4, Rates_current!$G$6:$Q$29, 11, FALSE))</f>
        <v>442.55880990200006</v>
      </c>
      <c r="DS122" s="227">
        <f>$BT122*(VLOOKUP(DS$4, Rates_current!$G$6:$Q$29, 10, FALSE)+VLOOKUP(DS$4, Rates_current!$G$6:$Q$29, 11, FALSE))</f>
        <v>346.98013962040005</v>
      </c>
      <c r="DT122" s="227">
        <f>$BT122*(VLOOKUP(DT$4, Rates_current!$G$6:$Q$29, 10, FALSE)+VLOOKUP(DT$4, Rates_current!$G$6:$Q$29, 11, FALSE))</f>
        <v>337.88956417040004</v>
      </c>
      <c r="DU122" s="227">
        <f>$BT122*(VLOOKUP(DU$4, Rates_current!$G$6:$Q$29, 10, FALSE)+VLOOKUP(DU$4, Rates_current!$G$6:$Q$29, 11, FALSE))</f>
        <v>303.35295025200003</v>
      </c>
      <c r="DV122" s="229">
        <f>IF(D122=0,IF(C122=0,MAX(0,DY122 - (VLOOKUP($A122,TOCA_current!$A$2:$AI$137,MATCH("RHWM 2020",TOCA_current!$A$2:$AI$2,0),FALSE)*$BT$2)), 0),0)</f>
        <v>1619.0410401792001</v>
      </c>
      <c r="DW122" s="266">
        <f>VLOOKUP($A122,REP_current!$A$1:$D$135,MATCH("FY "&amp;$BT$1&amp; " Total Refund",REP_current!$A$1:$D$1,0),0)</f>
        <v>0</v>
      </c>
      <c r="DX122" s="295">
        <f>MIN(VLOOKUP($A122,TOCA_current!$A$2:$AI$137,MATCH("TRL - NLSL - Existing Resource "&amp;$BT$1,TOCA_current!$A$2:$AI$2,0),FALSE)*$BT$2, VLOOKUP($A122,TOCA_current!$A$2:$AI$137,MATCH("RHWM 2020",TOCA_current!$A$2:$AI$2,0),FALSE)*$BT$2)</f>
        <v>4005.5040000000004</v>
      </c>
      <c r="DY122" s="240">
        <f>SUM(BZ122:CW122)+(BT122*RT1SC!$C$4*$BT$2)</f>
        <v>5624.5450401792004</v>
      </c>
      <c r="DZ122" s="271">
        <f>VLOOKUP($A122,TOCA_current!$A$2:$AI$137,MATCH("Above RHWM Not Served with LS "&amp;$BT$1,TOCA_current!$A$2:$AI$2,0),FALSE)*$BT$2</f>
        <v>0</v>
      </c>
      <c r="EA122" s="244">
        <f t="shared" si="29"/>
        <v>1619.0410401792001</v>
      </c>
      <c r="EB122" s="295">
        <f>(VLOOKUP($A122,TOCA_current!$A$2:$AI$137,MATCH("RHWM 2020",TOCA_current!$A$2:$AI$2,0),FALSE)*$BT$2) - $DX122</f>
        <v>0</v>
      </c>
      <c r="EC122" s="240">
        <f t="shared" si="30"/>
        <v>0</v>
      </c>
      <c r="ED122" s="240">
        <f t="shared" si="31"/>
        <v>0</v>
      </c>
      <c r="EE122" s="240">
        <f t="shared" si="32"/>
        <v>0</v>
      </c>
      <c r="EF122" s="240">
        <f t="shared" si="33"/>
        <v>0</v>
      </c>
    </row>
    <row r="123" spans="1:136">
      <c r="A123" s="166">
        <v>10408</v>
      </c>
      <c r="B123" s="167" t="s">
        <v>124</v>
      </c>
      <c r="C123" s="240">
        <v>0</v>
      </c>
      <c r="D123" s="240">
        <v>0</v>
      </c>
      <c r="E123" s="150">
        <f>VLOOKUP($A123,TOCA_previous!$A$2:$AI$137,MATCH(E$4,TOCA_previous!$A$2:$AI$2,0),FALSE)</f>
        <v>2.0780000000000001E-4</v>
      </c>
      <c r="F123" s="151">
        <f>VLOOKUP($A123,TOCA_previous!$A$2:$AI$137,MATCH(F$4,TOCA_previous!$A$2:$AI$2,0),FALSE)</f>
        <v>2.0780000000000001E-4</v>
      </c>
      <c r="G123" s="151">
        <f t="shared" si="18"/>
        <v>0</v>
      </c>
      <c r="H123" s="151">
        <f>VLOOKUP($A123,TOCA_previous!$A$2:$AI$137,MATCH(H$4,TOCA_previous!$A$2:$AI$2,0),FALSE)</f>
        <v>0</v>
      </c>
      <c r="I123" s="151">
        <f t="shared" si="19"/>
        <v>0</v>
      </c>
      <c r="J123" s="151">
        <f t="shared" si="20"/>
        <v>0</v>
      </c>
      <c r="K123" s="226">
        <f>VLOOKUP(A123, IRD!$A$5:$C$139, 3, FALSE)</f>
        <v>0</v>
      </c>
      <c r="L123" s="227">
        <f t="array" ref="L123">IF($G123=0, INDEX(LS_previous!$D$4:$AY$138, MATCH('Staging Table'!$A123, LS_previous!$B$4:$B$138, 0), MATCH(L$4&amp;L$5, LS_previous!$D$2:$AY$2&amp;LS_previous!$D$3:$AY$3, 0)),SUM(VLOOKUP($A123, LS_previous!$B$4:$AY$138, LS_previous!D$149, FALSE), VLOOKUP('Staging Table'!$A123, LS_previous!$B$4:$AY$138,LS_previous!AB$149, FALSE))/2)</f>
        <v>81</v>
      </c>
      <c r="M123" s="227">
        <f t="array" ref="M123">IF($G123=0, INDEX(LS_previous!$D$4:$AY$138, MATCH('Staging Table'!$A123, LS_previous!$B$4:$B$138, 0), MATCH(M$4&amp;M$5, LS_previous!$D$2:$AY$2&amp;LS_previous!$D$3:$AY$3, 0)),SUM(VLOOKUP($A123, LS_previous!$B$4:$AY$138, LS_previous!E$149, FALSE), VLOOKUP('Staging Table'!$A123, LS_previous!$B$4:$AY$138,LS_previous!AC$149, FALSE))/2)</f>
        <v>212</v>
      </c>
      <c r="N123" s="227">
        <f t="array" ref="N123">IF($G123=0, INDEX(LS_previous!$D$4:$AY$138, MATCH('Staging Table'!$A123, LS_previous!$B$4:$B$138, 0), MATCH(N$4&amp;N$5, LS_previous!$D$2:$AY$2&amp;LS_previous!$D$3:$AY$3, 0)),SUM(VLOOKUP($A123, LS_previous!$B$4:$AY$138, LS_previous!F$149, FALSE), VLOOKUP('Staging Table'!$A123, LS_previous!$B$4:$AY$138,LS_previous!AD$149, FALSE))/2)</f>
        <v>-77</v>
      </c>
      <c r="O123" s="227">
        <f t="array" ref="O123">IF($G123=0, INDEX(LS_previous!$D$4:$AY$138, MATCH('Staging Table'!$A123, LS_previous!$B$4:$B$138, 0), MATCH(O$4&amp;O$5, LS_previous!$D$2:$AY$2&amp;LS_previous!$D$3:$AY$3, 0)),SUM(VLOOKUP($A123, LS_previous!$B$4:$AY$138, LS_previous!G$149, FALSE), VLOOKUP('Staging Table'!$A123, LS_previous!$B$4:$AY$138,LS_previous!AE$149, FALSE))/2)</f>
        <v>134</v>
      </c>
      <c r="P123" s="227">
        <f t="array" ref="P123">IF($G123=0, INDEX(LS_previous!$D$4:$AY$138, MATCH('Staging Table'!$A123, LS_previous!$B$4:$B$138, 0), MATCH(P$4&amp;P$5, LS_previous!$D$2:$AY$2&amp;LS_previous!$D$3:$AY$3, 0)),SUM(VLOOKUP($A123, LS_previous!$B$4:$AY$138, LS_previous!H$149, FALSE), VLOOKUP('Staging Table'!$A123, LS_previous!$B$4:$AY$138,LS_previous!AF$149, FALSE))/2)</f>
        <v>-4</v>
      </c>
      <c r="Q123" s="227">
        <f t="array" ref="Q123">IF($G123=0, INDEX(LS_previous!$D$4:$AY$138, MATCH('Staging Table'!$A123, LS_previous!$B$4:$B$138, 0), MATCH(Q$4&amp;Q$5, LS_previous!$D$2:$AY$2&amp;LS_previous!$D$3:$AY$3, 0)),SUM(VLOOKUP($A123, LS_previous!$B$4:$AY$138, LS_previous!I$149, FALSE), VLOOKUP('Staging Table'!$A123, LS_previous!$B$4:$AY$138,LS_previous!AG$149, FALSE))/2)</f>
        <v>174</v>
      </c>
      <c r="R123" s="227">
        <f t="array" ref="R123">IF($G123=0, INDEX(LS_previous!$D$4:$AY$138, MATCH('Staging Table'!$A123, LS_previous!$B$4:$B$138, 0), MATCH(R$4&amp;R$5, LS_previous!$D$2:$AY$2&amp;LS_previous!$D$3:$AY$3, 0)),SUM(VLOOKUP($A123, LS_previous!$B$4:$AY$138, LS_previous!J$149, FALSE), VLOOKUP('Staging Table'!$A123, LS_previous!$B$4:$AY$138,LS_previous!AH$149, FALSE))/2)</f>
        <v>121</v>
      </c>
      <c r="S123" s="227">
        <f t="array" ref="S123">IF($G123=0, INDEX(LS_previous!$D$4:$AY$138, MATCH('Staging Table'!$A123, LS_previous!$B$4:$B$138, 0), MATCH(S$4&amp;S$5, LS_previous!$D$2:$AY$2&amp;LS_previous!$D$3:$AY$3, 0)),SUM(VLOOKUP($A123, LS_previous!$B$4:$AY$138, LS_previous!K$149, FALSE), VLOOKUP('Staging Table'!$A123, LS_previous!$B$4:$AY$138,LS_previous!AI$149, FALSE))/2)</f>
        <v>246</v>
      </c>
      <c r="T123" s="227">
        <f t="array" ref="T123">IF($G123=0, INDEX(LS_previous!$D$4:$AY$138, MATCH('Staging Table'!$A123, LS_previous!$B$4:$B$138, 0), MATCH(T$4&amp;T$5, LS_previous!$D$2:$AY$2&amp;LS_previous!$D$3:$AY$3, 0)),SUM(VLOOKUP($A123, LS_previous!$B$4:$AY$138, LS_previous!L$149, FALSE), VLOOKUP('Staging Table'!$A123, LS_previous!$B$4:$AY$138,LS_previous!AJ$149, FALSE))/2)</f>
        <v>188</v>
      </c>
      <c r="U123" s="227">
        <f t="array" ref="U123">IF($G123=0, INDEX(LS_previous!$D$4:$AY$138, MATCH('Staging Table'!$A123, LS_previous!$B$4:$B$138, 0), MATCH(U$4&amp;U$5, LS_previous!$D$2:$AY$2&amp;LS_previous!$D$3:$AY$3, 0)),SUM(VLOOKUP($A123, LS_previous!$B$4:$AY$138, LS_previous!M$149, FALSE), VLOOKUP('Staging Table'!$A123, LS_previous!$B$4:$AY$138,LS_previous!AK$149, FALSE))/2)</f>
        <v>254</v>
      </c>
      <c r="V123" s="227">
        <f t="array" ref="V123">IF($G123=0, INDEX(LS_previous!$D$4:$AY$138, MATCH('Staging Table'!$A123, LS_previous!$B$4:$B$138, 0), MATCH(V$4&amp;V$5, LS_previous!$D$2:$AY$2&amp;LS_previous!$D$3:$AY$3, 0)),SUM(VLOOKUP($A123, LS_previous!$B$4:$AY$138, LS_previous!N$149, FALSE), VLOOKUP('Staging Table'!$A123, LS_previous!$B$4:$AY$138,LS_previous!AL$149, FALSE))/2)</f>
        <v>90</v>
      </c>
      <c r="W123" s="227">
        <f t="array" ref="W123">IF($G123=0, INDEX(LS_previous!$D$4:$AY$138, MATCH('Staging Table'!$A123, LS_previous!$B$4:$B$138, 0), MATCH(W$4&amp;W$5, LS_previous!$D$2:$AY$2&amp;LS_previous!$D$3:$AY$3, 0)),SUM(VLOOKUP($A123, LS_previous!$B$4:$AY$138, LS_previous!O$149, FALSE), VLOOKUP('Staging Table'!$A123, LS_previous!$B$4:$AY$138,LS_previous!AM$149, FALSE))/2)</f>
        <v>200</v>
      </c>
      <c r="X123" s="227">
        <f t="array" ref="X123">IF($G123=0, INDEX(LS_previous!$D$4:$AY$138, MATCH('Staging Table'!$A123, LS_previous!$B$4:$B$138, 0), MATCH(X$4&amp;X$5, LS_previous!$D$2:$AY$2&amp;LS_previous!$D$3:$AY$3, 0)),SUM(VLOOKUP($A123, LS_previous!$B$4:$AY$138, LS_previous!P$149, FALSE), VLOOKUP('Staging Table'!$A123, LS_previous!$B$4:$AY$138,LS_previous!AN$149, FALSE))/2)</f>
        <v>78</v>
      </c>
      <c r="Y123" s="227">
        <f t="array" ref="Y123">IF($G123=0, INDEX(LS_previous!$D$4:$AY$138, MATCH('Staging Table'!$A123, LS_previous!$B$4:$B$138, 0), MATCH(Y$4&amp;Y$5, LS_previous!$D$2:$AY$2&amp;LS_previous!$D$3:$AY$3, 0)),SUM(VLOOKUP($A123, LS_previous!$B$4:$AY$138, LS_previous!Q$149, FALSE), VLOOKUP('Staging Table'!$A123, LS_previous!$B$4:$AY$138,LS_previous!AO$149, FALSE))/2)</f>
        <v>209</v>
      </c>
      <c r="Z123" s="227">
        <f t="array" ref="Z123">IF($G123=0, INDEX(LS_previous!$D$4:$AY$138, MATCH('Staging Table'!$A123, LS_previous!$B$4:$B$138, 0), MATCH(Z$4&amp;Z$5, LS_previous!$D$2:$AY$2&amp;LS_previous!$D$3:$AY$3, 0)),SUM(VLOOKUP($A123, LS_previous!$B$4:$AY$138, LS_previous!R$149, FALSE), VLOOKUP('Staging Table'!$A123, LS_previous!$B$4:$AY$138,LS_previous!AP$149, FALSE))/2)</f>
        <v>-254</v>
      </c>
      <c r="AA123" s="227">
        <f t="array" ref="AA123">IF($G123=0, INDEX(LS_previous!$D$4:$AY$138, MATCH('Staging Table'!$A123, LS_previous!$B$4:$B$138, 0), MATCH(AA$4&amp;AA$5, LS_previous!$D$2:$AY$2&amp;LS_previous!$D$3:$AY$3, 0)),SUM(VLOOKUP($A123, LS_previous!$B$4:$AY$138, LS_previous!S$149, FALSE), VLOOKUP('Staging Table'!$A123, LS_previous!$B$4:$AY$138,LS_previous!AQ$149, FALSE))/2)</f>
        <v>40</v>
      </c>
      <c r="AB123" s="227">
        <f t="array" ref="AB123">IF($G123=0, INDEX(LS_previous!$D$4:$AY$138, MATCH('Staging Table'!$A123, LS_previous!$B$4:$B$138, 0), MATCH(AB$4&amp;AB$5, LS_previous!$D$2:$AY$2&amp;LS_previous!$D$3:$AY$3, 0)),SUM(VLOOKUP($A123, LS_previous!$B$4:$AY$138, LS_previous!T$149, FALSE), VLOOKUP('Staging Table'!$A123, LS_previous!$B$4:$AY$138,LS_previous!AR$149, FALSE))/2)</f>
        <v>-113</v>
      </c>
      <c r="AC123" s="227">
        <f t="array" ref="AC123">IF($G123=0, INDEX(LS_previous!$D$4:$AY$138, MATCH('Staging Table'!$A123, LS_previous!$B$4:$B$138, 0), MATCH(AC$4&amp;AC$5, LS_previous!$D$2:$AY$2&amp;LS_previous!$D$3:$AY$3, 0)),SUM(VLOOKUP($A123, LS_previous!$B$4:$AY$138, LS_previous!U$149, FALSE), VLOOKUP('Staging Table'!$A123, LS_previous!$B$4:$AY$138,LS_previous!AS$149, FALSE))/2)</f>
        <v>99</v>
      </c>
      <c r="AD123" s="227">
        <f t="array" ref="AD123">IF($G123=0, INDEX(LS_previous!$D$4:$AY$138, MATCH('Staging Table'!$A123, LS_previous!$B$4:$B$138, 0), MATCH(AD$4&amp;AD$5, LS_previous!$D$2:$AY$2&amp;LS_previous!$D$3:$AY$3, 0)),SUM(VLOOKUP($A123, LS_previous!$B$4:$AY$138, LS_previous!V$149, FALSE), VLOOKUP('Staging Table'!$A123, LS_previous!$B$4:$AY$138,LS_previous!AT$149, FALSE))/2)</f>
        <v>-20</v>
      </c>
      <c r="AE123" s="227">
        <f t="array" ref="AE123">IF($G123=0, INDEX(LS_previous!$D$4:$AY$138, MATCH('Staging Table'!$A123, LS_previous!$B$4:$B$138, 0), MATCH(AE$4&amp;AE$5, LS_previous!$D$2:$AY$2&amp;LS_previous!$D$3:$AY$3, 0)),SUM(VLOOKUP($A123, LS_previous!$B$4:$AY$138, LS_previous!W$149, FALSE), VLOOKUP('Staging Table'!$A123, LS_previous!$B$4:$AY$138,LS_previous!AU$149, FALSE))/2)</f>
        <v>218</v>
      </c>
      <c r="AF123" s="227">
        <f t="array" ref="AF123">IF($G123=0, INDEX(LS_previous!$D$4:$AY$138, MATCH('Staging Table'!$A123, LS_previous!$B$4:$B$138, 0), MATCH(AF$4&amp;AF$5, LS_previous!$D$2:$AY$2&amp;LS_previous!$D$3:$AY$3, 0)),SUM(VLOOKUP($A123, LS_previous!$B$4:$AY$138, LS_previous!X$149, FALSE), VLOOKUP('Staging Table'!$A123, LS_previous!$B$4:$AY$138,LS_previous!AV$149, FALSE))/2)</f>
        <v>-255</v>
      </c>
      <c r="AG123" s="227">
        <f t="array" ref="AG123">IF($G123=0, INDEX(LS_previous!$D$4:$AY$138, MATCH('Staging Table'!$A123, LS_previous!$B$4:$B$138, 0), MATCH(AG$4&amp;AG$5, LS_previous!$D$2:$AY$2&amp;LS_previous!$D$3:$AY$3, 0)),SUM(VLOOKUP($A123, LS_previous!$B$4:$AY$138, LS_previous!Y$149, FALSE), VLOOKUP('Staging Table'!$A123, LS_previous!$B$4:$AY$138,LS_previous!AW$149, FALSE))/2)</f>
        <v>3</v>
      </c>
      <c r="AH123" s="227">
        <f t="array" ref="AH123">IF($G123=0, INDEX(LS_previous!$D$4:$AY$138, MATCH('Staging Table'!$A123, LS_previous!$B$4:$B$138, 0), MATCH(AH$4&amp;AH$5, LS_previous!$D$2:$AY$2&amp;LS_previous!$D$3:$AY$3, 0)),SUM(VLOOKUP($A123, LS_previous!$B$4:$AY$138, LS_previous!Z$149, FALSE), VLOOKUP('Staging Table'!$A123, LS_previous!$B$4:$AY$138,LS_previous!AX$149, FALSE))/2)</f>
        <v>-165</v>
      </c>
      <c r="AI123" s="227">
        <f t="array" ref="AI123">IF($G123=0, INDEX(LS_previous!$D$4:$AY$138, MATCH('Staging Table'!$A123, LS_previous!$B$4:$B$138, 0), MATCH(AI$4&amp;AI$5, LS_previous!$D$2:$AY$2&amp;LS_previous!$D$3:$AY$3, 0)),SUM(VLOOKUP($A123, LS_previous!$B$4:$AY$138, LS_previous!AA$149, FALSE), VLOOKUP('Staging Table'!$A123, LS_previous!$B$4:$AY$138,LS_previous!AY$149, FALSE))/2)</f>
        <v>48</v>
      </c>
      <c r="AJ123" s="424">
        <f t="array" ref="AJ123">INDEX(Demand_previous!$D$4:$AY$138, MATCH('Staging Table'!$A123, Demand_previous!$B$4:$B$138, 0), MATCH(AJ$4&amp;AJ$5,Demand_previous!$D$2:$AY$2&amp;Demand_previous!$D$3:$AY$3, 0))/1000</f>
        <v>8.6999999999999994E-2</v>
      </c>
      <c r="AK123" s="424">
        <f t="array" ref="AK123">INDEX(Demand_previous!$D$4:$AY$138, MATCH('Staging Table'!$A123, Demand_previous!$B$4:$B$138, 0), MATCH(AK$4&amp;AK$5,Demand_previous!$D$2:$AY$2&amp;Demand_previous!$D$3:$AY$3, 0))/1000</f>
        <v>0.215</v>
      </c>
      <c r="AL123" s="424">
        <f t="array" ref="AL123">INDEX(Demand_previous!$D$4:$AY$138, MATCH('Staging Table'!$A123, Demand_previous!$B$4:$B$138, 0), MATCH(AL$4&amp;AL$5,Demand_previous!$D$2:$AY$2&amp;Demand_previous!$D$3:$AY$3, 0))/1000</f>
        <v>0.21099999999999999</v>
      </c>
      <c r="AM123" s="424">
        <f t="array" ref="AM123">INDEX(Demand_previous!$D$4:$AY$138, MATCH('Staging Table'!$A123, Demand_previous!$B$4:$B$138, 0), MATCH(AM$4&amp;AM$5,Demand_previous!$D$2:$AY$2&amp;Demand_previous!$D$3:$AY$3, 0))/1000</f>
        <v>0.19500000000000001</v>
      </c>
      <c r="AN123" s="424">
        <f t="array" ref="AN123">INDEX(Demand_previous!$D$4:$AY$138, MATCH('Staging Table'!$A123, Demand_previous!$B$4:$B$138, 0), MATCH(AN$4&amp;AN$5,Demand_previous!$D$2:$AY$2&amp;Demand_previous!$D$3:$AY$3, 0))/1000</f>
        <v>0.20699999999999999</v>
      </c>
      <c r="AO123" s="424">
        <f t="array" ref="AO123">INDEX(Demand_previous!$D$4:$AY$138, MATCH('Staging Table'!$A123, Demand_previous!$B$4:$B$138, 0), MATCH(AO$4&amp;AO$5,Demand_previous!$D$2:$AY$2&amp;Demand_previous!$D$3:$AY$3, 0))/1000</f>
        <v>0.46</v>
      </c>
      <c r="AP123" s="424">
        <f t="array" ref="AP123">INDEX(Demand_previous!$D$4:$AY$138, MATCH('Staging Table'!$A123, Demand_previous!$B$4:$B$138, 0), MATCH(AP$4&amp;AP$5,Demand_previous!$D$2:$AY$2&amp;Demand_previous!$D$3:$AY$3, 0))/1000</f>
        <v>9.8000000000000004E-2</v>
      </c>
      <c r="AQ123" s="424">
        <f t="array" ref="AQ123">INDEX(Demand_previous!$D$4:$AY$138, MATCH('Staging Table'!$A123, Demand_previous!$B$4:$B$138, 0), MATCH(AQ$4&amp;AQ$5,Demand_previous!$D$2:$AY$2&amp;Demand_previous!$D$3:$AY$3, 0))/1000</f>
        <v>0.15</v>
      </c>
      <c r="AR123" s="424">
        <f t="array" ref="AR123">INDEX(Demand_previous!$D$4:$AY$138, MATCH('Staging Table'!$A123, Demand_previous!$B$4:$B$138, 0), MATCH(AR$4&amp;AR$5,Demand_previous!$D$2:$AY$2&amp;Demand_previous!$D$3:$AY$3, 0))/1000</f>
        <v>0.29799999999999999</v>
      </c>
      <c r="AS123" s="424">
        <f t="array" ref="AS123">INDEX(Demand_previous!$D$4:$AY$138, MATCH('Staging Table'!$A123, Demand_previous!$B$4:$B$138, 0), MATCH(AS$4&amp;AS$5,Demand_previous!$D$2:$AY$2&amp;Demand_previous!$D$3:$AY$3, 0))/1000</f>
        <v>8.1000000000000003E-2</v>
      </c>
      <c r="AT123" s="424">
        <f t="array" ref="AT123">INDEX(Demand_previous!$D$4:$AY$138, MATCH('Staging Table'!$A123, Demand_previous!$B$4:$B$138, 0), MATCH(AT$4&amp;AT$5,Demand_previous!$D$2:$AY$2&amp;Demand_previous!$D$3:$AY$3, 0))/1000</f>
        <v>0.51700000000000002</v>
      </c>
      <c r="AU123" s="424">
        <f t="array" ref="AU123">INDEX(Demand_previous!$D$4:$AY$138, MATCH('Staging Table'!$A123, Demand_previous!$B$4:$B$138, 0), MATCH(AU$4&amp;AU$5,Demand_previous!$D$2:$AY$2&amp;Demand_previous!$D$3:$AY$3, 0))/1000</f>
        <v>0</v>
      </c>
      <c r="AV123" s="227">
        <f>$F123*(VLOOKUP(AV$4, Rates_previous!$G$6:$Q$29, 10, FALSE)+VLOOKUP(AV$4, Rates_previous!$G$6:$Q$29, 11, FALSE))</f>
        <v>974.34048702453811</v>
      </c>
      <c r="AW123" s="227">
        <f>$F123*(VLOOKUP(AW$4, Rates_previous!$G$6:$Q$29, 10, FALSE)+VLOOKUP(AW$4, Rates_previous!$G$6:$Q$29, 11, FALSE))</f>
        <v>1204.2107881608083</v>
      </c>
      <c r="AX123" s="227">
        <f>$F123*(VLOOKUP(AX$4, Rates_previous!$G$6:$Q$29, 10, FALSE)+VLOOKUP(AX$4, Rates_previous!$G$6:$Q$29, 11, FALSE))</f>
        <v>1189.7496569006694</v>
      </c>
      <c r="AY123" s="227">
        <f>$F123*(VLOOKUP(AY$4, Rates_previous!$G$6:$Q$29, 10, FALSE)+VLOOKUP(AY$4, Rates_previous!$G$6:$Q$29, 11, FALSE))</f>
        <v>1016.5276799502481</v>
      </c>
      <c r="AZ123" s="227">
        <f>$F123*(VLOOKUP(AZ$4, Rates_previous!$G$6:$Q$29, 10, FALSE)+VLOOKUP(AZ$4, Rates_previous!$G$6:$Q$29, 11, FALSE))</f>
        <v>833.35552051823515</v>
      </c>
      <c r="BA123" s="227">
        <f>$F123*(VLOOKUP(BA$4, Rates_previous!$G$6:$Q$29, 10, FALSE)+VLOOKUP(BA$4, Rates_previous!$G$6:$Q$29, 11, FALSE))</f>
        <v>986.6626660118319</v>
      </c>
      <c r="BB123" s="227">
        <f>$F123*(VLOOKUP(BB$4, Rates_previous!$G$6:$Q$29, 10, FALSE)+VLOOKUP(BB$4, Rates_previous!$G$6:$Q$29, 11, FALSE))</f>
        <v>948.32634087806719</v>
      </c>
      <c r="BC123" s="227">
        <f>$F123*(VLOOKUP(BC$4, Rates_previous!$G$6:$Q$29, 10, FALSE)+VLOOKUP(BC$4, Rates_previous!$G$6:$Q$29, 11, FALSE))</f>
        <v>1391.6017990611438</v>
      </c>
      <c r="BD123" s="227">
        <f>$F123*(VLOOKUP(BD$4, Rates_previous!$G$6:$Q$29, 10, FALSE)+VLOOKUP(BD$4, Rates_previous!$G$6:$Q$29, 11, FALSE))</f>
        <v>1097.9370389753572</v>
      </c>
      <c r="BE123" s="227">
        <f>$F123*(VLOOKUP(BE$4, Rates_previous!$G$6:$Q$29, 10, FALSE)+VLOOKUP(BE$4, Rates_previous!$G$6:$Q$29, 11, FALSE))</f>
        <v>964.08087614792112</v>
      </c>
      <c r="BF123" s="227">
        <f>$F123*(VLOOKUP(BF$4, Rates_previous!$G$6:$Q$29, 10, FALSE)+VLOOKUP(BF$4, Rates_previous!$G$6:$Q$29, 11, FALSE))</f>
        <v>1067.7581602862595</v>
      </c>
      <c r="BG123" s="227">
        <f>$F123*(VLOOKUP(BG$4, Rates_previous!$G$6:$Q$29, 10, FALSE)+VLOOKUP(BG$4, Rates_previous!$G$6:$Q$29, 11, FALSE))</f>
        <v>967.34643113857612</v>
      </c>
      <c r="BH123" s="229">
        <f>IF($D123=0,IF(C123=0, MAX(BK123 - (VLOOKUP($A123,TOCA_previous!$A$2:$AI$137,MATCH("RHWM 2018",TOCA_previous!$A$2:$AI$2,0),FALSE)*$F$2*TOCA_previous!C120),0),0), 0)</f>
        <v>982.61762948800242</v>
      </c>
      <c r="BI123" s="266">
        <f>VLOOKUP($A123,REP_previous!$A$1:$D$135,MATCH("FY "&amp;$F$1&amp; " Total Refund",REP_previous!$A$1:$D$1,0),0)</f>
        <v>19025.561523599932</v>
      </c>
      <c r="BJ123" s="241">
        <f>MIN(VLOOKUP($A123,TOCA_previous!$A$2:$AI$137,MATCH("TRL - NLSL - Existing Resource "&amp;$F$1,TOCA_previous!$A$2:$AI$2,0),FALSE)*$F$2,(VLOOKUP($A123,TOCA_previous!$A$2:$AI$137,MATCH("RHWM 2018",TOCA_previous!$A$2:$AI$2,0),FALSE)*$F$2))</f>
        <v>12640.68</v>
      </c>
      <c r="BK123" s="229">
        <f>SUM(L123:AI123)+(F123*RT1SC!$C$3*$F$2)</f>
        <v>14148.897629488001</v>
      </c>
      <c r="BL123" s="241">
        <f>VLOOKUP($A123,TOCA_previous!$A$2:$AI$137,MATCH("Above RHWM Not Served with LS "&amp;$F$1,TOCA_previous!$A$2:$AI$2,0),FALSE)*$F$2</f>
        <v>0</v>
      </c>
      <c r="BM123" s="151">
        <f t="shared" si="21"/>
        <v>1508.217629488001</v>
      </c>
      <c r="BN123" s="242">
        <f>(VLOOKUP($A123,TOCA_previous!$A$2:$AI$137,MATCH("RHWM 2018",TOCA_previous!$A$2:$AI$2,0),FALSE)*$F$2) - $BJ123</f>
        <v>525.59999999999854</v>
      </c>
      <c r="BO123" s="151">
        <f t="shared" si="22"/>
        <v>-525.59999999999854</v>
      </c>
      <c r="BP123" s="243">
        <f t="shared" si="23"/>
        <v>0</v>
      </c>
      <c r="BQ123" s="237">
        <f t="shared" si="24"/>
        <v>0</v>
      </c>
      <c r="BR123" s="242">
        <f t="shared" si="25"/>
        <v>-525.59999999999854</v>
      </c>
      <c r="BS123" s="151">
        <f>VLOOKUP($A123,TOCA_current!$A$2:$AI$137,MATCH(BS$4,TOCA_current!$A$2:$AI$2,0),FALSE)</f>
        <v>2.1149999999999999E-4</v>
      </c>
      <c r="BT123" s="151">
        <f>VLOOKUP($A123,TOCA_current!$A$2:$AI$137,MATCH(BT$4,TOCA_current!$A$2:$AI$2,0),FALSE)</f>
        <v>2.1149999999999999E-4</v>
      </c>
      <c r="BU123" s="236">
        <f t="shared" si="26"/>
        <v>0</v>
      </c>
      <c r="BV123" s="151">
        <f>VLOOKUP($A123,TOCA_current!A119:BG254,MATCH(BV$4,TOCA_current!$A$2:$BG$2,0),FALSE)</f>
        <v>0</v>
      </c>
      <c r="BW123" s="151">
        <f t="shared" si="27"/>
        <v>0</v>
      </c>
      <c r="BX123" s="151">
        <f t="shared" si="28"/>
        <v>0</v>
      </c>
      <c r="BY123" s="226">
        <f>VLOOKUP($A123,IRD!$A$4:$G$139, 7, FALSE)</f>
        <v>0</v>
      </c>
      <c r="BZ123" s="227">
        <f t="array" ref="BZ123">IF($BU123=0, INDEX(LS_current!$D$4:$AY$138, MATCH('Staging Table'!$A123, LS_current!$B$4:$B$138, 0), MATCH(BZ$4&amp;BZ$5, LS_current!$D$2:$AY$2&amp;LS_current!$D$3:$AY$3, 0)),SUM(VLOOKUP($A123, LS_current!$B$4:$AY$138, LS_current!D$148, FALSE), VLOOKUP($A123, LS_current!$B$4:$AY$138,LS_current!D$148, FALSE))/2)</f>
        <v>78</v>
      </c>
      <c r="CA123" s="227">
        <f t="array" ref="CA123">IF($BU123=0, INDEX(LS_current!$D$4:$AY$138, MATCH('Staging Table'!$A123, LS_current!$B$4:$B$138, 0), MATCH(CA$4&amp;CA$5, LS_current!$D$2:$AY$2&amp;LS_current!$D$3:$AY$3, 0)),SUM(VLOOKUP($A123, LS_current!$B$4:$AY$138, LS_current!E$148, FALSE), VLOOKUP($A123, LS_current!$B$4:$AY$138,LS_current!E$148, FALSE))/2)</f>
        <v>213</v>
      </c>
      <c r="CB123" s="227">
        <f t="array" ref="CB123">IF($BU123=0, INDEX(LS_current!$D$4:$AY$138, MATCH('Staging Table'!$A123, LS_current!$B$4:$B$138, 0), MATCH(CB$4&amp;CB$5, LS_current!$D$2:$AY$2&amp;LS_current!$D$3:$AY$3, 0)),SUM(VLOOKUP($A123, LS_current!$B$4:$AY$138, LS_current!F$148, FALSE), VLOOKUP($A123, LS_current!$B$4:$AY$138,LS_current!F$148, FALSE))/2)</f>
        <v>-96</v>
      </c>
      <c r="CC123" s="227">
        <f t="array" ref="CC123">IF($BU123=0, INDEX(LS_current!$D$4:$AY$138, MATCH('Staging Table'!$A123, LS_current!$B$4:$B$138, 0), MATCH(CC$4&amp;CC$5, LS_current!$D$2:$AY$2&amp;LS_current!$D$3:$AY$3, 0)),SUM(VLOOKUP($A123, LS_current!$B$4:$AY$138, LS_current!G$148, FALSE), VLOOKUP($A123, LS_current!$B$4:$AY$138,LS_current!G$148, FALSE))/2)</f>
        <v>117</v>
      </c>
      <c r="CD123" s="227">
        <f t="array" ref="CD123">IF($BU123=0, INDEX(LS_current!$D$4:$AY$138, MATCH('Staging Table'!$A123, LS_current!$B$4:$B$138, 0), MATCH(CD$4&amp;CD$5, LS_current!$D$2:$AY$2&amp;LS_current!$D$3:$AY$3, 0)),SUM(VLOOKUP($A123, LS_current!$B$4:$AY$138, LS_current!H$148, FALSE), VLOOKUP($A123, LS_current!$B$4:$AY$138,LS_current!H$148, FALSE))/2)</f>
        <v>-24</v>
      </c>
      <c r="CE123" s="227">
        <f t="array" ref="CE123">IF($BU123=0, INDEX(LS_current!$D$4:$AY$138, MATCH('Staging Table'!$A123, LS_current!$B$4:$B$138, 0), MATCH(CE$4&amp;CE$5, LS_current!$D$2:$AY$2&amp;LS_current!$D$3:$AY$3, 0)),SUM(VLOOKUP($A123, LS_current!$B$4:$AY$138, LS_current!I$148, FALSE), VLOOKUP($A123, LS_current!$B$4:$AY$138,LS_current!I$148, FALSE))/2)</f>
        <v>158</v>
      </c>
      <c r="CF123" s="227">
        <f t="array" ref="CF123">IF($BU123=0, INDEX(LS_current!$D$4:$AY$138, MATCH('Staging Table'!$A123, LS_current!$B$4:$B$138, 0), MATCH(CF$4&amp;CF$5, LS_current!$D$2:$AY$2&amp;LS_current!$D$3:$AY$3, 0)),SUM(VLOOKUP($A123, LS_current!$B$4:$AY$138, LS_current!J$148, FALSE), VLOOKUP($A123, LS_current!$B$4:$AY$138,LS_current!J$148, FALSE))/2)</f>
        <v>107</v>
      </c>
      <c r="CG123" s="227">
        <f t="array" ref="CG123">IF($BU123=0, INDEX(LS_current!$D$4:$AY$138, MATCH('Staging Table'!$A123, LS_current!$B$4:$B$138, 0), MATCH(CG$4&amp;CG$5, LS_current!$D$2:$AY$2&amp;LS_current!$D$3:$AY$3, 0)),SUM(VLOOKUP($A123, LS_current!$B$4:$AY$138, LS_current!K$148, FALSE), VLOOKUP($A123, LS_current!$B$4:$AY$138,LS_current!K$148, FALSE))/2)</f>
        <v>255</v>
      </c>
      <c r="CH123" s="227">
        <f t="array" ref="CH123">IF($BU123=0, INDEX(LS_current!$D$4:$AY$138, MATCH('Staging Table'!$A123, LS_current!$B$4:$B$138, 0), MATCH(CH$4&amp;CH$5, LS_current!$D$2:$AY$2&amp;LS_current!$D$3:$AY$3, 0)),SUM(VLOOKUP($A123, LS_current!$B$4:$AY$138, LS_current!L$148, FALSE), VLOOKUP($A123, LS_current!$B$4:$AY$138,LS_current!L$148, FALSE))/2)</f>
        <v>131</v>
      </c>
      <c r="CI123" s="227">
        <f t="array" ref="CI123">IF($BU123=0, INDEX(LS_current!$D$4:$AY$138, MATCH('Staging Table'!$A123, LS_current!$B$4:$B$138, 0), MATCH(CI$4&amp;CI$5, LS_current!$D$2:$AY$2&amp;LS_current!$D$3:$AY$3, 0)),SUM(VLOOKUP($A123, LS_current!$B$4:$AY$138, LS_current!M$148, FALSE), VLOOKUP($A123, LS_current!$B$4:$AY$138,LS_current!M$148, FALSE))/2)</f>
        <v>219</v>
      </c>
      <c r="CJ123" s="227">
        <f t="array" ref="CJ123">IF($BU123=0, INDEX(LS_current!$D$4:$AY$138, MATCH('Staging Table'!$A123, LS_current!$B$4:$B$138, 0), MATCH(CJ$4&amp;CJ$5, LS_current!$D$2:$AY$2&amp;LS_current!$D$3:$AY$3, 0)),SUM(VLOOKUP($A123, LS_current!$B$4:$AY$138, LS_current!N$148, FALSE), VLOOKUP($A123, LS_current!$B$4:$AY$138,LS_current!N$148, FALSE))/2)</f>
        <v>60</v>
      </c>
      <c r="CK123" s="227">
        <f t="array" ref="CK123">IF($BU123=0, INDEX(LS_current!$D$4:$AY$138, MATCH('Staging Table'!$A123, LS_current!$B$4:$B$138, 0), MATCH(CK$4&amp;CK$5, LS_current!$D$2:$AY$2&amp;LS_current!$D$3:$AY$3, 0)),SUM(VLOOKUP($A123, LS_current!$B$4:$AY$138, LS_current!O$148, FALSE), VLOOKUP($A123, LS_current!$B$4:$AY$138,LS_current!O$148, FALSE))/2)</f>
        <v>187</v>
      </c>
      <c r="CL123" s="227">
        <f t="array" ref="CL123">IF($BU123=0, INDEX(LS_current!$D$4:$AY$138, MATCH('Staging Table'!$A123, LS_current!$B$4:$B$138, 0), MATCH(CL$4&amp;CL$5, LS_current!$D$2:$AY$2&amp;LS_current!$D$3:$AY$3, 0)),SUM(VLOOKUP($A123, LS_current!$B$4:$AY$138, LS_current!P$148, FALSE), VLOOKUP($A123, LS_current!$B$4:$AY$138,LS_current!P$148, FALSE))/2)</f>
        <v>161</v>
      </c>
      <c r="CM123" s="227">
        <f t="array" ref="CM123">IF($BU123=0, INDEX(LS_current!$D$4:$AY$138, MATCH('Staging Table'!$A123, LS_current!$B$4:$B$138, 0), MATCH(CM$4&amp;CM$5, LS_current!$D$2:$AY$2&amp;LS_current!$D$3:$AY$3, 0)),SUM(VLOOKUP($A123, LS_current!$B$4:$AY$138, LS_current!Q$148, FALSE), VLOOKUP($A123, LS_current!$B$4:$AY$138,LS_current!Q$148, FALSE))/2)</f>
        <v>237</v>
      </c>
      <c r="CN123" s="227">
        <f t="array" ref="CN123">IF($BU123=0, INDEX(LS_current!$D$4:$AY$138, MATCH('Staging Table'!$A123, LS_current!$B$4:$B$138, 0), MATCH(CN$4&amp;CN$5, LS_current!$D$2:$AY$2&amp;LS_current!$D$3:$AY$3, 0)),SUM(VLOOKUP($A123, LS_current!$B$4:$AY$138, LS_current!R$148, FALSE), VLOOKUP($A123, LS_current!$B$4:$AY$138,LS_current!R$148, FALSE))/2)</f>
        <v>-101</v>
      </c>
      <c r="CO123" s="227">
        <f t="array" ref="CO123">IF($BU123=0, INDEX(LS_current!$D$4:$AY$138, MATCH('Staging Table'!$A123, LS_current!$B$4:$B$138, 0), MATCH(CO$4&amp;CO$5, LS_current!$D$2:$AY$2&amp;LS_current!$D$3:$AY$3, 0)),SUM(VLOOKUP($A123, LS_current!$B$4:$AY$138, LS_current!S$148, FALSE), VLOOKUP($A123, LS_current!$B$4:$AY$138,LS_current!S$148, FALSE))/2)</f>
        <v>148</v>
      </c>
      <c r="CP123" s="227">
        <f t="array" ref="CP123">IF($BU123=0, INDEX(LS_current!$D$4:$AY$138, MATCH('Staging Table'!$A123, LS_current!$B$4:$B$138, 0), MATCH(CP$4&amp;CP$5, LS_current!$D$2:$AY$2&amp;LS_current!$D$3:$AY$3, 0)),SUM(VLOOKUP($A123, LS_current!$B$4:$AY$138, LS_current!T$148, FALSE), VLOOKUP($A123, LS_current!$B$4:$AY$138,LS_current!T$148, FALSE))/2)</f>
        <v>-331</v>
      </c>
      <c r="CQ123" s="227">
        <f t="array" ref="CQ123">IF($BU123=0, INDEX(LS_current!$D$4:$AY$138, MATCH('Staging Table'!$A123, LS_current!$B$4:$B$138, 0), MATCH(CQ$4&amp;CQ$5, LS_current!$D$2:$AY$2&amp;LS_current!$D$3:$AY$3, 0)),SUM(VLOOKUP($A123, LS_current!$B$4:$AY$138, LS_current!U$148, FALSE), VLOOKUP($A123, LS_current!$B$4:$AY$138,LS_current!U$148, FALSE))/2)</f>
        <v>-28</v>
      </c>
      <c r="CR123" s="227">
        <f t="array" ref="CR123">IF($BU123=0, INDEX(LS_current!$D$4:$AY$138, MATCH('Staging Table'!$A123, LS_current!$B$4:$B$138, 0), MATCH(CR$4&amp;CR$5, LS_current!$D$2:$AY$2&amp;LS_current!$D$3:$AY$3, 0)),SUM(VLOOKUP($A123, LS_current!$B$4:$AY$138, LS_current!V$148, FALSE), VLOOKUP($A123, LS_current!$B$4:$AY$138,LS_current!V$148, FALSE))/2)</f>
        <v>-168</v>
      </c>
      <c r="CS123" s="227">
        <f t="array" ref="CS123">IF($BU123=0, INDEX(LS_current!$D$4:$AY$138, MATCH('Staging Table'!$A123, LS_current!$B$4:$B$138, 0), MATCH(CS$4&amp;CS$5, LS_current!$D$2:$AY$2&amp;LS_current!$D$3:$AY$3, 0)),SUM(VLOOKUP($A123, LS_current!$B$4:$AY$138, LS_current!W$148, FALSE), VLOOKUP($A123, LS_current!$B$4:$AY$138,LS_current!W$148, FALSE))/2)</f>
        <v>199</v>
      </c>
      <c r="CT123" s="227">
        <f t="array" ref="CT123">IF($BU123=0, INDEX(LS_current!$D$4:$AY$138, MATCH('Staging Table'!$A123, LS_current!$B$4:$B$138, 0), MATCH(CT$4&amp;CT$5, LS_current!$D$2:$AY$2&amp;LS_current!$D$3:$AY$3, 0)),SUM(VLOOKUP($A123, LS_current!$B$4:$AY$138, LS_current!X$148, FALSE), VLOOKUP($A123, LS_current!$B$4:$AY$138,LS_current!X$148, FALSE))/2)</f>
        <v>-296</v>
      </c>
      <c r="CU123" s="227">
        <f t="array" ref="CU123">IF($BU123=0, INDEX(LS_current!$D$4:$AY$138, MATCH('Staging Table'!$A123, LS_current!$B$4:$B$138, 0), MATCH(CU$4&amp;CU$5, LS_current!$D$2:$AY$2&amp;LS_current!$D$3:$AY$3, 0)),SUM(VLOOKUP($A123, LS_current!$B$4:$AY$138, LS_current!Y$148, FALSE), VLOOKUP($A123, LS_current!$B$4:$AY$138,LS_current!Y$148, FALSE))/2)</f>
        <v>9</v>
      </c>
      <c r="CV123" s="227">
        <f t="array" ref="CV123">IF($BU123=0, INDEX(LS_current!$D$4:$AY$138, MATCH('Staging Table'!$A123, LS_current!$B$4:$B$138, 0), MATCH(CV$4&amp;CV$5, LS_current!$D$2:$AY$2&amp;LS_current!$D$3:$AY$3, 0)),SUM(VLOOKUP($A123, LS_current!$B$4:$AY$138, LS_current!Z$148, FALSE), VLOOKUP($A123, LS_current!$B$4:$AY$138,LS_current!Z$148, FALSE))/2)</f>
        <v>-179</v>
      </c>
      <c r="CW123" s="227">
        <f t="array" ref="CW123">IF($BU123=0, INDEX(LS_current!$D$4:$AY$138, MATCH('Staging Table'!$A123, LS_current!$B$4:$B$138, 0), MATCH(CW$4&amp;CW$5, LS_current!$D$2:$AY$2&amp;LS_current!$D$3:$AY$3, 0)),SUM(VLOOKUP($A123, LS_current!$B$4:$AY$138, LS_current!AA$148, FALSE), VLOOKUP($A123, LS_current!$B$4:$AY$138,LS_current!AA$148, FALSE))/2)</f>
        <v>42</v>
      </c>
      <c r="CX123" s="229">
        <f t="array" ref="CX123">INDEX(Demand_current!$D$4:$AY$138, MATCH($A123, Demand_current!$B$4:$B$138, 0), MATCH(CX$4&amp;CX$5,Demand_current!$D$2:$AY$2&amp;Demand_current!$D$3:$AY$3, 0))/1000</f>
        <v>0.151</v>
      </c>
      <c r="CY123" s="229">
        <f t="array" ref="CY123">INDEX(Demand_current!$D$4:$AY$138, MATCH($A123, Demand_current!$B$4:$B$138, 0), MATCH(CY$4&amp;CY$5,Demand_current!$D$2:$AY$2&amp;Demand_current!$D$3:$AY$3, 0))/1000</f>
        <v>0.215</v>
      </c>
      <c r="CZ123" s="229">
        <f t="array" ref="CZ123">INDEX(Demand_current!$D$4:$AY$138, MATCH($A123, Demand_current!$B$4:$B$138, 0), MATCH(CZ$4&amp;CZ$5,Demand_current!$D$2:$AY$2&amp;Demand_current!$D$3:$AY$3, 0))/1000</f>
        <v>0.21099999999999999</v>
      </c>
      <c r="DA123" s="229">
        <f t="array" ref="DA123">INDEX(Demand_current!$D$4:$AY$138, MATCH($A123, Demand_current!$B$4:$B$138, 0), MATCH(DA$4&amp;DA$5,Demand_current!$D$2:$AY$2&amp;Demand_current!$D$3:$AY$3, 0))/1000</f>
        <v>0.19500000000000001</v>
      </c>
      <c r="DB123" s="229">
        <f t="array" ref="DB123">INDEX(Demand_current!$D$4:$AY$138, MATCH($A123, Demand_current!$B$4:$B$138, 0), MATCH(DB$4&amp;DB$5,Demand_current!$D$2:$AY$2&amp;Demand_current!$D$3:$AY$3, 0))/1000</f>
        <v>0.28100000000000003</v>
      </c>
      <c r="DC123" s="229">
        <f t="array" ref="DC123">INDEX(Demand_current!$D$4:$AY$138, MATCH($A123, Demand_current!$B$4:$B$138, 0), MATCH(DC$4&amp;DC$5,Demand_current!$D$2:$AY$2&amp;Demand_current!$D$3:$AY$3, 0))/1000</f>
        <v>0.39600000000000002</v>
      </c>
      <c r="DD123" s="229">
        <f t="array" ref="DD123">INDEX(Demand_current!$D$4:$AY$138, MATCH($A123, Demand_current!$B$4:$B$138, 0), MATCH(DD$4&amp;DD$5,Demand_current!$D$2:$AY$2&amp;Demand_current!$D$3:$AY$3, 0))/1000</f>
        <v>0.16400000000000001</v>
      </c>
      <c r="DE123" s="229">
        <f t="array" ref="DE123">INDEX(Demand_current!$D$4:$AY$138, MATCH($A123, Demand_current!$B$4:$B$138, 0), MATCH(DE$4&amp;DE$5,Demand_current!$D$2:$AY$2&amp;Demand_current!$D$3:$AY$3, 0))/1000</f>
        <v>8.8999999999999996E-2</v>
      </c>
      <c r="DF123" s="229">
        <f t="array" ref="DF123">INDEX(Demand_current!$D$4:$AY$138, MATCH($A123, Demand_current!$B$4:$B$138, 0), MATCH(DF$4&amp;DF$5,Demand_current!$D$2:$AY$2&amp;Demand_current!$D$3:$AY$3, 0))/1000</f>
        <v>0.29799999999999999</v>
      </c>
      <c r="DG123" s="229">
        <f t="array" ref="DG123">INDEX(Demand_current!$D$4:$AY$138, MATCH($A123, Demand_current!$B$4:$B$138, 0), MATCH(DG$4&amp;DG$5,Demand_current!$D$2:$AY$2&amp;Demand_current!$D$3:$AY$3, 0))/1000</f>
        <v>0.13900000000000001</v>
      </c>
      <c r="DH123" s="229">
        <f t="array" ref="DH123">INDEX(Demand_current!$D$4:$AY$138, MATCH($A123, Demand_current!$B$4:$B$138, 0), MATCH(DH$4&amp;DH$5,Demand_current!$D$2:$AY$2&amp;Demand_current!$D$3:$AY$3, 0))/1000</f>
        <v>0.47599999999999998</v>
      </c>
      <c r="DI123" s="229">
        <f t="array" ref="DI123">INDEX(Demand_current!$D$4:$AY$138, MATCH($A123, Demand_current!$B$4:$B$138, 0), MATCH(DI$4&amp;DI$5,Demand_current!$D$2:$AY$2&amp;Demand_current!$D$3:$AY$3, 0))/1000</f>
        <v>0</v>
      </c>
      <c r="DJ123" s="227">
        <f>$BT123*(VLOOKUP(DJ$4, Rates_current!$G$6:$Q$29, 10, FALSE)+VLOOKUP(DJ$4, Rates_current!$G$6:$Q$29, 11, FALSE))</f>
        <v>976.56258695399981</v>
      </c>
      <c r="DK123" s="227">
        <f>$BT123*(VLOOKUP(DK$4, Rates_current!$G$6:$Q$29, 10, FALSE)+VLOOKUP(DK$4, Rates_current!$G$6:$Q$29, 11, FALSE))</f>
        <v>1240.5391300485001</v>
      </c>
      <c r="DL123" s="227">
        <f>$BT123*(VLOOKUP(DL$4, Rates_current!$G$6:$Q$29, 10, FALSE)+VLOOKUP(DL$4, Rates_current!$G$6:$Q$29, 11, FALSE))</f>
        <v>1225.557941454</v>
      </c>
      <c r="DM123" s="227">
        <f>$BT123*(VLOOKUP(DM$4, Rates_current!$G$6:$Q$29, 10, FALSE)+VLOOKUP(DM$4, Rates_current!$G$6:$Q$29, 11, FALSE))</f>
        <v>1021.5771894540001</v>
      </c>
      <c r="DN123" s="227">
        <f>$BT123*(VLOOKUP(DN$4, Rates_current!$G$6:$Q$29, 10, FALSE)+VLOOKUP(DN$4, Rates_current!$G$6:$Q$29, 11, FALSE))</f>
        <v>925.44295319999992</v>
      </c>
      <c r="DO123" s="227">
        <f>$BT123*(VLOOKUP(DO$4, Rates_current!$G$6:$Q$29, 10, FALSE)+VLOOKUP(DO$4, Rates_current!$G$6:$Q$29, 11, FALSE))</f>
        <v>1029.3865606755</v>
      </c>
      <c r="DP123" s="227">
        <f>$BT123*(VLOOKUP(DP$4, Rates_current!$G$6:$Q$29, 10, FALSE)+VLOOKUP(DP$4, Rates_current!$G$6:$Q$29, 11, FALSE))</f>
        <v>838.12764851999998</v>
      </c>
      <c r="DQ123" s="227">
        <f>$BT123*(VLOOKUP(DQ$4, Rates_current!$G$6:$Q$29, 10, FALSE)+VLOOKUP(DQ$4, Rates_current!$G$6:$Q$29, 11, FALSE))</f>
        <v>1130.3401127040001</v>
      </c>
      <c r="DR123" s="227">
        <f>$BT123*(VLOOKUP(DR$4, Rates_current!$G$6:$Q$29, 10, FALSE)+VLOOKUP(DR$4, Rates_current!$G$6:$Q$29, 11, FALSE))</f>
        <v>1442.23710777</v>
      </c>
      <c r="DS123" s="227">
        <f>$BT123*(VLOOKUP(DS$4, Rates_current!$G$6:$Q$29, 10, FALSE)+VLOOKUP(DS$4, Rates_current!$G$6:$Q$29, 11, FALSE))</f>
        <v>1130.759622954</v>
      </c>
      <c r="DT123" s="227">
        <f>$BT123*(VLOOKUP(DT$4, Rates_current!$G$6:$Q$29, 10, FALSE)+VLOOKUP(DT$4, Rates_current!$G$6:$Q$29, 11, FALSE))</f>
        <v>1101.1347122040002</v>
      </c>
      <c r="DU123" s="227">
        <f>$BT123*(VLOOKUP(DU$4, Rates_current!$G$6:$Q$29, 10, FALSE)+VLOOKUP(DU$4, Rates_current!$G$6:$Q$29, 11, FALSE))</f>
        <v>988.58473002000005</v>
      </c>
      <c r="DV123" s="229">
        <f>IF(D123=0,IF(C123=0,MAX(0,DY123 - (VLOOKUP($A123,TOCA_current!$A$2:$AI$137,MATCH("RHWM 2020",TOCA_current!$A$2:$AI$2,0),FALSE)*$BT$2)), 0),0)</f>
        <v>805.35478579200026</v>
      </c>
      <c r="DW123" s="266">
        <f>VLOOKUP($A123,REP_current!$A$1:$D$135,MATCH("FY "&amp;$BT$1&amp; " Total Refund",REP_current!$A$1:$D$1,0),0)</f>
        <v>0</v>
      </c>
      <c r="DX123" s="295">
        <f>MIN(VLOOKUP($A123,TOCA_current!$A$2:$AI$137,MATCH("TRL - NLSL - Existing Resource "&amp;$BT$1,TOCA_current!$A$2:$AI$2,0),FALSE)*$BT$2, VLOOKUP($A123,TOCA_current!$A$2:$AI$137,MATCH("RHWM 2020",TOCA_current!$A$2:$AI$2,0),FALSE)*$BT$2)</f>
        <v>13053.023999999999</v>
      </c>
      <c r="DY123" s="240">
        <f>SUM(BZ123:CW123)+(BT123*RT1SC!$C$4*$BT$2)</f>
        <v>14148.250785791999</v>
      </c>
      <c r="DZ123" s="271">
        <f>VLOOKUP($A123,TOCA_current!$A$2:$AI$137,MATCH("Above RHWM Not Served with LS "&amp;$BT$1,TOCA_current!$A$2:$AI$2,0),FALSE)*$BT$2</f>
        <v>0</v>
      </c>
      <c r="EA123" s="244">
        <f t="shared" si="29"/>
        <v>1095.2267857919996</v>
      </c>
      <c r="EB123" s="295">
        <f>(VLOOKUP($A123,TOCA_current!$A$2:$AI$137,MATCH("RHWM 2020",TOCA_current!$A$2:$AI$2,0),FALSE)*$BT$2) - $DX123</f>
        <v>289.87199999999939</v>
      </c>
      <c r="EC123" s="240">
        <f t="shared" si="30"/>
        <v>-289.87199999999939</v>
      </c>
      <c r="ED123" s="240">
        <f t="shared" si="31"/>
        <v>0</v>
      </c>
      <c r="EE123" s="240">
        <f t="shared" si="32"/>
        <v>0</v>
      </c>
      <c r="EF123" s="240">
        <f t="shared" si="33"/>
        <v>-289.87199999999939</v>
      </c>
    </row>
    <row r="124" spans="1:136">
      <c r="A124" s="166">
        <v>10409</v>
      </c>
      <c r="B124" s="167" t="s">
        <v>125</v>
      </c>
      <c r="C124" s="240">
        <v>0</v>
      </c>
      <c r="D124" s="240">
        <v>0</v>
      </c>
      <c r="E124" s="150">
        <f>VLOOKUP($A124,TOCA_previous!$A$2:$AI$137,MATCH(E$4,TOCA_previous!$A$2:$AI$2,0),FALSE)</f>
        <v>2.8021000000000001E-3</v>
      </c>
      <c r="F124" s="151">
        <f>VLOOKUP($A124,TOCA_previous!$A$2:$AI$137,MATCH(F$4,TOCA_previous!$A$2:$AI$2,0),FALSE)</f>
        <v>2.8021000000000001E-3</v>
      </c>
      <c r="G124" s="151">
        <f t="shared" si="18"/>
        <v>0</v>
      </c>
      <c r="H124" s="151">
        <f>VLOOKUP($A124,TOCA_previous!$A$2:$AI$137,MATCH(H$4,TOCA_previous!$A$2:$AI$2,0),FALSE)</f>
        <v>0</v>
      </c>
      <c r="I124" s="151">
        <f t="shared" si="19"/>
        <v>0</v>
      </c>
      <c r="J124" s="151">
        <f t="shared" si="20"/>
        <v>0</v>
      </c>
      <c r="K124" s="226">
        <f>VLOOKUP(A124, IRD!$A$5:$C$139, 3, FALSE)</f>
        <v>0</v>
      </c>
      <c r="L124" s="227">
        <f t="array" ref="L124">IF($G124=0, INDEX(LS_previous!$D$4:$AY$138, MATCH('Staging Table'!$A124, LS_previous!$B$4:$B$138, 0), MATCH(L$4&amp;L$5, LS_previous!$D$2:$AY$2&amp;LS_previous!$D$3:$AY$3, 0)),SUM(VLOOKUP($A124, LS_previous!$B$4:$AY$138, LS_previous!D$149, FALSE), VLOOKUP('Staging Table'!$A124, LS_previous!$B$4:$AY$138,LS_previous!AB$149, FALSE))/2)</f>
        <v>-260</v>
      </c>
      <c r="M124" s="227">
        <f t="array" ref="M124">IF($G124=0, INDEX(LS_previous!$D$4:$AY$138, MATCH('Staging Table'!$A124, LS_previous!$B$4:$B$138, 0), MATCH(M$4&amp;M$5, LS_previous!$D$2:$AY$2&amp;LS_previous!$D$3:$AY$3, 0)),SUM(VLOOKUP($A124, LS_previous!$B$4:$AY$138, LS_previous!E$149, FALSE), VLOOKUP('Staging Table'!$A124, LS_previous!$B$4:$AY$138,LS_previous!AC$149, FALSE))/2)</f>
        <v>903</v>
      </c>
      <c r="N124" s="227">
        <f t="array" ref="N124">IF($G124=0, INDEX(LS_previous!$D$4:$AY$138, MATCH('Staging Table'!$A124, LS_previous!$B$4:$B$138, 0), MATCH(N$4&amp;N$5, LS_previous!$D$2:$AY$2&amp;LS_previous!$D$3:$AY$3, 0)),SUM(VLOOKUP($A124, LS_previous!$B$4:$AY$138, LS_previous!F$149, FALSE), VLOOKUP('Staging Table'!$A124, LS_previous!$B$4:$AY$138,LS_previous!AD$149, FALSE))/2)</f>
        <v>-1289</v>
      </c>
      <c r="O124" s="227">
        <f t="array" ref="O124">IF($G124=0, INDEX(LS_previous!$D$4:$AY$138, MATCH('Staging Table'!$A124, LS_previous!$B$4:$B$138, 0), MATCH(O$4&amp;O$5, LS_previous!$D$2:$AY$2&amp;LS_previous!$D$3:$AY$3, 0)),SUM(VLOOKUP($A124, LS_previous!$B$4:$AY$138, LS_previous!G$149, FALSE), VLOOKUP('Staging Table'!$A124, LS_previous!$B$4:$AY$138,LS_previous!AE$149, FALSE))/2)</f>
        <v>682</v>
      </c>
      <c r="P124" s="227">
        <f t="array" ref="P124">IF($G124=0, INDEX(LS_previous!$D$4:$AY$138, MATCH('Staging Table'!$A124, LS_previous!$B$4:$B$138, 0), MATCH(P$4&amp;P$5, LS_previous!$D$2:$AY$2&amp;LS_previous!$D$3:$AY$3, 0)),SUM(VLOOKUP($A124, LS_previous!$B$4:$AY$138, LS_previous!H$149, FALSE), VLOOKUP('Staging Table'!$A124, LS_previous!$B$4:$AY$138,LS_previous!AF$149, FALSE))/2)</f>
        <v>192</v>
      </c>
      <c r="Q124" s="227">
        <f t="array" ref="Q124">IF($G124=0, INDEX(LS_previous!$D$4:$AY$138, MATCH('Staging Table'!$A124, LS_previous!$B$4:$B$138, 0), MATCH(Q$4&amp;Q$5, LS_previous!$D$2:$AY$2&amp;LS_previous!$D$3:$AY$3, 0)),SUM(VLOOKUP($A124, LS_previous!$B$4:$AY$138, LS_previous!I$149, FALSE), VLOOKUP('Staging Table'!$A124, LS_previous!$B$4:$AY$138,LS_previous!AG$149, FALSE))/2)</f>
        <v>2149</v>
      </c>
      <c r="R124" s="227">
        <f t="array" ref="R124">IF($G124=0, INDEX(LS_previous!$D$4:$AY$138, MATCH('Staging Table'!$A124, LS_previous!$B$4:$B$138, 0), MATCH(R$4&amp;R$5, LS_previous!$D$2:$AY$2&amp;LS_previous!$D$3:$AY$3, 0)),SUM(VLOOKUP($A124, LS_previous!$B$4:$AY$138, LS_previous!J$149, FALSE), VLOOKUP('Staging Table'!$A124, LS_previous!$B$4:$AY$138,LS_previous!AH$149, FALSE))/2)</f>
        <v>1369</v>
      </c>
      <c r="S124" s="227">
        <f t="array" ref="S124">IF($G124=0, INDEX(LS_previous!$D$4:$AY$138, MATCH('Staging Table'!$A124, LS_previous!$B$4:$B$138, 0), MATCH(S$4&amp;S$5, LS_previous!$D$2:$AY$2&amp;LS_previous!$D$3:$AY$3, 0)),SUM(VLOOKUP($A124, LS_previous!$B$4:$AY$138, LS_previous!K$149, FALSE), VLOOKUP('Staging Table'!$A124, LS_previous!$B$4:$AY$138,LS_previous!AI$149, FALSE))/2)</f>
        <v>1969</v>
      </c>
      <c r="T124" s="227">
        <f t="array" ref="T124">IF($G124=0, INDEX(LS_previous!$D$4:$AY$138, MATCH('Staging Table'!$A124, LS_previous!$B$4:$B$138, 0), MATCH(T$4&amp;T$5, LS_previous!$D$2:$AY$2&amp;LS_previous!$D$3:$AY$3, 0)),SUM(VLOOKUP($A124, LS_previous!$B$4:$AY$138, LS_previous!L$149, FALSE), VLOOKUP('Staging Table'!$A124, LS_previous!$B$4:$AY$138,LS_previous!AJ$149, FALSE))/2)</f>
        <v>1879</v>
      </c>
      <c r="U124" s="227">
        <f t="array" ref="U124">IF($G124=0, INDEX(LS_previous!$D$4:$AY$138, MATCH('Staging Table'!$A124, LS_previous!$B$4:$B$138, 0), MATCH(U$4&amp;U$5, LS_previous!$D$2:$AY$2&amp;LS_previous!$D$3:$AY$3, 0)),SUM(VLOOKUP($A124, LS_previous!$B$4:$AY$138, LS_previous!M$149, FALSE), VLOOKUP('Staging Table'!$A124, LS_previous!$B$4:$AY$138,LS_previous!AK$149, FALSE))/2)</f>
        <v>2063</v>
      </c>
      <c r="V124" s="227">
        <f t="array" ref="V124">IF($G124=0, INDEX(LS_previous!$D$4:$AY$138, MATCH('Staging Table'!$A124, LS_previous!$B$4:$B$138, 0), MATCH(V$4&amp;V$5, LS_previous!$D$2:$AY$2&amp;LS_previous!$D$3:$AY$3, 0)),SUM(VLOOKUP($A124, LS_previous!$B$4:$AY$138, LS_previous!N$149, FALSE), VLOOKUP('Staging Table'!$A124, LS_previous!$B$4:$AY$138,LS_previous!AL$149, FALSE))/2)</f>
        <v>26</v>
      </c>
      <c r="W124" s="227">
        <f t="array" ref="W124">IF($G124=0, INDEX(LS_previous!$D$4:$AY$138, MATCH('Staging Table'!$A124, LS_previous!$B$4:$B$138, 0), MATCH(W$4&amp;W$5, LS_previous!$D$2:$AY$2&amp;LS_previous!$D$3:$AY$3, 0)),SUM(VLOOKUP($A124, LS_previous!$B$4:$AY$138, LS_previous!O$149, FALSE), VLOOKUP('Staging Table'!$A124, LS_previous!$B$4:$AY$138,LS_previous!AM$149, FALSE))/2)</f>
        <v>1315</v>
      </c>
      <c r="X124" s="227">
        <f t="array" ref="X124">IF($G124=0, INDEX(LS_previous!$D$4:$AY$138, MATCH('Staging Table'!$A124, LS_previous!$B$4:$B$138, 0), MATCH(X$4&amp;X$5, LS_previous!$D$2:$AY$2&amp;LS_previous!$D$3:$AY$3, 0)),SUM(VLOOKUP($A124, LS_previous!$B$4:$AY$138, LS_previous!P$149, FALSE), VLOOKUP('Staging Table'!$A124, LS_previous!$B$4:$AY$138,LS_previous!AN$149, FALSE))/2)</f>
        <v>-187</v>
      </c>
      <c r="Y124" s="227">
        <f t="array" ref="Y124">IF($G124=0, INDEX(LS_previous!$D$4:$AY$138, MATCH('Staging Table'!$A124, LS_previous!$B$4:$B$138, 0), MATCH(Y$4&amp;Y$5, LS_previous!$D$2:$AY$2&amp;LS_previous!$D$3:$AY$3, 0)),SUM(VLOOKUP($A124, LS_previous!$B$4:$AY$138, LS_previous!Q$149, FALSE), VLOOKUP('Staging Table'!$A124, LS_previous!$B$4:$AY$138,LS_previous!AO$149, FALSE))/2)</f>
        <v>927</v>
      </c>
      <c r="Z124" s="227">
        <f t="array" ref="Z124">IF($G124=0, INDEX(LS_previous!$D$4:$AY$138, MATCH('Staging Table'!$A124, LS_previous!$B$4:$B$138, 0), MATCH(Z$4&amp;Z$5, LS_previous!$D$2:$AY$2&amp;LS_previous!$D$3:$AY$3, 0)),SUM(VLOOKUP($A124, LS_previous!$B$4:$AY$138, LS_previous!R$149, FALSE), VLOOKUP('Staging Table'!$A124, LS_previous!$B$4:$AY$138,LS_previous!AP$149, FALSE))/2)</f>
        <v>-4559</v>
      </c>
      <c r="AA124" s="227">
        <f t="array" ref="AA124">IF($G124=0, INDEX(LS_previous!$D$4:$AY$138, MATCH('Staging Table'!$A124, LS_previous!$B$4:$B$138, 0), MATCH(AA$4&amp;AA$5, LS_previous!$D$2:$AY$2&amp;LS_previous!$D$3:$AY$3, 0)),SUM(VLOOKUP($A124, LS_previous!$B$4:$AY$138, LS_previous!S$149, FALSE), VLOOKUP('Staging Table'!$A124, LS_previous!$B$4:$AY$138,LS_previous!AQ$149, FALSE))/2)</f>
        <v>-880</v>
      </c>
      <c r="AB124" s="227">
        <f t="array" ref="AB124">IF($G124=0, INDEX(LS_previous!$D$4:$AY$138, MATCH('Staging Table'!$A124, LS_previous!$B$4:$B$138, 0), MATCH(AB$4&amp;AB$5, LS_previous!$D$2:$AY$2&amp;LS_previous!$D$3:$AY$3, 0)),SUM(VLOOKUP($A124, LS_previous!$B$4:$AY$138, LS_previous!T$149, FALSE), VLOOKUP('Staging Table'!$A124, LS_previous!$B$4:$AY$138,LS_previous!AR$149, FALSE))/2)</f>
        <v>-2221</v>
      </c>
      <c r="AC124" s="227">
        <f t="array" ref="AC124">IF($G124=0, INDEX(LS_previous!$D$4:$AY$138, MATCH('Staging Table'!$A124, LS_previous!$B$4:$B$138, 0), MATCH(AC$4&amp;AC$5, LS_previous!$D$2:$AY$2&amp;LS_previous!$D$3:$AY$3, 0)),SUM(VLOOKUP($A124, LS_previous!$B$4:$AY$138, LS_previous!U$149, FALSE), VLOOKUP('Staging Table'!$A124, LS_previous!$B$4:$AY$138,LS_previous!AS$149, FALSE))/2)</f>
        <v>-115</v>
      </c>
      <c r="AD124" s="227">
        <f t="array" ref="AD124">IF($G124=0, INDEX(LS_previous!$D$4:$AY$138, MATCH('Staging Table'!$A124, LS_previous!$B$4:$B$138, 0), MATCH(AD$4&amp;AD$5, LS_previous!$D$2:$AY$2&amp;LS_previous!$D$3:$AY$3, 0)),SUM(VLOOKUP($A124, LS_previous!$B$4:$AY$138, LS_previous!V$149, FALSE), VLOOKUP('Staging Table'!$A124, LS_previous!$B$4:$AY$138,LS_previous!AT$149, FALSE))/2)</f>
        <v>-1151</v>
      </c>
      <c r="AE124" s="227">
        <f t="array" ref="AE124">IF($G124=0, INDEX(LS_previous!$D$4:$AY$138, MATCH('Staging Table'!$A124, LS_previous!$B$4:$B$138, 0), MATCH(AE$4&amp;AE$5, LS_previous!$D$2:$AY$2&amp;LS_previous!$D$3:$AY$3, 0)),SUM(VLOOKUP($A124, LS_previous!$B$4:$AY$138, LS_previous!W$149, FALSE), VLOOKUP('Staging Table'!$A124, LS_previous!$B$4:$AY$138,LS_previous!AU$149, FALSE))/2)</f>
        <v>758</v>
      </c>
      <c r="AF124" s="227">
        <f t="array" ref="AF124">IF($G124=0, INDEX(LS_previous!$D$4:$AY$138, MATCH('Staging Table'!$A124, LS_previous!$B$4:$B$138, 0), MATCH(AF$4&amp;AF$5, LS_previous!$D$2:$AY$2&amp;LS_previous!$D$3:$AY$3, 0)),SUM(VLOOKUP($A124, LS_previous!$B$4:$AY$138, LS_previous!X$149, FALSE), VLOOKUP('Staging Table'!$A124, LS_previous!$B$4:$AY$138,LS_previous!AV$149, FALSE))/2)</f>
        <v>-2122</v>
      </c>
      <c r="AG124" s="227">
        <f t="array" ref="AG124">IF($G124=0, INDEX(LS_previous!$D$4:$AY$138, MATCH('Staging Table'!$A124, LS_previous!$B$4:$B$138, 0), MATCH(AG$4&amp;AG$5, LS_previous!$D$2:$AY$2&amp;LS_previous!$D$3:$AY$3, 0)),SUM(VLOOKUP($A124, LS_previous!$B$4:$AY$138, LS_previous!Y$149, FALSE), VLOOKUP('Staging Table'!$A124, LS_previous!$B$4:$AY$138,LS_previous!AW$149, FALSE))/2)</f>
        <v>580</v>
      </c>
      <c r="AH124" s="227">
        <f t="array" ref="AH124">IF($G124=0, INDEX(LS_previous!$D$4:$AY$138, MATCH('Staging Table'!$A124, LS_previous!$B$4:$B$138, 0), MATCH(AH$4&amp;AH$5, LS_previous!$D$2:$AY$2&amp;LS_previous!$D$3:$AY$3, 0)),SUM(VLOOKUP($A124, LS_previous!$B$4:$AY$138, LS_previous!Z$149, FALSE), VLOOKUP('Staging Table'!$A124, LS_previous!$B$4:$AY$138,LS_previous!AX$149, FALSE))/2)</f>
        <v>-1011</v>
      </c>
      <c r="AI124" s="227">
        <f t="array" ref="AI124">IF($G124=0, INDEX(LS_previous!$D$4:$AY$138, MATCH('Staging Table'!$A124, LS_previous!$B$4:$B$138, 0), MATCH(AI$4&amp;AI$5, LS_previous!$D$2:$AY$2&amp;LS_previous!$D$3:$AY$3, 0)),SUM(VLOOKUP($A124, LS_previous!$B$4:$AY$138, LS_previous!AA$149, FALSE), VLOOKUP('Staging Table'!$A124, LS_previous!$B$4:$AY$138,LS_previous!AY$149, FALSE))/2)</f>
        <v>597</v>
      </c>
      <c r="AJ124" s="424">
        <f t="array" ref="AJ124">INDEX(Demand_previous!$D$4:$AY$138, MATCH('Staging Table'!$A124, Demand_previous!$B$4:$B$138, 0), MATCH(AJ$4&amp;AJ$5,Demand_previous!$D$2:$AY$2&amp;Demand_previous!$D$3:$AY$3, 0))/1000</f>
        <v>0</v>
      </c>
      <c r="AK124" s="424">
        <f t="array" ref="AK124">INDEX(Demand_previous!$D$4:$AY$138, MATCH('Staging Table'!$A124, Demand_previous!$B$4:$B$138, 0), MATCH(AK$4&amp;AK$5,Demand_previous!$D$2:$AY$2&amp;Demand_previous!$D$3:$AY$3, 0))/1000</f>
        <v>0.09</v>
      </c>
      <c r="AL124" s="424">
        <f t="array" ref="AL124">INDEX(Demand_previous!$D$4:$AY$138, MATCH('Staging Table'!$A124, Demand_previous!$B$4:$B$138, 0), MATCH(AL$4&amp;AL$5,Demand_previous!$D$2:$AY$2&amp;Demand_previous!$D$3:$AY$3, 0))/1000</f>
        <v>1.3540000000000001</v>
      </c>
      <c r="AM124" s="424">
        <f t="array" ref="AM124">INDEX(Demand_previous!$D$4:$AY$138, MATCH('Staging Table'!$A124, Demand_previous!$B$4:$B$138, 0), MATCH(AM$4&amp;AM$5,Demand_previous!$D$2:$AY$2&amp;Demand_previous!$D$3:$AY$3, 0))/1000</f>
        <v>0.99299999999999999</v>
      </c>
      <c r="AN124" s="424">
        <f t="array" ref="AN124">INDEX(Demand_previous!$D$4:$AY$138, MATCH('Staging Table'!$A124, Demand_previous!$B$4:$B$138, 0), MATCH(AN$4&amp;AN$5,Demand_previous!$D$2:$AY$2&amp;Demand_previous!$D$3:$AY$3, 0))/1000</f>
        <v>0.61299999999999999</v>
      </c>
      <c r="AO124" s="424">
        <f t="array" ref="AO124">INDEX(Demand_previous!$D$4:$AY$138, MATCH('Staging Table'!$A124, Demand_previous!$B$4:$B$138, 0), MATCH(AO$4&amp;AO$5,Demand_previous!$D$2:$AY$2&amp;Demand_previous!$D$3:$AY$3, 0))/1000</f>
        <v>1.6120000000000001</v>
      </c>
      <c r="AP124" s="424">
        <f t="array" ref="AP124">INDEX(Demand_previous!$D$4:$AY$138, MATCH('Staging Table'!$A124, Demand_previous!$B$4:$B$138, 0), MATCH(AP$4&amp;AP$5,Demand_previous!$D$2:$AY$2&amp;Demand_previous!$D$3:$AY$3, 0))/1000</f>
        <v>0</v>
      </c>
      <c r="AQ124" s="424">
        <f t="array" ref="AQ124">INDEX(Demand_previous!$D$4:$AY$138, MATCH('Staging Table'!$A124, Demand_previous!$B$4:$B$138, 0), MATCH(AQ$4&amp;AQ$5,Demand_previous!$D$2:$AY$2&amp;Demand_previous!$D$3:$AY$3, 0))/1000</f>
        <v>0.749</v>
      </c>
      <c r="AR124" s="424">
        <f t="array" ref="AR124">INDEX(Demand_previous!$D$4:$AY$138, MATCH('Staging Table'!$A124, Demand_previous!$B$4:$B$138, 0), MATCH(AR$4&amp;AR$5,Demand_previous!$D$2:$AY$2&amp;Demand_previous!$D$3:$AY$3, 0))/1000</f>
        <v>1.0089999999999999</v>
      </c>
      <c r="AS124" s="424">
        <f t="array" ref="AS124">INDEX(Demand_previous!$D$4:$AY$138, MATCH('Staging Table'!$A124, Demand_previous!$B$4:$B$138, 0), MATCH(AS$4&amp;AS$5,Demand_previous!$D$2:$AY$2&amp;Demand_previous!$D$3:$AY$3, 0))/1000</f>
        <v>0.24399999999999999</v>
      </c>
      <c r="AT124" s="424">
        <f t="array" ref="AT124">INDEX(Demand_previous!$D$4:$AY$138, MATCH('Staging Table'!$A124, Demand_previous!$B$4:$B$138, 0), MATCH(AT$4&amp;AT$5,Demand_previous!$D$2:$AY$2&amp;Demand_previous!$D$3:$AY$3, 0))/1000</f>
        <v>1.4039999999999999</v>
      </c>
      <c r="AU124" s="424">
        <f t="array" ref="AU124">INDEX(Demand_previous!$D$4:$AY$138, MATCH('Staging Table'!$A124, Demand_previous!$B$4:$B$138, 0), MATCH(AU$4&amp;AU$5,Demand_previous!$D$2:$AY$2&amp;Demand_previous!$D$3:$AY$3, 0))/1000</f>
        <v>0</v>
      </c>
      <c r="AV124" s="227">
        <f>$F124*(VLOOKUP(AV$4, Rates_previous!$G$6:$Q$29, 10, FALSE)+VLOOKUP(AV$4, Rates_previous!$G$6:$Q$29, 11, FALSE))</f>
        <v>13138.592293991618</v>
      </c>
      <c r="AW124" s="227">
        <f>$F124*(VLOOKUP(AW$4, Rates_previous!$G$6:$Q$29, 10, FALSE)+VLOOKUP(AW$4, Rates_previous!$G$6:$Q$29, 11, FALSE))</f>
        <v>16238.301489438887</v>
      </c>
      <c r="AX124" s="227">
        <f>$F124*(VLOOKUP(AX$4, Rates_previous!$G$6:$Q$29, 10, FALSE)+VLOOKUP(AX$4, Rates_previous!$G$6:$Q$29, 11, FALSE))</f>
        <v>16043.298910497429</v>
      </c>
      <c r="AY124" s="227">
        <f>$F124*(VLOOKUP(AY$4, Rates_previous!$G$6:$Q$29, 10, FALSE)+VLOOKUP(AY$4, Rates_previous!$G$6:$Q$29, 11, FALSE))</f>
        <v>13707.469740079836</v>
      </c>
      <c r="AZ124" s="227">
        <f>$F124*(VLOOKUP(AZ$4, Rates_previous!$G$6:$Q$29, 10, FALSE)+VLOOKUP(AZ$4, Rates_previous!$G$6:$Q$29, 11, FALSE))</f>
        <v>11237.46633322496</v>
      </c>
      <c r="BA124" s="227">
        <f>$F124*(VLOOKUP(BA$4, Rates_previous!$G$6:$Q$29, 10, FALSE)+VLOOKUP(BA$4, Rates_previous!$G$6:$Q$29, 11, FALSE))</f>
        <v>13304.751955879472</v>
      </c>
      <c r="BB124" s="227">
        <f>$F124*(VLOOKUP(BB$4, Rates_previous!$G$6:$Q$29, 10, FALSE)+VLOOKUP(BB$4, Rates_previous!$G$6:$Q$29, 11, FALSE))</f>
        <v>12787.801923842309</v>
      </c>
      <c r="BC124" s="227">
        <f>$F124*(VLOOKUP(BC$4, Rates_previous!$G$6:$Q$29, 10, FALSE)+VLOOKUP(BC$4, Rates_previous!$G$6:$Q$29, 11, FALSE))</f>
        <v>18765.194423239802</v>
      </c>
      <c r="BD124" s="227">
        <f>$F124*(VLOOKUP(BD$4, Rates_previous!$G$6:$Q$29, 10, FALSE)+VLOOKUP(BD$4, Rates_previous!$G$6:$Q$29, 11, FALSE))</f>
        <v>14805.242429801965</v>
      </c>
      <c r="BE124" s="227">
        <f>$F124*(VLOOKUP(BE$4, Rates_previous!$G$6:$Q$29, 10, FALSE)+VLOOKUP(BE$4, Rates_previous!$G$6:$Q$29, 11, FALSE))</f>
        <v>13000.245539240084</v>
      </c>
      <c r="BF124" s="227">
        <f>$F124*(VLOOKUP(BF$4, Rates_previous!$G$6:$Q$29, 10, FALSE)+VLOOKUP(BF$4, Rates_previous!$G$6:$Q$29, 11, FALSE))</f>
        <v>14398.292304803308</v>
      </c>
      <c r="BG124" s="227">
        <f>$F124*(VLOOKUP(BG$4, Rates_previous!$G$6:$Q$29, 10, FALSE)+VLOOKUP(BG$4, Rates_previous!$G$6:$Q$29, 11, FALSE))</f>
        <v>13044.280243952859</v>
      </c>
      <c r="BH124" s="229">
        <f>IF($D124=0,IF(C124=0, MAX(BK124 - (VLOOKUP($A124,TOCA_previous!$A$2:$AI$137,MATCH("RHWM 2018",TOCA_previous!$A$2:$AI$2,0),FALSE)*$F$2*TOCA_previous!C121),0),0), 0)</f>
        <v>0</v>
      </c>
      <c r="BI124" s="266">
        <f>VLOOKUP($A124,REP_previous!$A$1:$D$135,MATCH("FY "&amp;$F$1&amp; " Total Refund",REP_previous!$A$1:$D$1,0),0)</f>
        <v>262699.15804798278</v>
      </c>
      <c r="BJ124" s="241">
        <f>MIN(VLOOKUP($A124,TOCA_previous!$A$2:$AI$137,MATCH("TRL - NLSL - Existing Resource "&amp;$F$1,TOCA_previous!$A$2:$AI$2,0),FALSE)*$F$2,(VLOOKUP($A124,TOCA_previous!$A$2:$AI$137,MATCH("RHWM 2018",TOCA_previous!$A$2:$AI$2,0),FALSE)*$F$2))</f>
        <v>170469.6</v>
      </c>
      <c r="BK124" s="229">
        <f>SUM(L124:AI124)+(F124*RT1SC!$C$3*$F$2)</f>
        <v>172084.940075016</v>
      </c>
      <c r="BL124" s="241">
        <f>VLOOKUP($A124,TOCA_previous!$A$2:$AI$137,MATCH("Above RHWM Not Served with LS "&amp;$F$1,TOCA_previous!$A$2:$AI$2,0),FALSE)*$F$2</f>
        <v>0</v>
      </c>
      <c r="BM124" s="151">
        <f t="shared" si="21"/>
        <v>1615.3400750159926</v>
      </c>
      <c r="BN124" s="242">
        <f>(VLOOKUP($A124,TOCA_previous!$A$2:$AI$137,MATCH("RHWM 2018",TOCA_previous!$A$2:$AI$2,0),FALSE)*$F$2) - $BJ124</f>
        <v>5553.8399999999965</v>
      </c>
      <c r="BO124" s="151">
        <f t="shared" si="22"/>
        <v>-1615.3400750159926</v>
      </c>
      <c r="BP124" s="243">
        <f t="shared" si="23"/>
        <v>0</v>
      </c>
      <c r="BQ124" s="237">
        <f t="shared" si="24"/>
        <v>0</v>
      </c>
      <c r="BR124" s="242">
        <f t="shared" si="25"/>
        <v>-1615.3400750159926</v>
      </c>
      <c r="BS124" s="151">
        <f>VLOOKUP($A124,TOCA_current!$A$2:$AI$137,MATCH(BS$4,TOCA_current!$A$2:$AI$2,0),FALSE)</f>
        <v>2.7778E-3</v>
      </c>
      <c r="BT124" s="151">
        <f>VLOOKUP($A124,TOCA_current!$A$2:$AI$137,MATCH(BT$4,TOCA_current!$A$2:$AI$2,0),FALSE)</f>
        <v>2.7778E-3</v>
      </c>
      <c r="BU124" s="236">
        <f t="shared" si="26"/>
        <v>0</v>
      </c>
      <c r="BV124" s="151">
        <f>VLOOKUP($A124,TOCA_current!A120:BG255,MATCH(BV$4,TOCA_current!$A$2:$BG$2,0),FALSE)</f>
        <v>0</v>
      </c>
      <c r="BW124" s="151">
        <f t="shared" si="27"/>
        <v>0</v>
      </c>
      <c r="BX124" s="151">
        <f t="shared" si="28"/>
        <v>0</v>
      </c>
      <c r="BY124" s="226">
        <f>VLOOKUP($A124,IRD!$A$4:$G$139, 7, FALSE)</f>
        <v>0</v>
      </c>
      <c r="BZ124" s="227">
        <f t="array" ref="BZ124">IF($BU124=0, INDEX(LS_current!$D$4:$AY$138, MATCH('Staging Table'!$A124, LS_current!$B$4:$B$138, 0), MATCH(BZ$4&amp;BZ$5, LS_current!$D$2:$AY$2&amp;LS_current!$D$3:$AY$3, 0)),SUM(VLOOKUP($A124, LS_current!$B$4:$AY$138, LS_current!D$148, FALSE), VLOOKUP($A124, LS_current!$B$4:$AY$138,LS_current!D$148, FALSE))/2)</f>
        <v>-73</v>
      </c>
      <c r="CA124" s="227">
        <f t="array" ref="CA124">IF($BU124=0, INDEX(LS_current!$D$4:$AY$138, MATCH('Staging Table'!$A124, LS_current!$B$4:$B$138, 0), MATCH(CA$4&amp;CA$5, LS_current!$D$2:$AY$2&amp;LS_current!$D$3:$AY$3, 0)),SUM(VLOOKUP($A124, LS_current!$B$4:$AY$138, LS_current!E$148, FALSE), VLOOKUP($A124, LS_current!$B$4:$AY$138,LS_current!E$148, FALSE))/2)</f>
        <v>1028</v>
      </c>
      <c r="CB124" s="227">
        <f t="array" ref="CB124">IF($BU124=0, INDEX(LS_current!$D$4:$AY$138, MATCH('Staging Table'!$A124, LS_current!$B$4:$B$138, 0), MATCH(CB$4&amp;CB$5, LS_current!$D$2:$AY$2&amp;LS_current!$D$3:$AY$3, 0)),SUM(VLOOKUP($A124, LS_current!$B$4:$AY$138, LS_current!F$148, FALSE), VLOOKUP($A124, LS_current!$B$4:$AY$138,LS_current!F$148, FALSE))/2)</f>
        <v>-1272</v>
      </c>
      <c r="CC124" s="227">
        <f t="array" ref="CC124">IF($BU124=0, INDEX(LS_current!$D$4:$AY$138, MATCH('Staging Table'!$A124, LS_current!$B$4:$B$138, 0), MATCH(CC$4&amp;CC$5, LS_current!$D$2:$AY$2&amp;LS_current!$D$3:$AY$3, 0)),SUM(VLOOKUP($A124, LS_current!$B$4:$AY$138, LS_current!G$148, FALSE), VLOOKUP($A124, LS_current!$B$4:$AY$138,LS_current!G$148, FALSE))/2)</f>
        <v>610</v>
      </c>
      <c r="CD124" s="227">
        <f t="array" ref="CD124">IF($BU124=0, INDEX(LS_current!$D$4:$AY$138, MATCH('Staging Table'!$A124, LS_current!$B$4:$B$138, 0), MATCH(CD$4&amp;CD$5, LS_current!$D$2:$AY$2&amp;LS_current!$D$3:$AY$3, 0)),SUM(VLOOKUP($A124, LS_current!$B$4:$AY$138, LS_current!H$148, FALSE), VLOOKUP($A124, LS_current!$B$4:$AY$138,LS_current!H$148, FALSE))/2)</f>
        <v>190</v>
      </c>
      <c r="CE124" s="227">
        <f t="array" ref="CE124">IF($BU124=0, INDEX(LS_current!$D$4:$AY$138, MATCH('Staging Table'!$A124, LS_current!$B$4:$B$138, 0), MATCH(CE$4&amp;CE$5, LS_current!$D$2:$AY$2&amp;LS_current!$D$3:$AY$3, 0)),SUM(VLOOKUP($A124, LS_current!$B$4:$AY$138, LS_current!I$148, FALSE), VLOOKUP($A124, LS_current!$B$4:$AY$138,LS_current!I$148, FALSE))/2)</f>
        <v>2098</v>
      </c>
      <c r="CF124" s="227">
        <f t="array" ref="CF124">IF($BU124=0, INDEX(LS_current!$D$4:$AY$138, MATCH('Staging Table'!$A124, LS_current!$B$4:$B$138, 0), MATCH(CF$4&amp;CF$5, LS_current!$D$2:$AY$2&amp;LS_current!$D$3:$AY$3, 0)),SUM(VLOOKUP($A124, LS_current!$B$4:$AY$138, LS_current!J$148, FALSE), VLOOKUP($A124, LS_current!$B$4:$AY$138,LS_current!J$148, FALSE))/2)</f>
        <v>1405</v>
      </c>
      <c r="CG124" s="227">
        <f t="array" ref="CG124">IF($BU124=0, INDEX(LS_current!$D$4:$AY$138, MATCH('Staging Table'!$A124, LS_current!$B$4:$B$138, 0), MATCH(CG$4&amp;CG$5, LS_current!$D$2:$AY$2&amp;LS_current!$D$3:$AY$3, 0)),SUM(VLOOKUP($A124, LS_current!$B$4:$AY$138, LS_current!K$148, FALSE), VLOOKUP($A124, LS_current!$B$4:$AY$138,LS_current!K$148, FALSE))/2)</f>
        <v>2223</v>
      </c>
      <c r="CH124" s="227">
        <f t="array" ref="CH124">IF($BU124=0, INDEX(LS_current!$D$4:$AY$138, MATCH('Staging Table'!$A124, LS_current!$B$4:$B$138, 0), MATCH(CH$4&amp;CH$5, LS_current!$D$2:$AY$2&amp;LS_current!$D$3:$AY$3, 0)),SUM(VLOOKUP($A124, LS_current!$B$4:$AY$138, LS_current!L$148, FALSE), VLOOKUP($A124, LS_current!$B$4:$AY$138,LS_current!L$148, FALSE))/2)</f>
        <v>1309</v>
      </c>
      <c r="CI124" s="227">
        <f t="array" ref="CI124">IF($BU124=0, INDEX(LS_current!$D$4:$AY$138, MATCH('Staging Table'!$A124, LS_current!$B$4:$B$138, 0), MATCH(CI$4&amp;CI$5, LS_current!$D$2:$AY$2&amp;LS_current!$D$3:$AY$3, 0)),SUM(VLOOKUP($A124, LS_current!$B$4:$AY$138, LS_current!M$148, FALSE), VLOOKUP($A124, LS_current!$B$4:$AY$138,LS_current!M$148, FALSE))/2)</f>
        <v>1716</v>
      </c>
      <c r="CJ124" s="227">
        <f t="array" ref="CJ124">IF($BU124=0, INDEX(LS_current!$D$4:$AY$138, MATCH('Staging Table'!$A124, LS_current!$B$4:$B$138, 0), MATCH(CJ$4&amp;CJ$5, LS_current!$D$2:$AY$2&amp;LS_current!$D$3:$AY$3, 0)),SUM(VLOOKUP($A124, LS_current!$B$4:$AY$138, LS_current!N$148, FALSE), VLOOKUP($A124, LS_current!$B$4:$AY$138,LS_current!N$148, FALSE))/2)</f>
        <v>-157</v>
      </c>
      <c r="CK124" s="227">
        <f t="array" ref="CK124">IF($BU124=0, INDEX(LS_current!$D$4:$AY$138, MATCH('Staging Table'!$A124, LS_current!$B$4:$B$138, 0), MATCH(CK$4&amp;CK$5, LS_current!$D$2:$AY$2&amp;LS_current!$D$3:$AY$3, 0)),SUM(VLOOKUP($A124, LS_current!$B$4:$AY$138, LS_current!O$148, FALSE), VLOOKUP($A124, LS_current!$B$4:$AY$138,LS_current!O$148, FALSE))/2)</f>
        <v>1282</v>
      </c>
      <c r="CL124" s="227">
        <f t="array" ref="CL124">IF($BU124=0, INDEX(LS_current!$D$4:$AY$138, MATCH('Staging Table'!$A124, LS_current!$B$4:$B$138, 0), MATCH(CL$4&amp;CL$5, LS_current!$D$2:$AY$2&amp;LS_current!$D$3:$AY$3, 0)),SUM(VLOOKUP($A124, LS_current!$B$4:$AY$138, LS_current!P$148, FALSE), VLOOKUP($A124, LS_current!$B$4:$AY$138,LS_current!P$148, FALSE))/2)</f>
        <v>1110</v>
      </c>
      <c r="CM124" s="227">
        <f t="array" ref="CM124">IF($BU124=0, INDEX(LS_current!$D$4:$AY$138, MATCH('Staging Table'!$A124, LS_current!$B$4:$B$138, 0), MATCH(CM$4&amp;CM$5, LS_current!$D$2:$AY$2&amp;LS_current!$D$3:$AY$3, 0)),SUM(VLOOKUP($A124, LS_current!$B$4:$AY$138, LS_current!Q$148, FALSE), VLOOKUP($A124, LS_current!$B$4:$AY$138,LS_current!Q$148, FALSE))/2)</f>
        <v>1410</v>
      </c>
      <c r="CN124" s="227">
        <f t="array" ref="CN124">IF($BU124=0, INDEX(LS_current!$D$4:$AY$138, MATCH('Staging Table'!$A124, LS_current!$B$4:$B$138, 0), MATCH(CN$4&amp;CN$5, LS_current!$D$2:$AY$2&amp;LS_current!$D$3:$AY$3, 0)),SUM(VLOOKUP($A124, LS_current!$B$4:$AY$138, LS_current!R$148, FALSE), VLOOKUP($A124, LS_current!$B$4:$AY$138,LS_current!R$148, FALSE))/2)</f>
        <v>-2233</v>
      </c>
      <c r="CO124" s="227">
        <f t="array" ref="CO124">IF($BU124=0, INDEX(LS_current!$D$4:$AY$138, MATCH('Staging Table'!$A124, LS_current!$B$4:$B$138, 0), MATCH(CO$4&amp;CO$5, LS_current!$D$2:$AY$2&amp;LS_current!$D$3:$AY$3, 0)),SUM(VLOOKUP($A124, LS_current!$B$4:$AY$138, LS_current!S$148, FALSE), VLOOKUP($A124, LS_current!$B$4:$AY$138,LS_current!S$148, FALSE))/2)</f>
        <v>713</v>
      </c>
      <c r="CP124" s="227">
        <f t="array" ref="CP124">IF($BU124=0, INDEX(LS_current!$D$4:$AY$138, MATCH('Staging Table'!$A124, LS_current!$B$4:$B$138, 0), MATCH(CP$4&amp;CP$5, LS_current!$D$2:$AY$2&amp;LS_current!$D$3:$AY$3, 0)),SUM(VLOOKUP($A124, LS_current!$B$4:$AY$138, LS_current!T$148, FALSE), VLOOKUP($A124, LS_current!$B$4:$AY$138,LS_current!T$148, FALSE))/2)</f>
        <v>-4829</v>
      </c>
      <c r="CQ124" s="227">
        <f t="array" ref="CQ124">IF($BU124=0, INDEX(LS_current!$D$4:$AY$138, MATCH('Staging Table'!$A124, LS_current!$B$4:$B$138, 0), MATCH(CQ$4&amp;CQ$5, LS_current!$D$2:$AY$2&amp;LS_current!$D$3:$AY$3, 0)),SUM(VLOOKUP($A124, LS_current!$B$4:$AY$138, LS_current!U$148, FALSE), VLOOKUP($A124, LS_current!$B$4:$AY$138,LS_current!U$148, FALSE))/2)</f>
        <v>-1644</v>
      </c>
      <c r="CR124" s="227">
        <f t="array" ref="CR124">IF($BU124=0, INDEX(LS_current!$D$4:$AY$138, MATCH('Staging Table'!$A124, LS_current!$B$4:$B$138, 0), MATCH(CR$4&amp;CR$5, LS_current!$D$2:$AY$2&amp;LS_current!$D$3:$AY$3, 0)),SUM(VLOOKUP($A124, LS_current!$B$4:$AY$138, LS_current!V$148, FALSE), VLOOKUP($A124, LS_current!$B$4:$AY$138,LS_current!V$148, FALSE))/2)</f>
        <v>-2875</v>
      </c>
      <c r="CS124" s="227">
        <f t="array" ref="CS124">IF($BU124=0, INDEX(LS_current!$D$4:$AY$138, MATCH('Staging Table'!$A124, LS_current!$B$4:$B$138, 0), MATCH(CS$4&amp;CS$5, LS_current!$D$2:$AY$2&amp;LS_current!$D$3:$AY$3, 0)),SUM(VLOOKUP($A124, LS_current!$B$4:$AY$138, LS_current!W$148, FALSE), VLOOKUP($A124, LS_current!$B$4:$AY$138,LS_current!W$148, FALSE))/2)</f>
        <v>631</v>
      </c>
      <c r="CT124" s="227">
        <f t="array" ref="CT124">IF($BU124=0, INDEX(LS_current!$D$4:$AY$138, MATCH('Staging Table'!$A124, LS_current!$B$4:$B$138, 0), MATCH(CT$4&amp;CT$5, LS_current!$D$2:$AY$2&amp;LS_current!$D$3:$AY$3, 0)),SUM(VLOOKUP($A124, LS_current!$B$4:$AY$138, LS_current!X$148, FALSE), VLOOKUP($A124, LS_current!$B$4:$AY$138,LS_current!X$148, FALSE))/2)</f>
        <v>-2400</v>
      </c>
      <c r="CU124" s="227">
        <f t="array" ref="CU124">IF($BU124=0, INDEX(LS_current!$D$4:$AY$138, MATCH('Staging Table'!$A124, LS_current!$B$4:$B$138, 0), MATCH(CU$4&amp;CU$5, LS_current!$D$2:$AY$2&amp;LS_current!$D$3:$AY$3, 0)),SUM(VLOOKUP($A124, LS_current!$B$4:$AY$138, LS_current!Y$148, FALSE), VLOOKUP($A124, LS_current!$B$4:$AY$138,LS_current!Y$148, FALSE))/2)</f>
        <v>794</v>
      </c>
      <c r="CV124" s="227">
        <f t="array" ref="CV124">IF($BU124=0, INDEX(LS_current!$D$4:$AY$138, MATCH('Staging Table'!$A124, LS_current!$B$4:$B$138, 0), MATCH(CV$4&amp;CV$5, LS_current!$D$2:$AY$2&amp;LS_current!$D$3:$AY$3, 0)),SUM(VLOOKUP($A124, LS_current!$B$4:$AY$138, LS_current!Z$148, FALSE), VLOOKUP($A124, LS_current!$B$4:$AY$138,LS_current!Z$148, FALSE))/2)</f>
        <v>-988</v>
      </c>
      <c r="CW124" s="227">
        <f t="array" ref="CW124">IF($BU124=0, INDEX(LS_current!$D$4:$AY$138, MATCH('Staging Table'!$A124, LS_current!$B$4:$B$138, 0), MATCH(CW$4&amp;CW$5, LS_current!$D$2:$AY$2&amp;LS_current!$D$3:$AY$3, 0)),SUM(VLOOKUP($A124, LS_current!$B$4:$AY$138, LS_current!AA$148, FALSE), VLOOKUP($A124, LS_current!$B$4:$AY$138,LS_current!AA$148, FALSE))/2)</f>
        <v>634</v>
      </c>
      <c r="CX124" s="229">
        <f t="array" ref="CX124">INDEX(Demand_current!$D$4:$AY$138, MATCH($A124, Demand_current!$B$4:$B$138, 0), MATCH(CX$4&amp;CX$5,Demand_current!$D$2:$AY$2&amp;Demand_current!$D$3:$AY$3, 0))/1000</f>
        <v>0.63800000000000001</v>
      </c>
      <c r="CY124" s="229">
        <f t="array" ref="CY124">INDEX(Demand_current!$D$4:$AY$138, MATCH($A124, Demand_current!$B$4:$B$138, 0), MATCH(CY$4&amp;CY$5,Demand_current!$D$2:$AY$2&amp;Demand_current!$D$3:$AY$3, 0))/1000</f>
        <v>0.09</v>
      </c>
      <c r="CZ124" s="229">
        <f t="array" ref="CZ124">INDEX(Demand_current!$D$4:$AY$138, MATCH($A124, Demand_current!$B$4:$B$138, 0), MATCH(CZ$4&amp;CZ$5,Demand_current!$D$2:$AY$2&amp;Demand_current!$D$3:$AY$3, 0))/1000</f>
        <v>1.3540000000000001</v>
      </c>
      <c r="DA124" s="229">
        <f t="array" ref="DA124">INDEX(Demand_current!$D$4:$AY$138, MATCH($A124, Demand_current!$B$4:$B$138, 0), MATCH(DA$4&amp;DA$5,Demand_current!$D$2:$AY$2&amp;Demand_current!$D$3:$AY$3, 0))/1000</f>
        <v>0.99299999999999999</v>
      </c>
      <c r="DB124" s="229">
        <f t="array" ref="DB124">INDEX(Demand_current!$D$4:$AY$138, MATCH($A124, Demand_current!$B$4:$B$138, 0), MATCH(DB$4&amp;DB$5,Demand_current!$D$2:$AY$2&amp;Demand_current!$D$3:$AY$3, 0))/1000</f>
        <v>1.548</v>
      </c>
      <c r="DC124" s="229">
        <f t="array" ref="DC124">INDEX(Demand_current!$D$4:$AY$138, MATCH($A124, Demand_current!$B$4:$B$138, 0), MATCH(DC$4&amp;DC$5,Demand_current!$D$2:$AY$2&amp;Demand_current!$D$3:$AY$3, 0))/1000</f>
        <v>0.86</v>
      </c>
      <c r="DD124" s="229">
        <f t="array" ref="DD124">INDEX(Demand_current!$D$4:$AY$138, MATCH($A124, Demand_current!$B$4:$B$138, 0), MATCH(DD$4&amp;DD$5,Demand_current!$D$2:$AY$2&amp;Demand_current!$D$3:$AY$3, 0))/1000</f>
        <v>0.27500000000000002</v>
      </c>
      <c r="DE124" s="229">
        <f t="array" ref="DE124">INDEX(Demand_current!$D$4:$AY$138, MATCH($A124, Demand_current!$B$4:$B$138, 0), MATCH(DE$4&amp;DE$5,Demand_current!$D$2:$AY$2&amp;Demand_current!$D$3:$AY$3, 0))/1000</f>
        <v>3.6999999999999998E-2</v>
      </c>
      <c r="DF124" s="229">
        <f t="array" ref="DF124">INDEX(Demand_current!$D$4:$AY$138, MATCH($A124, Demand_current!$B$4:$B$138, 0), MATCH(DF$4&amp;DF$5,Demand_current!$D$2:$AY$2&amp;Demand_current!$D$3:$AY$3, 0))/1000</f>
        <v>1.0089999999999999</v>
      </c>
      <c r="DG124" s="229">
        <f t="array" ref="DG124">INDEX(Demand_current!$D$4:$AY$138, MATCH($A124, Demand_current!$B$4:$B$138, 0), MATCH(DG$4&amp;DG$5,Demand_current!$D$2:$AY$2&amp;Demand_current!$D$3:$AY$3, 0))/1000</f>
        <v>0.95</v>
      </c>
      <c r="DH124" s="229">
        <f t="array" ref="DH124">INDEX(Demand_current!$D$4:$AY$138, MATCH($A124, Demand_current!$B$4:$B$138, 0), MATCH(DH$4&amp;DH$5,Demand_current!$D$2:$AY$2&amp;Demand_current!$D$3:$AY$3, 0))/1000</f>
        <v>0.73599999999999999</v>
      </c>
      <c r="DI124" s="229">
        <f t="array" ref="DI124">INDEX(Demand_current!$D$4:$AY$138, MATCH($A124, Demand_current!$B$4:$B$138, 0), MATCH(DI$4&amp;DI$5,Demand_current!$D$2:$AY$2&amp;Demand_current!$D$3:$AY$3, 0))/1000</f>
        <v>0</v>
      </c>
      <c r="DJ124" s="227">
        <f>$BT124*(VLOOKUP(DJ$4, Rates_current!$G$6:$Q$29, 10, FALSE)+VLOOKUP(DJ$4, Rates_current!$G$6:$Q$29, 11, FALSE))</f>
        <v>12825.983707048799</v>
      </c>
      <c r="DK124" s="227">
        <f>$BT124*(VLOOKUP(DK$4, Rates_current!$G$6:$Q$29, 10, FALSE)+VLOOKUP(DK$4, Rates_current!$G$6:$Q$29, 11, FALSE))</f>
        <v>16293.0004512942</v>
      </c>
      <c r="DL124" s="227">
        <f>$BT124*(VLOOKUP(DL$4, Rates_current!$G$6:$Q$29, 10, FALSE)+VLOOKUP(DL$4, Rates_current!$G$6:$Q$29, 11, FALSE))</f>
        <v>16096.240424448801</v>
      </c>
      <c r="DM124" s="227">
        <f>$BT124*(VLOOKUP(DM$4, Rates_current!$G$6:$Q$29, 10, FALSE)+VLOOKUP(DM$4, Rates_current!$G$6:$Q$29, 11, FALSE))</f>
        <v>13417.1967700488</v>
      </c>
      <c r="DN124" s="227">
        <f>$BT124*(VLOOKUP(DN$4, Rates_current!$G$6:$Q$29, 10, FALSE)+VLOOKUP(DN$4, Rates_current!$G$6:$Q$29, 11, FALSE))</f>
        <v>12154.588347039999</v>
      </c>
      <c r="DO124" s="227">
        <f>$BT124*(VLOOKUP(DO$4, Rates_current!$G$6:$Q$29, 10, FALSE)+VLOOKUP(DO$4, Rates_current!$G$6:$Q$29, 11, FALSE))</f>
        <v>13519.763537798599</v>
      </c>
      <c r="DP124" s="227">
        <f>$BT124*(VLOOKUP(DP$4, Rates_current!$G$6:$Q$29, 10, FALSE)+VLOOKUP(DP$4, Rates_current!$G$6:$Q$29, 11, FALSE))</f>
        <v>11007.806061744001</v>
      </c>
      <c r="DQ124" s="227">
        <f>$BT124*(VLOOKUP(DQ$4, Rates_current!$G$6:$Q$29, 10, FALSE)+VLOOKUP(DQ$4, Rates_current!$G$6:$Q$29, 11, FALSE))</f>
        <v>14845.667919948801</v>
      </c>
      <c r="DR124" s="227">
        <f>$BT124*(VLOOKUP(DR$4, Rates_current!$G$6:$Q$29, 10, FALSE)+VLOOKUP(DR$4, Rates_current!$G$6:$Q$29, 11, FALSE))</f>
        <v>18942.062590844002</v>
      </c>
      <c r="DS124" s="227">
        <f>$BT124*(VLOOKUP(DS$4, Rates_current!$G$6:$Q$29, 10, FALSE)+VLOOKUP(DS$4, Rates_current!$G$6:$Q$29, 11, FALSE))</f>
        <v>14851.1776862488</v>
      </c>
      <c r="DT124" s="227">
        <f>$BT124*(VLOOKUP(DT$4, Rates_current!$G$6:$Q$29, 10, FALSE)+VLOOKUP(DT$4, Rates_current!$G$6:$Q$29, 11, FALSE))</f>
        <v>14462.089851348801</v>
      </c>
      <c r="DU124" s="227">
        <f>$BT124*(VLOOKUP(DU$4, Rates_current!$G$6:$Q$29, 10, FALSE)+VLOOKUP(DU$4, Rates_current!$G$6:$Q$29, 11, FALSE))</f>
        <v>12983.880203544</v>
      </c>
      <c r="DV124" s="229">
        <f>IF(D124=0,IF(C124=0,MAX(0,DY124 - (VLOOKUP($A124,TOCA_current!$A$2:$AI$137,MATCH("RHWM 2020",TOCA_current!$A$2:$AI$2,0),FALSE)*$BT$2)), 0),0)</f>
        <v>0</v>
      </c>
      <c r="DW124" s="266">
        <f>VLOOKUP($A124,REP_current!$A$1:$D$135,MATCH("FY "&amp;$BT$1&amp; " Total Refund",REP_current!$A$1:$D$1,0),0)</f>
        <v>0</v>
      </c>
      <c r="DX124" s="295">
        <f>MIN(VLOOKUP($A124,TOCA_current!$A$2:$AI$137,MATCH("TRL - NLSL - Existing Resource "&amp;$BT$1,TOCA_current!$A$2:$AI$2,0),FALSE)*$BT$2, VLOOKUP($A124,TOCA_current!$A$2:$AI$137,MATCH("RHWM 2020",TOCA_current!$A$2:$AI$2,0),FALSE)*$BT$2)</f>
        <v>171402.19200000001</v>
      </c>
      <c r="DY124" s="240">
        <f>SUM(BZ124:CW124)+(BT124*RT1SC!$C$4*$BT$2)</f>
        <v>172081.46398474238</v>
      </c>
      <c r="DZ124" s="271">
        <f>VLOOKUP($A124,TOCA_current!$A$2:$AI$137,MATCH("Above RHWM Not Served with LS "&amp;$BT$1,TOCA_current!$A$2:$AI$2,0),FALSE)*$BT$2</f>
        <v>0</v>
      </c>
      <c r="EA124" s="244">
        <f t="shared" si="29"/>
        <v>679.2719847423723</v>
      </c>
      <c r="EB124" s="295">
        <f>(VLOOKUP($A124,TOCA_current!$A$2:$AI$137,MATCH("RHWM 2020",TOCA_current!$A$2:$AI$2,0),FALSE)*$BT$2) - $DX124</f>
        <v>7027.1999999999825</v>
      </c>
      <c r="EC124" s="240">
        <f t="shared" si="30"/>
        <v>-679.2719847423723</v>
      </c>
      <c r="ED124" s="240">
        <f t="shared" si="31"/>
        <v>0</v>
      </c>
      <c r="EE124" s="240">
        <f t="shared" si="32"/>
        <v>0</v>
      </c>
      <c r="EF124" s="240">
        <f t="shared" si="33"/>
        <v>-679.2719847423723</v>
      </c>
    </row>
    <row r="125" spans="1:136">
      <c r="A125" s="166">
        <v>10426</v>
      </c>
      <c r="B125" s="167" t="s">
        <v>126</v>
      </c>
      <c r="C125" s="240">
        <v>0</v>
      </c>
      <c r="D125" s="240">
        <v>0</v>
      </c>
      <c r="E125" s="150">
        <f>VLOOKUP($A125,TOCA_previous!$A$2:$AI$137,MATCH(E$4,TOCA_previous!$A$2:$AI$2,0),FALSE)</f>
        <v>2.6080000000000001E-3</v>
      </c>
      <c r="F125" s="151">
        <f>VLOOKUP($A125,TOCA_previous!$A$2:$AI$137,MATCH(F$4,TOCA_previous!$A$2:$AI$2,0),FALSE)</f>
        <v>2.6080000000000001E-3</v>
      </c>
      <c r="G125" s="151">
        <f t="shared" si="18"/>
        <v>0</v>
      </c>
      <c r="H125" s="151">
        <f>VLOOKUP($A125,TOCA_previous!$A$2:$AI$137,MATCH(H$4,TOCA_previous!$A$2:$AI$2,0),FALSE)</f>
        <v>0</v>
      </c>
      <c r="I125" s="151">
        <f t="shared" si="19"/>
        <v>0</v>
      </c>
      <c r="J125" s="151">
        <f t="shared" si="20"/>
        <v>0</v>
      </c>
      <c r="K125" s="226">
        <f>VLOOKUP(A125, IRD!$A$5:$C$139, 3, FALSE)</f>
        <v>0</v>
      </c>
      <c r="L125" s="227">
        <f t="array" ref="L125">IF($G125=0, INDEX(LS_previous!$D$4:$AY$138, MATCH('Staging Table'!$A125, LS_previous!$B$4:$B$138, 0), MATCH(L$4&amp;L$5, LS_previous!$D$2:$AY$2&amp;LS_previous!$D$3:$AY$3, 0)),SUM(VLOOKUP($A125, LS_previous!$B$4:$AY$138, LS_previous!D$149, FALSE), VLOOKUP('Staging Table'!$A125, LS_previous!$B$4:$AY$138,LS_previous!AB$149, FALSE))/2)</f>
        <v>3338</v>
      </c>
      <c r="M125" s="227">
        <f t="array" ref="M125">IF($G125=0, INDEX(LS_previous!$D$4:$AY$138, MATCH('Staging Table'!$A125, LS_previous!$B$4:$B$138, 0), MATCH(M$4&amp;M$5, LS_previous!$D$2:$AY$2&amp;LS_previous!$D$3:$AY$3, 0)),SUM(VLOOKUP($A125, LS_previous!$B$4:$AY$138, LS_previous!E$149, FALSE), VLOOKUP('Staging Table'!$A125, LS_previous!$B$4:$AY$138,LS_previous!AC$149, FALSE))/2)</f>
        <v>4087</v>
      </c>
      <c r="N125" s="227">
        <f t="array" ref="N125">IF($G125=0, INDEX(LS_previous!$D$4:$AY$138, MATCH('Staging Table'!$A125, LS_previous!$B$4:$B$138, 0), MATCH(N$4&amp;N$5, LS_previous!$D$2:$AY$2&amp;LS_previous!$D$3:$AY$3, 0)),SUM(VLOOKUP($A125, LS_previous!$B$4:$AY$138, LS_previous!F$149, FALSE), VLOOKUP('Staging Table'!$A125, LS_previous!$B$4:$AY$138,LS_previous!AD$149, FALSE))/2)</f>
        <v>3263</v>
      </c>
      <c r="O125" s="227">
        <f t="array" ref="O125">IF($G125=0, INDEX(LS_previous!$D$4:$AY$138, MATCH('Staging Table'!$A125, LS_previous!$B$4:$B$138, 0), MATCH(O$4&amp;O$5, LS_previous!$D$2:$AY$2&amp;LS_previous!$D$3:$AY$3, 0)),SUM(VLOOKUP($A125, LS_previous!$B$4:$AY$138, LS_previous!G$149, FALSE), VLOOKUP('Staging Table'!$A125, LS_previous!$B$4:$AY$138,LS_previous!AE$149, FALSE))/2)</f>
        <v>5317</v>
      </c>
      <c r="P125" s="227">
        <f t="array" ref="P125">IF($G125=0, INDEX(LS_previous!$D$4:$AY$138, MATCH('Staging Table'!$A125, LS_previous!$B$4:$B$138, 0), MATCH(P$4&amp;P$5, LS_previous!$D$2:$AY$2&amp;LS_previous!$D$3:$AY$3, 0)),SUM(VLOOKUP($A125, LS_previous!$B$4:$AY$138, LS_previous!H$149, FALSE), VLOOKUP('Staging Table'!$A125, LS_previous!$B$4:$AY$138,LS_previous!AF$149, FALSE))/2)</f>
        <v>6353</v>
      </c>
      <c r="Q125" s="227">
        <f t="array" ref="Q125">IF($G125=0, INDEX(LS_previous!$D$4:$AY$138, MATCH('Staging Table'!$A125, LS_previous!$B$4:$B$138, 0), MATCH(Q$4&amp;Q$5, LS_previous!$D$2:$AY$2&amp;LS_previous!$D$3:$AY$3, 0)),SUM(VLOOKUP($A125, LS_previous!$B$4:$AY$138, LS_previous!I$149, FALSE), VLOOKUP('Staging Table'!$A125, LS_previous!$B$4:$AY$138,LS_previous!AG$149, FALSE))/2)</f>
        <v>7227</v>
      </c>
      <c r="R125" s="227">
        <f t="array" ref="R125">IF($G125=0, INDEX(LS_previous!$D$4:$AY$138, MATCH('Staging Table'!$A125, LS_previous!$B$4:$B$138, 0), MATCH(R$4&amp;R$5, LS_previous!$D$2:$AY$2&amp;LS_previous!$D$3:$AY$3, 0)),SUM(VLOOKUP($A125, LS_previous!$B$4:$AY$138, LS_previous!J$149, FALSE), VLOOKUP('Staging Table'!$A125, LS_previous!$B$4:$AY$138,LS_previous!AH$149, FALSE))/2)</f>
        <v>7252</v>
      </c>
      <c r="S125" s="227">
        <f t="array" ref="S125">IF($G125=0, INDEX(LS_previous!$D$4:$AY$138, MATCH('Staging Table'!$A125, LS_previous!$B$4:$B$138, 0), MATCH(S$4&amp;S$5, LS_previous!$D$2:$AY$2&amp;LS_previous!$D$3:$AY$3, 0)),SUM(VLOOKUP($A125, LS_previous!$B$4:$AY$138, LS_previous!K$149, FALSE), VLOOKUP('Staging Table'!$A125, LS_previous!$B$4:$AY$138,LS_previous!AI$149, FALSE))/2)</f>
        <v>7908</v>
      </c>
      <c r="T125" s="227">
        <f t="array" ref="T125">IF($G125=0, INDEX(LS_previous!$D$4:$AY$138, MATCH('Staging Table'!$A125, LS_previous!$B$4:$B$138, 0), MATCH(T$4&amp;T$5, LS_previous!$D$2:$AY$2&amp;LS_previous!$D$3:$AY$3, 0)),SUM(VLOOKUP($A125, LS_previous!$B$4:$AY$138, LS_previous!L$149, FALSE), VLOOKUP('Staging Table'!$A125, LS_previous!$B$4:$AY$138,LS_previous!AJ$149, FALSE))/2)</f>
        <v>7336</v>
      </c>
      <c r="U125" s="227">
        <f t="array" ref="U125">IF($G125=0, INDEX(LS_previous!$D$4:$AY$138, MATCH('Staging Table'!$A125, LS_previous!$B$4:$B$138, 0), MATCH(U$4&amp;U$5, LS_previous!$D$2:$AY$2&amp;LS_previous!$D$3:$AY$3, 0)),SUM(VLOOKUP($A125, LS_previous!$B$4:$AY$138, LS_previous!M$149, FALSE), VLOOKUP('Staging Table'!$A125, LS_previous!$B$4:$AY$138,LS_previous!AK$149, FALSE))/2)</f>
        <v>7291</v>
      </c>
      <c r="V125" s="227">
        <f t="array" ref="V125">IF($G125=0, INDEX(LS_previous!$D$4:$AY$138, MATCH('Staging Table'!$A125, LS_previous!$B$4:$B$138, 0), MATCH(V$4&amp;V$5, LS_previous!$D$2:$AY$2&amp;LS_previous!$D$3:$AY$3, 0)),SUM(VLOOKUP($A125, LS_previous!$B$4:$AY$138, LS_previous!N$149, FALSE), VLOOKUP('Staging Table'!$A125, LS_previous!$B$4:$AY$138,LS_previous!AL$149, FALSE))/2)</f>
        <v>4480</v>
      </c>
      <c r="W125" s="227">
        <f t="array" ref="W125">IF($G125=0, INDEX(LS_previous!$D$4:$AY$138, MATCH('Staging Table'!$A125, LS_previous!$B$4:$B$138, 0), MATCH(W$4&amp;W$5, LS_previous!$D$2:$AY$2&amp;LS_previous!$D$3:$AY$3, 0)),SUM(VLOOKUP($A125, LS_previous!$B$4:$AY$138, LS_previous!O$149, FALSE), VLOOKUP('Staging Table'!$A125, LS_previous!$B$4:$AY$138,LS_previous!AM$149, FALSE))/2)</f>
        <v>5358</v>
      </c>
      <c r="X125" s="227">
        <f t="array" ref="X125">IF($G125=0, INDEX(LS_previous!$D$4:$AY$138, MATCH('Staging Table'!$A125, LS_previous!$B$4:$B$138, 0), MATCH(X$4&amp;X$5, LS_previous!$D$2:$AY$2&amp;LS_previous!$D$3:$AY$3, 0)),SUM(VLOOKUP($A125, LS_previous!$B$4:$AY$138, LS_previous!P$149, FALSE), VLOOKUP('Staging Table'!$A125, LS_previous!$B$4:$AY$138,LS_previous!AN$149, FALSE))/2)</f>
        <v>3836</v>
      </c>
      <c r="Y125" s="227">
        <f t="array" ref="Y125">IF($G125=0, INDEX(LS_previous!$D$4:$AY$138, MATCH('Staging Table'!$A125, LS_previous!$B$4:$B$138, 0), MATCH(Y$4&amp;Y$5, LS_previous!$D$2:$AY$2&amp;LS_previous!$D$3:$AY$3, 0)),SUM(VLOOKUP($A125, LS_previous!$B$4:$AY$138, LS_previous!Q$149, FALSE), VLOOKUP('Staging Table'!$A125, LS_previous!$B$4:$AY$138,LS_previous!AO$149, FALSE))/2)</f>
        <v>4659</v>
      </c>
      <c r="Z125" s="227">
        <f t="array" ref="Z125">IF($G125=0, INDEX(LS_previous!$D$4:$AY$138, MATCH('Staging Table'!$A125, LS_previous!$B$4:$B$138, 0), MATCH(Z$4&amp;Z$5, LS_previous!$D$2:$AY$2&amp;LS_previous!$D$3:$AY$3, 0)),SUM(VLOOKUP($A125, LS_previous!$B$4:$AY$138, LS_previous!R$149, FALSE), VLOOKUP('Staging Table'!$A125, LS_previous!$B$4:$AY$138,LS_previous!AP$149, FALSE))/2)</f>
        <v>-216</v>
      </c>
      <c r="AA125" s="227">
        <f t="array" ref="AA125">IF($G125=0, INDEX(LS_previous!$D$4:$AY$138, MATCH('Staging Table'!$A125, LS_previous!$B$4:$B$138, 0), MATCH(AA$4&amp;AA$5, LS_previous!$D$2:$AY$2&amp;LS_previous!$D$3:$AY$3, 0)),SUM(VLOOKUP($A125, LS_previous!$B$4:$AY$138, LS_previous!S$149, FALSE), VLOOKUP('Staging Table'!$A125, LS_previous!$B$4:$AY$138,LS_previous!AQ$149, FALSE))/2)</f>
        <v>2449</v>
      </c>
      <c r="AB125" s="227">
        <f t="array" ref="AB125">IF($G125=0, INDEX(LS_previous!$D$4:$AY$138, MATCH('Staging Table'!$A125, LS_previous!$B$4:$B$138, 0), MATCH(AB$4&amp;AB$5, LS_previous!$D$2:$AY$2&amp;LS_previous!$D$3:$AY$3, 0)),SUM(VLOOKUP($A125, LS_previous!$B$4:$AY$138, LS_previous!T$149, FALSE), VLOOKUP('Staging Table'!$A125, LS_previous!$B$4:$AY$138,LS_previous!AR$149, FALSE))/2)</f>
        <v>2483</v>
      </c>
      <c r="AC125" s="227">
        <f t="array" ref="AC125">IF($G125=0, INDEX(LS_previous!$D$4:$AY$138, MATCH('Staging Table'!$A125, LS_previous!$B$4:$B$138, 0), MATCH(AC$4&amp;AC$5, LS_previous!$D$2:$AY$2&amp;LS_previous!$D$3:$AY$3, 0)),SUM(VLOOKUP($A125, LS_previous!$B$4:$AY$138, LS_previous!U$149, FALSE), VLOOKUP('Staging Table'!$A125, LS_previous!$B$4:$AY$138,LS_previous!AS$149, FALSE))/2)</f>
        <v>3285</v>
      </c>
      <c r="AD125" s="227">
        <f t="array" ref="AD125">IF($G125=0, INDEX(LS_previous!$D$4:$AY$138, MATCH('Staging Table'!$A125, LS_previous!$B$4:$B$138, 0), MATCH(AD$4&amp;AD$5, LS_previous!$D$2:$AY$2&amp;LS_previous!$D$3:$AY$3, 0)),SUM(VLOOKUP($A125, LS_previous!$B$4:$AY$138, LS_previous!V$149, FALSE), VLOOKUP('Staging Table'!$A125, LS_previous!$B$4:$AY$138,LS_previous!AT$149, FALSE))/2)</f>
        <v>4228</v>
      </c>
      <c r="AE125" s="227">
        <f t="array" ref="AE125">IF($G125=0, INDEX(LS_previous!$D$4:$AY$138, MATCH('Staging Table'!$A125, LS_previous!$B$4:$B$138, 0), MATCH(AE$4&amp;AE$5, LS_previous!$D$2:$AY$2&amp;LS_previous!$D$3:$AY$3, 0)),SUM(VLOOKUP($A125, LS_previous!$B$4:$AY$138, LS_previous!W$149, FALSE), VLOOKUP('Staging Table'!$A125, LS_previous!$B$4:$AY$138,LS_previous!AU$149, FALSE))/2)</f>
        <v>4498</v>
      </c>
      <c r="AF125" s="227">
        <f t="array" ref="AF125">IF($G125=0, INDEX(LS_previous!$D$4:$AY$138, MATCH('Staging Table'!$A125, LS_previous!$B$4:$B$138, 0), MATCH(AF$4&amp;AF$5, LS_previous!$D$2:$AY$2&amp;LS_previous!$D$3:$AY$3, 0)),SUM(VLOOKUP($A125, LS_previous!$B$4:$AY$138, LS_previous!X$149, FALSE), VLOOKUP('Staging Table'!$A125, LS_previous!$B$4:$AY$138,LS_previous!AV$149, FALSE))/2)</f>
        <v>3330</v>
      </c>
      <c r="AG125" s="227">
        <f t="array" ref="AG125">IF($G125=0, INDEX(LS_previous!$D$4:$AY$138, MATCH('Staging Table'!$A125, LS_previous!$B$4:$B$138, 0), MATCH(AG$4&amp;AG$5, LS_previous!$D$2:$AY$2&amp;LS_previous!$D$3:$AY$3, 0)),SUM(VLOOKUP($A125, LS_previous!$B$4:$AY$138, LS_previous!Y$149, FALSE), VLOOKUP('Staging Table'!$A125, LS_previous!$B$4:$AY$138,LS_previous!AW$149, FALSE))/2)</f>
        <v>3762</v>
      </c>
      <c r="AH125" s="227">
        <f t="array" ref="AH125">IF($G125=0, INDEX(LS_previous!$D$4:$AY$138, MATCH('Staging Table'!$A125, LS_previous!$B$4:$B$138, 0), MATCH(AH$4&amp;AH$5, LS_previous!$D$2:$AY$2&amp;LS_previous!$D$3:$AY$3, 0)),SUM(VLOOKUP($A125, LS_previous!$B$4:$AY$138, LS_previous!Z$149, FALSE), VLOOKUP('Staging Table'!$A125, LS_previous!$B$4:$AY$138,LS_previous!AX$149, FALSE))/2)</f>
        <v>3217</v>
      </c>
      <c r="AI125" s="227">
        <f t="array" ref="AI125">IF($G125=0, INDEX(LS_previous!$D$4:$AY$138, MATCH('Staging Table'!$A125, LS_previous!$B$4:$B$138, 0), MATCH(AI$4&amp;AI$5, LS_previous!$D$2:$AY$2&amp;LS_previous!$D$3:$AY$3, 0)),SUM(VLOOKUP($A125, LS_previous!$B$4:$AY$138, LS_previous!AA$149, FALSE), VLOOKUP('Staging Table'!$A125, LS_previous!$B$4:$AY$138,LS_previous!AY$149, FALSE))/2)</f>
        <v>3949</v>
      </c>
      <c r="AJ125" s="424">
        <f t="array" ref="AJ125">INDEX(Demand_previous!$D$4:$AY$138, MATCH('Staging Table'!$A125, Demand_previous!$B$4:$B$138, 0), MATCH(AJ$4&amp;AJ$5,Demand_previous!$D$2:$AY$2&amp;Demand_previous!$D$3:$AY$3, 0))/1000</f>
        <v>0</v>
      </c>
      <c r="AK125" s="424">
        <f t="array" ref="AK125">INDEX(Demand_previous!$D$4:$AY$138, MATCH('Staging Table'!$A125, Demand_previous!$B$4:$B$138, 0), MATCH(AK$4&amp;AK$5,Demand_previous!$D$2:$AY$2&amp;Demand_previous!$D$3:$AY$3, 0))/1000</f>
        <v>0</v>
      </c>
      <c r="AL125" s="424">
        <f t="array" ref="AL125">INDEX(Demand_previous!$D$4:$AY$138, MATCH('Staging Table'!$A125, Demand_previous!$B$4:$B$138, 0), MATCH(AL$4&amp;AL$5,Demand_previous!$D$2:$AY$2&amp;Demand_previous!$D$3:$AY$3, 0))/1000</f>
        <v>0</v>
      </c>
      <c r="AM125" s="424">
        <f t="array" ref="AM125">INDEX(Demand_previous!$D$4:$AY$138, MATCH('Staging Table'!$A125, Demand_previous!$B$4:$B$138, 0), MATCH(AM$4&amp;AM$5,Demand_previous!$D$2:$AY$2&amp;Demand_previous!$D$3:$AY$3, 0))/1000</f>
        <v>0</v>
      </c>
      <c r="AN125" s="424">
        <f t="array" ref="AN125">INDEX(Demand_previous!$D$4:$AY$138, MATCH('Staging Table'!$A125, Demand_previous!$B$4:$B$138, 0), MATCH(AN$4&amp;AN$5,Demand_previous!$D$2:$AY$2&amp;Demand_previous!$D$3:$AY$3, 0))/1000</f>
        <v>0</v>
      </c>
      <c r="AO125" s="424">
        <f t="array" ref="AO125">INDEX(Demand_previous!$D$4:$AY$138, MATCH('Staging Table'!$A125, Demand_previous!$B$4:$B$138, 0), MATCH(AO$4&amp;AO$5,Demand_previous!$D$2:$AY$2&amp;Demand_previous!$D$3:$AY$3, 0))/1000</f>
        <v>0</v>
      </c>
      <c r="AP125" s="424">
        <f t="array" ref="AP125">INDEX(Demand_previous!$D$4:$AY$138, MATCH('Staging Table'!$A125, Demand_previous!$B$4:$B$138, 0), MATCH(AP$4&amp;AP$5,Demand_previous!$D$2:$AY$2&amp;Demand_previous!$D$3:$AY$3, 0))/1000</f>
        <v>0</v>
      </c>
      <c r="AQ125" s="424">
        <f t="array" ref="AQ125">INDEX(Demand_previous!$D$4:$AY$138, MATCH('Staging Table'!$A125, Demand_previous!$B$4:$B$138, 0), MATCH(AQ$4&amp;AQ$5,Demand_previous!$D$2:$AY$2&amp;Demand_previous!$D$3:$AY$3, 0))/1000</f>
        <v>0</v>
      </c>
      <c r="AR125" s="424">
        <f t="array" ref="AR125">INDEX(Demand_previous!$D$4:$AY$138, MATCH('Staging Table'!$A125, Demand_previous!$B$4:$B$138, 0), MATCH(AR$4&amp;AR$5,Demand_previous!$D$2:$AY$2&amp;Demand_previous!$D$3:$AY$3, 0))/1000</f>
        <v>0</v>
      </c>
      <c r="AS125" s="424">
        <f t="array" ref="AS125">INDEX(Demand_previous!$D$4:$AY$138, MATCH('Staging Table'!$A125, Demand_previous!$B$4:$B$138, 0), MATCH(AS$4&amp;AS$5,Demand_previous!$D$2:$AY$2&amp;Demand_previous!$D$3:$AY$3, 0))/1000</f>
        <v>0</v>
      </c>
      <c r="AT125" s="424">
        <f t="array" ref="AT125">INDEX(Demand_previous!$D$4:$AY$138, MATCH('Staging Table'!$A125, Demand_previous!$B$4:$B$138, 0), MATCH(AT$4&amp;AT$5,Demand_previous!$D$2:$AY$2&amp;Demand_previous!$D$3:$AY$3, 0))/1000</f>
        <v>0</v>
      </c>
      <c r="AU125" s="424">
        <f t="array" ref="AU125">INDEX(Demand_previous!$D$4:$AY$138, MATCH('Staging Table'!$A125, Demand_previous!$B$4:$B$138, 0), MATCH(AU$4&amp;AU$5,Demand_previous!$D$2:$AY$2&amp;Demand_previous!$D$3:$AY$3, 0))/1000</f>
        <v>0</v>
      </c>
      <c r="AV125" s="227">
        <f>$F125*(VLOOKUP(AV$4, Rates_previous!$G$6:$Q$29, 10, FALSE)+VLOOKUP(AV$4, Rates_previous!$G$6:$Q$29, 11, FALSE))</f>
        <v>12228.488884311815</v>
      </c>
      <c r="AW125" s="227">
        <f>$F125*(VLOOKUP(AW$4, Rates_previous!$G$6:$Q$29, 10, FALSE)+VLOOKUP(AW$4, Rates_previous!$G$6:$Q$29, 11, FALSE))</f>
        <v>15113.482846599558</v>
      </c>
      <c r="AX125" s="227">
        <f>$F125*(VLOOKUP(AX$4, Rates_previous!$G$6:$Q$29, 10, FALSE)+VLOOKUP(AX$4, Rates_previous!$G$6:$Q$29, 11, FALSE))</f>
        <v>14931.98799421052</v>
      </c>
      <c r="AY125" s="227">
        <f>$F125*(VLOOKUP(AY$4, Rates_previous!$G$6:$Q$29, 10, FALSE)+VLOOKUP(AY$4, Rates_previous!$G$6:$Q$29, 11, FALSE))</f>
        <v>12757.960487537281</v>
      </c>
      <c r="AZ125" s="227">
        <f>$F125*(VLOOKUP(AZ$4, Rates_previous!$G$6:$Q$29, 10, FALSE)+VLOOKUP(AZ$4, Rates_previous!$G$6:$Q$29, 11, FALSE))</f>
        <v>10459.052923539737</v>
      </c>
      <c r="BA125" s="227">
        <f>$F125*(VLOOKUP(BA$4, Rates_previous!$G$6:$Q$29, 10, FALSE)+VLOOKUP(BA$4, Rates_previous!$G$6:$Q$29, 11, FALSE))</f>
        <v>12383.138753411249</v>
      </c>
      <c r="BB125" s="227">
        <f>$F125*(VLOOKUP(BB$4, Rates_previous!$G$6:$Q$29, 10, FALSE)+VLOOKUP(BB$4, Rates_previous!$G$6:$Q$29, 11, FALSE))</f>
        <v>11901.997579451392</v>
      </c>
      <c r="BC125" s="227">
        <f>$F125*(VLOOKUP(BC$4, Rates_previous!$G$6:$Q$29, 10, FALSE)+VLOOKUP(BC$4, Rates_previous!$G$6:$Q$29, 11, FALSE))</f>
        <v>17465.339229795296</v>
      </c>
      <c r="BD125" s="227">
        <f>$F125*(VLOOKUP(BD$4, Rates_previous!$G$6:$Q$29, 10, FALSE)+VLOOKUP(BD$4, Rates_previous!$G$6:$Q$29, 11, FALSE))</f>
        <v>13779.691037765793</v>
      </c>
      <c r="BE125" s="227">
        <f>$F125*(VLOOKUP(BE$4, Rates_previous!$G$6:$Q$29, 10, FALSE)+VLOOKUP(BE$4, Rates_previous!$G$6:$Q$29, 11, FALSE))</f>
        <v>12099.725336832425</v>
      </c>
      <c r="BF125" s="227">
        <f>$F125*(VLOOKUP(BF$4, Rates_previous!$G$6:$Q$29, 10, FALSE)+VLOOKUP(BF$4, Rates_previous!$G$6:$Q$29, 11, FALSE))</f>
        <v>13400.930134872784</v>
      </c>
      <c r="BG125" s="227">
        <f>$F125*(VLOOKUP(BG$4, Rates_previous!$G$6:$Q$29, 10, FALSE)+VLOOKUP(BG$4, Rates_previous!$G$6:$Q$29, 11, FALSE))</f>
        <v>12140.709780603496</v>
      </c>
      <c r="BH125" s="229">
        <f>IF($D125=0,IF(C125=0, MAX(BK125 - (VLOOKUP($A125,TOCA_previous!$A$2:$AI$137,MATCH("RHWM 2018",TOCA_previous!$A$2:$AI$2,0),FALSE)*$F$2*TOCA_previous!C122),0),0), 0)</f>
        <v>0</v>
      </c>
      <c r="BI125" s="266">
        <f>VLOOKUP($A125,REP_previous!$A$1:$D$135,MATCH("FY "&amp;$F$1&amp; " Total Refund",REP_previous!$A$1:$D$1,0),0)</f>
        <v>296839.31229325075</v>
      </c>
      <c r="BJ125" s="241">
        <f>MIN(VLOOKUP($A125,TOCA_previous!$A$2:$AI$137,MATCH("TRL - NLSL - Existing Resource "&amp;$F$1,TOCA_previous!$A$2:$AI$2,0),FALSE)*$F$2,(VLOOKUP($A125,TOCA_previous!$A$2:$AI$137,MATCH("RHWM 2018",TOCA_previous!$A$2:$AI$2,0),FALSE)*$F$2))</f>
        <v>158661.12</v>
      </c>
      <c r="BK125" s="229">
        <f>SUM(L125:AI125)+(F125*RT1SC!$C$3*$F$2)</f>
        <v>267352.50730368</v>
      </c>
      <c r="BL125" s="241">
        <f>VLOOKUP($A125,TOCA_previous!$A$2:$AI$137,MATCH("Above RHWM Not Served with LS "&amp;$F$1,TOCA_previous!$A$2:$AI$2,0),FALSE)*$F$2</f>
        <v>0</v>
      </c>
      <c r="BM125" s="151">
        <f t="shared" si="21"/>
        <v>108691.38730368001</v>
      </c>
      <c r="BN125" s="242">
        <f>(VLOOKUP($A125,TOCA_previous!$A$2:$AI$137,MATCH("RHWM 2018",TOCA_previous!$A$2:$AI$2,0),FALSE)*$F$2) - $BJ125</f>
        <v>111094.32</v>
      </c>
      <c r="BO125" s="151">
        <f t="shared" si="22"/>
        <v>-108691.38730368001</v>
      </c>
      <c r="BP125" s="243">
        <f t="shared" si="23"/>
        <v>0</v>
      </c>
      <c r="BQ125" s="237">
        <f t="shared" si="24"/>
        <v>0</v>
      </c>
      <c r="BR125" s="242">
        <f t="shared" si="25"/>
        <v>-108691.38730368001</v>
      </c>
      <c r="BS125" s="151">
        <f>VLOOKUP($A125,TOCA_current!$A$2:$AI$137,MATCH(BS$4,TOCA_current!$A$2:$AI$2,0),FALSE)</f>
        <v>4.3533000000000001E-3</v>
      </c>
      <c r="BT125" s="151">
        <f>VLOOKUP($A125,TOCA_current!$A$2:$AI$137,MATCH(BT$4,TOCA_current!$A$2:$AI$2,0),FALSE)</f>
        <v>4.3533000000000001E-3</v>
      </c>
      <c r="BU125" s="236">
        <f t="shared" si="26"/>
        <v>0</v>
      </c>
      <c r="BV125" s="151">
        <f>VLOOKUP($A125,TOCA_current!A121:BG256,MATCH(BV$4,TOCA_current!$A$2:$BG$2,0),FALSE)</f>
        <v>0</v>
      </c>
      <c r="BW125" s="151">
        <f t="shared" si="27"/>
        <v>0</v>
      </c>
      <c r="BX125" s="151">
        <f t="shared" si="28"/>
        <v>0</v>
      </c>
      <c r="BY125" s="226">
        <f>VLOOKUP($A125,IRD!$A$4:$G$139, 7, FALSE)</f>
        <v>0</v>
      </c>
      <c r="BZ125" s="227">
        <f t="array" ref="BZ125">IF($BU125=0, INDEX(LS_current!$D$4:$AY$138, MATCH('Staging Table'!$A125, LS_current!$B$4:$B$138, 0), MATCH(BZ$4&amp;BZ$5, LS_current!$D$2:$AY$2&amp;LS_current!$D$3:$AY$3, 0)),SUM(VLOOKUP($A125, LS_current!$B$4:$AY$138, LS_current!D$148, FALSE), VLOOKUP($A125, LS_current!$B$4:$AY$138,LS_current!D$148, FALSE))/2)</f>
        <v>-1808</v>
      </c>
      <c r="CA125" s="227">
        <f t="array" ref="CA125">IF($BU125=0, INDEX(LS_current!$D$4:$AY$138, MATCH('Staging Table'!$A125, LS_current!$B$4:$B$138, 0), MATCH(CA$4&amp;CA$5, LS_current!$D$2:$AY$2&amp;LS_current!$D$3:$AY$3, 0)),SUM(VLOOKUP($A125, LS_current!$B$4:$AY$138, LS_current!E$148, FALSE), VLOOKUP($A125, LS_current!$B$4:$AY$138,LS_current!E$148, FALSE))/2)</f>
        <v>1361</v>
      </c>
      <c r="CB125" s="227">
        <f t="array" ref="CB125">IF($BU125=0, INDEX(LS_current!$D$4:$AY$138, MATCH('Staging Table'!$A125, LS_current!$B$4:$B$138, 0), MATCH(CB$4&amp;CB$5, LS_current!$D$2:$AY$2&amp;LS_current!$D$3:$AY$3, 0)),SUM(VLOOKUP($A125, LS_current!$B$4:$AY$138, LS_current!F$148, FALSE), VLOOKUP($A125, LS_current!$B$4:$AY$138,LS_current!F$148, FALSE))/2)</f>
        <v>-3223</v>
      </c>
      <c r="CC125" s="227">
        <f t="array" ref="CC125">IF($BU125=0, INDEX(LS_current!$D$4:$AY$138, MATCH('Staging Table'!$A125, LS_current!$B$4:$B$138, 0), MATCH(CC$4&amp;CC$5, LS_current!$D$2:$AY$2&amp;LS_current!$D$3:$AY$3, 0)),SUM(VLOOKUP($A125, LS_current!$B$4:$AY$138, LS_current!G$148, FALSE), VLOOKUP($A125, LS_current!$B$4:$AY$138,LS_current!G$148, FALSE))/2)</f>
        <v>1382</v>
      </c>
      <c r="CD125" s="227">
        <f t="array" ref="CD125">IF($BU125=0, INDEX(LS_current!$D$4:$AY$138, MATCH('Staging Table'!$A125, LS_current!$B$4:$B$138, 0), MATCH(CD$4&amp;CD$5, LS_current!$D$2:$AY$2&amp;LS_current!$D$3:$AY$3, 0)),SUM(VLOOKUP($A125, LS_current!$B$4:$AY$138, LS_current!H$148, FALSE), VLOOKUP($A125, LS_current!$B$4:$AY$138,LS_current!H$148, FALSE))/2)</f>
        <v>-10</v>
      </c>
      <c r="CE125" s="227">
        <f t="array" ref="CE125">IF($BU125=0, INDEX(LS_current!$D$4:$AY$138, MATCH('Staging Table'!$A125, LS_current!$B$4:$B$138, 0), MATCH(CE$4&amp;CE$5, LS_current!$D$2:$AY$2&amp;LS_current!$D$3:$AY$3, 0)),SUM(VLOOKUP($A125, LS_current!$B$4:$AY$138, LS_current!I$148, FALSE), VLOOKUP($A125, LS_current!$B$4:$AY$138,LS_current!I$148, FALSE))/2)</f>
        <v>3297</v>
      </c>
      <c r="CF125" s="227">
        <f t="array" ref="CF125">IF($BU125=0, INDEX(LS_current!$D$4:$AY$138, MATCH('Staging Table'!$A125, LS_current!$B$4:$B$138, 0), MATCH(CF$4&amp;CF$5, LS_current!$D$2:$AY$2&amp;LS_current!$D$3:$AY$3, 0)),SUM(VLOOKUP($A125, LS_current!$B$4:$AY$138, LS_current!J$148, FALSE), VLOOKUP($A125, LS_current!$B$4:$AY$138,LS_current!J$148, FALSE))/2)</f>
        <v>1919</v>
      </c>
      <c r="CG125" s="227">
        <f t="array" ref="CG125">IF($BU125=0, INDEX(LS_current!$D$4:$AY$138, MATCH('Staging Table'!$A125, LS_current!$B$4:$B$138, 0), MATCH(CG$4&amp;CG$5, LS_current!$D$2:$AY$2&amp;LS_current!$D$3:$AY$3, 0)),SUM(VLOOKUP($A125, LS_current!$B$4:$AY$138, LS_current!K$148, FALSE), VLOOKUP($A125, LS_current!$B$4:$AY$138,LS_current!K$148, FALSE))/2)</f>
        <v>4972</v>
      </c>
      <c r="CH125" s="227">
        <f t="array" ref="CH125">IF($BU125=0, INDEX(LS_current!$D$4:$AY$138, MATCH('Staging Table'!$A125, LS_current!$B$4:$B$138, 0), MATCH(CH$4&amp;CH$5, LS_current!$D$2:$AY$2&amp;LS_current!$D$3:$AY$3, 0)),SUM(VLOOKUP($A125, LS_current!$B$4:$AY$138, LS_current!L$148, FALSE), VLOOKUP($A125, LS_current!$B$4:$AY$138,LS_current!L$148, FALSE))/2)</f>
        <v>1925</v>
      </c>
      <c r="CI125" s="227">
        <f t="array" ref="CI125">IF($BU125=0, INDEX(LS_current!$D$4:$AY$138, MATCH('Staging Table'!$A125, LS_current!$B$4:$B$138, 0), MATCH(CI$4&amp;CI$5, LS_current!$D$2:$AY$2&amp;LS_current!$D$3:$AY$3, 0)),SUM(VLOOKUP($A125, LS_current!$B$4:$AY$138, LS_current!M$148, FALSE), VLOOKUP($A125, LS_current!$B$4:$AY$138,LS_current!M$148, FALSE))/2)</f>
        <v>4112</v>
      </c>
      <c r="CJ125" s="227">
        <f t="array" ref="CJ125">IF($BU125=0, INDEX(LS_current!$D$4:$AY$138, MATCH('Staging Table'!$A125, LS_current!$B$4:$B$138, 0), MATCH(CJ$4&amp;CJ$5, LS_current!$D$2:$AY$2&amp;LS_current!$D$3:$AY$3, 0)),SUM(VLOOKUP($A125, LS_current!$B$4:$AY$138, LS_current!N$148, FALSE), VLOOKUP($A125, LS_current!$B$4:$AY$138,LS_current!N$148, FALSE))/2)</f>
        <v>-1161</v>
      </c>
      <c r="CK125" s="227">
        <f t="array" ref="CK125">IF($BU125=0, INDEX(LS_current!$D$4:$AY$138, MATCH('Staging Table'!$A125, LS_current!$B$4:$B$138, 0), MATCH(CK$4&amp;CK$5, LS_current!$D$2:$AY$2&amp;LS_current!$D$3:$AY$3, 0)),SUM(VLOOKUP($A125, LS_current!$B$4:$AY$138, LS_current!O$148, FALSE), VLOOKUP($A125, LS_current!$B$4:$AY$138,LS_current!O$148, FALSE))/2)</f>
        <v>2195</v>
      </c>
      <c r="CL125" s="227">
        <f t="array" ref="CL125">IF($BU125=0, INDEX(LS_current!$D$4:$AY$138, MATCH('Staging Table'!$A125, LS_current!$B$4:$B$138, 0), MATCH(CL$4&amp;CL$5, LS_current!$D$2:$AY$2&amp;LS_current!$D$3:$AY$3, 0)),SUM(VLOOKUP($A125, LS_current!$B$4:$AY$138, LS_current!P$148, FALSE), VLOOKUP($A125, LS_current!$B$4:$AY$138,LS_current!P$148, FALSE))/2)</f>
        <v>635</v>
      </c>
      <c r="CM125" s="227">
        <f t="array" ref="CM125">IF($BU125=0, INDEX(LS_current!$D$4:$AY$138, MATCH('Staging Table'!$A125, LS_current!$B$4:$B$138, 0), MATCH(CM$4&amp;CM$5, LS_current!$D$2:$AY$2&amp;LS_current!$D$3:$AY$3, 0)),SUM(VLOOKUP($A125, LS_current!$B$4:$AY$138, LS_current!Q$148, FALSE), VLOOKUP($A125, LS_current!$B$4:$AY$138,LS_current!Q$148, FALSE))/2)</f>
        <v>2510</v>
      </c>
      <c r="CN125" s="227">
        <f t="array" ref="CN125">IF($BU125=0, INDEX(LS_current!$D$4:$AY$138, MATCH('Staging Table'!$A125, LS_current!$B$4:$B$138, 0), MATCH(CN$4&amp;CN$5, LS_current!$D$2:$AY$2&amp;LS_current!$D$3:$AY$3, 0)),SUM(VLOOKUP($A125, LS_current!$B$4:$AY$138, LS_current!R$148, FALSE), VLOOKUP($A125, LS_current!$B$4:$AY$138,LS_current!R$148, FALSE))/2)</f>
        <v>-4182</v>
      </c>
      <c r="CO125" s="227">
        <f t="array" ref="CO125">IF($BU125=0, INDEX(LS_current!$D$4:$AY$138, MATCH('Staging Table'!$A125, LS_current!$B$4:$B$138, 0), MATCH(CO$4&amp;CO$5, LS_current!$D$2:$AY$2&amp;LS_current!$D$3:$AY$3, 0)),SUM(VLOOKUP($A125, LS_current!$B$4:$AY$138, LS_current!S$148, FALSE), VLOOKUP($A125, LS_current!$B$4:$AY$138,LS_current!S$148, FALSE))/2)</f>
        <v>614</v>
      </c>
      <c r="CP125" s="227">
        <f t="array" ref="CP125">IF($BU125=0, INDEX(LS_current!$D$4:$AY$138, MATCH('Staging Table'!$A125, LS_current!$B$4:$B$138, 0), MATCH(CP$4&amp;CP$5, LS_current!$D$2:$AY$2&amp;LS_current!$D$3:$AY$3, 0)),SUM(VLOOKUP($A125, LS_current!$B$4:$AY$138, LS_current!T$148, FALSE), VLOOKUP($A125, LS_current!$B$4:$AY$138,LS_current!T$148, FALSE))/2)</f>
        <v>-7768</v>
      </c>
      <c r="CQ125" s="227">
        <f t="array" ref="CQ125">IF($BU125=0, INDEX(LS_current!$D$4:$AY$138, MATCH('Staging Table'!$A125, LS_current!$B$4:$B$138, 0), MATCH(CQ$4&amp;CQ$5, LS_current!$D$2:$AY$2&amp;LS_current!$D$3:$AY$3, 0)),SUM(VLOOKUP($A125, LS_current!$B$4:$AY$138, LS_current!U$148, FALSE), VLOOKUP($A125, LS_current!$B$4:$AY$138,LS_current!U$148, FALSE))/2)</f>
        <v>-2369</v>
      </c>
      <c r="CR125" s="227">
        <f t="array" ref="CR125">IF($BU125=0, INDEX(LS_current!$D$4:$AY$138, MATCH('Staging Table'!$A125, LS_current!$B$4:$B$138, 0), MATCH(CR$4&amp;CR$5, LS_current!$D$2:$AY$2&amp;LS_current!$D$3:$AY$3, 0)),SUM(VLOOKUP($A125, LS_current!$B$4:$AY$138, LS_current!V$148, FALSE), VLOOKUP($A125, LS_current!$B$4:$AY$138,LS_current!V$148, FALSE))/2)</f>
        <v>-3883</v>
      </c>
      <c r="CS125" s="227">
        <f t="array" ref="CS125">IF($BU125=0, INDEX(LS_current!$D$4:$AY$138, MATCH('Staging Table'!$A125, LS_current!$B$4:$B$138, 0), MATCH(CS$4&amp;CS$5, LS_current!$D$2:$AY$2&amp;LS_current!$D$3:$AY$3, 0)),SUM(VLOOKUP($A125, LS_current!$B$4:$AY$138, LS_current!W$148, FALSE), VLOOKUP($A125, LS_current!$B$4:$AY$138,LS_current!W$148, FALSE))/2)</f>
        <v>1434</v>
      </c>
      <c r="CT125" s="227">
        <f t="array" ref="CT125">IF($BU125=0, INDEX(LS_current!$D$4:$AY$138, MATCH('Staging Table'!$A125, LS_current!$B$4:$B$138, 0), MATCH(CT$4&amp;CT$5, LS_current!$D$2:$AY$2&amp;LS_current!$D$3:$AY$3, 0)),SUM(VLOOKUP($A125, LS_current!$B$4:$AY$138, LS_current!X$148, FALSE), VLOOKUP($A125, LS_current!$B$4:$AY$138,LS_current!X$148, FALSE))/2)</f>
        <v>-3237</v>
      </c>
      <c r="CU125" s="227">
        <f t="array" ref="CU125">IF($BU125=0, INDEX(LS_current!$D$4:$AY$138, MATCH('Staging Table'!$A125, LS_current!$B$4:$B$138, 0), MATCH(CU$4&amp;CU$5, LS_current!$D$2:$AY$2&amp;LS_current!$D$3:$AY$3, 0)),SUM(VLOOKUP($A125, LS_current!$B$4:$AY$138, LS_current!Y$148, FALSE), VLOOKUP($A125, LS_current!$B$4:$AY$138,LS_current!Y$148, FALSE))/2)</f>
        <v>1064</v>
      </c>
      <c r="CV125" s="227">
        <f t="array" ref="CV125">IF($BU125=0, INDEX(LS_current!$D$4:$AY$138, MATCH('Staging Table'!$A125, LS_current!$B$4:$B$138, 0), MATCH(CV$4&amp;CV$5, LS_current!$D$2:$AY$2&amp;LS_current!$D$3:$AY$3, 0)),SUM(VLOOKUP($A125, LS_current!$B$4:$AY$138, LS_current!Z$148, FALSE), VLOOKUP($A125, LS_current!$B$4:$AY$138,LS_current!Z$148, FALSE))/2)</f>
        <v>-2053</v>
      </c>
      <c r="CW125" s="227">
        <f t="array" ref="CW125">IF($BU125=0, INDEX(LS_current!$D$4:$AY$138, MATCH('Staging Table'!$A125, LS_current!$B$4:$B$138, 0), MATCH(CW$4&amp;CW$5, LS_current!$D$2:$AY$2&amp;LS_current!$D$3:$AY$3, 0)),SUM(VLOOKUP($A125, LS_current!$B$4:$AY$138, LS_current!AA$148, FALSE), VLOOKUP($A125, LS_current!$B$4:$AY$138,LS_current!AA$148, FALSE))/2)</f>
        <v>1012</v>
      </c>
      <c r="CX125" s="229">
        <f t="array" ref="CX125">INDEX(Demand_current!$D$4:$AY$138, MATCH($A125, Demand_current!$B$4:$B$138, 0), MATCH(CX$4&amp;CX$5,Demand_current!$D$2:$AY$2&amp;Demand_current!$D$3:$AY$3, 0))/1000</f>
        <v>0</v>
      </c>
      <c r="CY125" s="229">
        <f t="array" ref="CY125">INDEX(Demand_current!$D$4:$AY$138, MATCH($A125, Demand_current!$B$4:$B$138, 0), MATCH(CY$4&amp;CY$5,Demand_current!$D$2:$AY$2&amp;Demand_current!$D$3:$AY$3, 0))/1000</f>
        <v>0</v>
      </c>
      <c r="CZ125" s="229">
        <f t="array" ref="CZ125">INDEX(Demand_current!$D$4:$AY$138, MATCH($A125, Demand_current!$B$4:$B$138, 0), MATCH(CZ$4&amp;CZ$5,Demand_current!$D$2:$AY$2&amp;Demand_current!$D$3:$AY$3, 0))/1000</f>
        <v>0</v>
      </c>
      <c r="DA125" s="229">
        <f t="array" ref="DA125">INDEX(Demand_current!$D$4:$AY$138, MATCH($A125, Demand_current!$B$4:$B$138, 0), MATCH(DA$4&amp;DA$5,Demand_current!$D$2:$AY$2&amp;Demand_current!$D$3:$AY$3, 0))/1000</f>
        <v>0</v>
      </c>
      <c r="DB125" s="229">
        <f t="array" ref="DB125">INDEX(Demand_current!$D$4:$AY$138, MATCH($A125, Demand_current!$B$4:$B$138, 0), MATCH(DB$4&amp;DB$5,Demand_current!$D$2:$AY$2&amp;Demand_current!$D$3:$AY$3, 0))/1000</f>
        <v>0</v>
      </c>
      <c r="DC125" s="229">
        <f t="array" ref="DC125">INDEX(Demand_current!$D$4:$AY$138, MATCH($A125, Demand_current!$B$4:$B$138, 0), MATCH(DC$4&amp;DC$5,Demand_current!$D$2:$AY$2&amp;Demand_current!$D$3:$AY$3, 0))/1000</f>
        <v>0</v>
      </c>
      <c r="DD125" s="229">
        <f t="array" ref="DD125">INDEX(Demand_current!$D$4:$AY$138, MATCH($A125, Demand_current!$B$4:$B$138, 0), MATCH(DD$4&amp;DD$5,Demand_current!$D$2:$AY$2&amp;Demand_current!$D$3:$AY$3, 0))/1000</f>
        <v>0</v>
      </c>
      <c r="DE125" s="229">
        <f t="array" ref="DE125">INDEX(Demand_current!$D$4:$AY$138, MATCH($A125, Demand_current!$B$4:$B$138, 0), MATCH(DE$4&amp;DE$5,Demand_current!$D$2:$AY$2&amp;Demand_current!$D$3:$AY$3, 0))/1000</f>
        <v>0</v>
      </c>
      <c r="DF125" s="229">
        <f t="array" ref="DF125">INDEX(Demand_current!$D$4:$AY$138, MATCH($A125, Demand_current!$B$4:$B$138, 0), MATCH(DF$4&amp;DF$5,Demand_current!$D$2:$AY$2&amp;Demand_current!$D$3:$AY$3, 0))/1000</f>
        <v>0</v>
      </c>
      <c r="DG125" s="229">
        <f t="array" ref="DG125">INDEX(Demand_current!$D$4:$AY$138, MATCH($A125, Demand_current!$B$4:$B$138, 0), MATCH(DG$4&amp;DG$5,Demand_current!$D$2:$AY$2&amp;Demand_current!$D$3:$AY$3, 0))/1000</f>
        <v>0</v>
      </c>
      <c r="DH125" s="229">
        <f t="array" ref="DH125">INDEX(Demand_current!$D$4:$AY$138, MATCH($A125, Demand_current!$B$4:$B$138, 0), MATCH(DH$4&amp;DH$5,Demand_current!$D$2:$AY$2&amp;Demand_current!$D$3:$AY$3, 0))/1000</f>
        <v>0</v>
      </c>
      <c r="DI125" s="229">
        <f t="array" ref="DI125">INDEX(Demand_current!$D$4:$AY$138, MATCH($A125, Demand_current!$B$4:$B$138, 0), MATCH(DI$4&amp;DI$5,Demand_current!$D$2:$AY$2&amp;Demand_current!$D$3:$AY$3, 0))/1000</f>
        <v>0</v>
      </c>
      <c r="DJ125" s="227">
        <f>$BT125*(VLOOKUP(DJ$4, Rates_current!$G$6:$Q$29, 10, FALSE)+VLOOKUP(DJ$4, Rates_current!$G$6:$Q$29, 11, FALSE))</f>
        <v>20100.566949346798</v>
      </c>
      <c r="DK125" s="227">
        <f>$BT125*(VLOOKUP(DK$4, Rates_current!$G$6:$Q$29, 10, FALSE)+VLOOKUP(DK$4, Rates_current!$G$6:$Q$29, 11, FALSE))</f>
        <v>25533.990519338702</v>
      </c>
      <c r="DL125" s="227">
        <f>$BT125*(VLOOKUP(DL$4, Rates_current!$G$6:$Q$29, 10, FALSE)+VLOOKUP(DL$4, Rates_current!$G$6:$Q$29, 11, FALSE))</f>
        <v>25225.633033246802</v>
      </c>
      <c r="DM125" s="227">
        <f>$BT125*(VLOOKUP(DM$4, Rates_current!$G$6:$Q$29, 10, FALSE)+VLOOKUP(DM$4, Rates_current!$G$6:$Q$29, 11, FALSE))</f>
        <v>21027.101554846802</v>
      </c>
      <c r="DN125" s="227">
        <f>$BT125*(VLOOKUP(DN$4, Rates_current!$G$6:$Q$29, 10, FALSE)+VLOOKUP(DN$4, Rates_current!$G$6:$Q$29, 11, FALSE))</f>
        <v>19048.372615439999</v>
      </c>
      <c r="DO125" s="227">
        <f>$BT125*(VLOOKUP(DO$4, Rates_current!$G$6:$Q$29, 10, FALSE)+VLOOKUP(DO$4, Rates_current!$G$6:$Q$29, 11, FALSE))</f>
        <v>21187.841676542099</v>
      </c>
      <c r="DP125" s="227">
        <f>$BT125*(VLOOKUP(DP$4, Rates_current!$G$6:$Q$29, 10, FALSE)+VLOOKUP(DP$4, Rates_current!$G$6:$Q$29, 11, FALSE))</f>
        <v>17251.163556984</v>
      </c>
      <c r="DQ125" s="227">
        <f>$BT125*(VLOOKUP(DQ$4, Rates_current!$G$6:$Q$29, 10, FALSE)+VLOOKUP(DQ$4, Rates_current!$G$6:$Q$29, 11, FALSE))</f>
        <v>23265.766489996804</v>
      </c>
      <c r="DR125" s="227">
        <f>$BT125*(VLOOKUP(DR$4, Rates_current!$G$6:$Q$29, 10, FALSE)+VLOOKUP(DR$4, Rates_current!$G$6:$Q$29, 11, FALSE))</f>
        <v>29685.535703334001</v>
      </c>
      <c r="DS125" s="227">
        <f>$BT125*(VLOOKUP(DS$4, Rates_current!$G$6:$Q$29, 10, FALSE)+VLOOKUP(DS$4, Rates_current!$G$6:$Q$29, 11, FALSE))</f>
        <v>23274.401260546801</v>
      </c>
      <c r="DT125" s="227">
        <f>$BT125*(VLOOKUP(DT$4, Rates_current!$G$6:$Q$29, 10, FALSE)+VLOOKUP(DT$4, Rates_current!$G$6:$Q$29, 11, FALSE))</f>
        <v>22664.632352896802</v>
      </c>
      <c r="DU125" s="227">
        <f>$BT125*(VLOOKUP(DU$4, Rates_current!$G$6:$Q$29, 10, FALSE)+VLOOKUP(DU$4, Rates_current!$G$6:$Q$29, 11, FALSE))</f>
        <v>20348.018464284003</v>
      </c>
      <c r="DV125" s="229">
        <f>IF(D125=0,IF(C125=0,MAX(0,DY125 - (VLOOKUP($A125,TOCA_current!$A$2:$AI$137,MATCH("RHWM 2020",TOCA_current!$A$2:$AI$2,0),FALSE)*$BT$2)), 0),0)</f>
        <v>0</v>
      </c>
      <c r="DW125" s="266">
        <f>VLOOKUP($A125,REP_current!$A$1:$D$135,MATCH("FY "&amp;$BT$1&amp; " Total Refund",REP_current!$A$1:$D$1,0),0)</f>
        <v>0</v>
      </c>
      <c r="DX125" s="295">
        <f>MIN(VLOOKUP($A125,TOCA_current!$A$2:$AI$137,MATCH("TRL - NLSL - Existing Resource "&amp;$BT$1,TOCA_current!$A$2:$AI$2,0),FALSE)*$BT$2, VLOOKUP($A125,TOCA_current!$A$2:$AI$137,MATCH("RHWM 2020",TOCA_current!$A$2:$AI$2,0),FALSE)*$BT$2)</f>
        <v>268614.71999999997</v>
      </c>
      <c r="DY125" s="240">
        <f>SUM(BZ125:CW125)+(BT125*RT1SC!$C$4*$BT$2)</f>
        <v>267351.03425904643</v>
      </c>
      <c r="DZ125" s="271">
        <f>VLOOKUP($A125,TOCA_current!$A$2:$AI$137,MATCH("Above RHWM Not Served with LS "&amp;$BT$1,TOCA_current!$A$2:$AI$2,0),FALSE)*$BT$2</f>
        <v>0</v>
      </c>
      <c r="EA125" s="244">
        <f t="shared" si="29"/>
        <v>-1263.6857409535442</v>
      </c>
      <c r="EB125" s="295">
        <f>(VLOOKUP($A125,TOCA_current!$A$2:$AI$137,MATCH("RHWM 2020",TOCA_current!$A$2:$AI$2,0),FALSE)*$BT$2) - $DX125</f>
        <v>37823.904000000039</v>
      </c>
      <c r="EC125" s="240">
        <f t="shared" si="30"/>
        <v>0</v>
      </c>
      <c r="ED125" s="240">
        <f t="shared" si="31"/>
        <v>1263.6857409535442</v>
      </c>
      <c r="EE125" s="240">
        <f t="shared" si="32"/>
        <v>0</v>
      </c>
      <c r="EF125" s="240">
        <f t="shared" si="33"/>
        <v>1263.6857409535442</v>
      </c>
    </row>
    <row r="126" spans="1:136">
      <c r="A126" s="166">
        <v>10434</v>
      </c>
      <c r="B126" s="167" t="s">
        <v>127</v>
      </c>
      <c r="C126" s="240">
        <v>0</v>
      </c>
      <c r="D126" s="240">
        <v>0</v>
      </c>
      <c r="E126" s="150">
        <f>VLOOKUP($A126,TOCA_previous!$A$2:$AI$137,MATCH(E$4,TOCA_previous!$A$2:$AI$2,0),FALSE)</f>
        <v>3.8476000000000001E-3</v>
      </c>
      <c r="F126" s="151">
        <f>VLOOKUP($A126,TOCA_previous!$A$2:$AI$137,MATCH(F$4,TOCA_previous!$A$2:$AI$2,0),FALSE)</f>
        <v>3.8476000000000001E-3</v>
      </c>
      <c r="G126" s="151">
        <f t="shared" si="18"/>
        <v>0</v>
      </c>
      <c r="H126" s="151">
        <f>VLOOKUP($A126,TOCA_previous!$A$2:$AI$137,MATCH(H$4,TOCA_previous!$A$2:$AI$2,0),FALSE)</f>
        <v>0</v>
      </c>
      <c r="I126" s="151">
        <f t="shared" si="19"/>
        <v>0</v>
      </c>
      <c r="J126" s="151">
        <f t="shared" si="20"/>
        <v>0</v>
      </c>
      <c r="K126" s="226">
        <f>VLOOKUP(A126, IRD!$A$5:$C$139, 3, FALSE)</f>
        <v>0</v>
      </c>
      <c r="L126" s="227">
        <f t="array" ref="L126">IF($G126=0, INDEX(LS_previous!$D$4:$AY$138, MATCH('Staging Table'!$A126, LS_previous!$B$4:$B$138, 0), MATCH(L$4&amp;L$5, LS_previous!$D$2:$AY$2&amp;LS_previous!$D$3:$AY$3, 0)),SUM(VLOOKUP($A126, LS_previous!$B$4:$AY$138, LS_previous!D$149, FALSE), VLOOKUP('Staging Table'!$A126, LS_previous!$B$4:$AY$138,LS_previous!AB$149, FALSE))/2)</f>
        <v>-1466</v>
      </c>
      <c r="M126" s="227">
        <f t="array" ref="M126">IF($G126=0, INDEX(LS_previous!$D$4:$AY$138, MATCH('Staging Table'!$A126, LS_previous!$B$4:$B$138, 0), MATCH(M$4&amp;M$5, LS_previous!$D$2:$AY$2&amp;LS_previous!$D$3:$AY$3, 0)),SUM(VLOOKUP($A126, LS_previous!$B$4:$AY$138, LS_previous!E$149, FALSE), VLOOKUP('Staging Table'!$A126, LS_previous!$B$4:$AY$138,LS_previous!AC$149, FALSE))/2)</f>
        <v>-647</v>
      </c>
      <c r="N126" s="227">
        <f t="array" ref="N126">IF($G126=0, INDEX(LS_previous!$D$4:$AY$138, MATCH('Staging Table'!$A126, LS_previous!$B$4:$B$138, 0), MATCH(N$4&amp;N$5, LS_previous!$D$2:$AY$2&amp;LS_previous!$D$3:$AY$3, 0)),SUM(VLOOKUP($A126, LS_previous!$B$4:$AY$138, LS_previous!F$149, FALSE), VLOOKUP('Staging Table'!$A126, LS_previous!$B$4:$AY$138,LS_previous!AD$149, FALSE))/2)</f>
        <v>-1927</v>
      </c>
      <c r="O126" s="227">
        <f t="array" ref="O126">IF($G126=0, INDEX(LS_previous!$D$4:$AY$138, MATCH('Staging Table'!$A126, LS_previous!$B$4:$B$138, 0), MATCH(O$4&amp;O$5, LS_previous!$D$2:$AY$2&amp;LS_previous!$D$3:$AY$3, 0)),SUM(VLOOKUP($A126, LS_previous!$B$4:$AY$138, LS_previous!G$149, FALSE), VLOOKUP('Staging Table'!$A126, LS_previous!$B$4:$AY$138,LS_previous!AE$149, FALSE))/2)</f>
        <v>-113</v>
      </c>
      <c r="P126" s="227">
        <f t="array" ref="P126">IF($G126=0, INDEX(LS_previous!$D$4:$AY$138, MATCH('Staging Table'!$A126, LS_previous!$B$4:$B$138, 0), MATCH(P$4&amp;P$5, LS_previous!$D$2:$AY$2&amp;LS_previous!$D$3:$AY$3, 0)),SUM(VLOOKUP($A126, LS_previous!$B$4:$AY$138, LS_previous!H$149, FALSE), VLOOKUP('Staging Table'!$A126, LS_previous!$B$4:$AY$138,LS_previous!AF$149, FALSE))/2)</f>
        <v>1142</v>
      </c>
      <c r="Q126" s="227">
        <f t="array" ref="Q126">IF($G126=0, INDEX(LS_previous!$D$4:$AY$138, MATCH('Staging Table'!$A126, LS_previous!$B$4:$B$138, 0), MATCH(Q$4&amp;Q$5, LS_previous!$D$2:$AY$2&amp;LS_previous!$D$3:$AY$3, 0)),SUM(VLOOKUP($A126, LS_previous!$B$4:$AY$138, LS_previous!I$149, FALSE), VLOOKUP('Staging Table'!$A126, LS_previous!$B$4:$AY$138,LS_previous!AG$149, FALSE))/2)</f>
        <v>1413</v>
      </c>
      <c r="R126" s="227">
        <f t="array" ref="R126">IF($G126=0, INDEX(LS_previous!$D$4:$AY$138, MATCH('Staging Table'!$A126, LS_previous!$B$4:$B$138, 0), MATCH(R$4&amp;R$5, LS_previous!$D$2:$AY$2&amp;LS_previous!$D$3:$AY$3, 0)),SUM(VLOOKUP($A126, LS_previous!$B$4:$AY$138, LS_previous!J$149, FALSE), VLOOKUP('Staging Table'!$A126, LS_previous!$B$4:$AY$138,LS_previous!AH$149, FALSE))/2)</f>
        <v>3138</v>
      </c>
      <c r="S126" s="227">
        <f t="array" ref="S126">IF($G126=0, INDEX(LS_previous!$D$4:$AY$138, MATCH('Staging Table'!$A126, LS_previous!$B$4:$B$138, 0), MATCH(S$4&amp;S$5, LS_previous!$D$2:$AY$2&amp;LS_previous!$D$3:$AY$3, 0)),SUM(VLOOKUP($A126, LS_previous!$B$4:$AY$138, LS_previous!K$149, FALSE), VLOOKUP('Staging Table'!$A126, LS_previous!$B$4:$AY$138,LS_previous!AI$149, FALSE))/2)</f>
        <v>2630</v>
      </c>
      <c r="T126" s="227">
        <f t="array" ref="T126">IF($G126=0, INDEX(LS_previous!$D$4:$AY$138, MATCH('Staging Table'!$A126, LS_previous!$B$4:$B$138, 0), MATCH(T$4&amp;T$5, LS_previous!$D$2:$AY$2&amp;LS_previous!$D$3:$AY$3, 0)),SUM(VLOOKUP($A126, LS_previous!$B$4:$AY$138, LS_previous!L$149, FALSE), VLOOKUP('Staging Table'!$A126, LS_previous!$B$4:$AY$138,LS_previous!AJ$149, FALSE))/2)</f>
        <v>2061</v>
      </c>
      <c r="U126" s="227">
        <f t="array" ref="U126">IF($G126=0, INDEX(LS_previous!$D$4:$AY$138, MATCH('Staging Table'!$A126, LS_previous!$B$4:$B$138, 0), MATCH(U$4&amp;U$5, LS_previous!$D$2:$AY$2&amp;LS_previous!$D$3:$AY$3, 0)),SUM(VLOOKUP($A126, LS_previous!$B$4:$AY$138, LS_previous!M$149, FALSE), VLOOKUP('Staging Table'!$A126, LS_previous!$B$4:$AY$138,LS_previous!AK$149, FALSE))/2)</f>
        <v>1717</v>
      </c>
      <c r="V126" s="227">
        <f t="array" ref="V126">IF($G126=0, INDEX(LS_previous!$D$4:$AY$138, MATCH('Staging Table'!$A126, LS_previous!$B$4:$B$138, 0), MATCH(V$4&amp;V$5, LS_previous!$D$2:$AY$2&amp;LS_previous!$D$3:$AY$3, 0)),SUM(VLOOKUP($A126, LS_previous!$B$4:$AY$138, LS_previous!N$149, FALSE), VLOOKUP('Staging Table'!$A126, LS_previous!$B$4:$AY$138,LS_previous!AL$149, FALSE))/2)</f>
        <v>-67</v>
      </c>
      <c r="W126" s="227">
        <f t="array" ref="W126">IF($G126=0, INDEX(LS_previous!$D$4:$AY$138, MATCH('Staging Table'!$A126, LS_previous!$B$4:$B$138, 0), MATCH(W$4&amp;W$5, LS_previous!$D$2:$AY$2&amp;LS_previous!$D$3:$AY$3, 0)),SUM(VLOOKUP($A126, LS_previous!$B$4:$AY$138, LS_previous!O$149, FALSE), VLOOKUP('Staging Table'!$A126, LS_previous!$B$4:$AY$138,LS_previous!AM$149, FALSE))/2)</f>
        <v>336</v>
      </c>
      <c r="X126" s="227">
        <f t="array" ref="X126">IF($G126=0, INDEX(LS_previous!$D$4:$AY$138, MATCH('Staging Table'!$A126, LS_previous!$B$4:$B$138, 0), MATCH(X$4&amp;X$5, LS_previous!$D$2:$AY$2&amp;LS_previous!$D$3:$AY$3, 0)),SUM(VLOOKUP($A126, LS_previous!$B$4:$AY$138, LS_previous!P$149, FALSE), VLOOKUP('Staging Table'!$A126, LS_previous!$B$4:$AY$138,LS_previous!AN$149, FALSE))/2)</f>
        <v>-931</v>
      </c>
      <c r="Y126" s="227">
        <f t="array" ref="Y126">IF($G126=0, INDEX(LS_previous!$D$4:$AY$138, MATCH('Staging Table'!$A126, LS_previous!$B$4:$B$138, 0), MATCH(Y$4&amp;Y$5, LS_previous!$D$2:$AY$2&amp;LS_previous!$D$3:$AY$3, 0)),SUM(VLOOKUP($A126, LS_previous!$B$4:$AY$138, LS_previous!Q$149, FALSE), VLOOKUP('Staging Table'!$A126, LS_previous!$B$4:$AY$138,LS_previous!AO$149, FALSE))/2)</f>
        <v>-209</v>
      </c>
      <c r="Z126" s="227">
        <f t="array" ref="Z126">IF($G126=0, INDEX(LS_previous!$D$4:$AY$138, MATCH('Staging Table'!$A126, LS_previous!$B$4:$B$138, 0), MATCH(Z$4&amp;Z$5, LS_previous!$D$2:$AY$2&amp;LS_previous!$D$3:$AY$3, 0)),SUM(VLOOKUP($A126, LS_previous!$B$4:$AY$138, LS_previous!R$149, FALSE), VLOOKUP('Staging Table'!$A126, LS_previous!$B$4:$AY$138,LS_previous!AP$149, FALSE))/2)</f>
        <v>-6628</v>
      </c>
      <c r="AA126" s="227">
        <f t="array" ref="AA126">IF($G126=0, INDEX(LS_previous!$D$4:$AY$138, MATCH('Staging Table'!$A126, LS_previous!$B$4:$B$138, 0), MATCH(AA$4&amp;AA$5, LS_previous!$D$2:$AY$2&amp;LS_previous!$D$3:$AY$3, 0)),SUM(VLOOKUP($A126, LS_previous!$B$4:$AY$138, LS_previous!S$149, FALSE), VLOOKUP('Staging Table'!$A126, LS_previous!$B$4:$AY$138,LS_previous!AQ$149, FALSE))/2)</f>
        <v>-3248</v>
      </c>
      <c r="AB126" s="227">
        <f t="array" ref="AB126">IF($G126=0, INDEX(LS_previous!$D$4:$AY$138, MATCH('Staging Table'!$A126, LS_previous!$B$4:$B$138, 0), MATCH(AB$4&amp;AB$5, LS_previous!$D$2:$AY$2&amp;LS_previous!$D$3:$AY$3, 0)),SUM(VLOOKUP($A126, LS_previous!$B$4:$AY$138, LS_previous!T$149, FALSE), VLOOKUP('Staging Table'!$A126, LS_previous!$B$4:$AY$138,LS_previous!AR$149, FALSE))/2)</f>
        <v>-1456</v>
      </c>
      <c r="AC126" s="227">
        <f t="array" ref="AC126">IF($G126=0, INDEX(LS_previous!$D$4:$AY$138, MATCH('Staging Table'!$A126, LS_previous!$B$4:$B$138, 0), MATCH(AC$4&amp;AC$5, LS_previous!$D$2:$AY$2&amp;LS_previous!$D$3:$AY$3, 0)),SUM(VLOOKUP($A126, LS_previous!$B$4:$AY$138, LS_previous!U$149, FALSE), VLOOKUP('Staging Table'!$A126, LS_previous!$B$4:$AY$138,LS_previous!AS$149, FALSE))/2)</f>
        <v>-355</v>
      </c>
      <c r="AD126" s="227">
        <f t="array" ref="AD126">IF($G126=0, INDEX(LS_previous!$D$4:$AY$138, MATCH('Staging Table'!$A126, LS_previous!$B$4:$B$138, 0), MATCH(AD$4&amp;AD$5, LS_previous!$D$2:$AY$2&amp;LS_previous!$D$3:$AY$3, 0)),SUM(VLOOKUP($A126, LS_previous!$B$4:$AY$138, LS_previous!V$149, FALSE), VLOOKUP('Staging Table'!$A126, LS_previous!$B$4:$AY$138,LS_previous!AT$149, FALSE))/2)</f>
        <v>720</v>
      </c>
      <c r="AE126" s="227">
        <f t="array" ref="AE126">IF($G126=0, INDEX(LS_previous!$D$4:$AY$138, MATCH('Staging Table'!$A126, LS_previous!$B$4:$B$138, 0), MATCH(AE$4&amp;AE$5, LS_previous!$D$2:$AY$2&amp;LS_previous!$D$3:$AY$3, 0)),SUM(VLOOKUP($A126, LS_previous!$B$4:$AY$138, LS_previous!W$149, FALSE), VLOOKUP('Staging Table'!$A126, LS_previous!$B$4:$AY$138,LS_previous!AU$149, FALSE))/2)</f>
        <v>901</v>
      </c>
      <c r="AF126" s="227">
        <f t="array" ref="AF126">IF($G126=0, INDEX(LS_previous!$D$4:$AY$138, MATCH('Staging Table'!$A126, LS_previous!$B$4:$B$138, 0), MATCH(AF$4&amp;AF$5, LS_previous!$D$2:$AY$2&amp;LS_previous!$D$3:$AY$3, 0)),SUM(VLOOKUP($A126, LS_previous!$B$4:$AY$138, LS_previous!X$149, FALSE), VLOOKUP('Staging Table'!$A126, LS_previous!$B$4:$AY$138,LS_previous!AV$149, FALSE))/2)</f>
        <v>-343</v>
      </c>
      <c r="AG126" s="227">
        <f t="array" ref="AG126">IF($G126=0, INDEX(LS_previous!$D$4:$AY$138, MATCH('Staging Table'!$A126, LS_previous!$B$4:$B$138, 0), MATCH(AG$4&amp;AG$5, LS_previous!$D$2:$AY$2&amp;LS_previous!$D$3:$AY$3, 0)),SUM(VLOOKUP($A126, LS_previous!$B$4:$AY$138, LS_previous!Y$149, FALSE), VLOOKUP('Staging Table'!$A126, LS_previous!$B$4:$AY$138,LS_previous!AW$149, FALSE))/2)</f>
        <v>318</v>
      </c>
      <c r="AH126" s="227">
        <f t="array" ref="AH126">IF($G126=0, INDEX(LS_previous!$D$4:$AY$138, MATCH('Staging Table'!$A126, LS_previous!$B$4:$B$138, 0), MATCH(AH$4&amp;AH$5, LS_previous!$D$2:$AY$2&amp;LS_previous!$D$3:$AY$3, 0)),SUM(VLOOKUP($A126, LS_previous!$B$4:$AY$138, LS_previous!Z$149, FALSE), VLOOKUP('Staging Table'!$A126, LS_previous!$B$4:$AY$138,LS_previous!AX$149, FALSE))/2)</f>
        <v>-1850</v>
      </c>
      <c r="AI126" s="227">
        <f t="array" ref="AI126">IF($G126=0, INDEX(LS_previous!$D$4:$AY$138, MATCH('Staging Table'!$A126, LS_previous!$B$4:$B$138, 0), MATCH(AI$4&amp;AI$5, LS_previous!$D$2:$AY$2&amp;LS_previous!$D$3:$AY$3, 0)),SUM(VLOOKUP($A126, LS_previous!$B$4:$AY$138, LS_previous!AA$149, FALSE), VLOOKUP('Staging Table'!$A126, LS_previous!$B$4:$AY$138,LS_previous!AY$149, FALSE))/2)</f>
        <v>-512</v>
      </c>
      <c r="AJ126" s="424">
        <f t="array" ref="AJ126">INDEX(Demand_previous!$D$4:$AY$138, MATCH('Staging Table'!$A126, Demand_previous!$B$4:$B$138, 0), MATCH(AJ$4&amp;AJ$5,Demand_previous!$D$2:$AY$2&amp;Demand_previous!$D$3:$AY$3, 0))/1000</f>
        <v>3.665</v>
      </c>
      <c r="AK126" s="424">
        <f t="array" ref="AK126">INDEX(Demand_previous!$D$4:$AY$138, MATCH('Staging Table'!$A126, Demand_previous!$B$4:$B$138, 0), MATCH(AK$4&amp;AK$5,Demand_previous!$D$2:$AY$2&amp;Demand_previous!$D$3:$AY$3, 0))/1000</f>
        <v>4.2880000000000003</v>
      </c>
      <c r="AL126" s="424">
        <f t="array" ref="AL126">INDEX(Demand_previous!$D$4:$AY$138, MATCH('Staging Table'!$A126, Demand_previous!$B$4:$B$138, 0), MATCH(AL$4&amp;AL$5,Demand_previous!$D$2:$AY$2&amp;Demand_previous!$D$3:$AY$3, 0))/1000</f>
        <v>4.9960000000000004</v>
      </c>
      <c r="AM126" s="424">
        <f t="array" ref="AM126">INDEX(Demand_previous!$D$4:$AY$138, MATCH('Staging Table'!$A126, Demand_previous!$B$4:$B$138, 0), MATCH(AM$4&amp;AM$5,Demand_previous!$D$2:$AY$2&amp;Demand_previous!$D$3:$AY$3, 0))/1000</f>
        <v>6.2610000000000001</v>
      </c>
      <c r="AN126" s="424">
        <f t="array" ref="AN126">INDEX(Demand_previous!$D$4:$AY$138, MATCH('Staging Table'!$A126, Demand_previous!$B$4:$B$138, 0), MATCH(AN$4&amp;AN$5,Demand_previous!$D$2:$AY$2&amp;Demand_previous!$D$3:$AY$3, 0))/1000</f>
        <v>1.7350000000000001</v>
      </c>
      <c r="AO126" s="424">
        <f t="array" ref="AO126">INDEX(Demand_previous!$D$4:$AY$138, MATCH('Staging Table'!$A126, Demand_previous!$B$4:$B$138, 0), MATCH(AO$4&amp;AO$5,Demand_previous!$D$2:$AY$2&amp;Demand_previous!$D$3:$AY$3, 0))/1000</f>
        <v>5.27</v>
      </c>
      <c r="AP126" s="424">
        <f t="array" ref="AP126">INDEX(Demand_previous!$D$4:$AY$138, MATCH('Staging Table'!$A126, Demand_previous!$B$4:$B$138, 0), MATCH(AP$4&amp;AP$5,Demand_previous!$D$2:$AY$2&amp;Demand_previous!$D$3:$AY$3, 0))/1000</f>
        <v>4.2949999999999999</v>
      </c>
      <c r="AQ126" s="424">
        <f t="array" ref="AQ126">INDEX(Demand_previous!$D$4:$AY$138, MATCH('Staging Table'!$A126, Demand_previous!$B$4:$B$138, 0), MATCH(AQ$4&amp;AQ$5,Demand_previous!$D$2:$AY$2&amp;Demand_previous!$D$3:$AY$3, 0))/1000</f>
        <v>3.7090000000000001</v>
      </c>
      <c r="AR126" s="424">
        <f t="array" ref="AR126">INDEX(Demand_previous!$D$4:$AY$138, MATCH('Staging Table'!$A126, Demand_previous!$B$4:$B$138, 0), MATCH(AR$4&amp;AR$5,Demand_previous!$D$2:$AY$2&amp;Demand_previous!$D$3:$AY$3, 0))/1000</f>
        <v>5.4870000000000001</v>
      </c>
      <c r="AS126" s="424">
        <f t="array" ref="AS126">INDEX(Demand_previous!$D$4:$AY$138, MATCH('Staging Table'!$A126, Demand_previous!$B$4:$B$138, 0), MATCH(AS$4&amp;AS$5,Demand_previous!$D$2:$AY$2&amp;Demand_previous!$D$3:$AY$3, 0))/1000</f>
        <v>4.1020000000000003</v>
      </c>
      <c r="AT126" s="424">
        <f t="array" ref="AT126">INDEX(Demand_previous!$D$4:$AY$138, MATCH('Staging Table'!$A126, Demand_previous!$B$4:$B$138, 0), MATCH(AT$4&amp;AT$5,Demand_previous!$D$2:$AY$2&amp;Demand_previous!$D$3:$AY$3, 0))/1000</f>
        <v>4.6769999999999996</v>
      </c>
      <c r="AU126" s="424">
        <f t="array" ref="AU126">INDEX(Demand_previous!$D$4:$AY$138, MATCH('Staging Table'!$A126, Demand_previous!$B$4:$B$138, 0), MATCH(AU$4&amp;AU$5,Demand_previous!$D$2:$AY$2&amp;Demand_previous!$D$3:$AY$3, 0))/1000</f>
        <v>5.9580000000000002</v>
      </c>
      <c r="AV126" s="227">
        <f>$F126*(VLOOKUP(AV$4, Rates_previous!$G$6:$Q$29, 10, FALSE)+VLOOKUP(AV$4, Rates_previous!$G$6:$Q$29, 11, FALSE))</f>
        <v>18040.77217456984</v>
      </c>
      <c r="AW126" s="227">
        <f>$F126*(VLOOKUP(AW$4, Rates_previous!$G$6:$Q$29, 10, FALSE)+VLOOKUP(AW$4, Rates_previous!$G$6:$Q$29, 11, FALSE))</f>
        <v>22297.023236417353</v>
      </c>
      <c r="AX126" s="227">
        <f>$F126*(VLOOKUP(AX$4, Rates_previous!$G$6:$Q$29, 10, FALSE)+VLOOKUP(AX$4, Rates_previous!$G$6:$Q$29, 11, FALSE))</f>
        <v>22029.262655875918</v>
      </c>
      <c r="AY126" s="227">
        <f>$F126*(VLOOKUP(AY$4, Rates_previous!$G$6:$Q$29, 10, FALSE)+VLOOKUP(AY$4, Rates_previous!$G$6:$Q$29, 11, FALSE))</f>
        <v>18821.905203929615</v>
      </c>
      <c r="AZ126" s="227">
        <f>$F126*(VLOOKUP(AZ$4, Rates_previous!$G$6:$Q$29, 10, FALSE)+VLOOKUP(AZ$4, Rates_previous!$G$6:$Q$29, 11, FALSE))</f>
        <v>15430.311360663914</v>
      </c>
      <c r="BA126" s="227">
        <f>$F126*(VLOOKUP(BA$4, Rates_previous!$G$6:$Q$29, 10, FALSE)+VLOOKUP(BA$4, Rates_previous!$G$6:$Q$29, 11, FALSE))</f>
        <v>18268.928170101655</v>
      </c>
      <c r="BB126" s="227">
        <f>$F126*(VLOOKUP(BB$4, Rates_previous!$G$6:$Q$29, 10, FALSE)+VLOOKUP(BB$4, Rates_previous!$G$6:$Q$29, 11, FALSE))</f>
        <v>17559.0973491937</v>
      </c>
      <c r="BC126" s="227">
        <f>$F126*(VLOOKUP(BC$4, Rates_previous!$G$6:$Q$29, 10, FALSE)+VLOOKUP(BC$4, Rates_previous!$G$6:$Q$29, 11, FALSE))</f>
        <v>25766.732829969475</v>
      </c>
      <c r="BD126" s="227">
        <f>$F126*(VLOOKUP(BD$4, Rates_previous!$G$6:$Q$29, 10, FALSE)+VLOOKUP(BD$4, Rates_previous!$G$6:$Q$29, 11, FALSE))</f>
        <v>20329.271179795884</v>
      </c>
      <c r="BE126" s="227">
        <f>$F126*(VLOOKUP(BE$4, Rates_previous!$G$6:$Q$29, 10, FALSE)+VLOOKUP(BE$4, Rates_previous!$G$6:$Q$29, 11, FALSE))</f>
        <v>17850.806444017042</v>
      </c>
      <c r="BF126" s="227">
        <f>$F126*(VLOOKUP(BF$4, Rates_previous!$G$6:$Q$29, 10, FALSE)+VLOOKUP(BF$4, Rates_previous!$G$6:$Q$29, 11, FALSE))</f>
        <v>19770.482663702656</v>
      </c>
      <c r="BG126" s="227">
        <f>$F126*(VLOOKUP(BG$4, Rates_previous!$G$6:$Q$29, 10, FALSE)+VLOOKUP(BG$4, Rates_previous!$G$6:$Q$29, 11, FALSE))</f>
        <v>17911.271070494637</v>
      </c>
      <c r="BH126" s="229">
        <f>IF($D126=0,IF(C126=0, MAX(BK126 - (VLOOKUP($A126,TOCA_previous!$A$2:$AI$137,MATCH("RHWM 2018",TOCA_previous!$A$2:$AI$2,0),FALSE)*$F$2*TOCA_previous!C123),0),0), 0)</f>
        <v>0</v>
      </c>
      <c r="BI126" s="266">
        <f>VLOOKUP($A126,REP_previous!$A$1:$D$135,MATCH("FY "&amp;$F$1&amp; " Total Refund",REP_previous!$A$1:$D$1,0),0)</f>
        <v>343118.60597261786</v>
      </c>
      <c r="BJ126" s="241">
        <f>MIN(VLOOKUP($A126,TOCA_previous!$A$2:$AI$137,MATCH("TRL - NLSL - Existing Resource "&amp;$F$1,TOCA_previous!$A$2:$AI$2,0),FALSE)*$F$2,(VLOOKUP($A126,TOCA_previous!$A$2:$AI$137,MATCH("RHWM 2018",TOCA_previous!$A$2:$AI$2,0),FALSE)*$F$2))</f>
        <v>234075.96</v>
      </c>
      <c r="BK126" s="229">
        <f>SUM(L126:AI126)+(F126*RT1SC!$C$3*$F$2)</f>
        <v>228699.86775369599</v>
      </c>
      <c r="BL126" s="241">
        <f>VLOOKUP($A126,TOCA_previous!$A$2:$AI$137,MATCH("Above RHWM Not Served with LS "&amp;$F$1,TOCA_previous!$A$2:$AI$2,0),FALSE)*$F$2</f>
        <v>19806.36</v>
      </c>
      <c r="BM126" s="151">
        <f t="shared" si="21"/>
        <v>-5376.0922463040042</v>
      </c>
      <c r="BN126" s="242">
        <f>(VLOOKUP($A126,TOCA_previous!$A$2:$AI$137,MATCH("RHWM 2018",TOCA_previous!$A$2:$AI$2,0),FALSE)*$F$2) - $BJ126</f>
        <v>0</v>
      </c>
      <c r="BO126" s="151">
        <f t="shared" si="22"/>
        <v>0</v>
      </c>
      <c r="BP126" s="243">
        <f t="shared" si="23"/>
        <v>0</v>
      </c>
      <c r="BQ126" s="237">
        <f t="shared" si="24"/>
        <v>0</v>
      </c>
      <c r="BR126" s="242">
        <f t="shared" si="25"/>
        <v>0</v>
      </c>
      <c r="BS126" s="151">
        <f>VLOOKUP($A126,TOCA_current!$A$2:$AI$137,MATCH(BS$4,TOCA_current!$A$2:$AI$2,0),FALSE)</f>
        <v>3.8455E-3</v>
      </c>
      <c r="BT126" s="151">
        <f>VLOOKUP($A126,TOCA_current!$A$2:$AI$137,MATCH(BT$4,TOCA_current!$A$2:$AI$2,0),FALSE)</f>
        <v>3.8455E-3</v>
      </c>
      <c r="BU126" s="236">
        <f t="shared" si="26"/>
        <v>0</v>
      </c>
      <c r="BV126" s="151">
        <f>VLOOKUP($A126,TOCA_current!A122:BG257,MATCH(BV$4,TOCA_current!$A$2:$BG$2,0),FALSE)</f>
        <v>0</v>
      </c>
      <c r="BW126" s="151">
        <f t="shared" si="27"/>
        <v>0</v>
      </c>
      <c r="BX126" s="151">
        <f t="shared" si="28"/>
        <v>0</v>
      </c>
      <c r="BY126" s="226">
        <f>VLOOKUP($A126,IRD!$A$4:$G$139, 7, FALSE)</f>
        <v>0</v>
      </c>
      <c r="BZ126" s="227">
        <f t="array" ref="BZ126">IF($BU126=0, INDEX(LS_current!$D$4:$AY$138, MATCH('Staging Table'!$A126, LS_current!$B$4:$B$138, 0), MATCH(BZ$4&amp;BZ$5, LS_current!$D$2:$AY$2&amp;LS_current!$D$3:$AY$3, 0)),SUM(VLOOKUP($A126, LS_current!$B$4:$AY$138, LS_current!D$148, FALSE), VLOOKUP($A126, LS_current!$B$4:$AY$138,LS_current!D$148, FALSE))/2)</f>
        <v>-913</v>
      </c>
      <c r="CA126" s="227">
        <f t="array" ref="CA126">IF($BU126=0, INDEX(LS_current!$D$4:$AY$138, MATCH('Staging Table'!$A126, LS_current!$B$4:$B$138, 0), MATCH(CA$4&amp;CA$5, LS_current!$D$2:$AY$2&amp;LS_current!$D$3:$AY$3, 0)),SUM(VLOOKUP($A126, LS_current!$B$4:$AY$138, LS_current!E$148, FALSE), VLOOKUP($A126, LS_current!$B$4:$AY$138,LS_current!E$148, FALSE))/2)</f>
        <v>-181</v>
      </c>
      <c r="CB126" s="227">
        <f t="array" ref="CB126">IF($BU126=0, INDEX(LS_current!$D$4:$AY$138, MATCH('Staging Table'!$A126, LS_current!$B$4:$B$138, 0), MATCH(CB$4&amp;CB$5, LS_current!$D$2:$AY$2&amp;LS_current!$D$3:$AY$3, 0)),SUM(VLOOKUP($A126, LS_current!$B$4:$AY$138, LS_current!F$148, FALSE), VLOOKUP($A126, LS_current!$B$4:$AY$138,LS_current!F$148, FALSE))/2)</f>
        <v>-1624</v>
      </c>
      <c r="CC126" s="227">
        <f t="array" ref="CC126">IF($BU126=0, INDEX(LS_current!$D$4:$AY$138, MATCH('Staging Table'!$A126, LS_current!$B$4:$B$138, 0), MATCH(CC$4&amp;CC$5, LS_current!$D$2:$AY$2&amp;LS_current!$D$3:$AY$3, 0)),SUM(VLOOKUP($A126, LS_current!$B$4:$AY$138, LS_current!G$148, FALSE), VLOOKUP($A126, LS_current!$B$4:$AY$138,LS_current!G$148, FALSE))/2)</f>
        <v>37</v>
      </c>
      <c r="CD126" s="227">
        <f t="array" ref="CD126">IF($BU126=0, INDEX(LS_current!$D$4:$AY$138, MATCH('Staging Table'!$A126, LS_current!$B$4:$B$138, 0), MATCH(CD$4&amp;CD$5, LS_current!$D$2:$AY$2&amp;LS_current!$D$3:$AY$3, 0)),SUM(VLOOKUP($A126, LS_current!$B$4:$AY$138, LS_current!H$148, FALSE), VLOOKUP($A126, LS_current!$B$4:$AY$138,LS_current!H$148, FALSE))/2)</f>
        <v>1422</v>
      </c>
      <c r="CE126" s="227">
        <f t="array" ref="CE126">IF($BU126=0, INDEX(LS_current!$D$4:$AY$138, MATCH('Staging Table'!$A126, LS_current!$B$4:$B$138, 0), MATCH(CE$4&amp;CE$5, LS_current!$D$2:$AY$2&amp;LS_current!$D$3:$AY$3, 0)),SUM(VLOOKUP($A126, LS_current!$B$4:$AY$138, LS_current!I$148, FALSE), VLOOKUP($A126, LS_current!$B$4:$AY$138,LS_current!I$148, FALSE))/2)</f>
        <v>1613</v>
      </c>
      <c r="CF126" s="227">
        <f t="array" ref="CF126">IF($BU126=0, INDEX(LS_current!$D$4:$AY$138, MATCH('Staging Table'!$A126, LS_current!$B$4:$B$138, 0), MATCH(CF$4&amp;CF$5, LS_current!$D$2:$AY$2&amp;LS_current!$D$3:$AY$3, 0)),SUM(VLOOKUP($A126, LS_current!$B$4:$AY$138, LS_current!J$148, FALSE), VLOOKUP($A126, LS_current!$B$4:$AY$138,LS_current!J$148, FALSE))/2)</f>
        <v>3503</v>
      </c>
      <c r="CG126" s="227">
        <f t="array" ref="CG126">IF($BU126=0, INDEX(LS_current!$D$4:$AY$138, MATCH('Staging Table'!$A126, LS_current!$B$4:$B$138, 0), MATCH(CG$4&amp;CG$5, LS_current!$D$2:$AY$2&amp;LS_current!$D$3:$AY$3, 0)),SUM(VLOOKUP($A126, LS_current!$B$4:$AY$138, LS_current!K$148, FALSE), VLOOKUP($A126, LS_current!$B$4:$AY$138,LS_current!K$148, FALSE))/2)</f>
        <v>3246</v>
      </c>
      <c r="CH126" s="227">
        <f t="array" ref="CH126">IF($BU126=0, INDEX(LS_current!$D$4:$AY$138, MATCH('Staging Table'!$A126, LS_current!$B$4:$B$138, 0), MATCH(CH$4&amp;CH$5, LS_current!$D$2:$AY$2&amp;LS_current!$D$3:$AY$3, 0)),SUM(VLOOKUP($A126, LS_current!$B$4:$AY$138, LS_current!L$148, FALSE), VLOOKUP($A126, LS_current!$B$4:$AY$138,LS_current!L$148, FALSE))/2)</f>
        <v>1551</v>
      </c>
      <c r="CI126" s="227">
        <f t="array" ref="CI126">IF($BU126=0, INDEX(LS_current!$D$4:$AY$138, MATCH('Staging Table'!$A126, LS_current!$B$4:$B$138, 0), MATCH(CI$4&amp;CI$5, LS_current!$D$2:$AY$2&amp;LS_current!$D$3:$AY$3, 0)),SUM(VLOOKUP($A126, LS_current!$B$4:$AY$138, LS_current!M$148, FALSE), VLOOKUP($A126, LS_current!$B$4:$AY$138,LS_current!M$148, FALSE))/2)</f>
        <v>1463</v>
      </c>
      <c r="CJ126" s="227">
        <f t="array" ref="CJ126">IF($BU126=0, INDEX(LS_current!$D$4:$AY$138, MATCH('Staging Table'!$A126, LS_current!$B$4:$B$138, 0), MATCH(CJ$4&amp;CJ$5, LS_current!$D$2:$AY$2&amp;LS_current!$D$3:$AY$3, 0)),SUM(VLOOKUP($A126, LS_current!$B$4:$AY$138, LS_current!N$148, FALSE), VLOOKUP($A126, LS_current!$B$4:$AY$138,LS_current!N$148, FALSE))/2)</f>
        <v>32</v>
      </c>
      <c r="CK126" s="227">
        <f t="array" ref="CK126">IF($BU126=0, INDEX(LS_current!$D$4:$AY$138, MATCH('Staging Table'!$A126, LS_current!$B$4:$B$138, 0), MATCH(CK$4&amp;CK$5, LS_current!$D$2:$AY$2&amp;LS_current!$D$3:$AY$3, 0)),SUM(VLOOKUP($A126, LS_current!$B$4:$AY$138, LS_current!O$148, FALSE), VLOOKUP($A126, LS_current!$B$4:$AY$138,LS_current!O$148, FALSE))/2)</f>
        <v>522</v>
      </c>
      <c r="CL126" s="227">
        <f t="array" ref="CL126">IF($BU126=0, INDEX(LS_current!$D$4:$AY$138, MATCH('Staging Table'!$A126, LS_current!$B$4:$B$138, 0), MATCH(CL$4&amp;CL$5, LS_current!$D$2:$AY$2&amp;LS_current!$D$3:$AY$3, 0)),SUM(VLOOKUP($A126, LS_current!$B$4:$AY$138, LS_current!P$148, FALSE), VLOOKUP($A126, LS_current!$B$4:$AY$138,LS_current!P$148, FALSE))/2)</f>
        <v>1146</v>
      </c>
      <c r="CM126" s="227">
        <f t="array" ref="CM126">IF($BU126=0, INDEX(LS_current!$D$4:$AY$138, MATCH('Staging Table'!$A126, LS_current!$B$4:$B$138, 0), MATCH(CM$4&amp;CM$5, LS_current!$D$2:$AY$2&amp;LS_current!$D$3:$AY$3, 0)),SUM(VLOOKUP($A126, LS_current!$B$4:$AY$138, LS_current!Q$148, FALSE), VLOOKUP($A126, LS_current!$B$4:$AY$138,LS_current!Q$148, FALSE))/2)</f>
        <v>744</v>
      </c>
      <c r="CN126" s="227">
        <f t="array" ref="CN126">IF($BU126=0, INDEX(LS_current!$D$4:$AY$138, MATCH('Staging Table'!$A126, LS_current!$B$4:$B$138, 0), MATCH(CN$4&amp;CN$5, LS_current!$D$2:$AY$2&amp;LS_current!$D$3:$AY$3, 0)),SUM(VLOOKUP($A126, LS_current!$B$4:$AY$138, LS_current!R$148, FALSE), VLOOKUP($A126, LS_current!$B$4:$AY$138,LS_current!R$148, FALSE))/2)</f>
        <v>-3112</v>
      </c>
      <c r="CO126" s="227">
        <f t="array" ref="CO126">IF($BU126=0, INDEX(LS_current!$D$4:$AY$138, MATCH('Staging Table'!$A126, LS_current!$B$4:$B$138, 0), MATCH(CO$4&amp;CO$5, LS_current!$D$2:$AY$2&amp;LS_current!$D$3:$AY$3, 0)),SUM(VLOOKUP($A126, LS_current!$B$4:$AY$138, LS_current!S$148, FALSE), VLOOKUP($A126, LS_current!$B$4:$AY$138,LS_current!S$148, FALSE))/2)</f>
        <v>-816</v>
      </c>
      <c r="CP126" s="227">
        <f t="array" ref="CP126">IF($BU126=0, INDEX(LS_current!$D$4:$AY$138, MATCH('Staging Table'!$A126, LS_current!$B$4:$B$138, 0), MATCH(CP$4&amp;CP$5, LS_current!$D$2:$AY$2&amp;LS_current!$D$3:$AY$3, 0)),SUM(VLOOKUP($A126, LS_current!$B$4:$AY$138, LS_current!T$148, FALSE), VLOOKUP($A126, LS_current!$B$4:$AY$138,LS_current!T$148, FALSE))/2)</f>
        <v>-4765</v>
      </c>
      <c r="CQ126" s="227">
        <f t="array" ref="CQ126">IF($BU126=0, INDEX(LS_current!$D$4:$AY$138, MATCH('Staging Table'!$A126, LS_current!$B$4:$B$138, 0), MATCH(CQ$4&amp;CQ$5, LS_current!$D$2:$AY$2&amp;LS_current!$D$3:$AY$3, 0)),SUM(VLOOKUP($A126, LS_current!$B$4:$AY$138, LS_current!U$148, FALSE), VLOOKUP($A126, LS_current!$B$4:$AY$138,LS_current!U$148, FALSE))/2)</f>
        <v>-2229</v>
      </c>
      <c r="CR126" s="227">
        <f t="array" ref="CR126">IF($BU126=0, INDEX(LS_current!$D$4:$AY$138, MATCH('Staging Table'!$A126, LS_current!$B$4:$B$138, 0), MATCH(CR$4&amp;CR$5, LS_current!$D$2:$AY$2&amp;LS_current!$D$3:$AY$3, 0)),SUM(VLOOKUP($A126, LS_current!$B$4:$AY$138, LS_current!V$148, FALSE), VLOOKUP($A126, LS_current!$B$4:$AY$138,LS_current!V$148, FALSE))/2)</f>
        <v>-1388</v>
      </c>
      <c r="CS126" s="227">
        <f t="array" ref="CS126">IF($BU126=0, INDEX(LS_current!$D$4:$AY$138, MATCH('Staging Table'!$A126, LS_current!$B$4:$B$138, 0), MATCH(CS$4&amp;CS$5, LS_current!$D$2:$AY$2&amp;LS_current!$D$3:$AY$3, 0)),SUM(VLOOKUP($A126, LS_current!$B$4:$AY$138, LS_current!W$148, FALSE), VLOOKUP($A126, LS_current!$B$4:$AY$138,LS_current!W$148, FALSE))/2)</f>
        <v>1034</v>
      </c>
      <c r="CT126" s="227">
        <f t="array" ref="CT126">IF($BU126=0, INDEX(LS_current!$D$4:$AY$138, MATCH('Staging Table'!$A126, LS_current!$B$4:$B$138, 0), MATCH(CT$4&amp;CT$5, LS_current!$D$2:$AY$2&amp;LS_current!$D$3:$AY$3, 0)),SUM(VLOOKUP($A126, LS_current!$B$4:$AY$138, LS_current!X$148, FALSE), VLOOKUP($A126, LS_current!$B$4:$AY$138,LS_current!X$148, FALSE))/2)</f>
        <v>-390</v>
      </c>
      <c r="CU126" s="227">
        <f t="array" ref="CU126">IF($BU126=0, INDEX(LS_current!$D$4:$AY$138, MATCH('Staging Table'!$A126, LS_current!$B$4:$B$138, 0), MATCH(CU$4&amp;CU$5, LS_current!$D$2:$AY$2&amp;LS_current!$D$3:$AY$3, 0)),SUM(VLOOKUP($A126, LS_current!$B$4:$AY$138, LS_current!Y$148, FALSE), VLOOKUP($A126, LS_current!$B$4:$AY$138,LS_current!Y$148, FALSE))/2)</f>
        <v>848</v>
      </c>
      <c r="CV126" s="227">
        <f t="array" ref="CV126">IF($BU126=0, INDEX(LS_current!$D$4:$AY$138, MATCH('Staging Table'!$A126, LS_current!$B$4:$B$138, 0), MATCH(CV$4&amp;CV$5, LS_current!$D$2:$AY$2&amp;LS_current!$D$3:$AY$3, 0)),SUM(VLOOKUP($A126, LS_current!$B$4:$AY$138, LS_current!Z$148, FALSE), VLOOKUP($A126, LS_current!$B$4:$AY$138,LS_current!Z$148, FALSE))/2)</f>
        <v>-1554</v>
      </c>
      <c r="CW126" s="227">
        <f t="array" ref="CW126">IF($BU126=0, INDEX(LS_current!$D$4:$AY$138, MATCH('Staging Table'!$A126, LS_current!$B$4:$B$138, 0), MATCH(CW$4&amp;CW$5, LS_current!$D$2:$AY$2&amp;LS_current!$D$3:$AY$3, 0)),SUM(VLOOKUP($A126, LS_current!$B$4:$AY$138, LS_current!AA$148, FALSE), VLOOKUP($A126, LS_current!$B$4:$AY$138,LS_current!AA$148, FALSE))/2)</f>
        <v>-162</v>
      </c>
      <c r="CX126" s="229">
        <f t="array" ref="CX126">INDEX(Demand_current!$D$4:$AY$138, MATCH($A126, Demand_current!$B$4:$B$138, 0), MATCH(CX$4&amp;CX$5,Demand_current!$D$2:$AY$2&amp;Demand_current!$D$3:$AY$3, 0))/1000</f>
        <v>4.6630000000000003</v>
      </c>
      <c r="CY126" s="229">
        <f t="array" ref="CY126">INDEX(Demand_current!$D$4:$AY$138, MATCH($A126, Demand_current!$B$4:$B$138, 0), MATCH(CY$4&amp;CY$5,Demand_current!$D$2:$AY$2&amp;Demand_current!$D$3:$AY$3, 0))/1000</f>
        <v>4.2880000000000003</v>
      </c>
      <c r="CZ126" s="229">
        <f t="array" ref="CZ126">INDEX(Demand_current!$D$4:$AY$138, MATCH($A126, Demand_current!$B$4:$B$138, 0), MATCH(CZ$4&amp;CZ$5,Demand_current!$D$2:$AY$2&amp;Demand_current!$D$3:$AY$3, 0))/1000</f>
        <v>4.9960000000000004</v>
      </c>
      <c r="DA126" s="229">
        <f t="array" ref="DA126">INDEX(Demand_current!$D$4:$AY$138, MATCH($A126, Demand_current!$B$4:$B$138, 0), MATCH(DA$4&amp;DA$5,Demand_current!$D$2:$AY$2&amp;Demand_current!$D$3:$AY$3, 0))/1000</f>
        <v>6.2610000000000001</v>
      </c>
      <c r="DB126" s="229">
        <f t="array" ref="DB126">INDEX(Demand_current!$D$4:$AY$138, MATCH($A126, Demand_current!$B$4:$B$138, 0), MATCH(DB$4&amp;DB$5,Demand_current!$D$2:$AY$2&amp;Demand_current!$D$3:$AY$3, 0))/1000</f>
        <v>3.0550000000000002</v>
      </c>
      <c r="DC126" s="229">
        <f t="array" ref="DC126">INDEX(Demand_current!$D$4:$AY$138, MATCH($A126, Demand_current!$B$4:$B$138, 0), MATCH(DC$4&amp;DC$5,Demand_current!$D$2:$AY$2&amp;Demand_current!$D$3:$AY$3, 0))/1000</f>
        <v>4.1609999999999996</v>
      </c>
      <c r="DD126" s="229">
        <f t="array" ref="DD126">INDEX(Demand_current!$D$4:$AY$138, MATCH($A126, Demand_current!$B$4:$B$138, 0), MATCH(DD$4&amp;DD$5,Demand_current!$D$2:$AY$2&amp;Demand_current!$D$3:$AY$3, 0))/1000</f>
        <v>5.3789999999999996</v>
      </c>
      <c r="DE126" s="229">
        <f t="array" ref="DE126">INDEX(Demand_current!$D$4:$AY$138, MATCH($A126, Demand_current!$B$4:$B$138, 0), MATCH(DE$4&amp;DE$5,Demand_current!$D$2:$AY$2&amp;Demand_current!$D$3:$AY$3, 0))/1000</f>
        <v>2.677</v>
      </c>
      <c r="DF126" s="229">
        <f t="array" ref="DF126">INDEX(Demand_current!$D$4:$AY$138, MATCH($A126, Demand_current!$B$4:$B$138, 0), MATCH(DF$4&amp;DF$5,Demand_current!$D$2:$AY$2&amp;Demand_current!$D$3:$AY$3, 0))/1000</f>
        <v>5.4870000000000001</v>
      </c>
      <c r="DG126" s="229">
        <f t="array" ref="DG126">INDEX(Demand_current!$D$4:$AY$138, MATCH($A126, Demand_current!$B$4:$B$138, 0), MATCH(DG$4&amp;DG$5,Demand_current!$D$2:$AY$2&amp;Demand_current!$D$3:$AY$3, 0))/1000</f>
        <v>5.3810000000000002</v>
      </c>
      <c r="DH126" s="229">
        <f t="array" ref="DH126">INDEX(Demand_current!$D$4:$AY$138, MATCH($A126, Demand_current!$B$4:$B$138, 0), MATCH(DH$4&amp;DH$5,Demand_current!$D$2:$AY$2&amp;Demand_current!$D$3:$AY$3, 0))/1000</f>
        <v>3.4430000000000001</v>
      </c>
      <c r="DI126" s="229">
        <f t="array" ref="DI126">INDEX(Demand_current!$D$4:$AY$138, MATCH($A126, Demand_current!$B$4:$B$138, 0), MATCH(DI$4&amp;DI$5,Demand_current!$D$2:$AY$2&amp;Demand_current!$D$3:$AY$3, 0))/1000</f>
        <v>7.048</v>
      </c>
      <c r="DJ126" s="227">
        <f>$BT126*(VLOOKUP(DJ$4, Rates_current!$G$6:$Q$29, 10, FALSE)+VLOOKUP(DJ$4, Rates_current!$G$6:$Q$29, 11, FALSE))</f>
        <v>17755.893277217998</v>
      </c>
      <c r="DK126" s="227">
        <f>$BT126*(VLOOKUP(DK$4, Rates_current!$G$6:$Q$29, 10, FALSE)+VLOOKUP(DK$4, Rates_current!$G$6:$Q$29, 11, FALSE))</f>
        <v>22555.523520574501</v>
      </c>
      <c r="DL126" s="227">
        <f>$BT126*(VLOOKUP(DL$4, Rates_current!$G$6:$Q$29, 10, FALSE)+VLOOKUP(DL$4, Rates_current!$G$6:$Q$29, 11, FALSE))</f>
        <v>22283.135053718001</v>
      </c>
      <c r="DM126" s="227">
        <f>$BT126*(VLOOKUP(DM$4, Rates_current!$G$6:$Q$29, 10, FALSE)+VLOOKUP(DM$4, Rates_current!$G$6:$Q$29, 11, FALSE))</f>
        <v>18574.350269718001</v>
      </c>
      <c r="DN126" s="227">
        <f>$BT126*(VLOOKUP(DN$4, Rates_current!$G$6:$Q$29, 10, FALSE)+VLOOKUP(DN$4, Rates_current!$G$6:$Q$29, 11, FALSE))</f>
        <v>16826.434404399999</v>
      </c>
      <c r="DO126" s="227">
        <f>$BT126*(VLOOKUP(DO$4, Rates_current!$G$6:$Q$29, 10, FALSE)+VLOOKUP(DO$4, Rates_current!$G$6:$Q$29, 11, FALSE))</f>
        <v>18716.3405157335</v>
      </c>
      <c r="DP126" s="227">
        <f>$BT126*(VLOOKUP(DP$4, Rates_current!$G$6:$Q$29, 10, FALSE)+VLOOKUP(DP$4, Rates_current!$G$6:$Q$29, 11, FALSE))</f>
        <v>15238.86464484</v>
      </c>
      <c r="DQ126" s="227">
        <f>$BT126*(VLOOKUP(DQ$4, Rates_current!$G$6:$Q$29, 10, FALSE)+VLOOKUP(DQ$4, Rates_current!$G$6:$Q$29, 11, FALSE))</f>
        <v>20551.881339968</v>
      </c>
      <c r="DR126" s="227">
        <f>$BT126*(VLOOKUP(DR$4, Rates_current!$G$6:$Q$29, 10, FALSE)+VLOOKUP(DR$4, Rates_current!$G$6:$Q$29, 11, FALSE))</f>
        <v>26222.802827090003</v>
      </c>
      <c r="DS126" s="227">
        <f>$BT126*(VLOOKUP(DS$4, Rates_current!$G$6:$Q$29, 10, FALSE)+VLOOKUP(DS$4, Rates_current!$G$6:$Q$29, 11, FALSE))</f>
        <v>20559.508889218003</v>
      </c>
      <c r="DT126" s="227">
        <f>$BT126*(VLOOKUP(DT$4, Rates_current!$G$6:$Q$29, 10, FALSE)+VLOOKUP(DT$4, Rates_current!$G$6:$Q$29, 11, FALSE))</f>
        <v>20020.867781468001</v>
      </c>
      <c r="DU126" s="227">
        <f>$BT126*(VLOOKUP(DU$4, Rates_current!$G$6:$Q$29, 10, FALSE)+VLOOKUP(DU$4, Rates_current!$G$6:$Q$29, 11, FALSE))</f>
        <v>17974.480280340002</v>
      </c>
      <c r="DV126" s="229">
        <f>IF(D126=0,IF(C126=0,MAX(0,DY126 - (VLOOKUP($A126,TOCA_current!$A$2:$AI$137,MATCH("RHWM 2020",TOCA_current!$A$2:$AI$2,0),FALSE)*$BT$2)), 0),0)</f>
        <v>24.899710464000236</v>
      </c>
      <c r="DW126" s="266">
        <f>VLOOKUP($A126,REP_current!$A$1:$D$135,MATCH("FY "&amp;$BT$1&amp; " Total Refund",REP_current!$A$1:$D$1,0),0)</f>
        <v>0</v>
      </c>
      <c r="DX126" s="295">
        <f>MIN(VLOOKUP($A126,TOCA_current!$A$2:$AI$137,MATCH("TRL - NLSL - Existing Resource "&amp;$BT$1,TOCA_current!$A$2:$AI$2,0),FALSE)*$BT$2, VLOOKUP($A126,TOCA_current!$A$2:$AI$137,MATCH("RHWM 2020",TOCA_current!$A$2:$AI$2,0),FALSE)*$BT$2)</f>
        <v>237282.19200000001</v>
      </c>
      <c r="DY126" s="240">
        <f>SUM(BZ126:CW126)+(BT126*RT1SC!$C$4*$BT$2)</f>
        <v>237307.09171046401</v>
      </c>
      <c r="DZ126" s="271">
        <f>VLOOKUP($A126,TOCA_current!$A$2:$AI$137,MATCH("Above RHWM Not Served with LS "&amp;$BT$1,TOCA_current!$A$2:$AI$2,0),FALSE)*$BT$2</f>
        <v>11199.599999999999</v>
      </c>
      <c r="EA126" s="244">
        <f t="shared" si="29"/>
        <v>24.899710464000236</v>
      </c>
      <c r="EB126" s="295">
        <f>(VLOOKUP($A126,TOCA_current!$A$2:$AI$137,MATCH("RHWM 2020",TOCA_current!$A$2:$AI$2,0),FALSE)*$BT$2) - $DX126</f>
        <v>0</v>
      </c>
      <c r="EC126" s="240">
        <f t="shared" si="30"/>
        <v>0</v>
      </c>
      <c r="ED126" s="240">
        <f t="shared" si="31"/>
        <v>0</v>
      </c>
      <c r="EE126" s="240">
        <f t="shared" si="32"/>
        <v>0</v>
      </c>
      <c r="EF126" s="240">
        <f t="shared" si="33"/>
        <v>0</v>
      </c>
    </row>
    <row r="127" spans="1:136">
      <c r="A127" s="166">
        <v>10436</v>
      </c>
      <c r="B127" s="167" t="s">
        <v>128</v>
      </c>
      <c r="C127" s="240">
        <v>0</v>
      </c>
      <c r="D127" s="240">
        <v>0</v>
      </c>
      <c r="E127" s="150">
        <f>VLOOKUP($A127,TOCA_previous!$A$2:$AI$137,MATCH(E$4,TOCA_previous!$A$2:$AI$2,0),FALSE)</f>
        <v>2.7135000000000002E-3</v>
      </c>
      <c r="F127" s="151">
        <f>VLOOKUP($A127,TOCA_previous!$A$2:$AI$137,MATCH(F$4,TOCA_previous!$A$2:$AI$2,0),FALSE)</f>
        <v>2.7135000000000002E-3</v>
      </c>
      <c r="G127" s="151">
        <f t="shared" si="18"/>
        <v>0</v>
      </c>
      <c r="H127" s="151">
        <f>VLOOKUP($A127,TOCA_previous!$A$2:$AI$137,MATCH(H$4,TOCA_previous!$A$2:$AI$2,0),FALSE)</f>
        <v>7.4802900000000005E-2</v>
      </c>
      <c r="I127" s="151">
        <f t="shared" si="19"/>
        <v>0</v>
      </c>
      <c r="J127" s="151">
        <f t="shared" si="20"/>
        <v>0</v>
      </c>
      <c r="K127" s="226">
        <f>VLOOKUP(A127, IRD!$A$5:$C$139, 3, FALSE)</f>
        <v>38863.257999999994</v>
      </c>
      <c r="L127" s="227">
        <f t="array" ref="L127">IF($G127=0, INDEX(LS_previous!$D$4:$AY$138, MATCH('Staging Table'!$A127, LS_previous!$B$4:$B$138, 0), MATCH(L$4&amp;L$5, LS_previous!$D$2:$AY$2&amp;LS_previous!$D$3:$AY$3, 0)),SUM(VLOOKUP($A127, LS_previous!$B$4:$AY$138, LS_previous!D$149, FALSE), VLOOKUP('Staging Table'!$A127, LS_previous!$B$4:$AY$138,LS_previous!AB$149, FALSE))/2)</f>
        <v>-2793</v>
      </c>
      <c r="M127" s="227">
        <f t="array" ref="M127">IF($G127=0, INDEX(LS_previous!$D$4:$AY$138, MATCH('Staging Table'!$A127, LS_previous!$B$4:$B$138, 0), MATCH(M$4&amp;M$5, LS_previous!$D$2:$AY$2&amp;LS_previous!$D$3:$AY$3, 0)),SUM(VLOOKUP($A127, LS_previous!$B$4:$AY$138, LS_previous!E$149, FALSE), VLOOKUP('Staging Table'!$A127, LS_previous!$B$4:$AY$138,LS_previous!AC$149, FALSE))/2)</f>
        <v>-904</v>
      </c>
      <c r="N127" s="227">
        <f t="array" ref="N127">IF($G127=0, INDEX(LS_previous!$D$4:$AY$138, MATCH('Staging Table'!$A127, LS_previous!$B$4:$B$138, 0), MATCH(N$4&amp;N$5, LS_previous!$D$2:$AY$2&amp;LS_previous!$D$3:$AY$3, 0)),SUM(VLOOKUP($A127, LS_previous!$B$4:$AY$138, LS_previous!F$149, FALSE), VLOOKUP('Staging Table'!$A127, LS_previous!$B$4:$AY$138,LS_previous!AD$149, FALSE))/2)</f>
        <v>-3541</v>
      </c>
      <c r="O127" s="227">
        <f t="array" ref="O127">IF($G127=0, INDEX(LS_previous!$D$4:$AY$138, MATCH('Staging Table'!$A127, LS_previous!$B$4:$B$138, 0), MATCH(O$4&amp;O$5, LS_previous!$D$2:$AY$2&amp;LS_previous!$D$3:$AY$3, 0)),SUM(VLOOKUP($A127, LS_previous!$B$4:$AY$138, LS_previous!G$149, FALSE), VLOOKUP('Staging Table'!$A127, LS_previous!$B$4:$AY$138,LS_previous!AE$149, FALSE))/2)</f>
        <v>-862</v>
      </c>
      <c r="P127" s="227">
        <f t="array" ref="P127">IF($G127=0, INDEX(LS_previous!$D$4:$AY$138, MATCH('Staging Table'!$A127, LS_previous!$B$4:$B$138, 0), MATCH(P$4&amp;P$5, LS_previous!$D$2:$AY$2&amp;LS_previous!$D$3:$AY$3, 0)),SUM(VLOOKUP($A127, LS_previous!$B$4:$AY$138, LS_previous!H$149, FALSE), VLOOKUP('Staging Table'!$A127, LS_previous!$B$4:$AY$138,LS_previous!AF$149, FALSE))/2)</f>
        <v>-1513</v>
      </c>
      <c r="Q127" s="227">
        <f t="array" ref="Q127">IF($G127=0, INDEX(LS_previous!$D$4:$AY$138, MATCH('Staging Table'!$A127, LS_previous!$B$4:$B$138, 0), MATCH(Q$4&amp;Q$5, LS_previous!$D$2:$AY$2&amp;LS_previous!$D$3:$AY$3, 0)),SUM(VLOOKUP($A127, LS_previous!$B$4:$AY$138, LS_previous!I$149, FALSE), VLOOKUP('Staging Table'!$A127, LS_previous!$B$4:$AY$138,LS_previous!AG$149, FALSE))/2)</f>
        <v>316</v>
      </c>
      <c r="R127" s="227">
        <f t="array" ref="R127">IF($G127=0, INDEX(LS_previous!$D$4:$AY$138, MATCH('Staging Table'!$A127, LS_previous!$B$4:$B$138, 0), MATCH(R$4&amp;R$5, LS_previous!$D$2:$AY$2&amp;LS_previous!$D$3:$AY$3, 0)),SUM(VLOOKUP($A127, LS_previous!$B$4:$AY$138, LS_previous!J$149, FALSE), VLOOKUP('Staging Table'!$A127, LS_previous!$B$4:$AY$138,LS_previous!AH$149, FALSE))/2)</f>
        <v>-292</v>
      </c>
      <c r="S127" s="227">
        <f t="array" ref="S127">IF($G127=0, INDEX(LS_previous!$D$4:$AY$138, MATCH('Staging Table'!$A127, LS_previous!$B$4:$B$138, 0), MATCH(S$4&amp;S$5, LS_previous!$D$2:$AY$2&amp;LS_previous!$D$3:$AY$3, 0)),SUM(VLOOKUP($A127, LS_previous!$B$4:$AY$138, LS_previous!K$149, FALSE), VLOOKUP('Staging Table'!$A127, LS_previous!$B$4:$AY$138,LS_previous!AI$149, FALSE))/2)</f>
        <v>1107</v>
      </c>
      <c r="T127" s="227">
        <f t="array" ref="T127">IF($G127=0, INDEX(LS_previous!$D$4:$AY$138, MATCH('Staging Table'!$A127, LS_previous!$B$4:$B$138, 0), MATCH(T$4&amp;T$5, LS_previous!$D$2:$AY$2&amp;LS_previous!$D$3:$AY$3, 0)),SUM(VLOOKUP($A127, LS_previous!$B$4:$AY$138, LS_previous!L$149, FALSE), VLOOKUP('Staging Table'!$A127, LS_previous!$B$4:$AY$138,LS_previous!AJ$149, FALSE))/2)</f>
        <v>-89</v>
      </c>
      <c r="U127" s="227">
        <f t="array" ref="U127">IF($G127=0, INDEX(LS_previous!$D$4:$AY$138, MATCH('Staging Table'!$A127, LS_previous!$B$4:$B$138, 0), MATCH(U$4&amp;U$5, LS_previous!$D$2:$AY$2&amp;LS_previous!$D$3:$AY$3, 0)),SUM(VLOOKUP($A127, LS_previous!$B$4:$AY$138, LS_previous!M$149, FALSE), VLOOKUP('Staging Table'!$A127, LS_previous!$B$4:$AY$138,LS_previous!AK$149, FALSE))/2)</f>
        <v>1002</v>
      </c>
      <c r="V127" s="227">
        <f t="array" ref="V127">IF($G127=0, INDEX(LS_previous!$D$4:$AY$138, MATCH('Staging Table'!$A127, LS_previous!$B$4:$B$138, 0), MATCH(V$4&amp;V$5, LS_previous!$D$2:$AY$2&amp;LS_previous!$D$3:$AY$3, 0)),SUM(VLOOKUP($A127, LS_previous!$B$4:$AY$138, LS_previous!N$149, FALSE), VLOOKUP('Staging Table'!$A127, LS_previous!$B$4:$AY$138,LS_previous!AL$149, FALSE))/2)</f>
        <v>-1959</v>
      </c>
      <c r="W127" s="227">
        <f t="array" ref="W127">IF($G127=0, INDEX(LS_previous!$D$4:$AY$138, MATCH('Staging Table'!$A127, LS_previous!$B$4:$B$138, 0), MATCH(W$4&amp;W$5, LS_previous!$D$2:$AY$2&amp;LS_previous!$D$3:$AY$3, 0)),SUM(VLOOKUP($A127, LS_previous!$B$4:$AY$138, LS_previous!O$149, FALSE), VLOOKUP('Staging Table'!$A127, LS_previous!$B$4:$AY$138,LS_previous!AM$149, FALSE))/2)</f>
        <v>-238</v>
      </c>
      <c r="X127" s="227">
        <f t="array" ref="X127">IF($G127=0, INDEX(LS_previous!$D$4:$AY$138, MATCH('Staging Table'!$A127, LS_previous!$B$4:$B$138, 0), MATCH(X$4&amp;X$5, LS_previous!$D$2:$AY$2&amp;LS_previous!$D$3:$AY$3, 0)),SUM(VLOOKUP($A127, LS_previous!$B$4:$AY$138, LS_previous!P$149, FALSE), VLOOKUP('Staging Table'!$A127, LS_previous!$B$4:$AY$138,LS_previous!AN$149, FALSE))/2)</f>
        <v>-2245</v>
      </c>
      <c r="Y127" s="227">
        <f t="array" ref="Y127">IF($G127=0, INDEX(LS_previous!$D$4:$AY$138, MATCH('Staging Table'!$A127, LS_previous!$B$4:$B$138, 0), MATCH(Y$4&amp;Y$5, LS_previous!$D$2:$AY$2&amp;LS_previous!$D$3:$AY$3, 0)),SUM(VLOOKUP($A127, LS_previous!$B$4:$AY$138, LS_previous!Q$149, FALSE), VLOOKUP('Staging Table'!$A127, LS_previous!$B$4:$AY$138,LS_previous!AO$149, FALSE))/2)</f>
        <v>-480</v>
      </c>
      <c r="Z127" s="227">
        <f t="array" ref="Z127">IF($G127=0, INDEX(LS_previous!$D$4:$AY$138, MATCH('Staging Table'!$A127, LS_previous!$B$4:$B$138, 0), MATCH(Z$4&amp;Z$5, LS_previous!$D$2:$AY$2&amp;LS_previous!$D$3:$AY$3, 0)),SUM(VLOOKUP($A127, LS_previous!$B$4:$AY$138, LS_previous!R$149, FALSE), VLOOKUP('Staging Table'!$A127, LS_previous!$B$4:$AY$138,LS_previous!AP$149, FALSE))/2)</f>
        <v>-3247</v>
      </c>
      <c r="AA127" s="227">
        <f t="array" ref="AA127">IF($G127=0, INDEX(LS_previous!$D$4:$AY$138, MATCH('Staging Table'!$A127, LS_previous!$B$4:$B$138, 0), MATCH(AA$4&amp;AA$5, LS_previous!$D$2:$AY$2&amp;LS_previous!$D$3:$AY$3, 0)),SUM(VLOOKUP($A127, LS_previous!$B$4:$AY$138, LS_previous!S$149, FALSE), VLOOKUP('Staging Table'!$A127, LS_previous!$B$4:$AY$138,LS_previous!AQ$149, FALSE))/2)</f>
        <v>-327</v>
      </c>
      <c r="AB127" s="227">
        <f t="array" ref="AB127">IF($G127=0, INDEX(LS_previous!$D$4:$AY$138, MATCH('Staging Table'!$A127, LS_previous!$B$4:$B$138, 0), MATCH(AB$4&amp;AB$5, LS_previous!$D$2:$AY$2&amp;LS_previous!$D$3:$AY$3, 0)),SUM(VLOOKUP($A127, LS_previous!$B$4:$AY$138, LS_previous!T$149, FALSE), VLOOKUP('Staging Table'!$A127, LS_previous!$B$4:$AY$138,LS_previous!AR$149, FALSE))/2)</f>
        <v>2534</v>
      </c>
      <c r="AC127" s="227">
        <f t="array" ref="AC127">IF($G127=0, INDEX(LS_previous!$D$4:$AY$138, MATCH('Staging Table'!$A127, LS_previous!$B$4:$B$138, 0), MATCH(AC$4&amp;AC$5, LS_previous!$D$2:$AY$2&amp;LS_previous!$D$3:$AY$3, 0)),SUM(VLOOKUP($A127, LS_previous!$B$4:$AY$138, LS_previous!U$149, FALSE), VLOOKUP('Staging Table'!$A127, LS_previous!$B$4:$AY$138,LS_previous!AS$149, FALSE))/2)</f>
        <v>3351</v>
      </c>
      <c r="AD127" s="227">
        <f t="array" ref="AD127">IF($G127=0, INDEX(LS_previous!$D$4:$AY$138, MATCH('Staging Table'!$A127, LS_previous!$B$4:$B$138, 0), MATCH(AD$4&amp;AD$5, LS_previous!$D$2:$AY$2&amp;LS_previous!$D$3:$AY$3, 0)),SUM(VLOOKUP($A127, LS_previous!$B$4:$AY$138, LS_previous!V$149, FALSE), VLOOKUP('Staging Table'!$A127, LS_previous!$B$4:$AY$138,LS_previous!AT$149, FALSE))/2)</f>
        <v>5222</v>
      </c>
      <c r="AE127" s="227">
        <f t="array" ref="AE127">IF($G127=0, INDEX(LS_previous!$D$4:$AY$138, MATCH('Staging Table'!$A127, LS_previous!$B$4:$B$138, 0), MATCH(AE$4&amp;AE$5, LS_previous!$D$2:$AY$2&amp;LS_previous!$D$3:$AY$3, 0)),SUM(VLOOKUP($A127, LS_previous!$B$4:$AY$138, LS_previous!W$149, FALSE), VLOOKUP('Staging Table'!$A127, LS_previous!$B$4:$AY$138,LS_previous!AU$149, FALSE))/2)</f>
        <v>5702</v>
      </c>
      <c r="AF127" s="227">
        <f t="array" ref="AF127">IF($G127=0, INDEX(LS_previous!$D$4:$AY$138, MATCH('Staging Table'!$A127, LS_previous!$B$4:$B$138, 0), MATCH(AF$4&amp;AF$5, LS_previous!$D$2:$AY$2&amp;LS_previous!$D$3:$AY$3, 0)),SUM(VLOOKUP($A127, LS_previous!$B$4:$AY$138, LS_previous!X$149, FALSE), VLOOKUP('Staging Table'!$A127, LS_previous!$B$4:$AY$138,LS_previous!AV$149, FALSE))/2)</f>
        <v>1844</v>
      </c>
      <c r="AG127" s="227">
        <f t="array" ref="AG127">IF($G127=0, INDEX(LS_previous!$D$4:$AY$138, MATCH('Staging Table'!$A127, LS_previous!$B$4:$B$138, 0), MATCH(AG$4&amp;AG$5, LS_previous!$D$2:$AY$2&amp;LS_previous!$D$3:$AY$3, 0)),SUM(VLOOKUP($A127, LS_previous!$B$4:$AY$138, LS_previous!Y$149, FALSE), VLOOKUP('Staging Table'!$A127, LS_previous!$B$4:$AY$138,LS_previous!AW$149, FALSE))/2)</f>
        <v>2929</v>
      </c>
      <c r="AH127" s="227">
        <f t="array" ref="AH127">IF($G127=0, INDEX(LS_previous!$D$4:$AY$138, MATCH('Staging Table'!$A127, LS_previous!$B$4:$B$138, 0), MATCH(AH$4&amp;AH$5, LS_previous!$D$2:$AY$2&amp;LS_previous!$D$3:$AY$3, 0)),SUM(VLOOKUP($A127, LS_previous!$B$4:$AY$138, LS_previous!Z$149, FALSE), VLOOKUP('Staging Table'!$A127, LS_previous!$B$4:$AY$138,LS_previous!AX$149, FALSE))/2)</f>
        <v>-478</v>
      </c>
      <c r="AI127" s="227">
        <f t="array" ref="AI127">IF($G127=0, INDEX(LS_previous!$D$4:$AY$138, MATCH('Staging Table'!$A127, LS_previous!$B$4:$B$138, 0), MATCH(AI$4&amp;AI$5, LS_previous!$D$2:$AY$2&amp;LS_previous!$D$3:$AY$3, 0)),SUM(VLOOKUP($A127, LS_previous!$B$4:$AY$138, LS_previous!AA$149, FALSE), VLOOKUP('Staging Table'!$A127, LS_previous!$B$4:$AY$138,LS_previous!AY$149, FALSE))/2)</f>
        <v>1162</v>
      </c>
      <c r="AJ127" s="424">
        <f t="array" ref="AJ127">INDEX(Demand_previous!$D$4:$AY$138, MATCH('Staging Table'!$A127, Demand_previous!$B$4:$B$138, 0), MATCH(AJ$4&amp;AJ$5,Demand_previous!$D$2:$AY$2&amp;Demand_previous!$D$3:$AY$3, 0))/1000</f>
        <v>2.331</v>
      </c>
      <c r="AK127" s="424">
        <f t="array" ref="AK127">INDEX(Demand_previous!$D$4:$AY$138, MATCH('Staging Table'!$A127, Demand_previous!$B$4:$B$138, 0), MATCH(AK$4&amp;AK$5,Demand_previous!$D$2:$AY$2&amp;Demand_previous!$D$3:$AY$3, 0))/1000</f>
        <v>2.6419999999999999</v>
      </c>
      <c r="AL127" s="424">
        <f t="array" ref="AL127">INDEX(Demand_previous!$D$4:$AY$138, MATCH('Staging Table'!$A127, Demand_previous!$B$4:$B$138, 0), MATCH(AL$4&amp;AL$5,Demand_previous!$D$2:$AY$2&amp;Demand_previous!$D$3:$AY$3, 0))/1000</f>
        <v>1.907</v>
      </c>
      <c r="AM127" s="424">
        <f t="array" ref="AM127">INDEX(Demand_previous!$D$4:$AY$138, MATCH('Staging Table'!$A127, Demand_previous!$B$4:$B$138, 0), MATCH(AM$4&amp;AM$5,Demand_previous!$D$2:$AY$2&amp;Demand_previous!$D$3:$AY$3, 0))/1000</f>
        <v>4.5549999999999997</v>
      </c>
      <c r="AN127" s="424">
        <f t="array" ref="AN127">INDEX(Demand_previous!$D$4:$AY$138, MATCH('Staging Table'!$A127, Demand_previous!$B$4:$B$138, 0), MATCH(AN$4&amp;AN$5,Demand_previous!$D$2:$AY$2&amp;Demand_previous!$D$3:$AY$3, 0))/1000</f>
        <v>1.42</v>
      </c>
      <c r="AO127" s="424">
        <f t="array" ref="AO127">INDEX(Demand_previous!$D$4:$AY$138, MATCH('Staging Table'!$A127, Demand_previous!$B$4:$B$138, 0), MATCH(AO$4&amp;AO$5,Demand_previous!$D$2:$AY$2&amp;Demand_previous!$D$3:$AY$3, 0))/1000</f>
        <v>2.5139999999999998</v>
      </c>
      <c r="AP127" s="424">
        <f t="array" ref="AP127">INDEX(Demand_previous!$D$4:$AY$138, MATCH('Staging Table'!$A127, Demand_previous!$B$4:$B$138, 0), MATCH(AP$4&amp;AP$5,Demand_previous!$D$2:$AY$2&amp;Demand_previous!$D$3:$AY$3, 0))/1000</f>
        <v>3.05</v>
      </c>
      <c r="AQ127" s="424">
        <f t="array" ref="AQ127">INDEX(Demand_previous!$D$4:$AY$138, MATCH('Staging Table'!$A127, Demand_previous!$B$4:$B$138, 0), MATCH(AQ$4&amp;AQ$5,Demand_previous!$D$2:$AY$2&amp;Demand_previous!$D$3:$AY$3, 0))/1000</f>
        <v>3.9289999999999998</v>
      </c>
      <c r="AR127" s="424">
        <f t="array" ref="AR127">INDEX(Demand_previous!$D$4:$AY$138, MATCH('Staging Table'!$A127, Demand_previous!$B$4:$B$138, 0), MATCH(AR$4&amp;AR$5,Demand_previous!$D$2:$AY$2&amp;Demand_previous!$D$3:$AY$3, 0))/1000</f>
        <v>5.8819999999999997</v>
      </c>
      <c r="AS127" s="424">
        <f t="array" ref="AS127">INDEX(Demand_previous!$D$4:$AY$138, MATCH('Staging Table'!$A127, Demand_previous!$B$4:$B$138, 0), MATCH(AS$4&amp;AS$5,Demand_previous!$D$2:$AY$2&amp;Demand_previous!$D$3:$AY$3, 0))/1000</f>
        <v>4.7229999999999999</v>
      </c>
      <c r="AT127" s="424">
        <f t="array" ref="AT127">INDEX(Demand_previous!$D$4:$AY$138, MATCH('Staging Table'!$A127, Demand_previous!$B$4:$B$138, 0), MATCH(AT$4&amp;AT$5,Demand_previous!$D$2:$AY$2&amp;Demand_previous!$D$3:$AY$3, 0))/1000</f>
        <v>6.0709999999999997</v>
      </c>
      <c r="AU127" s="424">
        <f t="array" ref="AU127">INDEX(Demand_previous!$D$4:$AY$138, MATCH('Staging Table'!$A127, Demand_previous!$B$4:$B$138, 0), MATCH(AU$4&amp;AU$5,Demand_previous!$D$2:$AY$2&amp;Demand_previous!$D$3:$AY$3, 0))/1000</f>
        <v>3.28</v>
      </c>
      <c r="AV127" s="227">
        <f>$F127*(VLOOKUP(AV$4, Rates_previous!$G$6:$Q$29, 10, FALSE)+VLOOKUP(AV$4, Rates_previous!$G$6:$Q$29, 11, FALSE))</f>
        <v>12723.161268243908</v>
      </c>
      <c r="AW127" s="227">
        <f>$F127*(VLOOKUP(AW$4, Rates_previous!$G$6:$Q$29, 10, FALSE)+VLOOKUP(AW$4, Rates_previous!$G$6:$Q$29, 11, FALSE))</f>
        <v>15724.860316045973</v>
      </c>
      <c r="AX127" s="227">
        <f>$F127*(VLOOKUP(AX$4, Rates_previous!$G$6:$Q$29, 10, FALSE)+VLOOKUP(AX$4, Rates_previous!$G$6:$Q$29, 11, FALSE))</f>
        <v>15536.023551491659</v>
      </c>
      <c r="AY127" s="227">
        <f>$F127*(VLOOKUP(AY$4, Rates_previous!$G$6:$Q$29, 10, FALSE)+VLOOKUP(AY$4, Rates_previous!$G$6:$Q$29, 11, FALSE))</f>
        <v>13274.051297136661</v>
      </c>
      <c r="AZ127" s="227">
        <f>$F127*(VLOOKUP(AZ$4, Rates_previous!$G$6:$Q$29, 10, FALSE)+VLOOKUP(AZ$4, Rates_previous!$G$6:$Q$29, 11, FALSE))</f>
        <v>10882.147280684461</v>
      </c>
      <c r="BA127" s="227">
        <f>$F127*(VLOOKUP(BA$4, Rates_previous!$G$6:$Q$29, 10, FALSE)+VLOOKUP(BA$4, Rates_previous!$G$6:$Q$29, 11, FALSE))</f>
        <v>12884.067104057296</v>
      </c>
      <c r="BB127" s="227">
        <f>$F127*(VLOOKUP(BB$4, Rates_previous!$G$6:$Q$29, 10, FALSE)+VLOOKUP(BB$4, Rates_previous!$G$6:$Q$29, 11, FALSE))</f>
        <v>12383.462588896224</v>
      </c>
      <c r="BC127" s="227">
        <f>$F127*(VLOOKUP(BC$4, Rates_previous!$G$6:$Q$29, 10, FALSE)+VLOOKUP(BC$4, Rates_previous!$G$6:$Q$29, 11, FALSE))</f>
        <v>18171.855061368689</v>
      </c>
      <c r="BD127" s="227">
        <f>$F127*(VLOOKUP(BD$4, Rates_previous!$G$6:$Q$29, 10, FALSE)+VLOOKUP(BD$4, Rates_previous!$G$6:$Q$29, 11, FALSE))</f>
        <v>14337.11335543615</v>
      </c>
      <c r="BE127" s="227">
        <f>$F127*(VLOOKUP(BE$4, Rates_previous!$G$6:$Q$29, 10, FALSE)+VLOOKUP(BE$4, Rates_previous!$G$6:$Q$29, 11, FALSE))</f>
        <v>12589.188919284812</v>
      </c>
      <c r="BF127" s="227">
        <f>$F127*(VLOOKUP(BF$4, Rates_previous!$G$6:$Q$29, 10, FALSE)+VLOOKUP(BF$4, Rates_previous!$G$6:$Q$29, 11, FALSE))</f>
        <v>13943.030644546512</v>
      </c>
      <c r="BG127" s="227">
        <f>$F127*(VLOOKUP(BG$4, Rates_previous!$G$6:$Q$29, 10, FALSE)+VLOOKUP(BG$4, Rates_previous!$G$6:$Q$29, 11, FALSE))</f>
        <v>12631.831284381744</v>
      </c>
      <c r="BH127" s="229">
        <f>IF($D127=0,IF(C127=0, MAX(BK127 - (VLOOKUP($A127,TOCA_previous!$A$2:$AI$137,MATCH("RHWM 2018",TOCA_previous!$A$2:$AI$2,0),FALSE)*$F$2*TOCA_previous!C124),0),0), 0)</f>
        <v>6199.5950799600105</v>
      </c>
      <c r="BI127" s="266">
        <f>VLOOKUP($A127,REP_previous!$A$1:$D$135,MATCH("FY "&amp;$F$1&amp; " Total Refund",REP_previous!$A$1:$D$1,0),0)</f>
        <v>107637.31305250706</v>
      </c>
      <c r="BJ127" s="241">
        <f>MIN(VLOOKUP($A127,TOCA_previous!$A$2:$AI$137,MATCH("TRL - NLSL - Existing Resource "&amp;$F$1,TOCA_previous!$A$2:$AI$2,0),FALSE)*$F$2,(VLOOKUP($A127,TOCA_previous!$A$2:$AI$137,MATCH("RHWM 2018",TOCA_previous!$A$2:$AI$2,0),FALSE)*$F$2))</f>
        <v>165082.19999999998</v>
      </c>
      <c r="BK127" s="229">
        <f>SUM(L127:AI127)+(F127*RT1SC!$C$3*$F$2)</f>
        <v>171281.79507995999</v>
      </c>
      <c r="BL127" s="241">
        <f>VLOOKUP($A127,TOCA_previous!$A$2:$AI$137,MATCH("Above RHWM Not Served with LS "&amp;$F$1,TOCA_previous!$A$2:$AI$2,0),FALSE)*$F$2</f>
        <v>11326.679999999998</v>
      </c>
      <c r="BM127" s="151">
        <f t="shared" si="21"/>
        <v>6199.5950799600105</v>
      </c>
      <c r="BN127" s="242">
        <f>(VLOOKUP($A127,TOCA_previous!$A$2:$AI$137,MATCH("RHWM 2018",TOCA_previous!$A$2:$AI$2,0),FALSE)*$F$2) - $BJ127</f>
        <v>0</v>
      </c>
      <c r="BO127" s="151">
        <f t="shared" si="22"/>
        <v>0</v>
      </c>
      <c r="BP127" s="243">
        <f t="shared" si="23"/>
        <v>0</v>
      </c>
      <c r="BQ127" s="237">
        <f t="shared" si="24"/>
        <v>0</v>
      </c>
      <c r="BR127" s="242">
        <f t="shared" si="25"/>
        <v>0</v>
      </c>
      <c r="BS127" s="151">
        <f>VLOOKUP($A127,TOCA_current!$A$2:$AI$137,MATCH(BS$4,TOCA_current!$A$2:$AI$2,0),FALSE)</f>
        <v>2.7120999999999998E-3</v>
      </c>
      <c r="BT127" s="151">
        <f>VLOOKUP($A127,TOCA_current!$A$2:$AI$137,MATCH(BT$4,TOCA_current!$A$2:$AI$2,0),FALSE)</f>
        <v>2.7120999999999998E-3</v>
      </c>
      <c r="BU127" s="236">
        <f t="shared" si="26"/>
        <v>0</v>
      </c>
      <c r="BV127" s="151">
        <f>VLOOKUP($A127,TOCA_current!A123:BG258,MATCH(BV$4,TOCA_current!$A$2:$BG$2,0),FALSE)</f>
        <v>7.7503000000000002E-2</v>
      </c>
      <c r="BW127" s="151">
        <f t="shared" si="27"/>
        <v>0</v>
      </c>
      <c r="BX127" s="151">
        <f t="shared" si="28"/>
        <v>0</v>
      </c>
      <c r="BY127" s="226">
        <f>VLOOKUP($A127,IRD!$A$4:$G$139, 7, FALSE)</f>
        <v>38863.257999999994</v>
      </c>
      <c r="BZ127" s="227">
        <f t="array" ref="BZ127">IF($BU127=0, INDEX(LS_current!$D$4:$AY$138, MATCH('Staging Table'!$A127, LS_current!$B$4:$B$138, 0), MATCH(BZ$4&amp;BZ$5, LS_current!$D$2:$AY$2&amp;LS_current!$D$3:$AY$3, 0)),SUM(VLOOKUP($A127, LS_current!$B$4:$AY$138, LS_current!D$148, FALSE), VLOOKUP($A127, LS_current!$B$4:$AY$138,LS_current!D$148, FALSE))/2)</f>
        <v>-3023</v>
      </c>
      <c r="CA127" s="227">
        <f t="array" ref="CA127">IF($BU127=0, INDEX(LS_current!$D$4:$AY$138, MATCH('Staging Table'!$A127, LS_current!$B$4:$B$138, 0), MATCH(CA$4&amp;CA$5, LS_current!$D$2:$AY$2&amp;LS_current!$D$3:$AY$3, 0)),SUM(VLOOKUP($A127, LS_current!$B$4:$AY$138, LS_current!E$148, FALSE), VLOOKUP($A127, LS_current!$B$4:$AY$138,LS_current!E$148, FALSE))/2)</f>
        <v>-1031</v>
      </c>
      <c r="CB127" s="227">
        <f t="array" ref="CB127">IF($BU127=0, INDEX(LS_current!$D$4:$AY$138, MATCH('Staging Table'!$A127, LS_current!$B$4:$B$138, 0), MATCH(CB$4&amp;CB$5, LS_current!$D$2:$AY$2&amp;LS_current!$D$3:$AY$3, 0)),SUM(VLOOKUP($A127, LS_current!$B$4:$AY$138, LS_current!F$148, FALSE), VLOOKUP($A127, LS_current!$B$4:$AY$138,LS_current!F$148, FALSE))/2)</f>
        <v>-3906</v>
      </c>
      <c r="CC127" s="227">
        <f t="array" ref="CC127">IF($BU127=0, INDEX(LS_current!$D$4:$AY$138, MATCH('Staging Table'!$A127, LS_current!$B$4:$B$138, 0), MATCH(CC$4&amp;CC$5, LS_current!$D$2:$AY$2&amp;LS_current!$D$3:$AY$3, 0)),SUM(VLOOKUP($A127, LS_current!$B$4:$AY$138, LS_current!G$148, FALSE), VLOOKUP($A127, LS_current!$B$4:$AY$138,LS_current!G$148, FALSE))/2)</f>
        <v>-1220</v>
      </c>
      <c r="CD127" s="227">
        <f t="array" ref="CD127">IF($BU127=0, INDEX(LS_current!$D$4:$AY$138, MATCH('Staging Table'!$A127, LS_current!$B$4:$B$138, 0), MATCH(CD$4&amp;CD$5, LS_current!$D$2:$AY$2&amp;LS_current!$D$3:$AY$3, 0)),SUM(VLOOKUP($A127, LS_current!$B$4:$AY$138, LS_current!H$148, FALSE), VLOOKUP($A127, LS_current!$B$4:$AY$138,LS_current!H$148, FALSE))/2)</f>
        <v>-1894</v>
      </c>
      <c r="CE127" s="227">
        <f t="array" ref="CE127">IF($BU127=0, INDEX(LS_current!$D$4:$AY$138, MATCH('Staging Table'!$A127, LS_current!$B$4:$B$138, 0), MATCH(CE$4&amp;CE$5, LS_current!$D$2:$AY$2&amp;LS_current!$D$3:$AY$3, 0)),SUM(VLOOKUP($A127, LS_current!$B$4:$AY$138, LS_current!I$148, FALSE), VLOOKUP($A127, LS_current!$B$4:$AY$138,LS_current!I$148, FALSE))/2)</f>
        <v>-40</v>
      </c>
      <c r="CF127" s="227">
        <f t="array" ref="CF127">IF($BU127=0, INDEX(LS_current!$D$4:$AY$138, MATCH('Staging Table'!$A127, LS_current!$B$4:$B$138, 0), MATCH(CF$4&amp;CF$5, LS_current!$D$2:$AY$2&amp;LS_current!$D$3:$AY$3, 0)),SUM(VLOOKUP($A127, LS_current!$B$4:$AY$138, LS_current!J$148, FALSE), VLOOKUP($A127, LS_current!$B$4:$AY$138,LS_current!J$148, FALSE))/2)</f>
        <v>-635</v>
      </c>
      <c r="CG127" s="227">
        <f t="array" ref="CG127">IF($BU127=0, INDEX(LS_current!$D$4:$AY$138, MATCH('Staging Table'!$A127, LS_current!$B$4:$B$138, 0), MATCH(CG$4&amp;CG$5, LS_current!$D$2:$AY$2&amp;LS_current!$D$3:$AY$3, 0)),SUM(VLOOKUP($A127, LS_current!$B$4:$AY$138, LS_current!K$148, FALSE), VLOOKUP($A127, LS_current!$B$4:$AY$138,LS_current!K$148, FALSE))/2)</f>
        <v>1067</v>
      </c>
      <c r="CH127" s="227">
        <f t="array" ref="CH127">IF($BU127=0, INDEX(LS_current!$D$4:$AY$138, MATCH('Staging Table'!$A127, LS_current!$B$4:$B$138, 0), MATCH(CH$4&amp;CH$5, LS_current!$D$2:$AY$2&amp;LS_current!$D$3:$AY$3, 0)),SUM(VLOOKUP($A127, LS_current!$B$4:$AY$138, LS_current!L$148, FALSE), VLOOKUP($A127, LS_current!$B$4:$AY$138,LS_current!L$148, FALSE))/2)</f>
        <v>-1022</v>
      </c>
      <c r="CI127" s="227">
        <f t="array" ref="CI127">IF($BU127=0, INDEX(LS_current!$D$4:$AY$138, MATCH('Staging Table'!$A127, LS_current!$B$4:$B$138, 0), MATCH(CI$4&amp;CI$5, LS_current!$D$2:$AY$2&amp;LS_current!$D$3:$AY$3, 0)),SUM(VLOOKUP($A127, LS_current!$B$4:$AY$138, LS_current!M$148, FALSE), VLOOKUP($A127, LS_current!$B$4:$AY$138,LS_current!M$148, FALSE))/2)</f>
        <v>398</v>
      </c>
      <c r="CJ127" s="227">
        <f t="array" ref="CJ127">IF($BU127=0, INDEX(LS_current!$D$4:$AY$138, MATCH('Staging Table'!$A127, LS_current!$B$4:$B$138, 0), MATCH(CJ$4&amp;CJ$5, LS_current!$D$2:$AY$2&amp;LS_current!$D$3:$AY$3, 0)),SUM(VLOOKUP($A127, LS_current!$B$4:$AY$138, LS_current!N$148, FALSE), VLOOKUP($A127, LS_current!$B$4:$AY$138,LS_current!N$148, FALSE))/2)</f>
        <v>-2495</v>
      </c>
      <c r="CK127" s="227">
        <f t="array" ref="CK127">IF($BU127=0, INDEX(LS_current!$D$4:$AY$138, MATCH('Staging Table'!$A127, LS_current!$B$4:$B$138, 0), MATCH(CK$4&amp;CK$5, LS_current!$D$2:$AY$2&amp;LS_current!$D$3:$AY$3, 0)),SUM(VLOOKUP($A127, LS_current!$B$4:$AY$138, LS_current!O$148, FALSE), VLOOKUP($A127, LS_current!$B$4:$AY$138,LS_current!O$148, FALSE))/2)</f>
        <v>-574</v>
      </c>
      <c r="CL127" s="227">
        <f t="array" ref="CL127">IF($BU127=0, INDEX(LS_current!$D$4:$AY$138, MATCH('Staging Table'!$A127, LS_current!$B$4:$B$138, 0), MATCH(CL$4&amp;CL$5, LS_current!$D$2:$AY$2&amp;LS_current!$D$3:$AY$3, 0)),SUM(VLOOKUP($A127, LS_current!$B$4:$AY$138, LS_current!P$148, FALSE), VLOOKUP($A127, LS_current!$B$4:$AY$138,LS_current!P$148, FALSE))/2)</f>
        <v>-1376</v>
      </c>
      <c r="CM127" s="227">
        <f t="array" ref="CM127">IF($BU127=0, INDEX(LS_current!$D$4:$AY$138, MATCH('Staging Table'!$A127, LS_current!$B$4:$B$138, 0), MATCH(CM$4&amp;CM$5, LS_current!$D$2:$AY$2&amp;LS_current!$D$3:$AY$3, 0)),SUM(VLOOKUP($A127, LS_current!$B$4:$AY$138, LS_current!Q$148, FALSE), VLOOKUP($A127, LS_current!$B$4:$AY$138,LS_current!Q$148, FALSE))/2)</f>
        <v>-252</v>
      </c>
      <c r="CN127" s="227">
        <f t="array" ref="CN127">IF($BU127=0, INDEX(LS_current!$D$4:$AY$138, MATCH('Staging Table'!$A127, LS_current!$B$4:$B$138, 0), MATCH(CN$4&amp;CN$5, LS_current!$D$2:$AY$2&amp;LS_current!$D$3:$AY$3, 0)),SUM(VLOOKUP($A127, LS_current!$B$4:$AY$138, LS_current!R$148, FALSE), VLOOKUP($A127, LS_current!$B$4:$AY$138,LS_current!R$148, FALSE))/2)</f>
        <v>-1350</v>
      </c>
      <c r="CO127" s="227">
        <f t="array" ref="CO127">IF($BU127=0, INDEX(LS_current!$D$4:$AY$138, MATCH('Staging Table'!$A127, LS_current!$B$4:$B$138, 0), MATCH(CO$4&amp;CO$5, LS_current!$D$2:$AY$2&amp;LS_current!$D$3:$AY$3, 0)),SUM(VLOOKUP($A127, LS_current!$B$4:$AY$138, LS_current!S$148, FALSE), VLOOKUP($A127, LS_current!$B$4:$AY$138,LS_current!S$148, FALSE))/2)</f>
        <v>896</v>
      </c>
      <c r="CP127" s="227">
        <f t="array" ref="CP127">IF($BU127=0, INDEX(LS_current!$D$4:$AY$138, MATCH('Staging Table'!$A127, LS_current!$B$4:$B$138, 0), MATCH(CP$4&amp;CP$5, LS_current!$D$2:$AY$2&amp;LS_current!$D$3:$AY$3, 0)),SUM(VLOOKUP($A127, LS_current!$B$4:$AY$138, LS_current!T$148, FALSE), VLOOKUP($A127, LS_current!$B$4:$AY$138,LS_current!T$148, FALSE))/2)</f>
        <v>-401</v>
      </c>
      <c r="CQ127" s="227">
        <f t="array" ref="CQ127">IF($BU127=0, INDEX(LS_current!$D$4:$AY$138, MATCH('Staging Table'!$A127, LS_current!$B$4:$B$138, 0), MATCH(CQ$4&amp;CQ$5, LS_current!$D$2:$AY$2&amp;LS_current!$D$3:$AY$3, 0)),SUM(VLOOKUP($A127, LS_current!$B$4:$AY$138, LS_current!U$148, FALSE), VLOOKUP($A127, LS_current!$B$4:$AY$138,LS_current!U$148, FALSE))/2)</f>
        <v>1590</v>
      </c>
      <c r="CR127" s="227">
        <f t="array" ref="CR127">IF($BU127=0, INDEX(LS_current!$D$4:$AY$138, MATCH('Staging Table'!$A127, LS_current!$B$4:$B$138, 0), MATCH(CR$4&amp;CR$5, LS_current!$D$2:$AY$2&amp;LS_current!$D$3:$AY$3, 0)),SUM(VLOOKUP($A127, LS_current!$B$4:$AY$138, LS_current!V$148, FALSE), VLOOKUP($A127, LS_current!$B$4:$AY$138,LS_current!V$148, FALSE))/2)</f>
        <v>3139</v>
      </c>
      <c r="CS127" s="227">
        <f t="array" ref="CS127">IF($BU127=0, INDEX(LS_current!$D$4:$AY$138, MATCH('Staging Table'!$A127, LS_current!$B$4:$B$138, 0), MATCH(CS$4&amp;CS$5, LS_current!$D$2:$AY$2&amp;LS_current!$D$3:$AY$3, 0)),SUM(VLOOKUP($A127, LS_current!$B$4:$AY$138, LS_current!W$148, FALSE), VLOOKUP($A127, LS_current!$B$4:$AY$138,LS_current!W$148, FALSE))/2)</f>
        <v>5318</v>
      </c>
      <c r="CT127" s="227">
        <f t="array" ref="CT127">IF($BU127=0, INDEX(LS_current!$D$4:$AY$138, MATCH('Staging Table'!$A127, LS_current!$B$4:$B$138, 0), MATCH(CT$4&amp;CT$5, LS_current!$D$2:$AY$2&amp;LS_current!$D$3:$AY$3, 0)),SUM(VLOOKUP($A127, LS_current!$B$4:$AY$138, LS_current!X$148, FALSE), VLOOKUP($A127, LS_current!$B$4:$AY$138,LS_current!X$148, FALSE))/2)</f>
        <v>1205</v>
      </c>
      <c r="CU127" s="227">
        <f t="array" ref="CU127">IF($BU127=0, INDEX(LS_current!$D$4:$AY$138, MATCH('Staging Table'!$A127, LS_current!$B$4:$B$138, 0), MATCH(CU$4&amp;CU$5, LS_current!$D$2:$AY$2&amp;LS_current!$D$3:$AY$3, 0)),SUM(VLOOKUP($A127, LS_current!$B$4:$AY$138, LS_current!Y$148, FALSE), VLOOKUP($A127, LS_current!$B$4:$AY$138,LS_current!Y$148, FALSE))/2)</f>
        <v>2834</v>
      </c>
      <c r="CV127" s="227">
        <f t="array" ref="CV127">IF($BU127=0, INDEX(LS_current!$D$4:$AY$138, MATCH('Staging Table'!$A127, LS_current!$B$4:$B$138, 0), MATCH(CV$4&amp;CV$5, LS_current!$D$2:$AY$2&amp;LS_current!$D$3:$AY$3, 0)),SUM(VLOOKUP($A127, LS_current!$B$4:$AY$138, LS_current!Z$148, FALSE), VLOOKUP($A127, LS_current!$B$4:$AY$138,LS_current!Z$148, FALSE))/2)</f>
        <v>-842</v>
      </c>
      <c r="CW127" s="227">
        <f t="array" ref="CW127">IF($BU127=0, INDEX(LS_current!$D$4:$AY$138, MATCH('Staging Table'!$A127, LS_current!$B$4:$B$138, 0), MATCH(CW$4&amp;CW$5, LS_current!$D$2:$AY$2&amp;LS_current!$D$3:$AY$3, 0)),SUM(VLOOKUP($A127, LS_current!$B$4:$AY$138, LS_current!AA$148, FALSE), VLOOKUP($A127, LS_current!$B$4:$AY$138,LS_current!AA$148, FALSE))/2)</f>
        <v>942</v>
      </c>
      <c r="CX127" s="229">
        <f t="array" ref="CX127">INDEX(Demand_current!$D$4:$AY$138, MATCH($A127, Demand_current!$B$4:$B$138, 0), MATCH(CX$4&amp;CX$5,Demand_current!$D$2:$AY$2&amp;Demand_current!$D$3:$AY$3, 0))/1000</f>
        <v>2.867</v>
      </c>
      <c r="CY127" s="229">
        <f t="array" ref="CY127">INDEX(Demand_current!$D$4:$AY$138, MATCH($A127, Demand_current!$B$4:$B$138, 0), MATCH(CY$4&amp;CY$5,Demand_current!$D$2:$AY$2&amp;Demand_current!$D$3:$AY$3, 0))/1000</f>
        <v>2.6419999999999999</v>
      </c>
      <c r="CZ127" s="229">
        <f t="array" ref="CZ127">INDEX(Demand_current!$D$4:$AY$138, MATCH($A127, Demand_current!$B$4:$B$138, 0), MATCH(CZ$4&amp;CZ$5,Demand_current!$D$2:$AY$2&amp;Demand_current!$D$3:$AY$3, 0))/1000</f>
        <v>1.907</v>
      </c>
      <c r="DA127" s="229">
        <f t="array" ref="DA127">INDEX(Demand_current!$D$4:$AY$138, MATCH($A127, Demand_current!$B$4:$B$138, 0), MATCH(DA$4&amp;DA$5,Demand_current!$D$2:$AY$2&amp;Demand_current!$D$3:$AY$3, 0))/1000</f>
        <v>4.5549999999999997</v>
      </c>
      <c r="DB127" s="229">
        <f t="array" ref="DB127">INDEX(Demand_current!$D$4:$AY$138, MATCH($A127, Demand_current!$B$4:$B$138, 0), MATCH(DB$4&amp;DB$5,Demand_current!$D$2:$AY$2&amp;Demand_current!$D$3:$AY$3, 0))/1000</f>
        <v>2.1779999999999999</v>
      </c>
      <c r="DC127" s="229">
        <f t="array" ref="DC127">INDEX(Demand_current!$D$4:$AY$138, MATCH($A127, Demand_current!$B$4:$B$138, 0), MATCH(DC$4&amp;DC$5,Demand_current!$D$2:$AY$2&amp;Demand_current!$D$3:$AY$3, 0))/1000</f>
        <v>1.913</v>
      </c>
      <c r="DD127" s="229">
        <f t="array" ref="DD127">INDEX(Demand_current!$D$4:$AY$138, MATCH($A127, Demand_current!$B$4:$B$138, 0), MATCH(DD$4&amp;DD$5,Demand_current!$D$2:$AY$2&amp;Demand_current!$D$3:$AY$3, 0))/1000</f>
        <v>3.65</v>
      </c>
      <c r="DE127" s="229">
        <f t="array" ref="DE127">INDEX(Demand_current!$D$4:$AY$138, MATCH($A127, Demand_current!$B$4:$B$138, 0), MATCH(DE$4&amp;DE$5,Demand_current!$D$2:$AY$2&amp;Demand_current!$D$3:$AY$3, 0))/1000</f>
        <v>3.0760000000000001</v>
      </c>
      <c r="DF127" s="229">
        <f t="array" ref="DF127">INDEX(Demand_current!$D$4:$AY$138, MATCH($A127, Demand_current!$B$4:$B$138, 0), MATCH(DF$4&amp;DF$5,Demand_current!$D$2:$AY$2&amp;Demand_current!$D$3:$AY$3, 0))/1000</f>
        <v>5.8819999999999997</v>
      </c>
      <c r="DG127" s="229">
        <f t="array" ref="DG127">INDEX(Demand_current!$D$4:$AY$138, MATCH($A127, Demand_current!$B$4:$B$138, 0), MATCH(DG$4&amp;DG$5,Demand_current!$D$2:$AY$2&amp;Demand_current!$D$3:$AY$3, 0))/1000</f>
        <v>6.0659999999999998</v>
      </c>
      <c r="DH127" s="229">
        <f t="array" ref="DH127">INDEX(Demand_current!$D$4:$AY$138, MATCH($A127, Demand_current!$B$4:$B$138, 0), MATCH(DH$4&amp;DH$5,Demand_current!$D$2:$AY$2&amp;Demand_current!$D$3:$AY$3, 0))/1000</f>
        <v>5.0270000000000001</v>
      </c>
      <c r="DI127" s="229">
        <f t="array" ref="DI127">INDEX(Demand_current!$D$4:$AY$138, MATCH($A127, Demand_current!$B$4:$B$138, 0), MATCH(DI$4&amp;DI$5,Demand_current!$D$2:$AY$2&amp;Demand_current!$D$3:$AY$3, 0))/1000</f>
        <v>4.1230000000000002</v>
      </c>
      <c r="DJ127" s="227">
        <f>$BT127*(VLOOKUP(DJ$4, Rates_current!$G$6:$Q$29, 10, FALSE)+VLOOKUP(DJ$4, Rates_current!$G$6:$Q$29, 11, FALSE))</f>
        <v>12522.625967271599</v>
      </c>
      <c r="DK127" s="227">
        <f>$BT127*(VLOOKUP(DK$4, Rates_current!$G$6:$Q$29, 10, FALSE)+VLOOKUP(DK$4, Rates_current!$G$6:$Q$29, 11, FALSE))</f>
        <v>15907.641487491899</v>
      </c>
      <c r="DL127" s="227">
        <f>$BT127*(VLOOKUP(DL$4, Rates_current!$G$6:$Q$29, 10, FALSE)+VLOOKUP(DL$4, Rates_current!$G$6:$Q$29, 11, FALSE))</f>
        <v>15715.5351915716</v>
      </c>
      <c r="DM127" s="227">
        <f>$BT127*(VLOOKUP(DM$4, Rates_current!$G$6:$Q$29, 10, FALSE)+VLOOKUP(DM$4, Rates_current!$G$6:$Q$29, 11, FALSE))</f>
        <v>13099.855770771601</v>
      </c>
      <c r="DN127" s="227">
        <f>$BT127*(VLOOKUP(DN$4, Rates_current!$G$6:$Q$29, 10, FALSE)+VLOOKUP(DN$4, Rates_current!$G$6:$Q$29, 11, FALSE))</f>
        <v>11867.11032328</v>
      </c>
      <c r="DO127" s="227">
        <f>$BT127*(VLOOKUP(DO$4, Rates_current!$G$6:$Q$29, 10, FALSE)+VLOOKUP(DO$4, Rates_current!$G$6:$Q$29, 11, FALSE))</f>
        <v>13199.996648737699</v>
      </c>
      <c r="DP127" s="227">
        <f>$BT127*(VLOOKUP(DP$4, Rates_current!$G$6:$Q$29, 10, FALSE)+VLOOKUP(DP$4, Rates_current!$G$6:$Q$29, 11, FALSE))</f>
        <v>10747.451515608</v>
      </c>
      <c r="DQ127" s="227">
        <f>$BT127*(VLOOKUP(DQ$4, Rates_current!$G$6:$Q$29, 10, FALSE)+VLOOKUP(DQ$4, Rates_current!$G$6:$Q$29, 11, FALSE))</f>
        <v>14494.540991321601</v>
      </c>
      <c r="DR127" s="227">
        <f>$BT127*(VLOOKUP(DR$4, Rates_current!$G$6:$Q$29, 10, FALSE)+VLOOKUP(DR$4, Rates_current!$G$6:$Q$29, 11, FALSE))</f>
        <v>18494.048510558001</v>
      </c>
      <c r="DS127" s="227">
        <f>$BT127*(VLOOKUP(DS$4, Rates_current!$G$6:$Q$29, 10, FALSE)+VLOOKUP(DS$4, Rates_current!$G$6:$Q$29, 11, FALSE))</f>
        <v>14499.9204416716</v>
      </c>
      <c r="DT127" s="227">
        <f>$BT127*(VLOOKUP(DT$4, Rates_current!$G$6:$Q$29, 10, FALSE)+VLOOKUP(DT$4, Rates_current!$G$6:$Q$29, 11, FALSE))</f>
        <v>14120.0352386216</v>
      </c>
      <c r="DU127" s="227">
        <f>$BT127*(VLOOKUP(DU$4, Rates_current!$G$6:$Q$29, 10, FALSE)+VLOOKUP(DU$4, Rates_current!$G$6:$Q$29, 11, FALSE))</f>
        <v>12676.787925708</v>
      </c>
      <c r="DV127" s="229">
        <f>IF(D127=0,IF(C127=0,MAX(0,DY127 - (VLOOKUP($A127,TOCA_current!$A$2:$AI$137,MATCH("RHWM 2020",TOCA_current!$A$2:$AI$2,0),FALSE)*$BT$2)), 0),0)</f>
        <v>0</v>
      </c>
      <c r="DW127" s="266">
        <f>VLOOKUP($A127,REP_current!$A$1:$D$135,MATCH("FY "&amp;$BT$1&amp; " Total Refund",REP_current!$A$1:$D$1,0),0)</f>
        <v>0</v>
      </c>
      <c r="DX127" s="295">
        <f>MIN(VLOOKUP($A127,TOCA_current!$A$2:$AI$137,MATCH("TRL - NLSL - Existing Resource "&amp;$BT$1,TOCA_current!$A$2:$AI$2,0),FALSE)*$BT$2, VLOOKUP($A127,TOCA_current!$A$2:$AI$137,MATCH("RHWM 2020",TOCA_current!$A$2:$AI$2,0),FALSE)*$BT$2)</f>
        <v>167343.984</v>
      </c>
      <c r="DY127" s="240">
        <f>SUM(BZ127:CW127)+(BT127*RT1SC!$C$4*$BT$2)</f>
        <v>164673.55629383677</v>
      </c>
      <c r="DZ127" s="271">
        <f>VLOOKUP($A127,TOCA_current!$A$2:$AI$137,MATCH("Above RHWM Not Served with LS "&amp;$BT$1,TOCA_current!$A$2:$AI$2,0),FALSE)*$BT$2</f>
        <v>17936.928</v>
      </c>
      <c r="EA127" s="244">
        <f t="shared" si="29"/>
        <v>-2670.4277061632311</v>
      </c>
      <c r="EB127" s="295">
        <f>(VLOOKUP($A127,TOCA_current!$A$2:$AI$137,MATCH("RHWM 2020",TOCA_current!$A$2:$AI$2,0),FALSE)*$BT$2) - $DX127</f>
        <v>0</v>
      </c>
      <c r="EC127" s="240">
        <f t="shared" si="30"/>
        <v>0</v>
      </c>
      <c r="ED127" s="240">
        <f t="shared" si="31"/>
        <v>0</v>
      </c>
      <c r="EE127" s="240">
        <f t="shared" si="32"/>
        <v>0</v>
      </c>
      <c r="EF127" s="240">
        <f t="shared" si="33"/>
        <v>0</v>
      </c>
    </row>
    <row r="128" spans="1:136">
      <c r="A128" s="166">
        <v>10440</v>
      </c>
      <c r="B128" s="167" t="s">
        <v>129</v>
      </c>
      <c r="C128" s="240">
        <v>0</v>
      </c>
      <c r="D128" s="240">
        <v>0</v>
      </c>
      <c r="E128" s="150">
        <f>VLOOKUP($A128,TOCA_previous!$A$2:$AI$137,MATCH(E$4,TOCA_previous!$A$2:$AI$2,0),FALSE)</f>
        <v>7.0699999999999995E-4</v>
      </c>
      <c r="F128" s="151">
        <f>VLOOKUP($A128,TOCA_previous!$A$2:$AI$137,MATCH(F$4,TOCA_previous!$A$2:$AI$2,0),FALSE)</f>
        <v>7.0699999999999995E-4</v>
      </c>
      <c r="G128" s="151">
        <f t="shared" si="18"/>
        <v>0</v>
      </c>
      <c r="H128" s="151">
        <f>VLOOKUP($A128,TOCA_previous!$A$2:$AI$137,MATCH(H$4,TOCA_previous!$A$2:$AI$2,0),FALSE)</f>
        <v>5.5E-2</v>
      </c>
      <c r="I128" s="151">
        <f t="shared" si="19"/>
        <v>0</v>
      </c>
      <c r="J128" s="151">
        <f t="shared" si="20"/>
        <v>0</v>
      </c>
      <c r="K128" s="226">
        <f>VLOOKUP(A128, IRD!$A$5:$C$139, 3, FALSE)</f>
        <v>0</v>
      </c>
      <c r="L128" s="227">
        <f t="array" ref="L128">IF($G128=0, INDEX(LS_previous!$D$4:$AY$138, MATCH('Staging Table'!$A128, LS_previous!$B$4:$B$138, 0), MATCH(L$4&amp;L$5, LS_previous!$D$2:$AY$2&amp;LS_previous!$D$3:$AY$3, 0)),SUM(VLOOKUP($A128, LS_previous!$B$4:$AY$138, LS_previous!D$149, FALSE), VLOOKUP('Staging Table'!$A128, LS_previous!$B$4:$AY$138,LS_previous!AB$149, FALSE))/2)</f>
        <v>-114</v>
      </c>
      <c r="M128" s="227">
        <f t="array" ref="M128">IF($G128=0, INDEX(LS_previous!$D$4:$AY$138, MATCH('Staging Table'!$A128, LS_previous!$B$4:$B$138, 0), MATCH(M$4&amp;M$5, LS_previous!$D$2:$AY$2&amp;LS_previous!$D$3:$AY$3, 0)),SUM(VLOOKUP($A128, LS_previous!$B$4:$AY$138, LS_previous!E$149, FALSE), VLOOKUP('Staging Table'!$A128, LS_previous!$B$4:$AY$138,LS_previous!AC$149, FALSE))/2)</f>
        <v>5</v>
      </c>
      <c r="N128" s="227">
        <f t="array" ref="N128">IF($G128=0, INDEX(LS_previous!$D$4:$AY$138, MATCH('Staging Table'!$A128, LS_previous!$B$4:$B$138, 0), MATCH(N$4&amp;N$5, LS_previous!$D$2:$AY$2&amp;LS_previous!$D$3:$AY$3, 0)),SUM(VLOOKUP($A128, LS_previous!$B$4:$AY$138, LS_previous!F$149, FALSE), VLOOKUP('Staging Table'!$A128, LS_previous!$B$4:$AY$138,LS_previous!AD$149, FALSE))/2)</f>
        <v>97</v>
      </c>
      <c r="O128" s="227">
        <f t="array" ref="O128">IF($G128=0, INDEX(LS_previous!$D$4:$AY$138, MATCH('Staging Table'!$A128, LS_previous!$B$4:$B$138, 0), MATCH(O$4&amp;O$5, LS_previous!$D$2:$AY$2&amp;LS_previous!$D$3:$AY$3, 0)),SUM(VLOOKUP($A128, LS_previous!$B$4:$AY$138, LS_previous!G$149, FALSE), VLOOKUP('Staging Table'!$A128, LS_previous!$B$4:$AY$138,LS_previous!AE$149, FALSE))/2)</f>
        <v>319</v>
      </c>
      <c r="P128" s="227">
        <f t="array" ref="P128">IF($G128=0, INDEX(LS_previous!$D$4:$AY$138, MATCH('Staging Table'!$A128, LS_previous!$B$4:$B$138, 0), MATCH(P$4&amp;P$5, LS_previous!$D$2:$AY$2&amp;LS_previous!$D$3:$AY$3, 0)),SUM(VLOOKUP($A128, LS_previous!$B$4:$AY$138, LS_previous!H$149, FALSE), VLOOKUP('Staging Table'!$A128, LS_previous!$B$4:$AY$138,LS_previous!AF$149, FALSE))/2)</f>
        <v>539</v>
      </c>
      <c r="Q128" s="227">
        <f t="array" ref="Q128">IF($G128=0, INDEX(LS_previous!$D$4:$AY$138, MATCH('Staging Table'!$A128, LS_previous!$B$4:$B$138, 0), MATCH(Q$4&amp;Q$5, LS_previous!$D$2:$AY$2&amp;LS_previous!$D$3:$AY$3, 0)),SUM(VLOOKUP($A128, LS_previous!$B$4:$AY$138, LS_previous!I$149, FALSE), VLOOKUP('Staging Table'!$A128, LS_previous!$B$4:$AY$138,LS_previous!AG$149, FALSE))/2)</f>
        <v>717</v>
      </c>
      <c r="R128" s="227">
        <f t="array" ref="R128">IF($G128=0, INDEX(LS_previous!$D$4:$AY$138, MATCH('Staging Table'!$A128, LS_previous!$B$4:$B$138, 0), MATCH(R$4&amp;R$5, LS_previous!$D$2:$AY$2&amp;LS_previous!$D$3:$AY$3, 0)),SUM(VLOOKUP($A128, LS_previous!$B$4:$AY$138, LS_previous!J$149, FALSE), VLOOKUP('Staging Table'!$A128, LS_previous!$B$4:$AY$138,LS_previous!AH$149, FALSE))/2)</f>
        <v>903</v>
      </c>
      <c r="S128" s="227">
        <f t="array" ref="S128">IF($G128=0, INDEX(LS_previous!$D$4:$AY$138, MATCH('Staging Table'!$A128, LS_previous!$B$4:$B$138, 0), MATCH(S$4&amp;S$5, LS_previous!$D$2:$AY$2&amp;LS_previous!$D$3:$AY$3, 0)),SUM(VLOOKUP($A128, LS_previous!$B$4:$AY$138, LS_previous!K$149, FALSE), VLOOKUP('Staging Table'!$A128, LS_previous!$B$4:$AY$138,LS_previous!AI$149, FALSE))/2)</f>
        <v>744</v>
      </c>
      <c r="T128" s="227">
        <f t="array" ref="T128">IF($G128=0, INDEX(LS_previous!$D$4:$AY$138, MATCH('Staging Table'!$A128, LS_previous!$B$4:$B$138, 0), MATCH(T$4&amp;T$5, LS_previous!$D$2:$AY$2&amp;LS_previous!$D$3:$AY$3, 0)),SUM(VLOOKUP($A128, LS_previous!$B$4:$AY$138, LS_previous!L$149, FALSE), VLOOKUP('Staging Table'!$A128, LS_previous!$B$4:$AY$138,LS_previous!AJ$149, FALSE))/2)</f>
        <v>903</v>
      </c>
      <c r="U128" s="227">
        <f t="array" ref="U128">IF($G128=0, INDEX(LS_previous!$D$4:$AY$138, MATCH('Staging Table'!$A128, LS_previous!$B$4:$B$138, 0), MATCH(U$4&amp;U$5, LS_previous!$D$2:$AY$2&amp;LS_previous!$D$3:$AY$3, 0)),SUM(VLOOKUP($A128, LS_previous!$B$4:$AY$138, LS_previous!M$149, FALSE), VLOOKUP('Staging Table'!$A128, LS_previous!$B$4:$AY$138,LS_previous!AK$149, FALSE))/2)</f>
        <v>672</v>
      </c>
      <c r="V128" s="227">
        <f t="array" ref="V128">IF($G128=0, INDEX(LS_previous!$D$4:$AY$138, MATCH('Staging Table'!$A128, LS_previous!$B$4:$B$138, 0), MATCH(V$4&amp;V$5, LS_previous!$D$2:$AY$2&amp;LS_previous!$D$3:$AY$3, 0)),SUM(VLOOKUP($A128, LS_previous!$B$4:$AY$138, LS_previous!N$149, FALSE), VLOOKUP('Staging Table'!$A128, LS_previous!$B$4:$AY$138,LS_previous!AL$149, FALSE))/2)</f>
        <v>314</v>
      </c>
      <c r="W128" s="227">
        <f t="array" ref="W128">IF($G128=0, INDEX(LS_previous!$D$4:$AY$138, MATCH('Staging Table'!$A128, LS_previous!$B$4:$B$138, 0), MATCH(W$4&amp;W$5, LS_previous!$D$2:$AY$2&amp;LS_previous!$D$3:$AY$3, 0)),SUM(VLOOKUP($A128, LS_previous!$B$4:$AY$138, LS_previous!O$149, FALSE), VLOOKUP('Staging Table'!$A128, LS_previous!$B$4:$AY$138,LS_previous!AM$149, FALSE))/2)</f>
        <v>426</v>
      </c>
      <c r="X128" s="227">
        <f t="array" ref="X128">IF($G128=0, INDEX(LS_previous!$D$4:$AY$138, MATCH('Staging Table'!$A128, LS_previous!$B$4:$B$138, 0), MATCH(X$4&amp;X$5, LS_previous!$D$2:$AY$2&amp;LS_previous!$D$3:$AY$3, 0)),SUM(VLOOKUP($A128, LS_previous!$B$4:$AY$138, LS_previous!P$149, FALSE), VLOOKUP('Staging Table'!$A128, LS_previous!$B$4:$AY$138,LS_previous!AN$149, FALSE))/2)</f>
        <v>100</v>
      </c>
      <c r="Y128" s="227">
        <f t="array" ref="Y128">IF($G128=0, INDEX(LS_previous!$D$4:$AY$138, MATCH('Staging Table'!$A128, LS_previous!$B$4:$B$138, 0), MATCH(Y$4&amp;Y$5, LS_previous!$D$2:$AY$2&amp;LS_previous!$D$3:$AY$3, 0)),SUM(VLOOKUP($A128, LS_previous!$B$4:$AY$138, LS_previous!Q$149, FALSE), VLOOKUP('Staging Table'!$A128, LS_previous!$B$4:$AY$138,LS_previous!AO$149, FALSE))/2)</f>
        <v>197</v>
      </c>
      <c r="Z128" s="227">
        <f t="array" ref="Z128">IF($G128=0, INDEX(LS_previous!$D$4:$AY$138, MATCH('Staging Table'!$A128, LS_previous!$B$4:$B$138, 0), MATCH(Z$4&amp;Z$5, LS_previous!$D$2:$AY$2&amp;LS_previous!$D$3:$AY$3, 0)),SUM(VLOOKUP($A128, LS_previous!$B$4:$AY$138, LS_previous!R$149, FALSE), VLOOKUP('Staging Table'!$A128, LS_previous!$B$4:$AY$138,LS_previous!AP$149, FALSE))/2)</f>
        <v>-1362</v>
      </c>
      <c r="AA128" s="227">
        <f t="array" ref="AA128">IF($G128=0, INDEX(LS_previous!$D$4:$AY$138, MATCH('Staging Table'!$A128, LS_previous!$B$4:$B$138, 0), MATCH(AA$4&amp;AA$5, LS_previous!$D$2:$AY$2&amp;LS_previous!$D$3:$AY$3, 0)),SUM(VLOOKUP($A128, LS_previous!$B$4:$AY$138, LS_previous!S$149, FALSE), VLOOKUP('Staging Table'!$A128, LS_previous!$B$4:$AY$138,LS_previous!AQ$149, FALSE))/2)</f>
        <v>-528</v>
      </c>
      <c r="AB128" s="227">
        <f t="array" ref="AB128">IF($G128=0, INDEX(LS_previous!$D$4:$AY$138, MATCH('Staging Table'!$A128, LS_previous!$B$4:$B$138, 0), MATCH(AB$4&amp;AB$5, LS_previous!$D$2:$AY$2&amp;LS_previous!$D$3:$AY$3, 0)),SUM(VLOOKUP($A128, LS_previous!$B$4:$AY$138, LS_previous!T$149, FALSE), VLOOKUP('Staging Table'!$A128, LS_previous!$B$4:$AY$138,LS_previous!AR$149, FALSE))/2)</f>
        <v>-823</v>
      </c>
      <c r="AC128" s="227">
        <f t="array" ref="AC128">IF($G128=0, INDEX(LS_previous!$D$4:$AY$138, MATCH('Staging Table'!$A128, LS_previous!$B$4:$B$138, 0), MATCH(AC$4&amp;AC$5, LS_previous!$D$2:$AY$2&amp;LS_previous!$D$3:$AY$3, 0)),SUM(VLOOKUP($A128, LS_previous!$B$4:$AY$138, LS_previous!U$149, FALSE), VLOOKUP('Staging Table'!$A128, LS_previous!$B$4:$AY$138,LS_previous!AS$149, FALSE))/2)</f>
        <v>-346</v>
      </c>
      <c r="AD128" s="227">
        <f t="array" ref="AD128">IF($G128=0, INDEX(LS_previous!$D$4:$AY$138, MATCH('Staging Table'!$A128, LS_previous!$B$4:$B$138, 0), MATCH(AD$4&amp;AD$5, LS_previous!$D$2:$AY$2&amp;LS_previous!$D$3:$AY$3, 0)),SUM(VLOOKUP($A128, LS_previous!$B$4:$AY$138, LS_previous!V$149, FALSE), VLOOKUP('Staging Table'!$A128, LS_previous!$B$4:$AY$138,LS_previous!AT$149, FALSE))/2)</f>
        <v>-603</v>
      </c>
      <c r="AE128" s="227">
        <f t="array" ref="AE128">IF($G128=0, INDEX(LS_previous!$D$4:$AY$138, MATCH('Staging Table'!$A128, LS_previous!$B$4:$B$138, 0), MATCH(AE$4&amp;AE$5, LS_previous!$D$2:$AY$2&amp;LS_previous!$D$3:$AY$3, 0)),SUM(VLOOKUP($A128, LS_previous!$B$4:$AY$138, LS_previous!W$149, FALSE), VLOOKUP('Staging Table'!$A128, LS_previous!$B$4:$AY$138,LS_previous!AU$149, FALSE))/2)</f>
        <v>-183</v>
      </c>
      <c r="AF128" s="227">
        <f t="array" ref="AF128">IF($G128=0, INDEX(LS_previous!$D$4:$AY$138, MATCH('Staging Table'!$A128, LS_previous!$B$4:$B$138, 0), MATCH(AF$4&amp;AF$5, LS_previous!$D$2:$AY$2&amp;LS_previous!$D$3:$AY$3, 0)),SUM(VLOOKUP($A128, LS_previous!$B$4:$AY$138, LS_previous!X$149, FALSE), VLOOKUP('Staging Table'!$A128, LS_previous!$B$4:$AY$138,LS_previous!AV$149, FALSE))/2)</f>
        <v>-881</v>
      </c>
      <c r="AG128" s="227">
        <f t="array" ref="AG128">IF($G128=0, INDEX(LS_previous!$D$4:$AY$138, MATCH('Staging Table'!$A128, LS_previous!$B$4:$B$138, 0), MATCH(AG$4&amp;AG$5, LS_previous!$D$2:$AY$2&amp;LS_previous!$D$3:$AY$3, 0)),SUM(VLOOKUP($A128, LS_previous!$B$4:$AY$138, LS_previous!Y$149, FALSE), VLOOKUP('Staging Table'!$A128, LS_previous!$B$4:$AY$138,LS_previous!AW$149, FALSE))/2)</f>
        <v>-261</v>
      </c>
      <c r="AH128" s="227">
        <f t="array" ref="AH128">IF($G128=0, INDEX(LS_previous!$D$4:$AY$138, MATCH('Staging Table'!$A128, LS_previous!$B$4:$B$138, 0), MATCH(AH$4&amp;AH$5, LS_previous!$D$2:$AY$2&amp;LS_previous!$D$3:$AY$3, 0)),SUM(VLOOKUP($A128, LS_previous!$B$4:$AY$138, LS_previous!Z$149, FALSE), VLOOKUP('Staging Table'!$A128, LS_previous!$B$4:$AY$138,LS_previous!AX$149, FALSE))/2)</f>
        <v>-442</v>
      </c>
      <c r="AI128" s="227">
        <f t="array" ref="AI128">IF($G128=0, INDEX(LS_previous!$D$4:$AY$138, MATCH('Staging Table'!$A128, LS_previous!$B$4:$B$138, 0), MATCH(AI$4&amp;AI$5, LS_previous!$D$2:$AY$2&amp;LS_previous!$D$3:$AY$3, 0)),SUM(VLOOKUP($A128, LS_previous!$B$4:$AY$138, LS_previous!AA$149, FALSE), VLOOKUP('Staging Table'!$A128, LS_previous!$B$4:$AY$138,LS_previous!AY$149, FALSE))/2)</f>
        <v>-146</v>
      </c>
      <c r="AJ128" s="424">
        <f t="array" ref="AJ128">INDEX(Demand_previous!$D$4:$AY$138, MATCH('Staging Table'!$A128, Demand_previous!$B$4:$B$138, 0), MATCH(AJ$4&amp;AJ$5,Demand_previous!$D$2:$AY$2&amp;Demand_previous!$D$3:$AY$3, 0))/1000</f>
        <v>0.14499999999999999</v>
      </c>
      <c r="AK128" s="424">
        <f t="array" ref="AK128">INDEX(Demand_previous!$D$4:$AY$138, MATCH('Staging Table'!$A128, Demand_previous!$B$4:$B$138, 0), MATCH(AK$4&amp;AK$5,Demand_previous!$D$2:$AY$2&amp;Demand_previous!$D$3:$AY$3, 0))/1000</f>
        <v>0.82199999999999995</v>
      </c>
      <c r="AL128" s="424">
        <f t="array" ref="AL128">INDEX(Demand_previous!$D$4:$AY$138, MATCH('Staging Table'!$A128, Demand_previous!$B$4:$B$138, 0), MATCH(AL$4&amp;AL$5,Demand_previous!$D$2:$AY$2&amp;Demand_previous!$D$3:$AY$3, 0))/1000</f>
        <v>1.431</v>
      </c>
      <c r="AM128" s="424">
        <f t="array" ref="AM128">INDEX(Demand_previous!$D$4:$AY$138, MATCH('Staging Table'!$A128, Demand_previous!$B$4:$B$138, 0), MATCH(AM$4&amp;AM$5,Demand_previous!$D$2:$AY$2&amp;Demand_previous!$D$3:$AY$3, 0))/1000</f>
        <v>1.427</v>
      </c>
      <c r="AN128" s="424">
        <f t="array" ref="AN128">INDEX(Demand_previous!$D$4:$AY$138, MATCH('Staging Table'!$A128, Demand_previous!$B$4:$B$138, 0), MATCH(AN$4&amp;AN$5,Demand_previous!$D$2:$AY$2&amp;Demand_previous!$D$3:$AY$3, 0))/1000</f>
        <v>0.78500000000000003</v>
      </c>
      <c r="AO128" s="424">
        <f t="array" ref="AO128">INDEX(Demand_previous!$D$4:$AY$138, MATCH('Staging Table'!$A128, Demand_previous!$B$4:$B$138, 0), MATCH(AO$4&amp;AO$5,Demand_previous!$D$2:$AY$2&amp;Demand_previous!$D$3:$AY$3, 0))/1000</f>
        <v>1.893</v>
      </c>
      <c r="AP128" s="424">
        <f t="array" ref="AP128">INDEX(Demand_previous!$D$4:$AY$138, MATCH('Staging Table'!$A128, Demand_previous!$B$4:$B$138, 0), MATCH(AP$4&amp;AP$5,Demand_previous!$D$2:$AY$2&amp;Demand_previous!$D$3:$AY$3, 0))/1000</f>
        <v>0.64</v>
      </c>
      <c r="AQ128" s="424">
        <f t="array" ref="AQ128">INDEX(Demand_previous!$D$4:$AY$138, MATCH('Staging Table'!$A128, Demand_previous!$B$4:$B$138, 0), MATCH(AQ$4&amp;AQ$5,Demand_previous!$D$2:$AY$2&amp;Demand_previous!$D$3:$AY$3, 0))/1000</f>
        <v>0</v>
      </c>
      <c r="AR128" s="424">
        <f t="array" ref="AR128">INDEX(Demand_previous!$D$4:$AY$138, MATCH('Staging Table'!$A128, Demand_previous!$B$4:$B$138, 0), MATCH(AR$4&amp;AR$5,Demand_previous!$D$2:$AY$2&amp;Demand_previous!$D$3:$AY$3, 0))/1000</f>
        <v>7.5999999999999998E-2</v>
      </c>
      <c r="AS128" s="424">
        <f t="array" ref="AS128">INDEX(Demand_previous!$D$4:$AY$138, MATCH('Staging Table'!$A128, Demand_previous!$B$4:$B$138, 0), MATCH(AS$4&amp;AS$5,Demand_previous!$D$2:$AY$2&amp;Demand_previous!$D$3:$AY$3, 0))/1000</f>
        <v>0.25900000000000001</v>
      </c>
      <c r="AT128" s="424">
        <f t="array" ref="AT128">INDEX(Demand_previous!$D$4:$AY$138, MATCH('Staging Table'!$A128, Demand_previous!$B$4:$B$138, 0), MATCH(AT$4&amp;AT$5,Demand_previous!$D$2:$AY$2&amp;Demand_previous!$D$3:$AY$3, 0))/1000</f>
        <v>0.71099999999999997</v>
      </c>
      <c r="AU128" s="424">
        <f t="array" ref="AU128">INDEX(Demand_previous!$D$4:$AY$138, MATCH('Staging Table'!$A128, Demand_previous!$B$4:$B$138, 0), MATCH(AU$4&amp;AU$5,Demand_previous!$D$2:$AY$2&amp;Demand_previous!$D$3:$AY$3, 0))/1000</f>
        <v>0</v>
      </c>
      <c r="AV128" s="227">
        <f>$F128*(VLOOKUP(AV$4, Rates_previous!$G$6:$Q$29, 10, FALSE)+VLOOKUP(AV$4, Rates_previous!$G$6:$Q$29, 11, FALSE))</f>
        <v>3315.0082980093762</v>
      </c>
      <c r="AW128" s="227">
        <f>$F128*(VLOOKUP(AW$4, Rates_previous!$G$6:$Q$29, 10, FALSE)+VLOOKUP(AW$4, Rates_previous!$G$6:$Q$29, 11, FALSE))</f>
        <v>4097.0983023565514</v>
      </c>
      <c r="AX128" s="227">
        <f>$F128*(VLOOKUP(AX$4, Rates_previous!$G$6:$Q$29, 10, FALSE)+VLOOKUP(AX$4, Rates_previous!$G$6:$Q$29, 11, FALSE))</f>
        <v>4047.897052111517</v>
      </c>
      <c r="AY128" s="227">
        <f>$F128*(VLOOKUP(AY$4, Rates_previous!$G$6:$Q$29, 10, FALSE)+VLOOKUP(AY$4, Rates_previous!$G$6:$Q$29, 11, FALSE))</f>
        <v>3458.5422027181198</v>
      </c>
      <c r="AZ128" s="227">
        <f>$F128*(VLOOKUP(AZ$4, Rates_previous!$G$6:$Q$29, 10, FALSE)+VLOOKUP(AZ$4, Rates_previous!$G$6:$Q$29, 11, FALSE))</f>
        <v>2835.3337488276811</v>
      </c>
      <c r="BA128" s="227">
        <f>$F128*(VLOOKUP(BA$4, Rates_previous!$G$6:$Q$29, 10, FALSE)+VLOOKUP(BA$4, Rates_previous!$G$6:$Q$29, 11, FALSE))</f>
        <v>3356.9321697322671</v>
      </c>
      <c r="BB128" s="227">
        <f>$F128*(VLOOKUP(BB$4, Rates_previous!$G$6:$Q$29, 10, FALSE)+VLOOKUP(BB$4, Rates_previous!$G$6:$Q$29, 11, FALSE))</f>
        <v>3226.5001106871673</v>
      </c>
      <c r="BC128" s="227">
        <f>$F128*(VLOOKUP(BC$4, Rates_previous!$G$6:$Q$29, 10, FALSE)+VLOOKUP(BC$4, Rates_previous!$G$6:$Q$29, 11, FALSE))</f>
        <v>4734.6605964207338</v>
      </c>
      <c r="BD128" s="227">
        <f>$F128*(VLOOKUP(BD$4, Rates_previous!$G$6:$Q$29, 10, FALSE)+VLOOKUP(BD$4, Rates_previous!$G$6:$Q$29, 11, FALSE))</f>
        <v>3735.5220719710178</v>
      </c>
      <c r="BE128" s="227">
        <f>$F128*(VLOOKUP(BE$4, Rates_previous!$G$6:$Q$29, 10, FALSE)+VLOOKUP(BE$4, Rates_previous!$G$6:$Q$29, 11, FALSE))</f>
        <v>3280.1019222164587</v>
      </c>
      <c r="BF128" s="227">
        <f>$F128*(VLOOKUP(BF$4, Rates_previous!$G$6:$Q$29, 10, FALSE)+VLOOKUP(BF$4, Rates_previous!$G$6:$Q$29, 11, FALSE))</f>
        <v>3632.8441738324609</v>
      </c>
      <c r="BG128" s="227">
        <f>$F128*(VLOOKUP(BG$4, Rates_previous!$G$6:$Q$29, 10, FALSE)+VLOOKUP(BG$4, Rates_previous!$G$6:$Q$29, 11, FALSE))</f>
        <v>3291.212352333846</v>
      </c>
      <c r="BH128" s="229">
        <f>IF($D128=0,IF(C128=0, MAX(BK128 - (VLOOKUP($A128,TOCA_previous!$A$2:$AI$137,MATCH("RHWM 2018",TOCA_previous!$A$2:$AI$2,0),FALSE)*$F$2*TOCA_previous!C125),0),0), 0)</f>
        <v>115.65362871999241</v>
      </c>
      <c r="BI128" s="266">
        <f>VLOOKUP($A128,REP_previous!$A$1:$D$135,MATCH("FY "&amp;$F$1&amp; " Total Refund",REP_previous!$A$1:$D$1,0),0)</f>
        <v>60562.174017080499</v>
      </c>
      <c r="BJ128" s="241">
        <f>MIN(VLOOKUP($A128,TOCA_previous!$A$2:$AI$137,MATCH("TRL - NLSL - Existing Resource "&amp;$F$1,TOCA_previous!$A$2:$AI$2,0),FALSE)*$F$2,(VLOOKUP($A128,TOCA_previous!$A$2:$AI$137,MATCH("RHWM 2018",TOCA_previous!$A$2:$AI$2,0),FALSE)*$F$2))</f>
        <v>43011.6</v>
      </c>
      <c r="BK128" s="229">
        <f>SUM(L128:AI128)+(F128*RT1SC!$C$3*$F$2)</f>
        <v>43258.653628719992</v>
      </c>
      <c r="BL128" s="241">
        <f>VLOOKUP($A128,TOCA_previous!$A$2:$AI$137,MATCH("Above RHWM Not Served with LS "&amp;$F$1,TOCA_previous!$A$2:$AI$2,0),FALSE)*$F$2</f>
        <v>0</v>
      </c>
      <c r="BM128" s="151">
        <f t="shared" si="21"/>
        <v>247.05362871999387</v>
      </c>
      <c r="BN128" s="242">
        <f>(VLOOKUP($A128,TOCA_previous!$A$2:$AI$137,MATCH("RHWM 2018",TOCA_previous!$A$2:$AI$2,0),FALSE)*$F$2) - $BJ128</f>
        <v>131.40000000000146</v>
      </c>
      <c r="BO128" s="151">
        <f t="shared" si="22"/>
        <v>-131.40000000000146</v>
      </c>
      <c r="BP128" s="243">
        <f t="shared" si="23"/>
        <v>0</v>
      </c>
      <c r="BQ128" s="237">
        <f t="shared" si="24"/>
        <v>0</v>
      </c>
      <c r="BR128" s="242">
        <f t="shared" si="25"/>
        <v>-131.40000000000146</v>
      </c>
      <c r="BS128" s="151">
        <f>VLOOKUP($A128,TOCA_current!$A$2:$AI$137,MATCH(BS$4,TOCA_current!$A$2:$AI$2,0),FALSE)</f>
        <v>7.0109999999999997E-4</v>
      </c>
      <c r="BT128" s="151">
        <f>VLOOKUP($A128,TOCA_current!$A$2:$AI$137,MATCH(BT$4,TOCA_current!$A$2:$AI$2,0),FALSE)</f>
        <v>7.0109999999999997E-4</v>
      </c>
      <c r="BU128" s="236">
        <f t="shared" si="26"/>
        <v>0</v>
      </c>
      <c r="BV128" s="151">
        <f>VLOOKUP($A128,TOCA_current!A124:BG259,MATCH(BV$4,TOCA_current!$A$2:$BG$2,0),FALSE)</f>
        <v>5.5E-2</v>
      </c>
      <c r="BW128" s="151">
        <f t="shared" si="27"/>
        <v>0</v>
      </c>
      <c r="BX128" s="151">
        <f t="shared" si="28"/>
        <v>0</v>
      </c>
      <c r="BY128" s="226">
        <f>VLOOKUP($A128,IRD!$A$4:$G$139, 7, FALSE)</f>
        <v>0</v>
      </c>
      <c r="BZ128" s="227">
        <f t="array" ref="BZ128">IF($BU128=0, INDEX(LS_current!$D$4:$AY$138, MATCH('Staging Table'!$A128, LS_current!$B$4:$B$138, 0), MATCH(BZ$4&amp;BZ$5, LS_current!$D$2:$AY$2&amp;LS_current!$D$3:$AY$3, 0)),SUM(VLOOKUP($A128, LS_current!$B$4:$AY$138, LS_current!D$148, FALSE), VLOOKUP($A128, LS_current!$B$4:$AY$138,LS_current!D$148, FALSE))/2)</f>
        <v>-67</v>
      </c>
      <c r="CA128" s="227">
        <f t="array" ref="CA128">IF($BU128=0, INDEX(LS_current!$D$4:$AY$138, MATCH('Staging Table'!$A128, LS_current!$B$4:$B$138, 0), MATCH(CA$4&amp;CA$5, LS_current!$D$2:$AY$2&amp;LS_current!$D$3:$AY$3, 0)),SUM(VLOOKUP($A128, LS_current!$B$4:$AY$138, LS_current!E$148, FALSE), VLOOKUP($A128, LS_current!$B$4:$AY$138,LS_current!E$148, FALSE))/2)</f>
        <v>36</v>
      </c>
      <c r="CB128" s="227">
        <f t="array" ref="CB128">IF($BU128=0, INDEX(LS_current!$D$4:$AY$138, MATCH('Staging Table'!$A128, LS_current!$B$4:$B$138, 0), MATCH(CB$4&amp;CB$5, LS_current!$D$2:$AY$2&amp;LS_current!$D$3:$AY$3, 0)),SUM(VLOOKUP($A128, LS_current!$B$4:$AY$138, LS_current!F$148, FALSE), VLOOKUP($A128, LS_current!$B$4:$AY$138,LS_current!F$148, FALSE))/2)</f>
        <v>101</v>
      </c>
      <c r="CC128" s="227">
        <f t="array" ref="CC128">IF($BU128=0, INDEX(LS_current!$D$4:$AY$138, MATCH('Staging Table'!$A128, LS_current!$B$4:$B$138, 0), MATCH(CC$4&amp;CC$5, LS_current!$D$2:$AY$2&amp;LS_current!$D$3:$AY$3, 0)),SUM(VLOOKUP($A128, LS_current!$B$4:$AY$138, LS_current!G$148, FALSE), VLOOKUP($A128, LS_current!$B$4:$AY$138,LS_current!G$148, FALSE))/2)</f>
        <v>300</v>
      </c>
      <c r="CD128" s="227">
        <f t="array" ref="CD128">IF($BU128=0, INDEX(LS_current!$D$4:$AY$138, MATCH('Staging Table'!$A128, LS_current!$B$4:$B$138, 0), MATCH(CD$4&amp;CD$5, LS_current!$D$2:$AY$2&amp;LS_current!$D$3:$AY$3, 0)),SUM(VLOOKUP($A128, LS_current!$B$4:$AY$138, LS_current!H$148, FALSE), VLOOKUP($A128, LS_current!$B$4:$AY$138,LS_current!H$148, FALSE))/2)</f>
        <v>538</v>
      </c>
      <c r="CE128" s="227">
        <f t="array" ref="CE128">IF($BU128=0, INDEX(LS_current!$D$4:$AY$138, MATCH('Staging Table'!$A128, LS_current!$B$4:$B$138, 0), MATCH(CE$4&amp;CE$5, LS_current!$D$2:$AY$2&amp;LS_current!$D$3:$AY$3, 0)),SUM(VLOOKUP($A128, LS_current!$B$4:$AY$138, LS_current!I$148, FALSE), VLOOKUP($A128, LS_current!$B$4:$AY$138,LS_current!I$148, FALSE))/2)</f>
        <v>704</v>
      </c>
      <c r="CF128" s="227">
        <f t="array" ref="CF128">IF($BU128=0, INDEX(LS_current!$D$4:$AY$138, MATCH('Staging Table'!$A128, LS_current!$B$4:$B$138, 0), MATCH(CF$4&amp;CF$5, LS_current!$D$2:$AY$2&amp;LS_current!$D$3:$AY$3, 0)),SUM(VLOOKUP($A128, LS_current!$B$4:$AY$138, LS_current!J$148, FALSE), VLOOKUP($A128, LS_current!$B$4:$AY$138,LS_current!J$148, FALSE))/2)</f>
        <v>912</v>
      </c>
      <c r="CG128" s="227">
        <f t="array" ref="CG128">IF($BU128=0, INDEX(LS_current!$D$4:$AY$138, MATCH('Staging Table'!$A128, LS_current!$B$4:$B$138, 0), MATCH(CG$4&amp;CG$5, LS_current!$D$2:$AY$2&amp;LS_current!$D$3:$AY$3, 0)),SUM(VLOOKUP($A128, LS_current!$B$4:$AY$138, LS_current!K$148, FALSE), VLOOKUP($A128, LS_current!$B$4:$AY$138,LS_current!K$148, FALSE))/2)</f>
        <v>807</v>
      </c>
      <c r="CH128" s="227">
        <f t="array" ref="CH128">IF($BU128=0, INDEX(LS_current!$D$4:$AY$138, MATCH('Staging Table'!$A128, LS_current!$B$4:$B$138, 0), MATCH(CH$4&amp;CH$5, LS_current!$D$2:$AY$2&amp;LS_current!$D$3:$AY$3, 0)),SUM(VLOOKUP($A128, LS_current!$B$4:$AY$138, LS_current!L$148, FALSE), VLOOKUP($A128, LS_current!$B$4:$AY$138,LS_current!L$148, FALSE))/2)</f>
        <v>759</v>
      </c>
      <c r="CI128" s="227">
        <f t="array" ref="CI128">IF($BU128=0, INDEX(LS_current!$D$4:$AY$138, MATCH('Staging Table'!$A128, LS_current!$B$4:$B$138, 0), MATCH(CI$4&amp;CI$5, LS_current!$D$2:$AY$2&amp;LS_current!$D$3:$AY$3, 0)),SUM(VLOOKUP($A128, LS_current!$B$4:$AY$138, LS_current!M$148, FALSE), VLOOKUP($A128, LS_current!$B$4:$AY$138,LS_current!M$148, FALSE))/2)</f>
        <v>584</v>
      </c>
      <c r="CJ128" s="227">
        <f t="array" ref="CJ128">IF($BU128=0, INDEX(LS_current!$D$4:$AY$138, MATCH('Staging Table'!$A128, LS_current!$B$4:$B$138, 0), MATCH(CJ$4&amp;CJ$5, LS_current!$D$2:$AY$2&amp;LS_current!$D$3:$AY$3, 0)),SUM(VLOOKUP($A128, LS_current!$B$4:$AY$138, LS_current!N$148, FALSE), VLOOKUP($A128, LS_current!$B$4:$AY$138,LS_current!N$148, FALSE))/2)</f>
        <v>267</v>
      </c>
      <c r="CK128" s="227">
        <f t="array" ref="CK128">IF($BU128=0, INDEX(LS_current!$D$4:$AY$138, MATCH('Staging Table'!$A128, LS_current!$B$4:$B$138, 0), MATCH(CK$4&amp;CK$5, LS_current!$D$2:$AY$2&amp;LS_current!$D$3:$AY$3, 0)),SUM(VLOOKUP($A128, LS_current!$B$4:$AY$138, LS_current!O$148, FALSE), VLOOKUP($A128, LS_current!$B$4:$AY$138,LS_current!O$148, FALSE))/2)</f>
        <v>418</v>
      </c>
      <c r="CL128" s="227">
        <f t="array" ref="CL128">IF($BU128=0, INDEX(LS_current!$D$4:$AY$138, MATCH('Staging Table'!$A128, LS_current!$B$4:$B$138, 0), MATCH(CL$4&amp;CL$5, LS_current!$D$2:$AY$2&amp;LS_current!$D$3:$AY$3, 0)),SUM(VLOOKUP($A128, LS_current!$B$4:$AY$138, LS_current!P$148, FALSE), VLOOKUP($A128, LS_current!$B$4:$AY$138,LS_current!P$148, FALSE))/2)</f>
        <v>426</v>
      </c>
      <c r="CM128" s="227">
        <f t="array" ref="CM128">IF($BU128=0, INDEX(LS_current!$D$4:$AY$138, MATCH('Staging Table'!$A128, LS_current!$B$4:$B$138, 0), MATCH(CM$4&amp;CM$5, LS_current!$D$2:$AY$2&amp;LS_current!$D$3:$AY$3, 0)),SUM(VLOOKUP($A128, LS_current!$B$4:$AY$138, LS_current!Q$148, FALSE), VLOOKUP($A128, LS_current!$B$4:$AY$138,LS_current!Q$148, FALSE))/2)</f>
        <v>319</v>
      </c>
      <c r="CN128" s="227">
        <f t="array" ref="CN128">IF($BU128=0, INDEX(LS_current!$D$4:$AY$138, MATCH('Staging Table'!$A128, LS_current!$B$4:$B$138, 0), MATCH(CN$4&amp;CN$5, LS_current!$D$2:$AY$2&amp;LS_current!$D$3:$AY$3, 0)),SUM(VLOOKUP($A128, LS_current!$B$4:$AY$138, LS_current!R$148, FALSE), VLOOKUP($A128, LS_current!$B$4:$AY$138,LS_current!R$148, FALSE))/2)</f>
        <v>-776</v>
      </c>
      <c r="CO128" s="227">
        <f t="array" ref="CO128">IF($BU128=0, INDEX(LS_current!$D$4:$AY$138, MATCH('Staging Table'!$A128, LS_current!$B$4:$B$138, 0), MATCH(CO$4&amp;CO$5, LS_current!$D$2:$AY$2&amp;LS_current!$D$3:$AY$3, 0)),SUM(VLOOKUP($A128, LS_current!$B$4:$AY$138, LS_current!S$148, FALSE), VLOOKUP($A128, LS_current!$B$4:$AY$138,LS_current!S$148, FALSE))/2)</f>
        <v>-127</v>
      </c>
      <c r="CP128" s="227">
        <f t="array" ref="CP128">IF($BU128=0, INDEX(LS_current!$D$4:$AY$138, MATCH('Staging Table'!$A128, LS_current!$B$4:$B$138, 0), MATCH(CP$4&amp;CP$5, LS_current!$D$2:$AY$2&amp;LS_current!$D$3:$AY$3, 0)),SUM(VLOOKUP($A128, LS_current!$B$4:$AY$138, LS_current!T$148, FALSE), VLOOKUP($A128, LS_current!$B$4:$AY$138,LS_current!T$148, FALSE))/2)</f>
        <v>-1482</v>
      </c>
      <c r="CQ128" s="227">
        <f t="array" ref="CQ128">IF($BU128=0, INDEX(LS_current!$D$4:$AY$138, MATCH('Staging Table'!$A128, LS_current!$B$4:$B$138, 0), MATCH(CQ$4&amp;CQ$5, LS_current!$D$2:$AY$2&amp;LS_current!$D$3:$AY$3, 0)),SUM(VLOOKUP($A128, LS_current!$B$4:$AY$138, LS_current!U$148, FALSE), VLOOKUP($A128, LS_current!$B$4:$AY$138,LS_current!U$148, FALSE))/2)</f>
        <v>-733</v>
      </c>
      <c r="CR128" s="227">
        <f t="array" ref="CR128">IF($BU128=0, INDEX(LS_current!$D$4:$AY$138, MATCH('Staging Table'!$A128, LS_current!$B$4:$B$138, 0), MATCH(CR$4&amp;CR$5, LS_current!$D$2:$AY$2&amp;LS_current!$D$3:$AY$3, 0)),SUM(VLOOKUP($A128, LS_current!$B$4:$AY$138, LS_current!V$148, FALSE), VLOOKUP($A128, LS_current!$B$4:$AY$138,LS_current!V$148, FALSE))/2)</f>
        <v>-1039</v>
      </c>
      <c r="CS128" s="227">
        <f t="array" ref="CS128">IF($BU128=0, INDEX(LS_current!$D$4:$AY$138, MATCH('Staging Table'!$A128, LS_current!$B$4:$B$138, 0), MATCH(CS$4&amp;CS$5, LS_current!$D$2:$AY$2&amp;LS_current!$D$3:$AY$3, 0)),SUM(VLOOKUP($A128, LS_current!$B$4:$AY$138, LS_current!W$148, FALSE), VLOOKUP($A128, LS_current!$B$4:$AY$138,LS_current!W$148, FALSE))/2)</f>
        <v>-215</v>
      </c>
      <c r="CT128" s="227">
        <f t="array" ref="CT128">IF($BU128=0, INDEX(LS_current!$D$4:$AY$138, MATCH('Staging Table'!$A128, LS_current!$B$4:$B$138, 0), MATCH(CT$4&amp;CT$5, LS_current!$D$2:$AY$2&amp;LS_current!$D$3:$AY$3, 0)),SUM(VLOOKUP($A128, LS_current!$B$4:$AY$138, LS_current!X$148, FALSE), VLOOKUP($A128, LS_current!$B$4:$AY$138,LS_current!X$148, FALSE))/2)</f>
        <v>-951</v>
      </c>
      <c r="CU128" s="227">
        <f t="array" ref="CU128">IF($BU128=0, INDEX(LS_current!$D$4:$AY$138, MATCH('Staging Table'!$A128, LS_current!$B$4:$B$138, 0), MATCH(CU$4&amp;CU$5, LS_current!$D$2:$AY$2&amp;LS_current!$D$3:$AY$3, 0)),SUM(VLOOKUP($A128, LS_current!$B$4:$AY$138, LS_current!Y$148, FALSE), VLOOKUP($A128, LS_current!$B$4:$AY$138,LS_current!Y$148, FALSE))/2)</f>
        <v>-207</v>
      </c>
      <c r="CV128" s="227">
        <f t="array" ref="CV128">IF($BU128=0, INDEX(LS_current!$D$4:$AY$138, MATCH('Staging Table'!$A128, LS_current!$B$4:$B$138, 0), MATCH(CV$4&amp;CV$5, LS_current!$D$2:$AY$2&amp;LS_current!$D$3:$AY$3, 0)),SUM(VLOOKUP($A128, LS_current!$B$4:$AY$138, LS_current!Z$148, FALSE), VLOOKUP($A128, LS_current!$B$4:$AY$138,LS_current!Z$148, FALSE))/2)</f>
        <v>-437</v>
      </c>
      <c r="CW128" s="227">
        <f t="array" ref="CW128">IF($BU128=0, INDEX(LS_current!$D$4:$AY$138, MATCH('Staging Table'!$A128, LS_current!$B$4:$B$138, 0), MATCH(CW$4&amp;CW$5, LS_current!$D$2:$AY$2&amp;LS_current!$D$3:$AY$3, 0)),SUM(VLOOKUP($A128, LS_current!$B$4:$AY$138, LS_current!AA$148, FALSE), VLOOKUP($A128, LS_current!$B$4:$AY$138,LS_current!AA$148, FALSE))/2)</f>
        <v>-137</v>
      </c>
      <c r="CX128" s="229">
        <f t="array" ref="CX128">INDEX(Demand_current!$D$4:$AY$138, MATCH($A128, Demand_current!$B$4:$B$138, 0), MATCH(CX$4&amp;CX$5,Demand_current!$D$2:$AY$2&amp;Demand_current!$D$3:$AY$3, 0))/1000</f>
        <v>0.32700000000000001</v>
      </c>
      <c r="CY128" s="229">
        <f t="array" ref="CY128">INDEX(Demand_current!$D$4:$AY$138, MATCH($A128, Demand_current!$B$4:$B$138, 0), MATCH(CY$4&amp;CY$5,Demand_current!$D$2:$AY$2&amp;Demand_current!$D$3:$AY$3, 0))/1000</f>
        <v>0.82199999999999995</v>
      </c>
      <c r="CZ128" s="229">
        <f t="array" ref="CZ128">INDEX(Demand_current!$D$4:$AY$138, MATCH($A128, Demand_current!$B$4:$B$138, 0), MATCH(CZ$4&amp;CZ$5,Demand_current!$D$2:$AY$2&amp;Demand_current!$D$3:$AY$3, 0))/1000</f>
        <v>1.431</v>
      </c>
      <c r="DA128" s="229">
        <f t="array" ref="DA128">INDEX(Demand_current!$D$4:$AY$138, MATCH($A128, Demand_current!$B$4:$B$138, 0), MATCH(DA$4&amp;DA$5,Demand_current!$D$2:$AY$2&amp;Demand_current!$D$3:$AY$3, 0))/1000</f>
        <v>1.427</v>
      </c>
      <c r="DB128" s="229">
        <f t="array" ref="DB128">INDEX(Demand_current!$D$4:$AY$138, MATCH($A128, Demand_current!$B$4:$B$138, 0), MATCH(DB$4&amp;DB$5,Demand_current!$D$2:$AY$2&amp;Demand_current!$D$3:$AY$3, 0))/1000</f>
        <v>1.0660000000000001</v>
      </c>
      <c r="DC128" s="229">
        <f t="array" ref="DC128">INDEX(Demand_current!$D$4:$AY$138, MATCH($A128, Demand_current!$B$4:$B$138, 0), MATCH(DC$4&amp;DC$5,Demand_current!$D$2:$AY$2&amp;Demand_current!$D$3:$AY$3, 0))/1000</f>
        <v>1.6759999999999999</v>
      </c>
      <c r="DD128" s="229">
        <f t="array" ref="DD128">INDEX(Demand_current!$D$4:$AY$138, MATCH($A128, Demand_current!$B$4:$B$138, 0), MATCH(DD$4&amp;DD$5,Demand_current!$D$2:$AY$2&amp;Demand_current!$D$3:$AY$3, 0))/1000</f>
        <v>0.84899999999999998</v>
      </c>
      <c r="DE128" s="229">
        <f t="array" ref="DE128">INDEX(Demand_current!$D$4:$AY$138, MATCH($A128, Demand_current!$B$4:$B$138, 0), MATCH(DE$4&amp;DE$5,Demand_current!$D$2:$AY$2&amp;Demand_current!$D$3:$AY$3, 0))/1000</f>
        <v>0</v>
      </c>
      <c r="DF128" s="229">
        <f t="array" ref="DF128">INDEX(Demand_current!$D$4:$AY$138, MATCH($A128, Demand_current!$B$4:$B$138, 0), MATCH(DF$4&amp;DF$5,Demand_current!$D$2:$AY$2&amp;Demand_current!$D$3:$AY$3, 0))/1000</f>
        <v>7.5999999999999998E-2</v>
      </c>
      <c r="DG128" s="229">
        <f t="array" ref="DG128">INDEX(Demand_current!$D$4:$AY$138, MATCH($A128, Demand_current!$B$4:$B$138, 0), MATCH(DG$4&amp;DG$5,Demand_current!$D$2:$AY$2&amp;Demand_current!$D$3:$AY$3, 0))/1000</f>
        <v>0.40699999999999997</v>
      </c>
      <c r="DH128" s="229">
        <f t="array" ref="DH128">INDEX(Demand_current!$D$4:$AY$138, MATCH($A128, Demand_current!$B$4:$B$138, 0), MATCH(DH$4&amp;DH$5,Demand_current!$D$2:$AY$2&amp;Demand_current!$D$3:$AY$3, 0))/1000</f>
        <v>0.57299999999999995</v>
      </c>
      <c r="DI128" s="229">
        <f t="array" ref="DI128">INDEX(Demand_current!$D$4:$AY$138, MATCH($A128, Demand_current!$B$4:$B$138, 0), MATCH(DI$4&amp;DI$5,Demand_current!$D$2:$AY$2&amp;Demand_current!$D$3:$AY$3, 0))/1000</f>
        <v>0</v>
      </c>
      <c r="DJ128" s="227">
        <f>$BT128*(VLOOKUP(DJ$4, Rates_current!$G$6:$Q$29, 10, FALSE)+VLOOKUP(DJ$4, Rates_current!$G$6:$Q$29, 11, FALSE))</f>
        <v>3237.2010861155995</v>
      </c>
      <c r="DK128" s="227">
        <f>$BT128*(VLOOKUP(DK$4, Rates_current!$G$6:$Q$29, 10, FALSE)+VLOOKUP(DK$4, Rates_current!$G$6:$Q$29, 11, FALSE))</f>
        <v>4112.2552438629</v>
      </c>
      <c r="DL128" s="227">
        <f>$BT128*(VLOOKUP(DL$4, Rates_current!$G$6:$Q$29, 10, FALSE)+VLOOKUP(DL$4, Rates_current!$G$6:$Q$29, 11, FALSE))</f>
        <v>4062.5941974156003</v>
      </c>
      <c r="DM128" s="227">
        <f>$BT128*(VLOOKUP(DM$4, Rates_current!$G$6:$Q$29, 10, FALSE)+VLOOKUP(DM$4, Rates_current!$G$6:$Q$29, 11, FALSE))</f>
        <v>3386.4197046156</v>
      </c>
      <c r="DN128" s="227">
        <f>$BT128*(VLOOKUP(DN$4, Rates_current!$G$6:$Q$29, 10, FALSE)+VLOOKUP(DN$4, Rates_current!$G$6:$Q$29, 11, FALSE))</f>
        <v>3067.7449384799997</v>
      </c>
      <c r="DO128" s="227">
        <f>$BT128*(VLOOKUP(DO$4, Rates_current!$G$6:$Q$29, 10, FALSE)+VLOOKUP(DO$4, Rates_current!$G$6:$Q$29, 11, FALSE))</f>
        <v>3412.3069394306999</v>
      </c>
      <c r="DP128" s="227">
        <f>$BT128*(VLOOKUP(DP$4, Rates_current!$G$6:$Q$29, 10, FALSE)+VLOOKUP(DP$4, Rates_current!$G$6:$Q$29, 11, FALSE))</f>
        <v>2778.3039923279998</v>
      </c>
      <c r="DQ128" s="227">
        <f>$BT128*(VLOOKUP(DQ$4, Rates_current!$G$6:$Q$29, 10, FALSE)+VLOOKUP(DQ$4, Rates_current!$G$6:$Q$29, 11, FALSE))</f>
        <v>3746.9572246656003</v>
      </c>
      <c r="DR128" s="227">
        <f>$BT128*(VLOOKUP(DR$4, Rates_current!$G$6:$Q$29, 10, FALSE)+VLOOKUP(DR$4, Rates_current!$G$6:$Q$29, 11, FALSE))</f>
        <v>4780.8625827779997</v>
      </c>
      <c r="DS128" s="227">
        <f>$BT128*(VLOOKUP(DS$4, Rates_current!$G$6:$Q$29, 10, FALSE)+VLOOKUP(DS$4, Rates_current!$G$6:$Q$29, 11, FALSE))</f>
        <v>3748.3478565156001</v>
      </c>
      <c r="DT128" s="227">
        <f>$BT128*(VLOOKUP(DT$4, Rates_current!$G$6:$Q$29, 10, FALSE)+VLOOKUP(DT$4, Rates_current!$G$6:$Q$29, 11, FALSE))</f>
        <v>3650.1444289656001</v>
      </c>
      <c r="DU128" s="227">
        <f>$BT128*(VLOOKUP(DU$4, Rates_current!$G$6:$Q$29, 10, FALSE)+VLOOKUP(DU$4, Rates_current!$G$6:$Q$29, 11, FALSE))</f>
        <v>3277.0532114279999</v>
      </c>
      <c r="DV128" s="229">
        <f>IF(D128=0,IF(C128=0,MAX(0,DY128 - (VLOOKUP($A128,TOCA_current!$A$2:$AI$137,MATCH("RHWM 2020",TOCA_current!$A$2:$AI$2,0),FALSE)*$BT$2)), 0),0)</f>
        <v>0</v>
      </c>
      <c r="DW128" s="266">
        <f>VLOOKUP($A128,REP_current!$A$1:$D$135,MATCH("FY "&amp;$BT$1&amp; " Total Refund",REP_current!$A$1:$D$1,0),0)</f>
        <v>0</v>
      </c>
      <c r="DX128" s="295">
        <f>MIN(VLOOKUP($A128,TOCA_current!$A$2:$AI$137,MATCH("TRL - NLSL - Existing Resource "&amp;$BT$1,TOCA_current!$A$2:$AI$2,0),FALSE)*$BT$2, VLOOKUP($A128,TOCA_current!$A$2:$AI$137,MATCH("RHWM 2020",TOCA_current!$A$2:$AI$2,0),FALSE)*$BT$2)</f>
        <v>43261.2</v>
      </c>
      <c r="DY128" s="240">
        <f>SUM(BZ128:CW128)+(BT128*RT1SC!$C$4*$BT$2)</f>
        <v>43260.193030348797</v>
      </c>
      <c r="DZ128" s="271">
        <f>VLOOKUP($A128,TOCA_current!$A$2:$AI$137,MATCH("Above RHWM Not Served with LS "&amp;$BT$1,TOCA_current!$A$2:$AI$2,0),FALSE)*$BT$2</f>
        <v>0</v>
      </c>
      <c r="EA128" s="244">
        <f t="shared" si="29"/>
        <v>-1.0069696512000519</v>
      </c>
      <c r="EB128" s="295">
        <f>(VLOOKUP($A128,TOCA_current!$A$2:$AI$137,MATCH("RHWM 2020",TOCA_current!$A$2:$AI$2,0),FALSE)*$BT$2) - $DX128</f>
        <v>474.33600000000297</v>
      </c>
      <c r="EC128" s="240">
        <f t="shared" si="30"/>
        <v>0</v>
      </c>
      <c r="ED128" s="240">
        <f t="shared" si="31"/>
        <v>1.0069696512000519</v>
      </c>
      <c r="EE128" s="240">
        <f t="shared" si="32"/>
        <v>0</v>
      </c>
      <c r="EF128" s="240">
        <f t="shared" si="33"/>
        <v>1.0069696512000519</v>
      </c>
    </row>
    <row r="129" spans="1:136">
      <c r="A129" s="166">
        <v>10442</v>
      </c>
      <c r="B129" s="167" t="s">
        <v>130</v>
      </c>
      <c r="C129" s="240">
        <v>0</v>
      </c>
      <c r="D129" s="240">
        <v>0</v>
      </c>
      <c r="E129" s="150">
        <f>VLOOKUP($A129,TOCA_previous!$A$2:$AI$137,MATCH(E$4,TOCA_previous!$A$2:$AI$2,0),FALSE)</f>
        <v>1.8791000000000001E-3</v>
      </c>
      <c r="F129" s="151">
        <f>VLOOKUP($A129,TOCA_previous!$A$2:$AI$137,MATCH(F$4,TOCA_previous!$A$2:$AI$2,0),FALSE)</f>
        <v>1.8791000000000001E-3</v>
      </c>
      <c r="G129" s="151">
        <f t="shared" si="18"/>
        <v>0</v>
      </c>
      <c r="H129" s="151">
        <f>VLOOKUP($A129,TOCA_previous!$A$2:$AI$137,MATCH(H$4,TOCA_previous!$A$2:$AI$2,0),FALSE)</f>
        <v>7.0000000000000007E-2</v>
      </c>
      <c r="I129" s="151">
        <f t="shared" si="19"/>
        <v>0</v>
      </c>
      <c r="J129" s="151">
        <f t="shared" si="20"/>
        <v>0</v>
      </c>
      <c r="K129" s="226">
        <f>VLOOKUP(A129, IRD!$A$5:$C$139, 3, FALSE)</f>
        <v>9733.33</v>
      </c>
      <c r="L129" s="227">
        <f t="array" ref="L129">IF($G129=0, INDEX(LS_previous!$D$4:$AY$138, MATCH('Staging Table'!$A129, LS_previous!$B$4:$B$138, 0), MATCH(L$4&amp;L$5, LS_previous!$D$2:$AY$2&amp;LS_previous!$D$3:$AY$3, 0)),SUM(VLOOKUP($A129, LS_previous!$B$4:$AY$138, LS_previous!D$149, FALSE), VLOOKUP('Staging Table'!$A129, LS_previous!$B$4:$AY$138,LS_previous!AB$149, FALSE))/2)</f>
        <v>-1312</v>
      </c>
      <c r="M129" s="227">
        <f t="array" ref="M129">IF($G129=0, INDEX(LS_previous!$D$4:$AY$138, MATCH('Staging Table'!$A129, LS_previous!$B$4:$B$138, 0), MATCH(M$4&amp;M$5, LS_previous!$D$2:$AY$2&amp;LS_previous!$D$3:$AY$3, 0)),SUM(VLOOKUP($A129, LS_previous!$B$4:$AY$138, LS_previous!E$149, FALSE), VLOOKUP('Staging Table'!$A129, LS_previous!$B$4:$AY$138,LS_previous!AC$149, FALSE))/2)</f>
        <v>-227</v>
      </c>
      <c r="N129" s="227">
        <f t="array" ref="N129">IF($G129=0, INDEX(LS_previous!$D$4:$AY$138, MATCH('Staging Table'!$A129, LS_previous!$B$4:$B$138, 0), MATCH(N$4&amp;N$5, LS_previous!$D$2:$AY$2&amp;LS_previous!$D$3:$AY$3, 0)),SUM(VLOOKUP($A129, LS_previous!$B$4:$AY$138, LS_previous!F$149, FALSE), VLOOKUP('Staging Table'!$A129, LS_previous!$B$4:$AY$138,LS_previous!AD$149, FALSE))/2)</f>
        <v>-1590</v>
      </c>
      <c r="O129" s="227">
        <f t="array" ref="O129">IF($G129=0, INDEX(LS_previous!$D$4:$AY$138, MATCH('Staging Table'!$A129, LS_previous!$B$4:$B$138, 0), MATCH(O$4&amp;O$5, LS_previous!$D$2:$AY$2&amp;LS_previous!$D$3:$AY$3, 0)),SUM(VLOOKUP($A129, LS_previous!$B$4:$AY$138, LS_previous!G$149, FALSE), VLOOKUP('Staging Table'!$A129, LS_previous!$B$4:$AY$138,LS_previous!AE$149, FALSE))/2)</f>
        <v>-90</v>
      </c>
      <c r="P129" s="227">
        <f t="array" ref="P129">IF($G129=0, INDEX(LS_previous!$D$4:$AY$138, MATCH('Staging Table'!$A129, LS_previous!$B$4:$B$138, 0), MATCH(P$4&amp;P$5, LS_previous!$D$2:$AY$2&amp;LS_previous!$D$3:$AY$3, 0)),SUM(VLOOKUP($A129, LS_previous!$B$4:$AY$138, LS_previous!H$149, FALSE), VLOOKUP('Staging Table'!$A129, LS_previous!$B$4:$AY$138,LS_previous!AF$149, FALSE))/2)</f>
        <v>278</v>
      </c>
      <c r="Q129" s="227">
        <f t="array" ref="Q129">IF($G129=0, INDEX(LS_previous!$D$4:$AY$138, MATCH('Staging Table'!$A129, LS_previous!$B$4:$B$138, 0), MATCH(Q$4&amp;Q$5, LS_previous!$D$2:$AY$2&amp;LS_previous!$D$3:$AY$3, 0)),SUM(VLOOKUP($A129, LS_previous!$B$4:$AY$138, LS_previous!I$149, FALSE), VLOOKUP('Staging Table'!$A129, LS_previous!$B$4:$AY$138,LS_previous!AG$149, FALSE))/2)</f>
        <v>1501</v>
      </c>
      <c r="R129" s="227">
        <f t="array" ref="R129">IF($G129=0, INDEX(LS_previous!$D$4:$AY$138, MATCH('Staging Table'!$A129, LS_previous!$B$4:$B$138, 0), MATCH(R$4&amp;R$5, LS_previous!$D$2:$AY$2&amp;LS_previous!$D$3:$AY$3, 0)),SUM(VLOOKUP($A129, LS_previous!$B$4:$AY$138, LS_previous!J$149, FALSE), VLOOKUP('Staging Table'!$A129, LS_previous!$B$4:$AY$138,LS_previous!AH$149, FALSE))/2)</f>
        <v>947</v>
      </c>
      <c r="S129" s="227">
        <f t="array" ref="S129">IF($G129=0, INDEX(LS_previous!$D$4:$AY$138, MATCH('Staging Table'!$A129, LS_previous!$B$4:$B$138, 0), MATCH(S$4&amp;S$5, LS_previous!$D$2:$AY$2&amp;LS_previous!$D$3:$AY$3, 0)),SUM(VLOOKUP($A129, LS_previous!$B$4:$AY$138, LS_previous!K$149, FALSE), VLOOKUP('Staging Table'!$A129, LS_previous!$B$4:$AY$138,LS_previous!AI$149, FALSE))/2)</f>
        <v>1404</v>
      </c>
      <c r="T129" s="227">
        <f t="array" ref="T129">IF($G129=0, INDEX(LS_previous!$D$4:$AY$138, MATCH('Staging Table'!$A129, LS_previous!$B$4:$B$138, 0), MATCH(T$4&amp;T$5, LS_previous!$D$2:$AY$2&amp;LS_previous!$D$3:$AY$3, 0)),SUM(VLOOKUP($A129, LS_previous!$B$4:$AY$138, LS_previous!L$149, FALSE), VLOOKUP('Staging Table'!$A129, LS_previous!$B$4:$AY$138,LS_previous!AJ$149, FALSE))/2)</f>
        <v>675</v>
      </c>
      <c r="U129" s="227">
        <f t="array" ref="U129">IF($G129=0, INDEX(LS_previous!$D$4:$AY$138, MATCH('Staging Table'!$A129, LS_previous!$B$4:$B$138, 0), MATCH(U$4&amp;U$5, LS_previous!$D$2:$AY$2&amp;LS_previous!$D$3:$AY$3, 0)),SUM(VLOOKUP($A129, LS_previous!$B$4:$AY$138, LS_previous!M$149, FALSE), VLOOKUP('Staging Table'!$A129, LS_previous!$B$4:$AY$138,LS_previous!AK$149, FALSE))/2)</f>
        <v>1049</v>
      </c>
      <c r="V129" s="227">
        <f t="array" ref="V129">IF($G129=0, INDEX(LS_previous!$D$4:$AY$138, MATCH('Staging Table'!$A129, LS_previous!$B$4:$B$138, 0), MATCH(V$4&amp;V$5, LS_previous!$D$2:$AY$2&amp;LS_previous!$D$3:$AY$3, 0)),SUM(VLOOKUP($A129, LS_previous!$B$4:$AY$138, LS_previous!N$149, FALSE), VLOOKUP('Staging Table'!$A129, LS_previous!$B$4:$AY$138,LS_previous!AL$149, FALSE))/2)</f>
        <v>-1230</v>
      </c>
      <c r="W129" s="227">
        <f t="array" ref="W129">IF($G129=0, INDEX(LS_previous!$D$4:$AY$138, MATCH('Staging Table'!$A129, LS_previous!$B$4:$B$138, 0), MATCH(W$4&amp;W$5, LS_previous!$D$2:$AY$2&amp;LS_previous!$D$3:$AY$3, 0)),SUM(VLOOKUP($A129, LS_previous!$B$4:$AY$138, LS_previous!O$149, FALSE), VLOOKUP('Staging Table'!$A129, LS_previous!$B$4:$AY$138,LS_previous!AM$149, FALSE))/2)</f>
        <v>23</v>
      </c>
      <c r="X129" s="227">
        <f t="array" ref="X129">IF($G129=0, INDEX(LS_previous!$D$4:$AY$138, MATCH('Staging Table'!$A129, LS_previous!$B$4:$B$138, 0), MATCH(X$4&amp;X$5, LS_previous!$D$2:$AY$2&amp;LS_previous!$D$3:$AY$3, 0)),SUM(VLOOKUP($A129, LS_previous!$B$4:$AY$138, LS_previous!P$149, FALSE), VLOOKUP('Staging Table'!$A129, LS_previous!$B$4:$AY$138,LS_previous!AN$149, FALSE))/2)</f>
        <v>-1058</v>
      </c>
      <c r="Y129" s="227">
        <f t="array" ref="Y129">IF($G129=0, INDEX(LS_previous!$D$4:$AY$138, MATCH('Staging Table'!$A129, LS_previous!$B$4:$B$138, 0), MATCH(Y$4&amp;Y$5, LS_previous!$D$2:$AY$2&amp;LS_previous!$D$3:$AY$3, 0)),SUM(VLOOKUP($A129, LS_previous!$B$4:$AY$138, LS_previous!Q$149, FALSE), VLOOKUP('Staging Table'!$A129, LS_previous!$B$4:$AY$138,LS_previous!AO$149, FALSE))/2)</f>
        <v>-105</v>
      </c>
      <c r="Z129" s="227">
        <f t="array" ref="Z129">IF($G129=0, INDEX(LS_previous!$D$4:$AY$138, MATCH('Staging Table'!$A129, LS_previous!$B$4:$B$138, 0), MATCH(Z$4&amp;Z$5, LS_previous!$D$2:$AY$2&amp;LS_previous!$D$3:$AY$3, 0)),SUM(VLOOKUP($A129, LS_previous!$B$4:$AY$138, LS_previous!R$149, FALSE), VLOOKUP('Staging Table'!$A129, LS_previous!$B$4:$AY$138,LS_previous!AP$149, FALSE))/2)</f>
        <v>-3310</v>
      </c>
      <c r="AA129" s="227">
        <f t="array" ref="AA129">IF($G129=0, INDEX(LS_previous!$D$4:$AY$138, MATCH('Staging Table'!$A129, LS_previous!$B$4:$B$138, 0), MATCH(AA$4&amp;AA$5, LS_previous!$D$2:$AY$2&amp;LS_previous!$D$3:$AY$3, 0)),SUM(VLOOKUP($A129, LS_previous!$B$4:$AY$138, LS_previous!S$149, FALSE), VLOOKUP('Staging Table'!$A129, LS_previous!$B$4:$AY$138,LS_previous!AQ$149, FALSE))/2)</f>
        <v>-899</v>
      </c>
      <c r="AB129" s="227">
        <f t="array" ref="AB129">IF($G129=0, INDEX(LS_previous!$D$4:$AY$138, MATCH('Staging Table'!$A129, LS_previous!$B$4:$B$138, 0), MATCH(AB$4&amp;AB$5, LS_previous!$D$2:$AY$2&amp;LS_previous!$D$3:$AY$3, 0)),SUM(VLOOKUP($A129, LS_previous!$B$4:$AY$138, LS_previous!T$149, FALSE), VLOOKUP('Staging Table'!$A129, LS_previous!$B$4:$AY$138,LS_previous!AR$149, FALSE))/2)</f>
        <v>-1124</v>
      </c>
      <c r="AC129" s="227">
        <f t="array" ref="AC129">IF($G129=0, INDEX(LS_previous!$D$4:$AY$138, MATCH('Staging Table'!$A129, LS_previous!$B$4:$B$138, 0), MATCH(AC$4&amp;AC$5, LS_previous!$D$2:$AY$2&amp;LS_previous!$D$3:$AY$3, 0)),SUM(VLOOKUP($A129, LS_previous!$B$4:$AY$138, LS_previous!U$149, FALSE), VLOOKUP('Staging Table'!$A129, LS_previous!$B$4:$AY$138,LS_previous!AS$149, FALSE))/2)</f>
        <v>-78</v>
      </c>
      <c r="AD129" s="227">
        <f t="array" ref="AD129">IF($G129=0, INDEX(LS_previous!$D$4:$AY$138, MATCH('Staging Table'!$A129, LS_previous!$B$4:$B$138, 0), MATCH(AD$4&amp;AD$5, LS_previous!$D$2:$AY$2&amp;LS_previous!$D$3:$AY$3, 0)),SUM(VLOOKUP($A129, LS_previous!$B$4:$AY$138, LS_previous!V$149, FALSE), VLOOKUP('Staging Table'!$A129, LS_previous!$B$4:$AY$138,LS_previous!AT$149, FALSE))/2)</f>
        <v>780</v>
      </c>
      <c r="AE129" s="227">
        <f t="array" ref="AE129">IF($G129=0, INDEX(LS_previous!$D$4:$AY$138, MATCH('Staging Table'!$A129, LS_previous!$B$4:$B$138, 0), MATCH(AE$4&amp;AE$5, LS_previous!$D$2:$AY$2&amp;LS_previous!$D$3:$AY$3, 0)),SUM(VLOOKUP($A129, LS_previous!$B$4:$AY$138, LS_previous!W$149, FALSE), VLOOKUP('Staging Table'!$A129, LS_previous!$B$4:$AY$138,LS_previous!AU$149, FALSE))/2)</f>
        <v>1155</v>
      </c>
      <c r="AF129" s="227">
        <f t="array" ref="AF129">IF($G129=0, INDEX(LS_previous!$D$4:$AY$138, MATCH('Staging Table'!$A129, LS_previous!$B$4:$B$138, 0), MATCH(AF$4&amp;AF$5, LS_previous!$D$2:$AY$2&amp;LS_previous!$D$3:$AY$3, 0)),SUM(VLOOKUP($A129, LS_previous!$B$4:$AY$138, LS_previous!X$149, FALSE), VLOOKUP('Staging Table'!$A129, LS_previous!$B$4:$AY$138,LS_previous!AV$149, FALSE))/2)</f>
        <v>-486</v>
      </c>
      <c r="AG129" s="227">
        <f t="array" ref="AG129">IF($G129=0, INDEX(LS_previous!$D$4:$AY$138, MATCH('Staging Table'!$A129, LS_previous!$B$4:$B$138, 0), MATCH(AG$4&amp;AG$5, LS_previous!$D$2:$AY$2&amp;LS_previous!$D$3:$AY$3, 0)),SUM(VLOOKUP($A129, LS_previous!$B$4:$AY$138, LS_previous!Y$149, FALSE), VLOOKUP('Staging Table'!$A129, LS_previous!$B$4:$AY$138,LS_previous!AW$149, FALSE))/2)</f>
        <v>685</v>
      </c>
      <c r="AH129" s="227">
        <f t="array" ref="AH129">IF($G129=0, INDEX(LS_previous!$D$4:$AY$138, MATCH('Staging Table'!$A129, LS_previous!$B$4:$B$138, 0), MATCH(AH$4&amp;AH$5, LS_previous!$D$2:$AY$2&amp;LS_previous!$D$3:$AY$3, 0)),SUM(VLOOKUP($A129, LS_previous!$B$4:$AY$138, LS_previous!Z$149, FALSE), VLOOKUP('Staging Table'!$A129, LS_previous!$B$4:$AY$138,LS_previous!AX$149, FALSE))/2)</f>
        <v>-961</v>
      </c>
      <c r="AI129" s="227">
        <f t="array" ref="AI129">IF($G129=0, INDEX(LS_previous!$D$4:$AY$138, MATCH('Staging Table'!$A129, LS_previous!$B$4:$B$138, 0), MATCH(AI$4&amp;AI$5, LS_previous!$D$2:$AY$2&amp;LS_previous!$D$3:$AY$3, 0)),SUM(VLOOKUP($A129, LS_previous!$B$4:$AY$138, LS_previous!AA$149, FALSE), VLOOKUP('Staging Table'!$A129, LS_previous!$B$4:$AY$138,LS_previous!AY$149, FALSE))/2)</f>
        <v>89</v>
      </c>
      <c r="AJ129" s="424">
        <f t="array" ref="AJ129">INDEX(Demand_previous!$D$4:$AY$138, MATCH('Staging Table'!$A129, Demand_previous!$B$4:$B$138, 0), MATCH(AJ$4&amp;AJ$5,Demand_previous!$D$2:$AY$2&amp;Demand_previous!$D$3:$AY$3, 0))/1000</f>
        <v>2.3050000000000002</v>
      </c>
      <c r="AK129" s="424">
        <f t="array" ref="AK129">INDEX(Demand_previous!$D$4:$AY$138, MATCH('Staging Table'!$A129, Demand_previous!$B$4:$B$138, 0), MATCH(AK$4&amp;AK$5,Demand_previous!$D$2:$AY$2&amp;Demand_previous!$D$3:$AY$3, 0))/1000</f>
        <v>4.9059999999999997</v>
      </c>
      <c r="AL129" s="424">
        <f t="array" ref="AL129">INDEX(Demand_previous!$D$4:$AY$138, MATCH('Staging Table'!$A129, Demand_previous!$B$4:$B$138, 0), MATCH(AL$4&amp;AL$5,Demand_previous!$D$2:$AY$2&amp;Demand_previous!$D$3:$AY$3, 0))/1000</f>
        <v>5.3369999999999997</v>
      </c>
      <c r="AM129" s="424">
        <f t="array" ref="AM129">INDEX(Demand_previous!$D$4:$AY$138, MATCH('Staging Table'!$A129, Demand_previous!$B$4:$B$138, 0), MATCH(AM$4&amp;AM$5,Demand_previous!$D$2:$AY$2&amp;Demand_previous!$D$3:$AY$3, 0))/1000</f>
        <v>3.532</v>
      </c>
      <c r="AN129" s="424">
        <f t="array" ref="AN129">INDEX(Demand_previous!$D$4:$AY$138, MATCH('Staging Table'!$A129, Demand_previous!$B$4:$B$138, 0), MATCH(AN$4&amp;AN$5,Demand_previous!$D$2:$AY$2&amp;Demand_previous!$D$3:$AY$3, 0))/1000</f>
        <v>2.444</v>
      </c>
      <c r="AO129" s="424">
        <f t="array" ref="AO129">INDEX(Demand_previous!$D$4:$AY$138, MATCH('Staging Table'!$A129, Demand_previous!$B$4:$B$138, 0), MATCH(AO$4&amp;AO$5,Demand_previous!$D$2:$AY$2&amp;Demand_previous!$D$3:$AY$3, 0))/1000</f>
        <v>3.319</v>
      </c>
      <c r="AP129" s="424">
        <f t="array" ref="AP129">INDEX(Demand_previous!$D$4:$AY$138, MATCH('Staging Table'!$A129, Demand_previous!$B$4:$B$138, 0), MATCH(AP$4&amp;AP$5,Demand_previous!$D$2:$AY$2&amp;Demand_previous!$D$3:$AY$3, 0))/1000</f>
        <v>1.7130000000000001</v>
      </c>
      <c r="AQ129" s="424">
        <f t="array" ref="AQ129">INDEX(Demand_previous!$D$4:$AY$138, MATCH('Staging Table'!$A129, Demand_previous!$B$4:$B$138, 0), MATCH(AQ$4&amp;AQ$5,Demand_previous!$D$2:$AY$2&amp;Demand_previous!$D$3:$AY$3, 0))/1000</f>
        <v>2.6589999999999998</v>
      </c>
      <c r="AR129" s="424">
        <f t="array" ref="AR129">INDEX(Demand_previous!$D$4:$AY$138, MATCH('Staging Table'!$A129, Demand_previous!$B$4:$B$138, 0), MATCH(AR$4&amp;AR$5,Demand_previous!$D$2:$AY$2&amp;Demand_previous!$D$3:$AY$3, 0))/1000</f>
        <v>3.0720000000000001</v>
      </c>
      <c r="AS129" s="424">
        <f t="array" ref="AS129">INDEX(Demand_previous!$D$4:$AY$138, MATCH('Staging Table'!$A129, Demand_previous!$B$4:$B$138, 0), MATCH(AS$4&amp;AS$5,Demand_previous!$D$2:$AY$2&amp;Demand_previous!$D$3:$AY$3, 0))/1000</f>
        <v>2.4380000000000002</v>
      </c>
      <c r="AT129" s="424">
        <f t="array" ref="AT129">INDEX(Demand_previous!$D$4:$AY$138, MATCH('Staging Table'!$A129, Demand_previous!$B$4:$B$138, 0), MATCH(AT$4&amp;AT$5,Demand_previous!$D$2:$AY$2&amp;Demand_previous!$D$3:$AY$3, 0))/1000</f>
        <v>3.0979999999999999</v>
      </c>
      <c r="AU129" s="424">
        <f t="array" ref="AU129">INDEX(Demand_previous!$D$4:$AY$138, MATCH('Staging Table'!$A129, Demand_previous!$B$4:$B$138, 0), MATCH(AU$4&amp;AU$5,Demand_previous!$D$2:$AY$2&amp;Demand_previous!$D$3:$AY$3, 0))/1000</f>
        <v>0.68899999999999995</v>
      </c>
      <c r="AV129" s="227">
        <f>$F129*(VLOOKUP(AV$4, Rates_previous!$G$6:$Q$29, 10, FALSE)+VLOOKUP(AV$4, Rates_previous!$G$6:$Q$29, 11, FALSE))</f>
        <v>8810.7950393061092</v>
      </c>
      <c r="AW129" s="227">
        <f>$F129*(VLOOKUP(AW$4, Rates_previous!$G$6:$Q$29, 10, FALSE)+VLOOKUP(AW$4, Rates_previous!$G$6:$Q$29, 11, FALSE))</f>
        <v>10889.473012670716</v>
      </c>
      <c r="AX129" s="227">
        <f>$F129*(VLOOKUP(AX$4, Rates_previous!$G$6:$Q$29, 10, FALSE)+VLOOKUP(AX$4, Rates_previous!$G$6:$Q$29, 11, FALSE))</f>
        <v>10758.703466227373</v>
      </c>
      <c r="AY129" s="227">
        <f>$F129*(VLOOKUP(AY$4, Rates_previous!$G$6:$Q$29, 10, FALSE)+VLOOKUP(AY$4, Rates_previous!$G$6:$Q$29, 11, FALSE))</f>
        <v>9192.2866380871565</v>
      </c>
      <c r="AZ129" s="227">
        <f>$F129*(VLOOKUP(AZ$4, Rates_previous!$G$6:$Q$29, 10, FALSE)+VLOOKUP(AZ$4, Rates_previous!$G$6:$Q$29, 11, FALSE))</f>
        <v>7535.8920048403061</v>
      </c>
      <c r="BA129" s="227">
        <f>$F129*(VLOOKUP(BA$4, Rates_previous!$G$6:$Q$29, 10, FALSE)+VLOOKUP(BA$4, Rates_previous!$G$6:$Q$29, 11, FALSE))</f>
        <v>8922.2224047297077</v>
      </c>
      <c r="BB129" s="227">
        <f>$F129*(VLOOKUP(BB$4, Rates_previous!$G$6:$Q$29, 10, FALSE)+VLOOKUP(BB$4, Rates_previous!$G$6:$Q$29, 11, FALSE))</f>
        <v>8575.5535473723576</v>
      </c>
      <c r="BC129" s="227">
        <f>$F129*(VLOOKUP(BC$4, Rates_previous!$G$6:$Q$29, 10, FALSE)+VLOOKUP(BC$4, Rates_previous!$G$6:$Q$29, 11, FALSE))</f>
        <v>12584.018001038476</v>
      </c>
      <c r="BD129" s="227">
        <f>$F129*(VLOOKUP(BD$4, Rates_previous!$G$6:$Q$29, 10, FALSE)+VLOOKUP(BD$4, Rates_previous!$G$6:$Q$29, 11, FALSE))</f>
        <v>9928.4576031693632</v>
      </c>
      <c r="BE129" s="227">
        <f>$F129*(VLOOKUP(BE$4, Rates_previous!$G$6:$Q$29, 10, FALSE)+VLOOKUP(BE$4, Rates_previous!$G$6:$Q$29, 11, FALSE))</f>
        <v>8718.0191259362782</v>
      </c>
      <c r="BF129" s="227">
        <f>$F129*(VLOOKUP(BF$4, Rates_previous!$G$6:$Q$29, 10, FALSE)+VLOOKUP(BF$4, Rates_previous!$G$6:$Q$29, 11, FALSE))</f>
        <v>9655.5551443402801</v>
      </c>
      <c r="BG129" s="227">
        <f>$F129*(VLOOKUP(BG$4, Rates_previous!$G$6:$Q$29, 10, FALSE)+VLOOKUP(BG$4, Rates_previous!$G$6:$Q$29, 11, FALSE))</f>
        <v>8747.5489834095206</v>
      </c>
      <c r="BH129" s="229">
        <f>IF($D129=0,IF(C129=0, MAX(BK129 - (VLOOKUP($A129,TOCA_previous!$A$2:$AI$137,MATCH("RHWM 2018",TOCA_previous!$A$2:$AI$2,0),FALSE)*$F$2*TOCA_previous!C126),0),0), 0)</f>
        <v>0</v>
      </c>
      <c r="BI129" s="266">
        <f>VLOOKUP($A129,REP_previous!$A$1:$D$135,MATCH("FY "&amp;$F$1&amp; " Total Refund",REP_previous!$A$1:$D$1,0),0)</f>
        <v>74538.88887302966</v>
      </c>
      <c r="BJ129" s="241">
        <f>MIN(VLOOKUP($A129,TOCA_previous!$A$2:$AI$137,MATCH("TRL - NLSL - Existing Resource "&amp;$F$1,TOCA_previous!$A$2:$AI$2,0),FALSE)*$F$2,(VLOOKUP($A129,TOCA_previous!$A$2:$AI$137,MATCH("RHWM 2018",TOCA_previous!$A$2:$AI$2,0),FALSE)*$F$2))</f>
        <v>114318</v>
      </c>
      <c r="BK129" s="229">
        <f>SUM(L129:AI129)+(F129*RT1SC!$C$3*$F$2)</f>
        <v>110434.52663893599</v>
      </c>
      <c r="BL129" s="241">
        <f>VLOOKUP($A129,TOCA_previous!$A$2:$AI$137,MATCH("Above RHWM Not Served with LS "&amp;$F$1,TOCA_previous!$A$2:$AI$2,0),FALSE)*$F$2</f>
        <v>0</v>
      </c>
      <c r="BM129" s="151">
        <f t="shared" si="21"/>
        <v>-3883.4733610640105</v>
      </c>
      <c r="BN129" s="242">
        <f>(VLOOKUP($A129,TOCA_previous!$A$2:$AI$137,MATCH("RHWM 2018",TOCA_previous!$A$2:$AI$2,0),FALSE)*$F$2) - $BJ129</f>
        <v>1147.5599999999977</v>
      </c>
      <c r="BO129" s="151">
        <f t="shared" si="22"/>
        <v>0</v>
      </c>
      <c r="BP129" s="243">
        <f t="shared" si="23"/>
        <v>3883.4733610640105</v>
      </c>
      <c r="BQ129" s="237">
        <f t="shared" si="24"/>
        <v>0</v>
      </c>
      <c r="BR129" s="242">
        <f t="shared" si="25"/>
        <v>3883.4733610640105</v>
      </c>
      <c r="BS129" s="151">
        <f>VLOOKUP($A129,TOCA_current!$A$2:$AI$137,MATCH(BS$4,TOCA_current!$A$2:$AI$2,0),FALSE)</f>
        <v>1.7897E-3</v>
      </c>
      <c r="BT129" s="151">
        <f>VLOOKUP($A129,TOCA_current!$A$2:$AI$137,MATCH(BT$4,TOCA_current!$A$2:$AI$2,0),FALSE)</f>
        <v>1.7897E-3</v>
      </c>
      <c r="BU129" s="236">
        <f t="shared" si="26"/>
        <v>0</v>
      </c>
      <c r="BV129" s="151">
        <f>VLOOKUP($A129,TOCA_current!A125:BG260,MATCH(BV$4,TOCA_current!$A$2:$BG$2,0),FALSE)</f>
        <v>7.0000000000000007E-2</v>
      </c>
      <c r="BW129" s="151">
        <f t="shared" si="27"/>
        <v>0</v>
      </c>
      <c r="BX129" s="151">
        <f t="shared" si="28"/>
        <v>0</v>
      </c>
      <c r="BY129" s="226">
        <f>VLOOKUP($A129,IRD!$A$4:$G$139, 7, FALSE)</f>
        <v>9733.33</v>
      </c>
      <c r="BZ129" s="227">
        <f t="array" ref="BZ129">IF($BU129=0, INDEX(LS_current!$D$4:$AY$138, MATCH('Staging Table'!$A129, LS_current!$B$4:$B$138, 0), MATCH(BZ$4&amp;BZ$5, LS_current!$D$2:$AY$2&amp;LS_current!$D$3:$AY$3, 0)),SUM(VLOOKUP($A129, LS_current!$B$4:$AY$138, LS_current!D$148, FALSE), VLOOKUP($A129, LS_current!$B$4:$AY$138,LS_current!D$148, FALSE))/2)</f>
        <v>-967</v>
      </c>
      <c r="CA129" s="227">
        <f t="array" ref="CA129">IF($BU129=0, INDEX(LS_current!$D$4:$AY$138, MATCH('Staging Table'!$A129, LS_current!$B$4:$B$138, 0), MATCH(CA$4&amp;CA$5, LS_current!$D$2:$AY$2&amp;LS_current!$D$3:$AY$3, 0)),SUM(VLOOKUP($A129, LS_current!$B$4:$AY$138, LS_current!E$148, FALSE), VLOOKUP($A129, LS_current!$B$4:$AY$138,LS_current!E$148, FALSE))/2)</f>
        <v>-25</v>
      </c>
      <c r="CB129" s="227">
        <f t="array" ref="CB129">IF($BU129=0, INDEX(LS_current!$D$4:$AY$138, MATCH('Staging Table'!$A129, LS_current!$B$4:$B$138, 0), MATCH(CB$4&amp;CB$5, LS_current!$D$2:$AY$2&amp;LS_current!$D$3:$AY$3, 0)),SUM(VLOOKUP($A129, LS_current!$B$4:$AY$138, LS_current!F$148, FALSE), VLOOKUP($A129, LS_current!$B$4:$AY$138,LS_current!F$148, FALSE))/2)</f>
        <v>-1309</v>
      </c>
      <c r="CC129" s="227">
        <f t="array" ref="CC129">IF($BU129=0, INDEX(LS_current!$D$4:$AY$138, MATCH('Staging Table'!$A129, LS_current!$B$4:$B$138, 0), MATCH(CC$4&amp;CC$5, LS_current!$D$2:$AY$2&amp;LS_current!$D$3:$AY$3, 0)),SUM(VLOOKUP($A129, LS_current!$B$4:$AY$138, LS_current!G$148, FALSE), VLOOKUP($A129, LS_current!$B$4:$AY$138,LS_current!G$148, FALSE))/2)</f>
        <v>22</v>
      </c>
      <c r="CD129" s="227">
        <f t="array" ref="CD129">IF($BU129=0, INDEX(LS_current!$D$4:$AY$138, MATCH('Staging Table'!$A129, LS_current!$B$4:$B$138, 0), MATCH(CD$4&amp;CD$5, LS_current!$D$2:$AY$2&amp;LS_current!$D$3:$AY$3, 0)),SUM(VLOOKUP($A129, LS_current!$B$4:$AY$138, LS_current!H$148, FALSE), VLOOKUP($A129, LS_current!$B$4:$AY$138,LS_current!H$148, FALSE))/2)</f>
        <v>540</v>
      </c>
      <c r="CE129" s="227">
        <f t="array" ref="CE129">IF($BU129=0, INDEX(LS_current!$D$4:$AY$138, MATCH('Staging Table'!$A129, LS_current!$B$4:$B$138, 0), MATCH(CE$4&amp;CE$5, LS_current!$D$2:$AY$2&amp;LS_current!$D$3:$AY$3, 0)),SUM(VLOOKUP($A129, LS_current!$B$4:$AY$138, LS_current!I$148, FALSE), VLOOKUP($A129, LS_current!$B$4:$AY$138,LS_current!I$148, FALSE))/2)</f>
        <v>1627</v>
      </c>
      <c r="CF129" s="227">
        <f t="array" ref="CF129">IF($BU129=0, INDEX(LS_current!$D$4:$AY$138, MATCH('Staging Table'!$A129, LS_current!$B$4:$B$138, 0), MATCH(CF$4&amp;CF$5, LS_current!$D$2:$AY$2&amp;LS_current!$D$3:$AY$3, 0)),SUM(VLOOKUP($A129, LS_current!$B$4:$AY$138, LS_current!J$148, FALSE), VLOOKUP($A129, LS_current!$B$4:$AY$138,LS_current!J$148, FALSE))/2)</f>
        <v>1194</v>
      </c>
      <c r="CG129" s="227">
        <f t="array" ref="CG129">IF($BU129=0, INDEX(LS_current!$D$4:$AY$138, MATCH('Staging Table'!$A129, LS_current!$B$4:$B$138, 0), MATCH(CG$4&amp;CG$5, LS_current!$D$2:$AY$2&amp;LS_current!$D$3:$AY$3, 0)),SUM(VLOOKUP($A129, LS_current!$B$4:$AY$138, LS_current!K$148, FALSE), VLOOKUP($A129, LS_current!$B$4:$AY$138,LS_current!K$148, FALSE))/2)</f>
        <v>1706</v>
      </c>
      <c r="CH129" s="227">
        <f t="array" ref="CH129">IF($BU129=0, INDEX(LS_current!$D$4:$AY$138, MATCH('Staging Table'!$A129, LS_current!$B$4:$B$138, 0), MATCH(CH$4&amp;CH$5, LS_current!$D$2:$AY$2&amp;LS_current!$D$3:$AY$3, 0)),SUM(VLOOKUP($A129, LS_current!$B$4:$AY$138, LS_current!L$148, FALSE), VLOOKUP($A129, LS_current!$B$4:$AY$138,LS_current!L$148, FALSE))/2)</f>
        <v>494</v>
      </c>
      <c r="CI129" s="227">
        <f t="array" ref="CI129">IF($BU129=0, INDEX(LS_current!$D$4:$AY$138, MATCH('Staging Table'!$A129, LS_current!$B$4:$B$138, 0), MATCH(CI$4&amp;CI$5, LS_current!$D$2:$AY$2&amp;LS_current!$D$3:$AY$3, 0)),SUM(VLOOKUP($A129, LS_current!$B$4:$AY$138, LS_current!M$148, FALSE), VLOOKUP($A129, LS_current!$B$4:$AY$138,LS_current!M$148, FALSE))/2)</f>
        <v>934</v>
      </c>
      <c r="CJ129" s="227">
        <f t="array" ref="CJ129">IF($BU129=0, INDEX(LS_current!$D$4:$AY$138, MATCH('Staging Table'!$A129, LS_current!$B$4:$B$138, 0), MATCH(CJ$4&amp;CJ$5, LS_current!$D$2:$AY$2&amp;LS_current!$D$3:$AY$3, 0)),SUM(VLOOKUP($A129, LS_current!$B$4:$AY$138, LS_current!N$148, FALSE), VLOOKUP($A129, LS_current!$B$4:$AY$138,LS_current!N$148, FALSE))/2)</f>
        <v>-1126</v>
      </c>
      <c r="CK129" s="227">
        <f t="array" ref="CK129">IF($BU129=0, INDEX(LS_current!$D$4:$AY$138, MATCH('Staging Table'!$A129, LS_current!$B$4:$B$138, 0), MATCH(CK$4&amp;CK$5, LS_current!$D$2:$AY$2&amp;LS_current!$D$3:$AY$3, 0)),SUM(VLOOKUP($A129, LS_current!$B$4:$AY$138, LS_current!O$148, FALSE), VLOOKUP($A129, LS_current!$B$4:$AY$138,LS_current!O$148, FALSE))/2)</f>
        <v>131</v>
      </c>
      <c r="CL129" s="227">
        <f t="array" ref="CL129">IF($BU129=0, INDEX(LS_current!$D$4:$AY$138, MATCH('Staging Table'!$A129, LS_current!$B$4:$B$138, 0), MATCH(CL$4&amp;CL$5, LS_current!$D$2:$AY$2&amp;LS_current!$D$3:$AY$3, 0)),SUM(VLOOKUP($A129, LS_current!$B$4:$AY$138, LS_current!P$148, FALSE), VLOOKUP($A129, LS_current!$B$4:$AY$138,LS_current!P$148, FALSE))/2)</f>
        <v>-6</v>
      </c>
      <c r="CM129" s="227">
        <f t="array" ref="CM129">IF($BU129=0, INDEX(LS_current!$D$4:$AY$138, MATCH('Staging Table'!$A129, LS_current!$B$4:$B$138, 0), MATCH(CM$4&amp;CM$5, LS_current!$D$2:$AY$2&amp;LS_current!$D$3:$AY$3, 0)),SUM(VLOOKUP($A129, LS_current!$B$4:$AY$138, LS_current!Q$148, FALSE), VLOOKUP($A129, LS_current!$B$4:$AY$138,LS_current!Q$148, FALSE))/2)</f>
        <v>327</v>
      </c>
      <c r="CN129" s="227">
        <f t="array" ref="CN129">IF($BU129=0, INDEX(LS_current!$D$4:$AY$138, MATCH('Staging Table'!$A129, LS_current!$B$4:$B$138, 0), MATCH(CN$4&amp;CN$5, LS_current!$D$2:$AY$2&amp;LS_current!$D$3:$AY$3, 0)),SUM(VLOOKUP($A129, LS_current!$B$4:$AY$138, LS_current!R$148, FALSE), VLOOKUP($A129, LS_current!$B$4:$AY$138,LS_current!R$148, FALSE))/2)</f>
        <v>-1496</v>
      </c>
      <c r="CO129" s="227">
        <f t="array" ref="CO129">IF($BU129=0, INDEX(LS_current!$D$4:$AY$138, MATCH('Staging Table'!$A129, LS_current!$B$4:$B$138, 0), MATCH(CO$4&amp;CO$5, LS_current!$D$2:$AY$2&amp;LS_current!$D$3:$AY$3, 0)),SUM(VLOOKUP($A129, LS_current!$B$4:$AY$138, LS_current!S$148, FALSE), VLOOKUP($A129, LS_current!$B$4:$AY$138,LS_current!S$148, FALSE))/2)</f>
        <v>306</v>
      </c>
      <c r="CP129" s="227">
        <f t="array" ref="CP129">IF($BU129=0, INDEX(LS_current!$D$4:$AY$138, MATCH('Staging Table'!$A129, LS_current!$B$4:$B$138, 0), MATCH(CP$4&amp;CP$5, LS_current!$D$2:$AY$2&amp;LS_current!$D$3:$AY$3, 0)),SUM(VLOOKUP($A129, LS_current!$B$4:$AY$138, LS_current!T$148, FALSE), VLOOKUP($A129, LS_current!$B$4:$AY$138,LS_current!T$148, FALSE))/2)</f>
        <v>-2550</v>
      </c>
      <c r="CQ129" s="227">
        <f t="array" ref="CQ129">IF($BU129=0, INDEX(LS_current!$D$4:$AY$138, MATCH('Staging Table'!$A129, LS_current!$B$4:$B$138, 0), MATCH(CQ$4&amp;CQ$5, LS_current!$D$2:$AY$2&amp;LS_current!$D$3:$AY$3, 0)),SUM(VLOOKUP($A129, LS_current!$B$4:$AY$138, LS_current!U$148, FALSE), VLOOKUP($A129, LS_current!$B$4:$AY$138,LS_current!U$148, FALSE))/2)</f>
        <v>-928</v>
      </c>
      <c r="CR129" s="227">
        <f t="array" ref="CR129">IF($BU129=0, INDEX(LS_current!$D$4:$AY$138, MATCH('Staging Table'!$A129, LS_current!$B$4:$B$138, 0), MATCH(CR$4&amp;CR$5, LS_current!$D$2:$AY$2&amp;LS_current!$D$3:$AY$3, 0)),SUM(VLOOKUP($A129, LS_current!$B$4:$AY$138, LS_current!V$148, FALSE), VLOOKUP($A129, LS_current!$B$4:$AY$138,LS_current!V$148, FALSE))/2)</f>
        <v>-107</v>
      </c>
      <c r="CS129" s="227">
        <f t="array" ref="CS129">IF($BU129=0, INDEX(LS_current!$D$4:$AY$138, MATCH('Staging Table'!$A129, LS_current!$B$4:$B$138, 0), MATCH(CS$4&amp;CS$5, LS_current!$D$2:$AY$2&amp;LS_current!$D$3:$AY$3, 0)),SUM(VLOOKUP($A129, LS_current!$B$4:$AY$138, LS_current!W$148, FALSE), VLOOKUP($A129, LS_current!$B$4:$AY$138,LS_current!W$148, FALSE))/2)</f>
        <v>1192</v>
      </c>
      <c r="CT129" s="227">
        <f t="array" ref="CT129">IF($BU129=0, INDEX(LS_current!$D$4:$AY$138, MATCH('Staging Table'!$A129, LS_current!$B$4:$B$138, 0), MATCH(CT$4&amp;CT$5, LS_current!$D$2:$AY$2&amp;LS_current!$D$3:$AY$3, 0)),SUM(VLOOKUP($A129, LS_current!$B$4:$AY$138, LS_current!X$148, FALSE), VLOOKUP($A129, LS_current!$B$4:$AY$138,LS_current!X$148, FALSE))/2)</f>
        <v>-412</v>
      </c>
      <c r="CU129" s="227">
        <f t="array" ref="CU129">IF($BU129=0, INDEX(LS_current!$D$4:$AY$138, MATCH('Staging Table'!$A129, LS_current!$B$4:$B$138, 0), MATCH(CU$4&amp;CU$5, LS_current!$D$2:$AY$2&amp;LS_current!$D$3:$AY$3, 0)),SUM(VLOOKUP($A129, LS_current!$B$4:$AY$138, LS_current!Y$148, FALSE), VLOOKUP($A129, LS_current!$B$4:$AY$138,LS_current!Y$148, FALSE))/2)</f>
        <v>948</v>
      </c>
      <c r="CV129" s="227">
        <f t="array" ref="CV129">IF($BU129=0, INDEX(LS_current!$D$4:$AY$138, MATCH('Staging Table'!$A129, LS_current!$B$4:$B$138, 0), MATCH(CV$4&amp;CV$5, LS_current!$D$2:$AY$2&amp;LS_current!$D$3:$AY$3, 0)),SUM(VLOOKUP($A129, LS_current!$B$4:$AY$138, LS_current!Z$148, FALSE), VLOOKUP($A129, LS_current!$B$4:$AY$138,LS_current!Z$148, FALSE))/2)</f>
        <v>-726</v>
      </c>
      <c r="CW129" s="227">
        <f t="array" ref="CW129">IF($BU129=0, INDEX(LS_current!$D$4:$AY$138, MATCH('Staging Table'!$A129, LS_current!$B$4:$B$138, 0), MATCH(CW$4&amp;CW$5, LS_current!$D$2:$AY$2&amp;LS_current!$D$3:$AY$3, 0)),SUM(VLOOKUP($A129, LS_current!$B$4:$AY$138, LS_current!AA$148, FALSE), VLOOKUP($A129, LS_current!$B$4:$AY$138,LS_current!AA$148, FALSE))/2)</f>
        <v>237</v>
      </c>
      <c r="CX129" s="229">
        <f t="array" ref="CX129">INDEX(Demand_current!$D$4:$AY$138, MATCH($A129, Demand_current!$B$4:$B$138, 0), MATCH(CX$4&amp;CX$5,Demand_current!$D$2:$AY$2&amp;Demand_current!$D$3:$AY$3, 0))/1000</f>
        <v>2.698</v>
      </c>
      <c r="CY129" s="229">
        <f t="array" ref="CY129">INDEX(Demand_current!$D$4:$AY$138, MATCH($A129, Demand_current!$B$4:$B$138, 0), MATCH(CY$4&amp;CY$5,Demand_current!$D$2:$AY$2&amp;Demand_current!$D$3:$AY$3, 0))/1000</f>
        <v>4.9059999999999997</v>
      </c>
      <c r="CZ129" s="229">
        <f t="array" ref="CZ129">INDEX(Demand_current!$D$4:$AY$138, MATCH($A129, Demand_current!$B$4:$B$138, 0), MATCH(CZ$4&amp;CZ$5,Demand_current!$D$2:$AY$2&amp;Demand_current!$D$3:$AY$3, 0))/1000</f>
        <v>5.3369999999999997</v>
      </c>
      <c r="DA129" s="229">
        <f t="array" ref="DA129">INDEX(Demand_current!$D$4:$AY$138, MATCH($A129, Demand_current!$B$4:$B$138, 0), MATCH(DA$4&amp;DA$5,Demand_current!$D$2:$AY$2&amp;Demand_current!$D$3:$AY$3, 0))/1000</f>
        <v>3.532</v>
      </c>
      <c r="DB129" s="229">
        <f t="array" ref="DB129">INDEX(Demand_current!$D$4:$AY$138, MATCH($A129, Demand_current!$B$4:$B$138, 0), MATCH(DB$4&amp;DB$5,Demand_current!$D$2:$AY$2&amp;Demand_current!$D$3:$AY$3, 0))/1000</f>
        <v>3.01</v>
      </c>
      <c r="DC129" s="229">
        <f t="array" ref="DC129">INDEX(Demand_current!$D$4:$AY$138, MATCH($A129, Demand_current!$B$4:$B$138, 0), MATCH(DC$4&amp;DC$5,Demand_current!$D$2:$AY$2&amp;Demand_current!$D$3:$AY$3, 0))/1000</f>
        <v>2.9260000000000002</v>
      </c>
      <c r="DD129" s="229">
        <f t="array" ref="DD129">INDEX(Demand_current!$D$4:$AY$138, MATCH($A129, Demand_current!$B$4:$B$138, 0), MATCH(DD$4&amp;DD$5,Demand_current!$D$2:$AY$2&amp;Demand_current!$D$3:$AY$3, 0))/1000</f>
        <v>2.141</v>
      </c>
      <c r="DE129" s="229">
        <f t="array" ref="DE129">INDEX(Demand_current!$D$4:$AY$138, MATCH($A129, Demand_current!$B$4:$B$138, 0), MATCH(DE$4&amp;DE$5,Demand_current!$D$2:$AY$2&amp;Demand_current!$D$3:$AY$3, 0))/1000</f>
        <v>2.206</v>
      </c>
      <c r="DF129" s="229">
        <f t="array" ref="DF129">INDEX(Demand_current!$D$4:$AY$138, MATCH($A129, Demand_current!$B$4:$B$138, 0), MATCH(DF$4&amp;DF$5,Demand_current!$D$2:$AY$2&amp;Demand_current!$D$3:$AY$3, 0))/1000</f>
        <v>3.0720000000000001</v>
      </c>
      <c r="DG129" s="229">
        <f t="array" ref="DG129">INDEX(Demand_current!$D$4:$AY$138, MATCH($A129, Demand_current!$B$4:$B$138, 0), MATCH(DG$4&amp;DG$5,Demand_current!$D$2:$AY$2&amp;Demand_current!$D$3:$AY$3, 0))/1000</f>
        <v>3.0609999999999999</v>
      </c>
      <c r="DH129" s="229">
        <f t="array" ref="DH129">INDEX(Demand_current!$D$4:$AY$138, MATCH($A129, Demand_current!$B$4:$B$138, 0), MATCH(DH$4&amp;DH$5,Demand_current!$D$2:$AY$2&amp;Demand_current!$D$3:$AY$3, 0))/1000</f>
        <v>2.5659999999999998</v>
      </c>
      <c r="DI129" s="229">
        <f t="array" ref="DI129">INDEX(Demand_current!$D$4:$AY$138, MATCH($A129, Demand_current!$B$4:$B$138, 0), MATCH(DI$4&amp;DI$5,Demand_current!$D$2:$AY$2&amp;Demand_current!$D$3:$AY$3, 0))/1000</f>
        <v>1.171</v>
      </c>
      <c r="DJ129" s="227">
        <f>$BT129*(VLOOKUP(DJ$4, Rates_current!$G$6:$Q$29, 10, FALSE)+VLOOKUP(DJ$4, Rates_current!$G$6:$Q$29, 11, FALSE))</f>
        <v>8263.6125856811996</v>
      </c>
      <c r="DK129" s="227">
        <f>$BT129*(VLOOKUP(DK$4, Rates_current!$G$6:$Q$29, 10, FALSE)+VLOOKUP(DK$4, Rates_current!$G$6:$Q$29, 11, FALSE))</f>
        <v>10497.3658678383</v>
      </c>
      <c r="DL129" s="227">
        <f>$BT129*(VLOOKUP(DL$4, Rates_current!$G$6:$Q$29, 10, FALSE)+VLOOKUP(DL$4, Rates_current!$G$6:$Q$29, 11, FALSE))</f>
        <v>10370.5959707812</v>
      </c>
      <c r="DM129" s="227">
        <f>$BT129*(VLOOKUP(DM$4, Rates_current!$G$6:$Q$29, 10, FALSE)+VLOOKUP(DM$4, Rates_current!$G$6:$Q$29, 11, FALSE))</f>
        <v>8644.5233851812009</v>
      </c>
      <c r="DN129" s="227">
        <f>$BT129*(VLOOKUP(DN$4, Rates_current!$G$6:$Q$29, 10, FALSE)+VLOOKUP(DN$4, Rates_current!$G$6:$Q$29, 11, FALSE))</f>
        <v>7831.0413869599997</v>
      </c>
      <c r="DO129" s="227">
        <f>$BT129*(VLOOKUP(DO$4, Rates_current!$G$6:$Q$29, 10, FALSE)+VLOOKUP(DO$4, Rates_current!$G$6:$Q$29, 11, FALSE))</f>
        <v>8710.6058044489</v>
      </c>
      <c r="DP129" s="227">
        <f>$BT129*(VLOOKUP(DP$4, Rates_current!$G$6:$Q$29, 10, FALSE)+VLOOKUP(DP$4, Rates_current!$G$6:$Q$29, 11, FALSE))</f>
        <v>7092.1846456559997</v>
      </c>
      <c r="DQ129" s="227">
        <f>$BT129*(VLOOKUP(DQ$4, Rates_current!$G$6:$Q$29, 10, FALSE)+VLOOKUP(DQ$4, Rates_current!$G$6:$Q$29, 11, FALSE))</f>
        <v>9564.8685565312007</v>
      </c>
      <c r="DR129" s="227">
        <f>$BT129*(VLOOKUP(DR$4, Rates_current!$G$6:$Q$29, 10, FALSE)+VLOOKUP(DR$4, Rates_current!$G$6:$Q$29, 11, FALSE))</f>
        <v>12204.121757806</v>
      </c>
      <c r="DS129" s="227">
        <f>$BT129*(VLOOKUP(DS$4, Rates_current!$G$6:$Q$29, 10, FALSE)+VLOOKUP(DS$4, Rates_current!$G$6:$Q$29, 11, FALSE))</f>
        <v>9568.4184264812011</v>
      </c>
      <c r="DT129" s="227">
        <f>$BT129*(VLOOKUP(DT$4, Rates_current!$G$6:$Q$29, 10, FALSE)+VLOOKUP(DT$4, Rates_current!$G$6:$Q$29, 11, FALSE))</f>
        <v>9317.7342526312004</v>
      </c>
      <c r="DU129" s="227">
        <f>$BT129*(VLOOKUP(DU$4, Rates_current!$G$6:$Q$29, 10, FALSE)+VLOOKUP(DU$4, Rates_current!$G$6:$Q$29, 11, FALSE))</f>
        <v>8365.3432213560009</v>
      </c>
      <c r="DV129" s="229">
        <f>IF(D129=0,IF(C129=0,MAX(0,DY129 - (VLOOKUP($A129,TOCA_current!$A$2:$AI$137,MATCH("RHWM 2020",TOCA_current!$A$2:$AI$2,0),FALSE)*$BT$2)), 0),0)</f>
        <v>0</v>
      </c>
      <c r="DW129" s="266">
        <f>VLOOKUP($A129,REP_current!$A$1:$D$135,MATCH("FY "&amp;$BT$1&amp; " Total Refund",REP_current!$A$1:$D$1,0),0)</f>
        <v>0</v>
      </c>
      <c r="DX129" s="295">
        <f>MIN(VLOOKUP($A129,TOCA_current!$A$2:$AI$137,MATCH("TRL - NLSL - Existing Resource "&amp;$BT$1,TOCA_current!$A$2:$AI$2,0),FALSE)*$BT$2, VLOOKUP($A129,TOCA_current!$A$2:$AI$137,MATCH("RHWM 2020",TOCA_current!$A$2:$AI$2,0),FALSE)*$BT$2)</f>
        <v>110432.44799999999</v>
      </c>
      <c r="DY129" s="240">
        <f>SUM(BZ129:CW129)+(BT129*RT1SC!$C$4*$BT$2)</f>
        <v>110436.4200062976</v>
      </c>
      <c r="DZ129" s="271">
        <f>VLOOKUP($A129,TOCA_current!$A$2:$AI$137,MATCH("Above RHWM Not Served with LS "&amp;$BT$1,TOCA_current!$A$2:$AI$2,0),FALSE)*$BT$2</f>
        <v>0</v>
      </c>
      <c r="EA129" s="244">
        <f t="shared" si="29"/>
        <v>3.9720062976120971</v>
      </c>
      <c r="EB129" s="295">
        <f>(VLOOKUP($A129,TOCA_current!$A$2:$AI$137,MATCH("RHWM 2020",TOCA_current!$A$2:$AI$2,0),FALSE)*$BT$2) - $DX129</f>
        <v>6614.351999999999</v>
      </c>
      <c r="EC129" s="240">
        <f t="shared" si="30"/>
        <v>-3.9720062976120971</v>
      </c>
      <c r="ED129" s="240">
        <f t="shared" si="31"/>
        <v>0</v>
      </c>
      <c r="EE129" s="240">
        <f t="shared" si="32"/>
        <v>0</v>
      </c>
      <c r="EF129" s="240">
        <f t="shared" si="33"/>
        <v>-3.9720062976120971</v>
      </c>
    </row>
    <row r="130" spans="1:136">
      <c r="A130" s="166">
        <v>10446</v>
      </c>
      <c r="B130" s="167" t="s">
        <v>131</v>
      </c>
      <c r="C130" s="240">
        <v>0</v>
      </c>
      <c r="D130" s="240">
        <v>0</v>
      </c>
      <c r="E130" s="150">
        <f>VLOOKUP($A130,TOCA_previous!$A$2:$AI$137,MATCH(E$4,TOCA_previous!$A$2:$AI$2,0),FALSE)</f>
        <v>1.35689E-2</v>
      </c>
      <c r="F130" s="151">
        <f>VLOOKUP($A130,TOCA_previous!$A$2:$AI$137,MATCH(F$4,TOCA_previous!$A$2:$AI$2,0),FALSE)</f>
        <v>1.35689E-2</v>
      </c>
      <c r="G130" s="151">
        <f t="shared" si="18"/>
        <v>0</v>
      </c>
      <c r="H130" s="151">
        <f>VLOOKUP($A130,TOCA_previous!$A$2:$AI$137,MATCH(H$4,TOCA_previous!$A$2:$AI$2,0),FALSE)</f>
        <v>6.1503299999999997E-2</v>
      </c>
      <c r="I130" s="151">
        <f t="shared" si="19"/>
        <v>0</v>
      </c>
      <c r="J130" s="151">
        <f t="shared" si="20"/>
        <v>0</v>
      </c>
      <c r="K130" s="226">
        <f>VLOOKUP(A130, IRD!$A$5:$C$139, 3, FALSE)</f>
        <v>7171.34</v>
      </c>
      <c r="L130" s="227">
        <f t="array" ref="L130">IF($G130=0, INDEX(LS_previous!$D$4:$AY$138, MATCH('Staging Table'!$A130, LS_previous!$B$4:$B$138, 0), MATCH(L$4&amp;L$5, LS_previous!$D$2:$AY$2&amp;LS_previous!$D$3:$AY$3, 0)),SUM(VLOOKUP($A130, LS_previous!$B$4:$AY$138, LS_previous!D$149, FALSE), VLOOKUP('Staging Table'!$A130, LS_previous!$B$4:$AY$138,LS_previous!AB$149, FALSE))/2)</f>
        <v>-3798</v>
      </c>
      <c r="M130" s="227">
        <f t="array" ref="M130">IF($G130=0, INDEX(LS_previous!$D$4:$AY$138, MATCH('Staging Table'!$A130, LS_previous!$B$4:$B$138, 0), MATCH(M$4&amp;M$5, LS_previous!$D$2:$AY$2&amp;LS_previous!$D$3:$AY$3, 0)),SUM(VLOOKUP($A130, LS_previous!$B$4:$AY$138, LS_previous!E$149, FALSE), VLOOKUP('Staging Table'!$A130, LS_previous!$B$4:$AY$138,LS_previous!AC$149, FALSE))/2)</f>
        <v>5119</v>
      </c>
      <c r="N130" s="227">
        <f t="array" ref="N130">IF($G130=0, INDEX(LS_previous!$D$4:$AY$138, MATCH('Staging Table'!$A130, LS_previous!$B$4:$B$138, 0), MATCH(N$4&amp;N$5, LS_previous!$D$2:$AY$2&amp;LS_previous!$D$3:$AY$3, 0)),SUM(VLOOKUP($A130, LS_previous!$B$4:$AY$138, LS_previous!F$149, FALSE), VLOOKUP('Staging Table'!$A130, LS_previous!$B$4:$AY$138,LS_previous!AD$149, FALSE))/2)</f>
        <v>-13042</v>
      </c>
      <c r="O130" s="227">
        <f t="array" ref="O130">IF($G130=0, INDEX(LS_previous!$D$4:$AY$138, MATCH('Staging Table'!$A130, LS_previous!$B$4:$B$138, 0), MATCH(O$4&amp;O$5, LS_previous!$D$2:$AY$2&amp;LS_previous!$D$3:$AY$3, 0)),SUM(VLOOKUP($A130, LS_previous!$B$4:$AY$138, LS_previous!G$149, FALSE), VLOOKUP('Staging Table'!$A130, LS_previous!$B$4:$AY$138,LS_previous!AE$149, FALSE))/2)</f>
        <v>852</v>
      </c>
      <c r="P130" s="227">
        <f t="array" ref="P130">IF($G130=0, INDEX(LS_previous!$D$4:$AY$138, MATCH('Staging Table'!$A130, LS_previous!$B$4:$B$138, 0), MATCH(P$4&amp;P$5, LS_previous!$D$2:$AY$2&amp;LS_previous!$D$3:$AY$3, 0)),SUM(VLOOKUP($A130, LS_previous!$B$4:$AY$138, LS_previous!H$149, FALSE), VLOOKUP('Staging Table'!$A130, LS_previous!$B$4:$AY$138,LS_previous!AF$149, FALSE))/2)</f>
        <v>-9531</v>
      </c>
      <c r="Q130" s="227">
        <f t="array" ref="Q130">IF($G130=0, INDEX(LS_previous!$D$4:$AY$138, MATCH('Staging Table'!$A130, LS_previous!$B$4:$B$138, 0), MATCH(Q$4&amp;Q$5, LS_previous!$D$2:$AY$2&amp;LS_previous!$D$3:$AY$3, 0)),SUM(VLOOKUP($A130, LS_previous!$B$4:$AY$138, LS_previous!I$149, FALSE), VLOOKUP('Staging Table'!$A130, LS_previous!$B$4:$AY$138,LS_previous!AG$149, FALSE))/2)</f>
        <v>4639</v>
      </c>
      <c r="R130" s="227">
        <f t="array" ref="R130">IF($G130=0, INDEX(LS_previous!$D$4:$AY$138, MATCH('Staging Table'!$A130, LS_previous!$B$4:$B$138, 0), MATCH(R$4&amp;R$5, LS_previous!$D$2:$AY$2&amp;LS_previous!$D$3:$AY$3, 0)),SUM(VLOOKUP($A130, LS_previous!$B$4:$AY$138, LS_previous!J$149, FALSE), VLOOKUP('Staging Table'!$A130, LS_previous!$B$4:$AY$138,LS_previous!AH$149, FALSE))/2)</f>
        <v>-675</v>
      </c>
      <c r="S130" s="227">
        <f t="array" ref="S130">IF($G130=0, INDEX(LS_previous!$D$4:$AY$138, MATCH('Staging Table'!$A130, LS_previous!$B$4:$B$138, 0), MATCH(S$4&amp;S$5, LS_previous!$D$2:$AY$2&amp;LS_previous!$D$3:$AY$3, 0)),SUM(VLOOKUP($A130, LS_previous!$B$4:$AY$138, LS_previous!K$149, FALSE), VLOOKUP('Staging Table'!$A130, LS_previous!$B$4:$AY$138,LS_previous!AI$149, FALSE))/2)</f>
        <v>7184</v>
      </c>
      <c r="T130" s="227">
        <f t="array" ref="T130">IF($G130=0, INDEX(LS_previous!$D$4:$AY$138, MATCH('Staging Table'!$A130, LS_previous!$B$4:$B$138, 0), MATCH(T$4&amp;T$5, LS_previous!$D$2:$AY$2&amp;LS_previous!$D$3:$AY$3, 0)),SUM(VLOOKUP($A130, LS_previous!$B$4:$AY$138, LS_previous!L$149, FALSE), VLOOKUP('Staging Table'!$A130, LS_previous!$B$4:$AY$138,LS_previous!AJ$149, FALSE))/2)</f>
        <v>3137</v>
      </c>
      <c r="U130" s="227">
        <f t="array" ref="U130">IF($G130=0, INDEX(LS_previous!$D$4:$AY$138, MATCH('Staging Table'!$A130, LS_previous!$B$4:$B$138, 0), MATCH(U$4&amp;U$5, LS_previous!$D$2:$AY$2&amp;LS_previous!$D$3:$AY$3, 0)),SUM(VLOOKUP($A130, LS_previous!$B$4:$AY$138, LS_previous!M$149, FALSE), VLOOKUP('Staging Table'!$A130, LS_previous!$B$4:$AY$138,LS_previous!AK$149, FALSE))/2)</f>
        <v>8396</v>
      </c>
      <c r="V130" s="227">
        <f t="array" ref="V130">IF($G130=0, INDEX(LS_previous!$D$4:$AY$138, MATCH('Staging Table'!$A130, LS_previous!$B$4:$B$138, 0), MATCH(V$4&amp;V$5, LS_previous!$D$2:$AY$2&amp;LS_previous!$D$3:$AY$3, 0)),SUM(VLOOKUP($A130, LS_previous!$B$4:$AY$138, LS_previous!N$149, FALSE), VLOOKUP('Staging Table'!$A130, LS_previous!$B$4:$AY$138,LS_previous!AL$149, FALSE))/2)</f>
        <v>-3631</v>
      </c>
      <c r="W130" s="227">
        <f t="array" ref="W130">IF($G130=0, INDEX(LS_previous!$D$4:$AY$138, MATCH('Staging Table'!$A130, LS_previous!$B$4:$B$138, 0), MATCH(W$4&amp;W$5, LS_previous!$D$2:$AY$2&amp;LS_previous!$D$3:$AY$3, 0)),SUM(VLOOKUP($A130, LS_previous!$B$4:$AY$138, LS_previous!O$149, FALSE), VLOOKUP('Staging Table'!$A130, LS_previous!$B$4:$AY$138,LS_previous!AM$149, FALSE))/2)</f>
        <v>6182</v>
      </c>
      <c r="X130" s="227">
        <f t="array" ref="X130">IF($G130=0, INDEX(LS_previous!$D$4:$AY$138, MATCH('Staging Table'!$A130, LS_previous!$B$4:$B$138, 0), MATCH(X$4&amp;X$5, LS_previous!$D$2:$AY$2&amp;LS_previous!$D$3:$AY$3, 0)),SUM(VLOOKUP($A130, LS_previous!$B$4:$AY$138, LS_previous!P$149, FALSE), VLOOKUP('Staging Table'!$A130, LS_previous!$B$4:$AY$138,LS_previous!AN$149, FALSE))/2)</f>
        <v>-6138</v>
      </c>
      <c r="Y130" s="227">
        <f t="array" ref="Y130">IF($G130=0, INDEX(LS_previous!$D$4:$AY$138, MATCH('Staging Table'!$A130, LS_previous!$B$4:$B$138, 0), MATCH(Y$4&amp;Y$5, LS_previous!$D$2:$AY$2&amp;LS_previous!$D$3:$AY$3, 0)),SUM(VLOOKUP($A130, LS_previous!$B$4:$AY$138, LS_previous!Q$149, FALSE), VLOOKUP('Staging Table'!$A130, LS_previous!$B$4:$AY$138,LS_previous!AO$149, FALSE))/2)</f>
        <v>2795</v>
      </c>
      <c r="Z130" s="227">
        <f t="array" ref="Z130">IF($G130=0, INDEX(LS_previous!$D$4:$AY$138, MATCH('Staging Table'!$A130, LS_previous!$B$4:$B$138, 0), MATCH(Z$4&amp;Z$5, LS_previous!$D$2:$AY$2&amp;LS_previous!$D$3:$AY$3, 0)),SUM(VLOOKUP($A130, LS_previous!$B$4:$AY$138, LS_previous!R$149, FALSE), VLOOKUP('Staging Table'!$A130, LS_previous!$B$4:$AY$138,LS_previous!AP$149, FALSE))/2)</f>
        <v>-29598</v>
      </c>
      <c r="AA130" s="227">
        <f t="array" ref="AA130">IF($G130=0, INDEX(LS_previous!$D$4:$AY$138, MATCH('Staging Table'!$A130, LS_previous!$B$4:$B$138, 0), MATCH(AA$4&amp;AA$5, LS_previous!$D$2:$AY$2&amp;LS_previous!$D$3:$AY$3, 0)),SUM(VLOOKUP($A130, LS_previous!$B$4:$AY$138, LS_previous!S$149, FALSE), VLOOKUP('Staging Table'!$A130, LS_previous!$B$4:$AY$138,LS_previous!AQ$149, FALSE))/2)</f>
        <v>-7795</v>
      </c>
      <c r="AB130" s="227">
        <f t="array" ref="AB130">IF($G130=0, INDEX(LS_previous!$D$4:$AY$138, MATCH('Staging Table'!$A130, LS_previous!$B$4:$B$138, 0), MATCH(AB$4&amp;AB$5, LS_previous!$D$2:$AY$2&amp;LS_previous!$D$3:$AY$3, 0)),SUM(VLOOKUP($A130, LS_previous!$B$4:$AY$138, LS_previous!T$149, FALSE), VLOOKUP('Staging Table'!$A130, LS_previous!$B$4:$AY$138,LS_previous!AR$149, FALSE))/2)</f>
        <v>-9528</v>
      </c>
      <c r="AC130" s="227">
        <f t="array" ref="AC130">IF($G130=0, INDEX(LS_previous!$D$4:$AY$138, MATCH('Staging Table'!$A130, LS_previous!$B$4:$B$138, 0), MATCH(AC$4&amp;AC$5, LS_previous!$D$2:$AY$2&amp;LS_previous!$D$3:$AY$3, 0)),SUM(VLOOKUP($A130, LS_previous!$B$4:$AY$138, LS_previous!U$149, FALSE), VLOOKUP('Staging Table'!$A130, LS_previous!$B$4:$AY$138,LS_previous!AS$149, FALSE))/2)</f>
        <v>2584</v>
      </c>
      <c r="AD130" s="227">
        <f t="array" ref="AD130">IF($G130=0, INDEX(LS_previous!$D$4:$AY$138, MATCH('Staging Table'!$A130, LS_previous!$B$4:$B$138, 0), MATCH(AD$4&amp;AD$5, LS_previous!$D$2:$AY$2&amp;LS_previous!$D$3:$AY$3, 0)),SUM(VLOOKUP($A130, LS_previous!$B$4:$AY$138, LS_previous!V$149, FALSE), VLOOKUP('Staging Table'!$A130, LS_previous!$B$4:$AY$138,LS_previous!AT$149, FALSE))/2)</f>
        <v>-2707</v>
      </c>
      <c r="AE130" s="227">
        <f t="array" ref="AE130">IF($G130=0, INDEX(LS_previous!$D$4:$AY$138, MATCH('Staging Table'!$A130, LS_previous!$B$4:$B$138, 0), MATCH(AE$4&amp;AE$5, LS_previous!$D$2:$AY$2&amp;LS_previous!$D$3:$AY$3, 0)),SUM(VLOOKUP($A130, LS_previous!$B$4:$AY$138, LS_previous!W$149, FALSE), VLOOKUP('Staging Table'!$A130, LS_previous!$B$4:$AY$138,LS_previous!AU$149, FALSE))/2)</f>
        <v>8283</v>
      </c>
      <c r="AF130" s="227">
        <f t="array" ref="AF130">IF($G130=0, INDEX(LS_previous!$D$4:$AY$138, MATCH('Staging Table'!$A130, LS_previous!$B$4:$B$138, 0), MATCH(AF$4&amp;AF$5, LS_previous!$D$2:$AY$2&amp;LS_previous!$D$3:$AY$3, 0)),SUM(VLOOKUP($A130, LS_previous!$B$4:$AY$138, LS_previous!X$149, FALSE), VLOOKUP('Staging Table'!$A130, LS_previous!$B$4:$AY$138,LS_previous!AV$149, FALSE))/2)</f>
        <v>-8118</v>
      </c>
      <c r="AG130" s="227">
        <f t="array" ref="AG130">IF($G130=0, INDEX(LS_previous!$D$4:$AY$138, MATCH('Staging Table'!$A130, LS_previous!$B$4:$B$138, 0), MATCH(AG$4&amp;AG$5, LS_previous!$D$2:$AY$2&amp;LS_previous!$D$3:$AY$3, 0)),SUM(VLOOKUP($A130, LS_previous!$B$4:$AY$138, LS_previous!Y$149, FALSE), VLOOKUP('Staging Table'!$A130, LS_previous!$B$4:$AY$138,LS_previous!AW$149, FALSE))/2)</f>
        <v>7153</v>
      </c>
      <c r="AH130" s="227">
        <f t="array" ref="AH130">IF($G130=0, INDEX(LS_previous!$D$4:$AY$138, MATCH('Staging Table'!$A130, LS_previous!$B$4:$B$138, 0), MATCH(AH$4&amp;AH$5, LS_previous!$D$2:$AY$2&amp;LS_previous!$D$3:$AY$3, 0)),SUM(VLOOKUP($A130, LS_previous!$B$4:$AY$138, LS_previous!Z$149, FALSE), VLOOKUP('Staging Table'!$A130, LS_previous!$B$4:$AY$138,LS_previous!AX$149, FALSE))/2)</f>
        <v>-4778</v>
      </c>
      <c r="AI130" s="227">
        <f t="array" ref="AI130">IF($G130=0, INDEX(LS_previous!$D$4:$AY$138, MATCH('Staging Table'!$A130, LS_previous!$B$4:$B$138, 0), MATCH(AI$4&amp;AI$5, LS_previous!$D$2:$AY$2&amp;LS_previous!$D$3:$AY$3, 0)),SUM(VLOOKUP($A130, LS_previous!$B$4:$AY$138, LS_previous!AA$149, FALSE), VLOOKUP('Staging Table'!$A130, LS_previous!$B$4:$AY$138,LS_previous!AY$149, FALSE))/2)</f>
        <v>5734</v>
      </c>
      <c r="AJ130" s="424">
        <f t="array" ref="AJ130">INDEX(Demand_previous!$D$4:$AY$138, MATCH('Staging Table'!$A130, Demand_previous!$B$4:$B$138, 0), MATCH(AJ$4&amp;AJ$5,Demand_previous!$D$2:$AY$2&amp;Demand_previous!$D$3:$AY$3, 0))/1000</f>
        <v>3.0569999999999999</v>
      </c>
      <c r="AK130" s="424">
        <f t="array" ref="AK130">INDEX(Demand_previous!$D$4:$AY$138, MATCH('Staging Table'!$A130, Demand_previous!$B$4:$B$138, 0), MATCH(AK$4&amp;AK$5,Demand_previous!$D$2:$AY$2&amp;Demand_previous!$D$3:$AY$3, 0))/1000</f>
        <v>6.5380000000000003</v>
      </c>
      <c r="AL130" s="424">
        <f t="array" ref="AL130">INDEX(Demand_previous!$D$4:$AY$138, MATCH('Staging Table'!$A130, Demand_previous!$B$4:$B$138, 0), MATCH(AL$4&amp;AL$5,Demand_previous!$D$2:$AY$2&amp;Demand_previous!$D$3:$AY$3, 0))/1000</f>
        <v>9.8130000000000006</v>
      </c>
      <c r="AM130" s="424">
        <f t="array" ref="AM130">INDEX(Demand_previous!$D$4:$AY$138, MATCH('Staging Table'!$A130, Demand_previous!$B$4:$B$138, 0), MATCH(AM$4&amp;AM$5,Demand_previous!$D$2:$AY$2&amp;Demand_previous!$D$3:$AY$3, 0))/1000</f>
        <v>9.3539999999999992</v>
      </c>
      <c r="AN130" s="424">
        <f t="array" ref="AN130">INDEX(Demand_previous!$D$4:$AY$138, MATCH('Staging Table'!$A130, Demand_previous!$B$4:$B$138, 0), MATCH(AN$4&amp;AN$5,Demand_previous!$D$2:$AY$2&amp;Demand_previous!$D$3:$AY$3, 0))/1000</f>
        <v>2.2949999999999999</v>
      </c>
      <c r="AO130" s="424">
        <f t="array" ref="AO130">INDEX(Demand_previous!$D$4:$AY$138, MATCH('Staging Table'!$A130, Demand_previous!$B$4:$B$138, 0), MATCH(AO$4&amp;AO$5,Demand_previous!$D$2:$AY$2&amp;Demand_previous!$D$3:$AY$3, 0))/1000</f>
        <v>13.204000000000001</v>
      </c>
      <c r="AP130" s="424">
        <f t="array" ref="AP130">INDEX(Demand_previous!$D$4:$AY$138, MATCH('Staging Table'!$A130, Demand_previous!$B$4:$B$138, 0), MATCH(AP$4&amp;AP$5,Demand_previous!$D$2:$AY$2&amp;Demand_previous!$D$3:$AY$3, 0))/1000</f>
        <v>4.96</v>
      </c>
      <c r="AQ130" s="424">
        <f t="array" ref="AQ130">INDEX(Demand_previous!$D$4:$AY$138, MATCH('Staging Table'!$A130, Demand_previous!$B$4:$B$138, 0), MATCH(AQ$4&amp;AQ$5,Demand_previous!$D$2:$AY$2&amp;Demand_previous!$D$3:$AY$3, 0))/1000</f>
        <v>9.4540000000000006</v>
      </c>
      <c r="AR130" s="424">
        <f t="array" ref="AR130">INDEX(Demand_previous!$D$4:$AY$138, MATCH('Staging Table'!$A130, Demand_previous!$B$4:$B$138, 0), MATCH(AR$4&amp;AR$5,Demand_previous!$D$2:$AY$2&amp;Demand_previous!$D$3:$AY$3, 0))/1000</f>
        <v>9.1080000000000005</v>
      </c>
      <c r="AS130" s="424">
        <f t="array" ref="AS130">INDEX(Demand_previous!$D$4:$AY$138, MATCH('Staging Table'!$A130, Demand_previous!$B$4:$B$138, 0), MATCH(AS$4&amp;AS$5,Demand_previous!$D$2:$AY$2&amp;Demand_previous!$D$3:$AY$3, 0))/1000</f>
        <v>5.548</v>
      </c>
      <c r="AT130" s="424">
        <f t="array" ref="AT130">INDEX(Demand_previous!$D$4:$AY$138, MATCH('Staging Table'!$A130, Demand_previous!$B$4:$B$138, 0), MATCH(AT$4&amp;AT$5,Demand_previous!$D$2:$AY$2&amp;Demand_previous!$D$3:$AY$3, 0))/1000</f>
        <v>12.566000000000001</v>
      </c>
      <c r="AU130" s="424">
        <f t="array" ref="AU130">INDEX(Demand_previous!$D$4:$AY$138, MATCH('Staging Table'!$A130, Demand_previous!$B$4:$B$138, 0), MATCH(AU$4&amp;AU$5,Demand_previous!$D$2:$AY$2&amp;Demand_previous!$D$3:$AY$3, 0))/1000</f>
        <v>5.6550000000000002</v>
      </c>
      <c r="AV130" s="227">
        <f>$F130*(VLOOKUP(AV$4, Rates_previous!$G$6:$Q$29, 10, FALSE)+VLOOKUP(AV$4, Rates_previous!$G$6:$Q$29, 11, FALSE))</f>
        <v>63622.370714086879</v>
      </c>
      <c r="AW130" s="227">
        <f>$F130*(VLOOKUP(AW$4, Rates_previous!$G$6:$Q$29, 10, FALSE)+VLOOKUP(AW$4, Rates_previous!$G$6:$Q$29, 11, FALSE))</f>
        <v>78632.414646175122</v>
      </c>
      <c r="AX130" s="227">
        <f>$F130*(VLOOKUP(AX$4, Rates_previous!$G$6:$Q$29, 10, FALSE)+VLOOKUP(AX$4, Rates_previous!$G$6:$Q$29, 11, FALSE))</f>
        <v>77688.133395185243</v>
      </c>
      <c r="AY130" s="227">
        <f>$F130*(VLOOKUP(AY$4, Rates_previous!$G$6:$Q$29, 10, FALSE)+VLOOKUP(AY$4, Rates_previous!$G$6:$Q$29, 11, FALSE))</f>
        <v>66377.105084104522</v>
      </c>
      <c r="AZ130" s="227">
        <f>$F130*(VLOOKUP(AZ$4, Rates_previous!$G$6:$Q$29, 10, FALSE)+VLOOKUP(AZ$4, Rates_previous!$G$6:$Q$29, 11, FALSE))</f>
        <v>54416.35092569721</v>
      </c>
      <c r="BA130" s="227">
        <f>$F130*(VLOOKUP(BA$4, Rates_previous!$G$6:$Q$29, 10, FALSE)+VLOOKUP(BA$4, Rates_previous!$G$6:$Q$29, 11, FALSE))</f>
        <v>64426.982910721585</v>
      </c>
      <c r="BB130" s="227">
        <f>$F130*(VLOOKUP(BB$4, Rates_previous!$G$6:$Q$29, 10, FALSE)+VLOOKUP(BB$4, Rates_previous!$G$6:$Q$29, 11, FALSE))</f>
        <v>61923.702053611189</v>
      </c>
      <c r="BC130" s="227">
        <f>$F130*(VLOOKUP(BC$4, Rates_previous!$G$6:$Q$29, 10, FALSE)+VLOOKUP(BC$4, Rates_previous!$G$6:$Q$29, 11, FALSE))</f>
        <v>90868.650872380909</v>
      </c>
      <c r="BD130" s="227">
        <f>$F130*(VLOOKUP(BD$4, Rates_previous!$G$6:$Q$29, 10, FALSE)+VLOOKUP(BD$4, Rates_previous!$G$6:$Q$29, 11, FALSE))</f>
        <v>71692.96385059059</v>
      </c>
      <c r="BE130" s="227">
        <f>$F130*(VLOOKUP(BE$4, Rates_previous!$G$6:$Q$29, 10, FALSE)+VLOOKUP(BE$4, Rates_previous!$G$6:$Q$29, 11, FALSE))</f>
        <v>62952.439847755173</v>
      </c>
      <c r="BF130" s="227">
        <f>$F130*(VLOOKUP(BF$4, Rates_previous!$G$6:$Q$29, 10, FALSE)+VLOOKUP(BF$4, Rates_previous!$G$6:$Q$29, 11, FALSE))</f>
        <v>69722.346973571824</v>
      </c>
      <c r="BG130" s="227">
        <f>$F130*(VLOOKUP(BG$4, Rates_previous!$G$6:$Q$29, 10, FALSE)+VLOOKUP(BG$4, Rates_previous!$G$6:$Q$29, 11, FALSE))</f>
        <v>63165.673674091551</v>
      </c>
      <c r="BH130" s="229">
        <f>IF($D130=0,IF(C130=0, MAX(BK130 - (VLOOKUP($A130,TOCA_previous!$A$2:$AI$137,MATCH("RHWM 2018",TOCA_previous!$A$2:$AI$2,0),FALSE)*$F$2*TOCA_previous!C127),0),0), 0)</f>
        <v>0</v>
      </c>
      <c r="BI130" s="266">
        <f>VLOOKUP($A130,REP_previous!$A$1:$D$135,MATCH("FY "&amp;$F$1&amp; " Total Refund",REP_previous!$A$1:$D$1,0),0)</f>
        <v>926750.88589619799</v>
      </c>
      <c r="BJ130" s="241">
        <f>MIN(VLOOKUP($A130,TOCA_previous!$A$2:$AI$137,MATCH("TRL - NLSL - Existing Resource "&amp;$F$1,TOCA_previous!$A$2:$AI$2,0),FALSE)*$F$2,(VLOOKUP($A130,TOCA_previous!$A$2:$AI$137,MATCH("RHWM 2018",TOCA_previous!$A$2:$AI$2,0),FALSE)*$F$2))</f>
        <v>825489.84</v>
      </c>
      <c r="BK130" s="229">
        <f>SUM(L130:AI130)+(F130*RT1SC!$C$3*$F$2)</f>
        <v>788208.14699114393</v>
      </c>
      <c r="BL130" s="241">
        <f>VLOOKUP($A130,TOCA_previous!$A$2:$AI$137,MATCH("Above RHWM Not Served with LS "&amp;$F$1,TOCA_previous!$A$2:$AI$2,0),FALSE)*$F$2</f>
        <v>20682.36</v>
      </c>
      <c r="BM130" s="151">
        <f t="shared" si="21"/>
        <v>-37281.693008856033</v>
      </c>
      <c r="BN130" s="242">
        <f>(VLOOKUP($A130,TOCA_previous!$A$2:$AI$137,MATCH("RHWM 2018",TOCA_previous!$A$2:$AI$2,0),FALSE)*$F$2) - $BJ130</f>
        <v>0</v>
      </c>
      <c r="BO130" s="151">
        <f t="shared" si="22"/>
        <v>0</v>
      </c>
      <c r="BP130" s="243">
        <f t="shared" si="23"/>
        <v>16599.333008856032</v>
      </c>
      <c r="BQ130" s="237">
        <f t="shared" si="24"/>
        <v>0</v>
      </c>
      <c r="BR130" s="242">
        <f t="shared" si="25"/>
        <v>16599.333008856032</v>
      </c>
      <c r="BS130" s="151">
        <f>VLOOKUP($A130,TOCA_current!$A$2:$AI$137,MATCH(BS$4,TOCA_current!$A$2:$AI$2,0),FALSE)</f>
        <v>1.3251199999999999E-2</v>
      </c>
      <c r="BT130" s="151">
        <f>VLOOKUP($A130,TOCA_current!$A$2:$AI$137,MATCH(BT$4,TOCA_current!$A$2:$AI$2,0),FALSE)</f>
        <v>1.3251199999999999E-2</v>
      </c>
      <c r="BU130" s="236">
        <f t="shared" si="26"/>
        <v>0</v>
      </c>
      <c r="BV130" s="151">
        <f>VLOOKUP($A130,TOCA_current!A126:BG261,MATCH(BV$4,TOCA_current!$A$2:$BG$2,0),FALSE)</f>
        <v>6.5000000000000002E-2</v>
      </c>
      <c r="BW130" s="151">
        <f t="shared" si="27"/>
        <v>0</v>
      </c>
      <c r="BX130" s="151">
        <f t="shared" si="28"/>
        <v>0</v>
      </c>
      <c r="BY130" s="226">
        <f>VLOOKUP($A130,IRD!$A$4:$G$139, 7, FALSE)</f>
        <v>7171.34</v>
      </c>
      <c r="BZ130" s="227">
        <f t="array" ref="BZ130">IF($BU130=0, INDEX(LS_current!$D$4:$AY$138, MATCH('Staging Table'!$A130, LS_current!$B$4:$B$138, 0), MATCH(BZ$4&amp;BZ$5, LS_current!$D$2:$AY$2&amp;LS_current!$D$3:$AY$3, 0)),SUM(VLOOKUP($A130, LS_current!$B$4:$AY$138, LS_current!D$148, FALSE), VLOOKUP($A130, LS_current!$B$4:$AY$138,LS_current!D$148, FALSE))/2)</f>
        <v>-1309</v>
      </c>
      <c r="CA130" s="227">
        <f t="array" ref="CA130">IF($BU130=0, INDEX(LS_current!$D$4:$AY$138, MATCH('Staging Table'!$A130, LS_current!$B$4:$B$138, 0), MATCH(CA$4&amp;CA$5, LS_current!$D$2:$AY$2&amp;LS_current!$D$3:$AY$3, 0)),SUM(VLOOKUP($A130, LS_current!$B$4:$AY$138, LS_current!E$148, FALSE), VLOOKUP($A130, LS_current!$B$4:$AY$138,LS_current!E$148, FALSE))/2)</f>
        <v>6824</v>
      </c>
      <c r="CB130" s="227">
        <f t="array" ref="CB130">IF($BU130=0, INDEX(LS_current!$D$4:$AY$138, MATCH('Staging Table'!$A130, LS_current!$B$4:$B$138, 0), MATCH(CB$4&amp;CB$5, LS_current!$D$2:$AY$2&amp;LS_current!$D$3:$AY$3, 0)),SUM(VLOOKUP($A130, LS_current!$B$4:$AY$138, LS_current!F$148, FALSE), VLOOKUP($A130, LS_current!$B$4:$AY$138,LS_current!F$148, FALSE))/2)</f>
        <v>-11280</v>
      </c>
      <c r="CC130" s="227">
        <f t="array" ref="CC130">IF($BU130=0, INDEX(LS_current!$D$4:$AY$138, MATCH('Staging Table'!$A130, LS_current!$B$4:$B$138, 0), MATCH(CC$4&amp;CC$5, LS_current!$D$2:$AY$2&amp;LS_current!$D$3:$AY$3, 0)),SUM(VLOOKUP($A130, LS_current!$B$4:$AY$138, LS_current!G$148, FALSE), VLOOKUP($A130, LS_current!$B$4:$AY$138,LS_current!G$148, FALSE))/2)</f>
        <v>1701</v>
      </c>
      <c r="CD130" s="227">
        <f t="array" ref="CD130">IF($BU130=0, INDEX(LS_current!$D$4:$AY$138, MATCH('Staging Table'!$A130, LS_current!$B$4:$B$138, 0), MATCH(CD$4&amp;CD$5, LS_current!$D$2:$AY$2&amp;LS_current!$D$3:$AY$3, 0)),SUM(VLOOKUP($A130, LS_current!$B$4:$AY$138, LS_current!H$148, FALSE), VLOOKUP($A130, LS_current!$B$4:$AY$138,LS_current!H$148, FALSE))/2)</f>
        <v>-7875</v>
      </c>
      <c r="CE130" s="227">
        <f t="array" ref="CE130">IF($BU130=0, INDEX(LS_current!$D$4:$AY$138, MATCH('Staging Table'!$A130, LS_current!$B$4:$B$138, 0), MATCH(CE$4&amp;CE$5, LS_current!$D$2:$AY$2&amp;LS_current!$D$3:$AY$3, 0)),SUM(VLOOKUP($A130, LS_current!$B$4:$AY$138, LS_current!I$148, FALSE), VLOOKUP($A130, LS_current!$B$4:$AY$138,LS_current!I$148, FALSE))/2)</f>
        <v>5642</v>
      </c>
      <c r="CF130" s="227">
        <f t="array" ref="CF130">IF($BU130=0, INDEX(LS_current!$D$4:$AY$138, MATCH('Staging Table'!$A130, LS_current!$B$4:$B$138, 0), MATCH(CF$4&amp;CF$5, LS_current!$D$2:$AY$2&amp;LS_current!$D$3:$AY$3, 0)),SUM(VLOOKUP($A130, LS_current!$B$4:$AY$138, LS_current!J$148, FALSE), VLOOKUP($A130, LS_current!$B$4:$AY$138,LS_current!J$148, FALSE))/2)</f>
        <v>1091</v>
      </c>
      <c r="CG130" s="227">
        <f t="array" ref="CG130">IF($BU130=0, INDEX(LS_current!$D$4:$AY$138, MATCH('Staging Table'!$A130, LS_current!$B$4:$B$138, 0), MATCH(CG$4&amp;CG$5, LS_current!$D$2:$AY$2&amp;LS_current!$D$3:$AY$3, 0)),SUM(VLOOKUP($A130, LS_current!$B$4:$AY$138, LS_current!K$148, FALSE), VLOOKUP($A130, LS_current!$B$4:$AY$138,LS_current!K$148, FALSE))/2)</f>
        <v>9547</v>
      </c>
      <c r="CH130" s="227">
        <f t="array" ref="CH130">IF($BU130=0, INDEX(LS_current!$D$4:$AY$138, MATCH('Staging Table'!$A130, LS_current!$B$4:$B$138, 0), MATCH(CH$4&amp;CH$5, LS_current!$D$2:$AY$2&amp;LS_current!$D$3:$AY$3, 0)),SUM(VLOOKUP($A130, LS_current!$B$4:$AY$138, LS_current!L$148, FALSE), VLOOKUP($A130, LS_current!$B$4:$AY$138,LS_current!L$148, FALSE))/2)</f>
        <v>1836</v>
      </c>
      <c r="CI130" s="227">
        <f t="array" ref="CI130">IF($BU130=0, INDEX(LS_current!$D$4:$AY$138, MATCH('Staging Table'!$A130, LS_current!$B$4:$B$138, 0), MATCH(CI$4&amp;CI$5, LS_current!$D$2:$AY$2&amp;LS_current!$D$3:$AY$3, 0)),SUM(VLOOKUP($A130, LS_current!$B$4:$AY$138, LS_current!M$148, FALSE), VLOOKUP($A130, LS_current!$B$4:$AY$138,LS_current!M$148, FALSE))/2)</f>
        <v>7718</v>
      </c>
      <c r="CJ130" s="227">
        <f t="array" ref="CJ130">IF($BU130=0, INDEX(LS_current!$D$4:$AY$138, MATCH('Staging Table'!$A130, LS_current!$B$4:$B$138, 0), MATCH(CJ$4&amp;CJ$5, LS_current!$D$2:$AY$2&amp;LS_current!$D$3:$AY$3, 0)),SUM(VLOOKUP($A130, LS_current!$B$4:$AY$138, LS_current!N$148, FALSE), VLOOKUP($A130, LS_current!$B$4:$AY$138,LS_current!N$148, FALSE))/2)</f>
        <v>-2877</v>
      </c>
      <c r="CK130" s="227">
        <f t="array" ref="CK130">IF($BU130=0, INDEX(LS_current!$D$4:$AY$138, MATCH('Staging Table'!$A130, LS_current!$B$4:$B$138, 0), MATCH(CK$4&amp;CK$5, LS_current!$D$2:$AY$2&amp;LS_current!$D$3:$AY$3, 0)),SUM(VLOOKUP($A130, LS_current!$B$4:$AY$138, LS_current!O$148, FALSE), VLOOKUP($A130, LS_current!$B$4:$AY$138,LS_current!O$148, FALSE))/2)</f>
        <v>7114</v>
      </c>
      <c r="CL130" s="227">
        <f t="array" ref="CL130">IF($BU130=0, INDEX(LS_current!$D$4:$AY$138, MATCH('Staging Table'!$A130, LS_current!$B$4:$B$138, 0), MATCH(CL$4&amp;CL$5, LS_current!$D$2:$AY$2&amp;LS_current!$D$3:$AY$3, 0)),SUM(VLOOKUP($A130, LS_current!$B$4:$AY$138, LS_current!P$148, FALSE), VLOOKUP($A130, LS_current!$B$4:$AY$138,LS_current!P$148, FALSE))/2)</f>
        <v>1587</v>
      </c>
      <c r="CM130" s="227">
        <f t="array" ref="CM130">IF($BU130=0, INDEX(LS_current!$D$4:$AY$138, MATCH('Staging Table'!$A130, LS_current!$B$4:$B$138, 0), MATCH(CM$4&amp;CM$5, LS_current!$D$2:$AY$2&amp;LS_current!$D$3:$AY$3, 0)),SUM(VLOOKUP($A130, LS_current!$B$4:$AY$138, LS_current!Q$148, FALSE), VLOOKUP($A130, LS_current!$B$4:$AY$138,LS_current!Q$148, FALSE))/2)</f>
        <v>6182</v>
      </c>
      <c r="CN130" s="227">
        <f t="array" ref="CN130">IF($BU130=0, INDEX(LS_current!$D$4:$AY$138, MATCH('Staging Table'!$A130, LS_current!$B$4:$B$138, 0), MATCH(CN$4&amp;CN$5, LS_current!$D$2:$AY$2&amp;LS_current!$D$3:$AY$3, 0)),SUM(VLOOKUP($A130, LS_current!$B$4:$AY$138, LS_current!R$148, FALSE), VLOOKUP($A130, LS_current!$B$4:$AY$138,LS_current!R$148, FALSE))/2)</f>
        <v>-16657</v>
      </c>
      <c r="CO130" s="227">
        <f t="array" ref="CO130">IF($BU130=0, INDEX(LS_current!$D$4:$AY$138, MATCH('Staging Table'!$A130, LS_current!$B$4:$B$138, 0), MATCH(CO$4&amp;CO$5, LS_current!$D$2:$AY$2&amp;LS_current!$D$3:$AY$3, 0)),SUM(VLOOKUP($A130, LS_current!$B$4:$AY$138, LS_current!S$148, FALSE), VLOOKUP($A130, LS_current!$B$4:$AY$138,LS_current!S$148, FALSE))/2)</f>
        <v>1069</v>
      </c>
      <c r="CP130" s="227">
        <f t="array" ref="CP130">IF($BU130=0, INDEX(LS_current!$D$4:$AY$138, MATCH('Staging Table'!$A130, LS_current!$B$4:$B$138, 0), MATCH(CP$4&amp;CP$5, LS_current!$D$2:$AY$2&amp;LS_current!$D$3:$AY$3, 0)),SUM(VLOOKUP($A130, LS_current!$B$4:$AY$138, LS_current!T$148, FALSE), VLOOKUP($A130, LS_current!$B$4:$AY$138,LS_current!T$148, FALSE))/2)</f>
        <v>-20289</v>
      </c>
      <c r="CQ130" s="227">
        <f t="array" ref="CQ130">IF($BU130=0, INDEX(LS_current!$D$4:$AY$138, MATCH('Staging Table'!$A130, LS_current!$B$4:$B$138, 0), MATCH(CQ$4&amp;CQ$5, LS_current!$D$2:$AY$2&amp;LS_current!$D$3:$AY$3, 0)),SUM(VLOOKUP($A130, LS_current!$B$4:$AY$138, LS_current!U$148, FALSE), VLOOKUP($A130, LS_current!$B$4:$AY$138,LS_current!U$148, FALSE))/2)</f>
        <v>-3623</v>
      </c>
      <c r="CR130" s="227">
        <f t="array" ref="CR130">IF($BU130=0, INDEX(LS_current!$D$4:$AY$138, MATCH('Staging Table'!$A130, LS_current!$B$4:$B$138, 0), MATCH(CR$4&amp;CR$5, LS_current!$D$2:$AY$2&amp;LS_current!$D$3:$AY$3, 0)),SUM(VLOOKUP($A130, LS_current!$B$4:$AY$138, LS_current!V$148, FALSE), VLOOKUP($A130, LS_current!$B$4:$AY$138,LS_current!V$148, FALSE))/2)</f>
        <v>-9374</v>
      </c>
      <c r="CS130" s="227">
        <f t="array" ref="CS130">IF($BU130=0, INDEX(LS_current!$D$4:$AY$138, MATCH('Staging Table'!$A130, LS_current!$B$4:$B$138, 0), MATCH(CS$4&amp;CS$5, LS_current!$D$2:$AY$2&amp;LS_current!$D$3:$AY$3, 0)),SUM(VLOOKUP($A130, LS_current!$B$4:$AY$138, LS_current!W$148, FALSE), VLOOKUP($A130, LS_current!$B$4:$AY$138,LS_current!W$148, FALSE))/2)</f>
        <v>8813</v>
      </c>
      <c r="CT130" s="227">
        <f t="array" ref="CT130">IF($BU130=0, INDEX(LS_current!$D$4:$AY$138, MATCH('Staging Table'!$A130, LS_current!$B$4:$B$138, 0), MATCH(CT$4&amp;CT$5, LS_current!$D$2:$AY$2&amp;LS_current!$D$3:$AY$3, 0)),SUM(VLOOKUP($A130, LS_current!$B$4:$AY$138, LS_current!X$148, FALSE), VLOOKUP($A130, LS_current!$B$4:$AY$138,LS_current!X$148, FALSE))/2)</f>
        <v>-7730</v>
      </c>
      <c r="CU130" s="227">
        <f t="array" ref="CU130">IF($BU130=0, INDEX(LS_current!$D$4:$AY$138, MATCH('Staging Table'!$A130, LS_current!$B$4:$B$138, 0), MATCH(CU$4&amp;CU$5, LS_current!$D$2:$AY$2&amp;LS_current!$D$3:$AY$3, 0)),SUM(VLOOKUP($A130, LS_current!$B$4:$AY$138, LS_current!Y$148, FALSE), VLOOKUP($A130, LS_current!$B$4:$AY$138,LS_current!Y$148, FALSE))/2)</f>
        <v>9255</v>
      </c>
      <c r="CV130" s="227">
        <f t="array" ref="CV130">IF($BU130=0, INDEX(LS_current!$D$4:$AY$138, MATCH('Staging Table'!$A130, LS_current!$B$4:$B$138, 0), MATCH(CV$4&amp;CV$5, LS_current!$D$2:$AY$2&amp;LS_current!$D$3:$AY$3, 0)),SUM(VLOOKUP($A130, LS_current!$B$4:$AY$138, LS_current!Z$148, FALSE), VLOOKUP($A130, LS_current!$B$4:$AY$138,LS_current!Z$148, FALSE))/2)</f>
        <v>-3160</v>
      </c>
      <c r="CW130" s="227">
        <f t="array" ref="CW130">IF($BU130=0, INDEX(LS_current!$D$4:$AY$138, MATCH('Staging Table'!$A130, LS_current!$B$4:$B$138, 0), MATCH(CW$4&amp;CW$5, LS_current!$D$2:$AY$2&amp;LS_current!$D$3:$AY$3, 0)),SUM(VLOOKUP($A130, LS_current!$B$4:$AY$138, LS_current!AA$148, FALSE), VLOOKUP($A130, LS_current!$B$4:$AY$138,LS_current!AA$148, FALSE))/2)</f>
        <v>7043</v>
      </c>
      <c r="CX130" s="229">
        <f t="array" ref="CX130">INDEX(Demand_current!$D$4:$AY$138, MATCH($A130, Demand_current!$B$4:$B$138, 0), MATCH(CX$4&amp;CX$5,Demand_current!$D$2:$AY$2&amp;Demand_current!$D$3:$AY$3, 0))/1000</f>
        <v>6.49</v>
      </c>
      <c r="CY130" s="229">
        <f t="array" ref="CY130">INDEX(Demand_current!$D$4:$AY$138, MATCH($A130, Demand_current!$B$4:$B$138, 0), MATCH(CY$4&amp;CY$5,Demand_current!$D$2:$AY$2&amp;Demand_current!$D$3:$AY$3, 0))/1000</f>
        <v>6.5380000000000003</v>
      </c>
      <c r="CZ130" s="229">
        <f t="array" ref="CZ130">INDEX(Demand_current!$D$4:$AY$138, MATCH($A130, Demand_current!$B$4:$B$138, 0), MATCH(CZ$4&amp;CZ$5,Demand_current!$D$2:$AY$2&amp;Demand_current!$D$3:$AY$3, 0))/1000</f>
        <v>9.8130000000000006</v>
      </c>
      <c r="DA130" s="229">
        <f t="array" ref="DA130">INDEX(Demand_current!$D$4:$AY$138, MATCH($A130, Demand_current!$B$4:$B$138, 0), MATCH(DA$4&amp;DA$5,Demand_current!$D$2:$AY$2&amp;Demand_current!$D$3:$AY$3, 0))/1000</f>
        <v>9.3539999999999992</v>
      </c>
      <c r="DB130" s="229">
        <f t="array" ref="DB130">INDEX(Demand_current!$D$4:$AY$138, MATCH($A130, Demand_current!$B$4:$B$138, 0), MATCH(DB$4&amp;DB$5,Demand_current!$D$2:$AY$2&amp;Demand_current!$D$3:$AY$3, 0))/1000</f>
        <v>6.2960000000000003</v>
      </c>
      <c r="DC130" s="229">
        <f t="array" ref="DC130">INDEX(Demand_current!$D$4:$AY$138, MATCH($A130, Demand_current!$B$4:$B$138, 0), MATCH(DC$4&amp;DC$5,Demand_current!$D$2:$AY$2&amp;Demand_current!$D$3:$AY$3, 0))/1000</f>
        <v>9.8089999999999993</v>
      </c>
      <c r="DD130" s="229">
        <f t="array" ref="DD130">INDEX(Demand_current!$D$4:$AY$138, MATCH($A130, Demand_current!$B$4:$B$138, 0), MATCH(DD$4&amp;DD$5,Demand_current!$D$2:$AY$2&amp;Demand_current!$D$3:$AY$3, 0))/1000</f>
        <v>8.2899999999999991</v>
      </c>
      <c r="DE130" s="229">
        <f t="array" ref="DE130">INDEX(Demand_current!$D$4:$AY$138, MATCH($A130, Demand_current!$B$4:$B$138, 0), MATCH(DE$4&amp;DE$5,Demand_current!$D$2:$AY$2&amp;Demand_current!$D$3:$AY$3, 0))/1000</f>
        <v>6.6369999999999996</v>
      </c>
      <c r="DF130" s="229">
        <f t="array" ref="DF130">INDEX(Demand_current!$D$4:$AY$138, MATCH($A130, Demand_current!$B$4:$B$138, 0), MATCH(DF$4&amp;DF$5,Demand_current!$D$2:$AY$2&amp;Demand_current!$D$3:$AY$3, 0))/1000</f>
        <v>9.1080000000000005</v>
      </c>
      <c r="DG130" s="229">
        <f t="array" ref="DG130">INDEX(Demand_current!$D$4:$AY$138, MATCH($A130, Demand_current!$B$4:$B$138, 0), MATCH(DG$4&amp;DG$5,Demand_current!$D$2:$AY$2&amp;Demand_current!$D$3:$AY$3, 0))/1000</f>
        <v>9.3360000000000003</v>
      </c>
      <c r="DH130" s="229">
        <f t="array" ref="DH130">INDEX(Demand_current!$D$4:$AY$138, MATCH($A130, Demand_current!$B$4:$B$138, 0), MATCH(DH$4&amp;DH$5,Demand_current!$D$2:$AY$2&amp;Demand_current!$D$3:$AY$3, 0))/1000</f>
        <v>9.0449999999999999</v>
      </c>
      <c r="DI130" s="229">
        <f t="array" ref="DI130">INDEX(Demand_current!$D$4:$AY$138, MATCH($A130, Demand_current!$B$4:$B$138, 0), MATCH(DI$4&amp;DI$5,Demand_current!$D$2:$AY$2&amp;Demand_current!$D$3:$AY$3, 0))/1000</f>
        <v>9.4580000000000002</v>
      </c>
      <c r="DJ130" s="227">
        <f>$BT130*(VLOOKUP(DJ$4, Rates_current!$G$6:$Q$29, 10, FALSE)+VLOOKUP(DJ$4, Rates_current!$G$6:$Q$29, 11, FALSE))</f>
        <v>61184.993627635195</v>
      </c>
      <c r="DK130" s="227">
        <f>$BT130*(VLOOKUP(DK$4, Rates_current!$G$6:$Q$29, 10, FALSE)+VLOOKUP(DK$4, Rates_current!$G$6:$Q$29, 11, FALSE))</f>
        <v>77724.028936636794</v>
      </c>
      <c r="DL130" s="227">
        <f>$BT130*(VLOOKUP(DL$4, Rates_current!$G$6:$Q$29, 10, FALSE)+VLOOKUP(DL$4, Rates_current!$G$6:$Q$29, 11, FALSE))</f>
        <v>76785.406117235209</v>
      </c>
      <c r="DM130" s="227">
        <f>$BT130*(VLOOKUP(DM$4, Rates_current!$G$6:$Q$29, 10, FALSE)+VLOOKUP(DM$4, Rates_current!$G$6:$Q$29, 11, FALSE))</f>
        <v>64005.312779635206</v>
      </c>
      <c r="DN130" s="227">
        <f>$BT130*(VLOOKUP(DN$4, Rates_current!$G$6:$Q$29, 10, FALSE)+VLOOKUP(DN$4, Rates_current!$G$6:$Q$29, 11, FALSE))</f>
        <v>57982.173340159992</v>
      </c>
      <c r="DO130" s="227">
        <f>$BT130*(VLOOKUP(DO$4, Rates_current!$G$6:$Q$29, 10, FALSE)+VLOOKUP(DO$4, Rates_current!$G$6:$Q$29, 11, FALSE))</f>
        <v>64494.596656374393</v>
      </c>
      <c r="DP130" s="227">
        <f>$BT130*(VLOOKUP(DP$4, Rates_current!$G$6:$Q$29, 10, FALSE)+VLOOKUP(DP$4, Rates_current!$G$6:$Q$29, 11, FALSE))</f>
        <v>52511.570194175998</v>
      </c>
      <c r="DQ130" s="227">
        <f>$BT130*(VLOOKUP(DQ$4, Rates_current!$G$6:$Q$29, 10, FALSE)+VLOOKUP(DQ$4, Rates_current!$G$6:$Q$29, 11, FALSE))</f>
        <v>70819.682749235202</v>
      </c>
      <c r="DR130" s="227">
        <f>$BT130*(VLOOKUP(DR$4, Rates_current!$G$6:$Q$29, 10, FALSE)+VLOOKUP(DR$4, Rates_current!$G$6:$Q$29, 11, FALSE))</f>
        <v>90361.098640576005</v>
      </c>
      <c r="DS130" s="227">
        <f>$BT130*(VLOOKUP(DS$4, Rates_current!$G$6:$Q$29, 10, FALSE)+VLOOKUP(DS$4, Rates_current!$G$6:$Q$29, 11, FALSE))</f>
        <v>70845.9665044352</v>
      </c>
      <c r="DT130" s="227">
        <f>$BT130*(VLOOKUP(DT$4, Rates_current!$G$6:$Q$29, 10, FALSE)+VLOOKUP(DT$4, Rates_current!$G$6:$Q$29, 11, FALSE))</f>
        <v>68989.864294835206</v>
      </c>
      <c r="DU130" s="227">
        <f>$BT130*(VLOOKUP(DU$4, Rates_current!$G$6:$Q$29, 10, FALSE)+VLOOKUP(DU$4, Rates_current!$G$6:$Q$29, 11, FALSE))</f>
        <v>61938.222101376006</v>
      </c>
      <c r="DV130" s="229">
        <f>IF(D130=0,IF(C130=0,MAX(0,DY130 - (VLOOKUP($A130,TOCA_current!$A$2:$AI$137,MATCH("RHWM 2020",TOCA_current!$A$2:$AI$2,0),FALSE)*$BT$2)), 0),0)</f>
        <v>0</v>
      </c>
      <c r="DW130" s="266">
        <f>VLOOKUP($A130,REP_current!$A$1:$D$135,MATCH("FY "&amp;$BT$1&amp; " Total Refund",REP_current!$A$1:$D$1,0),0)</f>
        <v>0</v>
      </c>
      <c r="DX130" s="295">
        <f>MIN(VLOOKUP($A130,TOCA_current!$A$2:$AI$137,MATCH("TRL - NLSL - Existing Resource "&amp;$BT$1,TOCA_current!$A$2:$AI$2,0),FALSE)*$BT$2, VLOOKUP($A130,TOCA_current!$A$2:$AI$137,MATCH("RHWM 2020",TOCA_current!$A$2:$AI$2,0),FALSE)*$BT$2)</f>
        <v>817641.07200000004</v>
      </c>
      <c r="DY130" s="240">
        <f>SUM(BZ130:CW130)+(BT130*RT1SC!$C$4*$BT$2)</f>
        <v>808890.94663208956</v>
      </c>
      <c r="DZ130" s="271">
        <f>VLOOKUP($A130,TOCA_current!$A$2:$AI$137,MATCH("Above RHWM Not Served with LS "&amp;$BT$1,TOCA_current!$A$2:$AI$2,0),FALSE)*$BT$2</f>
        <v>0</v>
      </c>
      <c r="EA130" s="244">
        <f t="shared" si="29"/>
        <v>-8750.1253679104848</v>
      </c>
      <c r="EB130" s="295">
        <f>(VLOOKUP($A130,TOCA_current!$A$2:$AI$137,MATCH("RHWM 2020",TOCA_current!$A$2:$AI$2,0),FALSE)*$BT$2) - $DX130</f>
        <v>19157.903999999864</v>
      </c>
      <c r="EC130" s="240">
        <f t="shared" si="30"/>
        <v>0</v>
      </c>
      <c r="ED130" s="240">
        <f t="shared" si="31"/>
        <v>8750.1253679104848</v>
      </c>
      <c r="EE130" s="240">
        <f t="shared" si="32"/>
        <v>0</v>
      </c>
      <c r="EF130" s="240">
        <f t="shared" si="33"/>
        <v>8750.1253679104848</v>
      </c>
    </row>
    <row r="131" spans="1:136">
      <c r="A131" s="166">
        <v>10448</v>
      </c>
      <c r="B131" s="167" t="s">
        <v>132</v>
      </c>
      <c r="C131" s="240">
        <v>1</v>
      </c>
      <c r="D131" s="240">
        <v>0</v>
      </c>
      <c r="E131" s="150">
        <f>VLOOKUP($A131,TOCA_previous!$A$2:$AI$137,MATCH(E$4,TOCA_previous!$A$2:$AI$2,0),FALSE)</f>
        <v>1.1738E-3</v>
      </c>
      <c r="F131" s="151">
        <f>VLOOKUP($A131,TOCA_previous!$A$2:$AI$137,MATCH(F$4,TOCA_previous!$A$2:$AI$2,0),FALSE)</f>
        <v>1.1738E-3</v>
      </c>
      <c r="G131" s="151">
        <f t="shared" si="18"/>
        <v>0</v>
      </c>
      <c r="H131" s="151">
        <f>VLOOKUP($A131,TOCA_previous!$A$2:$AI$137,MATCH(H$4,TOCA_previous!$A$2:$AI$2,0),FALSE)</f>
        <v>7.0000000000000007E-2</v>
      </c>
      <c r="I131" s="151">
        <f t="shared" si="19"/>
        <v>7.0000000000000007E-2</v>
      </c>
      <c r="J131" s="151">
        <f t="shared" si="20"/>
        <v>1.1738E-3</v>
      </c>
      <c r="K131" s="226">
        <f>VLOOKUP(A131, IRD!$A$5:$C$139, 3, FALSE)</f>
        <v>0</v>
      </c>
      <c r="L131" s="227">
        <f t="array" ref="L131">IF($G131=0, INDEX(LS_previous!$D$4:$AY$138, MATCH('Staging Table'!$A131, LS_previous!$B$4:$B$138, 0), MATCH(L$4&amp;L$5, LS_previous!$D$2:$AY$2&amp;LS_previous!$D$3:$AY$3, 0)),SUM(VLOOKUP($A131, LS_previous!$B$4:$AY$138, LS_previous!D$149, FALSE), VLOOKUP('Staging Table'!$A131, LS_previous!$B$4:$AY$138,LS_previous!AB$149, FALSE))/2)</f>
        <v>0</v>
      </c>
      <c r="M131" s="227">
        <f t="array" ref="M131">IF($G131=0, INDEX(LS_previous!$D$4:$AY$138, MATCH('Staging Table'!$A131, LS_previous!$B$4:$B$138, 0), MATCH(M$4&amp;M$5, LS_previous!$D$2:$AY$2&amp;LS_previous!$D$3:$AY$3, 0)),SUM(VLOOKUP($A131, LS_previous!$B$4:$AY$138, LS_previous!E$149, FALSE), VLOOKUP('Staging Table'!$A131, LS_previous!$B$4:$AY$138,LS_previous!AC$149, FALSE))/2)</f>
        <v>0</v>
      </c>
      <c r="N131" s="227">
        <f t="array" ref="N131">IF($G131=0, INDEX(LS_previous!$D$4:$AY$138, MATCH('Staging Table'!$A131, LS_previous!$B$4:$B$138, 0), MATCH(N$4&amp;N$5, LS_previous!$D$2:$AY$2&amp;LS_previous!$D$3:$AY$3, 0)),SUM(VLOOKUP($A131, LS_previous!$B$4:$AY$138, LS_previous!F$149, FALSE), VLOOKUP('Staging Table'!$A131, LS_previous!$B$4:$AY$138,LS_previous!AD$149, FALSE))/2)</f>
        <v>0</v>
      </c>
      <c r="O131" s="227">
        <f t="array" ref="O131">IF($G131=0, INDEX(LS_previous!$D$4:$AY$138, MATCH('Staging Table'!$A131, LS_previous!$B$4:$B$138, 0), MATCH(O$4&amp;O$5, LS_previous!$D$2:$AY$2&amp;LS_previous!$D$3:$AY$3, 0)),SUM(VLOOKUP($A131, LS_previous!$B$4:$AY$138, LS_previous!G$149, FALSE), VLOOKUP('Staging Table'!$A131, LS_previous!$B$4:$AY$138,LS_previous!AE$149, FALSE))/2)</f>
        <v>0</v>
      </c>
      <c r="P131" s="227">
        <f t="array" ref="P131">IF($G131=0, INDEX(LS_previous!$D$4:$AY$138, MATCH('Staging Table'!$A131, LS_previous!$B$4:$B$138, 0), MATCH(P$4&amp;P$5, LS_previous!$D$2:$AY$2&amp;LS_previous!$D$3:$AY$3, 0)),SUM(VLOOKUP($A131, LS_previous!$B$4:$AY$138, LS_previous!H$149, FALSE), VLOOKUP('Staging Table'!$A131, LS_previous!$B$4:$AY$138,LS_previous!AF$149, FALSE))/2)</f>
        <v>0</v>
      </c>
      <c r="Q131" s="227">
        <f t="array" ref="Q131">IF($G131=0, INDEX(LS_previous!$D$4:$AY$138, MATCH('Staging Table'!$A131, LS_previous!$B$4:$B$138, 0), MATCH(Q$4&amp;Q$5, LS_previous!$D$2:$AY$2&amp;LS_previous!$D$3:$AY$3, 0)),SUM(VLOOKUP($A131, LS_previous!$B$4:$AY$138, LS_previous!I$149, FALSE), VLOOKUP('Staging Table'!$A131, LS_previous!$B$4:$AY$138,LS_previous!AG$149, FALSE))/2)</f>
        <v>0</v>
      </c>
      <c r="R131" s="227">
        <f t="array" ref="R131">IF($G131=0, INDEX(LS_previous!$D$4:$AY$138, MATCH('Staging Table'!$A131, LS_previous!$B$4:$B$138, 0), MATCH(R$4&amp;R$5, LS_previous!$D$2:$AY$2&amp;LS_previous!$D$3:$AY$3, 0)),SUM(VLOOKUP($A131, LS_previous!$B$4:$AY$138, LS_previous!J$149, FALSE), VLOOKUP('Staging Table'!$A131, LS_previous!$B$4:$AY$138,LS_previous!AH$149, FALSE))/2)</f>
        <v>0</v>
      </c>
      <c r="S131" s="227">
        <f t="array" ref="S131">IF($G131=0, INDEX(LS_previous!$D$4:$AY$138, MATCH('Staging Table'!$A131, LS_previous!$B$4:$B$138, 0), MATCH(S$4&amp;S$5, LS_previous!$D$2:$AY$2&amp;LS_previous!$D$3:$AY$3, 0)),SUM(VLOOKUP($A131, LS_previous!$B$4:$AY$138, LS_previous!K$149, FALSE), VLOOKUP('Staging Table'!$A131, LS_previous!$B$4:$AY$138,LS_previous!AI$149, FALSE))/2)</f>
        <v>0</v>
      </c>
      <c r="T131" s="227">
        <f t="array" ref="T131">IF($G131=0, INDEX(LS_previous!$D$4:$AY$138, MATCH('Staging Table'!$A131, LS_previous!$B$4:$B$138, 0), MATCH(T$4&amp;T$5, LS_previous!$D$2:$AY$2&amp;LS_previous!$D$3:$AY$3, 0)),SUM(VLOOKUP($A131, LS_previous!$B$4:$AY$138, LS_previous!L$149, FALSE), VLOOKUP('Staging Table'!$A131, LS_previous!$B$4:$AY$138,LS_previous!AJ$149, FALSE))/2)</f>
        <v>0</v>
      </c>
      <c r="U131" s="227">
        <f t="array" ref="U131">IF($G131=0, INDEX(LS_previous!$D$4:$AY$138, MATCH('Staging Table'!$A131, LS_previous!$B$4:$B$138, 0), MATCH(U$4&amp;U$5, LS_previous!$D$2:$AY$2&amp;LS_previous!$D$3:$AY$3, 0)),SUM(VLOOKUP($A131, LS_previous!$B$4:$AY$138, LS_previous!M$149, FALSE), VLOOKUP('Staging Table'!$A131, LS_previous!$B$4:$AY$138,LS_previous!AK$149, FALSE))/2)</f>
        <v>0</v>
      </c>
      <c r="V131" s="227">
        <f t="array" ref="V131">IF($G131=0, INDEX(LS_previous!$D$4:$AY$138, MATCH('Staging Table'!$A131, LS_previous!$B$4:$B$138, 0), MATCH(V$4&amp;V$5, LS_previous!$D$2:$AY$2&amp;LS_previous!$D$3:$AY$3, 0)),SUM(VLOOKUP($A131, LS_previous!$B$4:$AY$138, LS_previous!N$149, FALSE), VLOOKUP('Staging Table'!$A131, LS_previous!$B$4:$AY$138,LS_previous!AL$149, FALSE))/2)</f>
        <v>0</v>
      </c>
      <c r="W131" s="227">
        <f t="array" ref="W131">IF($G131=0, INDEX(LS_previous!$D$4:$AY$138, MATCH('Staging Table'!$A131, LS_previous!$B$4:$B$138, 0), MATCH(W$4&amp;W$5, LS_previous!$D$2:$AY$2&amp;LS_previous!$D$3:$AY$3, 0)),SUM(VLOOKUP($A131, LS_previous!$B$4:$AY$138, LS_previous!O$149, FALSE), VLOOKUP('Staging Table'!$A131, LS_previous!$B$4:$AY$138,LS_previous!AM$149, FALSE))/2)</f>
        <v>0</v>
      </c>
      <c r="X131" s="227">
        <f t="array" ref="X131">IF($G131=0, INDEX(LS_previous!$D$4:$AY$138, MATCH('Staging Table'!$A131, LS_previous!$B$4:$B$138, 0), MATCH(X$4&amp;X$5, LS_previous!$D$2:$AY$2&amp;LS_previous!$D$3:$AY$3, 0)),SUM(VLOOKUP($A131, LS_previous!$B$4:$AY$138, LS_previous!P$149, FALSE), VLOOKUP('Staging Table'!$A131, LS_previous!$B$4:$AY$138,LS_previous!AN$149, FALSE))/2)</f>
        <v>0</v>
      </c>
      <c r="Y131" s="227">
        <f t="array" ref="Y131">IF($G131=0, INDEX(LS_previous!$D$4:$AY$138, MATCH('Staging Table'!$A131, LS_previous!$B$4:$B$138, 0), MATCH(Y$4&amp;Y$5, LS_previous!$D$2:$AY$2&amp;LS_previous!$D$3:$AY$3, 0)),SUM(VLOOKUP($A131, LS_previous!$B$4:$AY$138, LS_previous!Q$149, FALSE), VLOOKUP('Staging Table'!$A131, LS_previous!$B$4:$AY$138,LS_previous!AO$149, FALSE))/2)</f>
        <v>0</v>
      </c>
      <c r="Z131" s="227">
        <f t="array" ref="Z131">IF($G131=0, INDEX(LS_previous!$D$4:$AY$138, MATCH('Staging Table'!$A131, LS_previous!$B$4:$B$138, 0), MATCH(Z$4&amp;Z$5, LS_previous!$D$2:$AY$2&amp;LS_previous!$D$3:$AY$3, 0)),SUM(VLOOKUP($A131, LS_previous!$B$4:$AY$138, LS_previous!R$149, FALSE), VLOOKUP('Staging Table'!$A131, LS_previous!$B$4:$AY$138,LS_previous!AP$149, FALSE))/2)</f>
        <v>0</v>
      </c>
      <c r="AA131" s="227">
        <f t="array" ref="AA131">IF($G131=0, INDEX(LS_previous!$D$4:$AY$138, MATCH('Staging Table'!$A131, LS_previous!$B$4:$B$138, 0), MATCH(AA$4&amp;AA$5, LS_previous!$D$2:$AY$2&amp;LS_previous!$D$3:$AY$3, 0)),SUM(VLOOKUP($A131, LS_previous!$B$4:$AY$138, LS_previous!S$149, FALSE), VLOOKUP('Staging Table'!$A131, LS_previous!$B$4:$AY$138,LS_previous!AQ$149, FALSE))/2)</f>
        <v>0</v>
      </c>
      <c r="AB131" s="227">
        <f t="array" ref="AB131">IF($G131=0, INDEX(LS_previous!$D$4:$AY$138, MATCH('Staging Table'!$A131, LS_previous!$B$4:$B$138, 0), MATCH(AB$4&amp;AB$5, LS_previous!$D$2:$AY$2&amp;LS_previous!$D$3:$AY$3, 0)),SUM(VLOOKUP($A131, LS_previous!$B$4:$AY$138, LS_previous!T$149, FALSE), VLOOKUP('Staging Table'!$A131, LS_previous!$B$4:$AY$138,LS_previous!AR$149, FALSE))/2)</f>
        <v>0</v>
      </c>
      <c r="AC131" s="227">
        <f t="array" ref="AC131">IF($G131=0, INDEX(LS_previous!$D$4:$AY$138, MATCH('Staging Table'!$A131, LS_previous!$B$4:$B$138, 0), MATCH(AC$4&amp;AC$5, LS_previous!$D$2:$AY$2&amp;LS_previous!$D$3:$AY$3, 0)),SUM(VLOOKUP($A131, LS_previous!$B$4:$AY$138, LS_previous!U$149, FALSE), VLOOKUP('Staging Table'!$A131, LS_previous!$B$4:$AY$138,LS_previous!AS$149, FALSE))/2)</f>
        <v>0</v>
      </c>
      <c r="AD131" s="227">
        <f t="array" ref="AD131">IF($G131=0, INDEX(LS_previous!$D$4:$AY$138, MATCH('Staging Table'!$A131, LS_previous!$B$4:$B$138, 0), MATCH(AD$4&amp;AD$5, LS_previous!$D$2:$AY$2&amp;LS_previous!$D$3:$AY$3, 0)),SUM(VLOOKUP($A131, LS_previous!$B$4:$AY$138, LS_previous!V$149, FALSE), VLOOKUP('Staging Table'!$A131, LS_previous!$B$4:$AY$138,LS_previous!AT$149, FALSE))/2)</f>
        <v>0</v>
      </c>
      <c r="AE131" s="227">
        <f t="array" ref="AE131">IF($G131=0, INDEX(LS_previous!$D$4:$AY$138, MATCH('Staging Table'!$A131, LS_previous!$B$4:$B$138, 0), MATCH(AE$4&amp;AE$5, LS_previous!$D$2:$AY$2&amp;LS_previous!$D$3:$AY$3, 0)),SUM(VLOOKUP($A131, LS_previous!$B$4:$AY$138, LS_previous!W$149, FALSE), VLOOKUP('Staging Table'!$A131, LS_previous!$B$4:$AY$138,LS_previous!AU$149, FALSE))/2)</f>
        <v>0</v>
      </c>
      <c r="AF131" s="227">
        <f t="array" ref="AF131">IF($G131=0, INDEX(LS_previous!$D$4:$AY$138, MATCH('Staging Table'!$A131, LS_previous!$B$4:$B$138, 0), MATCH(AF$4&amp;AF$5, LS_previous!$D$2:$AY$2&amp;LS_previous!$D$3:$AY$3, 0)),SUM(VLOOKUP($A131, LS_previous!$B$4:$AY$138, LS_previous!X$149, FALSE), VLOOKUP('Staging Table'!$A131, LS_previous!$B$4:$AY$138,LS_previous!AV$149, FALSE))/2)</f>
        <v>0</v>
      </c>
      <c r="AG131" s="227">
        <f t="array" ref="AG131">IF($G131=0, INDEX(LS_previous!$D$4:$AY$138, MATCH('Staging Table'!$A131, LS_previous!$B$4:$B$138, 0), MATCH(AG$4&amp;AG$5, LS_previous!$D$2:$AY$2&amp;LS_previous!$D$3:$AY$3, 0)),SUM(VLOOKUP($A131, LS_previous!$B$4:$AY$138, LS_previous!Y$149, FALSE), VLOOKUP('Staging Table'!$A131, LS_previous!$B$4:$AY$138,LS_previous!AW$149, FALSE))/2)</f>
        <v>0</v>
      </c>
      <c r="AH131" s="227">
        <f t="array" ref="AH131">IF($G131=0, INDEX(LS_previous!$D$4:$AY$138, MATCH('Staging Table'!$A131, LS_previous!$B$4:$B$138, 0), MATCH(AH$4&amp;AH$5, LS_previous!$D$2:$AY$2&amp;LS_previous!$D$3:$AY$3, 0)),SUM(VLOOKUP($A131, LS_previous!$B$4:$AY$138, LS_previous!Z$149, FALSE), VLOOKUP('Staging Table'!$A131, LS_previous!$B$4:$AY$138,LS_previous!AX$149, FALSE))/2)</f>
        <v>0</v>
      </c>
      <c r="AI131" s="227">
        <f t="array" ref="AI131">IF($G131=0, INDEX(LS_previous!$D$4:$AY$138, MATCH('Staging Table'!$A131, LS_previous!$B$4:$B$138, 0), MATCH(AI$4&amp;AI$5, LS_previous!$D$2:$AY$2&amp;LS_previous!$D$3:$AY$3, 0)),SUM(VLOOKUP($A131, LS_previous!$B$4:$AY$138, LS_previous!AA$149, FALSE), VLOOKUP('Staging Table'!$A131, LS_previous!$B$4:$AY$138,LS_previous!AY$149, FALSE))/2)</f>
        <v>0</v>
      </c>
      <c r="AJ131" s="424">
        <f t="array" ref="AJ131">INDEX(Demand_previous!$D$4:$AY$138, MATCH('Staging Table'!$A131, Demand_previous!$B$4:$B$138, 0), MATCH(AJ$4&amp;AJ$5,Demand_previous!$D$2:$AY$2&amp;Demand_previous!$D$3:$AY$3, 0))/1000</f>
        <v>0</v>
      </c>
      <c r="AK131" s="424">
        <f t="array" ref="AK131">INDEX(Demand_previous!$D$4:$AY$138, MATCH('Staging Table'!$A131, Demand_previous!$B$4:$B$138, 0), MATCH(AK$4&amp;AK$5,Demand_previous!$D$2:$AY$2&amp;Demand_previous!$D$3:$AY$3, 0))/1000</f>
        <v>0</v>
      </c>
      <c r="AL131" s="424">
        <f t="array" ref="AL131">INDEX(Demand_previous!$D$4:$AY$138, MATCH('Staging Table'!$A131, Demand_previous!$B$4:$B$138, 0), MATCH(AL$4&amp;AL$5,Demand_previous!$D$2:$AY$2&amp;Demand_previous!$D$3:$AY$3, 0))/1000</f>
        <v>0</v>
      </c>
      <c r="AM131" s="424">
        <f t="array" ref="AM131">INDEX(Demand_previous!$D$4:$AY$138, MATCH('Staging Table'!$A131, Demand_previous!$B$4:$B$138, 0), MATCH(AM$4&amp;AM$5,Demand_previous!$D$2:$AY$2&amp;Demand_previous!$D$3:$AY$3, 0))/1000</f>
        <v>0</v>
      </c>
      <c r="AN131" s="424">
        <f t="array" ref="AN131">INDEX(Demand_previous!$D$4:$AY$138, MATCH('Staging Table'!$A131, Demand_previous!$B$4:$B$138, 0), MATCH(AN$4&amp;AN$5,Demand_previous!$D$2:$AY$2&amp;Demand_previous!$D$3:$AY$3, 0))/1000</f>
        <v>0</v>
      </c>
      <c r="AO131" s="424">
        <f t="array" ref="AO131">INDEX(Demand_previous!$D$4:$AY$138, MATCH('Staging Table'!$A131, Demand_previous!$B$4:$B$138, 0), MATCH(AO$4&amp;AO$5,Demand_previous!$D$2:$AY$2&amp;Demand_previous!$D$3:$AY$3, 0))/1000</f>
        <v>0</v>
      </c>
      <c r="AP131" s="424">
        <f t="array" ref="AP131">INDEX(Demand_previous!$D$4:$AY$138, MATCH('Staging Table'!$A131, Demand_previous!$B$4:$B$138, 0), MATCH(AP$4&amp;AP$5,Demand_previous!$D$2:$AY$2&amp;Demand_previous!$D$3:$AY$3, 0))/1000</f>
        <v>0</v>
      </c>
      <c r="AQ131" s="424">
        <f t="array" ref="AQ131">INDEX(Demand_previous!$D$4:$AY$138, MATCH('Staging Table'!$A131, Demand_previous!$B$4:$B$138, 0), MATCH(AQ$4&amp;AQ$5,Demand_previous!$D$2:$AY$2&amp;Demand_previous!$D$3:$AY$3, 0))/1000</f>
        <v>0</v>
      </c>
      <c r="AR131" s="424">
        <f t="array" ref="AR131">INDEX(Demand_previous!$D$4:$AY$138, MATCH('Staging Table'!$A131, Demand_previous!$B$4:$B$138, 0), MATCH(AR$4&amp;AR$5,Demand_previous!$D$2:$AY$2&amp;Demand_previous!$D$3:$AY$3, 0))/1000</f>
        <v>0</v>
      </c>
      <c r="AS131" s="424">
        <f t="array" ref="AS131">INDEX(Demand_previous!$D$4:$AY$138, MATCH('Staging Table'!$A131, Demand_previous!$B$4:$B$138, 0), MATCH(AS$4&amp;AS$5,Demand_previous!$D$2:$AY$2&amp;Demand_previous!$D$3:$AY$3, 0))/1000</f>
        <v>0</v>
      </c>
      <c r="AT131" s="424">
        <f t="array" ref="AT131">INDEX(Demand_previous!$D$4:$AY$138, MATCH('Staging Table'!$A131, Demand_previous!$B$4:$B$138, 0), MATCH(AT$4&amp;AT$5,Demand_previous!$D$2:$AY$2&amp;Demand_previous!$D$3:$AY$3, 0))/1000</f>
        <v>0</v>
      </c>
      <c r="AU131" s="424">
        <f t="array" ref="AU131">INDEX(Demand_previous!$D$4:$AY$138, MATCH('Staging Table'!$A131, Demand_previous!$B$4:$B$138, 0), MATCH(AU$4&amp;AU$5,Demand_previous!$D$2:$AY$2&amp;Demand_previous!$D$3:$AY$3, 0))/1000</f>
        <v>0</v>
      </c>
      <c r="AV131" s="227">
        <f>$F131*(VLOOKUP(AV$4, Rates_previous!$G$6:$Q$29, 10, FALSE)+VLOOKUP(AV$4, Rates_previous!$G$6:$Q$29, 11, FALSE))</f>
        <v>5503.7577654927945</v>
      </c>
      <c r="AW131" s="227">
        <f>$F131*(VLOOKUP(AW$4, Rates_previous!$G$6:$Q$29, 10, FALSE)+VLOOKUP(AW$4, Rates_previous!$G$6:$Q$29, 11, FALSE))</f>
        <v>6802.2262903905521</v>
      </c>
      <c r="AX131" s="227">
        <f>$F131*(VLOOKUP(AX$4, Rates_previous!$G$6:$Q$29, 10, FALSE)+VLOOKUP(AX$4, Rates_previous!$G$6:$Q$29, 11, FALSE))</f>
        <v>6720.5396884985839</v>
      </c>
      <c r="AY131" s="227">
        <f>$F131*(VLOOKUP(AY$4, Rates_previous!$G$6:$Q$29, 10, FALSE)+VLOOKUP(AY$4, Rates_previous!$G$6:$Q$29, 11, FALSE))</f>
        <v>5742.0605905948078</v>
      </c>
      <c r="AZ131" s="227">
        <f>$F131*(VLOOKUP(AZ$4, Rates_previous!$G$6:$Q$29, 10, FALSE)+VLOOKUP(AZ$4, Rates_previous!$G$6:$Q$29, 11, FALSE))</f>
        <v>4707.3758902035825</v>
      </c>
      <c r="BA131" s="227">
        <f>$F131*(VLOOKUP(BA$4, Rates_previous!$G$6:$Q$29, 10, FALSE)+VLOOKUP(BA$4, Rates_previous!$G$6:$Q$29, 11, FALSE))</f>
        <v>5573.3620662400781</v>
      </c>
      <c r="BB131" s="227">
        <f>$F131*(VLOOKUP(BB$4, Rates_previous!$G$6:$Q$29, 10, FALSE)+VLOOKUP(BB$4, Rates_previous!$G$6:$Q$29, 11, FALSE))</f>
        <v>5356.8116406288509</v>
      </c>
      <c r="BC131" s="227">
        <f>$F131*(VLOOKUP(BC$4, Rates_previous!$G$6:$Q$29, 10, FALSE)+VLOOKUP(BC$4, Rates_previous!$G$6:$Q$29, 11, FALSE))</f>
        <v>7860.7420199132357</v>
      </c>
      <c r="BD131" s="227">
        <f>$F131*(VLOOKUP(BD$4, Rates_previous!$G$6:$Q$29, 10, FALSE)+VLOOKUP(BD$4, Rates_previous!$G$6:$Q$29, 11, FALSE))</f>
        <v>6201.9176917674413</v>
      </c>
      <c r="BE131" s="227">
        <f>$F131*(VLOOKUP(BE$4, Rates_previous!$G$6:$Q$29, 10, FALSE)+VLOOKUP(BE$4, Rates_previous!$G$6:$Q$29, 11, FALSE))</f>
        <v>5445.8042946218948</v>
      </c>
      <c r="BF131" s="227">
        <f>$F131*(VLOOKUP(BF$4, Rates_previous!$G$6:$Q$29, 10, FALSE)+VLOOKUP(BF$4, Rates_previous!$G$6:$Q$29, 11, FALSE))</f>
        <v>6031.4462393840777</v>
      </c>
      <c r="BG131" s="227">
        <f>$F131*(VLOOKUP(BG$4, Rates_previous!$G$6:$Q$29, 10, FALSE)+VLOOKUP(BG$4, Rates_previous!$G$6:$Q$29, 11, FALSE))</f>
        <v>5464.2504372976928</v>
      </c>
      <c r="BH131" s="229">
        <f>IF($D131=0,IF(C131=0, MAX(BK131 - (VLOOKUP($A131,TOCA_previous!$A$2:$AI$137,MATCH("RHWM 2018",TOCA_previous!$A$2:$AI$2,0),FALSE)*$F$2*TOCA_previous!C128),0),0), 0)</f>
        <v>0</v>
      </c>
      <c r="BI131" s="266">
        <f>VLOOKUP($A131,REP_previous!$A$1:$D$135,MATCH("FY "&amp;$F$1&amp; " Total Refund",REP_previous!$A$1:$D$1,0),0)</f>
        <v>95520.794317990891</v>
      </c>
      <c r="BJ131" s="241">
        <f>MIN(VLOOKUP($A131,TOCA_previous!$A$2:$AI$137,MATCH("TRL - NLSL - Existing Resource "&amp;$F$1,TOCA_previous!$A$2:$AI$2,0),FALSE)*$F$2,(VLOOKUP($A131,TOCA_previous!$A$2:$AI$137,MATCH("RHWM 2018",TOCA_previous!$A$2:$AI$2,0),FALSE)*$F$2))</f>
        <v>71411.51999999999</v>
      </c>
      <c r="BK131" s="229">
        <f>SUM(L131:AI131)+(F131*RT1SC!$C$3*$F$2)</f>
        <v>71410.295656847986</v>
      </c>
      <c r="BL131" s="241">
        <f>VLOOKUP($A131,TOCA_previous!$A$2:$AI$137,MATCH("Above RHWM Not Served with LS "&amp;$F$1,TOCA_previous!$A$2:$AI$2,0),FALSE)*$F$2</f>
        <v>0</v>
      </c>
      <c r="BM131" s="151">
        <f t="shared" si="21"/>
        <v>-1.224343152003712</v>
      </c>
      <c r="BN131" s="242">
        <f>(VLOOKUP($A131,TOCA_previous!$A$2:$AI$137,MATCH("RHWM 2018",TOCA_previous!$A$2:$AI$2,0),FALSE)*$F$2) - $BJ131</f>
        <v>1690.6800000000221</v>
      </c>
      <c r="BO131" s="151">
        <f t="shared" si="22"/>
        <v>0</v>
      </c>
      <c r="BP131" s="243">
        <f t="shared" si="23"/>
        <v>1.224343152003712</v>
      </c>
      <c r="BQ131" s="237">
        <f t="shared" si="24"/>
        <v>0</v>
      </c>
      <c r="BR131" s="242">
        <f t="shared" si="25"/>
        <v>1.224343152003712</v>
      </c>
      <c r="BS131" s="151">
        <f>VLOOKUP($A131,TOCA_current!$A$2:$AI$137,MATCH(BS$4,TOCA_current!$A$2:$AI$2,0),FALSE)</f>
        <v>1.1582000000000001E-3</v>
      </c>
      <c r="BT131" s="151">
        <f>VLOOKUP($A131,TOCA_current!$A$2:$AI$137,MATCH(BT$4,TOCA_current!$A$2:$AI$2,0),FALSE)</f>
        <v>1.1582000000000001E-3</v>
      </c>
      <c r="BU131" s="236">
        <f t="shared" si="26"/>
        <v>0</v>
      </c>
      <c r="BV131" s="151">
        <f>VLOOKUP($A131,TOCA_current!A127:BG262,MATCH(BV$4,TOCA_current!$A$2:$BG$2,0),FALSE)</f>
        <v>7.0000000000000007E-2</v>
      </c>
      <c r="BW131" s="151">
        <f t="shared" si="27"/>
        <v>7.0000000000000007E-2</v>
      </c>
      <c r="BX131" s="151">
        <f t="shared" si="28"/>
        <v>1.1582000000000001E-3</v>
      </c>
      <c r="BY131" s="226">
        <f>VLOOKUP($A131,IRD!$A$4:$G$139, 7, FALSE)</f>
        <v>0</v>
      </c>
      <c r="BZ131" s="227">
        <f t="array" ref="BZ131">IF($BU131=0, INDEX(LS_current!$D$4:$AY$138, MATCH('Staging Table'!$A131, LS_current!$B$4:$B$138, 0), MATCH(BZ$4&amp;BZ$5, LS_current!$D$2:$AY$2&amp;LS_current!$D$3:$AY$3, 0)),SUM(VLOOKUP($A131, LS_current!$B$4:$AY$138, LS_current!D$148, FALSE), VLOOKUP($A131, LS_current!$B$4:$AY$138,LS_current!D$148, FALSE))/2)</f>
        <v>0</v>
      </c>
      <c r="CA131" s="227">
        <f t="array" ref="CA131">IF($BU131=0, INDEX(LS_current!$D$4:$AY$138, MATCH('Staging Table'!$A131, LS_current!$B$4:$B$138, 0), MATCH(CA$4&amp;CA$5, LS_current!$D$2:$AY$2&amp;LS_current!$D$3:$AY$3, 0)),SUM(VLOOKUP($A131, LS_current!$B$4:$AY$138, LS_current!E$148, FALSE), VLOOKUP($A131, LS_current!$B$4:$AY$138,LS_current!E$148, FALSE))/2)</f>
        <v>0</v>
      </c>
      <c r="CB131" s="227">
        <f t="array" ref="CB131">IF($BU131=0, INDEX(LS_current!$D$4:$AY$138, MATCH('Staging Table'!$A131, LS_current!$B$4:$B$138, 0), MATCH(CB$4&amp;CB$5, LS_current!$D$2:$AY$2&amp;LS_current!$D$3:$AY$3, 0)),SUM(VLOOKUP($A131, LS_current!$B$4:$AY$138, LS_current!F$148, FALSE), VLOOKUP($A131, LS_current!$B$4:$AY$138,LS_current!F$148, FALSE))/2)</f>
        <v>0</v>
      </c>
      <c r="CC131" s="227">
        <f t="array" ref="CC131">IF($BU131=0, INDEX(LS_current!$D$4:$AY$138, MATCH('Staging Table'!$A131, LS_current!$B$4:$B$138, 0), MATCH(CC$4&amp;CC$5, LS_current!$D$2:$AY$2&amp;LS_current!$D$3:$AY$3, 0)),SUM(VLOOKUP($A131, LS_current!$B$4:$AY$138, LS_current!G$148, FALSE), VLOOKUP($A131, LS_current!$B$4:$AY$138,LS_current!G$148, FALSE))/2)</f>
        <v>0</v>
      </c>
      <c r="CD131" s="227">
        <f t="array" ref="CD131">IF($BU131=0, INDEX(LS_current!$D$4:$AY$138, MATCH('Staging Table'!$A131, LS_current!$B$4:$B$138, 0), MATCH(CD$4&amp;CD$5, LS_current!$D$2:$AY$2&amp;LS_current!$D$3:$AY$3, 0)),SUM(VLOOKUP($A131, LS_current!$B$4:$AY$138, LS_current!H$148, FALSE), VLOOKUP($A131, LS_current!$B$4:$AY$138,LS_current!H$148, FALSE))/2)</f>
        <v>0</v>
      </c>
      <c r="CE131" s="227">
        <f t="array" ref="CE131">IF($BU131=0, INDEX(LS_current!$D$4:$AY$138, MATCH('Staging Table'!$A131, LS_current!$B$4:$B$138, 0), MATCH(CE$4&amp;CE$5, LS_current!$D$2:$AY$2&amp;LS_current!$D$3:$AY$3, 0)),SUM(VLOOKUP($A131, LS_current!$B$4:$AY$138, LS_current!I$148, FALSE), VLOOKUP($A131, LS_current!$B$4:$AY$138,LS_current!I$148, FALSE))/2)</f>
        <v>0</v>
      </c>
      <c r="CF131" s="227">
        <f t="array" ref="CF131">IF($BU131=0, INDEX(LS_current!$D$4:$AY$138, MATCH('Staging Table'!$A131, LS_current!$B$4:$B$138, 0), MATCH(CF$4&amp;CF$5, LS_current!$D$2:$AY$2&amp;LS_current!$D$3:$AY$3, 0)),SUM(VLOOKUP($A131, LS_current!$B$4:$AY$138, LS_current!J$148, FALSE), VLOOKUP($A131, LS_current!$B$4:$AY$138,LS_current!J$148, FALSE))/2)</f>
        <v>0</v>
      </c>
      <c r="CG131" s="227">
        <f t="array" ref="CG131">IF($BU131=0, INDEX(LS_current!$D$4:$AY$138, MATCH('Staging Table'!$A131, LS_current!$B$4:$B$138, 0), MATCH(CG$4&amp;CG$5, LS_current!$D$2:$AY$2&amp;LS_current!$D$3:$AY$3, 0)),SUM(VLOOKUP($A131, LS_current!$B$4:$AY$138, LS_current!K$148, FALSE), VLOOKUP($A131, LS_current!$B$4:$AY$138,LS_current!K$148, FALSE))/2)</f>
        <v>0</v>
      </c>
      <c r="CH131" s="227">
        <f t="array" ref="CH131">IF($BU131=0, INDEX(LS_current!$D$4:$AY$138, MATCH('Staging Table'!$A131, LS_current!$B$4:$B$138, 0), MATCH(CH$4&amp;CH$5, LS_current!$D$2:$AY$2&amp;LS_current!$D$3:$AY$3, 0)),SUM(VLOOKUP($A131, LS_current!$B$4:$AY$138, LS_current!L$148, FALSE), VLOOKUP($A131, LS_current!$B$4:$AY$138,LS_current!L$148, FALSE))/2)</f>
        <v>0</v>
      </c>
      <c r="CI131" s="227">
        <f t="array" ref="CI131">IF($BU131=0, INDEX(LS_current!$D$4:$AY$138, MATCH('Staging Table'!$A131, LS_current!$B$4:$B$138, 0), MATCH(CI$4&amp;CI$5, LS_current!$D$2:$AY$2&amp;LS_current!$D$3:$AY$3, 0)),SUM(VLOOKUP($A131, LS_current!$B$4:$AY$138, LS_current!M$148, FALSE), VLOOKUP($A131, LS_current!$B$4:$AY$138,LS_current!M$148, FALSE))/2)</f>
        <v>0</v>
      </c>
      <c r="CJ131" s="227">
        <f t="array" ref="CJ131">IF($BU131=0, INDEX(LS_current!$D$4:$AY$138, MATCH('Staging Table'!$A131, LS_current!$B$4:$B$138, 0), MATCH(CJ$4&amp;CJ$5, LS_current!$D$2:$AY$2&amp;LS_current!$D$3:$AY$3, 0)),SUM(VLOOKUP($A131, LS_current!$B$4:$AY$138, LS_current!N$148, FALSE), VLOOKUP($A131, LS_current!$B$4:$AY$138,LS_current!N$148, FALSE))/2)</f>
        <v>0</v>
      </c>
      <c r="CK131" s="227">
        <f t="array" ref="CK131">IF($BU131=0, INDEX(LS_current!$D$4:$AY$138, MATCH('Staging Table'!$A131, LS_current!$B$4:$B$138, 0), MATCH(CK$4&amp;CK$5, LS_current!$D$2:$AY$2&amp;LS_current!$D$3:$AY$3, 0)),SUM(VLOOKUP($A131, LS_current!$B$4:$AY$138, LS_current!O$148, FALSE), VLOOKUP($A131, LS_current!$B$4:$AY$138,LS_current!O$148, FALSE))/2)</f>
        <v>0</v>
      </c>
      <c r="CL131" s="227">
        <f t="array" ref="CL131">IF($BU131=0, INDEX(LS_current!$D$4:$AY$138, MATCH('Staging Table'!$A131, LS_current!$B$4:$B$138, 0), MATCH(CL$4&amp;CL$5, LS_current!$D$2:$AY$2&amp;LS_current!$D$3:$AY$3, 0)),SUM(VLOOKUP($A131, LS_current!$B$4:$AY$138, LS_current!P$148, FALSE), VLOOKUP($A131, LS_current!$B$4:$AY$138,LS_current!P$148, FALSE))/2)</f>
        <v>0</v>
      </c>
      <c r="CM131" s="227">
        <f t="array" ref="CM131">IF($BU131=0, INDEX(LS_current!$D$4:$AY$138, MATCH('Staging Table'!$A131, LS_current!$B$4:$B$138, 0), MATCH(CM$4&amp;CM$5, LS_current!$D$2:$AY$2&amp;LS_current!$D$3:$AY$3, 0)),SUM(VLOOKUP($A131, LS_current!$B$4:$AY$138, LS_current!Q$148, FALSE), VLOOKUP($A131, LS_current!$B$4:$AY$138,LS_current!Q$148, FALSE))/2)</f>
        <v>0</v>
      </c>
      <c r="CN131" s="227">
        <f t="array" ref="CN131">IF($BU131=0, INDEX(LS_current!$D$4:$AY$138, MATCH('Staging Table'!$A131, LS_current!$B$4:$B$138, 0), MATCH(CN$4&amp;CN$5, LS_current!$D$2:$AY$2&amp;LS_current!$D$3:$AY$3, 0)),SUM(VLOOKUP($A131, LS_current!$B$4:$AY$138, LS_current!R$148, FALSE), VLOOKUP($A131, LS_current!$B$4:$AY$138,LS_current!R$148, FALSE))/2)</f>
        <v>0</v>
      </c>
      <c r="CO131" s="227">
        <f t="array" ref="CO131">IF($BU131=0, INDEX(LS_current!$D$4:$AY$138, MATCH('Staging Table'!$A131, LS_current!$B$4:$B$138, 0), MATCH(CO$4&amp;CO$5, LS_current!$D$2:$AY$2&amp;LS_current!$D$3:$AY$3, 0)),SUM(VLOOKUP($A131, LS_current!$B$4:$AY$138, LS_current!S$148, FALSE), VLOOKUP($A131, LS_current!$B$4:$AY$138,LS_current!S$148, FALSE))/2)</f>
        <v>0</v>
      </c>
      <c r="CP131" s="227">
        <f t="array" ref="CP131">IF($BU131=0, INDEX(LS_current!$D$4:$AY$138, MATCH('Staging Table'!$A131, LS_current!$B$4:$B$138, 0), MATCH(CP$4&amp;CP$5, LS_current!$D$2:$AY$2&amp;LS_current!$D$3:$AY$3, 0)),SUM(VLOOKUP($A131, LS_current!$B$4:$AY$138, LS_current!T$148, FALSE), VLOOKUP($A131, LS_current!$B$4:$AY$138,LS_current!T$148, FALSE))/2)</f>
        <v>0</v>
      </c>
      <c r="CQ131" s="227">
        <f t="array" ref="CQ131">IF($BU131=0, INDEX(LS_current!$D$4:$AY$138, MATCH('Staging Table'!$A131, LS_current!$B$4:$B$138, 0), MATCH(CQ$4&amp;CQ$5, LS_current!$D$2:$AY$2&amp;LS_current!$D$3:$AY$3, 0)),SUM(VLOOKUP($A131, LS_current!$B$4:$AY$138, LS_current!U$148, FALSE), VLOOKUP($A131, LS_current!$B$4:$AY$138,LS_current!U$148, FALSE))/2)</f>
        <v>0</v>
      </c>
      <c r="CR131" s="227">
        <f t="array" ref="CR131">IF($BU131=0, INDEX(LS_current!$D$4:$AY$138, MATCH('Staging Table'!$A131, LS_current!$B$4:$B$138, 0), MATCH(CR$4&amp;CR$5, LS_current!$D$2:$AY$2&amp;LS_current!$D$3:$AY$3, 0)),SUM(VLOOKUP($A131, LS_current!$B$4:$AY$138, LS_current!V$148, FALSE), VLOOKUP($A131, LS_current!$B$4:$AY$138,LS_current!V$148, FALSE))/2)</f>
        <v>0</v>
      </c>
      <c r="CS131" s="227">
        <f t="array" ref="CS131">IF($BU131=0, INDEX(LS_current!$D$4:$AY$138, MATCH('Staging Table'!$A131, LS_current!$B$4:$B$138, 0), MATCH(CS$4&amp;CS$5, LS_current!$D$2:$AY$2&amp;LS_current!$D$3:$AY$3, 0)),SUM(VLOOKUP($A131, LS_current!$B$4:$AY$138, LS_current!W$148, FALSE), VLOOKUP($A131, LS_current!$B$4:$AY$138,LS_current!W$148, FALSE))/2)</f>
        <v>0</v>
      </c>
      <c r="CT131" s="227">
        <f t="array" ref="CT131">IF($BU131=0, INDEX(LS_current!$D$4:$AY$138, MATCH('Staging Table'!$A131, LS_current!$B$4:$B$138, 0), MATCH(CT$4&amp;CT$5, LS_current!$D$2:$AY$2&amp;LS_current!$D$3:$AY$3, 0)),SUM(VLOOKUP($A131, LS_current!$B$4:$AY$138, LS_current!X$148, FALSE), VLOOKUP($A131, LS_current!$B$4:$AY$138,LS_current!X$148, FALSE))/2)</f>
        <v>0</v>
      </c>
      <c r="CU131" s="227">
        <f t="array" ref="CU131">IF($BU131=0, INDEX(LS_current!$D$4:$AY$138, MATCH('Staging Table'!$A131, LS_current!$B$4:$B$138, 0), MATCH(CU$4&amp;CU$5, LS_current!$D$2:$AY$2&amp;LS_current!$D$3:$AY$3, 0)),SUM(VLOOKUP($A131, LS_current!$B$4:$AY$138, LS_current!Y$148, FALSE), VLOOKUP($A131, LS_current!$B$4:$AY$138,LS_current!Y$148, FALSE))/2)</f>
        <v>0</v>
      </c>
      <c r="CV131" s="227">
        <f t="array" ref="CV131">IF($BU131=0, INDEX(LS_current!$D$4:$AY$138, MATCH('Staging Table'!$A131, LS_current!$B$4:$B$138, 0), MATCH(CV$4&amp;CV$5, LS_current!$D$2:$AY$2&amp;LS_current!$D$3:$AY$3, 0)),SUM(VLOOKUP($A131, LS_current!$B$4:$AY$138, LS_current!Z$148, FALSE), VLOOKUP($A131, LS_current!$B$4:$AY$138,LS_current!Z$148, FALSE))/2)</f>
        <v>0</v>
      </c>
      <c r="CW131" s="227">
        <f t="array" ref="CW131">IF($BU131=0, INDEX(LS_current!$D$4:$AY$138, MATCH('Staging Table'!$A131, LS_current!$B$4:$B$138, 0), MATCH(CW$4&amp;CW$5, LS_current!$D$2:$AY$2&amp;LS_current!$D$3:$AY$3, 0)),SUM(VLOOKUP($A131, LS_current!$B$4:$AY$138, LS_current!AA$148, FALSE), VLOOKUP($A131, LS_current!$B$4:$AY$138,LS_current!AA$148, FALSE))/2)</f>
        <v>0</v>
      </c>
      <c r="CX131" s="229">
        <f t="array" ref="CX131">INDEX(Demand_current!$D$4:$AY$138, MATCH($A131, Demand_current!$B$4:$B$138, 0), MATCH(CX$4&amp;CX$5,Demand_current!$D$2:$AY$2&amp;Demand_current!$D$3:$AY$3, 0))/1000</f>
        <v>0</v>
      </c>
      <c r="CY131" s="229">
        <f t="array" ref="CY131">INDEX(Demand_current!$D$4:$AY$138, MATCH($A131, Demand_current!$B$4:$B$138, 0), MATCH(CY$4&amp;CY$5,Demand_current!$D$2:$AY$2&amp;Demand_current!$D$3:$AY$3, 0))/1000</f>
        <v>0</v>
      </c>
      <c r="CZ131" s="229">
        <f t="array" ref="CZ131">INDEX(Demand_current!$D$4:$AY$138, MATCH($A131, Demand_current!$B$4:$B$138, 0), MATCH(CZ$4&amp;CZ$5,Demand_current!$D$2:$AY$2&amp;Demand_current!$D$3:$AY$3, 0))/1000</f>
        <v>0</v>
      </c>
      <c r="DA131" s="229">
        <f t="array" ref="DA131">INDEX(Demand_current!$D$4:$AY$138, MATCH($A131, Demand_current!$B$4:$B$138, 0), MATCH(DA$4&amp;DA$5,Demand_current!$D$2:$AY$2&amp;Demand_current!$D$3:$AY$3, 0))/1000</f>
        <v>0</v>
      </c>
      <c r="DB131" s="229">
        <f t="array" ref="DB131">INDEX(Demand_current!$D$4:$AY$138, MATCH($A131, Demand_current!$B$4:$B$138, 0), MATCH(DB$4&amp;DB$5,Demand_current!$D$2:$AY$2&amp;Demand_current!$D$3:$AY$3, 0))/1000</f>
        <v>0</v>
      </c>
      <c r="DC131" s="229">
        <f t="array" ref="DC131">INDEX(Demand_current!$D$4:$AY$138, MATCH($A131, Demand_current!$B$4:$B$138, 0), MATCH(DC$4&amp;DC$5,Demand_current!$D$2:$AY$2&amp;Demand_current!$D$3:$AY$3, 0))/1000</f>
        <v>0</v>
      </c>
      <c r="DD131" s="229">
        <f t="array" ref="DD131">INDEX(Demand_current!$D$4:$AY$138, MATCH($A131, Demand_current!$B$4:$B$138, 0), MATCH(DD$4&amp;DD$5,Demand_current!$D$2:$AY$2&amp;Demand_current!$D$3:$AY$3, 0))/1000</f>
        <v>0</v>
      </c>
      <c r="DE131" s="229">
        <f t="array" ref="DE131">INDEX(Demand_current!$D$4:$AY$138, MATCH($A131, Demand_current!$B$4:$B$138, 0), MATCH(DE$4&amp;DE$5,Demand_current!$D$2:$AY$2&amp;Demand_current!$D$3:$AY$3, 0))/1000</f>
        <v>0</v>
      </c>
      <c r="DF131" s="229">
        <f t="array" ref="DF131">INDEX(Demand_current!$D$4:$AY$138, MATCH($A131, Demand_current!$B$4:$B$138, 0), MATCH(DF$4&amp;DF$5,Demand_current!$D$2:$AY$2&amp;Demand_current!$D$3:$AY$3, 0))/1000</f>
        <v>0</v>
      </c>
      <c r="DG131" s="229">
        <f t="array" ref="DG131">INDEX(Demand_current!$D$4:$AY$138, MATCH($A131, Demand_current!$B$4:$B$138, 0), MATCH(DG$4&amp;DG$5,Demand_current!$D$2:$AY$2&amp;Demand_current!$D$3:$AY$3, 0))/1000</f>
        <v>0</v>
      </c>
      <c r="DH131" s="229">
        <f t="array" ref="DH131">INDEX(Demand_current!$D$4:$AY$138, MATCH($A131, Demand_current!$B$4:$B$138, 0), MATCH(DH$4&amp;DH$5,Demand_current!$D$2:$AY$2&amp;Demand_current!$D$3:$AY$3, 0))/1000</f>
        <v>0</v>
      </c>
      <c r="DI131" s="229">
        <f t="array" ref="DI131">INDEX(Demand_current!$D$4:$AY$138, MATCH($A131, Demand_current!$B$4:$B$138, 0), MATCH(DI$4&amp;DI$5,Demand_current!$D$2:$AY$2&amp;Demand_current!$D$3:$AY$3, 0))/1000</f>
        <v>0</v>
      </c>
      <c r="DJ131" s="227">
        <f>$BT131*(VLOOKUP(DJ$4, Rates_current!$G$6:$Q$29, 10, FALSE)+VLOOKUP(DJ$4, Rates_current!$G$6:$Q$29, 11, FALSE))</f>
        <v>5347.7767764071996</v>
      </c>
      <c r="DK131" s="227">
        <f>$BT131*(VLOOKUP(DK$4, Rates_current!$G$6:$Q$29, 10, FALSE)+VLOOKUP(DK$4, Rates_current!$G$6:$Q$29, 11, FALSE))</f>
        <v>6793.3447774098004</v>
      </c>
      <c r="DL131" s="227">
        <f>$BT131*(VLOOKUP(DL$4, Rates_current!$G$6:$Q$29, 10, FALSE)+VLOOKUP(DL$4, Rates_current!$G$6:$Q$29, 11, FALSE))</f>
        <v>6711.3059470072012</v>
      </c>
      <c r="DM131" s="227">
        <f>$BT131*(VLOOKUP(DM$4, Rates_current!$G$6:$Q$29, 10, FALSE)+VLOOKUP(DM$4, Rates_current!$G$6:$Q$29, 11, FALSE))</f>
        <v>5594.2822734072006</v>
      </c>
      <c r="DN131" s="227">
        <f>$BT131*(VLOOKUP(DN$4, Rates_current!$G$6:$Q$29, 10, FALSE)+VLOOKUP(DN$4, Rates_current!$G$6:$Q$29, 11, FALSE))</f>
        <v>5067.8393777600004</v>
      </c>
      <c r="DO131" s="227">
        <f>$BT131*(VLOOKUP(DO$4, Rates_current!$G$6:$Q$29, 10, FALSE)+VLOOKUP(DO$4, Rates_current!$G$6:$Q$29, 11, FALSE))</f>
        <v>5637.0473502333998</v>
      </c>
      <c r="DP131" s="227">
        <f>$BT131*(VLOOKUP(DP$4, Rates_current!$G$6:$Q$29, 10, FALSE)+VLOOKUP(DP$4, Rates_current!$G$6:$Q$29, 11, FALSE))</f>
        <v>4589.6900355360003</v>
      </c>
      <c r="DQ131" s="227">
        <f>$BT131*(VLOOKUP(DQ$4, Rates_current!$G$6:$Q$29, 10, FALSE)+VLOOKUP(DQ$4, Rates_current!$G$6:$Q$29, 11, FALSE))</f>
        <v>6189.8814115072009</v>
      </c>
      <c r="DR131" s="227">
        <f>$BT131*(VLOOKUP(DR$4, Rates_current!$G$6:$Q$29, 10, FALSE)+VLOOKUP(DR$4, Rates_current!$G$6:$Q$29, 11, FALSE))</f>
        <v>7897.8676984360009</v>
      </c>
      <c r="DS131" s="227">
        <f>$BT131*(VLOOKUP(DS$4, Rates_current!$G$6:$Q$29, 10, FALSE)+VLOOKUP(DS$4, Rates_current!$G$6:$Q$29, 11, FALSE))</f>
        <v>6192.1787012072009</v>
      </c>
      <c r="DT131" s="227">
        <f>$BT131*(VLOOKUP(DT$4, Rates_current!$G$6:$Q$29, 10, FALSE)+VLOOKUP(DT$4, Rates_current!$G$6:$Q$29, 11, FALSE))</f>
        <v>6029.9490481072007</v>
      </c>
      <c r="DU131" s="227">
        <f>$BT131*(VLOOKUP(DU$4, Rates_current!$G$6:$Q$29, 10, FALSE)+VLOOKUP(DU$4, Rates_current!$G$6:$Q$29, 11, FALSE))</f>
        <v>5413.6115097360007</v>
      </c>
      <c r="DV131" s="229">
        <f>IF(D131=0,IF(C131=0,MAX(0,DY131 - (VLOOKUP($A131,TOCA_current!$A$2:$AI$137,MATCH("RHWM 2020",TOCA_current!$A$2:$AI$2,0),FALSE)*$BT$2)), 0),0)</f>
        <v>0</v>
      </c>
      <c r="DW131" s="266">
        <f>VLOOKUP($A131,REP_current!$A$1:$D$135,MATCH("FY "&amp;$BT$1&amp; " Total Refund",REP_current!$A$1:$D$1,0),0)</f>
        <v>0</v>
      </c>
      <c r="DX131" s="295">
        <f>MIN(VLOOKUP($A131,TOCA_current!$A$2:$AI$137,MATCH("TRL - NLSL - Existing Resource "&amp;$BT$1,TOCA_current!$A$2:$AI$2,0),FALSE)*$BT$2, VLOOKUP($A131,TOCA_current!$A$2:$AI$137,MATCH("RHWM 2020",TOCA_current!$A$2:$AI$2,0),FALSE)*$BT$2)</f>
        <v>71466.623999999996</v>
      </c>
      <c r="DY131" s="240">
        <f>SUM(BZ131:CW131)+(BT131*RT1SC!$C$4*$BT$2)</f>
        <v>71464.777589145597</v>
      </c>
      <c r="DZ131" s="271">
        <f>VLOOKUP($A131,TOCA_current!$A$2:$AI$137,MATCH("Above RHWM Not Served with LS "&amp;$BT$1,TOCA_current!$A$2:$AI$2,0),FALSE)*$BT$2</f>
        <v>0</v>
      </c>
      <c r="EA131" s="244">
        <f t="shared" si="29"/>
        <v>-1.8464108543994371</v>
      </c>
      <c r="EB131" s="295">
        <f>(VLOOKUP($A131,TOCA_current!$A$2:$AI$137,MATCH("RHWM 2020",TOCA_current!$A$2:$AI$2,0),FALSE)*$BT$2) - $DX131</f>
        <v>2643.9839999999967</v>
      </c>
      <c r="EC131" s="240">
        <f t="shared" si="30"/>
        <v>0</v>
      </c>
      <c r="ED131" s="240">
        <f t="shared" si="31"/>
        <v>1.8464108543994371</v>
      </c>
      <c r="EE131" s="240">
        <f t="shared" si="32"/>
        <v>0</v>
      </c>
      <c r="EF131" s="240">
        <f t="shared" si="33"/>
        <v>1.8464108543994371</v>
      </c>
    </row>
    <row r="132" spans="1:136">
      <c r="A132" s="166">
        <v>10451</v>
      </c>
      <c r="B132" s="167" t="s">
        <v>133</v>
      </c>
      <c r="C132" s="240">
        <v>0</v>
      </c>
      <c r="D132" s="240">
        <v>0</v>
      </c>
      <c r="E132" s="150">
        <f>VLOOKUP($A132,TOCA_previous!$A$2:$AI$137,MATCH(E$4,TOCA_previous!$A$2:$AI$2,0),FALSE)</f>
        <v>3.7704000000000001E-3</v>
      </c>
      <c r="F132" s="151">
        <f>VLOOKUP($A132,TOCA_previous!$A$2:$AI$137,MATCH(F$4,TOCA_previous!$A$2:$AI$2,0),FALSE)</f>
        <v>3.7704000000000001E-3</v>
      </c>
      <c r="G132" s="151">
        <f t="shared" si="18"/>
        <v>0</v>
      </c>
      <c r="H132" s="151">
        <f>VLOOKUP($A132,TOCA_previous!$A$2:$AI$137,MATCH(H$4,TOCA_previous!$A$2:$AI$2,0),FALSE)</f>
        <v>0</v>
      </c>
      <c r="I132" s="151">
        <f t="shared" si="19"/>
        <v>0</v>
      </c>
      <c r="J132" s="151">
        <f t="shared" si="20"/>
        <v>0</v>
      </c>
      <c r="K132" s="226">
        <f>VLOOKUP(A132, IRD!$A$5:$C$139, 3, FALSE)</f>
        <v>0</v>
      </c>
      <c r="L132" s="227">
        <f t="array" ref="L132">IF($G132=0, INDEX(LS_previous!$D$4:$AY$138, MATCH('Staging Table'!$A132, LS_previous!$B$4:$B$138, 0), MATCH(L$4&amp;L$5, LS_previous!$D$2:$AY$2&amp;LS_previous!$D$3:$AY$3, 0)),SUM(VLOOKUP($A132, LS_previous!$B$4:$AY$138, LS_previous!D$149, FALSE), VLOOKUP('Staging Table'!$A132, LS_previous!$B$4:$AY$138,LS_previous!AB$149, FALSE))/2)</f>
        <v>-34</v>
      </c>
      <c r="M132" s="227">
        <f t="array" ref="M132">IF($G132=0, INDEX(LS_previous!$D$4:$AY$138, MATCH('Staging Table'!$A132, LS_previous!$B$4:$B$138, 0), MATCH(M$4&amp;M$5, LS_previous!$D$2:$AY$2&amp;LS_previous!$D$3:$AY$3, 0)),SUM(VLOOKUP($A132, LS_previous!$B$4:$AY$138, LS_previous!E$149, FALSE), VLOOKUP('Staging Table'!$A132, LS_previous!$B$4:$AY$138,LS_previous!AC$149, FALSE))/2)</f>
        <v>2021</v>
      </c>
      <c r="N132" s="227">
        <f t="array" ref="N132">IF($G132=0, INDEX(LS_previous!$D$4:$AY$138, MATCH('Staging Table'!$A132, LS_previous!$B$4:$B$138, 0), MATCH(N$4&amp;N$5, LS_previous!$D$2:$AY$2&amp;LS_previous!$D$3:$AY$3, 0)),SUM(VLOOKUP($A132, LS_previous!$B$4:$AY$138, LS_previous!F$149, FALSE), VLOOKUP('Staging Table'!$A132, LS_previous!$B$4:$AY$138,LS_previous!AD$149, FALSE))/2)</f>
        <v>-3197</v>
      </c>
      <c r="O132" s="227">
        <f t="array" ref="O132">IF($G132=0, INDEX(LS_previous!$D$4:$AY$138, MATCH('Staging Table'!$A132, LS_previous!$B$4:$B$138, 0), MATCH(O$4&amp;O$5, LS_previous!$D$2:$AY$2&amp;LS_previous!$D$3:$AY$3, 0)),SUM(VLOOKUP($A132, LS_previous!$B$4:$AY$138, LS_previous!G$149, FALSE), VLOOKUP('Staging Table'!$A132, LS_previous!$B$4:$AY$138,LS_previous!AE$149, FALSE))/2)</f>
        <v>341</v>
      </c>
      <c r="P132" s="227">
        <f t="array" ref="P132">IF($G132=0, INDEX(LS_previous!$D$4:$AY$138, MATCH('Staging Table'!$A132, LS_previous!$B$4:$B$138, 0), MATCH(P$4&amp;P$5, LS_previous!$D$2:$AY$2&amp;LS_previous!$D$3:$AY$3, 0)),SUM(VLOOKUP($A132, LS_previous!$B$4:$AY$138, LS_previous!H$149, FALSE), VLOOKUP('Staging Table'!$A132, LS_previous!$B$4:$AY$138,LS_previous!AF$149, FALSE))/2)</f>
        <v>-2907</v>
      </c>
      <c r="Q132" s="227">
        <f t="array" ref="Q132">IF($G132=0, INDEX(LS_previous!$D$4:$AY$138, MATCH('Staging Table'!$A132, LS_previous!$B$4:$B$138, 0), MATCH(Q$4&amp;Q$5, LS_previous!$D$2:$AY$2&amp;LS_previous!$D$3:$AY$3, 0)),SUM(VLOOKUP($A132, LS_previous!$B$4:$AY$138, LS_previous!I$149, FALSE), VLOOKUP('Staging Table'!$A132, LS_previous!$B$4:$AY$138,LS_previous!AG$149, FALSE))/2)</f>
        <v>873</v>
      </c>
      <c r="R132" s="227">
        <f t="array" ref="R132">IF($G132=0, INDEX(LS_previous!$D$4:$AY$138, MATCH('Staging Table'!$A132, LS_previous!$B$4:$B$138, 0), MATCH(R$4&amp;R$5, LS_previous!$D$2:$AY$2&amp;LS_previous!$D$3:$AY$3, 0)),SUM(VLOOKUP($A132, LS_previous!$B$4:$AY$138, LS_previous!J$149, FALSE), VLOOKUP('Staging Table'!$A132, LS_previous!$B$4:$AY$138,LS_previous!AH$149, FALSE))/2)</f>
        <v>-313</v>
      </c>
      <c r="S132" s="227">
        <f t="array" ref="S132">IF($G132=0, INDEX(LS_previous!$D$4:$AY$138, MATCH('Staging Table'!$A132, LS_previous!$B$4:$B$138, 0), MATCH(S$4&amp;S$5, LS_previous!$D$2:$AY$2&amp;LS_previous!$D$3:$AY$3, 0)),SUM(VLOOKUP($A132, LS_previous!$B$4:$AY$138, LS_previous!K$149, FALSE), VLOOKUP('Staging Table'!$A132, LS_previous!$B$4:$AY$138,LS_previous!AI$149, FALSE))/2)</f>
        <v>1617</v>
      </c>
      <c r="T132" s="227">
        <f t="array" ref="T132">IF($G132=0, INDEX(LS_previous!$D$4:$AY$138, MATCH('Staging Table'!$A132, LS_previous!$B$4:$B$138, 0), MATCH(T$4&amp;T$5, LS_previous!$D$2:$AY$2&amp;LS_previous!$D$3:$AY$3, 0)),SUM(VLOOKUP($A132, LS_previous!$B$4:$AY$138, LS_previous!L$149, FALSE), VLOOKUP('Staging Table'!$A132, LS_previous!$B$4:$AY$138,LS_previous!AJ$149, FALSE))/2)</f>
        <v>1090</v>
      </c>
      <c r="U132" s="227">
        <f t="array" ref="U132">IF($G132=0, INDEX(LS_previous!$D$4:$AY$138, MATCH('Staging Table'!$A132, LS_previous!$B$4:$B$138, 0), MATCH(U$4&amp;U$5, LS_previous!$D$2:$AY$2&amp;LS_previous!$D$3:$AY$3, 0)),SUM(VLOOKUP($A132, LS_previous!$B$4:$AY$138, LS_previous!M$149, FALSE), VLOOKUP('Staging Table'!$A132, LS_previous!$B$4:$AY$138,LS_previous!AK$149, FALSE))/2)</f>
        <v>2264</v>
      </c>
      <c r="V132" s="227">
        <f t="array" ref="V132">IF($G132=0, INDEX(LS_previous!$D$4:$AY$138, MATCH('Staging Table'!$A132, LS_previous!$B$4:$B$138, 0), MATCH(V$4&amp;V$5, LS_previous!$D$2:$AY$2&amp;LS_previous!$D$3:$AY$3, 0)),SUM(VLOOKUP($A132, LS_previous!$B$4:$AY$138, LS_previous!N$149, FALSE), VLOOKUP('Staging Table'!$A132, LS_previous!$B$4:$AY$138,LS_previous!AL$149, FALSE))/2)</f>
        <v>-273</v>
      </c>
      <c r="W132" s="227">
        <f t="array" ref="W132">IF($G132=0, INDEX(LS_previous!$D$4:$AY$138, MATCH('Staging Table'!$A132, LS_previous!$B$4:$B$138, 0), MATCH(W$4&amp;W$5, LS_previous!$D$2:$AY$2&amp;LS_previous!$D$3:$AY$3, 0)),SUM(VLOOKUP($A132, LS_previous!$B$4:$AY$138, LS_previous!O$149, FALSE), VLOOKUP('Staging Table'!$A132, LS_previous!$B$4:$AY$138,LS_previous!AM$149, FALSE))/2)</f>
        <v>2006</v>
      </c>
      <c r="X132" s="227">
        <f t="array" ref="X132">IF($G132=0, INDEX(LS_previous!$D$4:$AY$138, MATCH('Staging Table'!$A132, LS_previous!$B$4:$B$138, 0), MATCH(X$4&amp;X$5, LS_previous!$D$2:$AY$2&amp;LS_previous!$D$3:$AY$3, 0)),SUM(VLOOKUP($A132, LS_previous!$B$4:$AY$138, LS_previous!P$149, FALSE), VLOOKUP('Staging Table'!$A132, LS_previous!$B$4:$AY$138,LS_previous!AN$149, FALSE))/2)</f>
        <v>-45</v>
      </c>
      <c r="Y132" s="227">
        <f t="array" ref="Y132">IF($G132=0, INDEX(LS_previous!$D$4:$AY$138, MATCH('Staging Table'!$A132, LS_previous!$B$4:$B$138, 0), MATCH(Y$4&amp;Y$5, LS_previous!$D$2:$AY$2&amp;LS_previous!$D$3:$AY$3, 0)),SUM(VLOOKUP($A132, LS_previous!$B$4:$AY$138, LS_previous!Q$149, FALSE), VLOOKUP('Staging Table'!$A132, LS_previous!$B$4:$AY$138,LS_previous!AO$149, FALSE))/2)</f>
        <v>1869</v>
      </c>
      <c r="Z132" s="227">
        <f t="array" ref="Z132">IF($G132=0, INDEX(LS_previous!$D$4:$AY$138, MATCH('Staging Table'!$A132, LS_previous!$B$4:$B$138, 0), MATCH(Z$4&amp;Z$5, LS_previous!$D$2:$AY$2&amp;LS_previous!$D$3:$AY$3, 0)),SUM(VLOOKUP($A132, LS_previous!$B$4:$AY$138, LS_previous!R$149, FALSE), VLOOKUP('Staging Table'!$A132, LS_previous!$B$4:$AY$138,LS_previous!AP$149, FALSE))/2)</f>
        <v>-5711</v>
      </c>
      <c r="AA132" s="227">
        <f t="array" ref="AA132">IF($G132=0, INDEX(LS_previous!$D$4:$AY$138, MATCH('Staging Table'!$A132, LS_previous!$B$4:$B$138, 0), MATCH(AA$4&amp;AA$5, LS_previous!$D$2:$AY$2&amp;LS_previous!$D$3:$AY$3, 0)),SUM(VLOOKUP($A132, LS_previous!$B$4:$AY$138, LS_previous!S$149, FALSE), VLOOKUP('Staging Table'!$A132, LS_previous!$B$4:$AY$138,LS_previous!AQ$149, FALSE))/2)</f>
        <v>-257</v>
      </c>
      <c r="AB132" s="227">
        <f t="array" ref="AB132">IF($G132=0, INDEX(LS_previous!$D$4:$AY$138, MATCH('Staging Table'!$A132, LS_previous!$B$4:$B$138, 0), MATCH(AB$4&amp;AB$5, LS_previous!$D$2:$AY$2&amp;LS_previous!$D$3:$AY$3, 0)),SUM(VLOOKUP($A132, LS_previous!$B$4:$AY$138, LS_previous!T$149, FALSE), VLOOKUP('Staging Table'!$A132, LS_previous!$B$4:$AY$138,LS_previous!AR$149, FALSE))/2)</f>
        <v>-2063</v>
      </c>
      <c r="AC132" s="227">
        <f t="array" ref="AC132">IF($G132=0, INDEX(LS_previous!$D$4:$AY$138, MATCH('Staging Table'!$A132, LS_previous!$B$4:$B$138, 0), MATCH(AC$4&amp;AC$5, LS_previous!$D$2:$AY$2&amp;LS_previous!$D$3:$AY$3, 0)),SUM(VLOOKUP($A132, LS_previous!$B$4:$AY$138, LS_previous!U$149, FALSE), VLOOKUP('Staging Table'!$A132, LS_previous!$B$4:$AY$138,LS_previous!AS$149, FALSE))/2)</f>
        <v>1056</v>
      </c>
      <c r="AD132" s="227">
        <f t="array" ref="AD132">IF($G132=0, INDEX(LS_previous!$D$4:$AY$138, MATCH('Staging Table'!$A132, LS_previous!$B$4:$B$138, 0), MATCH(AD$4&amp;AD$5, LS_previous!$D$2:$AY$2&amp;LS_previous!$D$3:$AY$3, 0)),SUM(VLOOKUP($A132, LS_previous!$B$4:$AY$138, LS_previous!V$149, FALSE), VLOOKUP('Staging Table'!$A132, LS_previous!$B$4:$AY$138,LS_previous!AT$149, FALSE))/2)</f>
        <v>-408</v>
      </c>
      <c r="AE132" s="227">
        <f t="array" ref="AE132">IF($G132=0, INDEX(LS_previous!$D$4:$AY$138, MATCH('Staging Table'!$A132, LS_previous!$B$4:$B$138, 0), MATCH(AE$4&amp;AE$5, LS_previous!$D$2:$AY$2&amp;LS_previous!$D$3:$AY$3, 0)),SUM(VLOOKUP($A132, LS_previous!$B$4:$AY$138, LS_previous!W$149, FALSE), VLOOKUP('Staging Table'!$A132, LS_previous!$B$4:$AY$138,LS_previous!AU$149, FALSE))/2)</f>
        <v>2532</v>
      </c>
      <c r="AF132" s="227">
        <f t="array" ref="AF132">IF($G132=0, INDEX(LS_previous!$D$4:$AY$138, MATCH('Staging Table'!$A132, LS_previous!$B$4:$B$138, 0), MATCH(AF$4&amp;AF$5, LS_previous!$D$2:$AY$2&amp;LS_previous!$D$3:$AY$3, 0)),SUM(VLOOKUP($A132, LS_previous!$B$4:$AY$138, LS_previous!X$149, FALSE), VLOOKUP('Staging Table'!$A132, LS_previous!$B$4:$AY$138,LS_previous!AV$149, FALSE))/2)</f>
        <v>-1966</v>
      </c>
      <c r="AG132" s="227">
        <f t="array" ref="AG132">IF($G132=0, INDEX(LS_previous!$D$4:$AY$138, MATCH('Staging Table'!$A132, LS_previous!$B$4:$B$138, 0), MATCH(AG$4&amp;AG$5, LS_previous!$D$2:$AY$2&amp;LS_previous!$D$3:$AY$3, 0)),SUM(VLOOKUP($A132, LS_previous!$B$4:$AY$138, LS_previous!Y$149, FALSE), VLOOKUP('Staging Table'!$A132, LS_previous!$B$4:$AY$138,LS_previous!AW$149, FALSE))/2)</f>
        <v>2151</v>
      </c>
      <c r="AH132" s="227">
        <f t="array" ref="AH132">IF($G132=0, INDEX(LS_previous!$D$4:$AY$138, MATCH('Staging Table'!$A132, LS_previous!$B$4:$B$138, 0), MATCH(AH$4&amp;AH$5, LS_previous!$D$2:$AY$2&amp;LS_previous!$D$3:$AY$3, 0)),SUM(VLOOKUP($A132, LS_previous!$B$4:$AY$138, LS_previous!Z$149, FALSE), VLOOKUP('Staging Table'!$A132, LS_previous!$B$4:$AY$138,LS_previous!AX$149, FALSE))/2)</f>
        <v>-648</v>
      </c>
      <c r="AI132" s="227">
        <f t="array" ref="AI132">IF($G132=0, INDEX(LS_previous!$D$4:$AY$138, MATCH('Staging Table'!$A132, LS_previous!$B$4:$B$138, 0), MATCH(AI$4&amp;AI$5, LS_previous!$D$2:$AY$2&amp;LS_previous!$D$3:$AY$3, 0)),SUM(VLOOKUP($A132, LS_previous!$B$4:$AY$138, LS_previous!AA$149, FALSE), VLOOKUP('Staging Table'!$A132, LS_previous!$B$4:$AY$138,LS_previous!AY$149, FALSE))/2)</f>
        <v>2035</v>
      </c>
      <c r="AJ132" s="424">
        <f t="array" ref="AJ132">INDEX(Demand_previous!$D$4:$AY$138, MATCH('Staging Table'!$A132, Demand_previous!$B$4:$B$138, 0), MATCH(AJ$4&amp;AJ$5,Demand_previous!$D$2:$AY$2&amp;Demand_previous!$D$3:$AY$3, 0))/1000</f>
        <v>0.67900000000000005</v>
      </c>
      <c r="AK132" s="424">
        <f t="array" ref="AK132">INDEX(Demand_previous!$D$4:$AY$138, MATCH('Staging Table'!$A132, Demand_previous!$B$4:$B$138, 0), MATCH(AK$4&amp;AK$5,Demand_previous!$D$2:$AY$2&amp;Demand_previous!$D$3:$AY$3, 0))/1000</f>
        <v>2.129</v>
      </c>
      <c r="AL132" s="424">
        <f t="array" ref="AL132">INDEX(Demand_previous!$D$4:$AY$138, MATCH('Staging Table'!$A132, Demand_previous!$B$4:$B$138, 0), MATCH(AL$4&amp;AL$5,Demand_previous!$D$2:$AY$2&amp;Demand_previous!$D$3:$AY$3, 0))/1000</f>
        <v>2.4289999999999998</v>
      </c>
      <c r="AM132" s="424">
        <f t="array" ref="AM132">INDEX(Demand_previous!$D$4:$AY$138, MATCH('Staging Table'!$A132, Demand_previous!$B$4:$B$138, 0), MATCH(AM$4&amp;AM$5,Demand_previous!$D$2:$AY$2&amp;Demand_previous!$D$3:$AY$3, 0))/1000</f>
        <v>1.954</v>
      </c>
      <c r="AN132" s="424">
        <f t="array" ref="AN132">INDEX(Demand_previous!$D$4:$AY$138, MATCH('Staging Table'!$A132, Demand_previous!$B$4:$B$138, 0), MATCH(AN$4&amp;AN$5,Demand_previous!$D$2:$AY$2&amp;Demand_previous!$D$3:$AY$3, 0))/1000</f>
        <v>0</v>
      </c>
      <c r="AO132" s="424">
        <f t="array" ref="AO132">INDEX(Demand_previous!$D$4:$AY$138, MATCH('Staging Table'!$A132, Demand_previous!$B$4:$B$138, 0), MATCH(AO$4&amp;AO$5,Demand_previous!$D$2:$AY$2&amp;Demand_previous!$D$3:$AY$3, 0))/1000</f>
        <v>0</v>
      </c>
      <c r="AP132" s="424">
        <f t="array" ref="AP132">INDEX(Demand_previous!$D$4:$AY$138, MATCH('Staging Table'!$A132, Demand_previous!$B$4:$B$138, 0), MATCH(AP$4&amp;AP$5,Demand_previous!$D$2:$AY$2&amp;Demand_previous!$D$3:$AY$3, 0))/1000</f>
        <v>0.95799999999999996</v>
      </c>
      <c r="AQ132" s="424">
        <f t="array" ref="AQ132">INDEX(Demand_previous!$D$4:$AY$138, MATCH('Staging Table'!$A132, Demand_previous!$B$4:$B$138, 0), MATCH(AQ$4&amp;AQ$5,Demand_previous!$D$2:$AY$2&amp;Demand_previous!$D$3:$AY$3, 0))/1000</f>
        <v>2.7890000000000001</v>
      </c>
      <c r="AR132" s="424">
        <f t="array" ref="AR132">INDEX(Demand_previous!$D$4:$AY$138, MATCH('Staging Table'!$A132, Demand_previous!$B$4:$B$138, 0), MATCH(AR$4&amp;AR$5,Demand_previous!$D$2:$AY$2&amp;Demand_previous!$D$3:$AY$3, 0))/1000</f>
        <v>2.234</v>
      </c>
      <c r="AS132" s="424">
        <f t="array" ref="AS132">INDEX(Demand_previous!$D$4:$AY$138, MATCH('Staging Table'!$A132, Demand_previous!$B$4:$B$138, 0), MATCH(AS$4&amp;AS$5,Demand_previous!$D$2:$AY$2&amp;Demand_previous!$D$3:$AY$3, 0))/1000</f>
        <v>0.48099999999999998</v>
      </c>
      <c r="AT132" s="424">
        <f t="array" ref="AT132">INDEX(Demand_previous!$D$4:$AY$138, MATCH('Staging Table'!$A132, Demand_previous!$B$4:$B$138, 0), MATCH(AT$4&amp;AT$5,Demand_previous!$D$2:$AY$2&amp;Demand_previous!$D$3:$AY$3, 0))/1000</f>
        <v>2.7719999999999998</v>
      </c>
      <c r="AU132" s="424">
        <f t="array" ref="AU132">INDEX(Demand_previous!$D$4:$AY$138, MATCH('Staging Table'!$A132, Demand_previous!$B$4:$B$138, 0), MATCH(AU$4&amp;AU$5,Demand_previous!$D$2:$AY$2&amp;Demand_previous!$D$3:$AY$3, 0))/1000</f>
        <v>0.53100000000000003</v>
      </c>
      <c r="AV132" s="227">
        <f>$F132*(VLOOKUP(AV$4, Rates_previous!$G$6:$Q$29, 10, FALSE)+VLOOKUP(AV$4, Rates_previous!$G$6:$Q$29, 11, FALSE))</f>
        <v>17678.793899313372</v>
      </c>
      <c r="AW132" s="227">
        <f>$F132*(VLOOKUP(AW$4, Rates_previous!$G$6:$Q$29, 10, FALSE)+VLOOKUP(AW$4, Rates_previous!$G$6:$Q$29, 11, FALSE))</f>
        <v>21849.645600007276</v>
      </c>
      <c r="AX132" s="227">
        <f>$F132*(VLOOKUP(AX$4, Rates_previous!$G$6:$Q$29, 10, FALSE)+VLOOKUP(AX$4, Rates_previous!$G$6:$Q$29, 11, FALSE))</f>
        <v>21587.257489789627</v>
      </c>
      <c r="AY132" s="227">
        <f>$F132*(VLOOKUP(AY$4, Rates_previous!$G$6:$Q$29, 10, FALSE)+VLOOKUP(AY$4, Rates_previous!$G$6:$Q$29, 11, FALSE))</f>
        <v>18444.253919559265</v>
      </c>
      <c r="AZ132" s="227">
        <f>$F132*(VLOOKUP(AZ$4, Rates_previous!$G$6:$Q$29, 10, FALSE)+VLOOKUP(AZ$4, Rates_previous!$G$6:$Q$29, 11, FALSE))</f>
        <v>15120.710560933368</v>
      </c>
      <c r="BA132" s="227">
        <f>$F132*(VLOOKUP(BA$4, Rates_previous!$G$6:$Q$29, 10, FALSE)+VLOOKUP(BA$4, Rates_previous!$G$6:$Q$29, 11, FALSE))</f>
        <v>17902.372068965404</v>
      </c>
      <c r="BB132" s="227">
        <f>$F132*(VLOOKUP(BB$4, Rates_previous!$G$6:$Q$29, 10, FALSE)+VLOOKUP(BB$4, Rates_previous!$G$6:$Q$29, 11, FALSE))</f>
        <v>17206.783617163928</v>
      </c>
      <c r="BC132" s="227">
        <f>$F132*(VLOOKUP(BC$4, Rates_previous!$G$6:$Q$29, 10, FALSE)+VLOOKUP(BC$4, Rates_previous!$G$6:$Q$29, 11, FALSE))</f>
        <v>25249.737358903447</v>
      </c>
      <c r="BD132" s="227">
        <f>$F132*(VLOOKUP(BD$4, Rates_previous!$G$6:$Q$29, 10, FALSE)+VLOOKUP(BD$4, Rates_previous!$G$6:$Q$29, 11, FALSE))</f>
        <v>19921.375417481649</v>
      </c>
      <c r="BE132" s="227">
        <f>$F132*(VLOOKUP(BE$4, Rates_previous!$G$6:$Q$29, 10, FALSE)+VLOOKUP(BE$4, Rates_previous!$G$6:$Q$29, 11, FALSE))</f>
        <v>17492.639727758044</v>
      </c>
      <c r="BF132" s="227">
        <f>$F132*(VLOOKUP(BF$4, Rates_previous!$G$6:$Q$29, 10, FALSE)+VLOOKUP(BF$4, Rates_previous!$G$6:$Q$29, 11, FALSE))</f>
        <v>19373.798688851359</v>
      </c>
      <c r="BG132" s="227">
        <f>$F132*(VLOOKUP(BG$4, Rates_previous!$G$6:$Q$29, 10, FALSE)+VLOOKUP(BG$4, Rates_previous!$G$6:$Q$29, 11, FALSE))</f>
        <v>17551.891164412355</v>
      </c>
      <c r="BH132" s="229">
        <f>IF($D132=0,IF(C132=0, MAX(BK132 - (VLOOKUP($A132,TOCA_previous!$A$2:$AI$137,MATCH("RHWM 2018",TOCA_previous!$A$2:$AI$2,0),FALSE)*$F$2*TOCA_previous!C129),0),0), 0)</f>
        <v>130.74285958395922</v>
      </c>
      <c r="BI132" s="266">
        <f>VLOOKUP($A132,REP_previous!$A$1:$D$135,MATCH("FY "&amp;$F$1&amp; " Total Refund",REP_previous!$A$1:$D$1,0),0)</f>
        <v>329541.98011314787</v>
      </c>
      <c r="BJ132" s="241">
        <f>MIN(VLOOKUP($A132,TOCA_previous!$A$2:$AI$137,MATCH("TRL - NLSL - Existing Resource "&amp;$F$1,TOCA_previous!$A$2:$AI$2,0),FALSE)*$F$2,(VLOOKUP($A132,TOCA_previous!$A$2:$AI$137,MATCH("RHWM 2018",TOCA_previous!$A$2:$AI$2,0),FALSE)*$F$2))</f>
        <v>229380.59999999998</v>
      </c>
      <c r="BK132" s="229">
        <f>SUM(L132:AI132)+(F132*RT1SC!$C$3*$F$2)</f>
        <v>231412.26285958398</v>
      </c>
      <c r="BL132" s="241">
        <f>VLOOKUP($A132,TOCA_previous!$A$2:$AI$137,MATCH("Above RHWM Not Served with LS "&amp;$F$1,TOCA_previous!$A$2:$AI$2,0),FALSE)*$F$2</f>
        <v>0</v>
      </c>
      <c r="BM132" s="151">
        <f t="shared" si="21"/>
        <v>2031.6628595840011</v>
      </c>
      <c r="BN132" s="242">
        <f>(VLOOKUP($A132,TOCA_previous!$A$2:$AI$137,MATCH("RHWM 2018",TOCA_previous!$A$2:$AI$2,0),FALSE)*$F$2) - $BJ132</f>
        <v>1900.9200000000419</v>
      </c>
      <c r="BO132" s="151">
        <f t="shared" si="22"/>
        <v>-1900.9200000000419</v>
      </c>
      <c r="BP132" s="243">
        <f t="shared" si="23"/>
        <v>0</v>
      </c>
      <c r="BQ132" s="237">
        <f t="shared" si="24"/>
        <v>0</v>
      </c>
      <c r="BR132" s="242">
        <f t="shared" si="25"/>
        <v>-1900.9200000000419</v>
      </c>
      <c r="BS132" s="151">
        <f>VLOOKUP($A132,TOCA_current!$A$2:$AI$137,MATCH(BS$4,TOCA_current!$A$2:$AI$2,0),FALSE)</f>
        <v>3.7504000000000001E-3</v>
      </c>
      <c r="BT132" s="151">
        <f>VLOOKUP($A132,TOCA_current!$A$2:$AI$137,MATCH(BT$4,TOCA_current!$A$2:$AI$2,0),FALSE)</f>
        <v>3.7504000000000001E-3</v>
      </c>
      <c r="BU132" s="236">
        <f t="shared" si="26"/>
        <v>0</v>
      </c>
      <c r="BV132" s="151">
        <f>VLOOKUP($A132,TOCA_current!A128:BG263,MATCH(BV$4,TOCA_current!$A$2:$BG$2,0),FALSE)</f>
        <v>0</v>
      </c>
      <c r="BW132" s="151">
        <f t="shared" si="27"/>
        <v>0</v>
      </c>
      <c r="BX132" s="151">
        <f t="shared" si="28"/>
        <v>0</v>
      </c>
      <c r="BY132" s="226">
        <f>VLOOKUP($A132,IRD!$A$4:$G$139, 7, FALSE)</f>
        <v>0</v>
      </c>
      <c r="BZ132" s="227">
        <f t="array" ref="BZ132">IF($BU132=0, INDEX(LS_current!$D$4:$AY$138, MATCH('Staging Table'!$A132, LS_current!$B$4:$B$138, 0), MATCH(BZ$4&amp;BZ$5, LS_current!$D$2:$AY$2&amp;LS_current!$D$3:$AY$3, 0)),SUM(VLOOKUP($A132, LS_current!$B$4:$AY$138, LS_current!D$148, FALSE), VLOOKUP($A132, LS_current!$B$4:$AY$138,LS_current!D$148, FALSE))/2)</f>
        <v>180</v>
      </c>
      <c r="CA132" s="227">
        <f t="array" ref="CA132">IF($BU132=0, INDEX(LS_current!$D$4:$AY$138, MATCH('Staging Table'!$A132, LS_current!$B$4:$B$138, 0), MATCH(CA$4&amp;CA$5, LS_current!$D$2:$AY$2&amp;LS_current!$D$3:$AY$3, 0)),SUM(VLOOKUP($A132, LS_current!$B$4:$AY$138, LS_current!E$148, FALSE), VLOOKUP($A132, LS_current!$B$4:$AY$138,LS_current!E$148, FALSE))/2)</f>
        <v>2169</v>
      </c>
      <c r="CB132" s="227">
        <f t="array" ref="CB132">IF($BU132=0, INDEX(LS_current!$D$4:$AY$138, MATCH('Staging Table'!$A132, LS_current!$B$4:$B$138, 0), MATCH(CB$4&amp;CB$5, LS_current!$D$2:$AY$2&amp;LS_current!$D$3:$AY$3, 0)),SUM(VLOOKUP($A132, LS_current!$B$4:$AY$138, LS_current!F$148, FALSE), VLOOKUP($A132, LS_current!$B$4:$AY$138,LS_current!F$148, FALSE))/2)</f>
        <v>-3220</v>
      </c>
      <c r="CC132" s="227">
        <f t="array" ref="CC132">IF($BU132=0, INDEX(LS_current!$D$4:$AY$138, MATCH('Staging Table'!$A132, LS_current!$B$4:$B$138, 0), MATCH(CC$4&amp;CC$5, LS_current!$D$2:$AY$2&amp;LS_current!$D$3:$AY$3, 0)),SUM(VLOOKUP($A132, LS_current!$B$4:$AY$138, LS_current!G$148, FALSE), VLOOKUP($A132, LS_current!$B$4:$AY$138,LS_current!G$148, FALSE))/2)</f>
        <v>217</v>
      </c>
      <c r="CD132" s="227">
        <f t="array" ref="CD132">IF($BU132=0, INDEX(LS_current!$D$4:$AY$138, MATCH('Staging Table'!$A132, LS_current!$B$4:$B$138, 0), MATCH(CD$4&amp;CD$5, LS_current!$D$2:$AY$2&amp;LS_current!$D$3:$AY$3, 0)),SUM(VLOOKUP($A132, LS_current!$B$4:$AY$138, LS_current!H$148, FALSE), VLOOKUP($A132, LS_current!$B$4:$AY$138,LS_current!H$148, FALSE))/2)</f>
        <v>-2955</v>
      </c>
      <c r="CE132" s="227">
        <f t="array" ref="CE132">IF($BU132=0, INDEX(LS_current!$D$4:$AY$138, MATCH('Staging Table'!$A132, LS_current!$B$4:$B$138, 0), MATCH(CE$4&amp;CE$5, LS_current!$D$2:$AY$2&amp;LS_current!$D$3:$AY$3, 0)),SUM(VLOOKUP($A132, LS_current!$B$4:$AY$138, LS_current!I$148, FALSE), VLOOKUP($A132, LS_current!$B$4:$AY$138,LS_current!I$148, FALSE))/2)</f>
        <v>776</v>
      </c>
      <c r="CF132" s="227">
        <f t="array" ref="CF132">IF($BU132=0, INDEX(LS_current!$D$4:$AY$138, MATCH('Staging Table'!$A132, LS_current!$B$4:$B$138, 0), MATCH(CF$4&amp;CF$5, LS_current!$D$2:$AY$2&amp;LS_current!$D$3:$AY$3, 0)),SUM(VLOOKUP($A132, LS_current!$B$4:$AY$138, LS_current!J$148, FALSE), VLOOKUP($A132, LS_current!$B$4:$AY$138,LS_current!J$148, FALSE))/2)</f>
        <v>-303</v>
      </c>
      <c r="CG132" s="227">
        <f t="array" ref="CG132">IF($BU132=0, INDEX(LS_current!$D$4:$AY$138, MATCH('Staging Table'!$A132, LS_current!$B$4:$B$138, 0), MATCH(CG$4&amp;CG$5, LS_current!$D$2:$AY$2&amp;LS_current!$D$3:$AY$3, 0)),SUM(VLOOKUP($A132, LS_current!$B$4:$AY$138, LS_current!K$148, FALSE), VLOOKUP($A132, LS_current!$B$4:$AY$138,LS_current!K$148, FALSE))/2)</f>
        <v>1935</v>
      </c>
      <c r="CH132" s="227">
        <f t="array" ref="CH132">IF($BU132=0, INDEX(LS_current!$D$4:$AY$138, MATCH('Staging Table'!$A132, LS_current!$B$4:$B$138, 0), MATCH(CH$4&amp;CH$5, LS_current!$D$2:$AY$2&amp;LS_current!$D$3:$AY$3, 0)),SUM(VLOOKUP($A132, LS_current!$B$4:$AY$138, LS_current!L$148, FALSE), VLOOKUP($A132, LS_current!$B$4:$AY$138,LS_current!L$148, FALSE))/2)</f>
        <v>288</v>
      </c>
      <c r="CI132" s="227">
        <f t="array" ref="CI132">IF($BU132=0, INDEX(LS_current!$D$4:$AY$138, MATCH('Staging Table'!$A132, LS_current!$B$4:$B$138, 0), MATCH(CI$4&amp;CI$5, LS_current!$D$2:$AY$2&amp;LS_current!$D$3:$AY$3, 0)),SUM(VLOOKUP($A132, LS_current!$B$4:$AY$138, LS_current!M$148, FALSE), VLOOKUP($A132, LS_current!$B$4:$AY$138,LS_current!M$148, FALSE))/2)</f>
        <v>1776</v>
      </c>
      <c r="CJ132" s="227">
        <f t="array" ref="CJ132">IF($BU132=0, INDEX(LS_current!$D$4:$AY$138, MATCH('Staging Table'!$A132, LS_current!$B$4:$B$138, 0), MATCH(CJ$4&amp;CJ$5, LS_current!$D$2:$AY$2&amp;LS_current!$D$3:$AY$3, 0)),SUM(VLOOKUP($A132, LS_current!$B$4:$AY$138, LS_current!N$148, FALSE), VLOOKUP($A132, LS_current!$B$4:$AY$138,LS_current!N$148, FALSE))/2)</f>
        <v>-558</v>
      </c>
      <c r="CK132" s="227">
        <f t="array" ref="CK132">IF($BU132=0, INDEX(LS_current!$D$4:$AY$138, MATCH('Staging Table'!$A132, LS_current!$B$4:$B$138, 0), MATCH(CK$4&amp;CK$5, LS_current!$D$2:$AY$2&amp;LS_current!$D$3:$AY$3, 0)),SUM(VLOOKUP($A132, LS_current!$B$4:$AY$138, LS_current!O$148, FALSE), VLOOKUP($A132, LS_current!$B$4:$AY$138,LS_current!O$148, FALSE))/2)</f>
        <v>1940</v>
      </c>
      <c r="CL132" s="227">
        <f t="array" ref="CL132">IF($BU132=0, INDEX(LS_current!$D$4:$AY$138, MATCH('Staging Table'!$A132, LS_current!$B$4:$B$138, 0), MATCH(CL$4&amp;CL$5, LS_current!$D$2:$AY$2&amp;LS_current!$D$3:$AY$3, 0)),SUM(VLOOKUP($A132, LS_current!$B$4:$AY$138, LS_current!P$148, FALSE), VLOOKUP($A132, LS_current!$B$4:$AY$138,LS_current!P$148, FALSE))/2)</f>
        <v>1668</v>
      </c>
      <c r="CM132" s="227">
        <f t="array" ref="CM132">IF($BU132=0, INDEX(LS_current!$D$4:$AY$138, MATCH('Staging Table'!$A132, LS_current!$B$4:$B$138, 0), MATCH(CM$4&amp;CM$5, LS_current!$D$2:$AY$2&amp;LS_current!$D$3:$AY$3, 0)),SUM(VLOOKUP($A132, LS_current!$B$4:$AY$138, LS_current!Q$148, FALSE), VLOOKUP($A132, LS_current!$B$4:$AY$138,LS_current!Q$148, FALSE))/2)</f>
        <v>2500</v>
      </c>
      <c r="CN132" s="227">
        <f t="array" ref="CN132">IF($BU132=0, INDEX(LS_current!$D$4:$AY$138, MATCH('Staging Table'!$A132, LS_current!$B$4:$B$138, 0), MATCH(CN$4&amp;CN$5, LS_current!$D$2:$AY$2&amp;LS_current!$D$3:$AY$3, 0)),SUM(VLOOKUP($A132, LS_current!$B$4:$AY$138, LS_current!R$148, FALSE), VLOOKUP($A132, LS_current!$B$4:$AY$138,LS_current!R$148, FALSE))/2)</f>
        <v>-2624</v>
      </c>
      <c r="CO132" s="227">
        <f t="array" ref="CO132">IF($BU132=0, INDEX(LS_current!$D$4:$AY$138, MATCH('Staging Table'!$A132, LS_current!$B$4:$B$138, 0), MATCH(CO$4&amp;CO$5, LS_current!$D$2:$AY$2&amp;LS_current!$D$3:$AY$3, 0)),SUM(VLOOKUP($A132, LS_current!$B$4:$AY$138, LS_current!S$148, FALSE), VLOOKUP($A132, LS_current!$B$4:$AY$138,LS_current!S$148, FALSE))/2)</f>
        <v>1863</v>
      </c>
      <c r="CP132" s="227">
        <f t="array" ref="CP132">IF($BU132=0, INDEX(LS_current!$D$4:$AY$138, MATCH('Staging Table'!$A132, LS_current!$B$4:$B$138, 0), MATCH(CP$4&amp;CP$5, LS_current!$D$2:$AY$2&amp;LS_current!$D$3:$AY$3, 0)),SUM(VLOOKUP($A132, LS_current!$B$4:$AY$138, LS_current!T$148, FALSE), VLOOKUP($A132, LS_current!$B$4:$AY$138,LS_current!T$148, FALSE))/2)</f>
        <v>-5628</v>
      </c>
      <c r="CQ132" s="227">
        <f t="array" ref="CQ132">IF($BU132=0, INDEX(LS_current!$D$4:$AY$138, MATCH('Staging Table'!$A132, LS_current!$B$4:$B$138, 0), MATCH(CQ$4&amp;CQ$5, LS_current!$D$2:$AY$2&amp;LS_current!$D$3:$AY$3, 0)),SUM(VLOOKUP($A132, LS_current!$B$4:$AY$138, LS_current!U$148, FALSE), VLOOKUP($A132, LS_current!$B$4:$AY$138,LS_current!U$148, FALSE))/2)</f>
        <v>-1032</v>
      </c>
      <c r="CR132" s="227">
        <f t="array" ref="CR132">IF($BU132=0, INDEX(LS_current!$D$4:$AY$138, MATCH('Staging Table'!$A132, LS_current!$B$4:$B$138, 0), MATCH(CR$4&amp;CR$5, LS_current!$D$2:$AY$2&amp;LS_current!$D$3:$AY$3, 0)),SUM(VLOOKUP($A132, LS_current!$B$4:$AY$138, LS_current!V$148, FALSE), VLOOKUP($A132, LS_current!$B$4:$AY$138,LS_current!V$148, FALSE))/2)</f>
        <v>-2775</v>
      </c>
      <c r="CS132" s="227">
        <f t="array" ref="CS132">IF($BU132=0, INDEX(LS_current!$D$4:$AY$138, MATCH('Staging Table'!$A132, LS_current!$B$4:$B$138, 0), MATCH(CS$4&amp;CS$5, LS_current!$D$2:$AY$2&amp;LS_current!$D$3:$AY$3, 0)),SUM(VLOOKUP($A132, LS_current!$B$4:$AY$138, LS_current!W$148, FALSE), VLOOKUP($A132, LS_current!$B$4:$AY$138,LS_current!W$148, FALSE))/2)</f>
        <v>2339</v>
      </c>
      <c r="CT132" s="227">
        <f t="array" ref="CT132">IF($BU132=0, INDEX(LS_current!$D$4:$AY$138, MATCH('Staging Table'!$A132, LS_current!$B$4:$B$138, 0), MATCH(CT$4&amp;CT$5, LS_current!$D$2:$AY$2&amp;LS_current!$D$3:$AY$3, 0)),SUM(VLOOKUP($A132, LS_current!$B$4:$AY$138, LS_current!X$148, FALSE), VLOOKUP($A132, LS_current!$B$4:$AY$138,LS_current!X$148, FALSE))/2)</f>
        <v>-2385</v>
      </c>
      <c r="CU132" s="227">
        <f t="array" ref="CU132">IF($BU132=0, INDEX(LS_current!$D$4:$AY$138, MATCH('Staging Table'!$A132, LS_current!$B$4:$B$138, 0), MATCH(CU$4&amp;CU$5, LS_current!$D$2:$AY$2&amp;LS_current!$D$3:$AY$3, 0)),SUM(VLOOKUP($A132, LS_current!$B$4:$AY$138, LS_current!Y$148, FALSE), VLOOKUP($A132, LS_current!$B$4:$AY$138,LS_current!Y$148, FALSE))/2)</f>
        <v>2419</v>
      </c>
      <c r="CV132" s="227">
        <f t="array" ref="CV132">IF($BU132=0, INDEX(LS_current!$D$4:$AY$138, MATCH('Staging Table'!$A132, LS_current!$B$4:$B$138, 0), MATCH(CV$4&amp;CV$5, LS_current!$D$2:$AY$2&amp;LS_current!$D$3:$AY$3, 0)),SUM(VLOOKUP($A132, LS_current!$B$4:$AY$138, LS_current!Z$148, FALSE), VLOOKUP($A132, LS_current!$B$4:$AY$138,LS_current!Z$148, FALSE))/2)</f>
        <v>-655</v>
      </c>
      <c r="CW132" s="227">
        <f t="array" ref="CW132">IF($BU132=0, INDEX(LS_current!$D$4:$AY$138, MATCH('Staging Table'!$A132, LS_current!$B$4:$B$138, 0), MATCH(CW$4&amp;CW$5, LS_current!$D$2:$AY$2&amp;LS_current!$D$3:$AY$3, 0)),SUM(VLOOKUP($A132, LS_current!$B$4:$AY$138, LS_current!AA$148, FALSE), VLOOKUP($A132, LS_current!$B$4:$AY$138,LS_current!AA$148, FALSE))/2)</f>
        <v>2063</v>
      </c>
      <c r="CX132" s="229">
        <f t="array" ref="CX132">INDEX(Demand_current!$D$4:$AY$138, MATCH($A132, Demand_current!$B$4:$B$138, 0), MATCH(CX$4&amp;CX$5,Demand_current!$D$2:$AY$2&amp;Demand_current!$D$3:$AY$3, 0))/1000</f>
        <v>1.6990000000000001</v>
      </c>
      <c r="CY132" s="229">
        <f t="array" ref="CY132">INDEX(Demand_current!$D$4:$AY$138, MATCH($A132, Demand_current!$B$4:$B$138, 0), MATCH(CY$4&amp;CY$5,Demand_current!$D$2:$AY$2&amp;Demand_current!$D$3:$AY$3, 0))/1000</f>
        <v>2.129</v>
      </c>
      <c r="CZ132" s="229">
        <f t="array" ref="CZ132">INDEX(Demand_current!$D$4:$AY$138, MATCH($A132, Demand_current!$B$4:$B$138, 0), MATCH(CZ$4&amp;CZ$5,Demand_current!$D$2:$AY$2&amp;Demand_current!$D$3:$AY$3, 0))/1000</f>
        <v>2.4289999999999998</v>
      </c>
      <c r="DA132" s="229">
        <f t="array" ref="DA132">INDEX(Demand_current!$D$4:$AY$138, MATCH($A132, Demand_current!$B$4:$B$138, 0), MATCH(DA$4&amp;DA$5,Demand_current!$D$2:$AY$2&amp;Demand_current!$D$3:$AY$3, 0))/1000</f>
        <v>1.954</v>
      </c>
      <c r="DB132" s="229">
        <f t="array" ref="DB132">INDEX(Demand_current!$D$4:$AY$138, MATCH($A132, Demand_current!$B$4:$B$138, 0), MATCH(DB$4&amp;DB$5,Demand_current!$D$2:$AY$2&amp;Demand_current!$D$3:$AY$3, 0))/1000</f>
        <v>0</v>
      </c>
      <c r="DC132" s="229">
        <f t="array" ref="DC132">INDEX(Demand_current!$D$4:$AY$138, MATCH($A132, Demand_current!$B$4:$B$138, 0), MATCH(DC$4&amp;DC$5,Demand_current!$D$2:$AY$2&amp;Demand_current!$D$3:$AY$3, 0))/1000</f>
        <v>0</v>
      </c>
      <c r="DD132" s="229">
        <f t="array" ref="DD132">INDEX(Demand_current!$D$4:$AY$138, MATCH($A132, Demand_current!$B$4:$B$138, 0), MATCH(DD$4&amp;DD$5,Demand_current!$D$2:$AY$2&amp;Demand_current!$D$3:$AY$3, 0))/1000</f>
        <v>2.0179999999999998</v>
      </c>
      <c r="DE132" s="229">
        <f t="array" ref="DE132">INDEX(Demand_current!$D$4:$AY$138, MATCH($A132, Demand_current!$B$4:$B$138, 0), MATCH(DE$4&amp;DE$5,Demand_current!$D$2:$AY$2&amp;Demand_current!$D$3:$AY$3, 0))/1000</f>
        <v>1.7909999999999999</v>
      </c>
      <c r="DF132" s="229">
        <f t="array" ref="DF132">INDEX(Demand_current!$D$4:$AY$138, MATCH($A132, Demand_current!$B$4:$B$138, 0), MATCH(DF$4&amp;DF$5,Demand_current!$D$2:$AY$2&amp;Demand_current!$D$3:$AY$3, 0))/1000</f>
        <v>2.234</v>
      </c>
      <c r="DG132" s="229">
        <f t="array" ref="DG132">INDEX(Demand_current!$D$4:$AY$138, MATCH($A132, Demand_current!$B$4:$B$138, 0), MATCH(DG$4&amp;DG$5,Demand_current!$D$2:$AY$2&amp;Demand_current!$D$3:$AY$3, 0))/1000</f>
        <v>1.542</v>
      </c>
      <c r="DH132" s="229">
        <f t="array" ref="DH132">INDEX(Demand_current!$D$4:$AY$138, MATCH($A132, Demand_current!$B$4:$B$138, 0), MATCH(DH$4&amp;DH$5,Demand_current!$D$2:$AY$2&amp;Demand_current!$D$3:$AY$3, 0))/1000</f>
        <v>1.7929999999999999</v>
      </c>
      <c r="DI132" s="229">
        <f t="array" ref="DI132">INDEX(Demand_current!$D$4:$AY$138, MATCH($A132, Demand_current!$B$4:$B$138, 0), MATCH(DI$4&amp;DI$5,Demand_current!$D$2:$AY$2&amp;Demand_current!$D$3:$AY$3, 0))/1000</f>
        <v>1.6319999999999999</v>
      </c>
      <c r="DJ132" s="227">
        <f>$BT132*(VLOOKUP(DJ$4, Rates_current!$G$6:$Q$29, 10, FALSE)+VLOOKUP(DJ$4, Rates_current!$G$6:$Q$29, 11, FALSE))</f>
        <v>17316.786411878398</v>
      </c>
      <c r="DK132" s="227">
        <f>$BT132*(VLOOKUP(DK$4, Rates_current!$G$6:$Q$29, 10, FALSE)+VLOOKUP(DK$4, Rates_current!$G$6:$Q$29, 11, FALSE))</f>
        <v>21997.720819545601</v>
      </c>
      <c r="DL132" s="227">
        <f>$BT132*(VLOOKUP(DL$4, Rates_current!$G$6:$Q$29, 10, FALSE)+VLOOKUP(DL$4, Rates_current!$G$6:$Q$29, 11, FALSE))</f>
        <v>21732.068575078403</v>
      </c>
      <c r="DM132" s="227">
        <f>$BT132*(VLOOKUP(DM$4, Rates_current!$G$6:$Q$29, 10, FALSE)+VLOOKUP(DM$4, Rates_current!$G$6:$Q$29, 11, FALSE))</f>
        <v>18115.002795878401</v>
      </c>
      <c r="DN132" s="227">
        <f>$BT132*(VLOOKUP(DN$4, Rates_current!$G$6:$Q$29, 10, FALSE)+VLOOKUP(DN$4, Rates_current!$G$6:$Q$29, 11, FALSE))</f>
        <v>16410.313246720001</v>
      </c>
      <c r="DO132" s="227">
        <f>$BT132*(VLOOKUP(DO$4, Rates_current!$G$6:$Q$29, 10, FALSE)+VLOOKUP(DO$4, Rates_current!$G$6:$Q$29, 11, FALSE))</f>
        <v>18253.481594124802</v>
      </c>
      <c r="DP132" s="227">
        <f>$BT132*(VLOOKUP(DP$4, Rates_current!$G$6:$Q$29, 10, FALSE)+VLOOKUP(DP$4, Rates_current!$G$6:$Q$29, 11, FALSE))</f>
        <v>14862.004411391999</v>
      </c>
      <c r="DQ132" s="227">
        <f>$BT132*(VLOOKUP(DQ$4, Rates_current!$G$6:$Q$29, 10, FALSE)+VLOOKUP(DQ$4, Rates_current!$G$6:$Q$29, 11, FALSE))</f>
        <v>20043.629119078403</v>
      </c>
      <c r="DR132" s="227">
        <f>$BT132*(VLOOKUP(DR$4, Rates_current!$G$6:$Q$29, 10, FALSE)+VLOOKUP(DR$4, Rates_current!$G$6:$Q$29, 11, FALSE))</f>
        <v>25574.307560192003</v>
      </c>
      <c r="DS132" s="227">
        <f>$BT132*(VLOOKUP(DS$4, Rates_current!$G$6:$Q$29, 10, FALSE)+VLOOKUP(DS$4, Rates_current!$G$6:$Q$29, 11, FALSE))</f>
        <v>20051.068037478402</v>
      </c>
      <c r="DT132" s="227">
        <f>$BT132*(VLOOKUP(DT$4, Rates_current!$G$6:$Q$29, 10, FALSE)+VLOOKUP(DT$4, Rates_current!$G$6:$Q$29, 11, FALSE))</f>
        <v>19525.747634278403</v>
      </c>
      <c r="DU132" s="227">
        <f>$BT132*(VLOOKUP(DU$4, Rates_current!$G$6:$Q$29, 10, FALSE)+VLOOKUP(DU$4, Rates_current!$G$6:$Q$29, 11, FALSE))</f>
        <v>17529.967713792001</v>
      </c>
      <c r="DV132" s="229">
        <f>IF(D132=0,IF(C132=0,MAX(0,DY132 - (VLOOKUP($A132,TOCA_current!$A$2:$AI$137,MATCH("RHWM 2020",TOCA_current!$A$2:$AI$2,0),FALSE)*$BT$2)), 0),0)</f>
        <v>0</v>
      </c>
      <c r="DW132" s="266">
        <f>VLOOKUP($A132,REP_current!$A$1:$D$135,MATCH("FY "&amp;$BT$1&amp; " Total Refund",REP_current!$A$1:$D$1,0),0)</f>
        <v>0</v>
      </c>
      <c r="DX132" s="295">
        <f>MIN(VLOOKUP($A132,TOCA_current!$A$2:$AI$137,MATCH("TRL - NLSL - Existing Resource "&amp;$BT$1,TOCA_current!$A$2:$AI$2,0),FALSE)*$BT$2, VLOOKUP($A132,TOCA_current!$A$2:$AI$137,MATCH("RHWM 2020",TOCA_current!$A$2:$AI$2,0),FALSE)*$BT$2)</f>
        <v>231414.47999999998</v>
      </c>
      <c r="DY132" s="240">
        <f>SUM(BZ132:CW132)+(BT132*RT1SC!$C$4*$BT$2)</f>
        <v>231410.10660536319</v>
      </c>
      <c r="DZ132" s="271">
        <f>VLOOKUP($A132,TOCA_current!$A$2:$AI$137,MATCH("Above RHWM Not Served with LS "&amp;$BT$1,TOCA_current!$A$2:$AI$2,0),FALSE)*$BT$2</f>
        <v>0</v>
      </c>
      <c r="EA132" s="244">
        <f t="shared" si="29"/>
        <v>-4.3733946367865428</v>
      </c>
      <c r="EB132" s="295">
        <f>(VLOOKUP($A132,TOCA_current!$A$2:$AI$137,MATCH("RHWM 2020",TOCA_current!$A$2:$AI$2,0),FALSE)*$BT$2) - $DX132</f>
        <v>3039.2639999999956</v>
      </c>
      <c r="EC132" s="240">
        <f t="shared" si="30"/>
        <v>0</v>
      </c>
      <c r="ED132" s="240">
        <f t="shared" si="31"/>
        <v>4.3733946367865428</v>
      </c>
      <c r="EE132" s="240">
        <f t="shared" si="32"/>
        <v>0</v>
      </c>
      <c r="EF132" s="240">
        <f t="shared" si="33"/>
        <v>4.3733946367865428</v>
      </c>
    </row>
    <row r="133" spans="1:136">
      <c r="A133" s="166">
        <v>10482</v>
      </c>
      <c r="B133" s="167" t="s">
        <v>134</v>
      </c>
      <c r="C133" s="240">
        <v>0</v>
      </c>
      <c r="D133" s="240">
        <v>0</v>
      </c>
      <c r="E133" s="150">
        <f>VLOOKUP($A133,TOCA_previous!$A$2:$AI$137,MATCH(E$4,TOCA_previous!$A$2:$AI$2,0),FALSE)</f>
        <v>3.904E-4</v>
      </c>
      <c r="F133" s="151">
        <f>VLOOKUP($A133,TOCA_previous!$A$2:$AI$137,MATCH(F$4,TOCA_previous!$A$2:$AI$2,0),FALSE)</f>
        <v>3.904E-4</v>
      </c>
      <c r="G133" s="151">
        <f t="shared" si="18"/>
        <v>0</v>
      </c>
      <c r="H133" s="151">
        <f>VLOOKUP($A133,TOCA_previous!$A$2:$AI$137,MATCH(H$4,TOCA_previous!$A$2:$AI$2,0),FALSE)</f>
        <v>0</v>
      </c>
      <c r="I133" s="151">
        <f t="shared" si="19"/>
        <v>0</v>
      </c>
      <c r="J133" s="151">
        <f t="shared" si="20"/>
        <v>0</v>
      </c>
      <c r="K133" s="226">
        <f>VLOOKUP(A133, IRD!$A$5:$C$139, 3, FALSE)</f>
        <v>0</v>
      </c>
      <c r="L133" s="227">
        <f t="array" ref="L133">IF($G133=0, INDEX(LS_previous!$D$4:$AY$138, MATCH('Staging Table'!$A133, LS_previous!$B$4:$B$138, 0), MATCH(L$4&amp;L$5, LS_previous!$D$2:$AY$2&amp;LS_previous!$D$3:$AY$3, 0)),SUM(VLOOKUP($A133, LS_previous!$B$4:$AY$138, LS_previous!D$149, FALSE), VLOOKUP('Staging Table'!$A133, LS_previous!$B$4:$AY$138,LS_previous!AB$149, FALSE))/2)</f>
        <v>-24</v>
      </c>
      <c r="M133" s="227">
        <f t="array" ref="M133">IF($G133=0, INDEX(LS_previous!$D$4:$AY$138, MATCH('Staging Table'!$A133, LS_previous!$B$4:$B$138, 0), MATCH(M$4&amp;M$5, LS_previous!$D$2:$AY$2&amp;LS_previous!$D$3:$AY$3, 0)),SUM(VLOOKUP($A133, LS_previous!$B$4:$AY$138, LS_previous!E$149, FALSE), VLOOKUP('Staging Table'!$A133, LS_previous!$B$4:$AY$138,LS_previous!AC$149, FALSE))/2)</f>
        <v>164</v>
      </c>
      <c r="N133" s="227">
        <f t="array" ref="N133">IF($G133=0, INDEX(LS_previous!$D$4:$AY$138, MATCH('Staging Table'!$A133, LS_previous!$B$4:$B$138, 0), MATCH(N$4&amp;N$5, LS_previous!$D$2:$AY$2&amp;LS_previous!$D$3:$AY$3, 0)),SUM(VLOOKUP($A133, LS_previous!$B$4:$AY$138, LS_previous!F$149, FALSE), VLOOKUP('Staging Table'!$A133, LS_previous!$B$4:$AY$138,LS_previous!AD$149, FALSE))/2)</f>
        <v>-289</v>
      </c>
      <c r="O133" s="227">
        <f t="array" ref="O133">IF($G133=0, INDEX(LS_previous!$D$4:$AY$138, MATCH('Staging Table'!$A133, LS_previous!$B$4:$B$138, 0), MATCH(O$4&amp;O$5, LS_previous!$D$2:$AY$2&amp;LS_previous!$D$3:$AY$3, 0)),SUM(VLOOKUP($A133, LS_previous!$B$4:$AY$138, LS_previous!G$149, FALSE), VLOOKUP('Staging Table'!$A133, LS_previous!$B$4:$AY$138,LS_previous!AE$149, FALSE))/2)</f>
        <v>34</v>
      </c>
      <c r="P133" s="227">
        <f t="array" ref="P133">IF($G133=0, INDEX(LS_previous!$D$4:$AY$138, MATCH('Staging Table'!$A133, LS_previous!$B$4:$B$138, 0), MATCH(P$4&amp;P$5, LS_previous!$D$2:$AY$2&amp;LS_previous!$D$3:$AY$3, 0)),SUM(VLOOKUP($A133, LS_previous!$B$4:$AY$138, LS_previous!H$149, FALSE), VLOOKUP('Staging Table'!$A133, LS_previous!$B$4:$AY$138,LS_previous!AF$149, FALSE))/2)</f>
        <v>-227</v>
      </c>
      <c r="Q133" s="227">
        <f t="array" ref="Q133">IF($G133=0, INDEX(LS_previous!$D$4:$AY$138, MATCH('Staging Table'!$A133, LS_previous!$B$4:$B$138, 0), MATCH(Q$4&amp;Q$5, LS_previous!$D$2:$AY$2&amp;LS_previous!$D$3:$AY$3, 0)),SUM(VLOOKUP($A133, LS_previous!$B$4:$AY$138, LS_previous!I$149, FALSE), VLOOKUP('Staging Table'!$A133, LS_previous!$B$4:$AY$138,LS_previous!AG$149, FALSE))/2)</f>
        <v>118</v>
      </c>
      <c r="R133" s="227">
        <f t="array" ref="R133">IF($G133=0, INDEX(LS_previous!$D$4:$AY$138, MATCH('Staging Table'!$A133, LS_previous!$B$4:$B$138, 0), MATCH(R$4&amp;R$5, LS_previous!$D$2:$AY$2&amp;LS_previous!$D$3:$AY$3, 0)),SUM(VLOOKUP($A133, LS_previous!$B$4:$AY$138, LS_previous!J$149, FALSE), VLOOKUP('Staging Table'!$A133, LS_previous!$B$4:$AY$138,LS_previous!AH$149, FALSE))/2)</f>
        <v>45</v>
      </c>
      <c r="S133" s="227">
        <f t="array" ref="S133">IF($G133=0, INDEX(LS_previous!$D$4:$AY$138, MATCH('Staging Table'!$A133, LS_previous!$B$4:$B$138, 0), MATCH(S$4&amp;S$5, LS_previous!$D$2:$AY$2&amp;LS_previous!$D$3:$AY$3, 0)),SUM(VLOOKUP($A133, LS_previous!$B$4:$AY$138, LS_previous!K$149, FALSE), VLOOKUP('Staging Table'!$A133, LS_previous!$B$4:$AY$138,LS_previous!AI$149, FALSE))/2)</f>
        <v>204</v>
      </c>
      <c r="T133" s="227">
        <f t="array" ref="T133">IF($G133=0, INDEX(LS_previous!$D$4:$AY$138, MATCH('Staging Table'!$A133, LS_previous!$B$4:$B$138, 0), MATCH(T$4&amp;T$5, LS_previous!$D$2:$AY$2&amp;LS_previous!$D$3:$AY$3, 0)),SUM(VLOOKUP($A133, LS_previous!$B$4:$AY$138, LS_previous!L$149, FALSE), VLOOKUP('Staging Table'!$A133, LS_previous!$B$4:$AY$138,LS_previous!AJ$149, FALSE))/2)</f>
        <v>154</v>
      </c>
      <c r="U133" s="227">
        <f t="array" ref="U133">IF($G133=0, INDEX(LS_previous!$D$4:$AY$138, MATCH('Staging Table'!$A133, LS_previous!$B$4:$B$138, 0), MATCH(U$4&amp;U$5, LS_previous!$D$2:$AY$2&amp;LS_previous!$D$3:$AY$3, 0)),SUM(VLOOKUP($A133, LS_previous!$B$4:$AY$138, LS_previous!M$149, FALSE), VLOOKUP('Staging Table'!$A133, LS_previous!$B$4:$AY$138,LS_previous!AK$149, FALSE))/2)</f>
        <v>243</v>
      </c>
      <c r="V133" s="227">
        <f t="array" ref="V133">IF($G133=0, INDEX(LS_previous!$D$4:$AY$138, MATCH('Staging Table'!$A133, LS_previous!$B$4:$B$138, 0), MATCH(V$4&amp;V$5, LS_previous!$D$2:$AY$2&amp;LS_previous!$D$3:$AY$3, 0)),SUM(VLOOKUP($A133, LS_previous!$B$4:$AY$138, LS_previous!N$149, FALSE), VLOOKUP('Staging Table'!$A133, LS_previous!$B$4:$AY$138,LS_previous!AL$149, FALSE))/2)</f>
        <v>6</v>
      </c>
      <c r="W133" s="227">
        <f t="array" ref="W133">IF($G133=0, INDEX(LS_previous!$D$4:$AY$138, MATCH('Staging Table'!$A133, LS_previous!$B$4:$B$138, 0), MATCH(W$4&amp;W$5, LS_previous!$D$2:$AY$2&amp;LS_previous!$D$3:$AY$3, 0)),SUM(VLOOKUP($A133, LS_previous!$B$4:$AY$138, LS_previous!O$149, FALSE), VLOOKUP('Staging Table'!$A133, LS_previous!$B$4:$AY$138,LS_previous!AM$149, FALSE))/2)</f>
        <v>229</v>
      </c>
      <c r="X133" s="227">
        <f t="array" ref="X133">IF($G133=0, INDEX(LS_previous!$D$4:$AY$138, MATCH('Staging Table'!$A133, LS_previous!$B$4:$B$138, 0), MATCH(X$4&amp;X$5, LS_previous!$D$2:$AY$2&amp;LS_previous!$D$3:$AY$3, 0)),SUM(VLOOKUP($A133, LS_previous!$B$4:$AY$138, LS_previous!P$149, FALSE), VLOOKUP('Staging Table'!$A133, LS_previous!$B$4:$AY$138,LS_previous!AN$149, FALSE))/2)</f>
        <v>20</v>
      </c>
      <c r="Y133" s="227">
        <f t="array" ref="Y133">IF($G133=0, INDEX(LS_previous!$D$4:$AY$138, MATCH('Staging Table'!$A133, LS_previous!$B$4:$B$138, 0), MATCH(Y$4&amp;Y$5, LS_previous!$D$2:$AY$2&amp;LS_previous!$D$3:$AY$3, 0)),SUM(VLOOKUP($A133, LS_previous!$B$4:$AY$138, LS_previous!Q$149, FALSE), VLOOKUP('Staging Table'!$A133, LS_previous!$B$4:$AY$138,LS_previous!AO$149, FALSE))/2)</f>
        <v>190</v>
      </c>
      <c r="Z133" s="227">
        <f t="array" ref="Z133">IF($G133=0, INDEX(LS_previous!$D$4:$AY$138, MATCH('Staging Table'!$A133, LS_previous!$B$4:$B$138, 0), MATCH(Z$4&amp;Z$5, LS_previous!$D$2:$AY$2&amp;LS_previous!$D$3:$AY$3, 0)),SUM(VLOOKUP($A133, LS_previous!$B$4:$AY$138, LS_previous!R$149, FALSE), VLOOKUP('Staging Table'!$A133, LS_previous!$B$4:$AY$138,LS_previous!AP$149, FALSE))/2)</f>
        <v>-574</v>
      </c>
      <c r="AA133" s="227">
        <f t="array" ref="AA133">IF($G133=0, INDEX(LS_previous!$D$4:$AY$138, MATCH('Staging Table'!$A133, LS_previous!$B$4:$B$138, 0), MATCH(AA$4&amp;AA$5, LS_previous!$D$2:$AY$2&amp;LS_previous!$D$3:$AY$3, 0)),SUM(VLOOKUP($A133, LS_previous!$B$4:$AY$138, LS_previous!S$149, FALSE), VLOOKUP('Staging Table'!$A133, LS_previous!$B$4:$AY$138,LS_previous!AQ$149, FALSE))/2)</f>
        <v>-44</v>
      </c>
      <c r="AB133" s="227">
        <f t="array" ref="AB133">IF($G133=0, INDEX(LS_previous!$D$4:$AY$138, MATCH('Staging Table'!$A133, LS_previous!$B$4:$B$138, 0), MATCH(AB$4&amp;AB$5, LS_previous!$D$2:$AY$2&amp;LS_previous!$D$3:$AY$3, 0)),SUM(VLOOKUP($A133, LS_previous!$B$4:$AY$138, LS_previous!T$149, FALSE), VLOOKUP('Staging Table'!$A133, LS_previous!$B$4:$AY$138,LS_previous!AR$149, FALSE))/2)</f>
        <v>-176</v>
      </c>
      <c r="AC133" s="227">
        <f t="array" ref="AC133">IF($G133=0, INDEX(LS_previous!$D$4:$AY$138, MATCH('Staging Table'!$A133, LS_previous!$B$4:$B$138, 0), MATCH(AC$4&amp;AC$5, LS_previous!$D$2:$AY$2&amp;LS_previous!$D$3:$AY$3, 0)),SUM(VLOOKUP($A133, LS_previous!$B$4:$AY$138, LS_previous!U$149, FALSE), VLOOKUP('Staging Table'!$A133, LS_previous!$B$4:$AY$138,LS_previous!AS$149, FALSE))/2)</f>
        <v>69</v>
      </c>
      <c r="AD133" s="227">
        <f t="array" ref="AD133">IF($G133=0, INDEX(LS_previous!$D$4:$AY$138, MATCH('Staging Table'!$A133, LS_previous!$B$4:$B$138, 0), MATCH(AD$4&amp;AD$5, LS_previous!$D$2:$AY$2&amp;LS_previous!$D$3:$AY$3, 0)),SUM(VLOOKUP($A133, LS_previous!$B$4:$AY$138, LS_previous!V$149, FALSE), VLOOKUP('Staging Table'!$A133, LS_previous!$B$4:$AY$138,LS_previous!AT$149, FALSE))/2)</f>
        <v>24</v>
      </c>
      <c r="AE133" s="227">
        <f t="array" ref="AE133">IF($G133=0, INDEX(LS_previous!$D$4:$AY$138, MATCH('Staging Table'!$A133, LS_previous!$B$4:$B$138, 0), MATCH(AE$4&amp;AE$5, LS_previous!$D$2:$AY$2&amp;LS_previous!$D$3:$AY$3, 0)),SUM(VLOOKUP($A133, LS_previous!$B$4:$AY$138, LS_previous!W$149, FALSE), VLOOKUP('Staging Table'!$A133, LS_previous!$B$4:$AY$138,LS_previous!AU$149, FALSE))/2)</f>
        <v>202</v>
      </c>
      <c r="AF133" s="227">
        <f t="array" ref="AF133">IF($G133=0, INDEX(LS_previous!$D$4:$AY$138, MATCH('Staging Table'!$A133, LS_previous!$B$4:$B$138, 0), MATCH(AF$4&amp;AF$5, LS_previous!$D$2:$AY$2&amp;LS_previous!$D$3:$AY$3, 0)),SUM(VLOOKUP($A133, LS_previous!$B$4:$AY$138, LS_previous!X$149, FALSE), VLOOKUP('Staging Table'!$A133, LS_previous!$B$4:$AY$138,LS_previous!AV$149, FALSE))/2)</f>
        <v>-157</v>
      </c>
      <c r="AG133" s="227">
        <f t="array" ref="AG133">IF($G133=0, INDEX(LS_previous!$D$4:$AY$138, MATCH('Staging Table'!$A133, LS_previous!$B$4:$B$138, 0), MATCH(AG$4&amp;AG$5, LS_previous!$D$2:$AY$2&amp;LS_previous!$D$3:$AY$3, 0)),SUM(VLOOKUP($A133, LS_previous!$B$4:$AY$138, LS_previous!Y$149, FALSE), VLOOKUP('Staging Table'!$A133, LS_previous!$B$4:$AY$138,LS_previous!AW$149, FALSE))/2)</f>
        <v>147</v>
      </c>
      <c r="AH133" s="227">
        <f t="array" ref="AH133">IF($G133=0, INDEX(LS_previous!$D$4:$AY$138, MATCH('Staging Table'!$A133, LS_previous!$B$4:$B$138, 0), MATCH(AH$4&amp;AH$5, LS_previous!$D$2:$AY$2&amp;LS_previous!$D$3:$AY$3, 0)),SUM(VLOOKUP($A133, LS_previous!$B$4:$AY$138, LS_previous!Z$149, FALSE), VLOOKUP('Staging Table'!$A133, LS_previous!$B$4:$AY$138,LS_previous!AX$149, FALSE))/2)</f>
        <v>-73</v>
      </c>
      <c r="AI133" s="227">
        <f t="array" ref="AI133">IF($G133=0, INDEX(LS_previous!$D$4:$AY$138, MATCH('Staging Table'!$A133, LS_previous!$B$4:$B$138, 0), MATCH(AI$4&amp;AI$5, LS_previous!$D$2:$AY$2&amp;LS_previous!$D$3:$AY$3, 0)),SUM(VLOOKUP($A133, LS_previous!$B$4:$AY$138, LS_previous!AA$149, FALSE), VLOOKUP('Staging Table'!$A133, LS_previous!$B$4:$AY$138,LS_previous!AY$149, FALSE))/2)</f>
        <v>145</v>
      </c>
      <c r="AJ133" s="424">
        <f t="array" ref="AJ133">INDEX(Demand_previous!$D$4:$AY$138, MATCH('Staging Table'!$A133, Demand_previous!$B$4:$B$138, 0), MATCH(AJ$4&amp;AJ$5,Demand_previous!$D$2:$AY$2&amp;Demand_previous!$D$3:$AY$3, 0))/1000</f>
        <v>7.3999999999999996E-2</v>
      </c>
      <c r="AK133" s="424">
        <f t="array" ref="AK133">INDEX(Demand_previous!$D$4:$AY$138, MATCH('Staging Table'!$A133, Demand_previous!$B$4:$B$138, 0), MATCH(AK$4&amp;AK$5,Demand_previous!$D$2:$AY$2&amp;Demand_previous!$D$3:$AY$3, 0))/1000</f>
        <v>0.35399999999999998</v>
      </c>
      <c r="AL133" s="424">
        <f t="array" ref="AL133">INDEX(Demand_previous!$D$4:$AY$138, MATCH('Staging Table'!$A133, Demand_previous!$B$4:$B$138, 0), MATCH(AL$4&amp;AL$5,Demand_previous!$D$2:$AY$2&amp;Demand_previous!$D$3:$AY$3, 0))/1000</f>
        <v>0.38100000000000001</v>
      </c>
      <c r="AM133" s="424">
        <f t="array" ref="AM133">INDEX(Demand_previous!$D$4:$AY$138, MATCH('Staging Table'!$A133, Demand_previous!$B$4:$B$138, 0), MATCH(AM$4&amp;AM$5,Demand_previous!$D$2:$AY$2&amp;Demand_previous!$D$3:$AY$3, 0))/1000</f>
        <v>0.41299999999999998</v>
      </c>
      <c r="AN133" s="424">
        <f t="array" ref="AN133">INDEX(Demand_previous!$D$4:$AY$138, MATCH('Staging Table'!$A133, Demand_previous!$B$4:$B$138, 0), MATCH(AN$4&amp;AN$5,Demand_previous!$D$2:$AY$2&amp;Demand_previous!$D$3:$AY$3, 0))/1000</f>
        <v>0.17</v>
      </c>
      <c r="AO133" s="424">
        <f t="array" ref="AO133">INDEX(Demand_previous!$D$4:$AY$138, MATCH('Staging Table'!$A133, Demand_previous!$B$4:$B$138, 0), MATCH(AO$4&amp;AO$5,Demand_previous!$D$2:$AY$2&amp;Demand_previous!$D$3:$AY$3, 0))/1000</f>
        <v>0.38700000000000001</v>
      </c>
      <c r="AP133" s="424">
        <f t="array" ref="AP133">INDEX(Demand_previous!$D$4:$AY$138, MATCH('Staging Table'!$A133, Demand_previous!$B$4:$B$138, 0), MATCH(AP$4&amp;AP$5,Demand_previous!$D$2:$AY$2&amp;Demand_previous!$D$3:$AY$3, 0))/1000</f>
        <v>0.161</v>
      </c>
      <c r="AQ133" s="424">
        <f t="array" ref="AQ133">INDEX(Demand_previous!$D$4:$AY$138, MATCH('Staging Table'!$A133, Demand_previous!$B$4:$B$138, 0), MATCH(AQ$4&amp;AQ$5,Demand_previous!$D$2:$AY$2&amp;Demand_previous!$D$3:$AY$3, 0))/1000</f>
        <v>0.42599999999999999</v>
      </c>
      <c r="AR133" s="424">
        <f t="array" ref="AR133">INDEX(Demand_previous!$D$4:$AY$138, MATCH('Staging Table'!$A133, Demand_previous!$B$4:$B$138, 0), MATCH(AR$4&amp;AR$5,Demand_previous!$D$2:$AY$2&amp;Demand_previous!$D$3:$AY$3, 0))/1000</f>
        <v>0.54100000000000004</v>
      </c>
      <c r="AS133" s="424">
        <f t="array" ref="AS133">INDEX(Demand_previous!$D$4:$AY$138, MATCH('Staging Table'!$A133, Demand_previous!$B$4:$B$138, 0), MATCH(AS$4&amp;AS$5,Demand_previous!$D$2:$AY$2&amp;Demand_previous!$D$3:$AY$3, 0))/1000</f>
        <v>0.39700000000000002</v>
      </c>
      <c r="AT133" s="424">
        <f t="array" ref="AT133">INDEX(Demand_previous!$D$4:$AY$138, MATCH('Staging Table'!$A133, Demand_previous!$B$4:$B$138, 0), MATCH(AT$4&amp;AT$5,Demand_previous!$D$2:$AY$2&amp;Demand_previous!$D$3:$AY$3, 0))/1000</f>
        <v>0.81499999999999995</v>
      </c>
      <c r="AU133" s="424">
        <f t="array" ref="AU133">INDEX(Demand_previous!$D$4:$AY$138, MATCH('Staging Table'!$A133, Demand_previous!$B$4:$B$138, 0), MATCH(AU$4&amp;AU$5,Demand_previous!$D$2:$AY$2&amp;Demand_previous!$D$3:$AY$3, 0))/1000</f>
        <v>0.39500000000000002</v>
      </c>
      <c r="AV133" s="227">
        <f>$F133*(VLOOKUP(AV$4, Rates_previous!$G$6:$Q$29, 10, FALSE)+VLOOKUP(AV$4, Rates_previous!$G$6:$Q$29, 11, FALSE))</f>
        <v>1830.5222624368607</v>
      </c>
      <c r="AW133" s="227">
        <f>$F133*(VLOOKUP(AW$4, Rates_previous!$G$6:$Q$29, 10, FALSE)+VLOOKUP(AW$4, Rates_previous!$G$6:$Q$29, 11, FALSE))</f>
        <v>2262.3863893069274</v>
      </c>
      <c r="AX133" s="227">
        <f>$F133*(VLOOKUP(AX$4, Rates_previous!$G$6:$Q$29, 10, FALSE)+VLOOKUP(AX$4, Rates_previous!$G$6:$Q$29, 11, FALSE))</f>
        <v>2235.2178347161757</v>
      </c>
      <c r="AY133" s="227">
        <f>$F133*(VLOOKUP(AY$4, Rates_previous!$G$6:$Q$29, 10, FALSE)+VLOOKUP(AY$4, Rates_previous!$G$6:$Q$29, 11, FALSE))</f>
        <v>1909.780588318464</v>
      </c>
      <c r="AZ133" s="227">
        <f>$F133*(VLOOKUP(AZ$4, Rates_previous!$G$6:$Q$29, 10, FALSE)+VLOOKUP(AZ$4, Rates_previous!$G$6:$Q$29, 11, FALSE))</f>
        <v>1565.6496400881567</v>
      </c>
      <c r="BA133" s="227">
        <f>$F133*(VLOOKUP(BA$4, Rates_previous!$G$6:$Q$29, 10, FALSE)+VLOOKUP(BA$4, Rates_previous!$G$6:$Q$29, 11, FALSE))</f>
        <v>1853.6723041916225</v>
      </c>
      <c r="BB133" s="227">
        <f>$F133*(VLOOKUP(BB$4, Rates_previous!$G$6:$Q$29, 10, FALSE)+VLOOKUP(BB$4, Rates_previous!$G$6:$Q$29, 11, FALSE))</f>
        <v>1781.6487174148094</v>
      </c>
      <c r="BC133" s="227">
        <f>$F133*(VLOOKUP(BC$4, Rates_previous!$G$6:$Q$29, 10, FALSE)+VLOOKUP(BC$4, Rates_previous!$G$6:$Q$29, 11, FALSE))</f>
        <v>2614.4434184478851</v>
      </c>
      <c r="BD133" s="227">
        <f>$F133*(VLOOKUP(BD$4, Rates_previous!$G$6:$Q$29, 10, FALSE)+VLOOKUP(BD$4, Rates_previous!$G$6:$Q$29, 11, FALSE))</f>
        <v>2062.7267565735297</v>
      </c>
      <c r="BE133" s="227">
        <f>$F133*(VLOOKUP(BE$4, Rates_previous!$G$6:$Q$29, 10, FALSE)+VLOOKUP(BE$4, Rates_previous!$G$6:$Q$29, 11, FALSE))</f>
        <v>1811.2472283356515</v>
      </c>
      <c r="BF133" s="227">
        <f>$F133*(VLOOKUP(BF$4, Rates_previous!$G$6:$Q$29, 10, FALSE)+VLOOKUP(BF$4, Rates_previous!$G$6:$Q$29, 11, FALSE))</f>
        <v>2006.0288054656191</v>
      </c>
      <c r="BG133" s="227">
        <f>$F133*(VLOOKUP(BG$4, Rates_previous!$G$6:$Q$29, 10, FALSE)+VLOOKUP(BG$4, Rates_previous!$G$6:$Q$29, 11, FALSE))</f>
        <v>1817.3823229860448</v>
      </c>
      <c r="BH133" s="229">
        <f>IF($D133=0,IF(C133=0, MAX(BK133 - (VLOOKUP($A133,TOCA_previous!$A$2:$AI$137,MATCH("RHWM 2018",TOCA_previous!$A$2:$AI$2,0),FALSE)*$F$2*TOCA_previous!C130),0),0), 0)</f>
        <v>0</v>
      </c>
      <c r="BI133" s="266">
        <f>VLOOKUP($A133,REP_previous!$A$1:$D$135,MATCH("FY "&amp;$F$1&amp; " Total Refund",REP_previous!$A$1:$D$1,0),0)</f>
        <v>31167.066926376116</v>
      </c>
      <c r="BJ133" s="241">
        <f>MIN(VLOOKUP($A133,TOCA_previous!$A$2:$AI$137,MATCH("TRL - NLSL - Existing Resource "&amp;$F$1,TOCA_previous!$A$2:$AI$2,0),FALSE)*$F$2,(VLOOKUP($A133,TOCA_previous!$A$2:$AI$137,MATCH("RHWM 2018",TOCA_previous!$A$2:$AI$2,0),FALSE)*$F$2))</f>
        <v>23748.359999999997</v>
      </c>
      <c r="BK133" s="229">
        <f>SUM(L133:AI133)+(F133*RT1SC!$C$3*$F$2)</f>
        <v>24180.706614783998</v>
      </c>
      <c r="BL133" s="241">
        <f>VLOOKUP($A133,TOCA_previous!$A$2:$AI$137,MATCH("Above RHWM Not Served with LS "&amp;$F$1,TOCA_previous!$A$2:$AI$2,0),FALSE)*$F$2</f>
        <v>0</v>
      </c>
      <c r="BM133" s="151">
        <f t="shared" si="21"/>
        <v>432.34661478400085</v>
      </c>
      <c r="BN133" s="242">
        <f>(VLOOKUP($A133,TOCA_previous!$A$2:$AI$137,MATCH("RHWM 2018",TOCA_previous!$A$2:$AI$2,0),FALSE)*$F$2) - $BJ133</f>
        <v>11712.120000000006</v>
      </c>
      <c r="BO133" s="151">
        <f t="shared" si="22"/>
        <v>-432.34661478400085</v>
      </c>
      <c r="BP133" s="243">
        <f t="shared" si="23"/>
        <v>0</v>
      </c>
      <c r="BQ133" s="237">
        <f t="shared" si="24"/>
        <v>0</v>
      </c>
      <c r="BR133" s="242">
        <f t="shared" si="25"/>
        <v>-432.34661478400085</v>
      </c>
      <c r="BS133" s="151">
        <f>VLOOKUP($A133,TOCA_current!$A$2:$AI$137,MATCH(BS$4,TOCA_current!$A$2:$AI$2,0),FALSE)</f>
        <v>3.8420000000000001E-4</v>
      </c>
      <c r="BT133" s="151">
        <f>VLOOKUP($A133,TOCA_current!$A$2:$AI$137,MATCH(BT$4,TOCA_current!$A$2:$AI$2,0),FALSE)</f>
        <v>3.8420000000000001E-4</v>
      </c>
      <c r="BU133" s="236">
        <f t="shared" si="26"/>
        <v>0</v>
      </c>
      <c r="BV133" s="151">
        <f>VLOOKUP($A133,TOCA_current!A129:BG264,MATCH(BV$4,TOCA_current!$A$2:$BG$2,0),FALSE)</f>
        <v>0</v>
      </c>
      <c r="BW133" s="151">
        <f t="shared" si="27"/>
        <v>0</v>
      </c>
      <c r="BX133" s="151">
        <f t="shared" si="28"/>
        <v>0</v>
      </c>
      <c r="BY133" s="226">
        <f>VLOOKUP($A133,IRD!$A$4:$G$139, 7, FALSE)</f>
        <v>0</v>
      </c>
      <c r="BZ133" s="227">
        <f t="array" ref="BZ133">IF($BU133=0, INDEX(LS_current!$D$4:$AY$138, MATCH('Staging Table'!$A133, LS_current!$B$4:$B$138, 0), MATCH(BZ$4&amp;BZ$5, LS_current!$D$2:$AY$2&amp;LS_current!$D$3:$AY$3, 0)),SUM(VLOOKUP($A133, LS_current!$B$4:$AY$138, LS_current!D$148, FALSE), VLOOKUP($A133, LS_current!$B$4:$AY$138,LS_current!D$148, FALSE))/2)</f>
        <v>10</v>
      </c>
      <c r="CA133" s="227">
        <f t="array" ref="CA133">IF($BU133=0, INDEX(LS_current!$D$4:$AY$138, MATCH('Staging Table'!$A133, LS_current!$B$4:$B$138, 0), MATCH(CA$4&amp;CA$5, LS_current!$D$2:$AY$2&amp;LS_current!$D$3:$AY$3, 0)),SUM(VLOOKUP($A133, LS_current!$B$4:$AY$138, LS_current!E$148, FALSE), VLOOKUP($A133, LS_current!$B$4:$AY$138,LS_current!E$148, FALSE))/2)</f>
        <v>186</v>
      </c>
      <c r="CB133" s="227">
        <f t="array" ref="CB133">IF($BU133=0, INDEX(LS_current!$D$4:$AY$138, MATCH('Staging Table'!$A133, LS_current!$B$4:$B$138, 0), MATCH(CB$4&amp;CB$5, LS_current!$D$2:$AY$2&amp;LS_current!$D$3:$AY$3, 0)),SUM(VLOOKUP($A133, LS_current!$B$4:$AY$138, LS_current!F$148, FALSE), VLOOKUP($A133, LS_current!$B$4:$AY$138,LS_current!F$148, FALSE))/2)</f>
        <v>-277</v>
      </c>
      <c r="CC133" s="227">
        <f t="array" ref="CC133">IF($BU133=0, INDEX(LS_current!$D$4:$AY$138, MATCH('Staging Table'!$A133, LS_current!$B$4:$B$138, 0), MATCH(CC$4&amp;CC$5, LS_current!$D$2:$AY$2&amp;LS_current!$D$3:$AY$3, 0)),SUM(VLOOKUP($A133, LS_current!$B$4:$AY$138, LS_current!G$148, FALSE), VLOOKUP($A133, LS_current!$B$4:$AY$138,LS_current!G$148, FALSE))/2)</f>
        <v>30</v>
      </c>
      <c r="CD133" s="227">
        <f t="array" ref="CD133">IF($BU133=0, INDEX(LS_current!$D$4:$AY$138, MATCH('Staging Table'!$A133, LS_current!$B$4:$B$138, 0), MATCH(CD$4&amp;CD$5, LS_current!$D$2:$AY$2&amp;LS_current!$D$3:$AY$3, 0)),SUM(VLOOKUP($A133, LS_current!$B$4:$AY$138, LS_current!H$148, FALSE), VLOOKUP($A133, LS_current!$B$4:$AY$138,LS_current!H$148, FALSE))/2)</f>
        <v>-217</v>
      </c>
      <c r="CE133" s="227">
        <f t="array" ref="CE133">IF($BU133=0, INDEX(LS_current!$D$4:$AY$138, MATCH('Staging Table'!$A133, LS_current!$B$4:$B$138, 0), MATCH(CE$4&amp;CE$5, LS_current!$D$2:$AY$2&amp;LS_current!$D$3:$AY$3, 0)),SUM(VLOOKUP($A133, LS_current!$B$4:$AY$138, LS_current!I$148, FALSE), VLOOKUP($A133, LS_current!$B$4:$AY$138,LS_current!I$148, FALSE))/2)</f>
        <v>117</v>
      </c>
      <c r="CF133" s="227">
        <f t="array" ref="CF133">IF($BU133=0, INDEX(LS_current!$D$4:$AY$138, MATCH('Staging Table'!$A133, LS_current!$B$4:$B$138, 0), MATCH(CF$4&amp;CF$5, LS_current!$D$2:$AY$2&amp;LS_current!$D$3:$AY$3, 0)),SUM(VLOOKUP($A133, LS_current!$B$4:$AY$138, LS_current!J$148, FALSE), VLOOKUP($A133, LS_current!$B$4:$AY$138,LS_current!J$148, FALSE))/2)</f>
        <v>59</v>
      </c>
      <c r="CG133" s="227">
        <f t="array" ref="CG133">IF($BU133=0, INDEX(LS_current!$D$4:$AY$138, MATCH('Staging Table'!$A133, LS_current!$B$4:$B$138, 0), MATCH(CG$4&amp;CG$5, LS_current!$D$2:$AY$2&amp;LS_current!$D$3:$AY$3, 0)),SUM(VLOOKUP($A133, LS_current!$B$4:$AY$138, LS_current!K$148, FALSE), VLOOKUP($A133, LS_current!$B$4:$AY$138,LS_current!K$148, FALSE))/2)</f>
        <v>245</v>
      </c>
      <c r="CH133" s="227">
        <f t="array" ref="CH133">IF($BU133=0, INDEX(LS_current!$D$4:$AY$138, MATCH('Staging Table'!$A133, LS_current!$B$4:$B$138, 0), MATCH(CH$4&amp;CH$5, LS_current!$D$2:$AY$2&amp;LS_current!$D$3:$AY$3, 0)),SUM(VLOOKUP($A133, LS_current!$B$4:$AY$138, LS_current!L$148, FALSE), VLOOKUP($A133, LS_current!$B$4:$AY$138,LS_current!L$148, FALSE))/2)</f>
        <v>82</v>
      </c>
      <c r="CI133" s="227">
        <f t="array" ref="CI133">IF($BU133=0, INDEX(LS_current!$D$4:$AY$138, MATCH('Staging Table'!$A133, LS_current!$B$4:$B$138, 0), MATCH(CI$4&amp;CI$5, LS_current!$D$2:$AY$2&amp;LS_current!$D$3:$AY$3, 0)),SUM(VLOOKUP($A133, LS_current!$B$4:$AY$138, LS_current!M$148, FALSE), VLOOKUP($A133, LS_current!$B$4:$AY$138,LS_current!M$148, FALSE))/2)</f>
        <v>199</v>
      </c>
      <c r="CJ133" s="227">
        <f t="array" ref="CJ133">IF($BU133=0, INDEX(LS_current!$D$4:$AY$138, MATCH('Staging Table'!$A133, LS_current!$B$4:$B$138, 0), MATCH(CJ$4&amp;CJ$5, LS_current!$D$2:$AY$2&amp;LS_current!$D$3:$AY$3, 0)),SUM(VLOOKUP($A133, LS_current!$B$4:$AY$138, LS_current!N$148, FALSE), VLOOKUP($A133, LS_current!$B$4:$AY$138,LS_current!N$148, FALSE))/2)</f>
        <v>-10</v>
      </c>
      <c r="CK133" s="227">
        <f t="array" ref="CK133">IF($BU133=0, INDEX(LS_current!$D$4:$AY$138, MATCH('Staging Table'!$A133, LS_current!$B$4:$B$138, 0), MATCH(CK$4&amp;CK$5, LS_current!$D$2:$AY$2&amp;LS_current!$D$3:$AY$3, 0)),SUM(VLOOKUP($A133, LS_current!$B$4:$AY$138, LS_current!O$148, FALSE), VLOOKUP($A133, LS_current!$B$4:$AY$138,LS_current!O$148, FALSE))/2)</f>
        <v>229</v>
      </c>
      <c r="CL133" s="227">
        <f t="array" ref="CL133">IF($BU133=0, INDEX(LS_current!$D$4:$AY$138, MATCH('Staging Table'!$A133, LS_current!$B$4:$B$138, 0), MATCH(CL$4&amp;CL$5, LS_current!$D$2:$AY$2&amp;LS_current!$D$3:$AY$3, 0)),SUM(VLOOKUP($A133, LS_current!$B$4:$AY$138, LS_current!P$148, FALSE), VLOOKUP($A133, LS_current!$B$4:$AY$138,LS_current!P$148, FALSE))/2)</f>
        <v>207</v>
      </c>
      <c r="CM133" s="227">
        <f t="array" ref="CM133">IF($BU133=0, INDEX(LS_current!$D$4:$AY$138, MATCH('Staging Table'!$A133, LS_current!$B$4:$B$138, 0), MATCH(CM$4&amp;CM$5, LS_current!$D$2:$AY$2&amp;LS_current!$D$3:$AY$3, 0)),SUM(VLOOKUP($A133, LS_current!$B$4:$AY$138, LS_current!Q$148, FALSE), VLOOKUP($A133, LS_current!$B$4:$AY$138,LS_current!Q$148, FALSE))/2)</f>
        <v>261</v>
      </c>
      <c r="CN133" s="227">
        <f t="array" ref="CN133">IF($BU133=0, INDEX(LS_current!$D$4:$AY$138, MATCH('Staging Table'!$A133, LS_current!$B$4:$B$138, 0), MATCH(CN$4&amp;CN$5, LS_current!$D$2:$AY$2&amp;LS_current!$D$3:$AY$3, 0)),SUM(VLOOKUP($A133, LS_current!$B$4:$AY$138, LS_current!R$148, FALSE), VLOOKUP($A133, LS_current!$B$4:$AY$138,LS_current!R$148, FALSE))/2)</f>
        <v>-241</v>
      </c>
      <c r="CO133" s="227">
        <f t="array" ref="CO133">IF($BU133=0, INDEX(LS_current!$D$4:$AY$138, MATCH('Staging Table'!$A133, LS_current!$B$4:$B$138, 0), MATCH(CO$4&amp;CO$5, LS_current!$D$2:$AY$2&amp;LS_current!$D$3:$AY$3, 0)),SUM(VLOOKUP($A133, LS_current!$B$4:$AY$138, LS_current!S$148, FALSE), VLOOKUP($A133, LS_current!$B$4:$AY$138,LS_current!S$148, FALSE))/2)</f>
        <v>183</v>
      </c>
      <c r="CP133" s="227">
        <f t="array" ref="CP133">IF($BU133=0, INDEX(LS_current!$D$4:$AY$138, MATCH('Staging Table'!$A133, LS_current!$B$4:$B$138, 0), MATCH(CP$4&amp;CP$5, LS_current!$D$2:$AY$2&amp;LS_current!$D$3:$AY$3, 0)),SUM(VLOOKUP($A133, LS_current!$B$4:$AY$138, LS_current!T$148, FALSE), VLOOKUP($A133, LS_current!$B$4:$AY$138,LS_current!T$148, FALSE))/2)</f>
        <v>-527</v>
      </c>
      <c r="CQ133" s="227">
        <f t="array" ref="CQ133">IF($BU133=0, INDEX(LS_current!$D$4:$AY$138, MATCH('Staging Table'!$A133, LS_current!$B$4:$B$138, 0), MATCH(CQ$4&amp;CQ$5, LS_current!$D$2:$AY$2&amp;LS_current!$D$3:$AY$3, 0)),SUM(VLOOKUP($A133, LS_current!$B$4:$AY$138, LS_current!U$148, FALSE), VLOOKUP($A133, LS_current!$B$4:$AY$138,LS_current!U$148, FALSE))/2)</f>
        <v>-137</v>
      </c>
      <c r="CR133" s="227">
        <f t="array" ref="CR133">IF($BU133=0, INDEX(LS_current!$D$4:$AY$138, MATCH('Staging Table'!$A133, LS_current!$B$4:$B$138, 0), MATCH(CR$4&amp;CR$5, LS_current!$D$2:$AY$2&amp;LS_current!$D$3:$AY$3, 0)),SUM(VLOOKUP($A133, LS_current!$B$4:$AY$138, LS_current!V$148, FALSE), VLOOKUP($A133, LS_current!$B$4:$AY$138,LS_current!V$148, FALSE))/2)</f>
        <v>-206</v>
      </c>
      <c r="CS133" s="227">
        <f t="array" ref="CS133">IF($BU133=0, INDEX(LS_current!$D$4:$AY$138, MATCH('Staging Table'!$A133, LS_current!$B$4:$B$138, 0), MATCH(CS$4&amp;CS$5, LS_current!$D$2:$AY$2&amp;LS_current!$D$3:$AY$3, 0)),SUM(VLOOKUP($A133, LS_current!$B$4:$AY$138, LS_current!W$148, FALSE), VLOOKUP($A133, LS_current!$B$4:$AY$138,LS_current!W$148, FALSE))/2)</f>
        <v>189</v>
      </c>
      <c r="CT133" s="227">
        <f t="array" ref="CT133">IF($BU133=0, INDEX(LS_current!$D$4:$AY$138, MATCH('Staging Table'!$A133, LS_current!$B$4:$B$138, 0), MATCH(CT$4&amp;CT$5, LS_current!$D$2:$AY$2&amp;LS_current!$D$3:$AY$3, 0)),SUM(VLOOKUP($A133, LS_current!$B$4:$AY$138, LS_current!X$148, FALSE), VLOOKUP($A133, LS_current!$B$4:$AY$138,LS_current!X$148, FALSE))/2)</f>
        <v>-185</v>
      </c>
      <c r="CU133" s="227">
        <f t="array" ref="CU133">IF($BU133=0, INDEX(LS_current!$D$4:$AY$138, MATCH('Staging Table'!$A133, LS_current!$B$4:$B$138, 0), MATCH(CU$4&amp;CU$5, LS_current!$D$2:$AY$2&amp;LS_current!$D$3:$AY$3, 0)),SUM(VLOOKUP($A133, LS_current!$B$4:$AY$138, LS_current!Y$148, FALSE), VLOOKUP($A133, LS_current!$B$4:$AY$138,LS_current!Y$148, FALSE))/2)</f>
        <v>182</v>
      </c>
      <c r="CV133" s="227">
        <f t="array" ref="CV133">IF($BU133=0, INDEX(LS_current!$D$4:$AY$138, MATCH('Staging Table'!$A133, LS_current!$B$4:$B$138, 0), MATCH(CV$4&amp;CV$5, LS_current!$D$2:$AY$2&amp;LS_current!$D$3:$AY$3, 0)),SUM(VLOOKUP($A133, LS_current!$B$4:$AY$138, LS_current!Z$148, FALSE), VLOOKUP($A133, LS_current!$B$4:$AY$138,LS_current!Z$148, FALSE))/2)</f>
        <v>-61</v>
      </c>
      <c r="CW133" s="227">
        <f t="array" ref="CW133">IF($BU133=0, INDEX(LS_current!$D$4:$AY$138, MATCH('Staging Table'!$A133, LS_current!$B$4:$B$138, 0), MATCH(CW$4&amp;CW$5, LS_current!$D$2:$AY$2&amp;LS_current!$D$3:$AY$3, 0)),SUM(VLOOKUP($A133, LS_current!$B$4:$AY$138, LS_current!AA$148, FALSE), VLOOKUP($A133, LS_current!$B$4:$AY$138,LS_current!AA$148, FALSE))/2)</f>
        <v>155</v>
      </c>
      <c r="CX133" s="229">
        <f t="array" ref="CX133">INDEX(Demand_current!$D$4:$AY$138, MATCH($A133, Demand_current!$B$4:$B$138, 0), MATCH(CX$4&amp;CX$5,Demand_current!$D$2:$AY$2&amp;Demand_current!$D$3:$AY$3, 0))/1000</f>
        <v>0.17799999999999999</v>
      </c>
      <c r="CY133" s="229">
        <f t="array" ref="CY133">INDEX(Demand_current!$D$4:$AY$138, MATCH($A133, Demand_current!$B$4:$B$138, 0), MATCH(CY$4&amp;CY$5,Demand_current!$D$2:$AY$2&amp;Demand_current!$D$3:$AY$3, 0))/1000</f>
        <v>0.35399999999999998</v>
      </c>
      <c r="CZ133" s="229">
        <f t="array" ref="CZ133">INDEX(Demand_current!$D$4:$AY$138, MATCH($A133, Demand_current!$B$4:$B$138, 0), MATCH(CZ$4&amp;CZ$5,Demand_current!$D$2:$AY$2&amp;Demand_current!$D$3:$AY$3, 0))/1000</f>
        <v>0.38100000000000001</v>
      </c>
      <c r="DA133" s="229">
        <f t="array" ref="DA133">INDEX(Demand_current!$D$4:$AY$138, MATCH($A133, Demand_current!$B$4:$B$138, 0), MATCH(DA$4&amp;DA$5,Demand_current!$D$2:$AY$2&amp;Demand_current!$D$3:$AY$3, 0))/1000</f>
        <v>0.41299999999999998</v>
      </c>
      <c r="DB133" s="229">
        <f t="array" ref="DB133">INDEX(Demand_current!$D$4:$AY$138, MATCH($A133, Demand_current!$B$4:$B$138, 0), MATCH(DB$4&amp;DB$5,Demand_current!$D$2:$AY$2&amp;Demand_current!$D$3:$AY$3, 0))/1000</f>
        <v>0.28899999999999998</v>
      </c>
      <c r="DC133" s="229">
        <f t="array" ref="DC133">INDEX(Demand_current!$D$4:$AY$138, MATCH($A133, Demand_current!$B$4:$B$138, 0), MATCH(DC$4&amp;DC$5,Demand_current!$D$2:$AY$2&amp;Demand_current!$D$3:$AY$3, 0))/1000</f>
        <v>0.28199999999999997</v>
      </c>
      <c r="DD133" s="229">
        <f t="array" ref="DD133">INDEX(Demand_current!$D$4:$AY$138, MATCH($A133, Demand_current!$B$4:$B$138, 0), MATCH(DD$4&amp;DD$5,Demand_current!$D$2:$AY$2&amp;Demand_current!$D$3:$AY$3, 0))/1000</f>
        <v>0.27300000000000002</v>
      </c>
      <c r="DE133" s="229">
        <f t="array" ref="DE133">INDEX(Demand_current!$D$4:$AY$138, MATCH($A133, Demand_current!$B$4:$B$138, 0), MATCH(DE$4&amp;DE$5,Demand_current!$D$2:$AY$2&amp;Demand_current!$D$3:$AY$3, 0))/1000</f>
        <v>0.32100000000000001</v>
      </c>
      <c r="DF133" s="229">
        <f t="array" ref="DF133">INDEX(Demand_current!$D$4:$AY$138, MATCH($A133, Demand_current!$B$4:$B$138, 0), MATCH(DF$4&amp;DF$5,Demand_current!$D$2:$AY$2&amp;Demand_current!$D$3:$AY$3, 0))/1000</f>
        <v>0.54100000000000004</v>
      </c>
      <c r="DG133" s="229">
        <f t="array" ref="DG133">INDEX(Demand_current!$D$4:$AY$138, MATCH($A133, Demand_current!$B$4:$B$138, 0), MATCH(DG$4&amp;DG$5,Demand_current!$D$2:$AY$2&amp;Demand_current!$D$3:$AY$3, 0))/1000</f>
        <v>0.51300000000000001</v>
      </c>
      <c r="DH133" s="229">
        <f t="array" ref="DH133">INDEX(Demand_current!$D$4:$AY$138, MATCH($A133, Demand_current!$B$4:$B$138, 0), MATCH(DH$4&amp;DH$5,Demand_current!$D$2:$AY$2&amp;Demand_current!$D$3:$AY$3, 0))/1000</f>
        <v>0.70899999999999996</v>
      </c>
      <c r="DI133" s="229">
        <f t="array" ref="DI133">INDEX(Demand_current!$D$4:$AY$138, MATCH($A133, Demand_current!$B$4:$B$138, 0), MATCH(DI$4&amp;DI$5,Demand_current!$D$2:$AY$2&amp;Demand_current!$D$3:$AY$3, 0))/1000</f>
        <v>0.50800000000000001</v>
      </c>
      <c r="DJ133" s="227">
        <f>$BT133*(VLOOKUP(DJ$4, Rates_current!$G$6:$Q$29, 10, FALSE)+VLOOKUP(DJ$4, Rates_current!$G$6:$Q$29, 11, FALSE))</f>
        <v>1773.9732667031999</v>
      </c>
      <c r="DK133" s="227">
        <f>$BT133*(VLOOKUP(DK$4, Rates_current!$G$6:$Q$29, 10, FALSE)+VLOOKUP(DK$4, Rates_current!$G$6:$Q$29, 11, FALSE))</f>
        <v>2253.4994504238002</v>
      </c>
      <c r="DL133" s="227">
        <f>$BT133*(VLOOKUP(DL$4, Rates_current!$G$6:$Q$29, 10, FALSE)+VLOOKUP(DL$4, Rates_current!$G$6:$Q$29, 11, FALSE))</f>
        <v>2226.2853953032004</v>
      </c>
      <c r="DM133" s="227">
        <f>$BT133*(VLOOKUP(DM$4, Rates_current!$G$6:$Q$29, 10, FALSE)+VLOOKUP(DM$4, Rates_current!$G$6:$Q$29, 11, FALSE))</f>
        <v>1855.7444737032004</v>
      </c>
      <c r="DN133" s="227">
        <f>$BT133*(VLOOKUP(DN$4, Rates_current!$G$6:$Q$29, 10, FALSE)+VLOOKUP(DN$4, Rates_current!$G$6:$Q$29, 11, FALSE))</f>
        <v>1681.1119745599999</v>
      </c>
      <c r="DO133" s="227">
        <f>$BT133*(VLOOKUP(DO$4, Rates_current!$G$6:$Q$29, 10, FALSE)+VLOOKUP(DO$4, Rates_current!$G$6:$Q$29, 11, FALSE))</f>
        <v>1869.9305749954001</v>
      </c>
      <c r="DP133" s="227">
        <f>$BT133*(VLOOKUP(DP$4, Rates_current!$G$6:$Q$29, 10, FALSE)+VLOOKUP(DP$4, Rates_current!$G$6:$Q$29, 11, FALSE))</f>
        <v>1522.499492016</v>
      </c>
      <c r="DQ133" s="227">
        <f>$BT133*(VLOOKUP(DQ$4, Rates_current!$G$6:$Q$29, 10, FALSE)+VLOOKUP(DQ$4, Rates_current!$G$6:$Q$29, 11, FALSE))</f>
        <v>2053.3175948032003</v>
      </c>
      <c r="DR133" s="227">
        <f>$BT133*(VLOOKUP(DR$4, Rates_current!$G$6:$Q$29, 10, FALSE)+VLOOKUP(DR$4, Rates_current!$G$6:$Q$29, 11, FALSE))</f>
        <v>2619.8936019160001</v>
      </c>
      <c r="DS133" s="227">
        <f>$BT133*(VLOOKUP(DS$4, Rates_current!$G$6:$Q$29, 10, FALSE)+VLOOKUP(DS$4, Rates_current!$G$6:$Q$29, 11, FALSE))</f>
        <v>2054.0796555032002</v>
      </c>
      <c r="DT133" s="227">
        <f>$BT133*(VLOOKUP(DT$4, Rates_current!$G$6:$Q$29, 10, FALSE)+VLOOKUP(DT$4, Rates_current!$G$6:$Q$29, 11, FALSE))</f>
        <v>2000.2645694032003</v>
      </c>
      <c r="DU133" s="227">
        <f>$BT133*(VLOOKUP(DU$4, Rates_current!$G$6:$Q$29, 10, FALSE)+VLOOKUP(DU$4, Rates_current!$G$6:$Q$29, 11, FALSE))</f>
        <v>1795.8120722160002</v>
      </c>
      <c r="DV133" s="229">
        <f>IF(D133=0,IF(C133=0,MAX(0,DY133 - (VLOOKUP($A133,TOCA_current!$A$2:$AI$137,MATCH("RHWM 2020",TOCA_current!$A$2:$AI$2,0),FALSE)*$BT$2)), 0),0)</f>
        <v>0</v>
      </c>
      <c r="DW133" s="266">
        <f>VLOOKUP($A133,REP_current!$A$1:$D$135,MATCH("FY "&amp;$BT$1&amp; " Total Refund",REP_current!$A$1:$D$1,0),0)</f>
        <v>0</v>
      </c>
      <c r="DX133" s="295">
        <f>MIN(VLOOKUP($A133,TOCA_current!$A$2:$AI$137,MATCH("TRL - NLSL - Existing Resource "&amp;$BT$1,TOCA_current!$A$2:$AI$2,0),FALSE)*$BT$2, VLOOKUP($A133,TOCA_current!$A$2:$AI$137,MATCH("RHWM 2020",TOCA_current!$A$2:$AI$2,0),FALSE)*$BT$2)</f>
        <v>23708.016</v>
      </c>
      <c r="DY133" s="240">
        <f>SUM(BZ133:CW133)+(BT133*RT1SC!$C$4*$BT$2)</f>
        <v>24179.413011353601</v>
      </c>
      <c r="DZ133" s="271">
        <f>VLOOKUP($A133,TOCA_current!$A$2:$AI$137,MATCH("Above RHWM Not Served with LS "&amp;$BT$1,TOCA_current!$A$2:$AI$2,0),FALSE)*$BT$2</f>
        <v>0</v>
      </c>
      <c r="EA133" s="244">
        <f t="shared" si="29"/>
        <v>471.39701135360156</v>
      </c>
      <c r="EB133" s="295">
        <f>(VLOOKUP($A133,TOCA_current!$A$2:$AI$137,MATCH("RHWM 2020",TOCA_current!$A$2:$AI$2,0),FALSE)*$BT$2) - $DX133</f>
        <v>12236.111999999997</v>
      </c>
      <c r="EC133" s="240">
        <f t="shared" si="30"/>
        <v>-471.39701135360156</v>
      </c>
      <c r="ED133" s="240">
        <f t="shared" si="31"/>
        <v>0</v>
      </c>
      <c r="EE133" s="240">
        <f t="shared" si="32"/>
        <v>0</v>
      </c>
      <c r="EF133" s="240">
        <f t="shared" si="33"/>
        <v>-471.39701135360156</v>
      </c>
    </row>
    <row r="134" spans="1:136">
      <c r="A134" s="166">
        <v>10502</v>
      </c>
      <c r="B134" s="167" t="s">
        <v>135</v>
      </c>
      <c r="C134" s="240">
        <v>0</v>
      </c>
      <c r="D134" s="240">
        <v>0</v>
      </c>
      <c r="E134" s="150">
        <f>VLOOKUP($A134,TOCA_previous!$A$2:$AI$137,MATCH(E$4,TOCA_previous!$A$2:$AI$2,0),FALSE)</f>
        <v>2.3909999999999999E-3</v>
      </c>
      <c r="F134" s="151">
        <f>VLOOKUP($A134,TOCA_previous!$A$2:$AI$137,MATCH(F$4,TOCA_previous!$A$2:$AI$2,0),FALSE)</f>
        <v>2.3909999999999999E-3</v>
      </c>
      <c r="G134" s="151">
        <f t="shared" si="18"/>
        <v>0</v>
      </c>
      <c r="H134" s="151">
        <f>VLOOKUP($A134,TOCA_previous!$A$2:$AI$137,MATCH(H$4,TOCA_previous!$A$2:$AI$2,0),FALSE)</f>
        <v>7.0000000000000007E-2</v>
      </c>
      <c r="I134" s="151">
        <f t="shared" si="19"/>
        <v>0</v>
      </c>
      <c r="J134" s="151">
        <f t="shared" si="20"/>
        <v>0</v>
      </c>
      <c r="K134" s="226">
        <f>VLOOKUP(A134, IRD!$A$5:$C$139, 3, FALSE)</f>
        <v>7189.6970000000001</v>
      </c>
      <c r="L134" s="227">
        <f t="array" ref="L134">IF($G134=0, INDEX(LS_previous!$D$4:$AY$138, MATCH('Staging Table'!$A134, LS_previous!$B$4:$B$138, 0), MATCH(L$4&amp;L$5, LS_previous!$D$2:$AY$2&amp;LS_previous!$D$3:$AY$3, 0)),SUM(VLOOKUP($A134, LS_previous!$B$4:$AY$138, LS_previous!D$149, FALSE), VLOOKUP('Staging Table'!$A134, LS_previous!$B$4:$AY$138,LS_previous!AB$149, FALSE))/2)</f>
        <v>-1145</v>
      </c>
      <c r="M134" s="227">
        <f t="array" ref="M134">IF($G134=0, INDEX(LS_previous!$D$4:$AY$138, MATCH('Staging Table'!$A134, LS_previous!$B$4:$B$138, 0), MATCH(M$4&amp;M$5, LS_previous!$D$2:$AY$2&amp;LS_previous!$D$3:$AY$3, 0)),SUM(VLOOKUP($A134, LS_previous!$B$4:$AY$138, LS_previous!E$149, FALSE), VLOOKUP('Staging Table'!$A134, LS_previous!$B$4:$AY$138,LS_previous!AC$149, FALSE))/2)</f>
        <v>-75</v>
      </c>
      <c r="N134" s="227">
        <f t="array" ref="N134">IF($G134=0, INDEX(LS_previous!$D$4:$AY$138, MATCH('Staging Table'!$A134, LS_previous!$B$4:$B$138, 0), MATCH(N$4&amp;N$5, LS_previous!$D$2:$AY$2&amp;LS_previous!$D$3:$AY$3, 0)),SUM(VLOOKUP($A134, LS_previous!$B$4:$AY$138, LS_previous!F$149, FALSE), VLOOKUP('Staging Table'!$A134, LS_previous!$B$4:$AY$138,LS_previous!AD$149, FALSE))/2)</f>
        <v>-3634</v>
      </c>
      <c r="O134" s="227">
        <f t="array" ref="O134">IF($G134=0, INDEX(LS_previous!$D$4:$AY$138, MATCH('Staging Table'!$A134, LS_previous!$B$4:$B$138, 0), MATCH(O$4&amp;O$5, LS_previous!$D$2:$AY$2&amp;LS_previous!$D$3:$AY$3, 0)),SUM(VLOOKUP($A134, LS_previous!$B$4:$AY$138, LS_previous!G$149, FALSE), VLOOKUP('Staging Table'!$A134, LS_previous!$B$4:$AY$138,LS_previous!AE$149, FALSE))/2)</f>
        <v>-1509</v>
      </c>
      <c r="P134" s="227">
        <f t="array" ref="P134">IF($G134=0, INDEX(LS_previous!$D$4:$AY$138, MATCH('Staging Table'!$A134, LS_previous!$B$4:$B$138, 0), MATCH(P$4&amp;P$5, LS_previous!$D$2:$AY$2&amp;LS_previous!$D$3:$AY$3, 0)),SUM(VLOOKUP($A134, LS_previous!$B$4:$AY$138, LS_previous!H$149, FALSE), VLOOKUP('Staging Table'!$A134, LS_previous!$B$4:$AY$138,LS_previous!AF$149, FALSE))/2)</f>
        <v>-2041</v>
      </c>
      <c r="Q134" s="227">
        <f t="array" ref="Q134">IF($G134=0, INDEX(LS_previous!$D$4:$AY$138, MATCH('Staging Table'!$A134, LS_previous!$B$4:$B$138, 0), MATCH(Q$4&amp;Q$5, LS_previous!$D$2:$AY$2&amp;LS_previous!$D$3:$AY$3, 0)),SUM(VLOOKUP($A134, LS_previous!$B$4:$AY$138, LS_previous!I$149, FALSE), VLOOKUP('Staging Table'!$A134, LS_previous!$B$4:$AY$138,LS_previous!AG$149, FALSE))/2)</f>
        <v>-510</v>
      </c>
      <c r="R134" s="227">
        <f t="array" ref="R134">IF($G134=0, INDEX(LS_previous!$D$4:$AY$138, MATCH('Staging Table'!$A134, LS_previous!$B$4:$B$138, 0), MATCH(R$4&amp;R$5, LS_previous!$D$2:$AY$2&amp;LS_previous!$D$3:$AY$3, 0)),SUM(VLOOKUP($A134, LS_previous!$B$4:$AY$138, LS_previous!J$149, FALSE), VLOOKUP('Staging Table'!$A134, LS_previous!$B$4:$AY$138,LS_previous!AH$149, FALSE))/2)</f>
        <v>-1145</v>
      </c>
      <c r="S134" s="227">
        <f t="array" ref="S134">IF($G134=0, INDEX(LS_previous!$D$4:$AY$138, MATCH('Staging Table'!$A134, LS_previous!$B$4:$B$138, 0), MATCH(S$4&amp;S$5, LS_previous!$D$2:$AY$2&amp;LS_previous!$D$3:$AY$3, 0)),SUM(VLOOKUP($A134, LS_previous!$B$4:$AY$138, LS_previous!K$149, FALSE), VLOOKUP('Staging Table'!$A134, LS_previous!$B$4:$AY$138,LS_previous!AI$149, FALSE))/2)</f>
        <v>-110</v>
      </c>
      <c r="T134" s="227">
        <f t="array" ref="T134">IF($G134=0, INDEX(LS_previous!$D$4:$AY$138, MATCH('Staging Table'!$A134, LS_previous!$B$4:$B$138, 0), MATCH(T$4&amp;T$5, LS_previous!$D$2:$AY$2&amp;LS_previous!$D$3:$AY$3, 0)),SUM(VLOOKUP($A134, LS_previous!$B$4:$AY$138, LS_previous!L$149, FALSE), VLOOKUP('Staging Table'!$A134, LS_previous!$B$4:$AY$138,LS_previous!AJ$149, FALSE))/2)</f>
        <v>-406</v>
      </c>
      <c r="U134" s="227">
        <f t="array" ref="U134">IF($G134=0, INDEX(LS_previous!$D$4:$AY$138, MATCH('Staging Table'!$A134, LS_previous!$B$4:$B$138, 0), MATCH(U$4&amp;U$5, LS_previous!$D$2:$AY$2&amp;LS_previous!$D$3:$AY$3, 0)),SUM(VLOOKUP($A134, LS_previous!$B$4:$AY$138, LS_previous!M$149, FALSE), VLOOKUP('Staging Table'!$A134, LS_previous!$B$4:$AY$138,LS_previous!AK$149, FALSE))/2)</f>
        <v>187</v>
      </c>
      <c r="V134" s="227">
        <f t="array" ref="V134">IF($G134=0, INDEX(LS_previous!$D$4:$AY$138, MATCH('Staging Table'!$A134, LS_previous!$B$4:$B$138, 0), MATCH(V$4&amp;V$5, LS_previous!$D$2:$AY$2&amp;LS_previous!$D$3:$AY$3, 0)),SUM(VLOOKUP($A134, LS_previous!$B$4:$AY$138, LS_previous!N$149, FALSE), VLOOKUP('Staging Table'!$A134, LS_previous!$B$4:$AY$138,LS_previous!AL$149, FALSE))/2)</f>
        <v>-1984</v>
      </c>
      <c r="W134" s="227">
        <f t="array" ref="W134">IF($G134=0, INDEX(LS_previous!$D$4:$AY$138, MATCH('Staging Table'!$A134, LS_previous!$B$4:$B$138, 0), MATCH(W$4&amp;W$5, LS_previous!$D$2:$AY$2&amp;LS_previous!$D$3:$AY$3, 0)),SUM(VLOOKUP($A134, LS_previous!$B$4:$AY$138, LS_previous!O$149, FALSE), VLOOKUP('Staging Table'!$A134, LS_previous!$B$4:$AY$138,LS_previous!AM$149, FALSE))/2)</f>
        <v>-811</v>
      </c>
      <c r="X134" s="227">
        <f t="array" ref="X134">IF($G134=0, INDEX(LS_previous!$D$4:$AY$138, MATCH('Staging Table'!$A134, LS_previous!$B$4:$B$138, 0), MATCH(X$4&amp;X$5, LS_previous!$D$2:$AY$2&amp;LS_previous!$D$3:$AY$3, 0)),SUM(VLOOKUP($A134, LS_previous!$B$4:$AY$138, LS_previous!P$149, FALSE), VLOOKUP('Staging Table'!$A134, LS_previous!$B$4:$AY$138,LS_previous!AN$149, FALSE))/2)</f>
        <v>-811</v>
      </c>
      <c r="Y134" s="227">
        <f t="array" ref="Y134">IF($G134=0, INDEX(LS_previous!$D$4:$AY$138, MATCH('Staging Table'!$A134, LS_previous!$B$4:$B$138, 0), MATCH(Y$4&amp;Y$5, LS_previous!$D$2:$AY$2&amp;LS_previous!$D$3:$AY$3, 0)),SUM(VLOOKUP($A134, LS_previous!$B$4:$AY$138, LS_previous!Q$149, FALSE), VLOOKUP('Staging Table'!$A134, LS_previous!$B$4:$AY$138,LS_previous!AO$149, FALSE))/2)</f>
        <v>4</v>
      </c>
      <c r="Z134" s="227">
        <f t="array" ref="Z134">IF($G134=0, INDEX(LS_previous!$D$4:$AY$138, MATCH('Staging Table'!$A134, LS_previous!$B$4:$B$138, 0), MATCH(Z$4&amp;Z$5, LS_previous!$D$2:$AY$2&amp;LS_previous!$D$3:$AY$3, 0)),SUM(VLOOKUP($A134, LS_previous!$B$4:$AY$138, LS_previous!R$149, FALSE), VLOOKUP('Staging Table'!$A134, LS_previous!$B$4:$AY$138,LS_previous!AP$149, FALSE))/2)</f>
        <v>-1841</v>
      </c>
      <c r="AA134" s="227">
        <f t="array" ref="AA134">IF($G134=0, INDEX(LS_previous!$D$4:$AY$138, MATCH('Staging Table'!$A134, LS_previous!$B$4:$B$138, 0), MATCH(AA$4&amp;AA$5, LS_previous!$D$2:$AY$2&amp;LS_previous!$D$3:$AY$3, 0)),SUM(VLOOKUP($A134, LS_previous!$B$4:$AY$138, LS_previous!S$149, FALSE), VLOOKUP('Staging Table'!$A134, LS_previous!$B$4:$AY$138,LS_previous!AQ$149, FALSE))/2)</f>
        <v>-82</v>
      </c>
      <c r="AB134" s="227">
        <f t="array" ref="AB134">IF($G134=0, INDEX(LS_previous!$D$4:$AY$138, MATCH('Staging Table'!$A134, LS_previous!$B$4:$B$138, 0), MATCH(AB$4&amp;AB$5, LS_previous!$D$2:$AY$2&amp;LS_previous!$D$3:$AY$3, 0)),SUM(VLOOKUP($A134, LS_previous!$B$4:$AY$138, LS_previous!T$149, FALSE), VLOOKUP('Staging Table'!$A134, LS_previous!$B$4:$AY$138,LS_previous!AR$149, FALSE))/2)</f>
        <v>2196</v>
      </c>
      <c r="AC134" s="227">
        <f t="array" ref="AC134">IF($G134=0, INDEX(LS_previous!$D$4:$AY$138, MATCH('Staging Table'!$A134, LS_previous!$B$4:$B$138, 0), MATCH(AC$4&amp;AC$5, LS_previous!$D$2:$AY$2&amp;LS_previous!$D$3:$AY$3, 0)),SUM(VLOOKUP($A134, LS_previous!$B$4:$AY$138, LS_previous!U$149, FALSE), VLOOKUP('Staging Table'!$A134, LS_previous!$B$4:$AY$138,LS_previous!AS$149, FALSE))/2)</f>
        <v>2107</v>
      </c>
      <c r="AD134" s="227">
        <f t="array" ref="AD134">IF($G134=0, INDEX(LS_previous!$D$4:$AY$138, MATCH('Staging Table'!$A134, LS_previous!$B$4:$B$138, 0), MATCH(AD$4&amp;AD$5, LS_previous!$D$2:$AY$2&amp;LS_previous!$D$3:$AY$3, 0)),SUM(VLOOKUP($A134, LS_previous!$B$4:$AY$138, LS_previous!V$149, FALSE), VLOOKUP('Staging Table'!$A134, LS_previous!$B$4:$AY$138,LS_previous!AT$149, FALSE))/2)</f>
        <v>5283</v>
      </c>
      <c r="AE134" s="227">
        <f t="array" ref="AE134">IF($G134=0, INDEX(LS_previous!$D$4:$AY$138, MATCH('Staging Table'!$A134, LS_previous!$B$4:$B$138, 0), MATCH(AE$4&amp;AE$5, LS_previous!$D$2:$AY$2&amp;LS_previous!$D$3:$AY$3, 0)),SUM(VLOOKUP($A134, LS_previous!$B$4:$AY$138, LS_previous!W$149, FALSE), VLOOKUP('Staging Table'!$A134, LS_previous!$B$4:$AY$138,LS_previous!AU$149, FALSE))/2)</f>
        <v>4819</v>
      </c>
      <c r="AF134" s="227">
        <f t="array" ref="AF134">IF($G134=0, INDEX(LS_previous!$D$4:$AY$138, MATCH('Staging Table'!$A134, LS_previous!$B$4:$B$138, 0), MATCH(AF$4&amp;AF$5, LS_previous!$D$2:$AY$2&amp;LS_previous!$D$3:$AY$3, 0)),SUM(VLOOKUP($A134, LS_previous!$B$4:$AY$138, LS_previous!X$149, FALSE), VLOOKUP('Staging Table'!$A134, LS_previous!$B$4:$AY$138,LS_previous!AV$149, FALSE))/2)</f>
        <v>4961</v>
      </c>
      <c r="AG134" s="227">
        <f t="array" ref="AG134">IF($G134=0, INDEX(LS_previous!$D$4:$AY$138, MATCH('Staging Table'!$A134, LS_previous!$B$4:$B$138, 0), MATCH(AG$4&amp;AG$5, LS_previous!$D$2:$AY$2&amp;LS_previous!$D$3:$AY$3, 0)),SUM(VLOOKUP($A134, LS_previous!$B$4:$AY$138, LS_previous!Y$149, FALSE), VLOOKUP('Staging Table'!$A134, LS_previous!$B$4:$AY$138,LS_previous!AW$149, FALSE))/2)</f>
        <v>4144</v>
      </c>
      <c r="AH134" s="227">
        <f t="array" ref="AH134">IF($G134=0, INDEX(LS_previous!$D$4:$AY$138, MATCH('Staging Table'!$A134, LS_previous!$B$4:$B$138, 0), MATCH(AH$4&amp;AH$5, LS_previous!$D$2:$AY$2&amp;LS_previous!$D$3:$AY$3, 0)),SUM(VLOOKUP($A134, LS_previous!$B$4:$AY$138, LS_previous!Z$149, FALSE), VLOOKUP('Staging Table'!$A134, LS_previous!$B$4:$AY$138,LS_previous!AX$149, FALSE))/2)</f>
        <v>1492</v>
      </c>
      <c r="AI134" s="227">
        <f t="array" ref="AI134">IF($G134=0, INDEX(LS_previous!$D$4:$AY$138, MATCH('Staging Table'!$A134, LS_previous!$B$4:$B$138, 0), MATCH(AI$4&amp;AI$5, LS_previous!$D$2:$AY$2&amp;LS_previous!$D$3:$AY$3, 0)),SUM(VLOOKUP($A134, LS_previous!$B$4:$AY$138, LS_previous!AA$149, FALSE), VLOOKUP('Staging Table'!$A134, LS_previous!$B$4:$AY$138,LS_previous!AY$149, FALSE))/2)</f>
        <v>1933</v>
      </c>
      <c r="AJ134" s="424">
        <f t="array" ref="AJ134">INDEX(Demand_previous!$D$4:$AY$138, MATCH('Staging Table'!$A134, Demand_previous!$B$4:$B$138, 0), MATCH(AJ$4&amp;AJ$5,Demand_previous!$D$2:$AY$2&amp;Demand_previous!$D$3:$AY$3, 0))/1000</f>
        <v>3.1339999999999999</v>
      </c>
      <c r="AK134" s="424">
        <f t="array" ref="AK134">INDEX(Demand_previous!$D$4:$AY$138, MATCH('Staging Table'!$A134, Demand_previous!$B$4:$B$138, 0), MATCH(AK$4&amp;AK$5,Demand_previous!$D$2:$AY$2&amp;Demand_previous!$D$3:$AY$3, 0))/1000</f>
        <v>4.3620000000000001</v>
      </c>
      <c r="AL134" s="424">
        <f t="array" ref="AL134">INDEX(Demand_previous!$D$4:$AY$138, MATCH('Staging Table'!$A134, Demand_previous!$B$4:$B$138, 0), MATCH(AL$4&amp;AL$5,Demand_previous!$D$2:$AY$2&amp;Demand_previous!$D$3:$AY$3, 0))/1000</f>
        <v>1.8580000000000001</v>
      </c>
      <c r="AM134" s="424">
        <f t="array" ref="AM134">INDEX(Demand_previous!$D$4:$AY$138, MATCH('Staging Table'!$A134, Demand_previous!$B$4:$B$138, 0), MATCH(AM$4&amp;AM$5,Demand_previous!$D$2:$AY$2&amp;Demand_previous!$D$3:$AY$3, 0))/1000</f>
        <v>2.9209999999999998</v>
      </c>
      <c r="AN134" s="424">
        <f t="array" ref="AN134">INDEX(Demand_previous!$D$4:$AY$138, MATCH('Staging Table'!$A134, Demand_previous!$B$4:$B$138, 0), MATCH(AN$4&amp;AN$5,Demand_previous!$D$2:$AY$2&amp;Demand_previous!$D$3:$AY$3, 0))/1000</f>
        <v>1.6739999999999999</v>
      </c>
      <c r="AO134" s="424">
        <f t="array" ref="AO134">INDEX(Demand_previous!$D$4:$AY$138, MATCH('Staging Table'!$A134, Demand_previous!$B$4:$B$138, 0), MATCH(AO$4&amp;AO$5,Demand_previous!$D$2:$AY$2&amp;Demand_previous!$D$3:$AY$3, 0))/1000</f>
        <v>2.9340000000000002</v>
      </c>
      <c r="AP134" s="424">
        <f t="array" ref="AP134">INDEX(Demand_previous!$D$4:$AY$138, MATCH('Staging Table'!$A134, Demand_previous!$B$4:$B$138, 0), MATCH(AP$4&amp;AP$5,Demand_previous!$D$2:$AY$2&amp;Demand_previous!$D$3:$AY$3, 0))/1000</f>
        <v>3.1819999999999999</v>
      </c>
      <c r="AQ134" s="424">
        <f t="array" ref="AQ134">INDEX(Demand_previous!$D$4:$AY$138, MATCH('Staging Table'!$A134, Demand_previous!$B$4:$B$138, 0), MATCH(AQ$4&amp;AQ$5,Demand_previous!$D$2:$AY$2&amp;Demand_previous!$D$3:$AY$3, 0))/1000</f>
        <v>3.23</v>
      </c>
      <c r="AR134" s="424">
        <f t="array" ref="AR134">INDEX(Demand_previous!$D$4:$AY$138, MATCH('Staging Table'!$A134, Demand_previous!$B$4:$B$138, 0), MATCH(AR$4&amp;AR$5,Demand_previous!$D$2:$AY$2&amp;Demand_previous!$D$3:$AY$3, 0))/1000</f>
        <v>4.2519999999999998</v>
      </c>
      <c r="AS134" s="424">
        <f t="array" ref="AS134">INDEX(Demand_previous!$D$4:$AY$138, MATCH('Staging Table'!$A134, Demand_previous!$B$4:$B$138, 0), MATCH(AS$4&amp;AS$5,Demand_previous!$D$2:$AY$2&amp;Demand_previous!$D$3:$AY$3, 0))/1000</f>
        <v>1.5669999999999999</v>
      </c>
      <c r="AT134" s="424">
        <f t="array" ref="AT134">INDEX(Demand_previous!$D$4:$AY$138, MATCH('Staging Table'!$A134, Demand_previous!$B$4:$B$138, 0), MATCH(AT$4&amp;AT$5,Demand_previous!$D$2:$AY$2&amp;Demand_previous!$D$3:$AY$3, 0))/1000</f>
        <v>0.76300000000000001</v>
      </c>
      <c r="AU134" s="424">
        <f t="array" ref="AU134">INDEX(Demand_previous!$D$4:$AY$138, MATCH('Staging Table'!$A134, Demand_previous!$B$4:$B$138, 0), MATCH(AU$4&amp;AU$5,Demand_previous!$D$2:$AY$2&amp;Demand_previous!$D$3:$AY$3, 0))/1000</f>
        <v>3.7130000000000001</v>
      </c>
      <c r="AV134" s="227">
        <f>$F134*(VLOOKUP(AV$4, Rates_previous!$G$6:$Q$29, 10, FALSE)+VLOOKUP(AV$4, Rates_previous!$G$6:$Q$29, 11, FALSE))</f>
        <v>11211.011089873293</v>
      </c>
      <c r="AW134" s="227">
        <f>$F134*(VLOOKUP(AW$4, Rates_previous!$G$6:$Q$29, 10, FALSE)+VLOOKUP(AW$4, Rates_previous!$G$6:$Q$29, 11, FALSE))</f>
        <v>13855.957625084178</v>
      </c>
      <c r="AX134" s="227">
        <f>$F134*(VLOOKUP(AX$4, Rates_previous!$G$6:$Q$29, 10, FALSE)+VLOOKUP(AX$4, Rates_previous!$G$6:$Q$29, 11, FALSE))</f>
        <v>13689.564146532726</v>
      </c>
      <c r="AY134" s="227">
        <f>$F134*(VLOOKUP(AY$4, Rates_previous!$G$6:$Q$29, 10, FALSE)+VLOOKUP(AY$4, Rates_previous!$G$6:$Q$29, 11, FALSE))</f>
        <v>11696.427732247559</v>
      </c>
      <c r="AZ134" s="227">
        <f>$F134*(VLOOKUP(AZ$4, Rates_previous!$G$6:$Q$29, 10, FALSE)+VLOOKUP(AZ$4, Rates_previous!$G$6:$Q$29, 11, FALSE))</f>
        <v>9588.8019709292585</v>
      </c>
      <c r="BA134" s="227">
        <f>$F134*(VLOOKUP(BA$4, Rates_previous!$G$6:$Q$29, 10, FALSE)+VLOOKUP(BA$4, Rates_previous!$G$6:$Q$29, 11, FALSE))</f>
        <v>11352.793235968671</v>
      </c>
      <c r="BB134" s="227">
        <f>$F134*(VLOOKUP(BB$4, Rates_previous!$G$6:$Q$29, 10, FALSE)+VLOOKUP(BB$4, Rates_previous!$G$6:$Q$29, 11, FALSE))</f>
        <v>10911.685664289982</v>
      </c>
      <c r="BC134" s="227">
        <f>$F134*(VLOOKUP(BC$4, Rates_previous!$G$6:$Q$29, 10, FALSE)+VLOOKUP(BC$4, Rates_previous!$G$6:$Q$29, 11, FALSE))</f>
        <v>16012.126571487943</v>
      </c>
      <c r="BD134" s="227">
        <f>$F134*(VLOOKUP(BD$4, Rates_previous!$G$6:$Q$29, 10, FALSE)+VLOOKUP(BD$4, Rates_previous!$G$6:$Q$29, 11, FALSE))</f>
        <v>12633.144659240033</v>
      </c>
      <c r="BE134" s="227">
        <f>$F134*(VLOOKUP(BE$4, Rates_previous!$G$6:$Q$29, 10, FALSE)+VLOOKUP(BE$4, Rates_previous!$G$6:$Q$29, 11, FALSE))</f>
        <v>11092.961380508561</v>
      </c>
      <c r="BF134" s="227">
        <f>$F134*(VLOOKUP(BF$4, Rates_previous!$G$6:$Q$29, 10, FALSE)+VLOOKUP(BF$4, Rates_previous!$G$6:$Q$29, 11, FALSE))</f>
        <v>12285.898754785592</v>
      </c>
      <c r="BG134" s="227">
        <f>$F134*(VLOOKUP(BG$4, Rates_previous!$G$6:$Q$29, 10, FALSE)+VLOOKUP(BG$4, Rates_previous!$G$6:$Q$29, 11, FALSE))</f>
        <v>11130.535692263404</v>
      </c>
      <c r="BH134" s="229">
        <f>IF($D134=0,IF(C134=0, MAX(BK134 - (VLOOKUP($A134,TOCA_previous!$A$2:$AI$137,MATCH("RHWM 2018",TOCA_previous!$A$2:$AI$2,0),FALSE)*$F$2*TOCA_previous!C131),0),0), 0)</f>
        <v>0</v>
      </c>
      <c r="BI134" s="266">
        <f>VLOOKUP($A134,REP_previous!$A$1:$D$135,MATCH("FY "&amp;$F$1&amp; " Total Refund",REP_previous!$A$1:$D$1,0),0)</f>
        <v>102741.50983559954</v>
      </c>
      <c r="BJ134" s="241">
        <f>MIN(VLOOKUP($A134,TOCA_previous!$A$2:$AI$137,MATCH("TRL - NLSL - Existing Resource "&amp;$F$1,TOCA_previous!$A$2:$AI$2,0),FALSE)*$F$2,(VLOOKUP($A134,TOCA_previous!$A$2:$AI$137,MATCH("RHWM 2018",TOCA_previous!$A$2:$AI$2,0),FALSE)*$F$2))</f>
        <v>145459.80000000002</v>
      </c>
      <c r="BK134" s="229">
        <f>SUM(L134:AI134)+(F134*RT1SC!$C$3*$F$2)</f>
        <v>156482.91064536001</v>
      </c>
      <c r="BL134" s="241">
        <f>VLOOKUP($A134,TOCA_previous!$A$2:$AI$137,MATCH("Above RHWM Not Served with LS "&amp;$F$1,TOCA_previous!$A$2:$AI$2,0),FALSE)*$F$2</f>
        <v>0</v>
      </c>
      <c r="BM134" s="151">
        <f t="shared" si="21"/>
        <v>11023.110645359993</v>
      </c>
      <c r="BN134" s="242">
        <f>(VLOOKUP($A134,TOCA_previous!$A$2:$AI$137,MATCH("RHWM 2018",TOCA_previous!$A$2:$AI$2,0),FALSE)*$F$2) - $BJ134</f>
        <v>15785.51999999999</v>
      </c>
      <c r="BO134" s="151">
        <f t="shared" si="22"/>
        <v>-11023.110645359993</v>
      </c>
      <c r="BP134" s="243">
        <f t="shared" si="23"/>
        <v>0</v>
      </c>
      <c r="BQ134" s="237">
        <f t="shared" si="24"/>
        <v>0</v>
      </c>
      <c r="BR134" s="242">
        <f t="shared" si="25"/>
        <v>-11023.110645359993</v>
      </c>
      <c r="BS134" s="151">
        <f>VLOOKUP($A134,TOCA_current!$A$2:$AI$137,MATCH(BS$4,TOCA_current!$A$2:$AI$2,0),FALSE)</f>
        <v>2.6489999999999999E-3</v>
      </c>
      <c r="BT134" s="151">
        <f>VLOOKUP($A134,TOCA_current!$A$2:$AI$137,MATCH(BT$4,TOCA_current!$A$2:$AI$2,0),FALSE)</f>
        <v>2.6489999999999999E-3</v>
      </c>
      <c r="BU134" s="236">
        <f t="shared" si="26"/>
        <v>0</v>
      </c>
      <c r="BV134" s="151">
        <f>VLOOKUP($A134,TOCA_current!A130:BG265,MATCH(BV$4,TOCA_current!$A$2:$BG$2,0),FALSE)</f>
        <v>7.0312200000000005E-2</v>
      </c>
      <c r="BW134" s="151">
        <f t="shared" si="27"/>
        <v>0</v>
      </c>
      <c r="BX134" s="151">
        <f t="shared" si="28"/>
        <v>0</v>
      </c>
      <c r="BY134" s="226">
        <f>VLOOKUP($A134,IRD!$A$4:$G$139, 7, FALSE)</f>
        <v>7189.6969999999992</v>
      </c>
      <c r="BZ134" s="227">
        <f t="array" ref="BZ134">IF($BU134=0, INDEX(LS_current!$D$4:$AY$138, MATCH('Staging Table'!$A134, LS_current!$B$4:$B$138, 0), MATCH(BZ$4&amp;BZ$5, LS_current!$D$2:$AY$2&amp;LS_current!$D$3:$AY$3, 0)),SUM(VLOOKUP($A134, LS_current!$B$4:$AY$138, LS_current!D$148, FALSE), VLOOKUP($A134, LS_current!$B$4:$AY$138,LS_current!D$148, FALSE))/2)</f>
        <v>-1824</v>
      </c>
      <c r="CA134" s="227">
        <f t="array" ref="CA134">IF($BU134=0, INDEX(LS_current!$D$4:$AY$138, MATCH('Staging Table'!$A134, LS_current!$B$4:$B$138, 0), MATCH(CA$4&amp;CA$5, LS_current!$D$2:$AY$2&amp;LS_current!$D$3:$AY$3, 0)),SUM(VLOOKUP($A134, LS_current!$B$4:$AY$138, LS_current!E$148, FALSE), VLOOKUP($A134, LS_current!$B$4:$AY$138,LS_current!E$148, FALSE))/2)</f>
        <v>-416</v>
      </c>
      <c r="CB134" s="227">
        <f t="array" ref="CB134">IF($BU134=0, INDEX(LS_current!$D$4:$AY$138, MATCH('Staging Table'!$A134, LS_current!$B$4:$B$138, 0), MATCH(CB$4&amp;CB$5, LS_current!$D$2:$AY$2&amp;LS_current!$D$3:$AY$3, 0)),SUM(VLOOKUP($A134, LS_current!$B$4:$AY$138, LS_current!F$148, FALSE), VLOOKUP($A134, LS_current!$B$4:$AY$138,LS_current!F$148, FALSE))/2)</f>
        <v>-4644</v>
      </c>
      <c r="CC134" s="227">
        <f t="array" ref="CC134">IF($BU134=0, INDEX(LS_current!$D$4:$AY$138, MATCH('Staging Table'!$A134, LS_current!$B$4:$B$138, 0), MATCH(CC$4&amp;CC$5, LS_current!$D$2:$AY$2&amp;LS_current!$D$3:$AY$3, 0)),SUM(VLOOKUP($A134, LS_current!$B$4:$AY$138, LS_current!G$148, FALSE), VLOOKUP($A134, LS_current!$B$4:$AY$138,LS_current!G$148, FALSE))/2)</f>
        <v>-2180</v>
      </c>
      <c r="CD134" s="227">
        <f t="array" ref="CD134">IF($BU134=0, INDEX(LS_current!$D$4:$AY$138, MATCH('Staging Table'!$A134, LS_current!$B$4:$B$138, 0), MATCH(CD$4&amp;CD$5, LS_current!$D$2:$AY$2&amp;LS_current!$D$3:$AY$3, 0)),SUM(VLOOKUP($A134, LS_current!$B$4:$AY$138, LS_current!H$148, FALSE), VLOOKUP($A134, LS_current!$B$4:$AY$138,LS_current!H$148, FALSE))/2)</f>
        <v>-3046</v>
      </c>
      <c r="CE134" s="227">
        <f t="array" ref="CE134">IF($BU134=0, INDEX(LS_current!$D$4:$AY$138, MATCH('Staging Table'!$A134, LS_current!$B$4:$B$138, 0), MATCH(CE$4&amp;CE$5, LS_current!$D$2:$AY$2&amp;LS_current!$D$3:$AY$3, 0)),SUM(VLOOKUP($A134, LS_current!$B$4:$AY$138, LS_current!I$148, FALSE), VLOOKUP($A134, LS_current!$B$4:$AY$138,LS_current!I$148, FALSE))/2)</f>
        <v>-1166</v>
      </c>
      <c r="CF134" s="227">
        <f t="array" ref="CF134">IF($BU134=0, INDEX(LS_current!$D$4:$AY$138, MATCH('Staging Table'!$A134, LS_current!$B$4:$B$138, 0), MATCH(CF$4&amp;CF$5, LS_current!$D$2:$AY$2&amp;LS_current!$D$3:$AY$3, 0)),SUM(VLOOKUP($A134, LS_current!$B$4:$AY$138, LS_current!J$148, FALSE), VLOOKUP($A134, LS_current!$B$4:$AY$138,LS_current!J$148, FALSE))/2)</f>
        <v>-1960</v>
      </c>
      <c r="CG134" s="227">
        <f t="array" ref="CG134">IF($BU134=0, INDEX(LS_current!$D$4:$AY$138, MATCH('Staging Table'!$A134, LS_current!$B$4:$B$138, 0), MATCH(CG$4&amp;CG$5, LS_current!$D$2:$AY$2&amp;LS_current!$D$3:$AY$3, 0)),SUM(VLOOKUP($A134, LS_current!$B$4:$AY$138, LS_current!K$148, FALSE), VLOOKUP($A134, LS_current!$B$4:$AY$138,LS_current!K$148, FALSE))/2)</f>
        <v>-394</v>
      </c>
      <c r="CH134" s="227">
        <f t="array" ref="CH134">IF($BU134=0, INDEX(LS_current!$D$4:$AY$138, MATCH('Staging Table'!$A134, LS_current!$B$4:$B$138, 0), MATCH(CH$4&amp;CH$5, LS_current!$D$2:$AY$2&amp;LS_current!$D$3:$AY$3, 0)),SUM(VLOOKUP($A134, LS_current!$B$4:$AY$138, LS_current!L$148, FALSE), VLOOKUP($A134, LS_current!$B$4:$AY$138,LS_current!L$148, FALSE))/2)</f>
        <v>-1662</v>
      </c>
      <c r="CI134" s="227">
        <f t="array" ref="CI134">IF($BU134=0, INDEX(LS_current!$D$4:$AY$138, MATCH('Staging Table'!$A134, LS_current!$B$4:$B$138, 0), MATCH(CI$4&amp;CI$5, LS_current!$D$2:$AY$2&amp;LS_current!$D$3:$AY$3, 0)),SUM(VLOOKUP($A134, LS_current!$B$4:$AY$138, LS_current!M$148, FALSE), VLOOKUP($A134, LS_current!$B$4:$AY$138,LS_current!M$148, FALSE))/2)</f>
        <v>-560</v>
      </c>
      <c r="CJ134" s="227">
        <f t="array" ref="CJ134">IF($BU134=0, INDEX(LS_current!$D$4:$AY$138, MATCH('Staging Table'!$A134, LS_current!$B$4:$B$138, 0), MATCH(CJ$4&amp;CJ$5, LS_current!$D$2:$AY$2&amp;LS_current!$D$3:$AY$3, 0)),SUM(VLOOKUP($A134, LS_current!$B$4:$AY$138, LS_current!N$148, FALSE), VLOOKUP($A134, LS_current!$B$4:$AY$138,LS_current!N$148, FALSE))/2)</f>
        <v>-3002</v>
      </c>
      <c r="CK134" s="227">
        <f t="array" ref="CK134">IF($BU134=0, INDEX(LS_current!$D$4:$AY$138, MATCH('Staging Table'!$A134, LS_current!$B$4:$B$138, 0), MATCH(CK$4&amp;CK$5, LS_current!$D$2:$AY$2&amp;LS_current!$D$3:$AY$3, 0)),SUM(VLOOKUP($A134, LS_current!$B$4:$AY$138, LS_current!O$148, FALSE), VLOOKUP($A134, LS_current!$B$4:$AY$138,LS_current!O$148, FALSE))/2)</f>
        <v>-1332</v>
      </c>
      <c r="CL134" s="227">
        <f t="array" ref="CL134">IF($BU134=0, INDEX(LS_current!$D$4:$AY$138, MATCH('Staging Table'!$A134, LS_current!$B$4:$B$138, 0), MATCH(CL$4&amp;CL$5, LS_current!$D$2:$AY$2&amp;LS_current!$D$3:$AY$3, 0)),SUM(VLOOKUP($A134, LS_current!$B$4:$AY$138, LS_current!P$148, FALSE), VLOOKUP($A134, LS_current!$B$4:$AY$138,LS_current!P$148, FALSE))/2)</f>
        <v>-400</v>
      </c>
      <c r="CM134" s="227">
        <f t="array" ref="CM134">IF($BU134=0, INDEX(LS_current!$D$4:$AY$138, MATCH('Staging Table'!$A134, LS_current!$B$4:$B$138, 0), MATCH(CM$4&amp;CM$5, LS_current!$D$2:$AY$2&amp;LS_current!$D$3:$AY$3, 0)),SUM(VLOOKUP($A134, LS_current!$B$4:$AY$138, LS_current!Q$148, FALSE), VLOOKUP($A134, LS_current!$B$4:$AY$138,LS_current!Q$148, FALSE))/2)</f>
        <v>7</v>
      </c>
      <c r="CN134" s="227">
        <f t="array" ref="CN134">IF($BU134=0, INDEX(LS_current!$D$4:$AY$138, MATCH('Staging Table'!$A134, LS_current!$B$4:$B$138, 0), MATCH(CN$4&amp;CN$5, LS_current!$D$2:$AY$2&amp;LS_current!$D$3:$AY$3, 0)),SUM(VLOOKUP($A134, LS_current!$B$4:$AY$138, LS_current!R$148, FALSE), VLOOKUP($A134, LS_current!$B$4:$AY$138,LS_current!R$148, FALSE))/2)</f>
        <v>-823</v>
      </c>
      <c r="CO134" s="227">
        <f t="array" ref="CO134">IF($BU134=0, INDEX(LS_current!$D$4:$AY$138, MATCH('Staging Table'!$A134, LS_current!$B$4:$B$138, 0), MATCH(CO$4&amp;CO$5, LS_current!$D$2:$AY$2&amp;LS_current!$D$3:$AY$3, 0)),SUM(VLOOKUP($A134, LS_current!$B$4:$AY$138, LS_current!S$148, FALSE), VLOOKUP($A134, LS_current!$B$4:$AY$138,LS_current!S$148, FALSE))/2)</f>
        <v>755</v>
      </c>
      <c r="CP134" s="227">
        <f t="array" ref="CP134">IF($BU134=0, INDEX(LS_current!$D$4:$AY$138, MATCH('Staging Table'!$A134, LS_current!$B$4:$B$138, 0), MATCH(CP$4&amp;CP$5, LS_current!$D$2:$AY$2&amp;LS_current!$D$3:$AY$3, 0)),SUM(VLOOKUP($A134, LS_current!$B$4:$AY$138, LS_current!T$148, FALSE), VLOOKUP($A134, LS_current!$B$4:$AY$138,LS_current!T$148, FALSE))/2)</f>
        <v>-1263</v>
      </c>
      <c r="CQ134" s="227">
        <f t="array" ref="CQ134">IF($BU134=0, INDEX(LS_current!$D$4:$AY$138, MATCH('Staging Table'!$A134, LS_current!$B$4:$B$138, 0), MATCH(CQ$4&amp;CQ$5, LS_current!$D$2:$AY$2&amp;LS_current!$D$3:$AY$3, 0)),SUM(VLOOKUP($A134, LS_current!$B$4:$AY$138, LS_current!U$148, FALSE), VLOOKUP($A134, LS_current!$B$4:$AY$138,LS_current!U$148, FALSE))/2)</f>
        <v>135</v>
      </c>
      <c r="CR134" s="227">
        <f t="array" ref="CR134">IF($BU134=0, INDEX(LS_current!$D$4:$AY$138, MATCH('Staging Table'!$A134, LS_current!$B$4:$B$138, 0), MATCH(CR$4&amp;CR$5, LS_current!$D$2:$AY$2&amp;LS_current!$D$3:$AY$3, 0)),SUM(VLOOKUP($A134, LS_current!$B$4:$AY$138, LS_current!V$148, FALSE), VLOOKUP($A134, LS_current!$B$4:$AY$138,LS_current!V$148, FALSE))/2)</f>
        <v>2786</v>
      </c>
      <c r="CS134" s="227">
        <f t="array" ref="CS134">IF($BU134=0, INDEX(LS_current!$D$4:$AY$138, MATCH('Staging Table'!$A134, LS_current!$B$4:$B$138, 0), MATCH(CS$4&amp;CS$5, LS_current!$D$2:$AY$2&amp;LS_current!$D$3:$AY$3, 0)),SUM(VLOOKUP($A134, LS_current!$B$4:$AY$138, LS_current!W$148, FALSE), VLOOKUP($A134, LS_current!$B$4:$AY$138,LS_current!W$148, FALSE))/2)</f>
        <v>4247</v>
      </c>
      <c r="CT134" s="227">
        <f t="array" ref="CT134">IF($BU134=0, INDEX(LS_current!$D$4:$AY$138, MATCH('Staging Table'!$A134, LS_current!$B$4:$B$138, 0), MATCH(CT$4&amp;CT$5, LS_current!$D$2:$AY$2&amp;LS_current!$D$3:$AY$3, 0)),SUM(VLOOKUP($A134, LS_current!$B$4:$AY$138, LS_current!X$148, FALSE), VLOOKUP($A134, LS_current!$B$4:$AY$138,LS_current!X$148, FALSE))/2)</f>
        <v>3730</v>
      </c>
      <c r="CU134" s="227">
        <f t="array" ref="CU134">IF($BU134=0, INDEX(LS_current!$D$4:$AY$138, MATCH('Staging Table'!$A134, LS_current!$B$4:$B$138, 0), MATCH(CU$4&amp;CU$5, LS_current!$D$2:$AY$2&amp;LS_current!$D$3:$AY$3, 0)),SUM(VLOOKUP($A134, LS_current!$B$4:$AY$138, LS_current!Y$148, FALSE), VLOOKUP($A134, LS_current!$B$4:$AY$138,LS_current!Y$148, FALSE))/2)</f>
        <v>3870</v>
      </c>
      <c r="CV134" s="227">
        <f t="array" ref="CV134">IF($BU134=0, INDEX(LS_current!$D$4:$AY$138, MATCH('Staging Table'!$A134, LS_current!$B$4:$B$138, 0), MATCH(CV$4&amp;CV$5, LS_current!$D$2:$AY$2&amp;LS_current!$D$3:$AY$3, 0)),SUM(VLOOKUP($A134, LS_current!$B$4:$AY$138, LS_current!Z$148, FALSE), VLOOKUP($A134, LS_current!$B$4:$AY$138,LS_current!Z$148, FALSE))/2)</f>
        <v>678</v>
      </c>
      <c r="CW134" s="227">
        <f t="array" ref="CW134">IF($BU134=0, INDEX(LS_current!$D$4:$AY$138, MATCH('Staging Table'!$A134, LS_current!$B$4:$B$138, 0), MATCH(CW$4&amp;CW$5, LS_current!$D$2:$AY$2&amp;LS_current!$D$3:$AY$3, 0)),SUM(VLOOKUP($A134, LS_current!$B$4:$AY$138, LS_current!AA$148, FALSE), VLOOKUP($A134, LS_current!$B$4:$AY$138,LS_current!AA$148, FALSE))/2)</f>
        <v>1496</v>
      </c>
      <c r="CX134" s="229">
        <f t="array" ref="CX134">INDEX(Demand_current!$D$4:$AY$138, MATCH($A134, Demand_current!$B$4:$B$138, 0), MATCH(CX$4&amp;CX$5,Demand_current!$D$2:$AY$2&amp;Demand_current!$D$3:$AY$3, 0))/1000</f>
        <v>3.6819999999999999</v>
      </c>
      <c r="CY134" s="229">
        <f t="array" ref="CY134">INDEX(Demand_current!$D$4:$AY$138, MATCH($A134, Demand_current!$B$4:$B$138, 0), MATCH(CY$4&amp;CY$5,Demand_current!$D$2:$AY$2&amp;Demand_current!$D$3:$AY$3, 0))/1000</f>
        <v>4.3620000000000001</v>
      </c>
      <c r="CZ134" s="229">
        <f t="array" ref="CZ134">INDEX(Demand_current!$D$4:$AY$138, MATCH($A134, Demand_current!$B$4:$B$138, 0), MATCH(CZ$4&amp;CZ$5,Demand_current!$D$2:$AY$2&amp;Demand_current!$D$3:$AY$3, 0))/1000</f>
        <v>1.8580000000000001</v>
      </c>
      <c r="DA134" s="229">
        <f t="array" ref="DA134">INDEX(Demand_current!$D$4:$AY$138, MATCH($A134, Demand_current!$B$4:$B$138, 0), MATCH(DA$4&amp;DA$5,Demand_current!$D$2:$AY$2&amp;Demand_current!$D$3:$AY$3, 0))/1000</f>
        <v>2.9209999999999998</v>
      </c>
      <c r="DB134" s="229">
        <f t="array" ref="DB134">INDEX(Demand_current!$D$4:$AY$138, MATCH($A134, Demand_current!$B$4:$B$138, 0), MATCH(DB$4&amp;DB$5,Demand_current!$D$2:$AY$2&amp;Demand_current!$D$3:$AY$3, 0))/1000</f>
        <v>2.262</v>
      </c>
      <c r="DC134" s="229">
        <f t="array" ref="DC134">INDEX(Demand_current!$D$4:$AY$138, MATCH($A134, Demand_current!$B$4:$B$138, 0), MATCH(DC$4&amp;DC$5,Demand_current!$D$2:$AY$2&amp;Demand_current!$D$3:$AY$3, 0))/1000</f>
        <v>2.4710000000000001</v>
      </c>
      <c r="DD134" s="229">
        <f t="array" ref="DD134">INDEX(Demand_current!$D$4:$AY$138, MATCH($A134, Demand_current!$B$4:$B$138, 0), MATCH(DD$4&amp;DD$5,Demand_current!$D$2:$AY$2&amp;Demand_current!$D$3:$AY$3, 0))/1000</f>
        <v>3.7789999999999999</v>
      </c>
      <c r="DE134" s="229">
        <f t="array" ref="DE134">INDEX(Demand_current!$D$4:$AY$138, MATCH($A134, Demand_current!$B$4:$B$138, 0), MATCH(DE$4&amp;DE$5,Demand_current!$D$2:$AY$2&amp;Demand_current!$D$3:$AY$3, 0))/1000</f>
        <v>2.4260000000000002</v>
      </c>
      <c r="DF134" s="229">
        <f t="array" ref="DF134">INDEX(Demand_current!$D$4:$AY$138, MATCH($A134, Demand_current!$B$4:$B$138, 0), MATCH(DF$4&amp;DF$5,Demand_current!$D$2:$AY$2&amp;Demand_current!$D$3:$AY$3, 0))/1000</f>
        <v>4.2519999999999998</v>
      </c>
      <c r="DG134" s="229">
        <f t="array" ref="DG134">INDEX(Demand_current!$D$4:$AY$138, MATCH($A134, Demand_current!$B$4:$B$138, 0), MATCH(DG$4&amp;DG$5,Demand_current!$D$2:$AY$2&amp;Demand_current!$D$3:$AY$3, 0))/1000</f>
        <v>2.7719999999999998</v>
      </c>
      <c r="DH134" s="229">
        <f t="array" ref="DH134">INDEX(Demand_current!$D$4:$AY$138, MATCH($A134, Demand_current!$B$4:$B$138, 0), MATCH(DH$4&amp;DH$5,Demand_current!$D$2:$AY$2&amp;Demand_current!$D$3:$AY$3, 0))/1000</f>
        <v>0</v>
      </c>
      <c r="DI134" s="229">
        <f t="array" ref="DI134">INDEX(Demand_current!$D$4:$AY$138, MATCH($A134, Demand_current!$B$4:$B$138, 0), MATCH(DI$4&amp;DI$5,Demand_current!$D$2:$AY$2&amp;Demand_current!$D$3:$AY$3, 0))/1000</f>
        <v>4.6100000000000003</v>
      </c>
      <c r="DJ134" s="227">
        <f>$BT134*(VLOOKUP(DJ$4, Rates_current!$G$6:$Q$29, 10, FALSE)+VLOOKUP(DJ$4, Rates_current!$G$6:$Q$29, 11, FALSE))</f>
        <v>12231.273252203999</v>
      </c>
      <c r="DK134" s="227">
        <f>$BT134*(VLOOKUP(DK$4, Rates_current!$G$6:$Q$29, 10, FALSE)+VLOOKUP(DK$4, Rates_current!$G$6:$Q$29, 11, FALSE))</f>
        <v>15537.532650110999</v>
      </c>
      <c r="DL134" s="227">
        <f>$BT134*(VLOOKUP(DL$4, Rates_current!$G$6:$Q$29, 10, FALSE)+VLOOKUP(DL$4, Rates_current!$G$6:$Q$29, 11, FALSE))</f>
        <v>15349.895919204</v>
      </c>
      <c r="DM134" s="227">
        <f>$BT134*(VLOOKUP(DM$4, Rates_current!$G$6:$Q$29, 10, FALSE)+VLOOKUP(DM$4, Rates_current!$G$6:$Q$29, 11, FALSE))</f>
        <v>12795.073167204</v>
      </c>
      <c r="DN134" s="227">
        <f>$BT134*(VLOOKUP(DN$4, Rates_current!$G$6:$Q$29, 10, FALSE)+VLOOKUP(DN$4, Rates_current!$G$6:$Q$29, 11, FALSE))</f>
        <v>11591.0089032</v>
      </c>
      <c r="DO134" s="227">
        <f>$BT134*(VLOOKUP(DO$4, Rates_current!$G$6:$Q$29, 10, FALSE)+VLOOKUP(DO$4, Rates_current!$G$6:$Q$29, 11, FALSE))</f>
        <v>12892.884157113</v>
      </c>
      <c r="DP134" s="227">
        <f>$BT134*(VLOOKUP(DP$4, Rates_current!$G$6:$Q$29, 10, FALSE)+VLOOKUP(DP$4, Rates_current!$G$6:$Q$29, 11, FALSE))</f>
        <v>10497.400193519999</v>
      </c>
      <c r="DQ134" s="227">
        <f>$BT134*(VLOOKUP(DQ$4, Rates_current!$G$6:$Q$29, 10, FALSE)+VLOOKUP(DQ$4, Rates_current!$G$6:$Q$29, 11, FALSE))</f>
        <v>14157.309496704</v>
      </c>
      <c r="DR134" s="227">
        <f>$BT134*(VLOOKUP(DR$4, Rates_current!$G$6:$Q$29, 10, FALSE)+VLOOKUP(DR$4, Rates_current!$G$6:$Q$29, 11, FALSE))</f>
        <v>18063.764059019999</v>
      </c>
      <c r="DS134" s="227">
        <f>$BT134*(VLOOKUP(DS$4, Rates_current!$G$6:$Q$29, 10, FALSE)+VLOOKUP(DS$4, Rates_current!$G$6:$Q$29, 11, FALSE))</f>
        <v>14162.563788204001</v>
      </c>
      <c r="DT134" s="227">
        <f>$BT134*(VLOOKUP(DT$4, Rates_current!$G$6:$Q$29, 10, FALSE)+VLOOKUP(DT$4, Rates_current!$G$6:$Q$29, 11, FALSE))</f>
        <v>13791.517033704</v>
      </c>
      <c r="DU134" s="227">
        <f>$BT134*(VLOOKUP(DU$4, Rates_current!$G$6:$Q$29, 10, FALSE)+VLOOKUP(DU$4, Rates_current!$G$6:$Q$29, 11, FALSE))</f>
        <v>12381.84846252</v>
      </c>
      <c r="DV134" s="229">
        <f>IF(D134=0,IF(C134=0,MAX(0,DY134 - (VLOOKUP($A134,TOCA_current!$A$2:$AI$137,MATCH("RHWM 2020",TOCA_current!$A$2:$AI$2,0),FALSE)*$BT$2)), 0),0)</f>
        <v>0</v>
      </c>
      <c r="DW134" s="266">
        <f>VLOOKUP($A134,REP_current!$A$1:$D$135,MATCH("FY "&amp;$BT$1&amp; " Total Refund",REP_current!$A$1:$D$1,0),0)</f>
        <v>0</v>
      </c>
      <c r="DX134" s="295">
        <f>MIN(VLOOKUP($A134,TOCA_current!$A$2:$AI$137,MATCH("TRL - NLSL - Existing Resource "&amp;$BT$1,TOCA_current!$A$2:$AI$2,0),FALSE)*$BT$2, VLOOKUP($A134,TOCA_current!$A$2:$AI$137,MATCH("RHWM 2020",TOCA_current!$A$2:$AI$2,0),FALSE)*$BT$2)</f>
        <v>163452.67199999999</v>
      </c>
      <c r="DY134" s="240">
        <f>SUM(BZ134:CW134)+(BT134*RT1SC!$C$4*$BT$2)</f>
        <v>156484.07721779199</v>
      </c>
      <c r="DZ134" s="271">
        <f>VLOOKUP($A134,TOCA_current!$A$2:$AI$137,MATCH("Above RHWM Not Served with LS "&amp;$BT$1,TOCA_current!$A$2:$AI$2,0),FALSE)*$BT$2</f>
        <v>0</v>
      </c>
      <c r="EA134" s="244">
        <f t="shared" si="29"/>
        <v>-6968.5947822080052</v>
      </c>
      <c r="EB134" s="295">
        <f>(VLOOKUP($A134,TOCA_current!$A$2:$AI$137,MATCH("RHWM 2020",TOCA_current!$A$2:$AI$2,0),FALSE)*$BT$2) - $DX134</f>
        <v>0</v>
      </c>
      <c r="EC134" s="240">
        <f t="shared" si="30"/>
        <v>0</v>
      </c>
      <c r="ED134" s="240">
        <f t="shared" si="31"/>
        <v>6968.5947822080052</v>
      </c>
      <c r="EE134" s="240">
        <f t="shared" si="32"/>
        <v>0</v>
      </c>
      <c r="EF134" s="240">
        <f t="shared" si="33"/>
        <v>6968.5947822080052</v>
      </c>
    </row>
    <row r="135" spans="1:136">
      <c r="A135" s="186">
        <v>13927</v>
      </c>
      <c r="B135" s="187" t="s">
        <v>269</v>
      </c>
      <c r="C135" s="240">
        <v>0</v>
      </c>
      <c r="D135" s="240">
        <v>0</v>
      </c>
      <c r="E135" s="150">
        <f>VLOOKUP($A135,TOCA_previous!$A$2:$AI$137,MATCH(E$4,TOCA_previous!$A$2:$AI$2,0),FALSE)</f>
        <v>5.7709999999999999E-4</v>
      </c>
      <c r="F135" s="151">
        <f>VLOOKUP($A135,TOCA_previous!$A$2:$AI$137,MATCH(F$4,TOCA_previous!$A$2:$AI$2,0),FALSE)</f>
        <v>5.7709999999999999E-4</v>
      </c>
      <c r="G135" s="151">
        <f t="shared" ref="G135:G140" si="34">E135-F135</f>
        <v>0</v>
      </c>
      <c r="H135" s="151">
        <f>VLOOKUP($A135,TOCA_previous!$A$2:$AI$137,MATCH(H$4,TOCA_previous!$A$2:$AI$2,0),FALSE)</f>
        <v>0</v>
      </c>
      <c r="I135" s="151">
        <f t="shared" ref="I135:I140" si="35">IF(C135=0,0,H135)</f>
        <v>0</v>
      </c>
      <c r="J135" s="151">
        <f t="shared" ref="J135:J140" si="36">IF(C135=0,0,E135)</f>
        <v>0</v>
      </c>
      <c r="K135" s="226">
        <f>VLOOKUP(A135, IRD!$A$5:$C$139, 3, FALSE)</f>
        <v>0</v>
      </c>
      <c r="L135" s="227">
        <f t="array" ref="L135">IF($G135=0, INDEX(LS_previous!$D$4:$AY$138, MATCH('Staging Table'!$A135, LS_previous!$B$4:$B$138, 0), MATCH(L$4&amp;L$5, LS_previous!$D$2:$AY$2&amp;LS_previous!$D$3:$AY$3, 0)),SUM(VLOOKUP($A135, LS_previous!$B$4:$AY$138, LS_previous!D$149, FALSE), VLOOKUP('Staging Table'!$A135, LS_previous!$B$4:$AY$138,LS_previous!AB$149, FALSE))/2)</f>
        <v>-611</v>
      </c>
      <c r="M135" s="227">
        <f t="array" ref="M135">IF($G135=0, INDEX(LS_previous!$D$4:$AY$138, MATCH('Staging Table'!$A135, LS_previous!$B$4:$B$138, 0), MATCH(M$4&amp;M$5, LS_previous!$D$2:$AY$2&amp;LS_previous!$D$3:$AY$3, 0)),SUM(VLOOKUP($A135, LS_previous!$B$4:$AY$138, LS_previous!E$149, FALSE), VLOOKUP('Staging Table'!$A135, LS_previous!$B$4:$AY$138,LS_previous!AC$149, FALSE))/2)</f>
        <v>-76</v>
      </c>
      <c r="N135" s="227">
        <f t="array" ref="N135">IF($G135=0, INDEX(LS_previous!$D$4:$AY$138, MATCH('Staging Table'!$A135, LS_previous!$B$4:$B$138, 0), MATCH(N$4&amp;N$5, LS_previous!$D$2:$AY$2&amp;LS_previous!$D$3:$AY$3, 0)),SUM(VLOOKUP($A135, LS_previous!$B$4:$AY$138, LS_previous!F$149, FALSE), VLOOKUP('Staging Table'!$A135, LS_previous!$B$4:$AY$138,LS_previous!AD$149, FALSE))/2)</f>
        <v>-983</v>
      </c>
      <c r="O135" s="227">
        <f t="array" ref="O135">IF($G135=0, INDEX(LS_previous!$D$4:$AY$138, MATCH('Staging Table'!$A135, LS_previous!$B$4:$B$138, 0), MATCH(O$4&amp;O$5, LS_previous!$D$2:$AY$2&amp;LS_previous!$D$3:$AY$3, 0)),SUM(VLOOKUP($A135, LS_previous!$B$4:$AY$138, LS_previous!G$149, FALSE), VLOOKUP('Staging Table'!$A135, LS_previous!$B$4:$AY$138,LS_previous!AE$149, FALSE))/2)</f>
        <v>-375</v>
      </c>
      <c r="P135" s="227">
        <f t="array" ref="P135">IF($G135=0, INDEX(LS_previous!$D$4:$AY$138, MATCH('Staging Table'!$A135, LS_previous!$B$4:$B$138, 0), MATCH(P$4&amp;P$5, LS_previous!$D$2:$AY$2&amp;LS_previous!$D$3:$AY$3, 0)),SUM(VLOOKUP($A135, LS_previous!$B$4:$AY$138, LS_previous!H$149, FALSE), VLOOKUP('Staging Table'!$A135, LS_previous!$B$4:$AY$138,LS_previous!AF$149, FALSE))/2)</f>
        <v>-805</v>
      </c>
      <c r="Q135" s="227">
        <f t="array" ref="Q135">IF($G135=0, INDEX(LS_previous!$D$4:$AY$138, MATCH('Staging Table'!$A135, LS_previous!$B$4:$B$138, 0), MATCH(Q$4&amp;Q$5, LS_previous!$D$2:$AY$2&amp;LS_previous!$D$3:$AY$3, 0)),SUM(VLOOKUP($A135, LS_previous!$B$4:$AY$138, LS_previous!I$149, FALSE), VLOOKUP('Staging Table'!$A135, LS_previous!$B$4:$AY$138,LS_previous!AG$149, FALSE))/2)</f>
        <v>-208</v>
      </c>
      <c r="R135" s="227">
        <f t="array" ref="R135">IF($G135=0, INDEX(LS_previous!$D$4:$AY$138, MATCH('Staging Table'!$A135, LS_previous!$B$4:$B$138, 0), MATCH(R$4&amp;R$5, LS_previous!$D$2:$AY$2&amp;LS_previous!$D$3:$AY$3, 0)),SUM(VLOOKUP($A135, LS_previous!$B$4:$AY$138, LS_previous!J$149, FALSE), VLOOKUP('Staging Table'!$A135, LS_previous!$B$4:$AY$138,LS_previous!AH$149, FALSE))/2)</f>
        <v>-428</v>
      </c>
      <c r="S135" s="227">
        <f t="array" ref="S135">IF($G135=0, INDEX(LS_previous!$D$4:$AY$138, MATCH('Staging Table'!$A135, LS_previous!$B$4:$B$138, 0), MATCH(S$4&amp;S$5, LS_previous!$D$2:$AY$2&amp;LS_previous!$D$3:$AY$3, 0)),SUM(VLOOKUP($A135, LS_previous!$B$4:$AY$138, LS_previous!K$149, FALSE), VLOOKUP('Staging Table'!$A135, LS_previous!$B$4:$AY$138,LS_previous!AI$149, FALSE))/2)</f>
        <v>-19</v>
      </c>
      <c r="T135" s="227">
        <f t="array" ref="T135">IF($G135=0, INDEX(LS_previous!$D$4:$AY$138, MATCH('Staging Table'!$A135, LS_previous!$B$4:$B$138, 0), MATCH(T$4&amp;T$5, LS_previous!$D$2:$AY$2&amp;LS_previous!$D$3:$AY$3, 0)),SUM(VLOOKUP($A135, LS_previous!$B$4:$AY$138, LS_previous!L$149, FALSE), VLOOKUP('Staging Table'!$A135, LS_previous!$B$4:$AY$138,LS_previous!AJ$149, FALSE))/2)</f>
        <v>-252</v>
      </c>
      <c r="U135" s="227">
        <f t="array" ref="U135">IF($G135=0, INDEX(LS_previous!$D$4:$AY$138, MATCH('Staging Table'!$A135, LS_previous!$B$4:$B$138, 0), MATCH(U$4&amp;U$5, LS_previous!$D$2:$AY$2&amp;LS_previous!$D$3:$AY$3, 0)),SUM(VLOOKUP($A135, LS_previous!$B$4:$AY$138, LS_previous!M$149, FALSE), VLOOKUP('Staging Table'!$A135, LS_previous!$B$4:$AY$138,LS_previous!AK$149, FALSE))/2)</f>
        <v>34</v>
      </c>
      <c r="V135" s="227">
        <f t="array" ref="V135">IF($G135=0, INDEX(LS_previous!$D$4:$AY$138, MATCH('Staging Table'!$A135, LS_previous!$B$4:$B$138, 0), MATCH(V$4&amp;V$5, LS_previous!$D$2:$AY$2&amp;LS_previous!$D$3:$AY$3, 0)),SUM(VLOOKUP($A135, LS_previous!$B$4:$AY$138, LS_previous!N$149, FALSE), VLOOKUP('Staging Table'!$A135, LS_previous!$B$4:$AY$138,LS_previous!AL$149, FALSE))/2)</f>
        <v>-460</v>
      </c>
      <c r="W135" s="227">
        <f t="array" ref="W135">IF($G135=0, INDEX(LS_previous!$D$4:$AY$138, MATCH('Staging Table'!$A135, LS_previous!$B$4:$B$138, 0), MATCH(W$4&amp;W$5, LS_previous!$D$2:$AY$2&amp;LS_previous!$D$3:$AY$3, 0)),SUM(VLOOKUP($A135, LS_previous!$B$4:$AY$138, LS_previous!O$149, FALSE), VLOOKUP('Staging Table'!$A135, LS_previous!$B$4:$AY$138,LS_previous!AM$149, FALSE))/2)</f>
        <v>-117</v>
      </c>
      <c r="X135" s="227">
        <f t="array" ref="X135">IF($G135=0, INDEX(LS_previous!$D$4:$AY$138, MATCH('Staging Table'!$A135, LS_previous!$B$4:$B$138, 0), MATCH(X$4&amp;X$5, LS_previous!$D$2:$AY$2&amp;LS_previous!$D$3:$AY$3, 0)),SUM(VLOOKUP($A135, LS_previous!$B$4:$AY$138, LS_previous!P$149, FALSE), VLOOKUP('Staging Table'!$A135, LS_previous!$B$4:$AY$138,LS_previous!AN$149, FALSE))/2)</f>
        <v>-506</v>
      </c>
      <c r="Y135" s="227">
        <f t="array" ref="Y135">IF($G135=0, INDEX(LS_previous!$D$4:$AY$138, MATCH('Staging Table'!$A135, LS_previous!$B$4:$B$138, 0), MATCH(Y$4&amp;Y$5, LS_previous!$D$2:$AY$2&amp;LS_previous!$D$3:$AY$3, 0)),SUM(VLOOKUP($A135, LS_previous!$B$4:$AY$138, LS_previous!Q$149, FALSE), VLOOKUP('Staging Table'!$A135, LS_previous!$B$4:$AY$138,LS_previous!AO$149, FALSE))/2)</f>
        <v>-35</v>
      </c>
      <c r="Z135" s="227">
        <f t="array" ref="Z135">IF($G135=0, INDEX(LS_previous!$D$4:$AY$138, MATCH('Staging Table'!$A135, LS_previous!$B$4:$B$138, 0), MATCH(Z$4&amp;Z$5, LS_previous!$D$2:$AY$2&amp;LS_previous!$D$3:$AY$3, 0)),SUM(VLOOKUP($A135, LS_previous!$B$4:$AY$138, LS_previous!R$149, FALSE), VLOOKUP('Staging Table'!$A135, LS_previous!$B$4:$AY$138,LS_previous!AP$149, FALSE))/2)</f>
        <v>-1199</v>
      </c>
      <c r="AA135" s="227">
        <f t="array" ref="AA135">IF($G135=0, INDEX(LS_previous!$D$4:$AY$138, MATCH('Staging Table'!$A135, LS_previous!$B$4:$B$138, 0), MATCH(AA$4&amp;AA$5, LS_previous!$D$2:$AY$2&amp;LS_previous!$D$3:$AY$3, 0)),SUM(VLOOKUP($A135, LS_previous!$B$4:$AY$138, LS_previous!S$149, FALSE), VLOOKUP('Staging Table'!$A135, LS_previous!$B$4:$AY$138,LS_previous!AQ$149, FALSE))/2)</f>
        <v>-466</v>
      </c>
      <c r="AB135" s="227">
        <f t="array" ref="AB135">IF($G135=0, INDEX(LS_previous!$D$4:$AY$138, MATCH('Staging Table'!$A135, LS_previous!$B$4:$B$138, 0), MATCH(AB$4&amp;AB$5, LS_previous!$D$2:$AY$2&amp;LS_previous!$D$3:$AY$3, 0)),SUM(VLOOKUP($A135, LS_previous!$B$4:$AY$138, LS_previous!T$149, FALSE), VLOOKUP('Staging Table'!$A135, LS_previous!$B$4:$AY$138,LS_previous!AR$149, FALSE))/2)</f>
        <v>-646</v>
      </c>
      <c r="AC135" s="227">
        <f t="array" ref="AC135">IF($G135=0, INDEX(LS_previous!$D$4:$AY$138, MATCH('Staging Table'!$A135, LS_previous!$B$4:$B$138, 0), MATCH(AC$4&amp;AC$5, LS_previous!$D$2:$AY$2&amp;LS_previous!$D$3:$AY$3, 0)),SUM(VLOOKUP($A135, LS_previous!$B$4:$AY$138, LS_previous!U$149, FALSE), VLOOKUP('Staging Table'!$A135, LS_previous!$B$4:$AY$138,LS_previous!AS$149, FALSE))/2)</f>
        <v>-153</v>
      </c>
      <c r="AD135" s="227">
        <f t="array" ref="AD135">IF($G135=0, INDEX(LS_previous!$D$4:$AY$138, MATCH('Staging Table'!$A135, LS_previous!$B$4:$B$138, 0), MATCH(AD$4&amp;AD$5, LS_previous!$D$2:$AY$2&amp;LS_previous!$D$3:$AY$3, 0)),SUM(VLOOKUP($A135, LS_previous!$B$4:$AY$138, LS_previous!V$149, FALSE), VLOOKUP('Staging Table'!$A135, LS_previous!$B$4:$AY$138,LS_previous!AT$149, FALSE))/2)</f>
        <v>-411</v>
      </c>
      <c r="AE135" s="227">
        <f t="array" ref="AE135">IF($G135=0, INDEX(LS_previous!$D$4:$AY$138, MATCH('Staging Table'!$A135, LS_previous!$B$4:$B$138, 0), MATCH(AE$4&amp;AE$5, LS_previous!$D$2:$AY$2&amp;LS_previous!$D$3:$AY$3, 0)),SUM(VLOOKUP($A135, LS_previous!$B$4:$AY$138, LS_previous!W$149, FALSE), VLOOKUP('Staging Table'!$A135, LS_previous!$B$4:$AY$138,LS_previous!AU$149, FALSE))/2)</f>
        <v>131</v>
      </c>
      <c r="AF135" s="227">
        <f t="array" ref="AF135">IF($G135=0, INDEX(LS_previous!$D$4:$AY$138, MATCH('Staging Table'!$A135, LS_previous!$B$4:$B$138, 0), MATCH(AF$4&amp;AF$5, LS_previous!$D$2:$AY$2&amp;LS_previous!$D$3:$AY$3, 0)),SUM(VLOOKUP($A135, LS_previous!$B$4:$AY$138, LS_previous!X$149, FALSE), VLOOKUP('Staging Table'!$A135, LS_previous!$B$4:$AY$138,LS_previous!AV$149, FALSE))/2)</f>
        <v>-490</v>
      </c>
      <c r="AG135" s="227">
        <f t="array" ref="AG135">IF($G135=0, INDEX(LS_previous!$D$4:$AY$138, MATCH('Staging Table'!$A135, LS_previous!$B$4:$B$138, 0), MATCH(AG$4&amp;AG$5, LS_previous!$D$2:$AY$2&amp;LS_previous!$D$3:$AY$3, 0)),SUM(VLOOKUP($A135, LS_previous!$B$4:$AY$138, LS_previous!Y$149, FALSE), VLOOKUP('Staging Table'!$A135, LS_previous!$B$4:$AY$138,LS_previous!AW$149, FALSE))/2)</f>
        <v>-27</v>
      </c>
      <c r="AH135" s="227">
        <f t="array" ref="AH135">IF($G135=0, INDEX(LS_previous!$D$4:$AY$138, MATCH('Staging Table'!$A135, LS_previous!$B$4:$B$138, 0), MATCH(AH$4&amp;AH$5, LS_previous!$D$2:$AY$2&amp;LS_previous!$D$3:$AY$3, 0)),SUM(VLOOKUP($A135, LS_previous!$B$4:$AY$138, LS_previous!Z$149, FALSE), VLOOKUP('Staging Table'!$A135, LS_previous!$B$4:$AY$138,LS_previous!AX$149, FALSE))/2)</f>
        <v>-540</v>
      </c>
      <c r="AI135" s="227">
        <f t="array" ref="AI135">IF($G135=0, INDEX(LS_previous!$D$4:$AY$138, MATCH('Staging Table'!$A135, LS_previous!$B$4:$B$138, 0), MATCH(AI$4&amp;AI$5, LS_previous!$D$2:$AY$2&amp;LS_previous!$D$3:$AY$3, 0)),SUM(VLOOKUP($A135, LS_previous!$B$4:$AY$138, LS_previous!AA$149, FALSE), VLOOKUP('Staging Table'!$A135, LS_previous!$B$4:$AY$138,LS_previous!AY$149, FALSE))/2)</f>
        <v>-85</v>
      </c>
      <c r="AJ135" s="424">
        <f t="array" ref="AJ135">INDEX(Demand_previous!$D$4:$AY$138, MATCH('Staging Table'!$A135, Demand_previous!$B$4:$B$138, 0), MATCH(AJ$4&amp;AJ$5,Demand_previous!$D$2:$AY$2&amp;Demand_previous!$D$3:$AY$3, 0))/1000</f>
        <v>0.16200000000000001</v>
      </c>
      <c r="AK135" s="424">
        <f t="array" ref="AK135">INDEX(Demand_previous!$D$4:$AY$138, MATCH('Staging Table'!$A135, Demand_previous!$B$4:$B$138, 0), MATCH(AK$4&amp;AK$5,Demand_previous!$D$2:$AY$2&amp;Demand_previous!$D$3:$AY$3, 0))/1000</f>
        <v>0.13900000000000001</v>
      </c>
      <c r="AL135" s="424">
        <f t="array" ref="AL135">INDEX(Demand_previous!$D$4:$AY$138, MATCH('Staging Table'!$A135, Demand_previous!$B$4:$B$138, 0), MATCH(AL$4&amp;AL$5,Demand_previous!$D$2:$AY$2&amp;Demand_previous!$D$3:$AY$3, 0))/1000</f>
        <v>0.58499999999999996</v>
      </c>
      <c r="AM135" s="424">
        <f t="array" ref="AM135">INDEX(Demand_previous!$D$4:$AY$138, MATCH('Staging Table'!$A135, Demand_previous!$B$4:$B$138, 0), MATCH(AM$4&amp;AM$5,Demand_previous!$D$2:$AY$2&amp;Demand_previous!$D$3:$AY$3, 0))/1000</f>
        <v>0.32700000000000001</v>
      </c>
      <c r="AN135" s="424">
        <f t="array" ref="AN135">INDEX(Demand_previous!$D$4:$AY$138, MATCH('Staging Table'!$A135, Demand_previous!$B$4:$B$138, 0), MATCH(AN$4&amp;AN$5,Demand_previous!$D$2:$AY$2&amp;Demand_previous!$D$3:$AY$3, 0))/1000</f>
        <v>0</v>
      </c>
      <c r="AO135" s="424">
        <f t="array" ref="AO135">INDEX(Demand_previous!$D$4:$AY$138, MATCH('Staging Table'!$A135, Demand_previous!$B$4:$B$138, 0), MATCH(AO$4&amp;AO$5,Demand_previous!$D$2:$AY$2&amp;Demand_previous!$D$3:$AY$3, 0))/1000</f>
        <v>0.438</v>
      </c>
      <c r="AP135" s="424">
        <f t="array" ref="AP135">INDEX(Demand_previous!$D$4:$AY$138, MATCH('Staging Table'!$A135, Demand_previous!$B$4:$B$138, 0), MATCH(AP$4&amp;AP$5,Demand_previous!$D$2:$AY$2&amp;Demand_previous!$D$3:$AY$3, 0))/1000</f>
        <v>0</v>
      </c>
      <c r="AQ135" s="424">
        <f t="array" ref="AQ135">INDEX(Demand_previous!$D$4:$AY$138, MATCH('Staging Table'!$A135, Demand_previous!$B$4:$B$138, 0), MATCH(AQ$4&amp;AQ$5,Demand_previous!$D$2:$AY$2&amp;Demand_previous!$D$3:$AY$3, 0))/1000</f>
        <v>0.17499999999999999</v>
      </c>
      <c r="AR135" s="424">
        <f t="array" ref="AR135">INDEX(Demand_previous!$D$4:$AY$138, MATCH('Staging Table'!$A135, Demand_previous!$B$4:$B$138, 0), MATCH(AR$4&amp;AR$5,Demand_previous!$D$2:$AY$2&amp;Demand_previous!$D$3:$AY$3, 0))/1000</f>
        <v>0</v>
      </c>
      <c r="AS135" s="424">
        <f t="array" ref="AS135">INDEX(Demand_previous!$D$4:$AY$138, MATCH('Staging Table'!$A135, Demand_previous!$B$4:$B$138, 0), MATCH(AS$4&amp;AS$5,Demand_previous!$D$2:$AY$2&amp;Demand_previous!$D$3:$AY$3, 0))/1000</f>
        <v>0.49299999999999999</v>
      </c>
      <c r="AT135" s="424">
        <f t="array" ref="AT135">INDEX(Demand_previous!$D$4:$AY$138, MATCH('Staging Table'!$A135, Demand_previous!$B$4:$B$138, 0), MATCH(AT$4&amp;AT$5,Demand_previous!$D$2:$AY$2&amp;Demand_previous!$D$3:$AY$3, 0))/1000</f>
        <v>0.72499999999999998</v>
      </c>
      <c r="AU135" s="424">
        <f t="array" ref="AU135">INDEX(Demand_previous!$D$4:$AY$138, MATCH('Staging Table'!$A135, Demand_previous!$B$4:$B$138, 0), MATCH(AU$4&amp;AU$5,Demand_previous!$D$2:$AY$2&amp;Demand_previous!$D$3:$AY$3, 0))/1000</f>
        <v>0</v>
      </c>
      <c r="AV135" s="227">
        <f>$F135*(VLOOKUP(AV$4, Rates_previous!$G$6:$Q$29, 10, FALSE)+VLOOKUP(AV$4, Rates_previous!$G$6:$Q$29, 11, FALSE))</f>
        <v>2705.9282726749802</v>
      </c>
      <c r="AW135" s="227">
        <f>$F135*(VLOOKUP(AW$4, Rates_previous!$G$6:$Q$29, 10, FALSE)+VLOOKUP(AW$4, Rates_previous!$G$6:$Q$29, 11, FALSE))</f>
        <v>3344.3216835784524</v>
      </c>
      <c r="AX135" s="227">
        <f>$F135*(VLOOKUP(AX$4, Rates_previous!$G$6:$Q$29, 10, FALSE)+VLOOKUP(AX$4, Rates_previous!$G$6:$Q$29, 11, FALSE))</f>
        <v>3304.1603801606175</v>
      </c>
      <c r="AY135" s="227">
        <f>$F135*(VLOOKUP(AY$4, Rates_previous!$G$6:$Q$29, 10, FALSE)+VLOOKUP(AY$4, Rates_previous!$G$6:$Q$29, 11, FALSE))</f>
        <v>2823.0901063488359</v>
      </c>
      <c r="AZ135" s="227">
        <f>$F135*(VLOOKUP(AZ$4, Rates_previous!$G$6:$Q$29, 10, FALSE)+VLOOKUP(AZ$4, Rates_previous!$G$6:$Q$29, 11, FALSE))</f>
        <v>2314.386289177447</v>
      </c>
      <c r="BA135" s="227">
        <f>$F135*(VLOOKUP(BA$4, Rates_previous!$G$6:$Q$29, 10, FALSE)+VLOOKUP(BA$4, Rates_previous!$G$6:$Q$29, 11, FALSE))</f>
        <v>2740.1493000742453</v>
      </c>
      <c r="BB135" s="227">
        <f>$F135*(VLOOKUP(BB$4, Rates_previous!$G$6:$Q$29, 10, FALSE)+VLOOKUP(BB$4, Rates_previous!$G$6:$Q$29, 11, FALSE))</f>
        <v>2633.6820564039103</v>
      </c>
      <c r="BC135" s="227">
        <f>$F135*(VLOOKUP(BC$4, Rates_previous!$G$6:$Q$29, 10, FALSE)+VLOOKUP(BC$4, Rates_previous!$G$6:$Q$29, 11, FALSE))</f>
        <v>3864.7420511943501</v>
      </c>
      <c r="BD135" s="227">
        <f>$F135*(VLOOKUP(BD$4, Rates_previous!$G$6:$Q$29, 10, FALSE)+VLOOKUP(BD$4, Rates_previous!$G$6:$Q$29, 11, FALSE))</f>
        <v>3049.1793320148154</v>
      </c>
      <c r="BE135" s="227">
        <f>$F135*(VLOOKUP(BE$4, Rates_previous!$G$6:$Q$29, 10, FALSE)+VLOOKUP(BE$4, Rates_previous!$G$6:$Q$29, 11, FALSE))</f>
        <v>2677.4353879930954</v>
      </c>
      <c r="BF135" s="227">
        <f>$F135*(VLOOKUP(BF$4, Rates_previous!$G$6:$Q$29, 10, FALSE)+VLOOKUP(BF$4, Rates_previous!$G$6:$Q$29, 11, FALSE))</f>
        <v>2965.3668638171334</v>
      </c>
      <c r="BG135" s="227">
        <f>$F135*(VLOOKUP(BG$4, Rates_previous!$G$6:$Q$29, 10, FALSE)+VLOOKUP(BG$4, Rates_previous!$G$6:$Q$29, 11, FALSE))</f>
        <v>2686.5044533689711</v>
      </c>
      <c r="BH135" s="229">
        <f>IF($D135=0,IF(C135=0, MAX(BK135 - (VLOOKUP($A135,TOCA_previous!$A$2:$AI$137,MATCH("RHWM 2018",TOCA_previous!$A$2:$AI$2,0),FALSE)*$F$2*TOCA_previous!C132),0),0), 0)</f>
        <v>0</v>
      </c>
      <c r="BI135" s="266">
        <v>0</v>
      </c>
      <c r="BJ135" s="241">
        <f>MIN(VLOOKUP($A135,TOCA_previous!$A$2:$AI$137,MATCH("TRL - NLSL - Existing Resource "&amp;$F$1,TOCA_previous!$A$2:$AI$2,0),FALSE)*$F$2,(VLOOKUP($A135,TOCA_previous!$A$2:$AI$137,MATCH("RHWM 2018",TOCA_previous!$A$2:$AI$2,0),FALSE)*$F$2))</f>
        <v>35110.080000000002</v>
      </c>
      <c r="BK135" s="229">
        <f>SUM(L135:AI135)+(F135*RT1SC!$C$3*$F$2)</f>
        <v>26381.946689015997</v>
      </c>
      <c r="BL135" s="241">
        <f>VLOOKUP($A135,TOCA_previous!$A$2:$AI$137,MATCH("Above RHWM Not Served with LS "&amp;$F$1,TOCA_previous!$A$2:$AI$2,0),FALSE)*$F$2</f>
        <v>0</v>
      </c>
      <c r="BM135" s="151">
        <f t="shared" ref="BM135:BM140" si="37">BK135-BJ135</f>
        <v>-8728.1333109840052</v>
      </c>
      <c r="BN135" s="242">
        <f>(VLOOKUP($A135,TOCA_previous!$A$2:$AI$137,MATCH("RHWM 2018",TOCA_previous!$A$2:$AI$2,0),FALSE)*$F$2) - $BJ135</f>
        <v>0</v>
      </c>
      <c r="BO135" s="151">
        <f t="shared" ref="BO135:BO140" si="38">IF(BM135&gt;0,IF(BN135&gt;0,(-1)*MIN(BM135,BN135),0),0)</f>
        <v>0</v>
      </c>
      <c r="BP135" s="243">
        <f t="shared" ref="BP135:BP140" si="39">IF(BM135&lt;0,IF(BL135&lt;ABS(BM135),MAX(0,ABS($BM135)-(BL135)),0),0)</f>
        <v>8728.1333109840052</v>
      </c>
      <c r="BQ135" s="237">
        <f t="shared" ref="BQ135:BQ140" si="40">IF(AND(BL135&gt;0,BN135&gt;0),IF(AND(BM135&lt;=0,ABS(BM135)&lt;BL135),(-1)*MIN(BL135,BL135-ABS(BM135),BN135),IF(AND(BM135&gt;0,BM135&lt;BN135),(-1)*MIN(BL135,BN135-BM135),0)),0)</f>
        <v>0</v>
      </c>
      <c r="BR135" s="242">
        <f t="shared" ref="BR135:BR140" si="41">IF($D135=0,SUM($BO135:$BQ135),0)</f>
        <v>8728.1333109840052</v>
      </c>
      <c r="BS135" s="151">
        <f>VLOOKUP($A135,TOCA_current!$A$2:$AI$137,MATCH(BS$4,TOCA_current!$A$2:$AI$2,0),FALSE)</f>
        <v>4.2979999999999998E-4</v>
      </c>
      <c r="BT135" s="151">
        <f>VLOOKUP($A135,TOCA_current!$A$2:$AI$137,MATCH(BT$4,TOCA_current!$A$2:$AI$2,0),FALSE)</f>
        <v>4.2979999999999998E-4</v>
      </c>
      <c r="BU135" s="236">
        <f t="shared" ref="BU135:BU140" si="42">BS135-BT135</f>
        <v>0</v>
      </c>
      <c r="BV135" s="151">
        <f>VLOOKUP($A135,TOCA_current!A131:BG266,MATCH(BV$4,TOCA_current!$A$2:$BG$2,0),FALSE)</f>
        <v>0</v>
      </c>
      <c r="BW135" s="151">
        <f t="shared" ref="BW135:BW140" si="43">IF(C135=0,0,BV135)</f>
        <v>0</v>
      </c>
      <c r="BX135" s="151">
        <f t="shared" ref="BX135:BX140" si="44">IF(C135=0,0,BS135)</f>
        <v>0</v>
      </c>
      <c r="BY135" s="226">
        <f>VLOOKUP($A135,IRD!$A$4:$G$139, 7, FALSE)</f>
        <v>0</v>
      </c>
      <c r="BZ135" s="227">
        <f t="array" ref="BZ135">IF($BU135=0, INDEX(LS_current!$D$4:$AY$138, MATCH('Staging Table'!$A135, LS_current!$B$4:$B$138, 0), MATCH(BZ$4&amp;BZ$5, LS_current!$D$2:$AY$2&amp;LS_current!$D$3:$AY$3, 0)),SUM(VLOOKUP($A135, LS_current!$B$4:$AY$138, LS_current!D$148, FALSE), VLOOKUP($A135, LS_current!$B$4:$AY$138,LS_current!D$148, FALSE))/2)</f>
        <v>-144</v>
      </c>
      <c r="CA135" s="227">
        <f t="array" ref="CA135">IF($BU135=0, INDEX(LS_current!$D$4:$AY$138, MATCH('Staging Table'!$A135, LS_current!$B$4:$B$138, 0), MATCH(CA$4&amp;CA$5, LS_current!$D$2:$AY$2&amp;LS_current!$D$3:$AY$3, 0)),SUM(VLOOKUP($A135, LS_current!$B$4:$AY$138, LS_current!E$148, FALSE), VLOOKUP($A135, LS_current!$B$4:$AY$138,LS_current!E$148, FALSE))/2)</f>
        <v>179</v>
      </c>
      <c r="CB135" s="227">
        <f t="array" ref="CB135">IF($BU135=0, INDEX(LS_current!$D$4:$AY$138, MATCH('Staging Table'!$A135, LS_current!$B$4:$B$138, 0), MATCH(CB$4&amp;CB$5, LS_current!$D$2:$AY$2&amp;LS_current!$D$3:$AY$3, 0)),SUM(VLOOKUP($A135, LS_current!$B$4:$AY$138, LS_current!F$148, FALSE), VLOOKUP($A135, LS_current!$B$4:$AY$138,LS_current!F$148, FALSE))/2)</f>
        <v>-457</v>
      </c>
      <c r="CC135" s="227">
        <f t="array" ref="CC135">IF($BU135=0, INDEX(LS_current!$D$4:$AY$138, MATCH('Staging Table'!$A135, LS_current!$B$4:$B$138, 0), MATCH(CC$4&amp;CC$5, LS_current!$D$2:$AY$2&amp;LS_current!$D$3:$AY$3, 0)),SUM(VLOOKUP($A135, LS_current!$B$4:$AY$138, LS_current!G$148, FALSE), VLOOKUP($A135, LS_current!$B$4:$AY$138,LS_current!G$148, FALSE))/2)</f>
        <v>-78</v>
      </c>
      <c r="CD135" s="227">
        <f t="array" ref="CD135">IF($BU135=0, INDEX(LS_current!$D$4:$AY$138, MATCH('Staging Table'!$A135, LS_current!$B$4:$B$138, 0), MATCH(CD$4&amp;CD$5, LS_current!$D$2:$AY$2&amp;LS_current!$D$3:$AY$3, 0)),SUM(VLOOKUP($A135, LS_current!$B$4:$AY$138, LS_current!H$148, FALSE), VLOOKUP($A135, LS_current!$B$4:$AY$138,LS_current!H$148, FALSE))/2)</f>
        <v>-294</v>
      </c>
      <c r="CE135" s="227">
        <f t="array" ref="CE135">IF($BU135=0, INDEX(LS_current!$D$4:$AY$138, MATCH('Staging Table'!$A135, LS_current!$B$4:$B$138, 0), MATCH(CE$4&amp;CE$5, LS_current!$D$2:$AY$2&amp;LS_current!$D$3:$AY$3, 0)),SUM(VLOOKUP($A135, LS_current!$B$4:$AY$138, LS_current!I$148, FALSE), VLOOKUP($A135, LS_current!$B$4:$AY$138,LS_current!I$148, FALSE))/2)</f>
        <v>94</v>
      </c>
      <c r="CF135" s="227">
        <f t="array" ref="CF135">IF($BU135=0, INDEX(LS_current!$D$4:$AY$138, MATCH('Staging Table'!$A135, LS_current!$B$4:$B$138, 0), MATCH(CF$4&amp;CF$5, LS_current!$D$2:$AY$2&amp;LS_current!$D$3:$AY$3, 0)),SUM(VLOOKUP($A135, LS_current!$B$4:$AY$138, LS_current!J$148, FALSE), VLOOKUP($A135, LS_current!$B$4:$AY$138,LS_current!J$148, FALSE))/2)</f>
        <v>11</v>
      </c>
      <c r="CG135" s="227">
        <f t="array" ref="CG135">IF($BU135=0, INDEX(LS_current!$D$4:$AY$138, MATCH('Staging Table'!$A135, LS_current!$B$4:$B$138, 0), MATCH(CG$4&amp;CG$5, LS_current!$D$2:$AY$2&amp;LS_current!$D$3:$AY$3, 0)),SUM(VLOOKUP($A135, LS_current!$B$4:$AY$138, LS_current!K$148, FALSE), VLOOKUP($A135, LS_current!$B$4:$AY$138,LS_current!K$148, FALSE))/2)</f>
        <v>289</v>
      </c>
      <c r="CH135" s="227">
        <f t="array" ref="CH135">IF($BU135=0, INDEX(LS_current!$D$4:$AY$138, MATCH('Staging Table'!$A135, LS_current!$B$4:$B$138, 0), MATCH(CH$4&amp;CH$5, LS_current!$D$2:$AY$2&amp;LS_current!$D$3:$AY$3, 0)),SUM(VLOOKUP($A135, LS_current!$B$4:$AY$138, LS_current!L$148, FALSE), VLOOKUP($A135, LS_current!$B$4:$AY$138,LS_current!L$148, FALSE))/2)</f>
        <v>23</v>
      </c>
      <c r="CI135" s="227">
        <f t="array" ref="CI135">IF($BU135=0, INDEX(LS_current!$D$4:$AY$138, MATCH('Staging Table'!$A135, LS_current!$B$4:$B$138, 0), MATCH(CI$4&amp;CI$5, LS_current!$D$2:$AY$2&amp;LS_current!$D$3:$AY$3, 0)),SUM(VLOOKUP($A135, LS_current!$B$4:$AY$138, LS_current!M$148, FALSE), VLOOKUP($A135, LS_current!$B$4:$AY$138,LS_current!M$148, FALSE))/2)</f>
        <v>192</v>
      </c>
      <c r="CJ135" s="227">
        <f t="array" ref="CJ135">IF($BU135=0, INDEX(LS_current!$D$4:$AY$138, MATCH('Staging Table'!$A135, LS_current!$B$4:$B$138, 0), MATCH(CJ$4&amp;CJ$5, LS_current!$D$2:$AY$2&amp;LS_current!$D$3:$AY$3, 0)),SUM(VLOOKUP($A135, LS_current!$B$4:$AY$138, LS_current!N$148, FALSE), VLOOKUP($A135, LS_current!$B$4:$AY$138,LS_current!N$148, FALSE))/2)</f>
        <v>-57</v>
      </c>
      <c r="CK135" s="227">
        <f t="array" ref="CK135">IF($BU135=0, INDEX(LS_current!$D$4:$AY$138, MATCH('Staging Table'!$A135, LS_current!$B$4:$B$138, 0), MATCH(CK$4&amp;CK$5, LS_current!$D$2:$AY$2&amp;LS_current!$D$3:$AY$3, 0)),SUM(VLOOKUP($A135, LS_current!$B$4:$AY$138, LS_current!O$148, FALSE), VLOOKUP($A135, LS_current!$B$4:$AY$138,LS_current!O$148, FALSE))/2)</f>
        <v>128</v>
      </c>
      <c r="CL135" s="227">
        <f t="array" ref="CL135">IF($BU135=0, INDEX(LS_current!$D$4:$AY$138, MATCH('Staging Table'!$A135, LS_current!$B$4:$B$138, 0), MATCH(CL$4&amp;CL$5, LS_current!$D$2:$AY$2&amp;LS_current!$D$3:$AY$3, 0)),SUM(VLOOKUP($A135, LS_current!$B$4:$AY$138, LS_current!P$148, FALSE), VLOOKUP($A135, LS_current!$B$4:$AY$138,LS_current!P$148, FALSE))/2)</f>
        <v>116</v>
      </c>
      <c r="CM135" s="227">
        <f t="array" ref="CM135">IF($BU135=0, INDEX(LS_current!$D$4:$AY$138, MATCH('Staging Table'!$A135, LS_current!$B$4:$B$138, 0), MATCH(CM$4&amp;CM$5, LS_current!$D$2:$AY$2&amp;LS_current!$D$3:$AY$3, 0)),SUM(VLOOKUP($A135, LS_current!$B$4:$AY$138, LS_current!Q$148, FALSE), VLOOKUP($A135, LS_current!$B$4:$AY$138,LS_current!Q$148, FALSE))/2)</f>
        <v>274</v>
      </c>
      <c r="CN135" s="227">
        <f t="array" ref="CN135">IF($BU135=0, INDEX(LS_current!$D$4:$AY$138, MATCH('Staging Table'!$A135, LS_current!$B$4:$B$138, 0), MATCH(CN$4&amp;CN$5, LS_current!$D$2:$AY$2&amp;LS_current!$D$3:$AY$3, 0)),SUM(VLOOKUP($A135, LS_current!$B$4:$AY$138, LS_current!R$148, FALSE), VLOOKUP($A135, LS_current!$B$4:$AY$138,LS_current!R$148, FALSE))/2)</f>
        <v>-226</v>
      </c>
      <c r="CO135" s="227">
        <f t="array" ref="CO135">IF($BU135=0, INDEX(LS_current!$D$4:$AY$138, MATCH('Staging Table'!$A135, LS_current!$B$4:$B$138, 0), MATCH(CO$4&amp;CO$5, LS_current!$D$2:$AY$2&amp;LS_current!$D$3:$AY$3, 0)),SUM(VLOOKUP($A135, LS_current!$B$4:$AY$138, LS_current!S$148, FALSE), VLOOKUP($A135, LS_current!$B$4:$AY$138,LS_current!S$148, FALSE))/2)</f>
        <v>129</v>
      </c>
      <c r="CP135" s="227">
        <f t="array" ref="CP135">IF($BU135=0, INDEX(LS_current!$D$4:$AY$138, MATCH('Staging Table'!$A135, LS_current!$B$4:$B$138, 0), MATCH(CP$4&amp;CP$5, LS_current!$D$2:$AY$2&amp;LS_current!$D$3:$AY$3, 0)),SUM(VLOOKUP($A135, LS_current!$B$4:$AY$138, LS_current!T$148, FALSE), VLOOKUP($A135, LS_current!$B$4:$AY$138,LS_current!T$148, FALSE))/2)</f>
        <v>-553</v>
      </c>
      <c r="CQ135" s="227">
        <f t="array" ref="CQ135">IF($BU135=0, INDEX(LS_current!$D$4:$AY$138, MATCH('Staging Table'!$A135, LS_current!$B$4:$B$138, 0), MATCH(CQ$4&amp;CQ$5, LS_current!$D$2:$AY$2&amp;LS_current!$D$3:$AY$3, 0)),SUM(VLOOKUP($A135, LS_current!$B$4:$AY$138, LS_current!U$148, FALSE), VLOOKUP($A135, LS_current!$B$4:$AY$138,LS_current!U$148, FALSE))/2)</f>
        <v>-127</v>
      </c>
      <c r="CR135" s="227">
        <f t="array" ref="CR135">IF($BU135=0, INDEX(LS_current!$D$4:$AY$138, MATCH('Staging Table'!$A135, LS_current!$B$4:$B$138, 0), MATCH(CR$4&amp;CR$5, LS_current!$D$2:$AY$2&amp;LS_current!$D$3:$AY$3, 0)),SUM(VLOOKUP($A135, LS_current!$B$4:$AY$138, LS_current!V$148, FALSE), VLOOKUP($A135, LS_current!$B$4:$AY$138,LS_current!V$148, FALSE))/2)</f>
        <v>-242</v>
      </c>
      <c r="CS135" s="227">
        <f t="array" ref="CS135">IF($BU135=0, INDEX(LS_current!$D$4:$AY$138, MATCH('Staging Table'!$A135, LS_current!$B$4:$B$138, 0), MATCH(CS$4&amp;CS$5, LS_current!$D$2:$AY$2&amp;LS_current!$D$3:$AY$3, 0)),SUM(VLOOKUP($A135, LS_current!$B$4:$AY$138, LS_current!W$148, FALSE), VLOOKUP($A135, LS_current!$B$4:$AY$138,LS_current!W$148, FALSE))/2)</f>
        <v>342</v>
      </c>
      <c r="CT135" s="227">
        <f t="array" ref="CT135">IF($BU135=0, INDEX(LS_current!$D$4:$AY$138, MATCH('Staging Table'!$A135, LS_current!$B$4:$B$138, 0), MATCH(CT$4&amp;CT$5, LS_current!$D$2:$AY$2&amp;LS_current!$D$3:$AY$3, 0)),SUM(VLOOKUP($A135, LS_current!$B$4:$AY$138, LS_current!X$148, FALSE), VLOOKUP($A135, LS_current!$B$4:$AY$138,LS_current!X$148, FALSE))/2)</f>
        <v>-40</v>
      </c>
      <c r="CU135" s="227">
        <f t="array" ref="CU135">IF($BU135=0, INDEX(LS_current!$D$4:$AY$138, MATCH('Staging Table'!$A135, LS_current!$B$4:$B$138, 0), MATCH(CU$4&amp;CU$5, LS_current!$D$2:$AY$2&amp;LS_current!$D$3:$AY$3, 0)),SUM(VLOOKUP($A135, LS_current!$B$4:$AY$138, LS_current!Y$148, FALSE), VLOOKUP($A135, LS_current!$B$4:$AY$138,LS_current!Y$148, FALSE))/2)</f>
        <v>250</v>
      </c>
      <c r="CV135" s="227">
        <f t="array" ref="CV135">IF($BU135=0, INDEX(LS_current!$D$4:$AY$138, MATCH('Staging Table'!$A135, LS_current!$B$4:$B$138, 0), MATCH(CV$4&amp;CV$5, LS_current!$D$2:$AY$2&amp;LS_current!$D$3:$AY$3, 0)),SUM(VLOOKUP($A135, LS_current!$B$4:$AY$138, LS_current!Z$148, FALSE), VLOOKUP($A135, LS_current!$B$4:$AY$138,LS_current!Z$148, FALSE))/2)</f>
        <v>-109</v>
      </c>
      <c r="CW135" s="227">
        <f t="array" ref="CW135">IF($BU135=0, INDEX(LS_current!$D$4:$AY$138, MATCH('Staging Table'!$A135, LS_current!$B$4:$B$138, 0), MATCH(CW$4&amp;CW$5, LS_current!$D$2:$AY$2&amp;LS_current!$D$3:$AY$3, 0)),SUM(VLOOKUP($A135, LS_current!$B$4:$AY$138, LS_current!AA$148, FALSE), VLOOKUP($A135, LS_current!$B$4:$AY$138,LS_current!AA$148, FALSE))/2)</f>
        <v>161</v>
      </c>
      <c r="CX135" s="229">
        <f t="array" ref="CX135">INDEX(Demand_current!$D$4:$AY$138, MATCH($A135, Demand_current!$B$4:$B$138, 0), MATCH(CX$4&amp;CX$5,Demand_current!$D$2:$AY$2&amp;Demand_current!$D$3:$AY$3, 0))/1000</f>
        <v>0.26500000000000001</v>
      </c>
      <c r="CY135" s="229">
        <f t="array" ref="CY135">INDEX(Demand_current!$D$4:$AY$138, MATCH($A135, Demand_current!$B$4:$B$138, 0), MATCH(CY$4&amp;CY$5,Demand_current!$D$2:$AY$2&amp;Demand_current!$D$3:$AY$3, 0))/1000</f>
        <v>0.13900000000000001</v>
      </c>
      <c r="CZ135" s="229">
        <f t="array" ref="CZ135">INDEX(Demand_current!$D$4:$AY$138, MATCH($A135, Demand_current!$B$4:$B$138, 0), MATCH(CZ$4&amp;CZ$5,Demand_current!$D$2:$AY$2&amp;Demand_current!$D$3:$AY$3, 0))/1000</f>
        <v>0.58499999999999996</v>
      </c>
      <c r="DA135" s="229">
        <f t="array" ref="DA135">INDEX(Demand_current!$D$4:$AY$138, MATCH($A135, Demand_current!$B$4:$B$138, 0), MATCH(DA$4&amp;DA$5,Demand_current!$D$2:$AY$2&amp;Demand_current!$D$3:$AY$3, 0))/1000</f>
        <v>0.32700000000000001</v>
      </c>
      <c r="DB135" s="229">
        <f t="array" ref="DB135">INDEX(Demand_current!$D$4:$AY$138, MATCH($A135, Demand_current!$B$4:$B$138, 0), MATCH(DB$4&amp;DB$5,Demand_current!$D$2:$AY$2&amp;Demand_current!$D$3:$AY$3, 0))/1000</f>
        <v>5.3999999999999999E-2</v>
      </c>
      <c r="DC135" s="229">
        <f t="array" ref="DC135">INDEX(Demand_current!$D$4:$AY$138, MATCH($A135, Demand_current!$B$4:$B$138, 0), MATCH(DC$4&amp;DC$5,Demand_current!$D$2:$AY$2&amp;Demand_current!$D$3:$AY$3, 0))/1000</f>
        <v>0.32500000000000001</v>
      </c>
      <c r="DD135" s="229">
        <f t="array" ref="DD135">INDEX(Demand_current!$D$4:$AY$138, MATCH($A135, Demand_current!$B$4:$B$138, 0), MATCH(DD$4&amp;DD$5,Demand_current!$D$2:$AY$2&amp;Demand_current!$D$3:$AY$3, 0))/1000</f>
        <v>0</v>
      </c>
      <c r="DE135" s="229">
        <f t="array" ref="DE135">INDEX(Demand_current!$D$4:$AY$138, MATCH($A135, Demand_current!$B$4:$B$138, 0), MATCH(DE$4&amp;DE$5,Demand_current!$D$2:$AY$2&amp;Demand_current!$D$3:$AY$3, 0))/1000</f>
        <v>5.3999999999999999E-2</v>
      </c>
      <c r="DF135" s="229">
        <f t="array" ref="DF135">INDEX(Demand_current!$D$4:$AY$138, MATCH($A135, Demand_current!$B$4:$B$138, 0), MATCH(DF$4&amp;DF$5,Demand_current!$D$2:$AY$2&amp;Demand_current!$D$3:$AY$3, 0))/1000</f>
        <v>0</v>
      </c>
      <c r="DG135" s="229">
        <f t="array" ref="DG135">INDEX(Demand_current!$D$4:$AY$138, MATCH($A135, Demand_current!$B$4:$B$138, 0), MATCH(DG$4&amp;DG$5,Demand_current!$D$2:$AY$2&amp;Demand_current!$D$3:$AY$3, 0))/1000</f>
        <v>0.622</v>
      </c>
      <c r="DH135" s="229">
        <f t="array" ref="DH135">INDEX(Demand_current!$D$4:$AY$138, MATCH($A135, Demand_current!$B$4:$B$138, 0), MATCH(DH$4&amp;DH$5,Demand_current!$D$2:$AY$2&amp;Demand_current!$D$3:$AY$3, 0))/1000</f>
        <v>0.59199999999999997</v>
      </c>
      <c r="DI135" s="229">
        <f t="array" ref="DI135">INDEX(Demand_current!$D$4:$AY$138, MATCH($A135, Demand_current!$B$4:$B$138, 0), MATCH(DI$4&amp;DI$5,Demand_current!$D$2:$AY$2&amp;Demand_current!$D$3:$AY$3, 0))/1000</f>
        <v>0</v>
      </c>
      <c r="DJ135" s="227">
        <f>$BT135*(VLOOKUP(DJ$4, Rates_current!$G$6:$Q$29, 10, FALSE)+VLOOKUP(DJ$4, Rates_current!$G$6:$Q$29, 11, FALSE))</f>
        <v>1984.5229308407997</v>
      </c>
      <c r="DK135" s="227">
        <f>$BT135*(VLOOKUP(DK$4, Rates_current!$G$6:$Q$29, 10, FALSE)+VLOOKUP(DK$4, Rates_current!$G$6:$Q$29, 11, FALSE))</f>
        <v>2520.9632061222001</v>
      </c>
      <c r="DL135" s="227">
        <f>$BT135*(VLOOKUP(DL$4, Rates_current!$G$6:$Q$29, 10, FALSE)+VLOOKUP(DL$4, Rates_current!$G$6:$Q$29, 11, FALSE))</f>
        <v>2490.5191642407999</v>
      </c>
      <c r="DM135" s="227">
        <f>$BT135*(VLOOKUP(DM$4, Rates_current!$G$6:$Q$29, 10, FALSE)+VLOOKUP(DM$4, Rates_current!$G$6:$Q$29, 11, FALSE))</f>
        <v>2075.9994138408001</v>
      </c>
      <c r="DN135" s="227">
        <f>$BT135*(VLOOKUP(DN$4, Rates_current!$G$6:$Q$29, 10, FALSE)+VLOOKUP(DN$4, Rates_current!$G$6:$Q$29, 11, FALSE))</f>
        <v>1880.6401006399999</v>
      </c>
      <c r="DO135" s="227">
        <f>$BT135*(VLOOKUP(DO$4, Rates_current!$G$6:$Q$29, 10, FALSE)+VLOOKUP(DO$4, Rates_current!$G$6:$Q$29, 11, FALSE))</f>
        <v>2091.8692377225998</v>
      </c>
      <c r="DP135" s="227">
        <f>$BT135*(VLOOKUP(DP$4, Rates_current!$G$6:$Q$29, 10, FALSE)+VLOOKUP(DP$4, Rates_current!$G$6:$Q$29, 11, FALSE))</f>
        <v>1703.202190704</v>
      </c>
      <c r="DQ135" s="227">
        <f>$BT135*(VLOOKUP(DQ$4, Rates_current!$G$6:$Q$29, 10, FALSE)+VLOOKUP(DQ$4, Rates_current!$G$6:$Q$29, 11, FALSE))</f>
        <v>2297.0221297408002</v>
      </c>
      <c r="DR135" s="227">
        <f>$BT135*(VLOOKUP(DR$4, Rates_current!$G$6:$Q$29, 10, FALSE)+VLOOKUP(DR$4, Rates_current!$G$6:$Q$29, 11, FALSE))</f>
        <v>2930.844013804</v>
      </c>
      <c r="DS135" s="227">
        <f>$BT135*(VLOOKUP(DS$4, Rates_current!$G$6:$Q$29, 10, FALSE)+VLOOKUP(DS$4, Rates_current!$G$6:$Q$29, 11, FALSE))</f>
        <v>2297.8746380408002</v>
      </c>
      <c r="DT135" s="227">
        <f>$BT135*(VLOOKUP(DT$4, Rates_current!$G$6:$Q$29, 10, FALSE)+VLOOKUP(DT$4, Rates_current!$G$6:$Q$29, 11, FALSE))</f>
        <v>2237.6723371408002</v>
      </c>
      <c r="DU135" s="227">
        <f>$BT135*(VLOOKUP(DU$4, Rates_current!$G$6:$Q$29, 10, FALSE)+VLOOKUP(DU$4, Rates_current!$G$6:$Q$29, 11, FALSE))</f>
        <v>2008.953744504</v>
      </c>
      <c r="DV135" s="229">
        <f>IF(D135=0,IF(C135=0,MAX(0,DY135 - (VLOOKUP($A135,TOCA_current!$A$2:$AI$137,MATCH("RHWM 2020",TOCA_current!$A$2:$AI$2,0),FALSE)*$BT$2)), 0),0)</f>
        <v>0</v>
      </c>
      <c r="DW135" s="266">
        <v>0</v>
      </c>
      <c r="DX135" s="295">
        <f>MIN(VLOOKUP($A135,TOCA_current!$A$2:$AI$137,MATCH("TRL - NLSL - Existing Resource "&amp;$BT$1,TOCA_current!$A$2:$AI$2,0),FALSE)*$BT$2, VLOOKUP($A135,TOCA_current!$A$2:$AI$137,MATCH("RHWM 2020",TOCA_current!$A$2:$AI$2,0),FALSE)*$BT$2)</f>
        <v>26518.896000000001</v>
      </c>
      <c r="DY135" s="240">
        <f>SUM(BZ135:CW135)+(BT135*RT1SC!$C$4*$BT$2)</f>
        <v>26381.084102758399</v>
      </c>
      <c r="DZ135" s="271">
        <f>VLOOKUP($A135,TOCA_current!$A$2:$AI$137,MATCH("Above RHWM Not Served with LS "&amp;$BT$1,TOCA_current!$A$2:$AI$2,0),FALSE)*$BT$2</f>
        <v>0</v>
      </c>
      <c r="EA135" s="244">
        <f t="shared" ref="EA135:EA140" si="45">DY135-DX135</f>
        <v>-137.8118972416014</v>
      </c>
      <c r="EB135" s="295">
        <f>(VLOOKUP($A135,TOCA_current!$A$2:$AI$137,MATCH("RHWM 2020",TOCA_current!$A$2:$AI$2,0),FALSE)*$BT$2) - $DX135</f>
        <v>9073.8719999999958</v>
      </c>
      <c r="EC135" s="240">
        <f t="shared" ref="EC135:EC140" si="46">IF(EA135&gt;0,IF(EB135&gt;0,(-1)*MIN(EA135,EB135),0),0)</f>
        <v>0</v>
      </c>
      <c r="ED135" s="240">
        <f t="shared" ref="ED135:ED140" si="47">IF(EA135&lt;0,IF(DZ135&lt;ABS(EA135),MAX(0,ABS($EA135)-(DZ135)),0),0)</f>
        <v>137.8118972416014</v>
      </c>
      <c r="EE135" s="240">
        <f t="shared" ref="EE135:EE140" si="48">IF(AND(DZ135&gt;0,EB135&gt;0),IF(AND(EA135&lt;=0,ABS(EA135)&lt;DZ135),(-1)*MIN(DZ135,DZ135-ABS(EA135),EB135),IF(AND(EA135&gt;0,EA135&lt;EB135),(-1)*MIN(DZ135,EB135-EA135),0)),0)</f>
        <v>0</v>
      </c>
      <c r="EF135" s="240">
        <f t="shared" ref="EF135:EF140" si="49">IF($D135=0,SUM(EC135:EE135),0)</f>
        <v>137.8118972416014</v>
      </c>
    </row>
    <row r="136" spans="1:136">
      <c r="A136" s="166">
        <v>10597</v>
      </c>
      <c r="B136" s="167" t="s">
        <v>136</v>
      </c>
      <c r="C136" s="240">
        <v>0</v>
      </c>
      <c r="D136" s="240">
        <v>0</v>
      </c>
      <c r="E136" s="150">
        <f>VLOOKUP($A136,TOCA_previous!$A$2:$AI$137,MATCH(E$4,TOCA_previous!$A$2:$AI$2,0),FALSE)</f>
        <v>1.7910999999999999E-3</v>
      </c>
      <c r="F136" s="151">
        <f>VLOOKUP($A136,TOCA_previous!$A$2:$AI$137,MATCH(F$4,TOCA_previous!$A$2:$AI$2,0),FALSE)</f>
        <v>1.7910999999999999E-3</v>
      </c>
      <c r="G136" s="151">
        <f t="shared" si="34"/>
        <v>0</v>
      </c>
      <c r="H136" s="151">
        <f>VLOOKUP($A136,TOCA_previous!$A$2:$AI$137,MATCH(H$4,TOCA_previous!$A$2:$AI$2,0),FALSE)</f>
        <v>0</v>
      </c>
      <c r="I136" s="151">
        <f t="shared" si="35"/>
        <v>0</v>
      </c>
      <c r="J136" s="151">
        <f t="shared" si="36"/>
        <v>0</v>
      </c>
      <c r="K136" s="226">
        <f>VLOOKUP(A136, IRD!$A$5:$C$139, 3, FALSE)</f>
        <v>0</v>
      </c>
      <c r="L136" s="227">
        <f t="array" ref="L136">IF($G136=0, INDEX(LS_previous!$D$4:$AY$138, MATCH('Staging Table'!$A136, LS_previous!$B$4:$B$138, 0), MATCH(L$4&amp;L$5, LS_previous!$D$2:$AY$2&amp;LS_previous!$D$3:$AY$3, 0)),SUM(VLOOKUP($A136, LS_previous!$B$4:$AY$138, LS_previous!D$149, FALSE), VLOOKUP('Staging Table'!$A136, LS_previous!$B$4:$AY$138,LS_previous!AB$149, FALSE))/2)</f>
        <v>-541</v>
      </c>
      <c r="M136" s="227">
        <f t="array" ref="M136">IF($G136=0, INDEX(LS_previous!$D$4:$AY$138, MATCH('Staging Table'!$A136, LS_previous!$B$4:$B$138, 0), MATCH(M$4&amp;M$5, LS_previous!$D$2:$AY$2&amp;LS_previous!$D$3:$AY$3, 0)),SUM(VLOOKUP($A136, LS_previous!$B$4:$AY$138, LS_previous!E$149, FALSE), VLOOKUP('Staging Table'!$A136, LS_previous!$B$4:$AY$138,LS_previous!AC$149, FALSE))/2)</f>
        <v>-104</v>
      </c>
      <c r="N136" s="227">
        <f t="array" ref="N136">IF($G136=0, INDEX(LS_previous!$D$4:$AY$138, MATCH('Staging Table'!$A136, LS_previous!$B$4:$B$138, 0), MATCH(N$4&amp;N$5, LS_previous!$D$2:$AY$2&amp;LS_previous!$D$3:$AY$3, 0)),SUM(VLOOKUP($A136, LS_previous!$B$4:$AY$138, LS_previous!F$149, FALSE), VLOOKUP('Staging Table'!$A136, LS_previous!$B$4:$AY$138,LS_previous!AD$149, FALSE))/2)</f>
        <v>-1159</v>
      </c>
      <c r="O136" s="227">
        <f t="array" ref="O136">IF($G136=0, INDEX(LS_previous!$D$4:$AY$138, MATCH('Staging Table'!$A136, LS_previous!$B$4:$B$138, 0), MATCH(O$4&amp;O$5, LS_previous!$D$2:$AY$2&amp;LS_previous!$D$3:$AY$3, 0)),SUM(VLOOKUP($A136, LS_previous!$B$4:$AY$138, LS_previous!G$149, FALSE), VLOOKUP('Staging Table'!$A136, LS_previous!$B$4:$AY$138,LS_previous!AE$149, FALSE))/2)</f>
        <v>-173</v>
      </c>
      <c r="P136" s="227">
        <f t="array" ref="P136">IF($G136=0, INDEX(LS_previous!$D$4:$AY$138, MATCH('Staging Table'!$A136, LS_previous!$B$4:$B$138, 0), MATCH(P$4&amp;P$5, LS_previous!$D$2:$AY$2&amp;LS_previous!$D$3:$AY$3, 0)),SUM(VLOOKUP($A136, LS_previous!$B$4:$AY$138, LS_previous!H$149, FALSE), VLOOKUP('Staging Table'!$A136, LS_previous!$B$4:$AY$138,LS_previous!AF$149, FALSE))/2)</f>
        <v>-42</v>
      </c>
      <c r="Q136" s="227">
        <f t="array" ref="Q136">IF($G136=0, INDEX(LS_previous!$D$4:$AY$138, MATCH('Staging Table'!$A136, LS_previous!$B$4:$B$138, 0), MATCH(Q$4&amp;Q$5, LS_previous!$D$2:$AY$2&amp;LS_previous!$D$3:$AY$3, 0)),SUM(VLOOKUP($A136, LS_previous!$B$4:$AY$138, LS_previous!I$149, FALSE), VLOOKUP('Staging Table'!$A136, LS_previous!$B$4:$AY$138,LS_previous!AG$149, FALSE))/2)</f>
        <v>553</v>
      </c>
      <c r="R136" s="227">
        <f t="array" ref="R136">IF($G136=0, INDEX(LS_previous!$D$4:$AY$138, MATCH('Staging Table'!$A136, LS_previous!$B$4:$B$138, 0), MATCH(R$4&amp;R$5, LS_previous!$D$2:$AY$2&amp;LS_previous!$D$3:$AY$3, 0)),SUM(VLOOKUP($A136, LS_previous!$B$4:$AY$138, LS_previous!J$149, FALSE), VLOOKUP('Staging Table'!$A136, LS_previous!$B$4:$AY$138,LS_previous!AH$149, FALSE))/2)</f>
        <v>1101</v>
      </c>
      <c r="S136" s="227">
        <f t="array" ref="S136">IF($G136=0, INDEX(LS_previous!$D$4:$AY$138, MATCH('Staging Table'!$A136, LS_previous!$B$4:$B$138, 0), MATCH(S$4&amp;S$5, LS_previous!$D$2:$AY$2&amp;LS_previous!$D$3:$AY$3, 0)),SUM(VLOOKUP($A136, LS_previous!$B$4:$AY$138, LS_previous!K$149, FALSE), VLOOKUP('Staging Table'!$A136, LS_previous!$B$4:$AY$138,LS_previous!AI$149, FALSE))/2)</f>
        <v>1086</v>
      </c>
      <c r="T136" s="227">
        <f t="array" ref="T136">IF($G136=0, INDEX(LS_previous!$D$4:$AY$138, MATCH('Staging Table'!$A136, LS_previous!$B$4:$B$138, 0), MATCH(T$4&amp;T$5, LS_previous!$D$2:$AY$2&amp;LS_previous!$D$3:$AY$3, 0)),SUM(VLOOKUP($A136, LS_previous!$B$4:$AY$138, LS_previous!L$149, FALSE), VLOOKUP('Staging Table'!$A136, LS_previous!$B$4:$AY$138,LS_previous!AJ$149, FALSE))/2)</f>
        <v>1166</v>
      </c>
      <c r="U136" s="227">
        <f t="array" ref="U136">IF($G136=0, INDEX(LS_previous!$D$4:$AY$138, MATCH('Staging Table'!$A136, LS_previous!$B$4:$B$138, 0), MATCH(U$4&amp;U$5, LS_previous!$D$2:$AY$2&amp;LS_previous!$D$3:$AY$3, 0)),SUM(VLOOKUP($A136, LS_previous!$B$4:$AY$138, LS_previous!M$149, FALSE), VLOOKUP('Staging Table'!$A136, LS_previous!$B$4:$AY$138,LS_previous!AK$149, FALSE))/2)</f>
        <v>1029</v>
      </c>
      <c r="V136" s="227">
        <f t="array" ref="V136">IF($G136=0, INDEX(LS_previous!$D$4:$AY$138, MATCH('Staging Table'!$A136, LS_previous!$B$4:$B$138, 0), MATCH(V$4&amp;V$5, LS_previous!$D$2:$AY$2&amp;LS_previous!$D$3:$AY$3, 0)),SUM(VLOOKUP($A136, LS_previous!$B$4:$AY$138, LS_previous!N$149, FALSE), VLOOKUP('Staging Table'!$A136, LS_previous!$B$4:$AY$138,LS_previous!AL$149, FALSE))/2)</f>
        <v>-309</v>
      </c>
      <c r="W136" s="227">
        <f t="array" ref="W136">IF($G136=0, INDEX(LS_previous!$D$4:$AY$138, MATCH('Staging Table'!$A136, LS_previous!$B$4:$B$138, 0), MATCH(W$4&amp;W$5, LS_previous!$D$2:$AY$2&amp;LS_previous!$D$3:$AY$3, 0)),SUM(VLOOKUP($A136, LS_previous!$B$4:$AY$138, LS_previous!O$149, FALSE), VLOOKUP('Staging Table'!$A136, LS_previous!$B$4:$AY$138,LS_previous!AM$149, FALSE))/2)</f>
        <v>-30</v>
      </c>
      <c r="X136" s="227">
        <f t="array" ref="X136">IF($G136=0, INDEX(LS_previous!$D$4:$AY$138, MATCH('Staging Table'!$A136, LS_previous!$B$4:$B$138, 0), MATCH(X$4&amp;X$5, LS_previous!$D$2:$AY$2&amp;LS_previous!$D$3:$AY$3, 0)),SUM(VLOOKUP($A136, LS_previous!$B$4:$AY$138, LS_previous!P$149, FALSE), VLOOKUP('Staging Table'!$A136, LS_previous!$B$4:$AY$138,LS_previous!AN$149, FALSE))/2)</f>
        <v>-550</v>
      </c>
      <c r="Y136" s="227">
        <f t="array" ref="Y136">IF($G136=0, INDEX(LS_previous!$D$4:$AY$138, MATCH('Staging Table'!$A136, LS_previous!$B$4:$B$138, 0), MATCH(Y$4&amp;Y$5, LS_previous!$D$2:$AY$2&amp;LS_previous!$D$3:$AY$3, 0)),SUM(VLOOKUP($A136, LS_previous!$B$4:$AY$138, LS_previous!Q$149, FALSE), VLOOKUP('Staging Table'!$A136, LS_previous!$B$4:$AY$138,LS_previous!AO$149, FALSE))/2)</f>
        <v>-188</v>
      </c>
      <c r="Z136" s="227">
        <f t="array" ref="Z136">IF($G136=0, INDEX(LS_previous!$D$4:$AY$138, MATCH('Staging Table'!$A136, LS_previous!$B$4:$B$138, 0), MATCH(Z$4&amp;Z$5, LS_previous!$D$2:$AY$2&amp;LS_previous!$D$3:$AY$3, 0)),SUM(VLOOKUP($A136, LS_previous!$B$4:$AY$138, LS_previous!R$149, FALSE), VLOOKUP('Staging Table'!$A136, LS_previous!$B$4:$AY$138,LS_previous!AP$149, FALSE))/2)</f>
        <v>-2753</v>
      </c>
      <c r="AA136" s="227">
        <f t="array" ref="AA136">IF($G136=0, INDEX(LS_previous!$D$4:$AY$138, MATCH('Staging Table'!$A136, LS_previous!$B$4:$B$138, 0), MATCH(AA$4&amp;AA$5, LS_previous!$D$2:$AY$2&amp;LS_previous!$D$3:$AY$3, 0)),SUM(VLOOKUP($A136, LS_previous!$B$4:$AY$138, LS_previous!S$149, FALSE), VLOOKUP('Staging Table'!$A136, LS_previous!$B$4:$AY$138,LS_previous!AQ$149, FALSE))/2)</f>
        <v>-1356</v>
      </c>
      <c r="AB136" s="227">
        <f t="array" ref="AB136">IF($G136=0, INDEX(LS_previous!$D$4:$AY$138, MATCH('Staging Table'!$A136, LS_previous!$B$4:$B$138, 0), MATCH(AB$4&amp;AB$5, LS_previous!$D$2:$AY$2&amp;LS_previous!$D$3:$AY$3, 0)),SUM(VLOOKUP($A136, LS_previous!$B$4:$AY$138, LS_previous!T$149, FALSE), VLOOKUP('Staging Table'!$A136, LS_previous!$B$4:$AY$138,LS_previous!AR$149, FALSE))/2)</f>
        <v>-808</v>
      </c>
      <c r="AC136" s="227">
        <f t="array" ref="AC136">IF($G136=0, INDEX(LS_previous!$D$4:$AY$138, MATCH('Staging Table'!$A136, LS_previous!$B$4:$B$138, 0), MATCH(AC$4&amp;AC$5, LS_previous!$D$2:$AY$2&amp;LS_previous!$D$3:$AY$3, 0)),SUM(VLOOKUP($A136, LS_previous!$B$4:$AY$138, LS_previous!U$149, FALSE), VLOOKUP('Staging Table'!$A136, LS_previous!$B$4:$AY$138,LS_previous!AS$149, FALSE))/2)</f>
        <v>-333</v>
      </c>
      <c r="AD136" s="227">
        <f t="array" ref="AD136">IF($G136=0, INDEX(LS_previous!$D$4:$AY$138, MATCH('Staging Table'!$A136, LS_previous!$B$4:$B$138, 0), MATCH(AD$4&amp;AD$5, LS_previous!$D$2:$AY$2&amp;LS_previous!$D$3:$AY$3, 0)),SUM(VLOOKUP($A136, LS_previous!$B$4:$AY$138, LS_previous!V$149, FALSE), VLOOKUP('Staging Table'!$A136, LS_previous!$B$4:$AY$138,LS_previous!AT$149, FALSE))/2)</f>
        <v>1076</v>
      </c>
      <c r="AE136" s="227">
        <f t="array" ref="AE136">IF($G136=0, INDEX(LS_previous!$D$4:$AY$138, MATCH('Staging Table'!$A136, LS_previous!$B$4:$B$138, 0), MATCH(AE$4&amp;AE$5, LS_previous!$D$2:$AY$2&amp;LS_previous!$D$3:$AY$3, 0)),SUM(VLOOKUP($A136, LS_previous!$B$4:$AY$138, LS_previous!W$149, FALSE), VLOOKUP('Staging Table'!$A136, LS_previous!$B$4:$AY$138,LS_previous!AU$149, FALSE))/2)</f>
        <v>951</v>
      </c>
      <c r="AF136" s="227">
        <f t="array" ref="AF136">IF($G136=0, INDEX(LS_previous!$D$4:$AY$138, MATCH('Staging Table'!$A136, LS_previous!$B$4:$B$138, 0), MATCH(AF$4&amp;AF$5, LS_previous!$D$2:$AY$2&amp;LS_previous!$D$3:$AY$3, 0)),SUM(VLOOKUP($A136, LS_previous!$B$4:$AY$138, LS_previous!X$149, FALSE), VLOOKUP('Staging Table'!$A136, LS_previous!$B$4:$AY$138,LS_previous!AV$149, FALSE))/2)</f>
        <v>391</v>
      </c>
      <c r="AG136" s="227">
        <f t="array" ref="AG136">IF($G136=0, INDEX(LS_previous!$D$4:$AY$138, MATCH('Staging Table'!$A136, LS_previous!$B$4:$B$138, 0), MATCH(AG$4&amp;AG$5, LS_previous!$D$2:$AY$2&amp;LS_previous!$D$3:$AY$3, 0)),SUM(VLOOKUP($A136, LS_previous!$B$4:$AY$138, LS_previous!Y$149, FALSE), VLOOKUP('Staging Table'!$A136, LS_previous!$B$4:$AY$138,LS_previous!AW$149, FALSE))/2)</f>
        <v>425</v>
      </c>
      <c r="AH136" s="227">
        <f t="array" ref="AH136">IF($G136=0, INDEX(LS_previous!$D$4:$AY$138, MATCH('Staging Table'!$A136, LS_previous!$B$4:$B$138, 0), MATCH(AH$4&amp;AH$5, LS_previous!$D$2:$AY$2&amp;LS_previous!$D$3:$AY$3, 0)),SUM(VLOOKUP($A136, LS_previous!$B$4:$AY$138, LS_previous!Z$149, FALSE), VLOOKUP('Staging Table'!$A136, LS_previous!$B$4:$AY$138,LS_previous!AX$149, FALSE))/2)</f>
        <v>-342</v>
      </c>
      <c r="AI136" s="227">
        <f t="array" ref="AI136">IF($G136=0, INDEX(LS_previous!$D$4:$AY$138, MATCH('Staging Table'!$A136, LS_previous!$B$4:$B$138, 0), MATCH(AI$4&amp;AI$5, LS_previous!$D$2:$AY$2&amp;LS_previous!$D$3:$AY$3, 0)),SUM(VLOOKUP($A136, LS_previous!$B$4:$AY$138, LS_previous!AA$149, FALSE), VLOOKUP('Staging Table'!$A136, LS_previous!$B$4:$AY$138,LS_previous!AY$149, FALSE))/2)</f>
        <v>-28</v>
      </c>
      <c r="AJ136" s="424">
        <f t="array" ref="AJ136">INDEX(Demand_previous!$D$4:$AY$138, MATCH('Staging Table'!$A136, Demand_previous!$B$4:$B$138, 0), MATCH(AJ$4&amp;AJ$5,Demand_previous!$D$2:$AY$2&amp;Demand_previous!$D$3:$AY$3, 0))/1000</f>
        <v>1.7609999999999999</v>
      </c>
      <c r="AK136" s="424">
        <f t="array" ref="AK136">INDEX(Demand_previous!$D$4:$AY$138, MATCH('Staging Table'!$A136, Demand_previous!$B$4:$B$138, 0), MATCH(AK$4&amp;AK$5,Demand_previous!$D$2:$AY$2&amp;Demand_previous!$D$3:$AY$3, 0))/1000</f>
        <v>1.1870000000000001</v>
      </c>
      <c r="AL136" s="424">
        <f t="array" ref="AL136">INDEX(Demand_previous!$D$4:$AY$138, MATCH('Staging Table'!$A136, Demand_previous!$B$4:$B$138, 0), MATCH(AL$4&amp;AL$5,Demand_previous!$D$2:$AY$2&amp;Demand_previous!$D$3:$AY$3, 0))/1000</f>
        <v>2.0910000000000002</v>
      </c>
      <c r="AM136" s="424">
        <f t="array" ref="AM136">INDEX(Demand_previous!$D$4:$AY$138, MATCH('Staging Table'!$A136, Demand_previous!$B$4:$B$138, 0), MATCH(AM$4&amp;AM$5,Demand_previous!$D$2:$AY$2&amp;Demand_previous!$D$3:$AY$3, 0))/1000</f>
        <v>1.9550000000000001</v>
      </c>
      <c r="AN136" s="424">
        <f t="array" ref="AN136">INDEX(Demand_previous!$D$4:$AY$138, MATCH('Staging Table'!$A136, Demand_previous!$B$4:$B$138, 0), MATCH(AN$4&amp;AN$5,Demand_previous!$D$2:$AY$2&amp;Demand_previous!$D$3:$AY$3, 0))/1000</f>
        <v>0.61699999999999999</v>
      </c>
      <c r="AO136" s="424">
        <f t="array" ref="AO136">INDEX(Demand_previous!$D$4:$AY$138, MATCH('Staging Table'!$A136, Demand_previous!$B$4:$B$138, 0), MATCH(AO$4&amp;AO$5,Demand_previous!$D$2:$AY$2&amp;Demand_previous!$D$3:$AY$3, 0))/1000</f>
        <v>2.1869999999999998</v>
      </c>
      <c r="AP136" s="424">
        <f t="array" ref="AP136">INDEX(Demand_previous!$D$4:$AY$138, MATCH('Staging Table'!$A136, Demand_previous!$B$4:$B$138, 0), MATCH(AP$4&amp;AP$5,Demand_previous!$D$2:$AY$2&amp;Demand_previous!$D$3:$AY$3, 0))/1000</f>
        <v>1.171</v>
      </c>
      <c r="AQ136" s="424">
        <f t="array" ref="AQ136">INDEX(Demand_previous!$D$4:$AY$138, MATCH('Staging Table'!$A136, Demand_previous!$B$4:$B$138, 0), MATCH(AQ$4&amp;AQ$5,Demand_previous!$D$2:$AY$2&amp;Demand_previous!$D$3:$AY$3, 0))/1000</f>
        <v>1.2330000000000001</v>
      </c>
      <c r="AR136" s="424">
        <f t="array" ref="AR136">INDEX(Demand_previous!$D$4:$AY$138, MATCH('Staging Table'!$A136, Demand_previous!$B$4:$B$138, 0), MATCH(AR$4&amp;AR$5,Demand_previous!$D$2:$AY$2&amp;Demand_previous!$D$3:$AY$3, 0))/1000</f>
        <v>2.2679999999999998</v>
      </c>
      <c r="AS136" s="424">
        <f t="array" ref="AS136">INDEX(Demand_previous!$D$4:$AY$138, MATCH('Staging Table'!$A136, Demand_previous!$B$4:$B$138, 0), MATCH(AS$4&amp;AS$5,Demand_previous!$D$2:$AY$2&amp;Demand_previous!$D$3:$AY$3, 0))/1000</f>
        <v>2.532</v>
      </c>
      <c r="AT136" s="424">
        <f t="array" ref="AT136">INDEX(Demand_previous!$D$4:$AY$138, MATCH('Staging Table'!$A136, Demand_previous!$B$4:$B$138, 0), MATCH(AT$4&amp;AT$5,Demand_previous!$D$2:$AY$2&amp;Demand_previous!$D$3:$AY$3, 0))/1000</f>
        <v>2.3109999999999999</v>
      </c>
      <c r="AU136" s="424">
        <f t="array" ref="AU136">INDEX(Demand_previous!$D$4:$AY$138, MATCH('Staging Table'!$A136, Demand_previous!$B$4:$B$138, 0), MATCH(AU$4&amp;AU$5,Demand_previous!$D$2:$AY$2&amp;Demand_previous!$D$3:$AY$3, 0))/1000</f>
        <v>1.1299999999999999</v>
      </c>
      <c r="AV136" s="227">
        <f>$F136*(VLOOKUP(AV$4, Rates_previous!$G$6:$Q$29, 10, FALSE)+VLOOKUP(AV$4, Rates_previous!$G$6:$Q$29, 11, FALSE))</f>
        <v>8398.1773162158315</v>
      </c>
      <c r="AW136" s="227">
        <f>$F136*(VLOOKUP(AW$4, Rates_previous!$G$6:$Q$29, 10, FALSE)+VLOOKUP(AW$4, Rates_previous!$G$6:$Q$29, 11, FALSE))</f>
        <v>10379.508867540055</v>
      </c>
      <c r="AX136" s="227">
        <f>$F136*(VLOOKUP(AX$4, Rates_previous!$G$6:$Q$29, 10, FALSE)+VLOOKUP(AX$4, Rates_previous!$G$6:$Q$29, 11, FALSE))</f>
        <v>10254.863380533152</v>
      </c>
      <c r="AY136" s="227">
        <f>$F136*(VLOOKUP(AY$4, Rates_previous!$G$6:$Q$29, 10, FALSE)+VLOOKUP(AY$4, Rates_previous!$G$6:$Q$29, 11, FALSE))</f>
        <v>8761.8033087530748</v>
      </c>
      <c r="AZ136" s="227">
        <f>$F136*(VLOOKUP(AZ$4, Rates_previous!$G$6:$Q$29, 10, FALSE)+VLOOKUP(AZ$4, Rates_previous!$G$6:$Q$29, 11, FALSE))</f>
        <v>7182.9791761319093</v>
      </c>
      <c r="BA136" s="227">
        <f>$F136*(VLOOKUP(BA$4, Rates_previous!$G$6:$Q$29, 10, FALSE)+VLOOKUP(BA$4, Rates_previous!$G$6:$Q$29, 11, FALSE))</f>
        <v>8504.3864345225793</v>
      </c>
      <c r="BB136" s="227">
        <f>$F136*(VLOOKUP(BB$4, Rates_previous!$G$6:$Q$29, 10, FALSE)+VLOOKUP(BB$4, Rates_previous!$G$6:$Q$29, 11, FALSE))</f>
        <v>8173.9524020534454</v>
      </c>
      <c r="BC136" s="227">
        <f>$F136*(VLOOKUP(BC$4, Rates_previous!$G$6:$Q$29, 10, FALSE)+VLOOKUP(BC$4, Rates_previous!$G$6:$Q$29, 11, FALSE))</f>
        <v>11994.696738683419</v>
      </c>
      <c r="BD136" s="227">
        <f>$F136*(VLOOKUP(BD$4, Rates_previous!$G$6:$Q$29, 10, FALSE)+VLOOKUP(BD$4, Rates_previous!$G$6:$Q$29, 11, FALSE))</f>
        <v>9463.4987031220517</v>
      </c>
      <c r="BE136" s="227">
        <f>$F136*(VLOOKUP(BE$4, Rates_previous!$G$6:$Q$29, 10, FALSE)+VLOOKUP(BE$4, Rates_previous!$G$6:$Q$29, 11, FALSE))</f>
        <v>8309.7461851229127</v>
      </c>
      <c r="BF136" s="227">
        <f>$F136*(VLOOKUP(BF$4, Rates_previous!$G$6:$Q$29, 10, FALSE)+VLOOKUP(BF$4, Rates_previous!$G$6:$Q$29, 11, FALSE))</f>
        <v>9203.3765201574552</v>
      </c>
      <c r="BG136" s="227">
        <f>$F136*(VLOOKUP(BG$4, Rates_previous!$G$6:$Q$29, 10, FALSE)+VLOOKUP(BG$4, Rates_previous!$G$6:$Q$29, 11, FALSE))</f>
        <v>8337.8931319167641</v>
      </c>
      <c r="BH136" s="229">
        <f>IF($D136=0,IF(C136=0, MAX(BK136 - (VLOOKUP($A136,TOCA_previous!$A$2:$AI$137,MATCH("RHWM 2018",TOCA_previous!$A$2:$AI$2,0),FALSE)*$F$2*TOCA_previous!C133),0),0), 0)</f>
        <v>0</v>
      </c>
      <c r="BI136" s="266">
        <f>VLOOKUP($A136,REP_previous!$A$1:$D$135,MATCH("FY "&amp;$F$1&amp; " Total Refund",REP_previous!$A$1:$D$1,0),0)</f>
        <v>171214.66523174982</v>
      </c>
      <c r="BJ136" s="241">
        <f>MIN(VLOOKUP($A136,TOCA_previous!$A$2:$AI$137,MATCH("TRL - NLSL - Existing Resource "&amp;$F$1,TOCA_previous!$A$2:$AI$2,0),FALSE)*$F$2,(VLOOKUP($A136,TOCA_previous!$A$2:$AI$137,MATCH("RHWM 2018",TOCA_previous!$A$2:$AI$2,0),FALSE)*$F$2))</f>
        <v>108965.64</v>
      </c>
      <c r="BK136" s="229">
        <f>SUM(L136:AI136)+(F136*RT1SC!$C$3*$F$2)</f>
        <v>108026.88375445598</v>
      </c>
      <c r="BL136" s="241">
        <f>VLOOKUP($A136,TOCA_previous!$A$2:$AI$137,MATCH("Above RHWM Not Served with LS "&amp;$F$1,TOCA_previous!$A$2:$AI$2,0),FALSE)*$F$2</f>
        <v>0</v>
      </c>
      <c r="BM136" s="151">
        <f t="shared" si="37"/>
        <v>-938.7562455440202</v>
      </c>
      <c r="BN136" s="242">
        <f>(VLOOKUP($A136,TOCA_previous!$A$2:$AI$137,MATCH("RHWM 2018",TOCA_previous!$A$2:$AI$2,0),FALSE)*$F$2) - $BJ136</f>
        <v>2540.3999999999942</v>
      </c>
      <c r="BO136" s="151">
        <f t="shared" si="38"/>
        <v>0</v>
      </c>
      <c r="BP136" s="243">
        <f t="shared" si="39"/>
        <v>938.7562455440202</v>
      </c>
      <c r="BQ136" s="237">
        <f t="shared" si="40"/>
        <v>0</v>
      </c>
      <c r="BR136" s="242">
        <f t="shared" si="41"/>
        <v>938.7562455440202</v>
      </c>
      <c r="BS136" s="151">
        <f>VLOOKUP($A136,TOCA_current!$A$2:$AI$137,MATCH(BS$4,TOCA_current!$A$2:$AI$2,0),FALSE)</f>
        <v>1.7507E-3</v>
      </c>
      <c r="BT136" s="151">
        <f>VLOOKUP($A136,TOCA_current!$A$2:$AI$137,MATCH(BT$4,TOCA_current!$A$2:$AI$2,0),FALSE)</f>
        <v>1.7507E-3</v>
      </c>
      <c r="BU136" s="236">
        <f t="shared" si="42"/>
        <v>0</v>
      </c>
      <c r="BV136" s="151">
        <f>VLOOKUP($A136,TOCA_current!A132:BG267,MATCH(BV$4,TOCA_current!$A$2:$BG$2,0),FALSE)</f>
        <v>0</v>
      </c>
      <c r="BW136" s="151">
        <f t="shared" si="43"/>
        <v>0</v>
      </c>
      <c r="BX136" s="151">
        <f t="shared" si="44"/>
        <v>0</v>
      </c>
      <c r="BY136" s="226">
        <f>VLOOKUP($A136,IRD!$A$4:$G$139, 7, FALSE)</f>
        <v>0</v>
      </c>
      <c r="BZ136" s="227">
        <f t="array" ref="BZ136">IF($BU136=0, INDEX(LS_current!$D$4:$AY$138, MATCH('Staging Table'!$A136, LS_current!$B$4:$B$138, 0), MATCH(BZ$4&amp;BZ$5, LS_current!$D$2:$AY$2&amp;LS_current!$D$3:$AY$3, 0)),SUM(VLOOKUP($A136, LS_current!$B$4:$AY$138, LS_current!D$148, FALSE), VLOOKUP($A136, LS_current!$B$4:$AY$138,LS_current!D$148, FALSE))/2)</f>
        <v>-347</v>
      </c>
      <c r="CA136" s="227">
        <f t="array" ref="CA136">IF($BU136=0, INDEX(LS_current!$D$4:$AY$138, MATCH('Staging Table'!$A136, LS_current!$B$4:$B$138, 0), MATCH(CA$4&amp;CA$5, LS_current!$D$2:$AY$2&amp;LS_current!$D$3:$AY$3, 0)),SUM(VLOOKUP($A136, LS_current!$B$4:$AY$138, LS_current!E$148, FALSE), VLOOKUP($A136, LS_current!$B$4:$AY$138,LS_current!E$148, FALSE))/2)</f>
        <v>16</v>
      </c>
      <c r="CB136" s="227">
        <f t="array" ref="CB136">IF($BU136=0, INDEX(LS_current!$D$4:$AY$138, MATCH('Staging Table'!$A136, LS_current!$B$4:$B$138, 0), MATCH(CB$4&amp;CB$5, LS_current!$D$2:$AY$2&amp;LS_current!$D$3:$AY$3, 0)),SUM(VLOOKUP($A136, LS_current!$B$4:$AY$138, LS_current!F$148, FALSE), VLOOKUP($A136, LS_current!$B$4:$AY$138,LS_current!F$148, FALSE))/2)</f>
        <v>-1057</v>
      </c>
      <c r="CC136" s="227">
        <f t="array" ref="CC136">IF($BU136=0, INDEX(LS_current!$D$4:$AY$138, MATCH('Staging Table'!$A136, LS_current!$B$4:$B$138, 0), MATCH(CC$4&amp;CC$5, LS_current!$D$2:$AY$2&amp;LS_current!$D$3:$AY$3, 0)),SUM(VLOOKUP($A136, LS_current!$B$4:$AY$138, LS_current!G$148, FALSE), VLOOKUP($A136, LS_current!$B$4:$AY$138,LS_current!G$148, FALSE))/2)</f>
        <v>-165</v>
      </c>
      <c r="CD136" s="227">
        <f t="array" ref="CD136">IF($BU136=0, INDEX(LS_current!$D$4:$AY$138, MATCH('Staging Table'!$A136, LS_current!$B$4:$B$138, 0), MATCH(CD$4&amp;CD$5, LS_current!$D$2:$AY$2&amp;LS_current!$D$3:$AY$3, 0)),SUM(VLOOKUP($A136, LS_current!$B$4:$AY$138, LS_current!H$148, FALSE), VLOOKUP($A136, LS_current!$B$4:$AY$138,LS_current!H$148, FALSE))/2)</f>
        <v>47</v>
      </c>
      <c r="CE136" s="227">
        <f t="array" ref="CE136">IF($BU136=0, INDEX(LS_current!$D$4:$AY$138, MATCH('Staging Table'!$A136, LS_current!$B$4:$B$138, 0), MATCH(CE$4&amp;CE$5, LS_current!$D$2:$AY$2&amp;LS_current!$D$3:$AY$3, 0)),SUM(VLOOKUP($A136, LS_current!$B$4:$AY$138, LS_current!I$148, FALSE), VLOOKUP($A136, LS_current!$B$4:$AY$138,LS_current!I$148, FALSE))/2)</f>
        <v>575</v>
      </c>
      <c r="CF136" s="227">
        <f t="array" ref="CF136">IF($BU136=0, INDEX(LS_current!$D$4:$AY$138, MATCH('Staging Table'!$A136, LS_current!$B$4:$B$138, 0), MATCH(CF$4&amp;CF$5, LS_current!$D$2:$AY$2&amp;LS_current!$D$3:$AY$3, 0)),SUM(VLOOKUP($A136, LS_current!$B$4:$AY$138, LS_current!J$148, FALSE), VLOOKUP($A136, LS_current!$B$4:$AY$138,LS_current!J$148, FALSE))/2)</f>
        <v>1200</v>
      </c>
      <c r="CG136" s="227">
        <f t="array" ref="CG136">IF($BU136=0, INDEX(LS_current!$D$4:$AY$138, MATCH('Staging Table'!$A136, LS_current!$B$4:$B$138, 0), MATCH(CG$4&amp;CG$5, LS_current!$D$2:$AY$2&amp;LS_current!$D$3:$AY$3, 0)),SUM(VLOOKUP($A136, LS_current!$B$4:$AY$138, LS_current!K$148, FALSE), VLOOKUP($A136, LS_current!$B$4:$AY$138,LS_current!K$148, FALSE))/2)</f>
        <v>1293</v>
      </c>
      <c r="CH136" s="227">
        <f t="array" ref="CH136">IF($BU136=0, INDEX(LS_current!$D$4:$AY$138, MATCH('Staging Table'!$A136, LS_current!$B$4:$B$138, 0), MATCH(CH$4&amp;CH$5, LS_current!$D$2:$AY$2&amp;LS_current!$D$3:$AY$3, 0)),SUM(VLOOKUP($A136, LS_current!$B$4:$AY$138, LS_current!L$148, FALSE), VLOOKUP($A136, LS_current!$B$4:$AY$138,LS_current!L$148, FALSE))/2)</f>
        <v>870</v>
      </c>
      <c r="CI136" s="227">
        <f t="array" ref="CI136">IF($BU136=0, INDEX(LS_current!$D$4:$AY$138, MATCH('Staging Table'!$A136, LS_current!$B$4:$B$138, 0), MATCH(CI$4&amp;CI$5, LS_current!$D$2:$AY$2&amp;LS_current!$D$3:$AY$3, 0)),SUM(VLOOKUP($A136, LS_current!$B$4:$AY$138, LS_current!M$148, FALSE), VLOOKUP($A136, LS_current!$B$4:$AY$138,LS_current!M$148, FALSE))/2)</f>
        <v>847</v>
      </c>
      <c r="CJ136" s="227">
        <f t="array" ref="CJ136">IF($BU136=0, INDEX(LS_current!$D$4:$AY$138, MATCH('Staging Table'!$A136, LS_current!$B$4:$B$138, 0), MATCH(CJ$4&amp;CJ$5, LS_current!$D$2:$AY$2&amp;LS_current!$D$3:$AY$3, 0)),SUM(VLOOKUP($A136, LS_current!$B$4:$AY$138, LS_current!N$148, FALSE), VLOOKUP($A136, LS_current!$B$4:$AY$138,LS_current!N$148, FALSE))/2)</f>
        <v>-349</v>
      </c>
      <c r="CK136" s="227">
        <f t="array" ref="CK136">IF($BU136=0, INDEX(LS_current!$D$4:$AY$138, MATCH('Staging Table'!$A136, LS_current!$B$4:$B$138, 0), MATCH(CK$4&amp;CK$5, LS_current!$D$2:$AY$2&amp;LS_current!$D$3:$AY$3, 0)),SUM(VLOOKUP($A136, LS_current!$B$4:$AY$138, LS_current!O$148, FALSE), VLOOKUP($A136, LS_current!$B$4:$AY$138,LS_current!O$148, FALSE))/2)</f>
        <v>-7</v>
      </c>
      <c r="CL136" s="227">
        <f t="array" ref="CL136">IF($BU136=0, INDEX(LS_current!$D$4:$AY$138, MATCH('Staging Table'!$A136, LS_current!$B$4:$B$138, 0), MATCH(CL$4&amp;CL$5, LS_current!$D$2:$AY$2&amp;LS_current!$D$3:$AY$3, 0)),SUM(VLOOKUP($A136, LS_current!$B$4:$AY$138, LS_current!P$148, FALSE), VLOOKUP($A136, LS_current!$B$4:$AY$138,LS_current!P$148, FALSE))/2)</f>
        <v>341</v>
      </c>
      <c r="CM136" s="227">
        <f t="array" ref="CM136">IF($BU136=0, INDEX(LS_current!$D$4:$AY$138, MATCH('Staging Table'!$A136, LS_current!$B$4:$B$138, 0), MATCH(CM$4&amp;CM$5, LS_current!$D$2:$AY$2&amp;LS_current!$D$3:$AY$3, 0)),SUM(VLOOKUP($A136, LS_current!$B$4:$AY$138, LS_current!Q$148, FALSE), VLOOKUP($A136, LS_current!$B$4:$AY$138,LS_current!Q$148, FALSE))/2)</f>
        <v>157</v>
      </c>
      <c r="CN136" s="227">
        <f t="array" ref="CN136">IF($BU136=0, INDEX(LS_current!$D$4:$AY$138, MATCH('Staging Table'!$A136, LS_current!$B$4:$B$138, 0), MATCH(CN$4&amp;CN$5, LS_current!$D$2:$AY$2&amp;LS_current!$D$3:$AY$3, 0)),SUM(VLOOKUP($A136, LS_current!$B$4:$AY$138, LS_current!R$148, FALSE), VLOOKUP($A136, LS_current!$B$4:$AY$138,LS_current!R$148, FALSE))/2)</f>
        <v>-1180</v>
      </c>
      <c r="CO136" s="227">
        <f t="array" ref="CO136">IF($BU136=0, INDEX(LS_current!$D$4:$AY$138, MATCH('Staging Table'!$A136, LS_current!$B$4:$B$138, 0), MATCH(CO$4&amp;CO$5, LS_current!$D$2:$AY$2&amp;LS_current!$D$3:$AY$3, 0)),SUM(VLOOKUP($A136, LS_current!$B$4:$AY$138, LS_current!S$148, FALSE), VLOOKUP($A136, LS_current!$B$4:$AY$138,LS_current!S$148, FALSE))/2)</f>
        <v>-291</v>
      </c>
      <c r="CP136" s="227">
        <f t="array" ref="CP136">IF($BU136=0, INDEX(LS_current!$D$4:$AY$138, MATCH('Staging Table'!$A136, LS_current!$B$4:$B$138, 0), MATCH(CP$4&amp;CP$5, LS_current!$D$2:$AY$2&amp;LS_current!$D$3:$AY$3, 0)),SUM(VLOOKUP($A136, LS_current!$B$4:$AY$138, LS_current!T$148, FALSE), VLOOKUP($A136, LS_current!$B$4:$AY$138,LS_current!T$148, FALSE))/2)</f>
        <v>-2365</v>
      </c>
      <c r="CQ136" s="227">
        <f t="array" ref="CQ136">IF($BU136=0, INDEX(LS_current!$D$4:$AY$138, MATCH('Staging Table'!$A136, LS_current!$B$4:$B$138, 0), MATCH(CQ$4&amp;CQ$5, LS_current!$D$2:$AY$2&amp;LS_current!$D$3:$AY$3, 0)),SUM(VLOOKUP($A136, LS_current!$B$4:$AY$138, LS_current!U$148, FALSE), VLOOKUP($A136, LS_current!$B$4:$AY$138,LS_current!U$148, FALSE))/2)</f>
        <v>-1250</v>
      </c>
      <c r="CR136" s="227">
        <f t="array" ref="CR136">IF($BU136=0, INDEX(LS_current!$D$4:$AY$138, MATCH('Staging Table'!$A136, LS_current!$B$4:$B$138, 0), MATCH(CR$4&amp;CR$5, LS_current!$D$2:$AY$2&amp;LS_current!$D$3:$AY$3, 0)),SUM(VLOOKUP($A136, LS_current!$B$4:$AY$138, LS_current!V$148, FALSE), VLOOKUP($A136, LS_current!$B$4:$AY$138,LS_current!V$148, FALSE))/2)</f>
        <v>66</v>
      </c>
      <c r="CS136" s="227">
        <f t="array" ref="CS136">IF($BU136=0, INDEX(LS_current!$D$4:$AY$138, MATCH('Staging Table'!$A136, LS_current!$B$4:$B$138, 0), MATCH(CS$4&amp;CS$5, LS_current!$D$2:$AY$2&amp;LS_current!$D$3:$AY$3, 0)),SUM(VLOOKUP($A136, LS_current!$B$4:$AY$138, LS_current!W$148, FALSE), VLOOKUP($A136, LS_current!$B$4:$AY$138,LS_current!W$148, FALSE))/2)</f>
        <v>912</v>
      </c>
      <c r="CT136" s="227">
        <f t="array" ref="CT136">IF($BU136=0, INDEX(LS_current!$D$4:$AY$138, MATCH('Staging Table'!$A136, LS_current!$B$4:$B$138, 0), MATCH(CT$4&amp;CT$5, LS_current!$D$2:$AY$2&amp;LS_current!$D$3:$AY$3, 0)),SUM(VLOOKUP($A136, LS_current!$B$4:$AY$138, LS_current!X$148, FALSE), VLOOKUP($A136, LS_current!$B$4:$AY$138,LS_current!X$148, FALSE))/2)</f>
        <v>302</v>
      </c>
      <c r="CU136" s="227">
        <f t="array" ref="CU136">IF($BU136=0, INDEX(LS_current!$D$4:$AY$138, MATCH('Staging Table'!$A136, LS_current!$B$4:$B$138, 0), MATCH(CU$4&amp;CU$5, LS_current!$D$2:$AY$2&amp;LS_current!$D$3:$AY$3, 0)),SUM(VLOOKUP($A136, LS_current!$B$4:$AY$138, LS_current!Y$148, FALSE), VLOOKUP($A136, LS_current!$B$4:$AY$138,LS_current!Y$148, FALSE))/2)</f>
        <v>602</v>
      </c>
      <c r="CV136" s="227">
        <f t="array" ref="CV136">IF($BU136=0, INDEX(LS_current!$D$4:$AY$138, MATCH('Staging Table'!$A136, LS_current!$B$4:$B$138, 0), MATCH(CV$4&amp;CV$5, LS_current!$D$2:$AY$2&amp;LS_current!$D$3:$AY$3, 0)),SUM(VLOOKUP($A136, LS_current!$B$4:$AY$138, LS_current!Z$148, FALSE), VLOOKUP($A136, LS_current!$B$4:$AY$138,LS_current!Z$148, FALSE))/2)</f>
        <v>-253</v>
      </c>
      <c r="CW136" s="227">
        <f t="array" ref="CW136">IF($BU136=0, INDEX(LS_current!$D$4:$AY$138, MATCH('Staging Table'!$A136, LS_current!$B$4:$B$138, 0), MATCH(CW$4&amp;CW$5, LS_current!$D$2:$AY$2&amp;LS_current!$D$3:$AY$3, 0)),SUM(VLOOKUP($A136, LS_current!$B$4:$AY$138, LS_current!AA$148, FALSE), VLOOKUP($A136, LS_current!$B$4:$AY$138,LS_current!AA$148, FALSE))/2)</f>
        <v>37</v>
      </c>
      <c r="CX136" s="229">
        <f t="array" ref="CX136">INDEX(Demand_current!$D$4:$AY$138, MATCH($A136, Demand_current!$B$4:$B$138, 0), MATCH(CX$4&amp;CX$5,Demand_current!$D$2:$AY$2&amp;Demand_current!$D$3:$AY$3, 0))/1000</f>
        <v>2.1989999999999998</v>
      </c>
      <c r="CY136" s="229">
        <f t="array" ref="CY136">INDEX(Demand_current!$D$4:$AY$138, MATCH($A136, Demand_current!$B$4:$B$138, 0), MATCH(CY$4&amp;CY$5,Demand_current!$D$2:$AY$2&amp;Demand_current!$D$3:$AY$3, 0))/1000</f>
        <v>1.1870000000000001</v>
      </c>
      <c r="CZ136" s="229">
        <f t="array" ref="CZ136">INDEX(Demand_current!$D$4:$AY$138, MATCH($A136, Demand_current!$B$4:$B$138, 0), MATCH(CZ$4&amp;CZ$5,Demand_current!$D$2:$AY$2&amp;Demand_current!$D$3:$AY$3, 0))/1000</f>
        <v>2.0910000000000002</v>
      </c>
      <c r="DA136" s="229">
        <f t="array" ref="DA136">INDEX(Demand_current!$D$4:$AY$138, MATCH($A136, Demand_current!$B$4:$B$138, 0), MATCH(DA$4&amp;DA$5,Demand_current!$D$2:$AY$2&amp;Demand_current!$D$3:$AY$3, 0))/1000</f>
        <v>1.9550000000000001</v>
      </c>
      <c r="DB136" s="229">
        <f t="array" ref="DB136">INDEX(Demand_current!$D$4:$AY$138, MATCH($A136, Demand_current!$B$4:$B$138, 0), MATCH(DB$4&amp;DB$5,Demand_current!$D$2:$AY$2&amp;Demand_current!$D$3:$AY$3, 0))/1000</f>
        <v>1.2110000000000001</v>
      </c>
      <c r="DC136" s="229">
        <f t="array" ref="DC136">INDEX(Demand_current!$D$4:$AY$138, MATCH($A136, Demand_current!$B$4:$B$138, 0), MATCH(DC$4&amp;DC$5,Demand_current!$D$2:$AY$2&amp;Demand_current!$D$3:$AY$3, 0))/1000</f>
        <v>1.7350000000000001</v>
      </c>
      <c r="DD136" s="229">
        <f t="array" ref="DD136">INDEX(Demand_current!$D$4:$AY$138, MATCH($A136, Demand_current!$B$4:$B$138, 0), MATCH(DD$4&amp;DD$5,Demand_current!$D$2:$AY$2&amp;Demand_current!$D$3:$AY$3, 0))/1000</f>
        <v>1.623</v>
      </c>
      <c r="DE136" s="229">
        <f t="array" ref="DE136">INDEX(Demand_current!$D$4:$AY$138, MATCH($A136, Demand_current!$B$4:$B$138, 0), MATCH(DE$4&amp;DE$5,Demand_current!$D$2:$AY$2&amp;Demand_current!$D$3:$AY$3, 0))/1000</f>
        <v>0.76200000000000001</v>
      </c>
      <c r="DF136" s="229">
        <f t="array" ref="DF136">INDEX(Demand_current!$D$4:$AY$138, MATCH($A136, Demand_current!$B$4:$B$138, 0), MATCH(DF$4&amp;DF$5,Demand_current!$D$2:$AY$2&amp;Demand_current!$D$3:$AY$3, 0))/1000</f>
        <v>2.2679999999999998</v>
      </c>
      <c r="DG136" s="229">
        <f t="array" ref="DG136">INDEX(Demand_current!$D$4:$AY$138, MATCH($A136, Demand_current!$B$4:$B$138, 0), MATCH(DG$4&amp;DG$5,Demand_current!$D$2:$AY$2&amp;Demand_current!$D$3:$AY$3, 0))/1000</f>
        <v>3.157</v>
      </c>
      <c r="DH136" s="229">
        <f t="array" ref="DH136">INDEX(Demand_current!$D$4:$AY$138, MATCH($A136, Demand_current!$B$4:$B$138, 0), MATCH(DH$4&amp;DH$5,Demand_current!$D$2:$AY$2&amp;Demand_current!$D$3:$AY$3, 0))/1000</f>
        <v>1.728</v>
      </c>
      <c r="DI136" s="229">
        <f t="array" ref="DI136">INDEX(Demand_current!$D$4:$AY$138, MATCH($A136, Demand_current!$B$4:$B$138, 0), MATCH(DI$4&amp;DI$5,Demand_current!$D$2:$AY$2&amp;Demand_current!$D$3:$AY$3, 0))/1000</f>
        <v>1.65</v>
      </c>
      <c r="DJ136" s="227">
        <f>$BT136*(VLOOKUP(DJ$4, Rates_current!$G$6:$Q$29, 10, FALSE)+VLOOKUP(DJ$4, Rates_current!$G$6:$Q$29, 11, FALSE))</f>
        <v>8083.5372150371995</v>
      </c>
      <c r="DK136" s="227">
        <f>$BT136*(VLOOKUP(DK$4, Rates_current!$G$6:$Q$29, 10, FALSE)+VLOOKUP(DK$4, Rates_current!$G$6:$Q$29, 11, FALSE))</f>
        <v>10268.613971517299</v>
      </c>
      <c r="DL136" s="227">
        <f>$BT136*(VLOOKUP(DL$4, Rates_current!$G$6:$Q$29, 10, FALSE)+VLOOKUP(DL$4, Rates_current!$G$6:$Q$29, 11, FALSE))</f>
        <v>10144.6065631372</v>
      </c>
      <c r="DM136" s="227">
        <f>$BT136*(VLOOKUP(DM$4, Rates_current!$G$6:$Q$29, 10, FALSE)+VLOOKUP(DM$4, Rates_current!$G$6:$Q$29, 11, FALSE))</f>
        <v>8456.1474495372004</v>
      </c>
      <c r="DN136" s="227">
        <f>$BT136*(VLOOKUP(DN$4, Rates_current!$G$6:$Q$29, 10, FALSE)+VLOOKUP(DN$4, Rates_current!$G$6:$Q$29, 11, FALSE))</f>
        <v>7660.3923317599993</v>
      </c>
      <c r="DO136" s="227">
        <f>$BT136*(VLOOKUP(DO$4, Rates_current!$G$6:$Q$29, 10, FALSE)+VLOOKUP(DO$4, Rates_current!$G$6:$Q$29, 11, FALSE))</f>
        <v>8520.7898429059005</v>
      </c>
      <c r="DP136" s="227">
        <f>$BT136*(VLOOKUP(DP$4, Rates_current!$G$6:$Q$29, 10, FALSE)+VLOOKUP(DP$4, Rates_current!$G$6:$Q$29, 11, FALSE))</f>
        <v>6937.6362849360003</v>
      </c>
      <c r="DQ136" s="227">
        <f>$BT136*(VLOOKUP(DQ$4, Rates_current!$G$6:$Q$29, 10, FALSE)+VLOOKUP(DQ$4, Rates_current!$G$6:$Q$29, 11, FALSE))</f>
        <v>9356.4370463872001</v>
      </c>
      <c r="DR136" s="227">
        <f>$BT136*(VLOOKUP(DR$4, Rates_current!$G$6:$Q$29, 10, FALSE)+VLOOKUP(DR$4, Rates_current!$G$6:$Q$29, 11, FALSE))</f>
        <v>11938.177326586001</v>
      </c>
      <c r="DS136" s="227">
        <f>$BT136*(VLOOKUP(DS$4, Rates_current!$G$6:$Q$29, 10, FALSE)+VLOOKUP(DS$4, Rates_current!$G$6:$Q$29, 11, FALSE))</f>
        <v>9359.9095598372005</v>
      </c>
      <c r="DT136" s="227">
        <f>$BT136*(VLOOKUP(DT$4, Rates_current!$G$6:$Q$29, 10, FALSE)+VLOOKUP(DT$4, Rates_current!$G$6:$Q$29, 11, FALSE))</f>
        <v>9114.6881354872003</v>
      </c>
      <c r="DU136" s="227">
        <f>$BT136*(VLOOKUP(DU$4, Rates_current!$G$6:$Q$29, 10, FALSE)+VLOOKUP(DU$4, Rates_current!$G$6:$Q$29, 11, FALSE))</f>
        <v>8183.0510016360004</v>
      </c>
      <c r="DV136" s="229">
        <f>IF(D136=0,IF(C136=0,MAX(0,DY136 - (VLOOKUP($A136,TOCA_current!$A$2:$AI$137,MATCH("RHWM 2020",TOCA_current!$A$2:$AI$2,0),FALSE)*$BT$2)), 0),0)</f>
        <v>0</v>
      </c>
      <c r="DW136" s="266">
        <f>VLOOKUP($A136,REP_current!$A$1:$D$135,MATCH("FY "&amp;$BT$1&amp; " Total Refund",REP_current!$A$1:$D$1,0),0)</f>
        <v>0</v>
      </c>
      <c r="DX136" s="295">
        <f>MIN(VLOOKUP($A136,TOCA_current!$A$2:$AI$137,MATCH("TRL - NLSL - Existing Resource "&amp;$BT$1,TOCA_current!$A$2:$AI$2,0),FALSE)*$BT$2, VLOOKUP($A136,TOCA_current!$A$2:$AI$137,MATCH("RHWM 2020",TOCA_current!$A$2:$AI$2,0),FALSE)*$BT$2)</f>
        <v>108025.632</v>
      </c>
      <c r="DY136" s="240">
        <f>SUM(BZ136:CW136)+(BT136*RT1SC!$C$4*$BT$2)</f>
        <v>108024.9907833856</v>
      </c>
      <c r="DZ136" s="271">
        <f>VLOOKUP($A136,TOCA_current!$A$2:$AI$137,MATCH("Above RHWM Not Served with LS "&amp;$BT$1,TOCA_current!$A$2:$AI$2,0),FALSE)*$BT$2</f>
        <v>0</v>
      </c>
      <c r="EA136" s="244">
        <f t="shared" si="45"/>
        <v>-0.64121661440003663</v>
      </c>
      <c r="EB136" s="295">
        <f>(VLOOKUP($A136,TOCA_current!$A$2:$AI$137,MATCH("RHWM 2020",TOCA_current!$A$2:$AI$2,0),FALSE)*$BT$2) - $DX136</f>
        <v>5015.6640000000043</v>
      </c>
      <c r="EC136" s="240">
        <f t="shared" si="46"/>
        <v>0</v>
      </c>
      <c r="ED136" s="240">
        <f t="shared" si="47"/>
        <v>0.64121661440003663</v>
      </c>
      <c r="EE136" s="240">
        <f t="shared" si="48"/>
        <v>0</v>
      </c>
      <c r="EF136" s="240">
        <f t="shared" si="49"/>
        <v>0.64121661440003663</v>
      </c>
    </row>
    <row r="137" spans="1:136">
      <c r="A137" s="166">
        <v>10706</v>
      </c>
      <c r="B137" s="167" t="s">
        <v>137</v>
      </c>
      <c r="C137" s="240">
        <v>0</v>
      </c>
      <c r="D137" s="240">
        <v>0</v>
      </c>
      <c r="E137" s="150">
        <f>VLOOKUP($A137,TOCA_previous!$A$2:$AI$137,MATCH(E$4,TOCA_previous!$A$2:$AI$2,0),FALSE)</f>
        <v>2.4480000000000001E-3</v>
      </c>
      <c r="F137" s="151">
        <f>VLOOKUP($A137,TOCA_previous!$A$2:$AI$137,MATCH(F$4,TOCA_previous!$A$2:$AI$2,0),FALSE)</f>
        <v>2.4480000000000001E-3</v>
      </c>
      <c r="G137" s="151">
        <f t="shared" si="34"/>
        <v>0</v>
      </c>
      <c r="H137" s="151">
        <f>VLOOKUP($A137,TOCA_previous!$A$2:$AI$137,MATCH(H$4,TOCA_previous!$A$2:$AI$2,0),FALSE)</f>
        <v>0</v>
      </c>
      <c r="I137" s="151">
        <f t="shared" si="35"/>
        <v>0</v>
      </c>
      <c r="J137" s="151">
        <f t="shared" si="36"/>
        <v>0</v>
      </c>
      <c r="K137" s="226">
        <f>VLOOKUP(A137, IRD!$A$5:$C$139, 3, FALSE)</f>
        <v>0</v>
      </c>
      <c r="L137" s="227">
        <f t="array" ref="L137">IF($G137=0, INDEX(LS_previous!$D$4:$AY$138, MATCH('Staging Table'!$A137, LS_previous!$B$4:$B$138, 0), MATCH(L$4&amp;L$5, LS_previous!$D$2:$AY$2&amp;LS_previous!$D$3:$AY$3, 0)),SUM(VLOOKUP($A137, LS_previous!$B$4:$AY$138, LS_previous!D$149, FALSE), VLOOKUP('Staging Table'!$A137, LS_previous!$B$4:$AY$138,LS_previous!AB$149, FALSE))/2)</f>
        <v>-867</v>
      </c>
      <c r="M137" s="227">
        <f t="array" ref="M137">IF($G137=0, INDEX(LS_previous!$D$4:$AY$138, MATCH('Staging Table'!$A137, LS_previous!$B$4:$B$138, 0), MATCH(M$4&amp;M$5, LS_previous!$D$2:$AY$2&amp;LS_previous!$D$3:$AY$3, 0)),SUM(VLOOKUP($A137, LS_previous!$B$4:$AY$138, LS_previous!E$149, FALSE), VLOOKUP('Staging Table'!$A137, LS_previous!$B$4:$AY$138,LS_previous!AC$149, FALSE))/2)</f>
        <v>694</v>
      </c>
      <c r="N137" s="227">
        <f t="array" ref="N137">IF($G137=0, INDEX(LS_previous!$D$4:$AY$138, MATCH('Staging Table'!$A137, LS_previous!$B$4:$B$138, 0), MATCH(N$4&amp;N$5, LS_previous!$D$2:$AY$2&amp;LS_previous!$D$3:$AY$3, 0)),SUM(VLOOKUP($A137, LS_previous!$B$4:$AY$138, LS_previous!F$149, FALSE), VLOOKUP('Staging Table'!$A137, LS_previous!$B$4:$AY$138,LS_previous!AD$149, FALSE))/2)</f>
        <v>-2852</v>
      </c>
      <c r="O137" s="227">
        <f t="array" ref="O137">IF($G137=0, INDEX(LS_previous!$D$4:$AY$138, MATCH('Staging Table'!$A137, LS_previous!$B$4:$B$138, 0), MATCH(O$4&amp;O$5, LS_previous!$D$2:$AY$2&amp;LS_previous!$D$3:$AY$3, 0)),SUM(VLOOKUP($A137, LS_previous!$B$4:$AY$138, LS_previous!G$149, FALSE), VLOOKUP('Staging Table'!$A137, LS_previous!$B$4:$AY$138,LS_previous!AE$149, FALSE))/2)</f>
        <v>-448</v>
      </c>
      <c r="P137" s="227">
        <f t="array" ref="P137">IF($G137=0, INDEX(LS_previous!$D$4:$AY$138, MATCH('Staging Table'!$A137, LS_previous!$B$4:$B$138, 0), MATCH(P$4&amp;P$5, LS_previous!$D$2:$AY$2&amp;LS_previous!$D$3:$AY$3, 0)),SUM(VLOOKUP($A137, LS_previous!$B$4:$AY$138, LS_previous!H$149, FALSE), VLOOKUP('Staging Table'!$A137, LS_previous!$B$4:$AY$138,LS_previous!AF$149, FALSE))/2)</f>
        <v>-2324</v>
      </c>
      <c r="Q137" s="227">
        <f t="array" ref="Q137">IF($G137=0, INDEX(LS_previous!$D$4:$AY$138, MATCH('Staging Table'!$A137, LS_previous!$B$4:$B$138, 0), MATCH(Q$4&amp;Q$5, LS_previous!$D$2:$AY$2&amp;LS_previous!$D$3:$AY$3, 0)),SUM(VLOOKUP($A137, LS_previous!$B$4:$AY$138, LS_previous!I$149, FALSE), VLOOKUP('Staging Table'!$A137, LS_previous!$B$4:$AY$138,LS_previous!AG$149, FALSE))/2)</f>
        <v>-399</v>
      </c>
      <c r="R137" s="227">
        <f t="array" ref="R137">IF($G137=0, INDEX(LS_previous!$D$4:$AY$138, MATCH('Staging Table'!$A137, LS_previous!$B$4:$B$138, 0), MATCH(R$4&amp;R$5, LS_previous!$D$2:$AY$2&amp;LS_previous!$D$3:$AY$3, 0)),SUM(VLOOKUP($A137, LS_previous!$B$4:$AY$138, LS_previous!J$149, FALSE), VLOOKUP('Staging Table'!$A137, LS_previous!$B$4:$AY$138,LS_previous!AH$149, FALSE))/2)</f>
        <v>-1040</v>
      </c>
      <c r="S137" s="227">
        <f t="array" ref="S137">IF($G137=0, INDEX(LS_previous!$D$4:$AY$138, MATCH('Staging Table'!$A137, LS_previous!$B$4:$B$138, 0), MATCH(S$4&amp;S$5, LS_previous!$D$2:$AY$2&amp;LS_previous!$D$3:$AY$3, 0)),SUM(VLOOKUP($A137, LS_previous!$B$4:$AY$138, LS_previous!K$149, FALSE), VLOOKUP('Staging Table'!$A137, LS_previous!$B$4:$AY$138,LS_previous!AI$149, FALSE))/2)</f>
        <v>479</v>
      </c>
      <c r="T137" s="227">
        <f t="array" ref="T137">IF($G137=0, INDEX(LS_previous!$D$4:$AY$138, MATCH('Staging Table'!$A137, LS_previous!$B$4:$B$138, 0), MATCH(T$4&amp;T$5, LS_previous!$D$2:$AY$2&amp;LS_previous!$D$3:$AY$3, 0)),SUM(VLOOKUP($A137, LS_previous!$B$4:$AY$138, LS_previous!L$149, FALSE), VLOOKUP('Staging Table'!$A137, LS_previous!$B$4:$AY$138,LS_previous!AJ$149, FALSE))/2)</f>
        <v>-82</v>
      </c>
      <c r="U137" s="227">
        <f t="array" ref="U137">IF($G137=0, INDEX(LS_previous!$D$4:$AY$138, MATCH('Staging Table'!$A137, LS_previous!$B$4:$B$138, 0), MATCH(U$4&amp;U$5, LS_previous!$D$2:$AY$2&amp;LS_previous!$D$3:$AY$3, 0)),SUM(VLOOKUP($A137, LS_previous!$B$4:$AY$138, LS_previous!M$149, FALSE), VLOOKUP('Staging Table'!$A137, LS_previous!$B$4:$AY$138,LS_previous!AK$149, FALSE))/2)</f>
        <v>852</v>
      </c>
      <c r="V137" s="227">
        <f t="array" ref="V137">IF($G137=0, INDEX(LS_previous!$D$4:$AY$138, MATCH('Staging Table'!$A137, LS_previous!$B$4:$B$138, 0), MATCH(V$4&amp;V$5, LS_previous!$D$2:$AY$2&amp;LS_previous!$D$3:$AY$3, 0)),SUM(VLOOKUP($A137, LS_previous!$B$4:$AY$138, LS_previous!N$149, FALSE), VLOOKUP('Staging Table'!$A137, LS_previous!$B$4:$AY$138,LS_previous!AL$149, FALSE))/2)</f>
        <v>-353</v>
      </c>
      <c r="W137" s="227">
        <f t="array" ref="W137">IF($G137=0, INDEX(LS_previous!$D$4:$AY$138, MATCH('Staging Table'!$A137, LS_previous!$B$4:$B$138, 0), MATCH(W$4&amp;W$5, LS_previous!$D$2:$AY$2&amp;LS_previous!$D$3:$AY$3, 0)),SUM(VLOOKUP($A137, LS_previous!$B$4:$AY$138, LS_previous!O$149, FALSE), VLOOKUP('Staging Table'!$A137, LS_previous!$B$4:$AY$138,LS_previous!AM$149, FALSE))/2)</f>
        <v>731</v>
      </c>
      <c r="X137" s="227">
        <f t="array" ref="X137">IF($G137=0, INDEX(LS_previous!$D$4:$AY$138, MATCH('Staging Table'!$A137, LS_previous!$B$4:$B$138, 0), MATCH(X$4&amp;X$5, LS_previous!$D$2:$AY$2&amp;LS_previous!$D$3:$AY$3, 0)),SUM(VLOOKUP($A137, LS_previous!$B$4:$AY$138, LS_previous!P$149, FALSE), VLOOKUP('Staging Table'!$A137, LS_previous!$B$4:$AY$138,LS_previous!AN$149, FALSE))/2)</f>
        <v>-264</v>
      </c>
      <c r="Y137" s="227">
        <f t="array" ref="Y137">IF($G137=0, INDEX(LS_previous!$D$4:$AY$138, MATCH('Staging Table'!$A137, LS_previous!$B$4:$B$138, 0), MATCH(Y$4&amp;Y$5, LS_previous!$D$2:$AY$2&amp;LS_previous!$D$3:$AY$3, 0)),SUM(VLOOKUP($A137, LS_previous!$B$4:$AY$138, LS_previous!Q$149, FALSE), VLOOKUP('Staging Table'!$A137, LS_previous!$B$4:$AY$138,LS_previous!AO$149, FALSE))/2)</f>
        <v>986</v>
      </c>
      <c r="Z137" s="227">
        <f t="array" ref="Z137">IF($G137=0, INDEX(LS_previous!$D$4:$AY$138, MATCH('Staging Table'!$A137, LS_previous!$B$4:$B$138, 0), MATCH(Z$4&amp;Z$5, LS_previous!$D$2:$AY$2&amp;LS_previous!$D$3:$AY$3, 0)),SUM(VLOOKUP($A137, LS_previous!$B$4:$AY$138, LS_previous!R$149, FALSE), VLOOKUP('Staging Table'!$A137, LS_previous!$B$4:$AY$138,LS_previous!AP$149, FALSE))/2)</f>
        <v>-3447</v>
      </c>
      <c r="AA137" s="227">
        <f t="array" ref="AA137">IF($G137=0, INDEX(LS_previous!$D$4:$AY$138, MATCH('Staging Table'!$A137, LS_previous!$B$4:$B$138, 0), MATCH(AA$4&amp;AA$5, LS_previous!$D$2:$AY$2&amp;LS_previous!$D$3:$AY$3, 0)),SUM(VLOOKUP($A137, LS_previous!$B$4:$AY$138, LS_previous!S$149, FALSE), VLOOKUP('Staging Table'!$A137, LS_previous!$B$4:$AY$138,LS_previous!AQ$149, FALSE))/2)</f>
        <v>-415</v>
      </c>
      <c r="AB137" s="227">
        <f t="array" ref="AB137">IF($G137=0, INDEX(LS_previous!$D$4:$AY$138, MATCH('Staging Table'!$A137, LS_previous!$B$4:$B$138, 0), MATCH(AB$4&amp;AB$5, LS_previous!$D$2:$AY$2&amp;LS_previous!$D$3:$AY$3, 0)),SUM(VLOOKUP($A137, LS_previous!$B$4:$AY$138, LS_previous!T$149, FALSE), VLOOKUP('Staging Table'!$A137, LS_previous!$B$4:$AY$138,LS_previous!AR$149, FALSE))/2)</f>
        <v>-1189</v>
      </c>
      <c r="AC137" s="227">
        <f t="array" ref="AC137">IF($G137=0, INDEX(LS_previous!$D$4:$AY$138, MATCH('Staging Table'!$A137, LS_previous!$B$4:$B$138, 0), MATCH(AC$4&amp;AC$5, LS_previous!$D$2:$AY$2&amp;LS_previous!$D$3:$AY$3, 0)),SUM(VLOOKUP($A137, LS_previous!$B$4:$AY$138, LS_previous!U$149, FALSE), VLOOKUP('Staging Table'!$A137, LS_previous!$B$4:$AY$138,LS_previous!AS$149, FALSE))/2)</f>
        <v>678</v>
      </c>
      <c r="AD137" s="227">
        <f t="array" ref="AD137">IF($G137=0, INDEX(LS_previous!$D$4:$AY$138, MATCH('Staging Table'!$A137, LS_previous!$B$4:$B$138, 0), MATCH(AD$4&amp;AD$5, LS_previous!$D$2:$AY$2&amp;LS_previous!$D$3:$AY$3, 0)),SUM(VLOOKUP($A137, LS_previous!$B$4:$AY$138, LS_previous!V$149, FALSE), VLOOKUP('Staging Table'!$A137, LS_previous!$B$4:$AY$138,LS_previous!AT$149, FALSE))/2)</f>
        <v>1137</v>
      </c>
      <c r="AE137" s="227">
        <f t="array" ref="AE137">IF($G137=0, INDEX(LS_previous!$D$4:$AY$138, MATCH('Staging Table'!$A137, LS_previous!$B$4:$B$138, 0), MATCH(AE$4&amp;AE$5, LS_previous!$D$2:$AY$2&amp;LS_previous!$D$3:$AY$3, 0)),SUM(VLOOKUP($A137, LS_previous!$B$4:$AY$138, LS_previous!W$149, FALSE), VLOOKUP('Staging Table'!$A137, LS_previous!$B$4:$AY$138,LS_previous!AU$149, FALSE))/2)</f>
        <v>2776</v>
      </c>
      <c r="AF137" s="227">
        <f t="array" ref="AF137">IF($G137=0, INDEX(LS_previous!$D$4:$AY$138, MATCH('Staging Table'!$A137, LS_previous!$B$4:$B$138, 0), MATCH(AF$4&amp;AF$5, LS_previous!$D$2:$AY$2&amp;LS_previous!$D$3:$AY$3, 0)),SUM(VLOOKUP($A137, LS_previous!$B$4:$AY$138, LS_previous!X$149, FALSE), VLOOKUP('Staging Table'!$A137, LS_previous!$B$4:$AY$138,LS_previous!AV$149, FALSE))/2)</f>
        <v>1000</v>
      </c>
      <c r="AG137" s="227">
        <f t="array" ref="AG137">IF($G137=0, INDEX(LS_previous!$D$4:$AY$138, MATCH('Staging Table'!$A137, LS_previous!$B$4:$B$138, 0), MATCH(AG$4&amp;AG$5, LS_previous!$D$2:$AY$2&amp;LS_previous!$D$3:$AY$3, 0)),SUM(VLOOKUP($A137, LS_previous!$B$4:$AY$138, LS_previous!Y$149, FALSE), VLOOKUP('Staging Table'!$A137, LS_previous!$B$4:$AY$138,LS_previous!AW$149, FALSE))/2)</f>
        <v>2532</v>
      </c>
      <c r="AH137" s="227">
        <f t="array" ref="AH137">IF($G137=0, INDEX(LS_previous!$D$4:$AY$138, MATCH('Staging Table'!$A137, LS_previous!$B$4:$B$138, 0), MATCH(AH$4&amp;AH$5, LS_previous!$D$2:$AY$2&amp;LS_previous!$D$3:$AY$3, 0)),SUM(VLOOKUP($A137, LS_previous!$B$4:$AY$138, LS_previous!Z$149, FALSE), VLOOKUP('Staging Table'!$A137, LS_previous!$B$4:$AY$138,LS_previous!AX$149, FALSE))/2)</f>
        <v>1154</v>
      </c>
      <c r="AI137" s="227">
        <f t="array" ref="AI137">IF($G137=0, INDEX(LS_previous!$D$4:$AY$138, MATCH('Staging Table'!$A137, LS_previous!$B$4:$B$138, 0), MATCH(AI$4&amp;AI$5, LS_previous!$D$2:$AY$2&amp;LS_previous!$D$3:$AY$3, 0)),SUM(VLOOKUP($A137, LS_previous!$B$4:$AY$138, LS_previous!AA$149, FALSE), VLOOKUP('Staging Table'!$A137, LS_previous!$B$4:$AY$138,LS_previous!AY$149, FALSE))/2)</f>
        <v>2435</v>
      </c>
      <c r="AJ137" s="424">
        <f t="array" ref="AJ137">INDEX(Demand_previous!$D$4:$AY$138, MATCH('Staging Table'!$A137, Demand_previous!$B$4:$B$138, 0), MATCH(AJ$4&amp;AJ$5,Demand_previous!$D$2:$AY$2&amp;Demand_previous!$D$3:$AY$3, 0))/1000</f>
        <v>1.218</v>
      </c>
      <c r="AK137" s="424">
        <f t="array" ref="AK137">INDEX(Demand_previous!$D$4:$AY$138, MATCH('Staging Table'!$A137, Demand_previous!$B$4:$B$138, 0), MATCH(AK$4&amp;AK$5,Demand_previous!$D$2:$AY$2&amp;Demand_previous!$D$3:$AY$3, 0))/1000</f>
        <v>1.742</v>
      </c>
      <c r="AL137" s="424">
        <f t="array" ref="AL137">INDEX(Demand_previous!$D$4:$AY$138, MATCH('Staging Table'!$A137, Demand_previous!$B$4:$B$138, 0), MATCH(AL$4&amp;AL$5,Demand_previous!$D$2:$AY$2&amp;Demand_previous!$D$3:$AY$3, 0))/1000</f>
        <v>1.3340000000000001</v>
      </c>
      <c r="AM137" s="424">
        <f t="array" ref="AM137">INDEX(Demand_previous!$D$4:$AY$138, MATCH('Staging Table'!$A137, Demand_previous!$B$4:$B$138, 0), MATCH(AM$4&amp;AM$5,Demand_previous!$D$2:$AY$2&amp;Demand_previous!$D$3:$AY$3, 0))/1000</f>
        <v>2.1640000000000001</v>
      </c>
      <c r="AN137" s="424">
        <f t="array" ref="AN137">INDEX(Demand_previous!$D$4:$AY$138, MATCH('Staging Table'!$A137, Demand_previous!$B$4:$B$138, 0), MATCH(AN$4&amp;AN$5,Demand_previous!$D$2:$AY$2&amp;Demand_previous!$D$3:$AY$3, 0))/1000</f>
        <v>1.1439999999999999</v>
      </c>
      <c r="AO137" s="424">
        <f t="array" ref="AO137">INDEX(Demand_previous!$D$4:$AY$138, MATCH('Staging Table'!$A137, Demand_previous!$B$4:$B$138, 0), MATCH(AO$4&amp;AO$5,Demand_previous!$D$2:$AY$2&amp;Demand_previous!$D$3:$AY$3, 0))/1000</f>
        <v>2.2200000000000002</v>
      </c>
      <c r="AP137" s="424">
        <f t="array" ref="AP137">INDEX(Demand_previous!$D$4:$AY$138, MATCH('Staging Table'!$A137, Demand_previous!$B$4:$B$138, 0), MATCH(AP$4&amp;AP$5,Demand_previous!$D$2:$AY$2&amp;Demand_previous!$D$3:$AY$3, 0))/1000</f>
        <v>1.1180000000000001</v>
      </c>
      <c r="AQ137" s="424">
        <f t="array" ref="AQ137">INDEX(Demand_previous!$D$4:$AY$138, MATCH('Staging Table'!$A137, Demand_previous!$B$4:$B$138, 0), MATCH(AQ$4&amp;AQ$5,Demand_previous!$D$2:$AY$2&amp;Demand_previous!$D$3:$AY$3, 0))/1000</f>
        <v>1.3819999999999999</v>
      </c>
      <c r="AR137" s="424">
        <f t="array" ref="AR137">INDEX(Demand_previous!$D$4:$AY$138, MATCH('Staging Table'!$A137, Demand_previous!$B$4:$B$138, 0), MATCH(AR$4&amp;AR$5,Demand_previous!$D$2:$AY$2&amp;Demand_previous!$D$3:$AY$3, 0))/1000</f>
        <v>1.825</v>
      </c>
      <c r="AS137" s="424">
        <f t="array" ref="AS137">INDEX(Demand_previous!$D$4:$AY$138, MATCH('Staging Table'!$A137, Demand_previous!$B$4:$B$138, 0), MATCH(AS$4&amp;AS$5,Demand_previous!$D$2:$AY$2&amp;Demand_previous!$D$3:$AY$3, 0))/1000</f>
        <v>1.3049999999999999</v>
      </c>
      <c r="AT137" s="424">
        <f t="array" ref="AT137">INDEX(Demand_previous!$D$4:$AY$138, MATCH('Staging Table'!$A137, Demand_previous!$B$4:$B$138, 0), MATCH(AT$4&amp;AT$5,Demand_previous!$D$2:$AY$2&amp;Demand_previous!$D$3:$AY$3, 0))/1000</f>
        <v>3.044</v>
      </c>
      <c r="AU137" s="424">
        <f t="array" ref="AU137">INDEX(Demand_previous!$D$4:$AY$138, MATCH('Staging Table'!$A137, Demand_previous!$B$4:$B$138, 0), MATCH(AU$4&amp;AU$5,Demand_previous!$D$2:$AY$2&amp;Demand_previous!$D$3:$AY$3, 0))/1000</f>
        <v>1.3460000000000001</v>
      </c>
      <c r="AV137" s="227">
        <f>$F137*(VLOOKUP(AV$4, Rates_previous!$G$6:$Q$29, 10, FALSE)+VLOOKUP(AV$4, Rates_previous!$G$6:$Q$29, 11, FALSE))</f>
        <v>11478.274842329496</v>
      </c>
      <c r="AW137" s="227">
        <f>$F137*(VLOOKUP(AW$4, Rates_previous!$G$6:$Q$29, 10, FALSE)+VLOOKUP(AW$4, Rates_previous!$G$6:$Q$29, 11, FALSE))</f>
        <v>14186.275309998358</v>
      </c>
      <c r="AX137" s="227">
        <f>$F137*(VLOOKUP(AX$4, Rates_previous!$G$6:$Q$29, 10, FALSE)+VLOOKUP(AX$4, Rates_previous!$G$6:$Q$29, 11, FALSE))</f>
        <v>14015.91511113012</v>
      </c>
      <c r="AY137" s="227">
        <f>$F137*(VLOOKUP(AY$4, Rates_previous!$G$6:$Q$29, 10, FALSE)+VLOOKUP(AY$4, Rates_previous!$G$6:$Q$29, 11, FALSE))</f>
        <v>11975.263525111681</v>
      </c>
      <c r="AZ137" s="227">
        <f>$F137*(VLOOKUP(AZ$4, Rates_previous!$G$6:$Q$29, 10, FALSE)+VLOOKUP(AZ$4, Rates_previous!$G$6:$Q$29, 11, FALSE))</f>
        <v>9817.3932349790157</v>
      </c>
      <c r="BA137" s="227">
        <f>$F137*(VLOOKUP(BA$4, Rates_previous!$G$6:$Q$29, 10, FALSE)+VLOOKUP(BA$4, Rates_previous!$G$6:$Q$29, 11, FALSE))</f>
        <v>11623.436989398289</v>
      </c>
      <c r="BB137" s="227">
        <f>$F137*(VLOOKUP(BB$4, Rates_previous!$G$6:$Q$29, 10, FALSE)+VLOOKUP(BB$4, Rates_previous!$G$6:$Q$29, 11, FALSE))</f>
        <v>11171.813678871551</v>
      </c>
      <c r="BC137" s="227">
        <f>$F137*(VLOOKUP(BC$4, Rates_previous!$G$6:$Q$29, 10, FALSE)+VLOOKUP(BC$4, Rates_previous!$G$6:$Q$29, 11, FALSE))</f>
        <v>16393.846025513376</v>
      </c>
      <c r="BD137" s="227">
        <f>$F137*(VLOOKUP(BD$4, Rates_previous!$G$6:$Q$29, 10, FALSE)+VLOOKUP(BD$4, Rates_previous!$G$6:$Q$29, 11, FALSE))</f>
        <v>12934.311219497953</v>
      </c>
      <c r="BE137" s="227">
        <f>$F137*(VLOOKUP(BE$4, Rates_previous!$G$6:$Q$29, 10, FALSE)+VLOOKUP(BE$4, Rates_previous!$G$6:$Q$29, 11, FALSE))</f>
        <v>11357.410898989945</v>
      </c>
      <c r="BF137" s="227">
        <f>$F137*(VLOOKUP(BF$4, Rates_previous!$G$6:$Q$29, 10, FALSE)+VLOOKUP(BF$4, Rates_previous!$G$6:$Q$29, 11, FALSE))</f>
        <v>12578.787181813104</v>
      </c>
      <c r="BG137" s="227">
        <f>$F137*(VLOOKUP(BG$4, Rates_previous!$G$6:$Q$29, 10, FALSE)+VLOOKUP(BG$4, Rates_previous!$G$6:$Q$29, 11, FALSE))</f>
        <v>11395.880959707576</v>
      </c>
      <c r="BH137" s="229">
        <f>IF($D137=0,IF(C137=0, MAX(BK137 - (VLOOKUP($A137,TOCA_previous!$A$2:$AI$137,MATCH("RHWM 2018",TOCA_previous!$A$2:$AI$2,0),FALSE)*$F$2*TOCA_previous!C134),0),0), 0)</f>
        <v>1773.8511500799796</v>
      </c>
      <c r="BI137" s="266">
        <f>VLOOKUP($A137,REP_previous!$A$1:$D$135,MATCH("FY "&amp;$F$1&amp; " Total Refund",REP_previous!$A$1:$D$1,0),0)</f>
        <v>97105.635655993086</v>
      </c>
      <c r="BJ137" s="241">
        <f>MIN(VLOOKUP($A137,TOCA_previous!$A$2:$AI$137,MATCH("TRL - NLSL - Existing Resource "&amp;$F$1,TOCA_previous!$A$2:$AI$2,0),FALSE)*$F$2,(VLOOKUP($A137,TOCA_previous!$A$2:$AI$137,MATCH("RHWM 2018",TOCA_previous!$A$2:$AI$2,0),FALSE)*$F$2))</f>
        <v>148928.76</v>
      </c>
      <c r="BK137" s="229">
        <f>SUM(L137:AI137)+(F137*RT1SC!$C$3*$F$2)</f>
        <v>150702.61115007999</v>
      </c>
      <c r="BL137" s="241">
        <f>VLOOKUP($A137,TOCA_previous!$A$2:$AI$137,MATCH("Above RHWM Not Served with LS "&amp;$F$1,TOCA_previous!$A$2:$AI$2,0),FALSE)*$F$2</f>
        <v>13604.279999999999</v>
      </c>
      <c r="BM137" s="151">
        <f t="shared" si="37"/>
        <v>1773.8511500799796</v>
      </c>
      <c r="BN137" s="242">
        <f>(VLOOKUP($A137,TOCA_previous!$A$2:$AI$137,MATCH("RHWM 2018",TOCA_previous!$A$2:$AI$2,0),FALSE)*$F$2) - $BJ137</f>
        <v>0</v>
      </c>
      <c r="BO137" s="151">
        <f t="shared" si="38"/>
        <v>0</v>
      </c>
      <c r="BP137" s="243">
        <f t="shared" si="39"/>
        <v>0</v>
      </c>
      <c r="BQ137" s="237">
        <f t="shared" si="40"/>
        <v>0</v>
      </c>
      <c r="BR137" s="242">
        <f t="shared" si="41"/>
        <v>0</v>
      </c>
      <c r="BS137" s="151">
        <f>VLOOKUP($A137,TOCA_current!$A$2:$AI$137,MATCH(BS$4,TOCA_current!$A$2:$AI$2,0),FALSE)</f>
        <v>2.4467E-3</v>
      </c>
      <c r="BT137" s="151">
        <f>VLOOKUP($A137,TOCA_current!$A$2:$AI$137,MATCH(BT$4,TOCA_current!$A$2:$AI$2,0),FALSE)</f>
        <v>2.4467E-3</v>
      </c>
      <c r="BU137" s="236">
        <f t="shared" si="42"/>
        <v>0</v>
      </c>
      <c r="BV137" s="151">
        <f>VLOOKUP($A137,TOCA_current!A133:BG268,MATCH(BV$4,TOCA_current!$A$2:$BG$2,0),FALSE)</f>
        <v>0</v>
      </c>
      <c r="BW137" s="151">
        <f t="shared" si="43"/>
        <v>0</v>
      </c>
      <c r="BX137" s="151">
        <f t="shared" si="44"/>
        <v>0</v>
      </c>
      <c r="BY137" s="226">
        <f>VLOOKUP($A137,IRD!$A$4:$G$139, 7, FALSE)</f>
        <v>0</v>
      </c>
      <c r="BZ137" s="227">
        <f t="array" ref="BZ137">IF($BU137=0, INDEX(LS_current!$D$4:$AY$138, MATCH('Staging Table'!$A137, LS_current!$B$4:$B$138, 0), MATCH(BZ$4&amp;BZ$5, LS_current!$D$2:$AY$2&amp;LS_current!$D$3:$AY$3, 0)),SUM(VLOOKUP($A137, LS_current!$B$4:$AY$138, LS_current!D$148, FALSE), VLOOKUP($A137, LS_current!$B$4:$AY$138,LS_current!D$148, FALSE))/2)</f>
        <v>-2144</v>
      </c>
      <c r="CA137" s="227">
        <f t="array" ref="CA137">IF($BU137=0, INDEX(LS_current!$D$4:$AY$138, MATCH('Staging Table'!$A137, LS_current!$B$4:$B$138, 0), MATCH(CA$4&amp;CA$5, LS_current!$D$2:$AY$2&amp;LS_current!$D$3:$AY$3, 0)),SUM(VLOOKUP($A137, LS_current!$B$4:$AY$138, LS_current!E$148, FALSE), VLOOKUP($A137, LS_current!$B$4:$AY$138,LS_current!E$148, FALSE))/2)</f>
        <v>-182</v>
      </c>
      <c r="CB137" s="227">
        <f t="array" ref="CB137">IF($BU137=0, INDEX(LS_current!$D$4:$AY$138, MATCH('Staging Table'!$A137, LS_current!$B$4:$B$138, 0), MATCH(CB$4&amp;CB$5, LS_current!$D$2:$AY$2&amp;LS_current!$D$3:$AY$3, 0)),SUM(VLOOKUP($A137, LS_current!$B$4:$AY$138, LS_current!F$148, FALSE), VLOOKUP($A137, LS_current!$B$4:$AY$138,LS_current!F$148, FALSE))/2)</f>
        <v>-4165</v>
      </c>
      <c r="CC137" s="227">
        <f t="array" ref="CC137">IF($BU137=0, INDEX(LS_current!$D$4:$AY$138, MATCH('Staging Table'!$A137, LS_current!$B$4:$B$138, 0), MATCH(CC$4&amp;CC$5, LS_current!$D$2:$AY$2&amp;LS_current!$D$3:$AY$3, 0)),SUM(VLOOKUP($A137, LS_current!$B$4:$AY$138, LS_current!G$148, FALSE), VLOOKUP($A137, LS_current!$B$4:$AY$138,LS_current!G$148, FALSE))/2)</f>
        <v>-1561</v>
      </c>
      <c r="CD137" s="227">
        <f t="array" ref="CD137">IF($BU137=0, INDEX(LS_current!$D$4:$AY$138, MATCH('Staging Table'!$A137, LS_current!$B$4:$B$138, 0), MATCH(CD$4&amp;CD$5, LS_current!$D$2:$AY$2&amp;LS_current!$D$3:$AY$3, 0)),SUM(VLOOKUP($A137, LS_current!$B$4:$AY$138, LS_current!H$148, FALSE), VLOOKUP($A137, LS_current!$B$4:$AY$138,LS_current!H$148, FALSE))/2)</f>
        <v>-3652</v>
      </c>
      <c r="CE137" s="227">
        <f t="array" ref="CE137">IF($BU137=0, INDEX(LS_current!$D$4:$AY$138, MATCH('Staging Table'!$A137, LS_current!$B$4:$B$138, 0), MATCH(CE$4&amp;CE$5, LS_current!$D$2:$AY$2&amp;LS_current!$D$3:$AY$3, 0)),SUM(VLOOKUP($A137, LS_current!$B$4:$AY$138, LS_current!I$148, FALSE), VLOOKUP($A137, LS_current!$B$4:$AY$138,LS_current!I$148, FALSE))/2)</f>
        <v>-1566</v>
      </c>
      <c r="CF137" s="227">
        <f t="array" ref="CF137">IF($BU137=0, INDEX(LS_current!$D$4:$AY$138, MATCH('Staging Table'!$A137, LS_current!$B$4:$B$138, 0), MATCH(CF$4&amp;CF$5, LS_current!$D$2:$AY$2&amp;LS_current!$D$3:$AY$3, 0)),SUM(VLOOKUP($A137, LS_current!$B$4:$AY$138, LS_current!J$148, FALSE), VLOOKUP($A137, LS_current!$B$4:$AY$138,LS_current!J$148, FALSE))/2)</f>
        <v>-2373</v>
      </c>
      <c r="CG137" s="227">
        <f t="array" ref="CG137">IF($BU137=0, INDEX(LS_current!$D$4:$AY$138, MATCH('Staging Table'!$A137, LS_current!$B$4:$B$138, 0), MATCH(CG$4&amp;CG$5, LS_current!$D$2:$AY$2&amp;LS_current!$D$3:$AY$3, 0)),SUM(VLOOKUP($A137, LS_current!$B$4:$AY$138, LS_current!K$148, FALSE), VLOOKUP($A137, LS_current!$B$4:$AY$138,LS_current!K$148, FALSE))/2)</f>
        <v>-364</v>
      </c>
      <c r="CH137" s="227">
        <f t="array" ref="CH137">IF($BU137=0, INDEX(LS_current!$D$4:$AY$138, MATCH('Staging Table'!$A137, LS_current!$B$4:$B$138, 0), MATCH(CH$4&amp;CH$5, LS_current!$D$2:$AY$2&amp;LS_current!$D$3:$AY$3, 0)),SUM(VLOOKUP($A137, LS_current!$B$4:$AY$138, LS_current!L$148, FALSE), VLOOKUP($A137, LS_current!$B$4:$AY$138,LS_current!L$148, FALSE))/2)</f>
        <v>-1915</v>
      </c>
      <c r="CI137" s="227">
        <f t="array" ref="CI137">IF($BU137=0, INDEX(LS_current!$D$4:$AY$138, MATCH('Staging Table'!$A137, LS_current!$B$4:$B$138, 0), MATCH(CI$4&amp;CI$5, LS_current!$D$2:$AY$2&amp;LS_current!$D$3:$AY$3, 0)),SUM(VLOOKUP($A137, LS_current!$B$4:$AY$138, LS_current!M$148, FALSE), VLOOKUP($A137, LS_current!$B$4:$AY$138,LS_current!M$148, FALSE))/2)</f>
        <v>-424</v>
      </c>
      <c r="CJ137" s="227">
        <f t="array" ref="CJ137">IF($BU137=0, INDEX(LS_current!$D$4:$AY$138, MATCH('Staging Table'!$A137, LS_current!$B$4:$B$138, 0), MATCH(CJ$4&amp;CJ$5, LS_current!$D$2:$AY$2&amp;LS_current!$D$3:$AY$3, 0)),SUM(VLOOKUP($A137, LS_current!$B$4:$AY$138, LS_current!N$148, FALSE), VLOOKUP($A137, LS_current!$B$4:$AY$138,LS_current!N$148, FALSE))/2)</f>
        <v>-1854</v>
      </c>
      <c r="CK137" s="227">
        <f t="array" ref="CK137">IF($BU137=0, INDEX(LS_current!$D$4:$AY$138, MATCH('Staging Table'!$A137, LS_current!$B$4:$B$138, 0), MATCH(CK$4&amp;CK$5, LS_current!$D$2:$AY$2&amp;LS_current!$D$3:$AY$3, 0)),SUM(VLOOKUP($A137, LS_current!$B$4:$AY$138, LS_current!O$148, FALSE), VLOOKUP($A137, LS_current!$B$4:$AY$138,LS_current!O$148, FALSE))/2)</f>
        <v>-383</v>
      </c>
      <c r="CL137" s="227">
        <f t="array" ref="CL137">IF($BU137=0, INDEX(LS_current!$D$4:$AY$138, MATCH('Staging Table'!$A137, LS_current!$B$4:$B$138, 0), MATCH(CL$4&amp;CL$5, LS_current!$D$2:$AY$2&amp;LS_current!$D$3:$AY$3, 0)),SUM(VLOOKUP($A137, LS_current!$B$4:$AY$138, LS_current!P$148, FALSE), VLOOKUP($A137, LS_current!$B$4:$AY$138,LS_current!P$148, FALSE))/2)</f>
        <v>-510</v>
      </c>
      <c r="CM137" s="227">
        <f t="array" ref="CM137">IF($BU137=0, INDEX(LS_current!$D$4:$AY$138, MATCH('Staging Table'!$A137, LS_current!$B$4:$B$138, 0), MATCH(CM$4&amp;CM$5, LS_current!$D$2:$AY$2&amp;LS_current!$D$3:$AY$3, 0)),SUM(VLOOKUP($A137, LS_current!$B$4:$AY$138, LS_current!Q$148, FALSE), VLOOKUP($A137, LS_current!$B$4:$AY$138,LS_current!Q$148, FALSE))/2)</f>
        <v>450</v>
      </c>
      <c r="CN137" s="227">
        <f t="array" ref="CN137">IF($BU137=0, INDEX(LS_current!$D$4:$AY$138, MATCH('Staging Table'!$A137, LS_current!$B$4:$B$138, 0), MATCH(CN$4&amp;CN$5, LS_current!$D$2:$AY$2&amp;LS_current!$D$3:$AY$3, 0)),SUM(VLOOKUP($A137, LS_current!$B$4:$AY$138, LS_current!R$148, FALSE), VLOOKUP($A137, LS_current!$B$4:$AY$138,LS_current!R$148, FALSE))/2)</f>
        <v>-2714</v>
      </c>
      <c r="CO137" s="227">
        <f t="array" ref="CO137">IF($BU137=0, INDEX(LS_current!$D$4:$AY$138, MATCH('Staging Table'!$A137, LS_current!$B$4:$B$138, 0), MATCH(CO$4&amp;CO$5, LS_current!$D$2:$AY$2&amp;LS_current!$D$3:$AY$3, 0)),SUM(VLOOKUP($A137, LS_current!$B$4:$AY$138, LS_current!S$148, FALSE), VLOOKUP($A137, LS_current!$B$4:$AY$138,LS_current!S$148, FALSE))/2)</f>
        <v>-165</v>
      </c>
      <c r="CP137" s="227">
        <f t="array" ref="CP137">IF($BU137=0, INDEX(LS_current!$D$4:$AY$138, MATCH('Staging Table'!$A137, LS_current!$B$4:$B$138, 0), MATCH(CP$4&amp;CP$5, LS_current!$D$2:$AY$2&amp;LS_current!$D$3:$AY$3, 0)),SUM(VLOOKUP($A137, LS_current!$B$4:$AY$138, LS_current!T$148, FALSE), VLOOKUP($A137, LS_current!$B$4:$AY$138,LS_current!T$148, FALSE))/2)</f>
        <v>-4860</v>
      </c>
      <c r="CQ137" s="227">
        <f t="array" ref="CQ137">IF($BU137=0, INDEX(LS_current!$D$4:$AY$138, MATCH('Staging Table'!$A137, LS_current!$B$4:$B$138, 0), MATCH(CQ$4&amp;CQ$5, LS_current!$D$2:$AY$2&amp;LS_current!$D$3:$AY$3, 0)),SUM(VLOOKUP($A137, LS_current!$B$4:$AY$138, LS_current!U$148, FALSE), VLOOKUP($A137, LS_current!$B$4:$AY$138,LS_current!U$148, FALSE))/2)</f>
        <v>-1659</v>
      </c>
      <c r="CR137" s="227">
        <f t="array" ref="CR137">IF($BU137=0, INDEX(LS_current!$D$4:$AY$138, MATCH('Staging Table'!$A137, LS_current!$B$4:$B$138, 0), MATCH(CR$4&amp;CR$5, LS_current!$D$2:$AY$2&amp;LS_current!$D$3:$AY$3, 0)),SUM(VLOOKUP($A137, LS_current!$B$4:$AY$138, LS_current!V$148, FALSE), VLOOKUP($A137, LS_current!$B$4:$AY$138,LS_current!V$148, FALSE))/2)</f>
        <v>-1772</v>
      </c>
      <c r="CS137" s="227">
        <f t="array" ref="CS137">IF($BU137=0, INDEX(LS_current!$D$4:$AY$138, MATCH('Staging Table'!$A137, LS_current!$B$4:$B$138, 0), MATCH(CS$4&amp;CS$5, LS_current!$D$2:$AY$2&amp;LS_current!$D$3:$AY$3, 0)),SUM(VLOOKUP($A137, LS_current!$B$4:$AY$138, LS_current!W$148, FALSE), VLOOKUP($A137, LS_current!$B$4:$AY$138,LS_current!W$148, FALSE))/2)</f>
        <v>1627</v>
      </c>
      <c r="CT137" s="227">
        <f t="array" ref="CT137">IF($BU137=0, INDEX(LS_current!$D$4:$AY$138, MATCH('Staging Table'!$A137, LS_current!$B$4:$B$138, 0), MATCH(CT$4&amp;CT$5, LS_current!$D$2:$AY$2&amp;LS_current!$D$3:$AY$3, 0)),SUM(VLOOKUP($A137, LS_current!$B$4:$AY$138, LS_current!X$148, FALSE), VLOOKUP($A137, LS_current!$B$4:$AY$138,LS_current!X$148, FALSE))/2)</f>
        <v>-594</v>
      </c>
      <c r="CU137" s="227">
        <f t="array" ref="CU137">IF($BU137=0, INDEX(LS_current!$D$4:$AY$138, MATCH('Staging Table'!$A137, LS_current!$B$4:$B$138, 0), MATCH(CU$4&amp;CU$5, LS_current!$D$2:$AY$2&amp;LS_current!$D$3:$AY$3, 0)),SUM(VLOOKUP($A137, LS_current!$B$4:$AY$138, LS_current!Y$148, FALSE), VLOOKUP($A137, LS_current!$B$4:$AY$138,LS_current!Y$148, FALSE))/2)</f>
        <v>1633</v>
      </c>
      <c r="CV137" s="227">
        <f t="array" ref="CV137">IF($BU137=0, INDEX(LS_current!$D$4:$AY$138, MATCH('Staging Table'!$A137, LS_current!$B$4:$B$138, 0), MATCH(CV$4&amp;CV$5, LS_current!$D$2:$AY$2&amp;LS_current!$D$3:$AY$3, 0)),SUM(VLOOKUP($A137, LS_current!$B$4:$AY$138, LS_current!Z$148, FALSE), VLOOKUP($A137, LS_current!$B$4:$AY$138,LS_current!Z$148, FALSE))/2)</f>
        <v>-164</v>
      </c>
      <c r="CW137" s="227">
        <f t="array" ref="CW137">IF($BU137=0, INDEX(LS_current!$D$4:$AY$138, MATCH('Staging Table'!$A137, LS_current!$B$4:$B$138, 0), MATCH(CW$4&amp;CW$5, LS_current!$D$2:$AY$2&amp;LS_current!$D$3:$AY$3, 0)),SUM(VLOOKUP($A137, LS_current!$B$4:$AY$138, LS_current!AA$148, FALSE), VLOOKUP($A137, LS_current!$B$4:$AY$138,LS_current!AA$148, FALSE))/2)</f>
        <v>1455</v>
      </c>
      <c r="CX137" s="229">
        <f t="array" ref="CX137">INDEX(Demand_current!$D$4:$AY$138, MATCH($A137, Demand_current!$B$4:$B$138, 0), MATCH(CX$4&amp;CX$5,Demand_current!$D$2:$AY$2&amp;Demand_current!$D$3:$AY$3, 0))/1000</f>
        <v>1.863</v>
      </c>
      <c r="CY137" s="229">
        <f t="array" ref="CY137">INDEX(Demand_current!$D$4:$AY$138, MATCH($A137, Demand_current!$B$4:$B$138, 0), MATCH(CY$4&amp;CY$5,Demand_current!$D$2:$AY$2&amp;Demand_current!$D$3:$AY$3, 0))/1000</f>
        <v>1.742</v>
      </c>
      <c r="CZ137" s="229">
        <f t="array" ref="CZ137">INDEX(Demand_current!$D$4:$AY$138, MATCH($A137, Demand_current!$B$4:$B$138, 0), MATCH(CZ$4&amp;CZ$5,Demand_current!$D$2:$AY$2&amp;Demand_current!$D$3:$AY$3, 0))/1000</f>
        <v>1.3340000000000001</v>
      </c>
      <c r="DA137" s="229">
        <f t="array" ref="DA137">INDEX(Demand_current!$D$4:$AY$138, MATCH($A137, Demand_current!$B$4:$B$138, 0), MATCH(DA$4&amp;DA$5,Demand_current!$D$2:$AY$2&amp;Demand_current!$D$3:$AY$3, 0))/1000</f>
        <v>2.1640000000000001</v>
      </c>
      <c r="DB137" s="229">
        <f t="array" ref="DB137">INDEX(Demand_current!$D$4:$AY$138, MATCH($A137, Demand_current!$B$4:$B$138, 0), MATCH(DB$4&amp;DB$5,Demand_current!$D$2:$AY$2&amp;Demand_current!$D$3:$AY$3, 0))/1000</f>
        <v>1.843</v>
      </c>
      <c r="DC137" s="229">
        <f t="array" ref="DC137">INDEX(Demand_current!$D$4:$AY$138, MATCH($A137, Demand_current!$B$4:$B$138, 0), MATCH(DC$4&amp;DC$5,Demand_current!$D$2:$AY$2&amp;Demand_current!$D$3:$AY$3, 0))/1000</f>
        <v>1.5369999999999999</v>
      </c>
      <c r="DD137" s="229">
        <f t="array" ref="DD137">INDEX(Demand_current!$D$4:$AY$138, MATCH($A137, Demand_current!$B$4:$B$138, 0), MATCH(DD$4&amp;DD$5,Demand_current!$D$2:$AY$2&amp;Demand_current!$D$3:$AY$3, 0))/1000</f>
        <v>1.8440000000000001</v>
      </c>
      <c r="DE137" s="229">
        <f t="array" ref="DE137">INDEX(Demand_current!$D$4:$AY$138, MATCH($A137, Demand_current!$B$4:$B$138, 0), MATCH(DE$4&amp;DE$5,Demand_current!$D$2:$AY$2&amp;Demand_current!$D$3:$AY$3, 0))/1000</f>
        <v>0.64600000000000002</v>
      </c>
      <c r="DF137" s="229">
        <f t="array" ref="DF137">INDEX(Demand_current!$D$4:$AY$138, MATCH($A137, Demand_current!$B$4:$B$138, 0), MATCH(DF$4&amp;DF$5,Demand_current!$D$2:$AY$2&amp;Demand_current!$D$3:$AY$3, 0))/1000</f>
        <v>1.825</v>
      </c>
      <c r="DG137" s="229">
        <f t="array" ref="DG137">INDEX(Demand_current!$D$4:$AY$138, MATCH($A137, Demand_current!$B$4:$B$138, 0), MATCH(DG$4&amp;DG$5,Demand_current!$D$2:$AY$2&amp;Demand_current!$D$3:$AY$3, 0))/1000</f>
        <v>2.1880000000000002</v>
      </c>
      <c r="DH137" s="229">
        <f t="array" ref="DH137">INDEX(Demand_current!$D$4:$AY$138, MATCH($A137, Demand_current!$B$4:$B$138, 0), MATCH(DH$4&amp;DH$5,Demand_current!$D$2:$AY$2&amp;Demand_current!$D$3:$AY$3, 0))/1000</f>
        <v>2.1459999999999999</v>
      </c>
      <c r="DI137" s="229">
        <f t="array" ref="DI137">INDEX(Demand_current!$D$4:$AY$138, MATCH($A137, Demand_current!$B$4:$B$138, 0), MATCH(DI$4&amp;DI$5,Demand_current!$D$2:$AY$2&amp;Demand_current!$D$3:$AY$3, 0))/1000</f>
        <v>2.2869999999999999</v>
      </c>
      <c r="DJ137" s="227">
        <f>$BT137*(VLOOKUP(DJ$4, Rates_current!$G$6:$Q$29, 10, FALSE)+VLOOKUP(DJ$4, Rates_current!$G$6:$Q$29, 11, FALSE))</f>
        <v>11297.1899834532</v>
      </c>
      <c r="DK137" s="227">
        <f>$BT137*(VLOOKUP(DK$4, Rates_current!$G$6:$Q$29, 10, FALSE)+VLOOKUP(DK$4, Rates_current!$G$6:$Q$29, 11, FALSE))</f>
        <v>14350.9555058613</v>
      </c>
      <c r="DL137" s="227">
        <f>$BT137*(VLOOKUP(DL$4, Rates_current!$G$6:$Q$29, 10, FALSE)+VLOOKUP(DL$4, Rates_current!$G$6:$Q$29, 11, FALSE))</f>
        <v>14177.648299553201</v>
      </c>
      <c r="DM137" s="227">
        <f>$BT137*(VLOOKUP(DM$4, Rates_current!$G$6:$Q$29, 10, FALSE)+VLOOKUP(DM$4, Rates_current!$G$6:$Q$29, 11, FALSE))</f>
        <v>11817.933377953201</v>
      </c>
      <c r="DN137" s="227">
        <f>$BT137*(VLOOKUP(DN$4, Rates_current!$G$6:$Q$29, 10, FALSE)+VLOOKUP(DN$4, Rates_current!$G$6:$Q$29, 11, FALSE))</f>
        <v>10705.82162456</v>
      </c>
      <c r="DO137" s="227">
        <f>$BT137*(VLOOKUP(DO$4, Rates_current!$G$6:$Q$29, 10, FALSE)+VLOOKUP(DO$4, Rates_current!$G$6:$Q$29, 11, FALSE))</f>
        <v>11908.2746950579</v>
      </c>
      <c r="DP137" s="227">
        <f>$BT137*(VLOOKUP(DP$4, Rates_current!$G$6:$Q$29, 10, FALSE)+VLOOKUP(DP$4, Rates_current!$G$6:$Q$29, 11, FALSE))</f>
        <v>9695.7301070159992</v>
      </c>
      <c r="DQ137" s="227">
        <f>$BT137*(VLOOKUP(DQ$4, Rates_current!$G$6:$Q$29, 10, FALSE)+VLOOKUP(DQ$4, Rates_current!$G$6:$Q$29, 11, FALSE))</f>
        <v>13076.1378428032</v>
      </c>
      <c r="DR137" s="227">
        <f>$BT137*(VLOOKUP(DR$4, Rates_current!$G$6:$Q$29, 10, FALSE)+VLOOKUP(DR$4, Rates_current!$G$6:$Q$29, 11, FALSE))</f>
        <v>16684.262560666</v>
      </c>
      <c r="DS137" s="227">
        <f>$BT137*(VLOOKUP(DS$4, Rates_current!$G$6:$Q$29, 10, FALSE)+VLOOKUP(DS$4, Rates_current!$G$6:$Q$29, 11, FALSE))</f>
        <v>13080.990872253202</v>
      </c>
      <c r="DT137" s="227">
        <f>$BT137*(VLOOKUP(DT$4, Rates_current!$G$6:$Q$29, 10, FALSE)+VLOOKUP(DT$4, Rates_current!$G$6:$Q$29, 11, FALSE))</f>
        <v>12738.280379903201</v>
      </c>
      <c r="DU137" s="227">
        <f>$BT137*(VLOOKUP(DU$4, Rates_current!$G$6:$Q$29, 10, FALSE)+VLOOKUP(DU$4, Rates_current!$G$6:$Q$29, 11, FALSE))</f>
        <v>11436.265999716001</v>
      </c>
      <c r="DV137" s="229">
        <f>IF(D137=0,IF(C137=0,MAX(0,DY137 - (VLOOKUP($A137,TOCA_current!$A$2:$AI$137,MATCH("RHWM 2020",TOCA_current!$A$2:$AI$2,0),FALSE)*$BT$2)), 0),0)</f>
        <v>0</v>
      </c>
      <c r="DW137" s="266">
        <f>VLOOKUP($A137,REP_current!$A$1:$D$135,MATCH("FY "&amp;$BT$1&amp; " Total Refund",REP_current!$A$1:$D$1,0),0)</f>
        <v>0</v>
      </c>
      <c r="DX137" s="295">
        <f>MIN(VLOOKUP($A137,TOCA_current!$A$2:$AI$137,MATCH("TRL - NLSL - Existing Resource "&amp;$BT$1,TOCA_current!$A$2:$AI$2,0),FALSE)*$BT$2, VLOOKUP($A137,TOCA_current!$A$2:$AI$137,MATCH("RHWM 2020",TOCA_current!$A$2:$AI$2,0),FALSE)*$BT$2)</f>
        <v>150970.60800000001</v>
      </c>
      <c r="DY137" s="240">
        <f>SUM(BZ137:CW137)+(BT137*RT1SC!$C$4*$BT$2)</f>
        <v>123113.49691535358</v>
      </c>
      <c r="DZ137" s="271">
        <f>VLOOKUP($A137,TOCA_current!$A$2:$AI$137,MATCH("Above RHWM Not Served with LS "&amp;$BT$1,TOCA_current!$A$2:$AI$2,0),FALSE)*$BT$2</f>
        <v>41196.960000000006</v>
      </c>
      <c r="EA137" s="244">
        <f t="shared" si="45"/>
        <v>-27857.111084646429</v>
      </c>
      <c r="EB137" s="295">
        <f>(VLOOKUP($A137,TOCA_current!$A$2:$AI$137,MATCH("RHWM 2020",TOCA_current!$A$2:$AI$2,0),FALSE)*$BT$2) - $DX137</f>
        <v>0</v>
      </c>
      <c r="EC137" s="240">
        <f t="shared" si="46"/>
        <v>0</v>
      </c>
      <c r="ED137" s="240">
        <f t="shared" si="47"/>
        <v>0</v>
      </c>
      <c r="EE137" s="240">
        <f t="shared" si="48"/>
        <v>0</v>
      </c>
      <c r="EF137" s="240">
        <f t="shared" si="49"/>
        <v>0</v>
      </c>
    </row>
    <row r="138" spans="1:136">
      <c r="A138" s="166">
        <v>11680</v>
      </c>
      <c r="B138" s="167" t="s">
        <v>138</v>
      </c>
      <c r="C138" s="240">
        <v>0</v>
      </c>
      <c r="D138" s="240">
        <v>0</v>
      </c>
      <c r="E138" s="150">
        <f>VLOOKUP($A138,TOCA_previous!$A$2:$AI$137,MATCH(E$4,TOCA_previous!$A$2:$AI$2,0),FALSE)</f>
        <v>8.966E-4</v>
      </c>
      <c r="F138" s="151">
        <f>VLOOKUP($A138,TOCA_previous!$A$2:$AI$137,MATCH(F$4,TOCA_previous!$A$2:$AI$2,0),FALSE)</f>
        <v>8.966E-4</v>
      </c>
      <c r="G138" s="151">
        <f t="shared" si="34"/>
        <v>0</v>
      </c>
      <c r="H138" s="151">
        <f>VLOOKUP($A138,TOCA_previous!$A$2:$AI$137,MATCH(H$4,TOCA_previous!$A$2:$AI$2,0),FALSE)</f>
        <v>0</v>
      </c>
      <c r="I138" s="151">
        <f t="shared" si="35"/>
        <v>0</v>
      </c>
      <c r="J138" s="151">
        <f t="shared" si="36"/>
        <v>0</v>
      </c>
      <c r="K138" s="226">
        <f>VLOOKUP(A138, IRD!$A$5:$C$139, 3, FALSE)</f>
        <v>0</v>
      </c>
      <c r="L138" s="227">
        <f t="array" ref="L138">IF($G138=0, INDEX(LS_previous!$D$4:$AY$138, MATCH('Staging Table'!$A138, LS_previous!$B$4:$B$138, 0), MATCH(L$4&amp;L$5, LS_previous!$D$2:$AY$2&amp;LS_previous!$D$3:$AY$3, 0)),SUM(VLOOKUP($A138, LS_previous!$B$4:$AY$138, LS_previous!D$149, FALSE), VLOOKUP('Staging Table'!$A138, LS_previous!$B$4:$AY$138,LS_previous!AB$149, FALSE))/2)</f>
        <v>-46</v>
      </c>
      <c r="M138" s="227">
        <f t="array" ref="M138">IF($G138=0, INDEX(LS_previous!$D$4:$AY$138, MATCH('Staging Table'!$A138, LS_previous!$B$4:$B$138, 0), MATCH(M$4&amp;M$5, LS_previous!$D$2:$AY$2&amp;LS_previous!$D$3:$AY$3, 0)),SUM(VLOOKUP($A138, LS_previous!$B$4:$AY$138, LS_previous!E$149, FALSE), VLOOKUP('Staging Table'!$A138, LS_previous!$B$4:$AY$138,LS_previous!AC$149, FALSE))/2)</f>
        <v>-28</v>
      </c>
      <c r="N138" s="227">
        <f t="array" ref="N138">IF($G138=0, INDEX(LS_previous!$D$4:$AY$138, MATCH('Staging Table'!$A138, LS_previous!$B$4:$B$138, 0), MATCH(N$4&amp;N$5, LS_previous!$D$2:$AY$2&amp;LS_previous!$D$3:$AY$3, 0)),SUM(VLOOKUP($A138, LS_previous!$B$4:$AY$138, LS_previous!F$149, FALSE), VLOOKUP('Staging Table'!$A138, LS_previous!$B$4:$AY$138,LS_previous!AD$149, FALSE))/2)</f>
        <v>-302</v>
      </c>
      <c r="O138" s="227">
        <f t="array" ref="O138">IF($G138=0, INDEX(LS_previous!$D$4:$AY$138, MATCH('Staging Table'!$A138, LS_previous!$B$4:$B$138, 0), MATCH(O$4&amp;O$5, LS_previous!$D$2:$AY$2&amp;LS_previous!$D$3:$AY$3, 0)),SUM(VLOOKUP($A138, LS_previous!$B$4:$AY$138, LS_previous!G$149, FALSE), VLOOKUP('Staging Table'!$A138, LS_previous!$B$4:$AY$138,LS_previous!AE$149, FALSE))/2)</f>
        <v>-36</v>
      </c>
      <c r="P138" s="227">
        <f t="array" ref="P138">IF($G138=0, INDEX(LS_previous!$D$4:$AY$138, MATCH('Staging Table'!$A138, LS_previous!$B$4:$B$138, 0), MATCH(P$4&amp;P$5, LS_previous!$D$2:$AY$2&amp;LS_previous!$D$3:$AY$3, 0)),SUM(VLOOKUP($A138, LS_previous!$B$4:$AY$138, LS_previous!H$149, FALSE), VLOOKUP('Staging Table'!$A138, LS_previous!$B$4:$AY$138,LS_previous!AF$149, FALSE))/2)</f>
        <v>247</v>
      </c>
      <c r="Q138" s="227">
        <f t="array" ref="Q138">IF($G138=0, INDEX(LS_previous!$D$4:$AY$138, MATCH('Staging Table'!$A138, LS_previous!$B$4:$B$138, 0), MATCH(Q$4&amp;Q$5, LS_previous!$D$2:$AY$2&amp;LS_previous!$D$3:$AY$3, 0)),SUM(VLOOKUP($A138, LS_previous!$B$4:$AY$138, LS_previous!I$149, FALSE), VLOOKUP('Staging Table'!$A138, LS_previous!$B$4:$AY$138,LS_previous!AG$149, FALSE))/2)</f>
        <v>464</v>
      </c>
      <c r="R138" s="227">
        <f t="array" ref="R138">IF($G138=0, INDEX(LS_previous!$D$4:$AY$138, MATCH('Staging Table'!$A138, LS_previous!$B$4:$B$138, 0), MATCH(R$4&amp;R$5, LS_previous!$D$2:$AY$2&amp;LS_previous!$D$3:$AY$3, 0)),SUM(VLOOKUP($A138, LS_previous!$B$4:$AY$138, LS_previous!J$149, FALSE), VLOOKUP('Staging Table'!$A138, LS_previous!$B$4:$AY$138,LS_previous!AH$149, FALSE))/2)</f>
        <v>679</v>
      </c>
      <c r="S138" s="227">
        <f t="array" ref="S138">IF($G138=0, INDEX(LS_previous!$D$4:$AY$138, MATCH('Staging Table'!$A138, LS_previous!$B$4:$B$138, 0), MATCH(S$4&amp;S$5, LS_previous!$D$2:$AY$2&amp;LS_previous!$D$3:$AY$3, 0)),SUM(VLOOKUP($A138, LS_previous!$B$4:$AY$138, LS_previous!K$149, FALSE), VLOOKUP('Staging Table'!$A138, LS_previous!$B$4:$AY$138,LS_previous!AI$149, FALSE))/2)</f>
        <v>504</v>
      </c>
      <c r="T138" s="227">
        <f t="array" ref="T138">IF($G138=0, INDEX(LS_previous!$D$4:$AY$138, MATCH('Staging Table'!$A138, LS_previous!$B$4:$B$138, 0), MATCH(T$4&amp;T$5, LS_previous!$D$2:$AY$2&amp;LS_previous!$D$3:$AY$3, 0)),SUM(VLOOKUP($A138, LS_previous!$B$4:$AY$138, LS_previous!L$149, FALSE), VLOOKUP('Staging Table'!$A138, LS_previous!$B$4:$AY$138,LS_previous!AJ$149, FALSE))/2)</f>
        <v>764</v>
      </c>
      <c r="U138" s="227">
        <f t="array" ref="U138">IF($G138=0, INDEX(LS_previous!$D$4:$AY$138, MATCH('Staging Table'!$A138, LS_previous!$B$4:$B$138, 0), MATCH(U$4&amp;U$5, LS_previous!$D$2:$AY$2&amp;LS_previous!$D$3:$AY$3, 0)),SUM(VLOOKUP($A138, LS_previous!$B$4:$AY$138, LS_previous!M$149, FALSE), VLOOKUP('Staging Table'!$A138, LS_previous!$B$4:$AY$138,LS_previous!AK$149, FALSE))/2)</f>
        <v>480</v>
      </c>
      <c r="V138" s="227">
        <f t="array" ref="V138">IF($G138=0, INDEX(LS_previous!$D$4:$AY$138, MATCH('Staging Table'!$A138, LS_previous!$B$4:$B$138, 0), MATCH(V$4&amp;V$5, LS_previous!$D$2:$AY$2&amp;LS_previous!$D$3:$AY$3, 0)),SUM(VLOOKUP($A138, LS_previous!$B$4:$AY$138, LS_previous!N$149, FALSE), VLOOKUP('Staging Table'!$A138, LS_previous!$B$4:$AY$138,LS_previous!AL$149, FALSE))/2)</f>
        <v>32</v>
      </c>
      <c r="W138" s="227">
        <f t="array" ref="W138">IF($G138=0, INDEX(LS_previous!$D$4:$AY$138, MATCH('Staging Table'!$A138, LS_previous!$B$4:$B$138, 0), MATCH(W$4&amp;W$5, LS_previous!$D$2:$AY$2&amp;LS_previous!$D$3:$AY$3, 0)),SUM(VLOOKUP($A138, LS_previous!$B$4:$AY$138, LS_previous!O$149, FALSE), VLOOKUP('Staging Table'!$A138, LS_previous!$B$4:$AY$138,LS_previous!AM$149, FALSE))/2)</f>
        <v>118</v>
      </c>
      <c r="X138" s="227">
        <f t="array" ref="X138">IF($G138=0, INDEX(LS_previous!$D$4:$AY$138, MATCH('Staging Table'!$A138, LS_previous!$B$4:$B$138, 0), MATCH(X$4&amp;X$5, LS_previous!$D$2:$AY$2&amp;LS_previous!$D$3:$AY$3, 0)),SUM(VLOOKUP($A138, LS_previous!$B$4:$AY$138, LS_previous!P$149, FALSE), VLOOKUP('Staging Table'!$A138, LS_previous!$B$4:$AY$138,LS_previous!AN$149, FALSE))/2)</f>
        <v>-105</v>
      </c>
      <c r="Y138" s="227">
        <f t="array" ref="Y138">IF($G138=0, INDEX(LS_previous!$D$4:$AY$138, MATCH('Staging Table'!$A138, LS_previous!$B$4:$B$138, 0), MATCH(Y$4&amp;Y$5, LS_previous!$D$2:$AY$2&amp;LS_previous!$D$3:$AY$3, 0)),SUM(VLOOKUP($A138, LS_previous!$B$4:$AY$138, LS_previous!Q$149, FALSE), VLOOKUP('Staging Table'!$A138, LS_previous!$B$4:$AY$138,LS_previous!AO$149, FALSE))/2)</f>
        <v>-60</v>
      </c>
      <c r="Z138" s="227">
        <f t="array" ref="Z138">IF($G138=0, INDEX(LS_previous!$D$4:$AY$138, MATCH('Staging Table'!$A138, LS_previous!$B$4:$B$138, 0), MATCH(Z$4&amp;Z$5, LS_previous!$D$2:$AY$2&amp;LS_previous!$D$3:$AY$3, 0)),SUM(VLOOKUP($A138, LS_previous!$B$4:$AY$138, LS_previous!R$149, FALSE), VLOOKUP('Staging Table'!$A138, LS_previous!$B$4:$AY$138,LS_previous!AP$149, FALSE))/2)</f>
        <v>-1441</v>
      </c>
      <c r="AA138" s="227">
        <f t="array" ref="AA138">IF($G138=0, INDEX(LS_previous!$D$4:$AY$138, MATCH('Staging Table'!$A138, LS_previous!$B$4:$B$138, 0), MATCH(AA$4&amp;AA$5, LS_previous!$D$2:$AY$2&amp;LS_previous!$D$3:$AY$3, 0)),SUM(VLOOKUP($A138, LS_previous!$B$4:$AY$138, LS_previous!S$149, FALSE), VLOOKUP('Staging Table'!$A138, LS_previous!$B$4:$AY$138,LS_previous!AQ$149, FALSE))/2)</f>
        <v>-671</v>
      </c>
      <c r="AB138" s="227">
        <f t="array" ref="AB138">IF($G138=0, INDEX(LS_previous!$D$4:$AY$138, MATCH('Staging Table'!$A138, LS_previous!$B$4:$B$138, 0), MATCH(AB$4&amp;AB$5, LS_previous!$D$2:$AY$2&amp;LS_previous!$D$3:$AY$3, 0)),SUM(VLOOKUP($A138, LS_previous!$B$4:$AY$138, LS_previous!T$149, FALSE), VLOOKUP('Staging Table'!$A138, LS_previous!$B$4:$AY$138,LS_previous!AR$149, FALSE))/2)</f>
        <v>-478</v>
      </c>
      <c r="AC138" s="227">
        <f t="array" ref="AC138">IF($G138=0, INDEX(LS_previous!$D$4:$AY$138, MATCH('Staging Table'!$A138, LS_previous!$B$4:$B$138, 0), MATCH(AC$4&amp;AC$5, LS_previous!$D$2:$AY$2&amp;LS_previous!$D$3:$AY$3, 0)),SUM(VLOOKUP($A138, LS_previous!$B$4:$AY$138, LS_previous!U$149, FALSE), VLOOKUP('Staging Table'!$A138, LS_previous!$B$4:$AY$138,LS_previous!AS$149, FALSE))/2)</f>
        <v>-280</v>
      </c>
      <c r="AD138" s="227">
        <f t="array" ref="AD138">IF($G138=0, INDEX(LS_previous!$D$4:$AY$138, MATCH('Staging Table'!$A138, LS_previous!$B$4:$B$138, 0), MATCH(AD$4&amp;AD$5, LS_previous!$D$2:$AY$2&amp;LS_previous!$D$3:$AY$3, 0)),SUM(VLOOKUP($A138, LS_previous!$B$4:$AY$138, LS_previous!V$149, FALSE), VLOOKUP('Staging Table'!$A138, LS_previous!$B$4:$AY$138,LS_previous!AT$149, FALSE))/2)</f>
        <v>566</v>
      </c>
      <c r="AE138" s="227">
        <f t="array" ref="AE138">IF($G138=0, INDEX(LS_previous!$D$4:$AY$138, MATCH('Staging Table'!$A138, LS_previous!$B$4:$B$138, 0), MATCH(AE$4&amp;AE$5, LS_previous!$D$2:$AY$2&amp;LS_previous!$D$3:$AY$3, 0)),SUM(VLOOKUP($A138, LS_previous!$B$4:$AY$138, LS_previous!W$149, FALSE), VLOOKUP('Staging Table'!$A138, LS_previous!$B$4:$AY$138,LS_previous!AU$149, FALSE))/2)</f>
        <v>369</v>
      </c>
      <c r="AF138" s="227">
        <f t="array" ref="AF138">IF($G138=0, INDEX(LS_previous!$D$4:$AY$138, MATCH('Staging Table'!$A138, LS_previous!$B$4:$B$138, 0), MATCH(AF$4&amp;AF$5, LS_previous!$D$2:$AY$2&amp;LS_previous!$D$3:$AY$3, 0)),SUM(VLOOKUP($A138, LS_previous!$B$4:$AY$138, LS_previous!X$149, FALSE), VLOOKUP('Staging Table'!$A138, LS_previous!$B$4:$AY$138,LS_previous!AV$149, FALSE))/2)</f>
        <v>99</v>
      </c>
      <c r="AG138" s="227">
        <f t="array" ref="AG138">IF($G138=0, INDEX(LS_previous!$D$4:$AY$138, MATCH('Staging Table'!$A138, LS_previous!$B$4:$B$138, 0), MATCH(AG$4&amp;AG$5, LS_previous!$D$2:$AY$2&amp;LS_previous!$D$3:$AY$3, 0)),SUM(VLOOKUP($A138, LS_previous!$B$4:$AY$138, LS_previous!Y$149, FALSE), VLOOKUP('Staging Table'!$A138, LS_previous!$B$4:$AY$138,LS_previous!AW$149, FALSE))/2)</f>
        <v>214</v>
      </c>
      <c r="AH138" s="227">
        <f t="array" ref="AH138">IF($G138=0, INDEX(LS_previous!$D$4:$AY$138, MATCH('Staging Table'!$A138, LS_previous!$B$4:$B$138, 0), MATCH(AH$4&amp;AH$5, LS_previous!$D$2:$AY$2&amp;LS_previous!$D$3:$AY$3, 0)),SUM(VLOOKUP($A138, LS_previous!$B$4:$AY$138, LS_previous!Z$149, FALSE), VLOOKUP('Staging Table'!$A138, LS_previous!$B$4:$AY$138,LS_previous!AX$149, FALSE))/2)</f>
        <v>-124</v>
      </c>
      <c r="AI138" s="227">
        <f t="array" ref="AI138">IF($G138=0, INDEX(LS_previous!$D$4:$AY$138, MATCH('Staging Table'!$A138, LS_previous!$B$4:$B$138, 0), MATCH(AI$4&amp;AI$5, LS_previous!$D$2:$AY$2&amp;LS_previous!$D$3:$AY$3, 0)),SUM(VLOOKUP($A138, LS_previous!$B$4:$AY$138, LS_previous!AA$149, FALSE), VLOOKUP('Staging Table'!$A138, LS_previous!$B$4:$AY$138,LS_previous!AY$149, FALSE))/2)</f>
        <v>-76</v>
      </c>
      <c r="AJ138" s="424">
        <f t="array" ref="AJ138">INDEX(Demand_previous!$D$4:$AY$138, MATCH('Staging Table'!$A138, Demand_previous!$B$4:$B$138, 0), MATCH(AJ$4&amp;AJ$5,Demand_previous!$D$2:$AY$2&amp;Demand_previous!$D$3:$AY$3, 0))/1000</f>
        <v>0</v>
      </c>
      <c r="AK138" s="424">
        <f t="array" ref="AK138">INDEX(Demand_previous!$D$4:$AY$138, MATCH('Staging Table'!$A138, Demand_previous!$B$4:$B$138, 0), MATCH(AK$4&amp;AK$5,Demand_previous!$D$2:$AY$2&amp;Demand_previous!$D$3:$AY$3, 0))/1000</f>
        <v>0.39600000000000002</v>
      </c>
      <c r="AL138" s="424">
        <f t="array" ref="AL138">INDEX(Demand_previous!$D$4:$AY$138, MATCH('Staging Table'!$A138, Demand_previous!$B$4:$B$138, 0), MATCH(AL$4&amp;AL$5,Demand_previous!$D$2:$AY$2&amp;Demand_previous!$D$3:$AY$3, 0))/1000</f>
        <v>0.376</v>
      </c>
      <c r="AM138" s="424">
        <f t="array" ref="AM138">INDEX(Demand_previous!$D$4:$AY$138, MATCH('Staging Table'!$A138, Demand_previous!$B$4:$B$138, 0), MATCH(AM$4&amp;AM$5,Demand_previous!$D$2:$AY$2&amp;Demand_previous!$D$3:$AY$3, 0))/1000</f>
        <v>1.341</v>
      </c>
      <c r="AN138" s="424">
        <f t="array" ref="AN138">INDEX(Demand_previous!$D$4:$AY$138, MATCH('Staging Table'!$A138, Demand_previous!$B$4:$B$138, 0), MATCH(AN$4&amp;AN$5,Demand_previous!$D$2:$AY$2&amp;Demand_previous!$D$3:$AY$3, 0))/1000</f>
        <v>0.54600000000000004</v>
      </c>
      <c r="AO138" s="424">
        <f t="array" ref="AO138">INDEX(Demand_previous!$D$4:$AY$138, MATCH('Staging Table'!$A138, Demand_previous!$B$4:$B$138, 0), MATCH(AO$4&amp;AO$5,Demand_previous!$D$2:$AY$2&amp;Demand_previous!$D$3:$AY$3, 0))/1000</f>
        <v>1.026</v>
      </c>
      <c r="AP138" s="424">
        <f t="array" ref="AP138">INDEX(Demand_previous!$D$4:$AY$138, MATCH('Staging Table'!$A138, Demand_previous!$B$4:$B$138, 0), MATCH(AP$4&amp;AP$5,Demand_previous!$D$2:$AY$2&amp;Demand_previous!$D$3:$AY$3, 0))/1000</f>
        <v>0</v>
      </c>
      <c r="AQ138" s="424">
        <f t="array" ref="AQ138">INDEX(Demand_previous!$D$4:$AY$138, MATCH('Staging Table'!$A138, Demand_previous!$B$4:$B$138, 0), MATCH(AQ$4&amp;AQ$5,Demand_previous!$D$2:$AY$2&amp;Demand_previous!$D$3:$AY$3, 0))/1000</f>
        <v>1.052</v>
      </c>
      <c r="AR138" s="424">
        <f t="array" ref="AR138">INDEX(Demand_previous!$D$4:$AY$138, MATCH('Staging Table'!$A138, Demand_previous!$B$4:$B$138, 0), MATCH(AR$4&amp;AR$5,Demand_previous!$D$2:$AY$2&amp;Demand_previous!$D$3:$AY$3, 0))/1000</f>
        <v>0.64600000000000002</v>
      </c>
      <c r="AS138" s="424">
        <f t="array" ref="AS138">INDEX(Demand_previous!$D$4:$AY$138, MATCH('Staging Table'!$A138, Demand_previous!$B$4:$B$138, 0), MATCH(AS$4&amp;AS$5,Demand_previous!$D$2:$AY$2&amp;Demand_previous!$D$3:$AY$3, 0))/1000</f>
        <v>1.1910000000000001</v>
      </c>
      <c r="AT138" s="424">
        <f t="array" ref="AT138">INDEX(Demand_previous!$D$4:$AY$138, MATCH('Staging Table'!$A138, Demand_previous!$B$4:$B$138, 0), MATCH(AT$4&amp;AT$5,Demand_previous!$D$2:$AY$2&amp;Demand_previous!$D$3:$AY$3, 0))/1000</f>
        <v>0.55700000000000005</v>
      </c>
      <c r="AU138" s="424">
        <f t="array" ref="AU138">INDEX(Demand_previous!$D$4:$AY$138, MATCH('Staging Table'!$A138, Demand_previous!$B$4:$B$138, 0), MATCH(AU$4&amp;AU$5,Demand_previous!$D$2:$AY$2&amp;Demand_previous!$D$3:$AY$3, 0))/1000</f>
        <v>0.25</v>
      </c>
      <c r="AV138" s="227">
        <f>$F138*(VLOOKUP(AV$4, Rates_previous!$G$6:$Q$29, 10, FALSE)+VLOOKUP(AV$4, Rates_previous!$G$6:$Q$29, 11, FALSE))</f>
        <v>4204.0119377584251</v>
      </c>
      <c r="AW138" s="227">
        <f>$F138*(VLOOKUP(AW$4, Rates_previous!$G$6:$Q$29, 10, FALSE)+VLOOKUP(AW$4, Rates_previous!$G$6:$Q$29, 11, FALSE))</f>
        <v>5195.8392332289732</v>
      </c>
      <c r="AX138" s="227">
        <f>$F138*(VLOOKUP(AX$4, Rates_previous!$G$6:$Q$29, 10, FALSE)+VLOOKUP(AX$4, Rates_previous!$G$6:$Q$29, 11, FALSE))</f>
        <v>5133.4434185617911</v>
      </c>
      <c r="AY138" s="227">
        <f>$F138*(VLOOKUP(AY$4, Rates_previous!$G$6:$Q$29, 10, FALSE)+VLOOKUP(AY$4, Rates_previous!$G$6:$Q$29, 11, FALSE))</f>
        <v>4386.0381031924562</v>
      </c>
      <c r="AZ138" s="227">
        <f>$F138*(VLOOKUP(AZ$4, Rates_previous!$G$6:$Q$29, 10, FALSE)+VLOOKUP(AZ$4, Rates_previous!$G$6:$Q$29, 11, FALSE))</f>
        <v>3595.7004797721347</v>
      </c>
      <c r="BA138" s="227">
        <f>$F138*(VLOOKUP(BA$4, Rates_previous!$G$6:$Q$29, 10, FALSE)+VLOOKUP(BA$4, Rates_previous!$G$6:$Q$29, 11, FALSE))</f>
        <v>4257.1787600876251</v>
      </c>
      <c r="BB138" s="227">
        <f>$F138*(VLOOKUP(BB$4, Rates_previous!$G$6:$Q$29, 10, FALSE)+VLOOKUP(BB$4, Rates_previous!$G$6:$Q$29, 11, FALSE))</f>
        <v>4091.7680328742781</v>
      </c>
      <c r="BC138" s="227">
        <f>$F138*(VLOOKUP(BC$4, Rates_previous!$G$6:$Q$29, 10, FALSE)+VLOOKUP(BC$4, Rates_previous!$G$6:$Q$29, 11, FALSE))</f>
        <v>6004.3800434948098</v>
      </c>
      <c r="BD138" s="227">
        <f>$F138*(VLOOKUP(BD$4, Rates_previous!$G$6:$Q$29, 10, FALSE)+VLOOKUP(BD$4, Rates_previous!$G$6:$Q$29, 11, FALSE))</f>
        <v>4737.2971566184087</v>
      </c>
      <c r="BE138" s="227">
        <f>$F138*(VLOOKUP(BE$4, Rates_previous!$G$6:$Q$29, 10, FALSE)+VLOOKUP(BE$4, Rates_previous!$G$6:$Q$29, 11, FALSE))</f>
        <v>4159.7445310597977</v>
      </c>
      <c r="BF138" s="227">
        <f>$F138*(VLOOKUP(BF$4, Rates_previous!$G$6:$Q$29, 10, FALSE)+VLOOKUP(BF$4, Rates_previous!$G$6:$Q$29, 11, FALSE))</f>
        <v>4607.0835732081823</v>
      </c>
      <c r="BG138" s="227">
        <f>$F138*(VLOOKUP(BG$4, Rates_previous!$G$6:$Q$29, 10, FALSE)+VLOOKUP(BG$4, Rates_previous!$G$6:$Q$29, 11, FALSE))</f>
        <v>4173.8345050955113</v>
      </c>
      <c r="BH138" s="229">
        <f>IF($D138=0,IF(C138=0, MAX(BK138 - (VLOOKUP($A138,TOCA_previous!$A$2:$AI$137,MATCH("RHWM 2018",TOCA_previous!$A$2:$AI$2,0),FALSE)*$F$2*TOCA_previous!C135),0),0), 0)</f>
        <v>886.80057073599164</v>
      </c>
      <c r="BI138" s="266">
        <f>VLOOKUP($A138,REP_previous!$A$1:$D$135,MATCH("FY "&amp;$F$1&amp; " Total Refund",REP_previous!$A$1:$D$1,0),0)</f>
        <v>35565.732405704002</v>
      </c>
      <c r="BJ138" s="241">
        <f>MIN(VLOOKUP($A138,TOCA_previous!$A$2:$AI$137,MATCH("TRL - NLSL - Existing Resource "&amp;$F$1,TOCA_previous!$A$2:$AI$2,0),FALSE)*$F$2,(VLOOKUP($A138,TOCA_previous!$A$2:$AI$137,MATCH("RHWM 2018",TOCA_previous!$A$2:$AI$2,0),FALSE)*$F$2))</f>
        <v>54548.520000000004</v>
      </c>
      <c r="BK138" s="229">
        <f>SUM(L138:AI138)+(F138*RT1SC!$C$3*$F$2)</f>
        <v>55435.320570735996</v>
      </c>
      <c r="BL138" s="241">
        <f>VLOOKUP($A138,TOCA_previous!$A$2:$AI$137,MATCH("Above RHWM Not Served with LS "&amp;$F$1,TOCA_previous!$A$2:$AI$2,0),FALSE)*$F$2</f>
        <v>0</v>
      </c>
      <c r="BM138" s="151">
        <f t="shared" si="37"/>
        <v>886.80057073599164</v>
      </c>
      <c r="BN138" s="242">
        <f>(VLOOKUP($A138,TOCA_previous!$A$2:$AI$137,MATCH("RHWM 2018",TOCA_previous!$A$2:$AI$2,0),FALSE)*$F$2) - $BJ138</f>
        <v>0</v>
      </c>
      <c r="BO138" s="151">
        <f t="shared" si="38"/>
        <v>0</v>
      </c>
      <c r="BP138" s="243">
        <f t="shared" si="39"/>
        <v>0</v>
      </c>
      <c r="BQ138" s="237">
        <f t="shared" si="40"/>
        <v>0</v>
      </c>
      <c r="BR138" s="242">
        <f t="shared" si="41"/>
        <v>0</v>
      </c>
      <c r="BS138" s="151">
        <f>VLOOKUP($A138,TOCA_current!$A$2:$AI$137,MATCH(BS$4,TOCA_current!$A$2:$AI$2,0),FALSE)</f>
        <v>8.9610000000000004E-4</v>
      </c>
      <c r="BT138" s="151">
        <f>VLOOKUP($A138,TOCA_current!$A$2:$AI$137,MATCH(BT$4,TOCA_current!$A$2:$AI$2,0),FALSE)</f>
        <v>8.9610000000000004E-4</v>
      </c>
      <c r="BU138" s="236">
        <f t="shared" si="42"/>
        <v>0</v>
      </c>
      <c r="BV138" s="151">
        <f>VLOOKUP($A138,TOCA_current!A134:BG269,MATCH(BV$4,TOCA_current!$A$2:$BG$2,0),FALSE)</f>
        <v>0</v>
      </c>
      <c r="BW138" s="151">
        <f t="shared" si="43"/>
        <v>0</v>
      </c>
      <c r="BX138" s="151">
        <f t="shared" si="44"/>
        <v>0</v>
      </c>
      <c r="BY138" s="226">
        <f>VLOOKUP($A138,IRD!$A$4:$G$139, 7, FALSE)</f>
        <v>0</v>
      </c>
      <c r="BZ138" s="227">
        <f t="array" ref="BZ138">IF($BU138=0, INDEX(LS_current!$D$4:$AY$138, MATCH('Staging Table'!$A138, LS_current!$B$4:$B$138, 0), MATCH(BZ$4&amp;BZ$5, LS_current!$D$2:$AY$2&amp;LS_current!$D$3:$AY$3, 0)),SUM(VLOOKUP($A138, LS_current!$B$4:$AY$138, LS_current!D$148, FALSE), VLOOKUP($A138, LS_current!$B$4:$AY$138,LS_current!D$148, FALSE))/2)</f>
        <v>-8</v>
      </c>
      <c r="CA138" s="227">
        <f t="array" ref="CA138">IF($BU138=0, INDEX(LS_current!$D$4:$AY$138, MATCH('Staging Table'!$A138, LS_current!$B$4:$B$138, 0), MATCH(CA$4&amp;CA$5, LS_current!$D$2:$AY$2&amp;LS_current!$D$3:$AY$3, 0)),SUM(VLOOKUP($A138, LS_current!$B$4:$AY$138, LS_current!E$148, FALSE), VLOOKUP($A138, LS_current!$B$4:$AY$138,LS_current!E$148, FALSE))/2)</f>
        <v>0</v>
      </c>
      <c r="CB138" s="227">
        <f t="array" ref="CB138">IF($BU138=0, INDEX(LS_current!$D$4:$AY$138, MATCH('Staging Table'!$A138, LS_current!$B$4:$B$138, 0), MATCH(CB$4&amp;CB$5, LS_current!$D$2:$AY$2&amp;LS_current!$D$3:$AY$3, 0)),SUM(VLOOKUP($A138, LS_current!$B$4:$AY$138, LS_current!F$148, FALSE), VLOOKUP($A138, LS_current!$B$4:$AY$138,LS_current!F$148, FALSE))/2)</f>
        <v>-323</v>
      </c>
      <c r="CC138" s="227">
        <f t="array" ref="CC138">IF($BU138=0, INDEX(LS_current!$D$4:$AY$138, MATCH('Staging Table'!$A138, LS_current!$B$4:$B$138, 0), MATCH(CC$4&amp;CC$5, LS_current!$D$2:$AY$2&amp;LS_current!$D$3:$AY$3, 0)),SUM(VLOOKUP($A138, LS_current!$B$4:$AY$138, LS_current!G$148, FALSE), VLOOKUP($A138, LS_current!$B$4:$AY$138,LS_current!G$148, FALSE))/2)</f>
        <v>-75</v>
      </c>
      <c r="CD138" s="227">
        <f t="array" ref="CD138">IF($BU138=0, INDEX(LS_current!$D$4:$AY$138, MATCH('Staging Table'!$A138, LS_current!$B$4:$B$138, 0), MATCH(CD$4&amp;CD$5, LS_current!$D$2:$AY$2&amp;LS_current!$D$3:$AY$3, 0)),SUM(VLOOKUP($A138, LS_current!$B$4:$AY$138, LS_current!H$148, FALSE), VLOOKUP($A138, LS_current!$B$4:$AY$138,LS_current!H$148, FALSE))/2)</f>
        <v>220</v>
      </c>
      <c r="CE138" s="227">
        <f t="array" ref="CE138">IF($BU138=0, INDEX(LS_current!$D$4:$AY$138, MATCH('Staging Table'!$A138, LS_current!$B$4:$B$138, 0), MATCH(CE$4&amp;CE$5, LS_current!$D$2:$AY$2&amp;LS_current!$D$3:$AY$3, 0)),SUM(VLOOKUP($A138, LS_current!$B$4:$AY$138, LS_current!I$148, FALSE), VLOOKUP($A138, LS_current!$B$4:$AY$138,LS_current!I$148, FALSE))/2)</f>
        <v>432</v>
      </c>
      <c r="CF138" s="227">
        <f t="array" ref="CF138">IF($BU138=0, INDEX(LS_current!$D$4:$AY$138, MATCH('Staging Table'!$A138, LS_current!$B$4:$B$138, 0), MATCH(CF$4&amp;CF$5, LS_current!$D$2:$AY$2&amp;LS_current!$D$3:$AY$3, 0)),SUM(VLOOKUP($A138, LS_current!$B$4:$AY$138, LS_current!J$148, FALSE), VLOOKUP($A138, LS_current!$B$4:$AY$138,LS_current!J$148, FALSE))/2)</f>
        <v>669</v>
      </c>
      <c r="CG138" s="227">
        <f t="array" ref="CG138">IF($BU138=0, INDEX(LS_current!$D$4:$AY$138, MATCH('Staging Table'!$A138, LS_current!$B$4:$B$138, 0), MATCH(CG$4&amp;CG$5, LS_current!$D$2:$AY$2&amp;LS_current!$D$3:$AY$3, 0)),SUM(VLOOKUP($A138, LS_current!$B$4:$AY$138, LS_current!K$148, FALSE), VLOOKUP($A138, LS_current!$B$4:$AY$138,LS_current!K$148, FALSE))/2)</f>
        <v>573</v>
      </c>
      <c r="CH138" s="227">
        <f t="array" ref="CH138">IF($BU138=0, INDEX(LS_current!$D$4:$AY$138, MATCH('Staging Table'!$A138, LS_current!$B$4:$B$138, 0), MATCH(CH$4&amp;CH$5, LS_current!$D$2:$AY$2&amp;LS_current!$D$3:$AY$3, 0)),SUM(VLOOKUP($A138, LS_current!$B$4:$AY$138, LS_current!L$148, FALSE), VLOOKUP($A138, LS_current!$B$4:$AY$138,LS_current!L$148, FALSE))/2)</f>
        <v>562</v>
      </c>
      <c r="CI138" s="227">
        <f t="array" ref="CI138">IF($BU138=0, INDEX(LS_current!$D$4:$AY$138, MATCH('Staging Table'!$A138, LS_current!$B$4:$B$138, 0), MATCH(CI$4&amp;CI$5, LS_current!$D$2:$AY$2&amp;LS_current!$D$3:$AY$3, 0)),SUM(VLOOKUP($A138, LS_current!$B$4:$AY$138, LS_current!M$148, FALSE), VLOOKUP($A138, LS_current!$B$4:$AY$138,LS_current!M$148, FALSE))/2)</f>
        <v>357</v>
      </c>
      <c r="CJ138" s="227">
        <f t="array" ref="CJ138">IF($BU138=0, INDEX(LS_current!$D$4:$AY$138, MATCH('Staging Table'!$A138, LS_current!$B$4:$B$138, 0), MATCH(CJ$4&amp;CJ$5, LS_current!$D$2:$AY$2&amp;LS_current!$D$3:$AY$3, 0)),SUM(VLOOKUP($A138, LS_current!$B$4:$AY$138, LS_current!N$148, FALSE), VLOOKUP($A138, LS_current!$B$4:$AY$138,LS_current!N$148, FALSE))/2)</f>
        <v>-49</v>
      </c>
      <c r="CK138" s="227">
        <f t="array" ref="CK138">IF($BU138=0, INDEX(LS_current!$D$4:$AY$138, MATCH('Staging Table'!$A138, LS_current!$B$4:$B$138, 0), MATCH(CK$4&amp;CK$5, LS_current!$D$2:$AY$2&amp;LS_current!$D$3:$AY$3, 0)),SUM(VLOOKUP($A138, LS_current!$B$4:$AY$138, LS_current!O$148, FALSE), VLOOKUP($A138, LS_current!$B$4:$AY$138,LS_current!O$148, FALSE))/2)</f>
        <v>95</v>
      </c>
      <c r="CL138" s="227">
        <f t="array" ref="CL138">IF($BU138=0, INDEX(LS_current!$D$4:$AY$138, MATCH('Staging Table'!$A138, LS_current!$B$4:$B$138, 0), MATCH(CL$4&amp;CL$5, LS_current!$D$2:$AY$2&amp;LS_current!$D$3:$AY$3, 0)),SUM(VLOOKUP($A138, LS_current!$B$4:$AY$138, LS_current!P$148, FALSE), VLOOKUP($A138, LS_current!$B$4:$AY$138,LS_current!P$148, FALSE))/2)</f>
        <v>292</v>
      </c>
      <c r="CM138" s="227">
        <f t="array" ref="CM138">IF($BU138=0, INDEX(LS_current!$D$4:$AY$138, MATCH('Staging Table'!$A138, LS_current!$B$4:$B$138, 0), MATCH(CM$4&amp;CM$5, LS_current!$D$2:$AY$2&amp;LS_current!$D$3:$AY$3, 0)),SUM(VLOOKUP($A138, LS_current!$B$4:$AY$138, LS_current!Q$148, FALSE), VLOOKUP($A138, LS_current!$B$4:$AY$138,LS_current!Q$148, FALSE))/2)</f>
        <v>84</v>
      </c>
      <c r="CN138" s="227">
        <f t="array" ref="CN138">IF($BU138=0, INDEX(LS_current!$D$4:$AY$138, MATCH('Staging Table'!$A138, LS_current!$B$4:$B$138, 0), MATCH(CN$4&amp;CN$5, LS_current!$D$2:$AY$2&amp;LS_current!$D$3:$AY$3, 0)),SUM(VLOOKUP($A138, LS_current!$B$4:$AY$138, LS_current!R$148, FALSE), VLOOKUP($A138, LS_current!$B$4:$AY$138,LS_current!R$148, FALSE))/2)</f>
        <v>-722</v>
      </c>
      <c r="CO138" s="227">
        <f t="array" ref="CO138">IF($BU138=0, INDEX(LS_current!$D$4:$AY$138, MATCH('Staging Table'!$A138, LS_current!$B$4:$B$138, 0), MATCH(CO$4&amp;CO$5, LS_current!$D$2:$AY$2&amp;LS_current!$D$3:$AY$3, 0)),SUM(VLOOKUP($A138, LS_current!$B$4:$AY$138, LS_current!S$148, FALSE), VLOOKUP($A138, LS_current!$B$4:$AY$138,LS_current!S$148, FALSE))/2)</f>
        <v>-175</v>
      </c>
      <c r="CP138" s="227">
        <f t="array" ref="CP138">IF($BU138=0, INDEX(LS_current!$D$4:$AY$138, MATCH('Staging Table'!$A138, LS_current!$B$4:$B$138, 0), MATCH(CP$4&amp;CP$5, LS_current!$D$2:$AY$2&amp;LS_current!$D$3:$AY$3, 0)),SUM(VLOOKUP($A138, LS_current!$B$4:$AY$138, LS_current!T$148, FALSE), VLOOKUP($A138, LS_current!$B$4:$AY$138,LS_current!T$148, FALSE))/2)</f>
        <v>-1345</v>
      </c>
      <c r="CQ138" s="227">
        <f t="array" ref="CQ138">IF($BU138=0, INDEX(LS_current!$D$4:$AY$138, MATCH('Staging Table'!$A138, LS_current!$B$4:$B$138, 0), MATCH(CQ$4&amp;CQ$5, LS_current!$D$2:$AY$2&amp;LS_current!$D$3:$AY$3, 0)),SUM(VLOOKUP($A138, LS_current!$B$4:$AY$138, LS_current!U$148, FALSE), VLOOKUP($A138, LS_current!$B$4:$AY$138,LS_current!U$148, FALSE))/2)</f>
        <v>-786</v>
      </c>
      <c r="CR138" s="227">
        <f t="array" ref="CR138">IF($BU138=0, INDEX(LS_current!$D$4:$AY$138, MATCH('Staging Table'!$A138, LS_current!$B$4:$B$138, 0), MATCH(CR$4&amp;CR$5, LS_current!$D$2:$AY$2&amp;LS_current!$D$3:$AY$3, 0)),SUM(VLOOKUP($A138, LS_current!$B$4:$AY$138, LS_current!V$148, FALSE), VLOOKUP($A138, LS_current!$B$4:$AY$138,LS_current!V$148, FALSE))/2)</f>
        <v>-12</v>
      </c>
      <c r="CS138" s="227">
        <f t="array" ref="CS138">IF($BU138=0, INDEX(LS_current!$D$4:$AY$138, MATCH('Staging Table'!$A138, LS_current!$B$4:$B$138, 0), MATCH(CS$4&amp;CS$5, LS_current!$D$2:$AY$2&amp;LS_current!$D$3:$AY$3, 0)),SUM(VLOOKUP($A138, LS_current!$B$4:$AY$138, LS_current!W$148, FALSE), VLOOKUP($A138, LS_current!$B$4:$AY$138,LS_current!W$148, FALSE))/2)</f>
        <v>316</v>
      </c>
      <c r="CT138" s="227">
        <f t="array" ref="CT138">IF($BU138=0, INDEX(LS_current!$D$4:$AY$138, MATCH('Staging Table'!$A138, LS_current!$B$4:$B$138, 0), MATCH(CT$4&amp;CT$5, LS_current!$D$2:$AY$2&amp;LS_current!$D$3:$AY$3, 0)),SUM(VLOOKUP($A138, LS_current!$B$4:$AY$138, LS_current!X$148, FALSE), VLOOKUP($A138, LS_current!$B$4:$AY$138,LS_current!X$148, FALSE))/2)</f>
        <v>-16</v>
      </c>
      <c r="CU138" s="227">
        <f t="array" ref="CU138">IF($BU138=0, INDEX(LS_current!$D$4:$AY$138, MATCH('Staging Table'!$A138, LS_current!$B$4:$B$138, 0), MATCH(CU$4&amp;CU$5, LS_current!$D$2:$AY$2&amp;LS_current!$D$3:$AY$3, 0)),SUM(VLOOKUP($A138, LS_current!$B$4:$AY$138, LS_current!Y$148, FALSE), VLOOKUP($A138, LS_current!$B$4:$AY$138,LS_current!Y$148, FALSE))/2)</f>
        <v>271</v>
      </c>
      <c r="CV138" s="227">
        <f t="array" ref="CV138">IF($BU138=0, INDEX(LS_current!$D$4:$AY$138, MATCH('Staging Table'!$A138, LS_current!$B$4:$B$138, 0), MATCH(CV$4&amp;CV$5, LS_current!$D$2:$AY$2&amp;LS_current!$D$3:$AY$3, 0)),SUM(VLOOKUP($A138, LS_current!$B$4:$AY$138, LS_current!Z$148, FALSE), VLOOKUP($A138, LS_current!$B$4:$AY$138,LS_current!Z$148, FALSE))/2)</f>
        <v>-138</v>
      </c>
      <c r="CW138" s="227">
        <f t="array" ref="CW138">IF($BU138=0, INDEX(LS_current!$D$4:$AY$138, MATCH('Staging Table'!$A138, LS_current!$B$4:$B$138, 0), MATCH(CW$4&amp;CW$5, LS_current!$D$2:$AY$2&amp;LS_current!$D$3:$AY$3, 0)),SUM(VLOOKUP($A138, LS_current!$B$4:$AY$138, LS_current!AA$148, FALSE), VLOOKUP($A138, LS_current!$B$4:$AY$138,LS_current!AA$148, FALSE))/2)</f>
        <v>-76</v>
      </c>
      <c r="CX138" s="229">
        <f t="array" ref="CX138">INDEX(Demand_current!$D$4:$AY$138, MATCH($A138, Demand_current!$B$4:$B$138, 0), MATCH(CX$4&amp;CX$5,Demand_current!$D$2:$AY$2&amp;Demand_current!$D$3:$AY$3, 0))/1000</f>
        <v>8.1000000000000003E-2</v>
      </c>
      <c r="CY138" s="229">
        <f t="array" ref="CY138">INDEX(Demand_current!$D$4:$AY$138, MATCH($A138, Demand_current!$B$4:$B$138, 0), MATCH(CY$4&amp;CY$5,Demand_current!$D$2:$AY$2&amp;Demand_current!$D$3:$AY$3, 0))/1000</f>
        <v>0.39600000000000002</v>
      </c>
      <c r="CZ138" s="229">
        <f t="array" ref="CZ138">INDEX(Demand_current!$D$4:$AY$138, MATCH($A138, Demand_current!$B$4:$B$138, 0), MATCH(CZ$4&amp;CZ$5,Demand_current!$D$2:$AY$2&amp;Demand_current!$D$3:$AY$3, 0))/1000</f>
        <v>0.376</v>
      </c>
      <c r="DA138" s="229">
        <f t="array" ref="DA138">INDEX(Demand_current!$D$4:$AY$138, MATCH($A138, Demand_current!$B$4:$B$138, 0), MATCH(DA$4&amp;DA$5,Demand_current!$D$2:$AY$2&amp;Demand_current!$D$3:$AY$3, 0))/1000</f>
        <v>1.341</v>
      </c>
      <c r="DB138" s="229">
        <f t="array" ref="DB138">INDEX(Demand_current!$D$4:$AY$138, MATCH($A138, Demand_current!$B$4:$B$138, 0), MATCH(DB$4&amp;DB$5,Demand_current!$D$2:$AY$2&amp;Demand_current!$D$3:$AY$3, 0))/1000</f>
        <v>0.86199999999999999</v>
      </c>
      <c r="DC138" s="229">
        <f t="array" ref="DC138">INDEX(Demand_current!$D$4:$AY$138, MATCH($A138, Demand_current!$B$4:$B$138, 0), MATCH(DC$4&amp;DC$5,Demand_current!$D$2:$AY$2&amp;Demand_current!$D$3:$AY$3, 0))/1000</f>
        <v>0.78300000000000003</v>
      </c>
      <c r="DD138" s="229">
        <f t="array" ref="DD138">INDEX(Demand_current!$D$4:$AY$138, MATCH($A138, Demand_current!$B$4:$B$138, 0), MATCH(DD$4&amp;DD$5,Demand_current!$D$2:$AY$2&amp;Demand_current!$D$3:$AY$3, 0))/1000</f>
        <v>0.16500000000000001</v>
      </c>
      <c r="DE138" s="229">
        <f t="array" ref="DE138">INDEX(Demand_current!$D$4:$AY$138, MATCH($A138, Demand_current!$B$4:$B$138, 0), MATCH(DE$4&amp;DE$5,Demand_current!$D$2:$AY$2&amp;Demand_current!$D$3:$AY$3, 0))/1000</f>
        <v>0.82199999999999995</v>
      </c>
      <c r="DF138" s="229">
        <f t="array" ref="DF138">INDEX(Demand_current!$D$4:$AY$138, MATCH($A138, Demand_current!$B$4:$B$138, 0), MATCH(DF$4&amp;DF$5,Demand_current!$D$2:$AY$2&amp;Demand_current!$D$3:$AY$3, 0))/1000</f>
        <v>0.64600000000000002</v>
      </c>
      <c r="DG138" s="229">
        <f t="array" ref="DG138">INDEX(Demand_current!$D$4:$AY$138, MATCH($A138, Demand_current!$B$4:$B$138, 0), MATCH(DG$4&amp;DG$5,Demand_current!$D$2:$AY$2&amp;Demand_current!$D$3:$AY$3, 0))/1000</f>
        <v>1.5069999999999999</v>
      </c>
      <c r="DH138" s="229">
        <f t="array" ref="DH138">INDEX(Demand_current!$D$4:$AY$138, MATCH($A138, Demand_current!$B$4:$B$138, 0), MATCH(DH$4&amp;DH$5,Demand_current!$D$2:$AY$2&amp;Demand_current!$D$3:$AY$3, 0))/1000</f>
        <v>0.27400000000000002</v>
      </c>
      <c r="DI138" s="229">
        <f t="array" ref="DI138">INDEX(Demand_current!$D$4:$AY$138, MATCH($A138, Demand_current!$B$4:$B$138, 0), MATCH(DI$4&amp;DI$5,Demand_current!$D$2:$AY$2&amp;Demand_current!$D$3:$AY$3, 0))/1000</f>
        <v>0.51500000000000001</v>
      </c>
      <c r="DJ138" s="227">
        <f>$BT138*(VLOOKUP(DJ$4, Rates_current!$G$6:$Q$29, 10, FALSE)+VLOOKUP(DJ$4, Rates_current!$G$6:$Q$29, 11, FALSE))</f>
        <v>4137.5779393355997</v>
      </c>
      <c r="DK138" s="227">
        <f>$BT138*(VLOOKUP(DK$4, Rates_current!$G$6:$Q$29, 10, FALSE)+VLOOKUP(DK$4, Rates_current!$G$6:$Q$29, 11, FALSE))</f>
        <v>5256.0147254679005</v>
      </c>
      <c r="DL138" s="227">
        <f>$BT138*(VLOOKUP(DL$4, Rates_current!$G$6:$Q$29, 10, FALSE)+VLOOKUP(DL$4, Rates_current!$G$6:$Q$29, 11, FALSE))</f>
        <v>5192.541235635601</v>
      </c>
      <c r="DM138" s="227">
        <f>$BT138*(VLOOKUP(DM$4, Rates_current!$G$6:$Q$29, 10, FALSE)+VLOOKUP(DM$4, Rates_current!$G$6:$Q$29, 11, FALSE))</f>
        <v>4328.2993828356002</v>
      </c>
      <c r="DN138" s="227">
        <f>$BT138*(VLOOKUP(DN$4, Rates_current!$G$6:$Q$29, 10, FALSE)+VLOOKUP(DN$4, Rates_current!$G$6:$Q$29, 11, FALSE))</f>
        <v>3920.9902144799998</v>
      </c>
      <c r="DO138" s="227">
        <f>$BT138*(VLOOKUP(DO$4, Rates_current!$G$6:$Q$29, 10, FALSE)+VLOOKUP(DO$4, Rates_current!$G$6:$Q$29, 11, FALSE))</f>
        <v>4361.3867471456997</v>
      </c>
      <c r="DP138" s="227">
        <f>$BT138*(VLOOKUP(DP$4, Rates_current!$G$6:$Q$29, 10, FALSE)+VLOOKUP(DP$4, Rates_current!$G$6:$Q$29, 11, FALSE))</f>
        <v>3551.0457959280002</v>
      </c>
      <c r="DQ138" s="227">
        <f>$BT138*(VLOOKUP(DQ$4, Rates_current!$G$6:$Q$29, 10, FALSE)+VLOOKUP(DQ$4, Rates_current!$G$6:$Q$29, 11, FALSE))</f>
        <v>4789.1147753856003</v>
      </c>
      <c r="DR138" s="227">
        <f>$BT138*(VLOOKUP(DR$4, Rates_current!$G$6:$Q$29, 10, FALSE)+VLOOKUP(DR$4, Rates_current!$G$6:$Q$29, 11, FALSE))</f>
        <v>6110.5847388780003</v>
      </c>
      <c r="DS138" s="227">
        <f>$BT138*(VLOOKUP(DS$4, Rates_current!$G$6:$Q$29, 10, FALSE)+VLOOKUP(DS$4, Rates_current!$G$6:$Q$29, 11, FALSE))</f>
        <v>4790.8921897356004</v>
      </c>
      <c r="DT138" s="227">
        <f>$BT138*(VLOOKUP(DT$4, Rates_current!$G$6:$Q$29, 10, FALSE)+VLOOKUP(DT$4, Rates_current!$G$6:$Q$29, 11, FALSE))</f>
        <v>4665.3750146856009</v>
      </c>
      <c r="DU138" s="227">
        <f>$BT138*(VLOOKUP(DU$4, Rates_current!$G$6:$Q$29, 10, FALSE)+VLOOKUP(DU$4, Rates_current!$G$6:$Q$29, 11, FALSE))</f>
        <v>4188.5143100280002</v>
      </c>
      <c r="DV138" s="229">
        <f>IF(D138=0,IF(C138=0,MAX(0,DY138 - (VLOOKUP($A138,TOCA_current!$A$2:$AI$137,MATCH("RHWM 2020",TOCA_current!$A$2:$AI$2,0),FALSE)*$BT$2)), 0),0)</f>
        <v>143.05914490880241</v>
      </c>
      <c r="DW138" s="266">
        <f>VLOOKUP($A138,REP_current!$A$1:$D$135,MATCH("FY "&amp;$BT$1&amp; " Total Refund",REP_current!$A$1:$D$1,0),0)</f>
        <v>0</v>
      </c>
      <c r="DX138" s="295">
        <f>MIN(VLOOKUP($A138,TOCA_current!$A$2:$AI$137,MATCH("TRL - NLSL - Existing Resource "&amp;$BT$1,TOCA_current!$A$2:$AI$2,0),FALSE)*$BT$2, VLOOKUP($A138,TOCA_current!$A$2:$AI$137,MATCH("RHWM 2020",TOCA_current!$A$2:$AI$2,0),FALSE)*$BT$2)</f>
        <v>55295.28</v>
      </c>
      <c r="DY138" s="240">
        <f>SUM(BZ138:CW138)+(BT138*RT1SC!$C$4*$BT$2)</f>
        <v>55438.339144908801</v>
      </c>
      <c r="DZ138" s="271">
        <f>VLOOKUP($A138,TOCA_current!$A$2:$AI$137,MATCH("Above RHWM Not Served with LS "&amp;$BT$1,TOCA_current!$A$2:$AI$2,0),FALSE)*$BT$2</f>
        <v>0</v>
      </c>
      <c r="EA138" s="244">
        <f t="shared" si="45"/>
        <v>143.05914490880241</v>
      </c>
      <c r="EB138" s="295">
        <f>(VLOOKUP($A138,TOCA_current!$A$2:$AI$137,MATCH("RHWM 2020",TOCA_current!$A$2:$AI$2,0),FALSE)*$BT$2) - $DX138</f>
        <v>0</v>
      </c>
      <c r="EC138" s="240">
        <f t="shared" si="46"/>
        <v>0</v>
      </c>
      <c r="ED138" s="240">
        <f t="shared" si="47"/>
        <v>0</v>
      </c>
      <c r="EE138" s="240">
        <f t="shared" si="48"/>
        <v>0</v>
      </c>
      <c r="EF138" s="240">
        <f t="shared" si="49"/>
        <v>0</v>
      </c>
    </row>
    <row r="139" spans="1:136">
      <c r="A139" s="166">
        <v>12026</v>
      </c>
      <c r="B139" s="167" t="s">
        <v>139</v>
      </c>
      <c r="C139" s="240">
        <v>0</v>
      </c>
      <c r="D139" s="240">
        <v>0</v>
      </c>
      <c r="E139" s="150">
        <f>VLOOKUP($A139,TOCA_previous!$A$2:$AI$137,MATCH(E$4,TOCA_previous!$A$2:$AI$2,0),FALSE)</f>
        <v>6.3096999999999997E-3</v>
      </c>
      <c r="F139" s="151">
        <f>VLOOKUP($A139,TOCA_previous!$A$2:$AI$137,MATCH(F$4,TOCA_previous!$A$2:$AI$2,0),FALSE)</f>
        <v>6.3096999999999997E-3</v>
      </c>
      <c r="G139" s="151">
        <f t="shared" si="34"/>
        <v>0</v>
      </c>
      <c r="H139" s="151">
        <f>VLOOKUP($A139,TOCA_previous!$A$2:$AI$137,MATCH(H$4,TOCA_previous!$A$2:$AI$2,0),FALSE)</f>
        <v>0</v>
      </c>
      <c r="I139" s="151">
        <f t="shared" si="35"/>
        <v>0</v>
      </c>
      <c r="J139" s="151">
        <f t="shared" si="36"/>
        <v>0</v>
      </c>
      <c r="K139" s="226">
        <f>VLOOKUP(A139, IRD!$A$5:$C$139, 3, FALSE)</f>
        <v>0</v>
      </c>
      <c r="L139" s="227">
        <f t="array" ref="L139">IF($G139=0, INDEX(LS_previous!$D$4:$AY$138, MATCH('Staging Table'!$A139, LS_previous!$B$4:$B$138, 0), MATCH(L$4&amp;L$5, LS_previous!$D$2:$AY$2&amp;LS_previous!$D$3:$AY$3, 0)),SUM(VLOOKUP($A139, LS_previous!$B$4:$AY$138, LS_previous!D$149, FALSE), VLOOKUP('Staging Table'!$A139, LS_previous!$B$4:$AY$138,LS_previous!AB$149, FALSE))/2)</f>
        <v>-257</v>
      </c>
      <c r="M139" s="227">
        <f t="array" ref="M139">IF($G139=0, INDEX(LS_previous!$D$4:$AY$138, MATCH('Staging Table'!$A139, LS_previous!$B$4:$B$138, 0), MATCH(M$4&amp;M$5, LS_previous!$D$2:$AY$2&amp;LS_previous!$D$3:$AY$3, 0)),SUM(VLOOKUP($A139, LS_previous!$B$4:$AY$138, LS_previous!E$149, FALSE), VLOOKUP('Staging Table'!$A139, LS_previous!$B$4:$AY$138,LS_previous!AC$149, FALSE))/2)</f>
        <v>871</v>
      </c>
      <c r="N139" s="227">
        <f t="array" ref="N139">IF($G139=0, INDEX(LS_previous!$D$4:$AY$138, MATCH('Staging Table'!$A139, LS_previous!$B$4:$B$138, 0), MATCH(N$4&amp;N$5, LS_previous!$D$2:$AY$2&amp;LS_previous!$D$3:$AY$3, 0)),SUM(VLOOKUP($A139, LS_previous!$B$4:$AY$138, LS_previous!F$149, FALSE), VLOOKUP('Staging Table'!$A139, LS_previous!$B$4:$AY$138,LS_previous!AD$149, FALSE))/2)</f>
        <v>105</v>
      </c>
      <c r="O139" s="227">
        <f t="array" ref="O139">IF($G139=0, INDEX(LS_previous!$D$4:$AY$138, MATCH('Staging Table'!$A139, LS_previous!$B$4:$B$138, 0), MATCH(O$4&amp;O$5, LS_previous!$D$2:$AY$2&amp;LS_previous!$D$3:$AY$3, 0)),SUM(VLOOKUP($A139, LS_previous!$B$4:$AY$138, LS_previous!G$149, FALSE), VLOOKUP('Staging Table'!$A139, LS_previous!$B$4:$AY$138,LS_previous!AE$149, FALSE))/2)</f>
        <v>1863</v>
      </c>
      <c r="P139" s="227">
        <f t="array" ref="P139">IF($G139=0, INDEX(LS_previous!$D$4:$AY$138, MATCH('Staging Table'!$A139, LS_previous!$B$4:$B$138, 0), MATCH(P$4&amp;P$5, LS_previous!$D$2:$AY$2&amp;LS_previous!$D$3:$AY$3, 0)),SUM(VLOOKUP($A139, LS_previous!$B$4:$AY$138, LS_previous!H$149, FALSE), VLOOKUP('Staging Table'!$A139, LS_previous!$B$4:$AY$138,LS_previous!AF$149, FALSE))/2)</f>
        <v>4064</v>
      </c>
      <c r="Q139" s="227">
        <f t="array" ref="Q139">IF($G139=0, INDEX(LS_previous!$D$4:$AY$138, MATCH('Staging Table'!$A139, LS_previous!$B$4:$B$138, 0), MATCH(Q$4&amp;Q$5, LS_previous!$D$2:$AY$2&amp;LS_previous!$D$3:$AY$3, 0)),SUM(VLOOKUP($A139, LS_previous!$B$4:$AY$138, LS_previous!I$149, FALSE), VLOOKUP('Staging Table'!$A139, LS_previous!$B$4:$AY$138,LS_previous!AG$149, FALSE))/2)</f>
        <v>5101</v>
      </c>
      <c r="R139" s="227">
        <f t="array" ref="R139">IF($G139=0, INDEX(LS_previous!$D$4:$AY$138, MATCH('Staging Table'!$A139, LS_previous!$B$4:$B$138, 0), MATCH(R$4&amp;R$5, LS_previous!$D$2:$AY$2&amp;LS_previous!$D$3:$AY$3, 0)),SUM(VLOOKUP($A139, LS_previous!$B$4:$AY$138, LS_previous!J$149, FALSE), VLOOKUP('Staging Table'!$A139, LS_previous!$B$4:$AY$138,LS_previous!AH$149, FALSE))/2)</f>
        <v>8825</v>
      </c>
      <c r="S139" s="227">
        <f t="array" ref="S139">IF($G139=0, INDEX(LS_previous!$D$4:$AY$138, MATCH('Staging Table'!$A139, LS_previous!$B$4:$B$138, 0), MATCH(S$4&amp;S$5, LS_previous!$D$2:$AY$2&amp;LS_previous!$D$3:$AY$3, 0)),SUM(VLOOKUP($A139, LS_previous!$B$4:$AY$138, LS_previous!K$149, FALSE), VLOOKUP('Staging Table'!$A139, LS_previous!$B$4:$AY$138,LS_previous!AI$149, FALSE))/2)</f>
        <v>6709</v>
      </c>
      <c r="T139" s="227">
        <f t="array" ref="T139">IF($G139=0, INDEX(LS_previous!$D$4:$AY$138, MATCH('Staging Table'!$A139, LS_previous!$B$4:$B$138, 0), MATCH(T$4&amp;T$5, LS_previous!$D$2:$AY$2&amp;LS_previous!$D$3:$AY$3, 0)),SUM(VLOOKUP($A139, LS_previous!$B$4:$AY$138, LS_previous!L$149, FALSE), VLOOKUP('Staging Table'!$A139, LS_previous!$B$4:$AY$138,LS_previous!AJ$149, FALSE))/2)</f>
        <v>9507</v>
      </c>
      <c r="U139" s="227">
        <f t="array" ref="U139">IF($G139=0, INDEX(LS_previous!$D$4:$AY$138, MATCH('Staging Table'!$A139, LS_previous!$B$4:$B$138, 0), MATCH(U$4&amp;U$5, LS_previous!$D$2:$AY$2&amp;LS_previous!$D$3:$AY$3, 0)),SUM(VLOOKUP($A139, LS_previous!$B$4:$AY$138, LS_previous!M$149, FALSE), VLOOKUP('Staging Table'!$A139, LS_previous!$B$4:$AY$138,LS_previous!AK$149, FALSE))/2)</f>
        <v>6697</v>
      </c>
      <c r="V139" s="227">
        <f t="array" ref="V139">IF($G139=0, INDEX(LS_previous!$D$4:$AY$138, MATCH('Staging Table'!$A139, LS_previous!$B$4:$B$138, 0), MATCH(V$4&amp;V$5, LS_previous!$D$2:$AY$2&amp;LS_previous!$D$3:$AY$3, 0)),SUM(VLOOKUP($A139, LS_previous!$B$4:$AY$138, LS_previous!N$149, FALSE), VLOOKUP('Staging Table'!$A139, LS_previous!$B$4:$AY$138,LS_previous!AL$149, FALSE))/2)</f>
        <v>3882</v>
      </c>
      <c r="W139" s="227">
        <f t="array" ref="W139">IF($G139=0, INDEX(LS_previous!$D$4:$AY$138, MATCH('Staging Table'!$A139, LS_previous!$B$4:$B$138, 0), MATCH(W$4&amp;W$5, LS_previous!$D$2:$AY$2&amp;LS_previous!$D$3:$AY$3, 0)),SUM(VLOOKUP($A139, LS_previous!$B$4:$AY$138, LS_previous!O$149, FALSE), VLOOKUP('Staging Table'!$A139, LS_previous!$B$4:$AY$138,LS_previous!AM$149, FALSE))/2)</f>
        <v>4337</v>
      </c>
      <c r="X139" s="227">
        <f t="array" ref="X139">IF($G139=0, INDEX(LS_previous!$D$4:$AY$138, MATCH('Staging Table'!$A139, LS_previous!$B$4:$B$138, 0), MATCH(X$4&amp;X$5, LS_previous!$D$2:$AY$2&amp;LS_previous!$D$3:$AY$3, 0)),SUM(VLOOKUP($A139, LS_previous!$B$4:$AY$138, LS_previous!P$149, FALSE), VLOOKUP('Staging Table'!$A139, LS_previous!$B$4:$AY$138,LS_previous!AN$149, FALSE))/2)</f>
        <v>702</v>
      </c>
      <c r="Y139" s="227">
        <f t="array" ref="Y139">IF($G139=0, INDEX(LS_previous!$D$4:$AY$138, MATCH('Staging Table'!$A139, LS_previous!$B$4:$B$138, 0), MATCH(Y$4&amp;Y$5, LS_previous!$D$2:$AY$2&amp;LS_previous!$D$3:$AY$3, 0)),SUM(VLOOKUP($A139, LS_previous!$B$4:$AY$138, LS_previous!Q$149, FALSE), VLOOKUP('Staging Table'!$A139, LS_previous!$B$4:$AY$138,LS_previous!AO$149, FALSE))/2)</f>
        <v>1745</v>
      </c>
      <c r="Z139" s="227">
        <f t="array" ref="Z139">IF($G139=0, INDEX(LS_previous!$D$4:$AY$138, MATCH('Staging Table'!$A139, LS_previous!$B$4:$B$138, 0), MATCH(Z$4&amp;Z$5, LS_previous!$D$2:$AY$2&amp;LS_previous!$D$3:$AY$3, 0)),SUM(VLOOKUP($A139, LS_previous!$B$4:$AY$138, LS_previous!R$149, FALSE), VLOOKUP('Staging Table'!$A139, LS_previous!$B$4:$AY$138,LS_previous!AP$149, FALSE))/2)</f>
        <v>-11408</v>
      </c>
      <c r="AA139" s="227">
        <f t="array" ref="AA139">IF($G139=0, INDEX(LS_previous!$D$4:$AY$138, MATCH('Staging Table'!$A139, LS_previous!$B$4:$B$138, 0), MATCH(AA$4&amp;AA$5, LS_previous!$D$2:$AY$2&amp;LS_previous!$D$3:$AY$3, 0)),SUM(VLOOKUP($A139, LS_previous!$B$4:$AY$138, LS_previous!S$149, FALSE), VLOOKUP('Staging Table'!$A139, LS_previous!$B$4:$AY$138,LS_previous!AQ$149, FALSE))/2)</f>
        <v>-4271</v>
      </c>
      <c r="AB139" s="227">
        <f t="array" ref="AB139">IF($G139=0, INDEX(LS_previous!$D$4:$AY$138, MATCH('Staging Table'!$A139, LS_previous!$B$4:$B$138, 0), MATCH(AB$4&amp;AB$5, LS_previous!$D$2:$AY$2&amp;LS_previous!$D$3:$AY$3, 0)),SUM(VLOOKUP($A139, LS_previous!$B$4:$AY$138, LS_previous!T$149, FALSE), VLOOKUP('Staging Table'!$A139, LS_previous!$B$4:$AY$138,LS_previous!AR$149, FALSE))/2)</f>
        <v>-6170</v>
      </c>
      <c r="AC139" s="227">
        <f t="array" ref="AC139">IF($G139=0, INDEX(LS_previous!$D$4:$AY$138, MATCH('Staging Table'!$A139, LS_previous!$B$4:$B$138, 0), MATCH(AC$4&amp;AC$5, LS_previous!$D$2:$AY$2&amp;LS_previous!$D$3:$AY$3, 0)),SUM(VLOOKUP($A139, LS_previous!$B$4:$AY$138, LS_previous!U$149, FALSE), VLOOKUP('Staging Table'!$A139, LS_previous!$B$4:$AY$138,LS_previous!AS$149, FALSE))/2)</f>
        <v>-2406</v>
      </c>
      <c r="AD139" s="227">
        <f t="array" ref="AD139">IF($G139=0, INDEX(LS_previous!$D$4:$AY$138, MATCH('Staging Table'!$A139, LS_previous!$B$4:$B$138, 0), MATCH(AD$4&amp;AD$5, LS_previous!$D$2:$AY$2&amp;LS_previous!$D$3:$AY$3, 0)),SUM(VLOOKUP($A139, LS_previous!$B$4:$AY$138, LS_previous!V$149, FALSE), VLOOKUP('Staging Table'!$A139, LS_previous!$B$4:$AY$138,LS_previous!AT$149, FALSE))/2)</f>
        <v>-4223</v>
      </c>
      <c r="AE139" s="227">
        <f t="array" ref="AE139">IF($G139=0, INDEX(LS_previous!$D$4:$AY$138, MATCH('Staging Table'!$A139, LS_previous!$B$4:$B$138, 0), MATCH(AE$4&amp;AE$5, LS_previous!$D$2:$AY$2&amp;LS_previous!$D$3:$AY$3, 0)),SUM(VLOOKUP($A139, LS_previous!$B$4:$AY$138, LS_previous!W$149, FALSE), VLOOKUP('Staging Table'!$A139, LS_previous!$B$4:$AY$138,LS_previous!AU$149, FALSE))/2)</f>
        <v>-1072</v>
      </c>
      <c r="AF139" s="227">
        <f t="array" ref="AF139">IF($G139=0, INDEX(LS_previous!$D$4:$AY$138, MATCH('Staging Table'!$A139, LS_previous!$B$4:$B$138, 0), MATCH(AF$4&amp;AF$5, LS_previous!$D$2:$AY$2&amp;LS_previous!$D$3:$AY$3, 0)),SUM(VLOOKUP($A139, LS_previous!$B$4:$AY$138, LS_previous!X$149, FALSE), VLOOKUP('Staging Table'!$A139, LS_previous!$B$4:$AY$138,LS_previous!AV$149, FALSE))/2)</f>
        <v>-6716</v>
      </c>
      <c r="AG139" s="227">
        <f t="array" ref="AG139">IF($G139=0, INDEX(LS_previous!$D$4:$AY$138, MATCH('Staging Table'!$A139, LS_previous!$B$4:$B$138, 0), MATCH(AG$4&amp;AG$5, LS_previous!$D$2:$AY$2&amp;LS_previous!$D$3:$AY$3, 0)),SUM(VLOOKUP($A139, LS_previous!$B$4:$AY$138, LS_previous!Y$149, FALSE), VLOOKUP('Staging Table'!$A139, LS_previous!$B$4:$AY$138,LS_previous!AW$149, FALSE))/2)</f>
        <v>-1650</v>
      </c>
      <c r="AH139" s="227">
        <f t="array" ref="AH139">IF($G139=0, INDEX(LS_previous!$D$4:$AY$138, MATCH('Staging Table'!$A139, LS_previous!$B$4:$B$138, 0), MATCH(AH$4&amp;AH$5, LS_previous!$D$2:$AY$2&amp;LS_previous!$D$3:$AY$3, 0)),SUM(VLOOKUP($A139, LS_previous!$B$4:$AY$138, LS_previous!Z$149, FALSE), VLOOKUP('Staging Table'!$A139, LS_previous!$B$4:$AY$138,LS_previous!AX$149, FALSE))/2)</f>
        <v>-3636</v>
      </c>
      <c r="AI139" s="227">
        <f t="array" ref="AI139">IF($G139=0, INDEX(LS_previous!$D$4:$AY$138, MATCH('Staging Table'!$A139, LS_previous!$B$4:$B$138, 0), MATCH(AI$4&amp;AI$5, LS_previous!$D$2:$AY$2&amp;LS_previous!$D$3:$AY$3, 0)),SUM(VLOOKUP($A139, LS_previous!$B$4:$AY$138, LS_previous!AA$149, FALSE), VLOOKUP('Staging Table'!$A139, LS_previous!$B$4:$AY$138,LS_previous!AY$149, FALSE))/2)</f>
        <v>-953</v>
      </c>
      <c r="AJ139" s="424">
        <f t="array" ref="AJ139">INDEX(Demand_previous!$D$4:$AY$138, MATCH('Staging Table'!$A139, Demand_previous!$B$4:$B$138, 0), MATCH(AJ$4&amp;AJ$5,Demand_previous!$D$2:$AY$2&amp;Demand_previous!$D$3:$AY$3, 0))/1000</f>
        <v>0</v>
      </c>
      <c r="AK139" s="424">
        <f t="array" ref="AK139">INDEX(Demand_previous!$D$4:$AY$138, MATCH('Staging Table'!$A139, Demand_previous!$B$4:$B$138, 0), MATCH(AK$4&amp;AK$5,Demand_previous!$D$2:$AY$2&amp;Demand_previous!$D$3:$AY$3, 0))/1000</f>
        <v>6.5819999999999999</v>
      </c>
      <c r="AL139" s="424">
        <f t="array" ref="AL139">INDEX(Demand_previous!$D$4:$AY$138, MATCH('Staging Table'!$A139, Demand_previous!$B$4:$B$138, 0), MATCH(AL$4&amp;AL$5,Demand_previous!$D$2:$AY$2&amp;Demand_previous!$D$3:$AY$3, 0))/1000</f>
        <v>9.9459999999999997</v>
      </c>
      <c r="AM139" s="424">
        <f t="array" ref="AM139">INDEX(Demand_previous!$D$4:$AY$138, MATCH('Staging Table'!$A139, Demand_previous!$B$4:$B$138, 0), MATCH(AM$4&amp;AM$5,Demand_previous!$D$2:$AY$2&amp;Demand_previous!$D$3:$AY$3, 0))/1000</f>
        <v>16.963000000000001</v>
      </c>
      <c r="AN139" s="424">
        <f t="array" ref="AN139">INDEX(Demand_previous!$D$4:$AY$138, MATCH('Staging Table'!$A139, Demand_previous!$B$4:$B$138, 0), MATCH(AN$4&amp;AN$5,Demand_previous!$D$2:$AY$2&amp;Demand_previous!$D$3:$AY$3, 0))/1000</f>
        <v>5.5330000000000004</v>
      </c>
      <c r="AO139" s="424">
        <f t="array" ref="AO139">INDEX(Demand_previous!$D$4:$AY$138, MATCH('Staging Table'!$A139, Demand_previous!$B$4:$B$138, 0), MATCH(AO$4&amp;AO$5,Demand_previous!$D$2:$AY$2&amp;Demand_previous!$D$3:$AY$3, 0))/1000</f>
        <v>8.6709999999999994</v>
      </c>
      <c r="AP139" s="424">
        <f t="array" ref="AP139">INDEX(Demand_previous!$D$4:$AY$138, MATCH('Staging Table'!$A139, Demand_previous!$B$4:$B$138, 0), MATCH(AP$4&amp;AP$5,Demand_previous!$D$2:$AY$2&amp;Demand_previous!$D$3:$AY$3, 0))/1000</f>
        <v>2.8010000000000002</v>
      </c>
      <c r="AQ139" s="424">
        <f t="array" ref="AQ139">INDEX(Demand_previous!$D$4:$AY$138, MATCH('Staging Table'!$A139, Demand_previous!$B$4:$B$138, 0), MATCH(AQ$4&amp;AQ$5,Demand_previous!$D$2:$AY$2&amp;Demand_previous!$D$3:$AY$3, 0))/1000</f>
        <v>1.9319999999999999</v>
      </c>
      <c r="AR139" s="424">
        <f t="array" ref="AR139">INDEX(Demand_previous!$D$4:$AY$138, MATCH('Staging Table'!$A139, Demand_previous!$B$4:$B$138, 0), MATCH(AR$4&amp;AR$5,Demand_previous!$D$2:$AY$2&amp;Demand_previous!$D$3:$AY$3, 0))/1000</f>
        <v>0.99</v>
      </c>
      <c r="AS139" s="424">
        <f t="array" ref="AS139">INDEX(Demand_previous!$D$4:$AY$138, MATCH('Staging Table'!$A139, Demand_previous!$B$4:$B$138, 0), MATCH(AS$4&amp;AS$5,Demand_previous!$D$2:$AY$2&amp;Demand_previous!$D$3:$AY$3, 0))/1000</f>
        <v>5.2469999999999999</v>
      </c>
      <c r="AT139" s="424">
        <f t="array" ref="AT139">INDEX(Demand_previous!$D$4:$AY$138, MATCH('Staging Table'!$A139, Demand_previous!$B$4:$B$138, 0), MATCH(AT$4&amp;AT$5,Demand_previous!$D$2:$AY$2&amp;Demand_previous!$D$3:$AY$3, 0))/1000</f>
        <v>3.6819999999999999</v>
      </c>
      <c r="AU139" s="424">
        <f t="array" ref="AU139">INDEX(Demand_previous!$D$4:$AY$138, MATCH('Staging Table'!$A139, Demand_previous!$B$4:$B$138, 0), MATCH(AU$4&amp;AU$5,Demand_previous!$D$2:$AY$2&amp;Demand_previous!$D$3:$AY$3, 0))/1000</f>
        <v>0</v>
      </c>
      <c r="AV139" s="227">
        <f>$F139*(VLOOKUP(AV$4, Rates_previous!$G$6:$Q$29, 10, FALSE)+VLOOKUP(AV$4, Rates_previous!$G$6:$Q$29, 11, FALSE))</f>
        <v>29585.159629349026</v>
      </c>
      <c r="AW139" s="227">
        <f>$F139*(VLOOKUP(AW$4, Rates_previous!$G$6:$Q$29, 10, FALSE)+VLOOKUP(AW$4, Rates_previous!$G$6:$Q$29, 11, FALSE))</f>
        <v>36565.008710578688</v>
      </c>
      <c r="AX139" s="227">
        <f>$F139*(VLOOKUP(AX$4, Rates_previous!$G$6:$Q$29, 10, FALSE)+VLOOKUP(AX$4, Rates_previous!$G$6:$Q$29, 11, FALSE))</f>
        <v>36125.906689827498</v>
      </c>
      <c r="AY139" s="227">
        <f>$F139*(VLOOKUP(AY$4, Rates_previous!$G$6:$Q$29, 10, FALSE)+VLOOKUP(AY$4, Rates_previous!$G$6:$Q$29, 11, FALSE))</f>
        <v>30866.143898855051</v>
      </c>
      <c r="AZ139" s="227">
        <f>$F139*(VLOOKUP(AZ$4, Rates_previous!$G$6:$Q$29, 10, FALSE)+VLOOKUP(AZ$4, Rates_previous!$G$6:$Q$29, 11, FALSE))</f>
        <v>25304.250855697344</v>
      </c>
      <c r="BA139" s="227">
        <f>$F139*(VLOOKUP(BA$4, Rates_previous!$G$6:$Q$29, 10, FALSE)+VLOOKUP(BA$4, Rates_previous!$G$6:$Q$29, 11, FALSE))</f>
        <v>29959.313877453587</v>
      </c>
      <c r="BB139" s="227">
        <f>$F139*(VLOOKUP(BB$4, Rates_previous!$G$6:$Q$29, 10, FALSE)+VLOOKUP(BB$4, Rates_previous!$G$6:$Q$29, 11, FALSE))</f>
        <v>28795.258484303849</v>
      </c>
      <c r="BC139" s="227">
        <f>$F139*(VLOOKUP(BC$4, Rates_previous!$G$6:$Q$29, 10, FALSE)+VLOOKUP(BC$4, Rates_previous!$G$6:$Q$29, 11, FALSE))</f>
        <v>42255.004194110188</v>
      </c>
      <c r="BD139" s="227">
        <f>$F139*(VLOOKUP(BD$4, Rates_previous!$G$6:$Q$29, 10, FALSE)+VLOOKUP(BD$4, Rates_previous!$G$6:$Q$29, 11, FALSE))</f>
        <v>33338.081495778686</v>
      </c>
      <c r="BE139" s="227">
        <f>$F139*(VLOOKUP(BE$4, Rates_previous!$G$6:$Q$29, 10, FALSE)+VLOOKUP(BE$4, Rates_previous!$G$6:$Q$29, 11, FALSE))</f>
        <v>29273.633802841854</v>
      </c>
      <c r="BF139" s="227">
        <f>$F139*(VLOOKUP(BF$4, Rates_previous!$G$6:$Q$29, 10, FALSE)+VLOOKUP(BF$4, Rates_previous!$G$6:$Q$29, 11, FALSE))</f>
        <v>32421.721193254143</v>
      </c>
      <c r="BG139" s="227">
        <f>$F139*(VLOOKUP(BG$4, Rates_previous!$G$6:$Q$29, 10, FALSE)+VLOOKUP(BG$4, Rates_previous!$G$6:$Q$29, 11, FALSE))</f>
        <v>29372.790070043662</v>
      </c>
      <c r="BH139" s="229">
        <f>IF($D139=0,IF(C139=0, MAX(BK139 - (VLOOKUP($A139,TOCA_previous!$A$2:$AI$137,MATCH("RHWM 2018",TOCA_previous!$A$2:$AI$2,0),FALSE)*$F$2*TOCA_previous!C136),0),0), 0)</f>
        <v>6143.7985023119836</v>
      </c>
      <c r="BI139" s="266">
        <f>VLOOKUP($A139,REP_previous!$A$1:$D$135,MATCH("FY "&amp;$F$1&amp; " Total Refund",REP_previous!$A$1:$D$1,0),0)</f>
        <v>0</v>
      </c>
      <c r="BJ139" s="241">
        <f>MIN(VLOOKUP($A139,TOCA_previous!$A$2:$AI$137,MATCH("TRL - NLSL - Existing Resource "&amp;$F$1,TOCA_previous!$A$2:$AI$2,0),FALSE)*$F$2,(VLOOKUP($A139,TOCA_previous!$A$2:$AI$137,MATCH("RHWM 2018",TOCA_previous!$A$2:$AI$2,0),FALSE)*$F$2))</f>
        <v>383863.2</v>
      </c>
      <c r="BK139" s="229">
        <f>SUM(L139:AI139)+(F139*RT1SC!$C$3*$F$2)</f>
        <v>395508.27850231196</v>
      </c>
      <c r="BL139" s="241">
        <f>VLOOKUP($A139,TOCA_previous!$A$2:$AI$137,MATCH("Above RHWM Not Served with LS "&amp;$F$1,TOCA_previous!$A$2:$AI$2,0),FALSE)*$F$2</f>
        <v>0</v>
      </c>
      <c r="BM139" s="151">
        <f t="shared" si="37"/>
        <v>11645.078502311953</v>
      </c>
      <c r="BN139" s="242">
        <f>(VLOOKUP($A139,TOCA_previous!$A$2:$AI$137,MATCH("RHWM 2018",TOCA_previous!$A$2:$AI$2,0),FALSE)*$F$2) - $BJ139</f>
        <v>5501.2799999999697</v>
      </c>
      <c r="BO139" s="151">
        <f t="shared" si="38"/>
        <v>-5501.2799999999697</v>
      </c>
      <c r="BP139" s="243">
        <f t="shared" si="39"/>
        <v>0</v>
      </c>
      <c r="BQ139" s="237">
        <f t="shared" si="40"/>
        <v>0</v>
      </c>
      <c r="BR139" s="242">
        <f t="shared" si="41"/>
        <v>-5501.2799999999697</v>
      </c>
      <c r="BS139" s="151">
        <f>VLOOKUP($A139,TOCA_current!$A$2:$AI$137,MATCH(BS$4,TOCA_current!$A$2:$AI$2,0),FALSE)</f>
        <v>6.3328000000000004E-3</v>
      </c>
      <c r="BT139" s="151">
        <f>VLOOKUP($A139,TOCA_current!$A$2:$AI$137,MATCH(BT$4,TOCA_current!$A$2:$AI$2,0),FALSE)</f>
        <v>6.3328000000000004E-3</v>
      </c>
      <c r="BU139" s="236">
        <f t="shared" si="42"/>
        <v>0</v>
      </c>
      <c r="BV139" s="151">
        <f>VLOOKUP($A139,TOCA_current!A135:BG270,MATCH(BV$4,TOCA_current!$A$2:$BG$2,0),FALSE)</f>
        <v>0</v>
      </c>
      <c r="BW139" s="151">
        <f t="shared" si="43"/>
        <v>0</v>
      </c>
      <c r="BX139" s="151">
        <f t="shared" si="44"/>
        <v>0</v>
      </c>
      <c r="BY139" s="226">
        <f>VLOOKUP($A139,IRD!$A$4:$G$139, 7, FALSE)</f>
        <v>0</v>
      </c>
      <c r="BZ139" s="227">
        <f t="array" ref="BZ139">IF($BU139=0, INDEX(LS_current!$D$4:$AY$138, MATCH('Staging Table'!$A139, LS_current!$B$4:$B$138, 0), MATCH(BZ$4&amp;BZ$5, LS_current!$D$2:$AY$2&amp;LS_current!$D$3:$AY$3, 0)),SUM(VLOOKUP($A139, LS_current!$B$4:$AY$138, LS_current!D$148, FALSE), VLOOKUP($A139, LS_current!$B$4:$AY$138,LS_current!D$148, FALSE))/2)</f>
        <v>-70</v>
      </c>
      <c r="CA139" s="227">
        <f t="array" ref="CA139">IF($BU139=0, INDEX(LS_current!$D$4:$AY$138, MATCH('Staging Table'!$A139, LS_current!$B$4:$B$138, 0), MATCH(CA$4&amp;CA$5, LS_current!$D$2:$AY$2&amp;LS_current!$D$3:$AY$3, 0)),SUM(VLOOKUP($A139, LS_current!$B$4:$AY$138, LS_current!E$148, FALSE), VLOOKUP($A139, LS_current!$B$4:$AY$138,LS_current!E$148, FALSE))/2)</f>
        <v>1029</v>
      </c>
      <c r="CB139" s="227">
        <f t="array" ref="CB139">IF($BU139=0, INDEX(LS_current!$D$4:$AY$138, MATCH('Staging Table'!$A139, LS_current!$B$4:$B$138, 0), MATCH(CB$4&amp;CB$5, LS_current!$D$2:$AY$2&amp;LS_current!$D$3:$AY$3, 0)),SUM(VLOOKUP($A139, LS_current!$B$4:$AY$138, LS_current!F$148, FALSE), VLOOKUP($A139, LS_current!$B$4:$AY$138,LS_current!F$148, FALSE))/2)</f>
        <v>-143</v>
      </c>
      <c r="CC139" s="227">
        <f t="array" ref="CC139">IF($BU139=0, INDEX(LS_current!$D$4:$AY$138, MATCH('Staging Table'!$A139, LS_current!$B$4:$B$138, 0), MATCH(CC$4&amp;CC$5, LS_current!$D$2:$AY$2&amp;LS_current!$D$3:$AY$3, 0)),SUM(VLOOKUP($A139, LS_current!$B$4:$AY$138, LS_current!G$148, FALSE), VLOOKUP($A139, LS_current!$B$4:$AY$138,LS_current!G$148, FALSE))/2)</f>
        <v>1532</v>
      </c>
      <c r="CD139" s="227">
        <f t="array" ref="CD139">IF($BU139=0, INDEX(LS_current!$D$4:$AY$138, MATCH('Staging Table'!$A139, LS_current!$B$4:$B$138, 0), MATCH(CD$4&amp;CD$5, LS_current!$D$2:$AY$2&amp;LS_current!$D$3:$AY$3, 0)),SUM(VLOOKUP($A139, LS_current!$B$4:$AY$138, LS_current!H$148, FALSE), VLOOKUP($A139, LS_current!$B$4:$AY$138,LS_current!H$148, FALSE))/2)</f>
        <v>3780</v>
      </c>
      <c r="CE139" s="227">
        <f t="array" ref="CE139">IF($BU139=0, INDEX(LS_current!$D$4:$AY$138, MATCH('Staging Table'!$A139, LS_current!$B$4:$B$138, 0), MATCH(CE$4&amp;CE$5, LS_current!$D$2:$AY$2&amp;LS_current!$D$3:$AY$3, 0)),SUM(VLOOKUP($A139, LS_current!$B$4:$AY$138, LS_current!I$148, FALSE), VLOOKUP($A139, LS_current!$B$4:$AY$138,LS_current!I$148, FALSE))/2)</f>
        <v>4814</v>
      </c>
      <c r="CF139" s="227">
        <f t="array" ref="CF139">IF($BU139=0, INDEX(LS_current!$D$4:$AY$138, MATCH('Staging Table'!$A139, LS_current!$B$4:$B$138, 0), MATCH(CF$4&amp;CF$5, LS_current!$D$2:$AY$2&amp;LS_current!$D$3:$AY$3, 0)),SUM(VLOOKUP($A139, LS_current!$B$4:$AY$138, LS_current!J$148, FALSE), VLOOKUP($A139, LS_current!$B$4:$AY$138,LS_current!J$148, FALSE))/2)</f>
        <v>8670</v>
      </c>
      <c r="CG139" s="227">
        <f t="array" ref="CG139">IF($BU139=0, INDEX(LS_current!$D$4:$AY$138, MATCH('Staging Table'!$A139, LS_current!$B$4:$B$138, 0), MATCH(CG$4&amp;CG$5, LS_current!$D$2:$AY$2&amp;LS_current!$D$3:$AY$3, 0)),SUM(VLOOKUP($A139, LS_current!$B$4:$AY$138, LS_current!K$148, FALSE), VLOOKUP($A139, LS_current!$B$4:$AY$138,LS_current!K$148, FALSE))/2)</f>
        <v>7140</v>
      </c>
      <c r="CH139" s="227">
        <f t="array" ref="CH139">IF($BU139=0, INDEX(LS_current!$D$4:$AY$138, MATCH('Staging Table'!$A139, LS_current!$B$4:$B$138, 0), MATCH(CH$4&amp;CH$5, LS_current!$D$2:$AY$2&amp;LS_current!$D$3:$AY$3, 0)),SUM(VLOOKUP($A139, LS_current!$B$4:$AY$138, LS_current!L$148, FALSE), VLOOKUP($A139, LS_current!$B$4:$AY$138,LS_current!L$148, FALSE))/2)</f>
        <v>8009</v>
      </c>
      <c r="CI139" s="227">
        <f t="array" ref="CI139">IF($BU139=0, INDEX(LS_current!$D$4:$AY$138, MATCH('Staging Table'!$A139, LS_current!$B$4:$B$138, 0), MATCH(CI$4&amp;CI$5, LS_current!$D$2:$AY$2&amp;LS_current!$D$3:$AY$3, 0)),SUM(VLOOKUP($A139, LS_current!$B$4:$AY$138, LS_current!M$148, FALSE), VLOOKUP($A139, LS_current!$B$4:$AY$138,LS_current!M$148, FALSE))/2)</f>
        <v>5789</v>
      </c>
      <c r="CJ139" s="227">
        <f t="array" ref="CJ139">IF($BU139=0, INDEX(LS_current!$D$4:$AY$138, MATCH('Staging Table'!$A139, LS_current!$B$4:$B$138, 0), MATCH(CJ$4&amp;CJ$5, LS_current!$D$2:$AY$2&amp;LS_current!$D$3:$AY$3, 0)),SUM(VLOOKUP($A139, LS_current!$B$4:$AY$138, LS_current!N$148, FALSE), VLOOKUP($A139, LS_current!$B$4:$AY$138,LS_current!N$148, FALSE))/2)</f>
        <v>3230</v>
      </c>
      <c r="CK139" s="227">
        <f t="array" ref="CK139">IF($BU139=0, INDEX(LS_current!$D$4:$AY$138, MATCH('Staging Table'!$A139, LS_current!$B$4:$B$138, 0), MATCH(CK$4&amp;CK$5, LS_current!$D$2:$AY$2&amp;LS_current!$D$3:$AY$3, 0)),SUM(VLOOKUP($A139, LS_current!$B$4:$AY$138, LS_current!O$148, FALSE), VLOOKUP($A139, LS_current!$B$4:$AY$138,LS_current!O$148, FALSE))/2)</f>
        <v>4126</v>
      </c>
      <c r="CL139" s="227">
        <f t="array" ref="CL139">IF($BU139=0, INDEX(LS_current!$D$4:$AY$138, MATCH('Staging Table'!$A139, LS_current!$B$4:$B$138, 0), MATCH(CL$4&amp;CL$5, LS_current!$D$2:$AY$2&amp;LS_current!$D$3:$AY$3, 0)),SUM(VLOOKUP($A139, LS_current!$B$4:$AY$138, LS_current!P$148, FALSE), VLOOKUP($A139, LS_current!$B$4:$AY$138,LS_current!P$148, FALSE))/2)</f>
        <v>3429</v>
      </c>
      <c r="CM139" s="227">
        <f t="array" ref="CM139">IF($BU139=0, INDEX(LS_current!$D$4:$AY$138, MATCH('Staging Table'!$A139, LS_current!$B$4:$B$138, 0), MATCH(CM$4&amp;CM$5, LS_current!$D$2:$AY$2&amp;LS_current!$D$3:$AY$3, 0)),SUM(VLOOKUP($A139, LS_current!$B$4:$AY$138, LS_current!Q$148, FALSE), VLOOKUP($A139, LS_current!$B$4:$AY$138,LS_current!Q$148, FALSE))/2)</f>
        <v>2718</v>
      </c>
      <c r="CN139" s="227">
        <f t="array" ref="CN139">IF($BU139=0, INDEX(LS_current!$D$4:$AY$138, MATCH('Staging Table'!$A139, LS_current!$B$4:$B$138, 0), MATCH(CN$4&amp;CN$5, LS_current!$D$2:$AY$2&amp;LS_current!$D$3:$AY$3, 0)),SUM(VLOOKUP($A139, LS_current!$B$4:$AY$138, LS_current!R$148, FALSE), VLOOKUP($A139, LS_current!$B$4:$AY$138,LS_current!R$148, FALSE))/2)</f>
        <v>-6440</v>
      </c>
      <c r="CO139" s="227">
        <f t="array" ref="CO139">IF($BU139=0, INDEX(LS_current!$D$4:$AY$138, MATCH('Staging Table'!$A139, LS_current!$B$4:$B$138, 0), MATCH(CO$4&amp;CO$5, LS_current!$D$2:$AY$2&amp;LS_current!$D$3:$AY$3, 0)),SUM(VLOOKUP($A139, LS_current!$B$4:$AY$138, LS_current!S$148, FALSE), VLOOKUP($A139, LS_current!$B$4:$AY$138,LS_current!S$148, FALSE))/2)</f>
        <v>-829</v>
      </c>
      <c r="CP139" s="227">
        <f t="array" ref="CP139">IF($BU139=0, INDEX(LS_current!$D$4:$AY$138, MATCH('Staging Table'!$A139, LS_current!$B$4:$B$138, 0), MATCH(CP$4&amp;CP$5, LS_current!$D$2:$AY$2&amp;LS_current!$D$3:$AY$3, 0)),SUM(VLOOKUP($A139, LS_current!$B$4:$AY$138, LS_current!T$148, FALSE), VLOOKUP($A139, LS_current!$B$4:$AY$138,LS_current!T$148, FALSE))/2)</f>
        <v>-12387</v>
      </c>
      <c r="CQ139" s="227">
        <f t="array" ref="CQ139">IF($BU139=0, INDEX(LS_current!$D$4:$AY$138, MATCH('Staging Table'!$A139, LS_current!$B$4:$B$138, 0), MATCH(CQ$4&amp;CQ$5, LS_current!$D$2:$AY$2&amp;LS_current!$D$3:$AY$3, 0)),SUM(VLOOKUP($A139, LS_current!$B$4:$AY$138, LS_current!U$148, FALSE), VLOOKUP($A139, LS_current!$B$4:$AY$138,LS_current!U$148, FALSE))/2)</f>
        <v>-6035</v>
      </c>
      <c r="CR139" s="227">
        <f t="array" ref="CR139">IF($BU139=0, INDEX(LS_current!$D$4:$AY$138, MATCH('Staging Table'!$A139, LS_current!$B$4:$B$138, 0), MATCH(CR$4&amp;CR$5, LS_current!$D$2:$AY$2&amp;LS_current!$D$3:$AY$3, 0)),SUM(VLOOKUP($A139, LS_current!$B$4:$AY$138, LS_current!V$148, FALSE), VLOOKUP($A139, LS_current!$B$4:$AY$138,LS_current!V$148, FALSE))/2)</f>
        <v>-8391</v>
      </c>
      <c r="CS139" s="227">
        <f t="array" ref="CS139">IF($BU139=0, INDEX(LS_current!$D$4:$AY$138, MATCH('Staging Table'!$A139, LS_current!$B$4:$B$138, 0), MATCH(CS$4&amp;CS$5, LS_current!$D$2:$AY$2&amp;LS_current!$D$3:$AY$3, 0)),SUM(VLOOKUP($A139, LS_current!$B$4:$AY$138, LS_current!W$148, FALSE), VLOOKUP($A139, LS_current!$B$4:$AY$138,LS_current!W$148, FALSE))/2)</f>
        <v>-1488</v>
      </c>
      <c r="CT139" s="227">
        <f t="array" ref="CT139">IF($BU139=0, INDEX(LS_current!$D$4:$AY$138, MATCH('Staging Table'!$A139, LS_current!$B$4:$B$138, 0), MATCH(CT$4&amp;CT$5, LS_current!$D$2:$AY$2&amp;LS_current!$D$3:$AY$3, 0)),SUM(VLOOKUP($A139, LS_current!$B$4:$AY$138, LS_current!X$148, FALSE), VLOOKUP($A139, LS_current!$B$4:$AY$138,LS_current!X$148, FALSE))/2)</f>
        <v>-7620</v>
      </c>
      <c r="CU139" s="227">
        <f t="array" ref="CU139">IF($BU139=0, INDEX(LS_current!$D$4:$AY$138, MATCH('Staging Table'!$A139, LS_current!$B$4:$B$138, 0), MATCH(CU$4&amp;CU$5, LS_current!$D$2:$AY$2&amp;LS_current!$D$3:$AY$3, 0)),SUM(VLOOKUP($A139, LS_current!$B$4:$AY$138, LS_current!Y$148, FALSE), VLOOKUP($A139, LS_current!$B$4:$AY$138,LS_current!Y$148, FALSE))/2)</f>
        <v>-1296</v>
      </c>
      <c r="CV139" s="227">
        <f t="array" ref="CV139">IF($BU139=0, INDEX(LS_current!$D$4:$AY$138, MATCH('Staging Table'!$A139, LS_current!$B$4:$B$138, 0), MATCH(CV$4&amp;CV$5, LS_current!$D$2:$AY$2&amp;LS_current!$D$3:$AY$3, 0)),SUM(VLOOKUP($A139, LS_current!$B$4:$AY$138, LS_current!Z$148, FALSE), VLOOKUP($A139, LS_current!$B$4:$AY$138,LS_current!Z$148, FALSE))/2)</f>
        <v>-3816</v>
      </c>
      <c r="CW139" s="227">
        <f t="array" ref="CW139">IF($BU139=0, INDEX(LS_current!$D$4:$AY$138, MATCH('Staging Table'!$A139, LS_current!$B$4:$B$138, 0), MATCH(CW$4&amp;CW$5, LS_current!$D$2:$AY$2&amp;LS_current!$D$3:$AY$3, 0)),SUM(VLOOKUP($A139, LS_current!$B$4:$AY$138, LS_current!AA$148, FALSE), VLOOKUP($A139, LS_current!$B$4:$AY$138,LS_current!AA$148, FALSE))/2)</f>
        <v>-1000</v>
      </c>
      <c r="CX139" s="229">
        <f t="array" ref="CX139">INDEX(Demand_current!$D$4:$AY$138, MATCH($A139, Demand_current!$B$4:$B$138, 0), MATCH(CX$4&amp;CX$5,Demand_current!$D$2:$AY$2&amp;Demand_current!$D$3:$AY$3, 0))/1000</f>
        <v>0.38500000000000001</v>
      </c>
      <c r="CY139" s="229">
        <f t="array" ref="CY139">INDEX(Demand_current!$D$4:$AY$138, MATCH($A139, Demand_current!$B$4:$B$138, 0), MATCH(CY$4&amp;CY$5,Demand_current!$D$2:$AY$2&amp;Demand_current!$D$3:$AY$3, 0))/1000</f>
        <v>6.5819999999999999</v>
      </c>
      <c r="CZ139" s="229">
        <f t="array" ref="CZ139">INDEX(Demand_current!$D$4:$AY$138, MATCH($A139, Demand_current!$B$4:$B$138, 0), MATCH(CZ$4&amp;CZ$5,Demand_current!$D$2:$AY$2&amp;Demand_current!$D$3:$AY$3, 0))/1000</f>
        <v>9.9459999999999997</v>
      </c>
      <c r="DA139" s="229">
        <f t="array" ref="DA139">INDEX(Demand_current!$D$4:$AY$138, MATCH($A139, Demand_current!$B$4:$B$138, 0), MATCH(DA$4&amp;DA$5,Demand_current!$D$2:$AY$2&amp;Demand_current!$D$3:$AY$3, 0))/1000</f>
        <v>16.963000000000001</v>
      </c>
      <c r="DB139" s="229">
        <f t="array" ref="DB139">INDEX(Demand_current!$D$4:$AY$138, MATCH($A139, Demand_current!$B$4:$B$138, 0), MATCH(DB$4&amp;DB$5,Demand_current!$D$2:$AY$2&amp;Demand_current!$D$3:$AY$3, 0))/1000</f>
        <v>8.1890000000000001</v>
      </c>
      <c r="DC139" s="229">
        <f t="array" ref="DC139">INDEX(Demand_current!$D$4:$AY$138, MATCH($A139, Demand_current!$B$4:$B$138, 0), MATCH(DC$4&amp;DC$5,Demand_current!$D$2:$AY$2&amp;Demand_current!$D$3:$AY$3, 0))/1000</f>
        <v>6.6390000000000002</v>
      </c>
      <c r="DD139" s="229">
        <f t="array" ref="DD139">INDEX(Demand_current!$D$4:$AY$138, MATCH($A139, Demand_current!$B$4:$B$138, 0), MATCH(DD$4&amp;DD$5,Demand_current!$D$2:$AY$2&amp;Demand_current!$D$3:$AY$3, 0))/1000</f>
        <v>4.649</v>
      </c>
      <c r="DE139" s="229">
        <f t="array" ref="DE139">INDEX(Demand_current!$D$4:$AY$138, MATCH($A139, Demand_current!$B$4:$B$138, 0), MATCH(DE$4&amp;DE$5,Demand_current!$D$2:$AY$2&amp;Demand_current!$D$3:$AY$3, 0))/1000</f>
        <v>0.439</v>
      </c>
      <c r="DF139" s="229">
        <f t="array" ref="DF139">INDEX(Demand_current!$D$4:$AY$138, MATCH($A139, Demand_current!$B$4:$B$138, 0), MATCH(DF$4&amp;DF$5,Demand_current!$D$2:$AY$2&amp;Demand_current!$D$3:$AY$3, 0))/1000</f>
        <v>0.99</v>
      </c>
      <c r="DG139" s="229">
        <f t="array" ref="DG139">INDEX(Demand_current!$D$4:$AY$138, MATCH($A139, Demand_current!$B$4:$B$138, 0), MATCH(DG$4&amp;DG$5,Demand_current!$D$2:$AY$2&amp;Demand_current!$D$3:$AY$3, 0))/1000</f>
        <v>6.681</v>
      </c>
      <c r="DH139" s="229">
        <f t="array" ref="DH139">INDEX(Demand_current!$D$4:$AY$138, MATCH($A139, Demand_current!$B$4:$B$138, 0), MATCH(DH$4&amp;DH$5,Demand_current!$D$2:$AY$2&amp;Demand_current!$D$3:$AY$3, 0))/1000</f>
        <v>2.3490000000000002</v>
      </c>
      <c r="DI139" s="229">
        <f t="array" ref="DI139">INDEX(Demand_current!$D$4:$AY$138, MATCH($A139, Demand_current!$B$4:$B$138, 0), MATCH(DI$4&amp;DI$5,Demand_current!$D$2:$AY$2&amp;Demand_current!$D$3:$AY$3, 0))/1000</f>
        <v>0</v>
      </c>
      <c r="DJ139" s="227">
        <f>$BT139*(VLOOKUP(DJ$4, Rates_current!$G$6:$Q$29, 10, FALSE)+VLOOKUP(DJ$4, Rates_current!$G$6:$Q$29, 11, FALSE))</f>
        <v>29240.546338828797</v>
      </c>
      <c r="DK139" s="227">
        <f>$BT139*(VLOOKUP(DK$4, Rates_current!$G$6:$Q$29, 10, FALSE)+VLOOKUP(DK$4, Rates_current!$G$6:$Q$29, 11, FALSE))</f>
        <v>37144.615615939205</v>
      </c>
      <c r="DL139" s="227">
        <f>$BT139*(VLOOKUP(DL$4, Rates_current!$G$6:$Q$29, 10, FALSE)+VLOOKUP(DL$4, Rates_current!$G$6:$Q$29, 11, FALSE))</f>
        <v>36696.044121228806</v>
      </c>
      <c r="DM139" s="227">
        <f>$BT139*(VLOOKUP(DM$4, Rates_current!$G$6:$Q$29, 10, FALSE)+VLOOKUP(DM$4, Rates_current!$G$6:$Q$29, 11, FALSE))</f>
        <v>30588.387826828806</v>
      </c>
      <c r="DN139" s="227">
        <f>$BT139*(VLOOKUP(DN$4, Rates_current!$G$6:$Q$29, 10, FALSE)+VLOOKUP(DN$4, Rates_current!$G$6:$Q$29, 11, FALSE))</f>
        <v>27709.906071040001</v>
      </c>
      <c r="DO139" s="227">
        <f>$BT139*(VLOOKUP(DO$4, Rates_current!$G$6:$Q$29, 10, FALSE)+VLOOKUP(DO$4, Rates_current!$G$6:$Q$29, 11, FALSE))</f>
        <v>30822.218493833603</v>
      </c>
      <c r="DP139" s="227">
        <f>$BT139*(VLOOKUP(DP$4, Rates_current!$G$6:$Q$29, 10, FALSE)+VLOOKUP(DP$4, Rates_current!$G$6:$Q$29, 11, FALSE))</f>
        <v>25095.483558144002</v>
      </c>
      <c r="DQ139" s="227">
        <f>$BT139*(VLOOKUP(DQ$4, Rates_current!$G$6:$Q$29, 10, FALSE)+VLOOKUP(DQ$4, Rates_current!$G$6:$Q$29, 11, FALSE))</f>
        <v>33845.001729228803</v>
      </c>
      <c r="DR139" s="227">
        <f>$BT139*(VLOOKUP(DR$4, Rates_current!$G$6:$Q$29, 10, FALSE)+VLOOKUP(DR$4, Rates_current!$G$6:$Q$29, 11, FALSE))</f>
        <v>43183.920359744006</v>
      </c>
      <c r="DS139" s="227">
        <f>$BT139*(VLOOKUP(DS$4, Rates_current!$G$6:$Q$29, 10, FALSE)+VLOOKUP(DS$4, Rates_current!$G$6:$Q$29, 11, FALSE))</f>
        <v>33857.562838028804</v>
      </c>
      <c r="DT139" s="227">
        <f>$BT139*(VLOOKUP(DT$4, Rates_current!$G$6:$Q$29, 10, FALSE)+VLOOKUP(DT$4, Rates_current!$G$6:$Q$29, 11, FALSE))</f>
        <v>32970.524375628804</v>
      </c>
      <c r="DU139" s="227">
        <f>$BT139*(VLOOKUP(DU$4, Rates_current!$G$6:$Q$29, 10, FALSE)+VLOOKUP(DU$4, Rates_current!$G$6:$Q$29, 11, FALSE))</f>
        <v>29600.517154944006</v>
      </c>
      <c r="DV139" s="229">
        <f>IF(D139=0,IF(C139=0,MAX(0,DY139 - (VLOOKUP($A139,TOCA_current!$A$2:$AI$137,MATCH("RHWM 2020",TOCA_current!$A$2:$AI$2,0),FALSE)*$BT$2)), 0),0)</f>
        <v>805.48715018242365</v>
      </c>
      <c r="DW139" s="266">
        <f>VLOOKUP($A139,REP_current!$A$1:$D$135,MATCH("FY "&amp;$BT$1&amp; " Total Refund",REP_current!$A$1:$D$1,0),0)</f>
        <v>0</v>
      </c>
      <c r="DX139" s="295">
        <f>MIN(VLOOKUP($A139,TOCA_current!$A$2:$AI$137,MATCH("TRL - NLSL - Existing Resource "&amp;$BT$1,TOCA_current!$A$2:$AI$2,0),FALSE)*$BT$2, VLOOKUP($A139,TOCA_current!$A$2:$AI$137,MATCH("RHWM 2020",TOCA_current!$A$2:$AI$2,0),FALSE)*$BT$2)</f>
        <v>390756.24</v>
      </c>
      <c r="DY139" s="240">
        <f>SUM(BZ139:CW139)+(BT139*RT1SC!$C$4*$BT$2)</f>
        <v>395505.74315018242</v>
      </c>
      <c r="DZ139" s="271">
        <f>VLOOKUP($A139,TOCA_current!$A$2:$AI$137,MATCH("Above RHWM Not Served with LS "&amp;$BT$1,TOCA_current!$A$2:$AI$2,0),FALSE)*$BT$2</f>
        <v>0</v>
      </c>
      <c r="EA139" s="244">
        <f t="shared" si="45"/>
        <v>4749.5031501824269</v>
      </c>
      <c r="EB139" s="295">
        <f>(VLOOKUP($A139,TOCA_current!$A$2:$AI$137,MATCH("RHWM 2020",TOCA_current!$A$2:$AI$2,0),FALSE)*$BT$2) - $DX139</f>
        <v>3944.0160000000033</v>
      </c>
      <c r="EC139" s="240">
        <f t="shared" si="46"/>
        <v>-3944.0160000000033</v>
      </c>
      <c r="ED139" s="240">
        <f t="shared" si="47"/>
        <v>0</v>
      </c>
      <c r="EE139" s="240">
        <f t="shared" si="48"/>
        <v>0</v>
      </c>
      <c r="EF139" s="240">
        <f t="shared" si="49"/>
        <v>-3944.0160000000033</v>
      </c>
    </row>
    <row r="140" spans="1:136">
      <c r="A140" s="166">
        <v>10298</v>
      </c>
      <c r="B140" s="167" t="s">
        <v>140</v>
      </c>
      <c r="C140" s="240">
        <v>0</v>
      </c>
      <c r="D140" s="240">
        <v>0</v>
      </c>
      <c r="E140" s="150">
        <f>VLOOKUP($A140,TOCA_previous!$A$2:$AI$137,MATCH(E$4,TOCA_previous!$A$2:$AI$2,0),FALSE)</f>
        <v>7.4367100000000005E-2</v>
      </c>
      <c r="F140" s="151">
        <f>VLOOKUP($A140,TOCA_previous!$A$2:$AI$137,MATCH(F$4,TOCA_previous!$A$2:$AI$2,0),FALSE)</f>
        <v>7.4367100000000005E-2</v>
      </c>
      <c r="G140" s="151">
        <f t="shared" si="34"/>
        <v>0</v>
      </c>
      <c r="H140" s="151">
        <f>SUMPRODUCT(I6:I139,J6:J139)/SUM(J6:J139)</f>
        <v>7.268139168745319E-2</v>
      </c>
      <c r="I140" s="151">
        <f t="shared" si="35"/>
        <v>0</v>
      </c>
      <c r="J140" s="151">
        <f t="shared" si="36"/>
        <v>0</v>
      </c>
      <c r="K140" s="226">
        <f>VLOOKUP(A140, IRD!$A$5:$C$139, 3, FALSE)</f>
        <v>447254.73800000001</v>
      </c>
      <c r="L140" s="227">
        <f t="array" ref="L140">IF($G140=0, INDEX(LS_previous!$D$4:$AY$138, MATCH('Staging Table'!$A140, LS_previous!$B$4:$B$138, 0), MATCH(L$4&amp;L$5, LS_previous!$D$2:$AY$2&amp;LS_previous!$D$3:$AY$3, 0)),SUM(VLOOKUP($A140, LS_previous!$B$4:$AY$138, LS_previous!D$149, FALSE), VLOOKUP('Staging Table'!$A140, LS_previous!$B$4:$AY$138,LS_previous!AB$149, FALSE))/2)</f>
        <v>-4566</v>
      </c>
      <c r="M140" s="227">
        <f t="array" ref="M140">IF($G140=0, INDEX(LS_previous!$D$4:$AY$138, MATCH('Staging Table'!$A140, LS_previous!$B$4:$B$138, 0), MATCH(M$4&amp;M$5, LS_previous!$D$2:$AY$2&amp;LS_previous!$D$3:$AY$3, 0)),SUM(VLOOKUP($A140, LS_previous!$B$4:$AY$138, LS_previous!E$149, FALSE), VLOOKUP('Staging Table'!$A140, LS_previous!$B$4:$AY$138,LS_previous!AC$149, FALSE))/2)</f>
        <v>9550</v>
      </c>
      <c r="N140" s="227">
        <f t="array" ref="N140">IF($G140=0, INDEX(LS_previous!$D$4:$AY$138, MATCH('Staging Table'!$A140, LS_previous!$B$4:$B$138, 0), MATCH(N$4&amp;N$5, LS_previous!$D$2:$AY$2&amp;LS_previous!$D$3:$AY$3, 0)),SUM(VLOOKUP($A140, LS_previous!$B$4:$AY$138, LS_previous!F$149, FALSE), VLOOKUP('Staging Table'!$A140, LS_previous!$B$4:$AY$138,LS_previous!AD$149, FALSE))/2)</f>
        <v>-23933</v>
      </c>
      <c r="O140" s="227">
        <f t="array" ref="O140">IF($G140=0, INDEX(LS_previous!$D$4:$AY$138, MATCH('Staging Table'!$A140, LS_previous!$B$4:$B$138, 0), MATCH(O$4&amp;O$5, LS_previous!$D$2:$AY$2&amp;LS_previous!$D$3:$AY$3, 0)),SUM(VLOOKUP($A140, LS_previous!$B$4:$AY$138, LS_previous!G$149, FALSE), VLOOKUP('Staging Table'!$A140, LS_previous!$B$4:$AY$138,LS_previous!AE$149, FALSE))/2)</f>
        <v>6537</v>
      </c>
      <c r="P140" s="227">
        <f t="array" ref="P140">IF($G140=0, INDEX(LS_previous!$D$4:$AY$138, MATCH('Staging Table'!$A140, LS_previous!$B$4:$B$138, 0), MATCH(P$4&amp;P$5, LS_previous!$D$2:$AY$2&amp;LS_previous!$D$3:$AY$3, 0)),SUM(VLOOKUP($A140, LS_previous!$B$4:$AY$138, LS_previous!H$149, FALSE), VLOOKUP('Staging Table'!$A140, LS_previous!$B$4:$AY$138,LS_previous!AF$149, FALSE))/2)</f>
        <v>21444</v>
      </c>
      <c r="Q140" s="227">
        <f t="array" ref="Q140">IF($G140=0, INDEX(LS_previous!$D$4:$AY$138, MATCH('Staging Table'!$A140, LS_previous!$B$4:$B$138, 0), MATCH(Q$4&amp;Q$5, LS_previous!$D$2:$AY$2&amp;LS_previous!$D$3:$AY$3, 0)),SUM(VLOOKUP($A140, LS_previous!$B$4:$AY$138, LS_previous!I$149, FALSE), VLOOKUP('Staging Table'!$A140, LS_previous!$B$4:$AY$138,LS_previous!AG$149, FALSE))/2)</f>
        <v>38347</v>
      </c>
      <c r="R140" s="227">
        <f t="array" ref="R140">IF($G140=0, INDEX(LS_previous!$D$4:$AY$138, MATCH('Staging Table'!$A140, LS_previous!$B$4:$B$138, 0), MATCH(R$4&amp;R$5, LS_previous!$D$2:$AY$2&amp;LS_previous!$D$3:$AY$3, 0)),SUM(VLOOKUP($A140, LS_previous!$B$4:$AY$138, LS_previous!J$149, FALSE), VLOOKUP('Staging Table'!$A140, LS_previous!$B$4:$AY$138,LS_previous!AH$149, FALSE))/2)</f>
        <v>52823</v>
      </c>
      <c r="S140" s="227">
        <f t="array" ref="S140">IF($G140=0, INDEX(LS_previous!$D$4:$AY$138, MATCH('Staging Table'!$A140, LS_previous!$B$4:$B$138, 0), MATCH(S$4&amp;S$5, LS_previous!$D$2:$AY$2&amp;LS_previous!$D$3:$AY$3, 0)),SUM(VLOOKUP($A140, LS_previous!$B$4:$AY$138, LS_previous!K$149, FALSE), VLOOKUP('Staging Table'!$A140, LS_previous!$B$4:$AY$138,LS_previous!AI$149, FALSE))/2)</f>
        <v>50202</v>
      </c>
      <c r="T140" s="227">
        <f t="array" ref="T140">IF($G140=0, INDEX(LS_previous!$D$4:$AY$138, MATCH('Staging Table'!$A140, LS_previous!$B$4:$B$138, 0), MATCH(T$4&amp;T$5, LS_previous!$D$2:$AY$2&amp;LS_previous!$D$3:$AY$3, 0)),SUM(VLOOKUP($A140, LS_previous!$B$4:$AY$138, LS_previous!L$149, FALSE), VLOOKUP('Staging Table'!$A140, LS_previous!$B$4:$AY$138,LS_previous!AJ$149, FALSE))/2)</f>
        <v>66144</v>
      </c>
      <c r="U140" s="227">
        <f t="array" ref="U140">IF($G140=0, INDEX(LS_previous!$D$4:$AY$138, MATCH('Staging Table'!$A140, LS_previous!$B$4:$B$138, 0), MATCH(U$4&amp;U$5, LS_previous!$D$2:$AY$2&amp;LS_previous!$D$3:$AY$3, 0)),SUM(VLOOKUP($A140, LS_previous!$B$4:$AY$138, LS_previous!M$149, FALSE), VLOOKUP('Staging Table'!$A140, LS_previous!$B$4:$AY$138,LS_previous!AK$149, FALSE))/2)</f>
        <v>55622</v>
      </c>
      <c r="V140" s="227">
        <f t="array" ref="V140">IF($G140=0, INDEX(LS_previous!$D$4:$AY$138, MATCH('Staging Table'!$A140, LS_previous!$B$4:$B$138, 0), MATCH(V$4&amp;V$5, LS_previous!$D$2:$AY$2&amp;LS_previous!$D$3:$AY$3, 0)),SUM(VLOOKUP($A140, LS_previous!$B$4:$AY$138, LS_previous!N$149, FALSE), VLOOKUP('Staging Table'!$A140, LS_previous!$B$4:$AY$138,LS_previous!AL$149, FALSE))/2)</f>
        <v>12506</v>
      </c>
      <c r="W140" s="227">
        <f t="array" ref="W140">IF($G140=0, INDEX(LS_previous!$D$4:$AY$138, MATCH('Staging Table'!$A140, LS_previous!$B$4:$B$138, 0), MATCH(W$4&amp;W$5, LS_previous!$D$2:$AY$2&amp;LS_previous!$D$3:$AY$3, 0)),SUM(VLOOKUP($A140, LS_previous!$B$4:$AY$138, LS_previous!O$149, FALSE), VLOOKUP('Staging Table'!$A140, LS_previous!$B$4:$AY$138,LS_previous!AM$149, FALSE))/2)</f>
        <v>24505</v>
      </c>
      <c r="X140" s="227">
        <f t="array" ref="X140">IF($G140=0, INDEX(LS_previous!$D$4:$AY$138, MATCH('Staging Table'!$A140, LS_previous!$B$4:$B$138, 0), MATCH(X$4&amp;X$5, LS_previous!$D$2:$AY$2&amp;LS_previous!$D$3:$AY$3, 0)),SUM(VLOOKUP($A140, LS_previous!$B$4:$AY$138, LS_previous!P$149, FALSE), VLOOKUP('Staging Table'!$A140, LS_previous!$B$4:$AY$138,LS_previous!AN$149, FALSE))/2)</f>
        <v>15589</v>
      </c>
      <c r="Y140" s="227">
        <f t="array" ref="Y140">IF($G140=0, INDEX(LS_previous!$D$4:$AY$138, MATCH('Staging Table'!$A140, LS_previous!$B$4:$B$138, 0), MATCH(Y$4&amp;Y$5, LS_previous!$D$2:$AY$2&amp;LS_previous!$D$3:$AY$3, 0)),SUM(VLOOKUP($A140, LS_previous!$B$4:$AY$138, LS_previous!Q$149, FALSE), VLOOKUP('Staging Table'!$A140, LS_previous!$B$4:$AY$138,LS_previous!AO$149, FALSE))/2)</f>
        <v>23580</v>
      </c>
      <c r="Z140" s="227">
        <f t="array" ref="Z140">IF($G140=0, INDEX(LS_previous!$D$4:$AY$138, MATCH('Staging Table'!$A140, LS_previous!$B$4:$B$138, 0), MATCH(Z$4&amp;Z$5, LS_previous!$D$2:$AY$2&amp;LS_previous!$D$3:$AY$3, 0)),SUM(VLOOKUP($A140, LS_previous!$B$4:$AY$138, LS_previous!R$149, FALSE), VLOOKUP('Staging Table'!$A140, LS_previous!$B$4:$AY$138,LS_previous!AP$149, FALSE))/2)</f>
        <v>-84344</v>
      </c>
      <c r="AA140" s="227">
        <f t="array" ref="AA140">IF($G140=0, INDEX(LS_previous!$D$4:$AY$138, MATCH('Staging Table'!$A140, LS_previous!$B$4:$B$138, 0), MATCH(AA$4&amp;AA$5, LS_previous!$D$2:$AY$2&amp;LS_previous!$D$3:$AY$3, 0)),SUM(VLOOKUP($A140, LS_previous!$B$4:$AY$138, LS_previous!S$149, FALSE), VLOOKUP('Staging Table'!$A140, LS_previous!$B$4:$AY$138,LS_previous!AQ$149, FALSE))/2)</f>
        <v>-12711</v>
      </c>
      <c r="AB140" s="227">
        <f t="array" ref="AB140">IF($G140=0, INDEX(LS_previous!$D$4:$AY$138, MATCH('Staging Table'!$A140, LS_previous!$B$4:$B$138, 0), MATCH(AB$4&amp;AB$5, LS_previous!$D$2:$AY$2&amp;LS_previous!$D$3:$AY$3, 0)),SUM(VLOOKUP($A140, LS_previous!$B$4:$AY$138, LS_previous!T$149, FALSE), VLOOKUP('Staging Table'!$A140, LS_previous!$B$4:$AY$138,LS_previous!AR$149, FALSE))/2)</f>
        <v>12378</v>
      </c>
      <c r="AC140" s="227">
        <f t="array" ref="AC140">IF($G140=0, INDEX(LS_previous!$D$4:$AY$138, MATCH('Staging Table'!$A140, LS_previous!$B$4:$B$138, 0), MATCH(AC$4&amp;AC$5, LS_previous!$D$2:$AY$2&amp;LS_previous!$D$3:$AY$3, 0)),SUM(VLOOKUP($A140, LS_previous!$B$4:$AY$138, LS_previous!U$149, FALSE), VLOOKUP('Staging Table'!$A140, LS_previous!$B$4:$AY$138,LS_previous!AS$149, FALSE))/2)</f>
        <v>33575</v>
      </c>
      <c r="AD140" s="227">
        <f t="array" ref="AD140">IF($G140=0, INDEX(LS_previous!$D$4:$AY$138, MATCH('Staging Table'!$A140, LS_previous!$B$4:$B$138, 0), MATCH(AD$4&amp;AD$5, LS_previous!$D$2:$AY$2&amp;LS_previous!$D$3:$AY$3, 0)),SUM(VLOOKUP($A140, LS_previous!$B$4:$AY$138, LS_previous!V$149, FALSE), VLOOKUP('Staging Table'!$A140, LS_previous!$B$4:$AY$138,LS_previous!AT$149, FALSE))/2)</f>
        <v>59798</v>
      </c>
      <c r="AE140" s="227">
        <f t="array" ref="AE140">IF($G140=0, INDEX(LS_previous!$D$4:$AY$138, MATCH('Staging Table'!$A140, LS_previous!$B$4:$B$138, 0), MATCH(AE$4&amp;AE$5, LS_previous!$D$2:$AY$2&amp;LS_previous!$D$3:$AY$3, 0)),SUM(VLOOKUP($A140, LS_previous!$B$4:$AY$138, LS_previous!W$149, FALSE), VLOOKUP('Staging Table'!$A140, LS_previous!$B$4:$AY$138,LS_previous!AU$149, FALSE))/2)</f>
        <v>74623</v>
      </c>
      <c r="AF140" s="227">
        <f t="array" ref="AF140">IF($G140=0, INDEX(LS_previous!$D$4:$AY$138, MATCH('Staging Table'!$A140, LS_previous!$B$4:$B$138, 0), MATCH(AF$4&amp;AF$5, LS_previous!$D$2:$AY$2&amp;LS_previous!$D$3:$AY$3, 0)),SUM(VLOOKUP($A140, LS_previous!$B$4:$AY$138, LS_previous!X$149, FALSE), VLOOKUP('Staging Table'!$A140, LS_previous!$B$4:$AY$138,LS_previous!AV$149, FALSE))/2)</f>
        <v>20509</v>
      </c>
      <c r="AG140" s="227">
        <f t="array" ref="AG140">IF($G140=0, INDEX(LS_previous!$D$4:$AY$138, MATCH('Staging Table'!$A140, LS_previous!$B$4:$B$138, 0), MATCH(AG$4&amp;AG$5, LS_previous!$D$2:$AY$2&amp;LS_previous!$D$3:$AY$3, 0)),SUM(VLOOKUP($A140, LS_previous!$B$4:$AY$138, LS_previous!Y$149, FALSE), VLOOKUP('Staging Table'!$A140, LS_previous!$B$4:$AY$138,LS_previous!AW$149, FALSE))/2)</f>
        <v>51989</v>
      </c>
      <c r="AH140" s="227">
        <f t="array" ref="AH140">IF($G140=0, INDEX(LS_previous!$D$4:$AY$138, MATCH('Staging Table'!$A140, LS_previous!$B$4:$B$138, 0), MATCH(AH$4&amp;AH$5, LS_previous!$D$2:$AY$2&amp;LS_previous!$D$3:$AY$3, 0)),SUM(VLOOKUP($A140, LS_previous!$B$4:$AY$138, LS_previous!Z$149, FALSE), VLOOKUP('Staging Table'!$A140, LS_previous!$B$4:$AY$138,LS_previous!AX$149, FALSE))/2)</f>
        <v>10867</v>
      </c>
      <c r="AI140" s="227">
        <f t="array" ref="AI140">IF($G140=0, INDEX(LS_previous!$D$4:$AY$138, MATCH('Staging Table'!$A140, LS_previous!$B$4:$B$138, 0), MATCH(AI$4&amp;AI$5, LS_previous!$D$2:$AY$2&amp;LS_previous!$D$3:$AY$3, 0)),SUM(VLOOKUP($A140, LS_previous!$B$4:$AY$138, LS_previous!AA$149, FALSE), VLOOKUP('Staging Table'!$A140, LS_previous!$B$4:$AY$138,LS_previous!AY$149, FALSE))/2)</f>
        <v>25146</v>
      </c>
      <c r="AJ140" s="424">
        <f t="array" ref="AJ140">INDEX(Demand_previous!$D$4:$AY$138, MATCH('Staging Table'!$A140, Demand_previous!$B$4:$B$138, 0), MATCH(AJ$4&amp;AJ$5,Demand_previous!$D$2:$AY$2&amp;Demand_previous!$D$3:$AY$3, 0))/1000</f>
        <v>28.707000000000001</v>
      </c>
      <c r="AK140" s="424">
        <f t="array" ref="AK140">INDEX(Demand_previous!$D$4:$AY$138, MATCH('Staging Table'!$A140, Demand_previous!$B$4:$B$138, 0), MATCH(AK$4&amp;AK$5,Demand_previous!$D$2:$AY$2&amp;Demand_previous!$D$3:$AY$3, 0))/1000</f>
        <v>0</v>
      </c>
      <c r="AL140" s="424">
        <f t="array" ref="AL140">INDEX(Demand_previous!$D$4:$AY$138, MATCH('Staging Table'!$A140, Demand_previous!$B$4:$B$138, 0), MATCH(AL$4&amp;AL$5,Demand_previous!$D$2:$AY$2&amp;Demand_previous!$D$3:$AY$3, 0))/1000</f>
        <v>52.472000000000001</v>
      </c>
      <c r="AM140" s="424">
        <f t="array" ref="AM140">INDEX(Demand_previous!$D$4:$AY$138, MATCH('Staging Table'!$A140, Demand_previous!$B$4:$B$138, 0), MATCH(AM$4&amp;AM$5,Demand_previous!$D$2:$AY$2&amp;Demand_previous!$D$3:$AY$3, 0))/1000</f>
        <v>40.027999999999999</v>
      </c>
      <c r="AN140" s="424">
        <f t="array" ref="AN140">INDEX(Demand_previous!$D$4:$AY$138, MATCH('Staging Table'!$A140, Demand_previous!$B$4:$B$138, 0), MATCH(AN$4&amp;AN$5,Demand_previous!$D$2:$AY$2&amp;Demand_previous!$D$3:$AY$3, 0))/1000</f>
        <v>0</v>
      </c>
      <c r="AO140" s="424">
        <f t="array" ref="AO140">INDEX(Demand_previous!$D$4:$AY$138, MATCH('Staging Table'!$A140, Demand_previous!$B$4:$B$138, 0), MATCH(AO$4&amp;AO$5,Demand_previous!$D$2:$AY$2&amp;Demand_previous!$D$3:$AY$3, 0))/1000</f>
        <v>177.43700000000001</v>
      </c>
      <c r="AP140" s="424">
        <f t="array" ref="AP140">INDEX(Demand_previous!$D$4:$AY$138, MATCH('Staging Table'!$A140, Demand_previous!$B$4:$B$138, 0), MATCH(AP$4&amp;AP$5,Demand_previous!$D$2:$AY$2&amp;Demand_previous!$D$3:$AY$3, 0))/1000</f>
        <v>85.864999999999995</v>
      </c>
      <c r="AQ140" s="424">
        <f t="array" ref="AQ140">INDEX(Demand_previous!$D$4:$AY$138, MATCH('Staging Table'!$A140, Demand_previous!$B$4:$B$138, 0), MATCH(AQ$4&amp;AQ$5,Demand_previous!$D$2:$AY$2&amp;Demand_previous!$D$3:$AY$3, 0))/1000</f>
        <v>185.809</v>
      </c>
      <c r="AR140" s="424">
        <f t="array" ref="AR140">INDEX(Demand_previous!$D$4:$AY$138, MATCH('Staging Table'!$A140, Demand_previous!$B$4:$B$138, 0), MATCH(AR$4&amp;AR$5,Demand_previous!$D$2:$AY$2&amp;Demand_previous!$D$3:$AY$3, 0))/1000</f>
        <v>145.803</v>
      </c>
      <c r="AS140" s="424">
        <f t="array" ref="AS140">INDEX(Demand_previous!$D$4:$AY$138, MATCH('Staging Table'!$A140, Demand_previous!$B$4:$B$138, 0), MATCH(AS$4&amp;AS$5,Demand_previous!$D$2:$AY$2&amp;Demand_previous!$D$3:$AY$3, 0))/1000</f>
        <v>146.99700000000001</v>
      </c>
      <c r="AT140" s="424">
        <f t="array" ref="AT140">INDEX(Demand_previous!$D$4:$AY$138, MATCH('Staging Table'!$A140, Demand_previous!$B$4:$B$138, 0), MATCH(AT$4&amp;AT$5,Demand_previous!$D$2:$AY$2&amp;Demand_previous!$D$3:$AY$3, 0))/1000</f>
        <v>213.03299999999999</v>
      </c>
      <c r="AU140" s="424">
        <f t="array" ref="AU140">INDEX(Demand_previous!$D$4:$AY$138, MATCH('Staging Table'!$A140, Demand_previous!$B$4:$B$138, 0), MATCH(AU$4&amp;AU$5,Demand_previous!$D$2:$AY$2&amp;Demand_previous!$D$3:$AY$3, 0))/1000</f>
        <v>163.47300000000001</v>
      </c>
      <c r="AV140" s="227">
        <f>$F140*(VLOOKUP(AV$4, Rates_previous!$G$6:$Q$29, 10, FALSE)+VLOOKUP(AV$4, Rates_previous!$G$6:$Q$29, 11, FALSE))</f>
        <v>348695.26675939618</v>
      </c>
      <c r="AW140" s="227">
        <f>$F140*(VLOOKUP(AW$4, Rates_previous!$G$6:$Q$29, 10, FALSE)+VLOOKUP(AW$4, Rates_previous!$G$6:$Q$29, 11, FALSE))</f>
        <v>430960.84746984433</v>
      </c>
      <c r="AX140" s="227">
        <f>$F140*(VLOOKUP(AX$4, Rates_previous!$G$6:$Q$29, 10, FALSE)+VLOOKUP(AX$4, Rates_previous!$G$6:$Q$29, 11, FALSE))</f>
        <v>425785.52314580261</v>
      </c>
      <c r="AY140" s="227">
        <f>$F140*(VLOOKUP(AY$4, Rates_previous!$G$6:$Q$29, 10, FALSE)+VLOOKUP(AY$4, Rates_previous!$G$6:$Q$29, 11, FALSE))</f>
        <v>363793.14546500525</v>
      </c>
      <c r="AZ140" s="227">
        <f>$F140*(VLOOKUP(AZ$4, Rates_previous!$G$6:$Q$29, 10, FALSE)+VLOOKUP(AZ$4, Rates_previous!$G$6:$Q$29, 11, FALSE))</f>
        <v>298239.81390727451</v>
      </c>
      <c r="BA140" s="227">
        <f>$F140*(VLOOKUP(BA$4, Rates_previous!$G$6:$Q$29, 10, FALSE)+VLOOKUP(BA$4, Rates_previous!$G$6:$Q$29, 11, FALSE))</f>
        <v>353105.10659080127</v>
      </c>
      <c r="BB140" s="227">
        <f>$F140*(VLOOKUP(BB$4, Rates_previous!$G$6:$Q$29, 10, FALSE)+VLOOKUP(BB$4, Rates_previous!$G$6:$Q$29, 11, FALSE))</f>
        <v>339385.36970506888</v>
      </c>
      <c r="BC140" s="227">
        <f>$F140*(VLOOKUP(BC$4, Rates_previous!$G$6:$Q$29, 10, FALSE)+VLOOKUP(BC$4, Rates_previous!$G$6:$Q$29, 11, FALSE))</f>
        <v>498024.01420096238</v>
      </c>
      <c r="BD140" s="227">
        <f>$F140*(VLOOKUP(BD$4, Rates_previous!$G$6:$Q$29, 10, FALSE)+VLOOKUP(BD$4, Rates_previous!$G$6:$Q$29, 11, FALSE))</f>
        <v>392927.78426941432</v>
      </c>
      <c r="BE140" s="227">
        <f>$F140*(VLOOKUP(BE$4, Rates_previous!$G$6:$Q$29, 10, FALSE)+VLOOKUP(BE$4, Rates_previous!$G$6:$Q$29, 11, FALSE))</f>
        <v>345023.57519047189</v>
      </c>
      <c r="BF140" s="227">
        <f>$F140*(VLOOKUP(BF$4, Rates_previous!$G$6:$Q$29, 10, FALSE)+VLOOKUP(BF$4, Rates_previous!$G$6:$Q$29, 11, FALSE))</f>
        <v>382127.42002802831</v>
      </c>
      <c r="BG140" s="227">
        <f>$F140*(VLOOKUP(BG$4, Rates_previous!$G$6:$Q$29, 10, FALSE)+VLOOKUP(BG$4, Rates_previous!$G$6:$Q$29, 11, FALSE))</f>
        <v>346192.2462903061</v>
      </c>
      <c r="BH140" s="229">
        <f>IF($D140=0,IF(C140=0, MAX(BK140 - (VLOOKUP($A140,TOCA_previous!$A$2:$AI$137,MATCH("RHWM 2018",TOCA_previous!$A$2:$AI$2,0),FALSE)*$F$2*TOCA_previous!C137),0),0), 0)</f>
        <v>494759.89902741555</v>
      </c>
      <c r="BI140" s="266">
        <f>VLOOKUP($A140,REP_previous!$A$1:$D$135,MATCH("FY "&amp;$F$1&amp; " Total Refund",REP_previous!$A$1:$D$1,0),0)</f>
        <v>5322915.4195733145</v>
      </c>
      <c r="BJ140" s="241">
        <f>MIN(VLOOKUP($A140,TOCA_previous!$A$2:$AI$137,MATCH("TRL - NLSL - Existing Resource "&amp;$F$1,TOCA_previous!$A$2:$AI$2,0),FALSE)*$F$2,(VLOOKUP($A140,TOCA_previous!$A$2:$AI$137,MATCH("RHWM 2018",TOCA_previous!$A$2:$AI$2,0),FALSE)*$F$2))</f>
        <v>4569680.28</v>
      </c>
      <c r="BK140" s="229">
        <f>SUM(L140:AI140)+(F140*RT1SC!$C$3*$F$2)</f>
        <v>5064440.1790274158</v>
      </c>
      <c r="BL140" s="241">
        <f>VLOOKUP($A140,TOCA_previous!$A$2:$AI$137,MATCH("Above RHWM Not Served with LS "&amp;$F$1,TOCA_previous!$A$2:$AI$2,0),FALSE)*$F$2</f>
        <v>692031.24</v>
      </c>
      <c r="BM140" s="151">
        <f t="shared" si="37"/>
        <v>494759.89902741555</v>
      </c>
      <c r="BN140" s="242">
        <f>(VLOOKUP($A140,TOCA_previous!$A$2:$AI$137,MATCH("RHWM 2018",TOCA_previous!$A$2:$AI$2,0),FALSE)*$F$2) - $BJ140</f>
        <v>0</v>
      </c>
      <c r="BO140" s="151">
        <f t="shared" si="38"/>
        <v>0</v>
      </c>
      <c r="BP140" s="243">
        <f t="shared" si="39"/>
        <v>0</v>
      </c>
      <c r="BQ140" s="237">
        <f t="shared" si="40"/>
        <v>0</v>
      </c>
      <c r="BR140" s="242">
        <f t="shared" si="41"/>
        <v>0</v>
      </c>
      <c r="BS140" s="151">
        <f>VLOOKUP($A140,TOCA_current!$A$2:$AI$137,MATCH(BS$4,TOCA_current!$A$2:$AI$2,0),FALSE)</f>
        <v>7.4377399999999996E-2</v>
      </c>
      <c r="BT140" s="151">
        <f>VLOOKUP($A140,TOCA_current!$A$2:$AI$137,MATCH(BT$4,TOCA_current!$A$2:$AI$2,0),FALSE)</f>
        <v>7.4377399999999996E-2</v>
      </c>
      <c r="BU140" s="236">
        <f t="shared" si="42"/>
        <v>0</v>
      </c>
      <c r="BV140" s="151">
        <f>SUMPRODUCT(BW6:BW139,BX6:BX139)/SUM(BX6:BX139)</f>
        <v>7.6755777002557229E-2</v>
      </c>
      <c r="BW140" s="151">
        <f t="shared" si="43"/>
        <v>0</v>
      </c>
      <c r="BX140" s="151">
        <f t="shared" si="44"/>
        <v>0</v>
      </c>
      <c r="BY140" s="226">
        <f>VLOOKUP($A140,IRD!$A$4:$G$139, 7, FALSE)</f>
        <v>447254.73800000001</v>
      </c>
      <c r="BZ140" s="227">
        <f t="array" ref="BZ140">IF($BU140=0, INDEX(LS_current!$D$4:$AY$138, MATCH('Staging Table'!$A140, LS_current!$B$4:$B$138, 0), MATCH(BZ$4&amp;BZ$5, LS_current!$D$2:$AY$2&amp;LS_current!$D$3:$AY$3, 0)),SUM(VLOOKUP($A140, LS_current!$B$4:$AY$138, LS_current!D$148, FALSE), VLOOKUP($A140, LS_current!$B$4:$AY$138,LS_current!D$148, FALSE))/2)</f>
        <v>-23237</v>
      </c>
      <c r="CA140" s="227">
        <f t="array" ref="CA140">IF($BU140=0, INDEX(LS_current!$D$4:$AY$138, MATCH('Staging Table'!$A140, LS_current!$B$4:$B$138, 0), MATCH(CA$4&amp;CA$5, LS_current!$D$2:$AY$2&amp;LS_current!$D$3:$AY$3, 0)),SUM(VLOOKUP($A140, LS_current!$B$4:$AY$138, LS_current!E$148, FALSE), VLOOKUP($A140, LS_current!$B$4:$AY$138,LS_current!E$148, FALSE))/2)</f>
        <v>-1635</v>
      </c>
      <c r="CB140" s="227">
        <f t="array" ref="CB140">IF($BU140=0, INDEX(LS_current!$D$4:$AY$138, MATCH('Staging Table'!$A140, LS_current!$B$4:$B$138, 0), MATCH(CB$4&amp;CB$5, LS_current!$D$2:$AY$2&amp;LS_current!$D$3:$AY$3, 0)),SUM(VLOOKUP($A140, LS_current!$B$4:$AY$138, LS_current!F$148, FALSE), VLOOKUP($A140, LS_current!$B$4:$AY$138,LS_current!F$148, FALSE))/2)</f>
        <v>-44779</v>
      </c>
      <c r="CC140" s="227">
        <f t="array" ref="CC140">IF($BU140=0, INDEX(LS_current!$D$4:$AY$138, MATCH('Staging Table'!$A140, LS_current!$B$4:$B$138, 0), MATCH(CC$4&amp;CC$5, LS_current!$D$2:$AY$2&amp;LS_current!$D$3:$AY$3, 0)),SUM(VLOOKUP($A140, LS_current!$B$4:$AY$138, LS_current!G$148, FALSE), VLOOKUP($A140, LS_current!$B$4:$AY$138,LS_current!G$148, FALSE))/2)</f>
        <v>-11954</v>
      </c>
      <c r="CD140" s="227">
        <f t="array" ref="CD140">IF($BU140=0, INDEX(LS_current!$D$4:$AY$138, MATCH('Staging Table'!$A140, LS_current!$B$4:$B$138, 0), MATCH(CD$4&amp;CD$5, LS_current!$D$2:$AY$2&amp;LS_current!$D$3:$AY$3, 0)),SUM(VLOOKUP($A140, LS_current!$B$4:$AY$138, LS_current!H$148, FALSE), VLOOKUP($A140, LS_current!$B$4:$AY$138,LS_current!H$148, FALSE))/2)</f>
        <v>158</v>
      </c>
      <c r="CE140" s="227">
        <f t="array" ref="CE140">IF($BU140=0, INDEX(LS_current!$D$4:$AY$138, MATCH('Staging Table'!$A140, LS_current!$B$4:$B$138, 0), MATCH(CE$4&amp;CE$5, LS_current!$D$2:$AY$2&amp;LS_current!$D$3:$AY$3, 0)),SUM(VLOOKUP($A140, LS_current!$B$4:$AY$138, LS_current!I$148, FALSE), VLOOKUP($A140, LS_current!$B$4:$AY$138,LS_current!I$148, FALSE))/2)</f>
        <v>19304</v>
      </c>
      <c r="CF140" s="227">
        <f t="array" ref="CF140">IF($BU140=0, INDEX(LS_current!$D$4:$AY$138, MATCH('Staging Table'!$A140, LS_current!$B$4:$B$138, 0), MATCH(CF$4&amp;CF$5, LS_current!$D$2:$AY$2&amp;LS_current!$D$3:$AY$3, 0)),SUM(VLOOKUP($A140, LS_current!$B$4:$AY$138, LS_current!J$148, FALSE), VLOOKUP($A140, LS_current!$B$4:$AY$138,LS_current!J$148, FALSE))/2)</f>
        <v>32160</v>
      </c>
      <c r="CG140" s="227">
        <f t="array" ref="CG140">IF($BU140=0, INDEX(LS_current!$D$4:$AY$138, MATCH('Staging Table'!$A140, LS_current!$B$4:$B$138, 0), MATCH(CG$4&amp;CG$5, LS_current!$D$2:$AY$2&amp;LS_current!$D$3:$AY$3, 0)),SUM(VLOOKUP($A140, LS_current!$B$4:$AY$138, LS_current!K$148, FALSE), VLOOKUP($A140, LS_current!$B$4:$AY$138,LS_current!K$148, FALSE))/2)</f>
        <v>40275</v>
      </c>
      <c r="CH140" s="227">
        <f t="array" ref="CH140">IF($BU140=0, INDEX(LS_current!$D$4:$AY$138, MATCH('Staging Table'!$A140, LS_current!$B$4:$B$138, 0), MATCH(CH$4&amp;CH$5, LS_current!$D$2:$AY$2&amp;LS_current!$D$3:$AY$3, 0)),SUM(VLOOKUP($A140, LS_current!$B$4:$AY$138, LS_current!L$148, FALSE), VLOOKUP($A140, LS_current!$B$4:$AY$138,LS_current!L$148, FALSE))/2)</f>
        <v>29060</v>
      </c>
      <c r="CI140" s="227">
        <f t="array" ref="CI140">IF($BU140=0, INDEX(LS_current!$D$4:$AY$138, MATCH('Staging Table'!$A140, LS_current!$B$4:$B$138, 0), MATCH(CI$4&amp;CI$5, LS_current!$D$2:$AY$2&amp;LS_current!$D$3:$AY$3, 0)),SUM(VLOOKUP($A140, LS_current!$B$4:$AY$138, LS_current!M$148, FALSE), VLOOKUP($A140, LS_current!$B$4:$AY$138,LS_current!M$148, FALSE))/2)</f>
        <v>30741</v>
      </c>
      <c r="CJ140" s="227">
        <f t="array" ref="CJ140">IF($BU140=0, INDEX(LS_current!$D$4:$AY$138, MATCH('Staging Table'!$A140, LS_current!$B$4:$B$138, 0), MATCH(CJ$4&amp;CJ$5, LS_current!$D$2:$AY$2&amp;LS_current!$D$3:$AY$3, 0)),SUM(VLOOKUP($A140, LS_current!$B$4:$AY$138, LS_current!N$148, FALSE), VLOOKUP($A140, LS_current!$B$4:$AY$138,LS_current!N$148, FALSE))/2)</f>
        <v>-12746</v>
      </c>
      <c r="CK140" s="227">
        <f t="array" ref="CK140">IF($BU140=0, INDEX(LS_current!$D$4:$AY$138, MATCH('Staging Table'!$A140, LS_current!$B$4:$B$138, 0), MATCH(CK$4&amp;CK$5, LS_current!$D$2:$AY$2&amp;LS_current!$D$3:$AY$3, 0)),SUM(VLOOKUP($A140, LS_current!$B$4:$AY$138, LS_current!O$148, FALSE), VLOOKUP($A140, LS_current!$B$4:$AY$138,LS_current!O$148, FALSE))/2)</f>
        <v>5781</v>
      </c>
      <c r="CL140" s="227">
        <f t="array" ref="CL140">IF($BU140=0, INDEX(LS_current!$D$4:$AY$138, MATCH('Staging Table'!$A140, LS_current!$B$4:$B$138, 0), MATCH(CL$4&amp;CL$5, LS_current!$D$2:$AY$2&amp;LS_current!$D$3:$AY$3, 0)),SUM(VLOOKUP($A140, LS_current!$B$4:$AY$138, LS_current!P$148, FALSE), VLOOKUP($A140, LS_current!$B$4:$AY$138,LS_current!P$148, FALSE))/2)</f>
        <v>27478</v>
      </c>
      <c r="CM140" s="227">
        <f t="array" ref="CM140">IF($BU140=0, INDEX(LS_current!$D$4:$AY$138, MATCH('Staging Table'!$A140, LS_current!$B$4:$B$138, 0), MATCH(CM$4&amp;CM$5, LS_current!$D$2:$AY$2&amp;LS_current!$D$3:$AY$3, 0)),SUM(VLOOKUP($A140, LS_current!$B$4:$AY$138, LS_current!Q$148, FALSE), VLOOKUP($A140, LS_current!$B$4:$AY$138,LS_current!Q$148, FALSE))/2)</f>
        <v>22340</v>
      </c>
      <c r="CN140" s="227">
        <f t="array" ref="CN140">IF($BU140=0, INDEX(LS_current!$D$4:$AY$138, MATCH('Staging Table'!$A140, LS_current!$B$4:$B$138, 0), MATCH(CN$4&amp;CN$5, LS_current!$D$2:$AY$2&amp;LS_current!$D$3:$AY$3, 0)),SUM(VLOOKUP($A140, LS_current!$B$4:$AY$138, LS_current!R$148, FALSE), VLOOKUP($A140, LS_current!$B$4:$AY$138,LS_current!R$148, FALSE))/2)</f>
        <v>-42495</v>
      </c>
      <c r="CO140" s="227">
        <f t="array" ref="CO140">IF($BU140=0, INDEX(LS_current!$D$4:$AY$138, MATCH('Staging Table'!$A140, LS_current!$B$4:$B$138, 0), MATCH(CO$4&amp;CO$5, LS_current!$D$2:$AY$2&amp;LS_current!$D$3:$AY$3, 0)),SUM(VLOOKUP($A140, LS_current!$B$4:$AY$138, LS_current!S$148, FALSE), VLOOKUP($A140, LS_current!$B$4:$AY$138,LS_current!S$148, FALSE))/2)</f>
        <v>10834</v>
      </c>
      <c r="CP140" s="227">
        <f t="array" ref="CP140">IF($BU140=0, INDEX(LS_current!$D$4:$AY$138, MATCH('Staging Table'!$A140, LS_current!$B$4:$B$138, 0), MATCH(CP$4&amp;CP$5, LS_current!$D$2:$AY$2&amp;LS_current!$D$3:$AY$3, 0)),SUM(VLOOKUP($A140, LS_current!$B$4:$AY$138, LS_current!T$148, FALSE), VLOOKUP($A140, LS_current!$B$4:$AY$138,LS_current!T$148, FALSE))/2)</f>
        <v>-79377</v>
      </c>
      <c r="CQ140" s="227">
        <f t="array" ref="CQ140">IF($BU140=0, INDEX(LS_current!$D$4:$AY$138, MATCH('Staging Table'!$A140, LS_current!$B$4:$B$138, 0), MATCH(CQ$4&amp;CQ$5, LS_current!$D$2:$AY$2&amp;LS_current!$D$3:$AY$3, 0)),SUM(VLOOKUP($A140, LS_current!$B$4:$AY$138, LS_current!U$148, FALSE), VLOOKUP($A140, LS_current!$B$4:$AY$138,LS_current!U$148, FALSE))/2)</f>
        <v>-22922</v>
      </c>
      <c r="CR140" s="227">
        <f t="array" ref="CR140">IF($BU140=0, INDEX(LS_current!$D$4:$AY$138, MATCH('Staging Table'!$A140, LS_current!$B$4:$B$138, 0), MATCH(CR$4&amp;CR$5, LS_current!$D$2:$AY$2&amp;LS_current!$D$3:$AY$3, 0)),SUM(VLOOKUP($A140, LS_current!$B$4:$AY$138, LS_current!V$148, FALSE), VLOOKUP($A140, LS_current!$B$4:$AY$138,LS_current!V$148, FALSE))/2)</f>
        <v>-9270</v>
      </c>
      <c r="CS140" s="227">
        <f t="array" ref="CS140">IF($BU140=0, INDEX(LS_current!$D$4:$AY$138, MATCH('Staging Table'!$A140, LS_current!$B$4:$B$138, 0), MATCH(CS$4&amp;CS$5, LS_current!$D$2:$AY$2&amp;LS_current!$D$3:$AY$3, 0)),SUM(VLOOKUP($A140, LS_current!$B$4:$AY$138, LS_current!W$148, FALSE), VLOOKUP($A140, LS_current!$B$4:$AY$138,LS_current!W$148, FALSE))/2)</f>
        <v>55937</v>
      </c>
      <c r="CT140" s="227">
        <f t="array" ref="CT140">IF($BU140=0, INDEX(LS_current!$D$4:$AY$138, MATCH('Staging Table'!$A140, LS_current!$B$4:$B$138, 0), MATCH(CT$4&amp;CT$5, LS_current!$D$2:$AY$2&amp;LS_current!$D$3:$AY$3, 0)),SUM(VLOOKUP($A140, LS_current!$B$4:$AY$138, LS_current!X$148, FALSE), VLOOKUP($A140, LS_current!$B$4:$AY$138,LS_current!X$148, FALSE))/2)</f>
        <v>-7584</v>
      </c>
      <c r="CU140" s="227">
        <f t="array" ref="CU140">IF($BU140=0, INDEX(LS_current!$D$4:$AY$138, MATCH('Staging Table'!$A140, LS_current!$B$4:$B$138, 0), MATCH(CU$4&amp;CU$5, LS_current!$D$2:$AY$2&amp;LS_current!$D$3:$AY$3, 0)),SUM(VLOOKUP($A140, LS_current!$B$4:$AY$138, LS_current!Y$148, FALSE), VLOOKUP($A140, LS_current!$B$4:$AY$138,LS_current!Y$148, FALSE))/2)</f>
        <v>39850</v>
      </c>
      <c r="CV140" s="227">
        <f t="array" ref="CV140">IF($BU140=0, INDEX(LS_current!$D$4:$AY$138, MATCH('Staging Table'!$A140, LS_current!$B$4:$B$138, 0), MATCH(CV$4&amp;CV$5, LS_current!$D$2:$AY$2&amp;LS_current!$D$3:$AY$3, 0)),SUM(VLOOKUP($A140, LS_current!$B$4:$AY$138, LS_current!Z$148, FALSE), VLOOKUP($A140, LS_current!$B$4:$AY$138,LS_current!Z$148, FALSE))/2)</f>
        <v>-10624</v>
      </c>
      <c r="CW140" s="227">
        <f t="array" ref="CW140">IF($BU140=0, INDEX(LS_current!$D$4:$AY$138, MATCH('Staging Table'!$A140, LS_current!$B$4:$B$138, 0), MATCH(CW$4&amp;CW$5, LS_current!$D$2:$AY$2&amp;LS_current!$D$3:$AY$3, 0)),SUM(VLOOKUP($A140, LS_current!$B$4:$AY$138, LS_current!AA$148, FALSE), VLOOKUP($A140, LS_current!$B$4:$AY$138,LS_current!AA$148, FALSE))/2)</f>
        <v>11182</v>
      </c>
      <c r="CX140" s="229">
        <f t="array" ref="CX140">INDEX(Demand_current!$D$4:$AY$138, MATCH($A140, Demand_current!$B$4:$B$138, 0), MATCH(CX$4&amp;CX$5,Demand_current!$D$2:$AY$2&amp;Demand_current!$D$3:$AY$3, 0))/1000</f>
        <v>51.610999999999997</v>
      </c>
      <c r="CY140" s="229">
        <f t="array" ref="CY140">INDEX(Demand_current!$D$4:$AY$138, MATCH($A140, Demand_current!$B$4:$B$138, 0), MATCH(CY$4&amp;CY$5,Demand_current!$D$2:$AY$2&amp;Demand_current!$D$3:$AY$3, 0))/1000</f>
        <v>0</v>
      </c>
      <c r="CZ140" s="229">
        <f t="array" ref="CZ140">INDEX(Demand_current!$D$4:$AY$138, MATCH($A140, Demand_current!$B$4:$B$138, 0), MATCH(CZ$4&amp;CZ$5,Demand_current!$D$2:$AY$2&amp;Demand_current!$D$3:$AY$3, 0))/1000</f>
        <v>52.472000000000001</v>
      </c>
      <c r="DA140" s="229">
        <f t="array" ref="DA140">INDEX(Demand_current!$D$4:$AY$138, MATCH($A140, Demand_current!$B$4:$B$138, 0), MATCH(DA$4&amp;DA$5,Demand_current!$D$2:$AY$2&amp;Demand_current!$D$3:$AY$3, 0))/1000</f>
        <v>40.027999999999999</v>
      </c>
      <c r="DB140" s="229">
        <f t="array" ref="DB140">INDEX(Demand_current!$D$4:$AY$138, MATCH($A140, Demand_current!$B$4:$B$138, 0), MATCH(DB$4&amp;DB$5,Demand_current!$D$2:$AY$2&amp;Demand_current!$D$3:$AY$3, 0))/1000</f>
        <v>0</v>
      </c>
      <c r="DC140" s="229">
        <f t="array" ref="DC140">INDEX(Demand_current!$D$4:$AY$138, MATCH($A140, Demand_current!$B$4:$B$138, 0), MATCH(DC$4&amp;DC$5,Demand_current!$D$2:$AY$2&amp;Demand_current!$D$3:$AY$3, 0))/1000</f>
        <v>153.24799999999999</v>
      </c>
      <c r="DD140" s="229">
        <f t="array" ref="DD140">INDEX(Demand_current!$D$4:$AY$138, MATCH($A140, Demand_current!$B$4:$B$138, 0), MATCH(DD$4&amp;DD$5,Demand_current!$D$2:$AY$2&amp;Demand_current!$D$3:$AY$3, 0))/1000</f>
        <v>111.67100000000001</v>
      </c>
      <c r="DE140" s="229">
        <f t="array" ref="DE140">INDEX(Demand_current!$D$4:$AY$138, MATCH($A140, Demand_current!$B$4:$B$138, 0), MATCH(DE$4&amp;DE$5,Demand_current!$D$2:$AY$2&amp;Demand_current!$D$3:$AY$3, 0))/1000</f>
        <v>159.77799999999999</v>
      </c>
      <c r="DF140" s="229">
        <f t="array" ref="DF140">INDEX(Demand_current!$D$4:$AY$138, MATCH($A140, Demand_current!$B$4:$B$138, 0), MATCH(DF$4&amp;DF$5,Demand_current!$D$2:$AY$2&amp;Demand_current!$D$3:$AY$3, 0))/1000</f>
        <v>145.803</v>
      </c>
      <c r="DG140" s="229">
        <f t="array" ref="DG140">INDEX(Demand_current!$D$4:$AY$138, MATCH($A140, Demand_current!$B$4:$B$138, 0), MATCH(DG$4&amp;DG$5,Demand_current!$D$2:$AY$2&amp;Demand_current!$D$3:$AY$3, 0))/1000</f>
        <v>177.87100000000001</v>
      </c>
      <c r="DH140" s="229">
        <f t="array" ref="DH140">INDEX(Demand_current!$D$4:$AY$138, MATCH($A140, Demand_current!$B$4:$B$138, 0), MATCH(DH$4&amp;DH$5,Demand_current!$D$2:$AY$2&amp;Demand_current!$D$3:$AY$3, 0))/1000</f>
        <v>185.14</v>
      </c>
      <c r="DI140" s="229">
        <f t="array" ref="DI140">INDEX(Demand_current!$D$4:$AY$138, MATCH($A140, Demand_current!$B$4:$B$138, 0), MATCH(DI$4&amp;DI$5,Demand_current!$D$2:$AY$2&amp;Demand_current!$D$3:$AY$3, 0))/1000</f>
        <v>191.011</v>
      </c>
      <c r="DJ140" s="227">
        <f>$BT140*(VLOOKUP(DJ$4, Rates_current!$G$6:$Q$29, 10, FALSE)+VLOOKUP(DJ$4, Rates_current!$G$6:$Q$29, 11, FALSE))</f>
        <v>343424.04801377037</v>
      </c>
      <c r="DK140" s="227">
        <f>$BT140*(VLOOKUP(DK$4, Rates_current!$G$6:$Q$29, 10, FALSE)+VLOOKUP(DK$4, Rates_current!$G$6:$Q$29, 11, FALSE))</f>
        <v>436255.6741903986</v>
      </c>
      <c r="DL140" s="227">
        <f>$BT140*(VLOOKUP(DL$4, Rates_current!$G$6:$Q$29, 10, FALSE)+VLOOKUP(DL$4, Rates_current!$G$6:$Q$29, 11, FALSE))</f>
        <v>430987.29661797039</v>
      </c>
      <c r="DM140" s="227">
        <f>$BT140*(VLOOKUP(DM$4, Rates_current!$G$6:$Q$29, 10, FALSE)+VLOOKUP(DM$4, Rates_current!$G$6:$Q$29, 11, FALSE))</f>
        <v>359254.16194277041</v>
      </c>
      <c r="DN140" s="227">
        <f>$BT140*(VLOOKUP(DN$4, Rates_current!$G$6:$Q$29, 10, FALSE)+VLOOKUP(DN$4, Rates_current!$G$6:$Q$29, 11, FALSE))</f>
        <v>325447.00098031998</v>
      </c>
      <c r="DO140" s="227">
        <f>$BT140*(VLOOKUP(DO$4, Rates_current!$G$6:$Q$29, 10, FALSE)+VLOOKUP(DO$4, Rates_current!$G$6:$Q$29, 11, FALSE))</f>
        <v>362000.4537966238</v>
      </c>
      <c r="DP140" s="227">
        <f>$BT140*(VLOOKUP(DP$4, Rates_current!$G$6:$Q$29, 10, FALSE)+VLOOKUP(DP$4, Rates_current!$G$6:$Q$29, 11, FALSE))</f>
        <v>294741.16011835198</v>
      </c>
      <c r="DQ140" s="227">
        <f>$BT140*(VLOOKUP(DQ$4, Rates_current!$G$6:$Q$29, 10, FALSE)+VLOOKUP(DQ$4, Rates_current!$G$6:$Q$29, 11, FALSE))</f>
        <v>397502.40519447043</v>
      </c>
      <c r="DR140" s="227">
        <f>$BT140*(VLOOKUP(DR$4, Rates_current!$G$6:$Q$29, 10, FALSE)+VLOOKUP(DR$4, Rates_current!$G$6:$Q$29, 11, FALSE))</f>
        <v>507186.03432365198</v>
      </c>
      <c r="DS140" s="227">
        <f>$BT140*(VLOOKUP(DS$4, Rates_current!$G$6:$Q$29, 10, FALSE)+VLOOKUP(DS$4, Rates_current!$G$6:$Q$29, 11, FALSE))</f>
        <v>397649.93276737042</v>
      </c>
      <c r="DT140" s="227">
        <f>$BT140*(VLOOKUP(DT$4, Rates_current!$G$6:$Q$29, 10, FALSE)+VLOOKUP(DT$4, Rates_current!$G$6:$Q$29, 11, FALSE))</f>
        <v>387231.85316067043</v>
      </c>
      <c r="DU140" s="227">
        <f>$BT140*(VLOOKUP(DU$4, Rates_current!$G$6:$Q$29, 10, FALSE)+VLOOKUP(DU$4, Rates_current!$G$6:$Q$29, 11, FALSE))</f>
        <v>347651.82930775202</v>
      </c>
      <c r="DV140" s="229">
        <f>IF(D140=0,IF(C140=0,MAX(0,DY140 - (VLOOKUP($A140,TOCA_current!$A$2:$AI$137,MATCH("RHWM 2020",TOCA_current!$A$2:$AI$2,0),FALSE)*$BT$2)), 0),0)</f>
        <v>15513.918672178872</v>
      </c>
      <c r="DW140" s="266">
        <f>VLOOKUP($A140,REP_current!$A$1:$D$135,MATCH("FY "&amp;$BT$1&amp; " Total Refund",REP_current!$A$1:$D$1,0),0)</f>
        <v>0</v>
      </c>
      <c r="DX140" s="295">
        <f>MIN(VLOOKUP($A140,TOCA_current!$A$2:$AI$137,MATCH("TRL - NLSL - Existing Resource "&amp;$BT$1,TOCA_current!$A$2:$AI$2,0),FALSE)*$BT$2, VLOOKUP($A140,TOCA_current!$A$2:$AI$137,MATCH("RHWM 2020",TOCA_current!$A$2:$AI$2,0),FALSE)*$BT$2)</f>
        <v>4632295.1040000003</v>
      </c>
      <c r="DY140" s="240">
        <f>SUM(BZ140:CW140)+(BT140*RT1SC!$C$4*$BT$2)</f>
        <v>4647809.0226721792</v>
      </c>
      <c r="DZ140" s="271">
        <f>VLOOKUP($A140,TOCA_current!$A$2:$AI$137,MATCH("Above RHWM Not Served with LS "&amp;$BT$1,TOCA_current!$A$2:$AI$2,0),FALSE)*$BT$2</f>
        <v>1108663.7760000001</v>
      </c>
      <c r="EA140" s="244">
        <f t="shared" si="45"/>
        <v>15513.918672178872</v>
      </c>
      <c r="EB140" s="295">
        <f>(VLOOKUP($A140,TOCA_current!$A$2:$AI$137,MATCH("RHWM 2020",TOCA_current!$A$2:$AI$2,0),FALSE)*$BT$2) - $DX140</f>
        <v>0</v>
      </c>
      <c r="EC140" s="240">
        <f t="shared" si="46"/>
        <v>0</v>
      </c>
      <c r="ED140" s="240">
        <f t="shared" si="47"/>
        <v>0</v>
      </c>
      <c r="EE140" s="240">
        <f t="shared" si="48"/>
        <v>0</v>
      </c>
      <c r="EF140" s="240">
        <f t="shared" si="49"/>
        <v>0</v>
      </c>
    </row>
    <row r="141" spans="1:136">
      <c r="DJ141" s="227"/>
      <c r="DK141" s="227"/>
      <c r="DL141" s="227"/>
      <c r="DM141" s="227"/>
      <c r="DN141" s="227"/>
      <c r="DO141" s="227"/>
      <c r="DP141" s="227"/>
      <c r="DQ141" s="227"/>
      <c r="DR141" s="227"/>
      <c r="DS141" s="227"/>
      <c r="DT141" s="227"/>
      <c r="DU141" s="227"/>
    </row>
    <row r="142" spans="1:136">
      <c r="DJ142" s="227"/>
      <c r="DK142" s="227"/>
      <c r="DL142" s="227"/>
      <c r="DM142" s="227"/>
      <c r="DN142" s="227"/>
      <c r="DO142" s="227"/>
      <c r="DP142" s="227"/>
      <c r="DQ142" s="227"/>
      <c r="DR142" s="227"/>
      <c r="DS142" s="227"/>
      <c r="DT142" s="227"/>
      <c r="DU142" s="227"/>
    </row>
  </sheetData>
  <mergeCells count="2">
    <mergeCell ref="E3:F3"/>
    <mergeCell ref="BS3:BT3"/>
  </mergeCells>
  <printOptions headings="1" gridLines="1"/>
  <pageMargins left="0.25" right="0.25" top="0.75" bottom="0.75" header="0.3" footer="0.3"/>
  <pageSetup paperSize="5" scale="24" fitToWidth="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9" tint="0.39997558519241921"/>
  </sheetPr>
  <dimension ref="A1:AK170"/>
  <sheetViews>
    <sheetView topLeftCell="B1" zoomScale="85" zoomScaleNormal="85" workbookViewId="0">
      <pane xSplit="2" ySplit="3" topLeftCell="D4" activePane="bottomRight" state="frozen"/>
      <selection activeCell="B1" sqref="B1"/>
      <selection pane="topRight" activeCell="D1" sqref="D1"/>
      <selection pane="bottomLeft" activeCell="B4" sqref="B4"/>
      <selection pane="bottomRight" activeCell="B1" sqref="B1"/>
    </sheetView>
  </sheetViews>
  <sheetFormatPr defaultRowHeight="15"/>
  <cols>
    <col min="1" max="1" width="9.5703125" style="2" customWidth="1"/>
    <col min="2" max="2" width="9.140625" style="22"/>
    <col min="3" max="3" width="28.42578125" style="22" bestFit="1" customWidth="1"/>
    <col min="4" max="8" width="12.7109375" customWidth="1"/>
    <col min="9" max="9" width="12.7109375" style="295" customWidth="1"/>
    <col min="10" max="10" width="12.7109375" style="240" customWidth="1"/>
    <col min="11" max="11" width="12.7109375" customWidth="1"/>
    <col min="12" max="12" width="12.7109375" style="240" customWidth="1"/>
    <col min="13" max="17" width="12.7109375" customWidth="1"/>
    <col min="18" max="18" width="12.7109375" style="112" customWidth="1"/>
    <col min="19" max="20" width="12.7109375" customWidth="1"/>
    <col min="21" max="21" width="13.5703125" style="295" customWidth="1"/>
    <col min="22" max="23" width="12.7109375" customWidth="1"/>
    <col min="24" max="24" width="12.7109375" style="240" customWidth="1"/>
    <col min="25" max="27" width="12.7109375" customWidth="1"/>
    <col min="28" max="28" width="15" bestFit="1" customWidth="1"/>
    <col min="29" max="29" width="8.42578125" style="79" bestFit="1" customWidth="1"/>
    <col min="30" max="30" width="24.42578125" customWidth="1"/>
    <col min="31" max="31" width="10.85546875" bestFit="1" customWidth="1"/>
    <col min="32" max="32" width="9.85546875" bestFit="1" customWidth="1"/>
    <col min="35" max="35" width="9.85546875" bestFit="1" customWidth="1"/>
  </cols>
  <sheetData>
    <row r="1" spans="1:37" ht="15.75">
      <c r="B1" s="67" t="s">
        <v>219</v>
      </c>
      <c r="C1" s="68"/>
    </row>
    <row r="2" spans="1:37">
      <c r="A2" s="69" t="s">
        <v>0</v>
      </c>
      <c r="B2" s="70"/>
      <c r="C2" s="68"/>
      <c r="D2" s="66" t="s">
        <v>149</v>
      </c>
      <c r="P2" s="66" t="s">
        <v>150</v>
      </c>
    </row>
    <row r="3" spans="1:37" s="83" customFormat="1">
      <c r="A3" s="81" t="s">
        <v>1</v>
      </c>
      <c r="B3" s="82" t="s">
        <v>2</v>
      </c>
      <c r="C3" s="71" t="s">
        <v>3</v>
      </c>
      <c r="D3" s="248" t="s">
        <v>163</v>
      </c>
      <c r="E3" s="248" t="s">
        <v>298</v>
      </c>
      <c r="F3" s="248" t="s">
        <v>213</v>
      </c>
      <c r="G3" s="248" t="s">
        <v>208</v>
      </c>
      <c r="H3" s="249" t="s">
        <v>279</v>
      </c>
      <c r="I3" s="248" t="s">
        <v>369</v>
      </c>
      <c r="J3" s="249" t="s">
        <v>299</v>
      </c>
      <c r="K3" s="248" t="s">
        <v>220</v>
      </c>
      <c r="L3" s="248" t="s">
        <v>307</v>
      </c>
      <c r="M3" s="248" t="s">
        <v>183</v>
      </c>
      <c r="N3" s="248" t="s">
        <v>222</v>
      </c>
      <c r="O3" s="248" t="s">
        <v>227</v>
      </c>
      <c r="P3" s="253" t="s">
        <v>163</v>
      </c>
      <c r="Q3" s="253" t="s">
        <v>298</v>
      </c>
      <c r="R3" s="254" t="s">
        <v>213</v>
      </c>
      <c r="S3" s="254" t="s">
        <v>208</v>
      </c>
      <c r="T3" s="253" t="s">
        <v>279</v>
      </c>
      <c r="U3" s="254" t="s">
        <v>369</v>
      </c>
      <c r="V3" s="253" t="s">
        <v>299</v>
      </c>
      <c r="W3" s="254" t="s">
        <v>220</v>
      </c>
      <c r="X3" s="254" t="s">
        <v>307</v>
      </c>
      <c r="Y3" s="253" t="s">
        <v>183</v>
      </c>
      <c r="Z3" s="254" t="s">
        <v>222</v>
      </c>
      <c r="AA3" s="254" t="s">
        <v>227</v>
      </c>
      <c r="AB3" s="258" t="s">
        <v>228</v>
      </c>
      <c r="AC3" s="259" t="s">
        <v>230</v>
      </c>
      <c r="AD3"/>
      <c r="AE3"/>
      <c r="AF3"/>
      <c r="AG3"/>
      <c r="AH3"/>
      <c r="AI3"/>
      <c r="AJ3"/>
      <c r="AK3"/>
    </row>
    <row r="4" spans="1:37">
      <c r="B4" s="3">
        <v>10005</v>
      </c>
      <c r="C4" s="4" t="s">
        <v>7</v>
      </c>
      <c r="D4" s="250">
        <f>IF(Init!$R$9="Yes",'Staging Table'!E6,'Staging Table'!BS6)*Rates_previous!$E$75*100*12</f>
        <v>194901.68160000001</v>
      </c>
      <c r="E4" s="250">
        <f>IF(Init!$R$9="Yes",'Staging Table'!F6,'Staging Table'!BT6)*Rates_previous!$E$76*100*12</f>
        <v>-27485.379000000001</v>
      </c>
      <c r="F4" s="251">
        <f>IF(Init!$R$9="Yes",SUMPRODUCT('Staging Table'!L6:AI6,LS_Demand_Rates_Restatement!$C$4:$Z$4)-IF(Init!$R$15="No",('Staging Table'!BH6*Rates_previous!$H$34), 0),SUMPRODUCT('Staging Table'!BZ6:CW6,LS_Demand_Rates_Restatement!$C$4:$Z$4)-IF(Init!$R$15="No", 'Staging Table'!DV6*Rates_previous!$H$34, 0))</f>
        <v>5183.2583178488239</v>
      </c>
      <c r="G4" s="251">
        <f>IF(Init!$R$9="Yes",SUMPRODUCT('Staging Table'!AJ6:AU6,LS_Demand_Rates_Restatement!$C$10:$N$10),SUMPRODUCT(LS_Demand_Rates_Restatement!$C$10:$N$10,'Staging Table'!CX6:DI6))*1000</f>
        <v>7911.3</v>
      </c>
      <c r="H4" s="252">
        <f>IF(Init!$R$9="Yes",'Staging Table'!BR6,'Staging Table'!EF6)*IF(Init!$R$3=2018,Rates_previous!$C$88,Rates_previous!$D$88)</f>
        <v>909.63839999999914</v>
      </c>
      <c r="I4" s="250">
        <f>IF(Init!$R$9="Yes",IF('Staging Table'!$F$1=2018,(SUM('Staging Table'!BD6:BG6)*Rates_previous!$C$87),(SUM('Staging Table'!BD6:BG6)*Rates_previous!$D$87)),IF('Staging Table'!$F$1=2018,(SUM('Staging Table'!DR6:DU6)*Rates_previous!$C$87),(SUM('Staging Table'!DR6:DU6)*Rates_previous!$D$87)))</f>
        <v>1070.9105338939403</v>
      </c>
      <c r="J4" s="252">
        <f>IF(Init!$R$9="Yes",IF('Staging Table'!D6=1,'Staging Table'!H6*-1,'Staging Table'!H6*SUM(D4:I4)*(-1)),IF('Staging Table'!D6=1,'Staging Table'!BV6*-1,'Staging Table'!BV6*SUM(D4:I4)*(-1)))</f>
        <v>-8212.1134433284224</v>
      </c>
      <c r="K4" s="250">
        <f>IF(Init!$R$9="Yes",'Staging Table'!K6,'Staging Table'!BY6)*(-1)*Rates_previous!$H$32</f>
        <v>0</v>
      </c>
      <c r="L4" s="250">
        <f>IF(Init!$R$12="No",0,'Staging Table'!$BI6*-1)</f>
        <v>-6212.6606158474387</v>
      </c>
      <c r="M4" s="250">
        <f>IF('Staging Table'!C6=1,"",SUM(D4:L4))</f>
        <v>168066.63579256687</v>
      </c>
      <c r="N4" s="250">
        <f>IF('Staging Table'!C6=1,"",IF(Init!$R$9="Yes",(RT1SC!$C$3*'Staging Table'!E6*'Staging Table'!$F$2)+SUM('Staging Table'!L6:AI6)-IF(Init!$R$15="No",'Staging Table'!BH6, 0),Z4))</f>
        <v>4721.6400000000003</v>
      </c>
      <c r="O4" s="126">
        <f>IF('Staging Table'!C6=1,"",IF(N4=0, 0, M4/N4))</f>
        <v>35.594970347711147</v>
      </c>
      <c r="P4" s="250">
        <f>'Staging Table'!BS6*Rates_current!$E$74*100*12</f>
        <v>183953.76264</v>
      </c>
      <c r="Q4" s="250">
        <f>'Staging Table'!BT6*Rates_current!$E$75*100*12</f>
        <v>-18609.9012</v>
      </c>
      <c r="R4" s="251">
        <f>SUMPRODUCT('Staging Table'!BZ6:CW6, LS_Demand_Rates_Restatement!$C$5:$Z$5)-IF(Init!$R$15="No",('Staging Table'!DV6*Rates_current!$H$34), 0)</f>
        <v>4227.7826231726394</v>
      </c>
      <c r="S4" s="251">
        <f>SUMPRODUCT('Staging Table'!CX6:DI6, LS_Demand_Rates_Restatement!$C$11:$N$11)*1000</f>
        <v>8793.64</v>
      </c>
      <c r="T4" s="252">
        <f>'Staging Table'!EF6*IF(Init!$R$18="Yes",IF(Init!$R$6=2020,Rates_current!$C$88,Rates_current!$D$88),Rates_current!$H$33)</f>
        <v>139.40208000000888</v>
      </c>
      <c r="U4" s="252">
        <f>IF(Init!$R$18="Yes",(SUM('Staging Table'!DL6:DU6)*IF('Staging Table'!$BT$1=2020, Rates_current!$C$87, Rates_current!$D$87)),0)</f>
        <v>3211.2218298299586</v>
      </c>
      <c r="V4" s="252">
        <f>IF('Staging Table'!D6=1, 'Staging Table'!BV6*-1,SUM(P4:U4)*'Staging Table'!BV6*-1)</f>
        <v>-6360.0567790550922</v>
      </c>
      <c r="W4" s="250">
        <f>'Staging Table'!BY6*Rates_current!$H$32*-1</f>
        <v>0</v>
      </c>
      <c r="X4" s="250">
        <f>IF(Init!$R$12="No",0,'Staging Table'!$DW6*-1)</f>
        <v>0</v>
      </c>
      <c r="Y4" s="250">
        <f>IF('Staging Table'!C6=1,"",SUM(P4:X4))</f>
        <v>175355.85119394751</v>
      </c>
      <c r="Z4" s="250">
        <f>IF('Staging Table'!C6=1,"",(RT1SC!$C$4*'Staging Table'!BS6*'Staging Table'!$BT$2)+SUM('Staging Table'!BZ6:CW6)-IF(Init!$R$15="No",'Staging Table'!DV6, 0))</f>
        <v>4787.2800000000007</v>
      </c>
      <c r="AA4" s="126">
        <f>IF('Staging Table'!C6=1,"",IF(Z4=0, 0, Y4/Z4))</f>
        <v>36.629537272511214</v>
      </c>
      <c r="AB4" s="118">
        <f ca="1">IF('Staging Table'!C6=1,"",(AA4/O4-1)+(RAND()/100000000000000))</f>
        <v>2.9064975042657936E-2</v>
      </c>
      <c r="AC4" s="79">
        <f t="shared" ref="AC4:AC67" ca="1" si="0">IF(AB4="","",RANK(AB4,$AB$4:$AB$138))</f>
        <v>17</v>
      </c>
      <c r="AF4" s="255"/>
      <c r="AG4" s="255"/>
      <c r="AI4" s="255"/>
      <c r="AJ4" s="255"/>
    </row>
    <row r="5" spans="1:37">
      <c r="B5" s="3">
        <v>10015</v>
      </c>
      <c r="C5" s="4" t="s">
        <v>8</v>
      </c>
      <c r="D5" s="250">
        <f>IF(Init!$R$9="Yes",'Staging Table'!E7,'Staging Table'!BS7)*Rates_previous!$E$75*100*12</f>
        <v>206876.03328000003</v>
      </c>
      <c r="E5" s="250">
        <f>IF(Init!$R$9="Yes",'Staging Table'!F7,'Staging Table'!BT7)*Rates_previous!$E$76*100*12</f>
        <v>-29174.0232</v>
      </c>
      <c r="F5" s="251">
        <f>IF(Init!$R$9="Yes",SUMPRODUCT('Staging Table'!L7:AI7,LS_Demand_Rates_Restatement!$C$4:$Z$4)-IF(Init!$R$15="No",('Staging Table'!BH7*Rates_previous!$H$34), 0),SUMPRODUCT('Staging Table'!BZ7:CW7,LS_Demand_Rates_Restatement!$C$4:$Z$4)-IF(Init!$R$15="No", 'Staging Table'!DV7*Rates_previous!$H$34, 0))</f>
        <v>-8542.1366069369433</v>
      </c>
      <c r="G5" s="251">
        <f>IF(Init!$R$9="Yes",SUMPRODUCT('Staging Table'!AJ7:AU7,LS_Demand_Rates_Restatement!$C$10:$N$10),SUMPRODUCT(LS_Demand_Rates_Restatement!$C$10:$N$10,'Staging Table'!CX7:DI7))*1000</f>
        <v>39740.410000000003</v>
      </c>
      <c r="H5" s="252">
        <f>IF(Init!$R$9="Yes",'Staging Table'!BR7,'Staging Table'!EF7)*IF(Init!$R$3=2018,Rates_previous!$C$88,Rates_previous!$D$88)</f>
        <v>0</v>
      </c>
      <c r="I5" s="250">
        <f>IF(Init!$R$9="Yes",IF('Staging Table'!$F$1=2018,(SUM('Staging Table'!BD7:BG7)*Rates_previous!$C$87),(SUM('Staging Table'!BD7:BG7)*Rates_previous!$D$87)),IF('Staging Table'!$F$1=2018,(SUM('Staging Table'!DR7:DU7)*Rates_previous!$C$87),(SUM('Staging Table'!DR7:DU7)*Rates_previous!$D$87)))</f>
        <v>1136.7050372835026</v>
      </c>
      <c r="J5" s="252">
        <f>IF(Init!$R$9="Yes",IF('Staging Table'!D7=1,'Staging Table'!H7*-1,'Staging Table'!H7*SUM(D5:I5)*(-1)),IF('Staging Table'!D7=1,'Staging Table'!BV7*-1,'Staging Table'!BV7*SUM(D5:I5)*(-1)))</f>
        <v>0</v>
      </c>
      <c r="K5" s="250">
        <f>IF(Init!$R$9="Yes",'Staging Table'!K7,'Staging Table'!BY7)*(-1)*Rates_previous!$H$32</f>
        <v>0</v>
      </c>
      <c r="L5" s="250">
        <f>IF(Init!$R$12="No",0,'Staging Table'!$BI7*-1)</f>
        <v>-3220.9875879357182</v>
      </c>
      <c r="M5" s="250">
        <f>IF('Staging Table'!C7=1,"",SUM(D5:L5))</f>
        <v>206816.00092241087</v>
      </c>
      <c r="N5" s="250">
        <f>IF('Staging Table'!C7=1,"",IF(Init!$R$9="Yes",(RT1SC!$C$3*'Staging Table'!E7*'Staging Table'!$F$2)+SUM('Staging Table'!L7:AI7)-IF(Init!$R$15="No",'Staging Table'!BH7, 0),Z5))</f>
        <v>4940.6399999999994</v>
      </c>
      <c r="O5" s="126">
        <f>IF('Staging Table'!C7=1,"",IF(N5=0, 0, M5/N5))</f>
        <v>41.860164052108814</v>
      </c>
      <c r="P5" s="250">
        <f>'Staging Table'!BS7*Rates_current!$E$74*100*12</f>
        <v>192747.41796000002</v>
      </c>
      <c r="Q5" s="250">
        <f>'Staging Table'!BT7*Rates_current!$E$75*100*12</f>
        <v>-19499.521800000002</v>
      </c>
      <c r="R5" s="251">
        <f>SUMPRODUCT('Staging Table'!BZ7:CW7, LS_Demand_Rates_Restatement!$C$5:$Z$5)-IF(Init!$R$15="No",('Staging Table'!DV7*Rates_current!$H$34), 0)</f>
        <v>-9241.8128969083118</v>
      </c>
      <c r="S5" s="251">
        <f>SUMPRODUCT('Staging Table'!CX7:DI7, LS_Demand_Rates_Restatement!$C$11:$N$11)*1000</f>
        <v>41360.060000000005</v>
      </c>
      <c r="T5" s="252">
        <f>'Staging Table'!EF7*IF(Init!$R$18="Yes",IF(Init!$R$6=2020,Rates_current!$C$88,Rates_current!$D$88),Rates_current!$H$33)</f>
        <v>0</v>
      </c>
      <c r="U5" s="252">
        <f>IF(Init!$R$18="Yes",(SUM('Staging Table'!DL7:DU7)*IF('Staging Table'!$BT$1=2020, Rates_current!$C$87, Rates_current!$D$87)),0)</f>
        <v>3364.7298501189875</v>
      </c>
      <c r="V5" s="252">
        <f>IF('Staging Table'!D7=1, 'Staging Table'!BV7*-1,SUM(P5:U5)*'Staging Table'!BV7*-1)</f>
        <v>0</v>
      </c>
      <c r="W5" s="250">
        <f>'Staging Table'!BY7*Rates_current!$H$32*-1</f>
        <v>0</v>
      </c>
      <c r="X5" s="250">
        <f>IF(Init!$R$12="No",0,'Staging Table'!$DW7*-1)</f>
        <v>0</v>
      </c>
      <c r="Y5" s="250">
        <f>IF('Staging Table'!C7=1,"",SUM(P5:X5))</f>
        <v>208730.87311321066</v>
      </c>
      <c r="Z5" s="250">
        <f>IF('Staging Table'!C7=1,"",(RT1SC!$C$4*'Staging Table'!BS7*'Staging Table'!$BT$2)+SUM('Staging Table'!BZ7:CW7)-IF(Init!$R$15="No",'Staging Table'!DV7, 0))</f>
        <v>5006.8799999999992</v>
      </c>
      <c r="AA5" s="126">
        <f>IF('Staging Table'!C7=1,"",IF(Z5=0, 0, Y5/Z5))</f>
        <v>41.688810818955254</v>
      </c>
      <c r="AB5" s="118">
        <f ca="1">IF('Staging Table'!C7=1,"",(AA5/O5-1)+(RAND()/100000000000000))</f>
        <v>-4.0934677881377737E-3</v>
      </c>
      <c r="AC5" s="79">
        <f t="shared" ca="1" si="0"/>
        <v>103</v>
      </c>
      <c r="AF5" s="255"/>
      <c r="AG5" s="255"/>
      <c r="AH5" s="271"/>
      <c r="AI5" s="255"/>
      <c r="AJ5" s="255"/>
    </row>
    <row r="6" spans="1:37">
      <c r="B6" s="3">
        <v>10024</v>
      </c>
      <c r="C6" s="4" t="s">
        <v>9</v>
      </c>
      <c r="D6" s="250">
        <f>IF(Init!$R$9="Yes",'Staging Table'!E8,'Staging Table'!BS8)*Rates_previous!$E$75*100*12</f>
        <v>72654760.978560001</v>
      </c>
      <c r="E6" s="250">
        <f>IF(Init!$R$9="Yes",'Staging Table'!F8,'Staging Table'!BT8)*Rates_previous!$E$76*100*12</f>
        <v>-5328534.7373999991</v>
      </c>
      <c r="F6" s="251">
        <f>IF(Init!$R$9="Yes",SUMPRODUCT('Staging Table'!L8:AI8,LS_Demand_Rates_Restatement!$C$4:$Z$4)-IF(Init!$R$15="No",('Staging Table'!BH8*Rates_previous!$H$34), 0),SUMPRODUCT('Staging Table'!BZ8:CW8,LS_Demand_Rates_Restatement!$C$4:$Z$4)-IF(Init!$R$15="No", 'Staging Table'!DV8*Rates_previous!$H$34, 0))</f>
        <v>-395677.83000000025</v>
      </c>
      <c r="G6" s="251">
        <f>IF(Init!$R$9="Yes",SUMPRODUCT('Staging Table'!AJ8:AU8,LS_Demand_Rates_Restatement!$C$10:$N$10),SUMPRODUCT(LS_Demand_Rates_Restatement!$C$10:$N$10,'Staging Table'!CX8:DI8))*1000</f>
        <v>0</v>
      </c>
      <c r="H6" s="252">
        <f>IF(Init!$R$9="Yes",'Staging Table'!BR8,'Staging Table'!EF8)*IF(Init!$R$3=2018,Rates_previous!$C$88,Rates_previous!$D$88)</f>
        <v>0</v>
      </c>
      <c r="I6" s="250">
        <f>IF(Init!$R$9="Yes",IF('Staging Table'!$F$1=2018,(SUM('Staging Table'!BD8:BG8)*Rates_previous!$C$87),(SUM('Staging Table'!BD8:BG8)*Rates_previous!$D$87)),IF('Staging Table'!$F$1=2018,(SUM('Staging Table'!DR8:DU8)*Rates_previous!$C$87),(SUM('Staging Table'!DR8:DU8)*Rates_previous!$D$87)))</f>
        <v>207615.25538728939</v>
      </c>
      <c r="J6" s="252">
        <f>IF(Init!$R$9="Yes",IF('Staging Table'!D8=1,'Staging Table'!H8*-1,'Staging Table'!H8*SUM(D6:I6)*(-1)),IF('Staging Table'!D8=1,'Staging Table'!BV8*-1,'Staging Table'!BV8*SUM(D6:I6)*(-1)))</f>
        <v>0</v>
      </c>
      <c r="K6" s="250">
        <f>IF(Init!$R$9="Yes",'Staging Table'!K8,'Staging Table'!BY8)*(-1)*Rates_previous!$H$32</f>
        <v>-3671932.9920000001</v>
      </c>
      <c r="L6" s="250">
        <f>IF(Init!$R$12="No",0,'Staging Table'!$BI8*-1)</f>
        <v>-2205817.9477037573</v>
      </c>
      <c r="M6" s="250">
        <f>IF('Staging Table'!C8=1,"",SUM(D6:L6))</f>
        <v>61260412.726843543</v>
      </c>
      <c r="N6" s="250">
        <f>IF('Staging Table'!C8=1,"",IF(Init!$R$9="Yes",(RT1SC!$C$3*'Staging Table'!E8*'Staging Table'!$F$2)+SUM('Staging Table'!L8:AI8)-IF(Init!$R$15="No",'Staging Table'!BH8, 0),Z6))</f>
        <v>1735277.8135667036</v>
      </c>
      <c r="O6" s="126">
        <f>IF('Staging Table'!C8=1,"",IF(N6=0, 0, M6/N6))</f>
        <v>35.302942415271481</v>
      </c>
      <c r="P6" s="250">
        <f>'Staging Table'!BS8*Rates_current!$E$74*100*12</f>
        <v>67740141.259920001</v>
      </c>
      <c r="Q6" s="250">
        <f>'Staging Table'!BT8*Rates_current!$E$75*100*12</f>
        <v>-3564012.4739999995</v>
      </c>
      <c r="R6" s="251">
        <f>SUMPRODUCT('Staging Table'!BZ8:CW8, LS_Demand_Rates_Restatement!$C$5:$Z$5)-IF(Init!$R$15="No",('Staging Table'!DV8*Rates_current!$H$34), 0)</f>
        <v>-534163.71999999974</v>
      </c>
      <c r="S6" s="251">
        <f>SUMPRODUCT('Staging Table'!CX8:DI8, LS_Demand_Rates_Restatement!$C$11:$N$11)*1000</f>
        <v>0</v>
      </c>
      <c r="T6" s="252">
        <f>'Staging Table'!EF8*IF(Init!$R$18="Yes",IF(Init!$R$6=2020,Rates_current!$C$88,Rates_current!$D$88),Rates_current!$H$33)</f>
        <v>0</v>
      </c>
      <c r="U6" s="252">
        <f>IF(Init!$R$18="Yes",(SUM('Staging Table'!DL8:DU8)*IF('Staging Table'!$BT$1=2020, Rates_current!$C$87, Rates_current!$D$87)),0)</f>
        <v>614986.32020115596</v>
      </c>
      <c r="V6" s="252">
        <f>IF('Staging Table'!D8=1, 'Staging Table'!BV8*-1,SUM(P6:U6)*'Staging Table'!BV8*-1)</f>
        <v>0</v>
      </c>
      <c r="W6" s="250">
        <f>'Staging Table'!BY8*Rates_current!$H$32*-1</f>
        <v>-3468977.5120000001</v>
      </c>
      <c r="X6" s="250">
        <f>IF(Init!$R$12="No",0,'Staging Table'!$DW8*-1)</f>
        <v>0</v>
      </c>
      <c r="Y6" s="250">
        <f>IF('Staging Table'!C8=1,"",SUM(P6:X6))</f>
        <v>60787973.874121159</v>
      </c>
      <c r="Z6" s="250">
        <f>IF('Staging Table'!C8=1,"",(RT1SC!$C$4*'Staging Table'!BS8*'Staging Table'!$BT$2)+SUM('Staging Table'!BZ8:CW8)-IF(Init!$R$15="No",'Staging Table'!DV8, 0))</f>
        <v>1755127.1794174975</v>
      </c>
      <c r="AA6" s="126">
        <f>IF('Staging Table'!C8=1,"",IF(Z6=0, 0, Y6/Z6))</f>
        <v>34.63451229459956</v>
      </c>
      <c r="AB6" s="118">
        <f ca="1">IF('Staging Table'!C8=1,"",(AA6/O6-1)+(RAND()/100000000000000))</f>
        <v>-1.8934119224651807E-2</v>
      </c>
      <c r="AC6" s="79">
        <f t="shared" ca="1" si="0"/>
        <v>112</v>
      </c>
      <c r="AF6" s="255"/>
      <c r="AG6" s="255"/>
      <c r="AH6" s="271"/>
      <c r="AI6" s="255"/>
      <c r="AJ6" s="255"/>
    </row>
    <row r="7" spans="1:37">
      <c r="B7" s="3">
        <v>10025</v>
      </c>
      <c r="C7" s="4" t="s">
        <v>10</v>
      </c>
      <c r="D7" s="250">
        <f>IF(Init!$R$9="Yes",'Staging Table'!E9,'Staging Table'!BS9)*Rates_previous!$E$75*100*12</f>
        <v>21534979.789439999</v>
      </c>
      <c r="E7" s="250">
        <f>IF(Init!$R$9="Yes",'Staging Table'!F9,'Staging Table'!BT9)*Rates_previous!$E$76*100*12</f>
        <v>-3036900.8435999993</v>
      </c>
      <c r="F7" s="251">
        <f>IF(Init!$R$9="Yes",SUMPRODUCT('Staging Table'!L9:AI9,LS_Demand_Rates_Restatement!$C$4:$Z$4)-IF(Init!$R$15="No",('Staging Table'!BH9*Rates_previous!$H$34), 0),SUMPRODUCT('Staging Table'!BZ9:CW9,LS_Demand_Rates_Restatement!$C$4:$Z$4)-IF(Init!$R$15="No", 'Staging Table'!DV9*Rates_previous!$H$34, 0))</f>
        <v>-49928.416834916396</v>
      </c>
      <c r="G7" s="251">
        <f>IF(Init!$R$9="Yes",SUMPRODUCT('Staging Table'!AJ9:AU9,LS_Demand_Rates_Restatement!$C$10:$N$10),SUMPRODUCT(LS_Demand_Rates_Restatement!$C$10:$N$10,'Staging Table'!CX9:DI9))*1000</f>
        <v>950873.38</v>
      </c>
      <c r="H7" s="252">
        <f>IF(Init!$R$9="Yes",'Staging Table'!BR9,'Staging Table'!EF9)*IF(Init!$R$3=2018,Rates_previous!$C$88,Rates_previous!$D$88)</f>
        <v>0</v>
      </c>
      <c r="I7" s="250">
        <f>IF(Init!$R$9="Yes",IF('Staging Table'!$F$1=2018,(SUM('Staging Table'!BD9:BG9)*Rates_previous!$C$87),(SUM('Staging Table'!BD9:BG9)*Rates_previous!$D$87)),IF('Staging Table'!$F$1=2018,(SUM('Staging Table'!DR9:DU9)*Rates_previous!$C$87),(SUM('Staging Table'!DR9:DU9)*Rates_previous!$D$87)))</f>
        <v>118326.5147554499</v>
      </c>
      <c r="J7" s="252">
        <f>IF(Init!$R$9="Yes",IF('Staging Table'!D9=1,'Staging Table'!H9*-1,'Staging Table'!H9*SUM(D7:I7)*(-1)),IF('Staging Table'!D9=1,'Staging Table'!BV9*-1,'Staging Table'!BV9*SUM(D7:I7)*(-1)))</f>
        <v>-1290914.639993327</v>
      </c>
      <c r="K7" s="250">
        <f>IF(Init!$R$9="Yes",'Staging Table'!K9,'Staging Table'!BY9)*(-1)*Rates_previous!$H$32</f>
        <v>-974914.07831999997</v>
      </c>
      <c r="L7" s="250">
        <f>IF(Init!$R$12="No",0,'Staging Table'!$BI9*-1)</f>
        <v>-701205.67308877385</v>
      </c>
      <c r="M7" s="250">
        <f>IF('Staging Table'!C9=1,"",SUM(D7:L7))</f>
        <v>16550316.03235843</v>
      </c>
      <c r="N7" s="250">
        <f>IF('Staging Table'!C9=1,"",IF(Init!$R$9="Yes",(RT1SC!$C$3*'Staging Table'!E9*'Staging Table'!$F$2)+SUM('Staging Table'!L9:AI9)-IF(Init!$R$15="No",'Staging Table'!BH9, 0),Z7))</f>
        <v>514229.51999999996</v>
      </c>
      <c r="O7" s="126">
        <f>IF('Staging Table'!C9=1,"",IF(N7=0, 0, M7/N7))</f>
        <v>32.184686776360934</v>
      </c>
      <c r="P7" s="250">
        <f>'Staging Table'!BS9*Rates_current!$E$74*100*12</f>
        <v>20078054.092799999</v>
      </c>
      <c r="Q7" s="250">
        <f>'Staging Table'!BT9*Rates_current!$E$75*100*12</f>
        <v>-2031220.2240000002</v>
      </c>
      <c r="R7" s="251">
        <f>SUMPRODUCT('Staging Table'!BZ9:CW9, LS_Demand_Rates_Restatement!$C$5:$Z$5)-IF(Init!$R$15="No",('Staging Table'!DV9*Rates_current!$H$34), 0)</f>
        <v>-43507.100459300738</v>
      </c>
      <c r="S7" s="251">
        <f>SUMPRODUCT('Staging Table'!CX9:DI9, LS_Demand_Rates_Restatement!$C$11:$N$11)*1000</f>
        <v>1053965.96</v>
      </c>
      <c r="T7" s="252">
        <f>'Staging Table'!EF9*IF(Init!$R$18="Yes",IF(Init!$R$6=2020,Rates_current!$C$88,Rates_current!$D$88),Rates_current!$H$33)</f>
        <v>0</v>
      </c>
      <c r="U7" s="252">
        <f>IF(Init!$R$18="Yes",(SUM('Staging Table'!DL9:DU9)*IF('Staging Table'!$BT$1=2020, Rates_current!$C$87, Rates_current!$D$87)),0)</f>
        <v>350496.15010857227</v>
      </c>
      <c r="V7" s="252">
        <f>IF('Staging Table'!D9=1, 'Staging Table'!BV9*-1,SUM(P7:U7)*'Staging Table'!BV9*-1)</f>
        <v>-1305063.1776791066</v>
      </c>
      <c r="W7" s="250">
        <f>'Staging Table'!BY9*Rates_current!$H$32*-1</f>
        <v>-921028.52127000003</v>
      </c>
      <c r="X7" s="250">
        <f>IF(Init!$R$12="No",0,'Staging Table'!$DW9*-1)</f>
        <v>0</v>
      </c>
      <c r="Y7" s="250">
        <f>IF('Staging Table'!C9=1,"",SUM(P7:X7))</f>
        <v>17181697.179500166</v>
      </c>
      <c r="Z7" s="250">
        <f>IF('Staging Table'!C9=1,"",(RT1SC!$C$4*'Staging Table'!BS9*'Staging Table'!$BT$2)+SUM('Staging Table'!BZ9:CW9)-IF(Init!$R$15="No",'Staging Table'!DV9, 0))</f>
        <v>521268.91200000001</v>
      </c>
      <c r="AA7" s="126">
        <f>IF('Staging Table'!C9=1,"",IF(Z7=0, 0, Y7/Z7))</f>
        <v>32.961292691669605</v>
      </c>
      <c r="AB7" s="118">
        <f ca="1">IF('Staging Table'!C9=1,"",(AA7/O7-1)+(RAND()/100000000000000))</f>
        <v>2.4129671377733277E-2</v>
      </c>
      <c r="AC7" s="79">
        <f t="shared" ca="1" si="0"/>
        <v>32</v>
      </c>
      <c r="AF7" s="255"/>
      <c r="AG7" s="255"/>
      <c r="AH7" s="271"/>
      <c r="AI7" s="255"/>
      <c r="AJ7" s="255"/>
    </row>
    <row r="8" spans="1:37">
      <c r="B8" s="3">
        <v>10027</v>
      </c>
      <c r="C8" s="4" t="s">
        <v>11</v>
      </c>
      <c r="D8" s="250">
        <f>IF(Init!$R$9="Yes",'Staging Table'!E10,'Staging Table'!BS10)*Rates_previous!$E$75*100*12</f>
        <v>22088857.248</v>
      </c>
      <c r="E8" s="250">
        <f>IF(Init!$R$9="Yes",'Staging Table'!F10,'Staging Table'!BT10)*Rates_previous!$E$76*100*12</f>
        <v>-3115009.62</v>
      </c>
      <c r="F8" s="251">
        <f>IF(Init!$R$9="Yes",SUMPRODUCT('Staging Table'!L10:AI10,LS_Demand_Rates_Restatement!$C$4:$Z$4)-IF(Init!$R$15="No",('Staging Table'!BH10*Rates_previous!$H$34), 0),SUMPRODUCT('Staging Table'!BZ10:CW10,LS_Demand_Rates_Restatement!$C$4:$Z$4)-IF(Init!$R$15="No", 'Staging Table'!DV10*Rates_previous!$H$34, 0))</f>
        <v>-599082.90237713535</v>
      </c>
      <c r="G8" s="251">
        <f>IF(Init!$R$9="Yes",SUMPRODUCT('Staging Table'!AJ10:AU10,LS_Demand_Rates_Restatement!$C$10:$N$10),SUMPRODUCT(LS_Demand_Rates_Restatement!$C$10:$N$10,'Staging Table'!CX10:DI10))*1000</f>
        <v>1391769.5</v>
      </c>
      <c r="H8" s="252">
        <f>IF(Init!$R$9="Yes",'Staging Table'!BR10,'Staging Table'!EF10)*IF(Init!$R$3=2018,Rates_previous!$C$88,Rates_previous!$D$88)</f>
        <v>0</v>
      </c>
      <c r="I8" s="250">
        <f>IF(Init!$R$9="Yes",IF('Staging Table'!$F$1=2018,(SUM('Staging Table'!BD10:BG10)*Rates_previous!$C$87),(SUM('Staging Table'!BD10:BG10)*Rates_previous!$D$87)),IF('Staging Table'!$F$1=2018,(SUM('Staging Table'!DR10:DU10)*Rates_previous!$C$87),(SUM('Staging Table'!DR10:DU10)*Rates_previous!$D$87)))</f>
        <v>121369.8605079799</v>
      </c>
      <c r="J8" s="252">
        <f>IF(Init!$R$9="Yes",IF('Staging Table'!D10=1,'Staging Table'!H10*-1,'Staging Table'!H10*SUM(D8:I8)*(-1)),IF('Staging Table'!D10=1,'Staging Table'!BV10*-1,'Staging Table'!BV10*SUM(D8:I8)*(-1)))</f>
        <v>-1473747.390123328</v>
      </c>
      <c r="K8" s="250">
        <f>IF(Init!$R$9="Yes",'Staging Table'!K10,'Staging Table'!BY10)*(-1)*Rates_previous!$H$32</f>
        <v>-2465713.7903999998</v>
      </c>
      <c r="L8" s="250">
        <f>IF(Init!$R$12="No",0,'Staging Table'!$BI10*-1)</f>
        <v>-524473.06420202751</v>
      </c>
      <c r="M8" s="250">
        <f>IF('Staging Table'!C10=1,"",SUM(D8:L8))</f>
        <v>15423969.841405489</v>
      </c>
      <c r="N8" s="250">
        <f>IF('Staging Table'!C10=1,"",IF(Init!$R$9="Yes",(RT1SC!$C$3*'Staging Table'!E10*'Staging Table'!$F$2)+SUM('Staging Table'!L10:AI10)-IF(Init!$R$15="No",'Staging Table'!BH10, 0),Z8))</f>
        <v>527457.12</v>
      </c>
      <c r="O8" s="126">
        <f>IF('Staging Table'!C10=1,"",IF(N8=0, 0, M8/N8))</f>
        <v>29.242130320291228</v>
      </c>
      <c r="P8" s="250">
        <f>'Staging Table'!BS10*Rates_current!$E$74*100*12</f>
        <v>20594740.759440001</v>
      </c>
      <c r="Q8" s="250">
        <f>'Staging Table'!BT10*Rates_current!$E$75*100*12</f>
        <v>-2083491.4452000002</v>
      </c>
      <c r="R8" s="251">
        <f>SUMPRODUCT('Staging Table'!BZ10:CW10, LS_Demand_Rates_Restatement!$C$5:$Z$5)-IF(Init!$R$15="No",('Staging Table'!DV10*Rates_current!$H$34), 0)</f>
        <v>-674552.42000000016</v>
      </c>
      <c r="S8" s="251">
        <f>SUMPRODUCT('Staging Table'!CX10:DI10, LS_Demand_Rates_Restatement!$C$11:$N$11)*1000</f>
        <v>1529968.9000000001</v>
      </c>
      <c r="T8" s="252">
        <f>'Staging Table'!EF10*IF(Init!$R$18="Yes",IF(Init!$R$6=2020,Rates_current!$C$88,Rates_current!$D$88),Rates_current!$H$33)</f>
        <v>0</v>
      </c>
      <c r="U8" s="252">
        <f>IF(Init!$R$18="Yes",(SUM('Staging Table'!DL10:DU10)*IF('Staging Table'!$BT$1=2020, Rates_current!$C$87, Rates_current!$D$87)),0)</f>
        <v>359515.78351690591</v>
      </c>
      <c r="V8" s="252">
        <f>IF('Staging Table'!D10=1, 'Staging Table'!BV10*-1,SUM(P8:U8)*'Staging Table'!BV10*-1)</f>
        <v>-1479035.5601915305</v>
      </c>
      <c r="W8" s="250">
        <f>'Staging Table'!BY10*Rates_current!$H$32*-1</f>
        <v>-2329428.5893999999</v>
      </c>
      <c r="X8" s="250">
        <f>IF(Init!$R$12="No",0,'Staging Table'!$DW10*-1)</f>
        <v>0</v>
      </c>
      <c r="Y8" s="250">
        <f>IF('Staging Table'!C10=1,"",SUM(P8:X8))</f>
        <v>15917717.428165372</v>
      </c>
      <c r="Z8" s="250">
        <f>IF('Staging Table'!C10=1,"",(RT1SC!$C$4*'Staging Table'!BS10*'Staging Table'!$BT$2)+SUM('Staging Table'!BZ10:CW10)-IF(Init!$R$15="No",'Staging Table'!DV10, 0))</f>
        <v>534679.89200568316</v>
      </c>
      <c r="AA8" s="126">
        <f>IF('Staging Table'!C10=1,"",IF(Z8=0, 0, Y8/Z8))</f>
        <v>29.770555553258362</v>
      </c>
      <c r="AB8" s="118">
        <f ca="1">IF('Staging Table'!C10=1,"",(AA8/O8-1)+(RAND()/100000000000000))</f>
        <v>1.8070681827190991E-2</v>
      </c>
      <c r="AC8" s="79">
        <f t="shared" ca="1" si="0"/>
        <v>57</v>
      </c>
      <c r="AF8" s="255"/>
      <c r="AG8" s="255"/>
      <c r="AH8" s="271"/>
      <c r="AI8" s="255"/>
      <c r="AJ8" s="255"/>
    </row>
    <row r="9" spans="1:37">
      <c r="B9" s="3">
        <v>10029</v>
      </c>
      <c r="C9" s="4" t="s">
        <v>12</v>
      </c>
      <c r="D9" s="250">
        <f>IF(Init!$R$9="Yes",'Staging Table'!E11,'Staging Table'!BS11)*Rates_previous!$E$75*100*12</f>
        <v>6358635.5155199999</v>
      </c>
      <c r="E9" s="250">
        <f>IF(Init!$R$9="Yes",'Staging Table'!F11,'Staging Table'!BT11)*Rates_previous!$E$76*100*12</f>
        <v>-896705.99879999994</v>
      </c>
      <c r="F9" s="251">
        <f>IF(Init!$R$9="Yes",SUMPRODUCT('Staging Table'!L11:AI11,LS_Demand_Rates_Restatement!$C$4:$Z$4)-IF(Init!$R$15="No",('Staging Table'!BH11*Rates_previous!$H$34), 0),SUMPRODUCT('Staging Table'!BZ11:CW11,LS_Demand_Rates_Restatement!$C$4:$Z$4)-IF(Init!$R$15="No", 'Staging Table'!DV11*Rates_previous!$H$34, 0))</f>
        <v>0</v>
      </c>
      <c r="G9" s="251">
        <f>IF(Init!$R$9="Yes",SUMPRODUCT('Staging Table'!AJ11:AU11,LS_Demand_Rates_Restatement!$C$10:$N$10),SUMPRODUCT(LS_Demand_Rates_Restatement!$C$10:$N$10,'Staging Table'!CX11:DI11))*1000</f>
        <v>0</v>
      </c>
      <c r="H9" s="252">
        <f>IF(Init!$R$9="Yes",'Staging Table'!BR11,'Staging Table'!EF11)*IF(Init!$R$3=2018,Rates_previous!$C$88,Rates_previous!$D$88)</f>
        <v>0</v>
      </c>
      <c r="I9" s="250">
        <f>IF(Init!$R$9="Yes",IF('Staging Table'!$F$1=2018,(SUM('Staging Table'!BD11:BG11)*Rates_previous!$C$87),(SUM('Staging Table'!BD11:BG11)*Rates_previous!$D$87)),IF('Staging Table'!$F$1=2018,(SUM('Staging Table'!DR11:DU11)*Rates_previous!$C$87),(SUM('Staging Table'!DR11:DU11)*Rates_previous!$D$87)))</f>
        <v>34938.281182908438</v>
      </c>
      <c r="J9" s="252">
        <f>IF(Init!$R$9="Yes",IF('Staging Table'!D11=1,'Staging Table'!H11*-1,'Staging Table'!H11*SUM(D9:I9)*(-1)),IF('Staging Table'!D11=1,'Staging Table'!BV11*-1,'Staging Table'!BV11*SUM(D9:I9)*(-1)))</f>
        <v>-349264.93332417309</v>
      </c>
      <c r="K9" s="250">
        <f>IF(Init!$R$9="Yes",'Staging Table'!K11,'Staging Table'!BY11)*(-1)*Rates_previous!$H$32</f>
        <v>0</v>
      </c>
      <c r="L9" s="250">
        <f>IF(Init!$R$12="No",0,'Staging Table'!$BI11*-1)</f>
        <v>-201878.73449378833</v>
      </c>
      <c r="M9" s="250" t="str">
        <f>IF('Staging Table'!C11=1,"",SUM(D9:L9))</f>
        <v/>
      </c>
      <c r="N9" s="250" t="str">
        <f>IF('Staging Table'!C11=1,"",IF(Init!$R$9="Yes",(RT1SC!$C$3*'Staging Table'!E11*'Staging Table'!$F$2)+SUM('Staging Table'!L11:AI11)-IF(Init!$R$15="No",'Staging Table'!BH11, 0),Z9))</f>
        <v/>
      </c>
      <c r="O9" s="126" t="str">
        <f>IF('Staging Table'!C11=1,"",IF(N9=0, 0, M9/N9))</f>
        <v/>
      </c>
      <c r="P9" s="250">
        <f>'Staging Table'!BS11*Rates_current!$E$74*100*12</f>
        <v>5928587.3502000002</v>
      </c>
      <c r="Q9" s="250">
        <f>'Staging Table'!BT11*Rates_current!$E$75*100*12</f>
        <v>-599772.59100000001</v>
      </c>
      <c r="R9" s="251">
        <f>SUMPRODUCT('Staging Table'!BZ11:CW11, LS_Demand_Rates_Restatement!$C$5:$Z$5)-IF(Init!$R$15="No",('Staging Table'!DV11*Rates_current!$H$34), 0)</f>
        <v>0</v>
      </c>
      <c r="S9" s="251">
        <f>SUMPRODUCT('Staging Table'!CX11:DI11, LS_Demand_Rates_Restatement!$C$11:$N$11)*1000</f>
        <v>0</v>
      </c>
      <c r="T9" s="252">
        <f>'Staging Table'!EF11*IF(Init!$R$18="Yes",IF(Init!$R$6=2020,Rates_current!$C$88,Rates_current!$D$88),Rates_current!$H$33)</f>
        <v>0</v>
      </c>
      <c r="U9" s="252">
        <f>IF(Init!$R$18="Yes",(SUM('Staging Table'!DL11:DU11)*IF('Staging Table'!$BT$1=2020, Rates_current!$C$87, Rates_current!$D$87)),0)</f>
        <v>103493.44773269809</v>
      </c>
      <c r="V9" s="252">
        <f>IF('Staging Table'!D11=1, 'Staging Table'!BV11*-1,SUM(P9:U9)*'Staging Table'!BV11*-1)</f>
        <v>-393700.56175841967</v>
      </c>
      <c r="W9" s="250">
        <f>'Staging Table'!BY11*Rates_current!$H$32*-1</f>
        <v>0</v>
      </c>
      <c r="X9" s="250">
        <f>IF(Init!$R$12="No",0,'Staging Table'!$DW11*-1)</f>
        <v>0</v>
      </c>
      <c r="Y9" s="250" t="str">
        <f>IF('Staging Table'!C11=1,"",SUM(P9:X9))</f>
        <v/>
      </c>
      <c r="Z9" s="250" t="str">
        <f>IF('Staging Table'!C11=1,"",(RT1SC!$C$4*'Staging Table'!BS11*'Staging Table'!$BT$2)+SUM('Staging Table'!BZ11:CW11)-IF(Init!$R$15="No",'Staging Table'!DV11, 0))</f>
        <v/>
      </c>
      <c r="AA9" s="126" t="str">
        <f>IF('Staging Table'!C11=1,"",IF(Z9=0, 0, Y9/Z9))</f>
        <v/>
      </c>
      <c r="AB9" s="118" t="str">
        <f ca="1">IF('Staging Table'!C11=1,"",(AA9/O9-1)+(RAND()/100000000000000))</f>
        <v/>
      </c>
      <c r="AC9" s="79" t="str">
        <f t="shared" ca="1" si="0"/>
        <v/>
      </c>
      <c r="AF9" s="255"/>
      <c r="AG9" s="255"/>
      <c r="AH9" s="271"/>
      <c r="AI9" s="255"/>
      <c r="AJ9" s="255"/>
    </row>
    <row r="10" spans="1:37">
      <c r="B10" s="3">
        <v>10044</v>
      </c>
      <c r="C10" s="4" t="s">
        <v>13</v>
      </c>
      <c r="D10" s="250">
        <f>IF(Init!$R$9="Yes",'Staging Table'!E12,'Staging Table'!BS12)*Rates_previous!$E$75*100*12</f>
        <v>7330850.9625599999</v>
      </c>
      <c r="E10" s="250">
        <f>IF(Init!$R$9="Yes",'Staging Table'!F12,'Staging Table'!BT12)*Rates_previous!$E$76*100*12</f>
        <v>-1033809.5364</v>
      </c>
      <c r="F10" s="251">
        <f>IF(Init!$R$9="Yes",SUMPRODUCT('Staging Table'!L12:AI12,LS_Demand_Rates_Restatement!$C$4:$Z$4)-IF(Init!$R$15="No",('Staging Table'!BH12*Rates_previous!$H$34), 0),SUMPRODUCT('Staging Table'!BZ12:CW12,LS_Demand_Rates_Restatement!$C$4:$Z$4)-IF(Init!$R$15="No", 'Staging Table'!DV12*Rates_previous!$H$34, 0))</f>
        <v>103932.13359605469</v>
      </c>
      <c r="G10" s="251">
        <f>IF(Init!$R$9="Yes",SUMPRODUCT('Staging Table'!AJ12:AU12,LS_Demand_Rates_Restatement!$C$10:$N$10),SUMPRODUCT(LS_Demand_Rates_Restatement!$C$10:$N$10,'Staging Table'!CX12:DI12))*1000</f>
        <v>249745.65</v>
      </c>
      <c r="H10" s="252">
        <f>IF(Init!$R$9="Yes",'Staging Table'!BR12,'Staging Table'!EF12)*IF(Init!$R$3=2018,Rates_previous!$C$88,Rates_previous!$D$88)</f>
        <v>0</v>
      </c>
      <c r="I10" s="250">
        <f>IF(Init!$R$9="Yes",IF('Staging Table'!$F$1=2018,(SUM('Staging Table'!BD12:BG12)*Rates_previous!$C$87),(SUM('Staging Table'!BD12:BG12)*Rates_previous!$D$87)),IF('Staging Table'!$F$1=2018,(SUM('Staging Table'!DR12:DU12)*Rates_previous!$C$87),(SUM('Staging Table'!DR12:DU12)*Rates_previous!$D$87)))</f>
        <v>40280.234904920573</v>
      </c>
      <c r="J10" s="252">
        <f>IF(Init!$R$9="Yes",IF('Staging Table'!D12=1,'Staging Table'!H12*-1,'Staging Table'!H12*SUM(D10:I10)*(-1)),IF('Staging Table'!D12=1,'Staging Table'!BV12*-1,'Staging Table'!BV12*SUM(D10:I10)*(-1)))</f>
        <v>0</v>
      </c>
      <c r="K10" s="250">
        <f>IF(Init!$R$9="Yes",'Staging Table'!K12,'Staging Table'!BY12)*(-1)*Rates_previous!$H$32</f>
        <v>0</v>
      </c>
      <c r="L10" s="250">
        <f>IF(Init!$R$12="No",0,'Staging Table'!$BI12*-1)</f>
        <v>-260931.86102272948</v>
      </c>
      <c r="M10" s="250">
        <f>IF('Staging Table'!C12=1,"",SUM(D10:L10))</f>
        <v>6430067.5836382462</v>
      </c>
      <c r="N10" s="250">
        <f>IF('Staging Table'!C12=1,"",IF(Init!$R$9="Yes",(RT1SC!$C$3*'Staging Table'!E12*'Staging Table'!$F$2)+SUM('Staging Table'!L12:AI12)-IF(Init!$R$15="No",'Staging Table'!BH12, 0),Z10))</f>
        <v>175051.08000000002</v>
      </c>
      <c r="O10" s="126">
        <f>IF('Staging Table'!C12=1,"",IF(N10=0, 0, M10/N10))</f>
        <v>36.732521636760225</v>
      </c>
      <c r="P10" s="250">
        <f>'Staging Table'!BS12*Rates_current!$E$74*100*12</f>
        <v>6835046.8472399991</v>
      </c>
      <c r="Q10" s="250">
        <f>'Staging Table'!BT12*Rates_current!$E$75*100*12</f>
        <v>-691475.64419999986</v>
      </c>
      <c r="R10" s="251">
        <f>SUMPRODUCT('Staging Table'!BZ12:CW12, LS_Demand_Rates_Restatement!$C$5:$Z$5)-IF(Init!$R$15="No",('Staging Table'!DV12*Rates_current!$H$34), 0)</f>
        <v>117062.10076090645</v>
      </c>
      <c r="S10" s="251">
        <f>SUMPRODUCT('Staging Table'!CX12:DI12, LS_Demand_Rates_Restatement!$C$11:$N$11)*1000</f>
        <v>287275.39999999997</v>
      </c>
      <c r="T10" s="252">
        <f>'Staging Table'!EF12*IF(Init!$R$18="Yes",IF(Init!$R$6=2020,Rates_current!$C$88,Rates_current!$D$88),Rates_current!$H$33)</f>
        <v>0</v>
      </c>
      <c r="U10" s="252">
        <f>IF(Init!$R$18="Yes",(SUM('Staging Table'!DL12:DU12)*IF('Staging Table'!$BT$1=2020, Rates_current!$C$87, Rates_current!$D$87)),0)</f>
        <v>119317.2204187077</v>
      </c>
      <c r="V10" s="252">
        <f>IF('Staging Table'!D12=1, 'Staging Table'!BV12*-1,SUM(P10:U10)*'Staging Table'!BV12*-1)</f>
        <v>0</v>
      </c>
      <c r="W10" s="250">
        <f>'Staging Table'!BY12*Rates_current!$H$32*-1</f>
        <v>0</v>
      </c>
      <c r="X10" s="250">
        <f>IF(Init!$R$12="No",0,'Staging Table'!$DW12*-1)</f>
        <v>0</v>
      </c>
      <c r="Y10" s="250">
        <f>IF('Staging Table'!C12=1,"",SUM(P10:X10))</f>
        <v>6667225.924219613</v>
      </c>
      <c r="Z10" s="250">
        <f>IF('Staging Table'!C12=1,"",(RT1SC!$C$4*'Staging Table'!BS12*'Staging Table'!$BT$2)+SUM('Staging Table'!BZ12:CW12)-IF(Init!$R$15="No",'Staging Table'!DV12, 0))</f>
        <v>177454.36800000002</v>
      </c>
      <c r="AA10" s="126">
        <f>IF('Staging Table'!C12=1,"",IF(Z10=0, 0, Y10/Z10))</f>
        <v>37.571495136257298</v>
      </c>
      <c r="AB10" s="118">
        <f ca="1">IF('Staging Table'!C12=1,"",(AA10/O10-1)+(RAND()/100000000000000))</f>
        <v>2.2840073649007087E-2</v>
      </c>
      <c r="AC10" s="79">
        <f t="shared" ca="1" si="0"/>
        <v>43</v>
      </c>
      <c r="AF10" s="255"/>
      <c r="AG10" s="255"/>
      <c r="AH10" s="271"/>
      <c r="AI10" s="255"/>
      <c r="AJ10" s="255"/>
    </row>
    <row r="11" spans="1:37">
      <c r="B11" s="3">
        <v>10046</v>
      </c>
      <c r="C11" s="4" t="s">
        <v>14</v>
      </c>
      <c r="D11" s="250">
        <f>IF(Init!$R$9="Yes",'Staging Table'!E13,'Staging Table'!BS13)*Rates_previous!$E$75*100*12</f>
        <v>29545311.516479999</v>
      </c>
      <c r="E11" s="250">
        <f>IF(Init!$R$9="Yes",'Staging Table'!F13,'Staging Table'!BT13)*Rates_previous!$E$76*100*12</f>
        <v>-4166531.9562000004</v>
      </c>
      <c r="F11" s="251">
        <f>IF(Init!$R$9="Yes",SUMPRODUCT('Staging Table'!L13:AI13,LS_Demand_Rates_Restatement!$C$4:$Z$4)-IF(Init!$R$15="No",('Staging Table'!BH13*Rates_previous!$H$34), 0),SUMPRODUCT('Staging Table'!BZ13:CW13,LS_Demand_Rates_Restatement!$C$4:$Z$4)-IF(Init!$R$15="No", 'Staging Table'!DV13*Rates_previous!$H$34, 0))</f>
        <v>0</v>
      </c>
      <c r="G11" s="251">
        <f>IF(Init!$R$9="Yes",SUMPRODUCT('Staging Table'!AJ13:AU13,LS_Demand_Rates_Restatement!$C$10:$N$10),SUMPRODUCT(LS_Demand_Rates_Restatement!$C$10:$N$10,'Staging Table'!CX13:DI13))*1000</f>
        <v>0</v>
      </c>
      <c r="H11" s="252">
        <f>IF(Init!$R$9="Yes",'Staging Table'!BR13,'Staging Table'!EF13)*IF(Init!$R$3=2018,Rates_previous!$C$88,Rates_previous!$D$88)</f>
        <v>0</v>
      </c>
      <c r="I11" s="250">
        <f>IF(Init!$R$9="Yes",IF('Staging Table'!$F$1=2018,(SUM('Staging Table'!BD13:BG13)*Rates_previous!$C$87),(SUM('Staging Table'!BD13:BG13)*Rates_previous!$D$87)),IF('Staging Table'!$F$1=2018,(SUM('Staging Table'!DR13:DU13)*Rates_previous!$C$87),(SUM('Staging Table'!DR13:DU13)*Rates_previous!$D$87)))</f>
        <v>162340.23775696542</v>
      </c>
      <c r="J11" s="252">
        <f>IF(Init!$R$9="Yes",IF('Staging Table'!D13=1,'Staging Table'!H13*-1,'Staging Table'!H13*SUM(D11:I11)*(-1)),IF('Staging Table'!D13=1,'Staging Table'!BV13*-1,'Staging Table'!BV13*SUM(D11:I11)*(-1)))</f>
        <v>-1833831.9686032154</v>
      </c>
      <c r="K11" s="250">
        <f>IF(Init!$R$9="Yes",'Staging Table'!K13,'Staging Table'!BY13)*(-1)*Rates_previous!$H$32</f>
        <v>-483164.97432000004</v>
      </c>
      <c r="L11" s="250">
        <f>IF(Init!$R$12="No",0,'Staging Table'!$BI13*-1)</f>
        <v>-860546.92159758043</v>
      </c>
      <c r="M11" s="250" t="str">
        <f>IF('Staging Table'!C13=1,"",SUM(D11:L11))</f>
        <v/>
      </c>
      <c r="N11" s="250" t="str">
        <f>IF('Staging Table'!C13=1,"",IF(Init!$R$9="Yes",(RT1SC!$C$3*'Staging Table'!E13*'Staging Table'!$F$2)+SUM('Staging Table'!L13:AI13)-IF(Init!$R$15="No",'Staging Table'!BH13, 0),Z11))</f>
        <v/>
      </c>
      <c r="O11" s="126" t="str">
        <f>IF('Staging Table'!C13=1,"",IF(N11=0, 0, M11/N11))</f>
        <v/>
      </c>
      <c r="P11" s="250">
        <f>'Staging Table'!BS13*Rates_current!$E$74*100*12</f>
        <v>27546957.122160003</v>
      </c>
      <c r="Q11" s="250">
        <f>'Staging Table'!BT13*Rates_current!$E$75*100*12</f>
        <v>-2786820.6827999996</v>
      </c>
      <c r="R11" s="251">
        <f>SUMPRODUCT('Staging Table'!BZ13:CW13, LS_Demand_Rates_Restatement!$C$5:$Z$5)-IF(Init!$R$15="No",('Staging Table'!DV13*Rates_current!$H$34), 0)</f>
        <v>0</v>
      </c>
      <c r="S11" s="251">
        <f>SUMPRODUCT('Staging Table'!CX13:DI13, LS_Demand_Rates_Restatement!$C$11:$N$11)*1000</f>
        <v>0</v>
      </c>
      <c r="T11" s="252">
        <f>'Staging Table'!EF13*IF(Init!$R$18="Yes",IF(Init!$R$6=2020,Rates_current!$C$88,Rates_current!$D$88),Rates_current!$H$33)</f>
        <v>0</v>
      </c>
      <c r="U11" s="252">
        <f>IF(Init!$R$18="Yes",(SUM('Staging Table'!DL13:DU13)*IF('Staging Table'!$BT$1=2020, Rates_current!$C$87, Rates_current!$D$87)),0)</f>
        <v>480878.39458432968</v>
      </c>
      <c r="V11" s="252">
        <f>IF('Staging Table'!D13=1, 'Staging Table'!BV13*-1,SUM(P11:U11)*'Staging Table'!BV13*-1)</f>
        <v>-1825574.0665754077</v>
      </c>
      <c r="W11" s="250">
        <f>'Staging Table'!BY13*Rates_current!$H$32*-1</f>
        <v>-456459.42726999999</v>
      </c>
      <c r="X11" s="250">
        <f>IF(Init!$R$12="No",0,'Staging Table'!$DW13*-1)</f>
        <v>0</v>
      </c>
      <c r="Y11" s="250" t="str">
        <f>IF('Staging Table'!C13=1,"",SUM(P11:X11))</f>
        <v/>
      </c>
      <c r="Z11" s="250" t="str">
        <f>IF('Staging Table'!C13=1,"",(RT1SC!$C$4*'Staging Table'!BS13*'Staging Table'!$BT$2)+SUM('Staging Table'!BZ13:CW13)-IF(Init!$R$15="No",'Staging Table'!DV13, 0))</f>
        <v/>
      </c>
      <c r="AA11" s="126" t="str">
        <f>IF('Staging Table'!C13=1,"",IF(Z11=0, 0, Y11/Z11))</f>
        <v/>
      </c>
      <c r="AB11" s="118" t="str">
        <f ca="1">IF('Staging Table'!C13=1,"",(AA11/O11-1)+(RAND()/100000000000000))</f>
        <v/>
      </c>
      <c r="AC11" s="79" t="str">
        <f t="shared" ca="1" si="0"/>
        <v/>
      </c>
      <c r="AF11" s="255"/>
      <c r="AG11" s="255"/>
      <c r="AH11" s="271"/>
      <c r="AI11" s="255"/>
      <c r="AJ11" s="255"/>
    </row>
    <row r="12" spans="1:37">
      <c r="B12" s="3">
        <v>10047</v>
      </c>
      <c r="C12" s="4" t="s">
        <v>15</v>
      </c>
      <c r="D12" s="250">
        <f>IF(Init!$R$9="Yes",'Staging Table'!E14,'Staging Table'!BS14)*Rates_previous!$E$75*100*12</f>
        <v>56078436.651839986</v>
      </c>
      <c r="E12" s="250">
        <f>IF(Init!$R$9="Yes",'Staging Table'!F14,'Staging Table'!BT14)*Rates_previous!$E$76*100*12</f>
        <v>-7908280.074599999</v>
      </c>
      <c r="F12" s="251">
        <f>IF(Init!$R$9="Yes",SUMPRODUCT('Staging Table'!L14:AI14,LS_Demand_Rates_Restatement!$C$4:$Z$4)-IF(Init!$R$15="No",('Staging Table'!BH14*Rates_previous!$H$34), 0),SUMPRODUCT('Staging Table'!BZ14:CW14,LS_Demand_Rates_Restatement!$C$4:$Z$4)-IF(Init!$R$15="No", 'Staging Table'!DV14*Rates_previous!$H$34, 0))</f>
        <v>436243.28000000026</v>
      </c>
      <c r="G12" s="251">
        <f>IF(Init!$R$9="Yes",SUMPRODUCT('Staging Table'!AJ14:AU14,LS_Demand_Rates_Restatement!$C$10:$N$10),SUMPRODUCT(LS_Demand_Rates_Restatement!$C$10:$N$10,'Staging Table'!CX14:DI14))*1000</f>
        <v>1482492.4000000001</v>
      </c>
      <c r="H12" s="252">
        <f>IF(Init!$R$9="Yes",'Staging Table'!BR14,'Staging Table'!EF14)*IF(Init!$R$3=2018,Rates_previous!$C$88,Rates_previous!$D$88)</f>
        <v>23576.484750209976</v>
      </c>
      <c r="I12" s="250">
        <f>IF(Init!$R$9="Yes",IF('Staging Table'!$F$1=2018,(SUM('Staging Table'!BD14:BG14)*Rates_previous!$C$87),(SUM('Staging Table'!BD14:BG14)*Rates_previous!$D$87)),IF('Staging Table'!$F$1=2018,(SUM('Staging Table'!DR14:DU14)*Rates_previous!$C$87),(SUM('Staging Table'!DR14:DU14)*Rates_previous!$D$87)))</f>
        <v>308129.65820382885</v>
      </c>
      <c r="J12" s="252">
        <f>IF(Init!$R$9="Yes",IF('Staging Table'!D14=1,'Staging Table'!H14*-1,'Staging Table'!H14*SUM(D12:I12)*(-1)),IF('Staging Table'!D14=1,'Staging Table'!BV14*-1,'Staging Table'!BV14*SUM(D12:I12)*(-1)))</f>
        <v>0</v>
      </c>
      <c r="K12" s="250">
        <f>IF(Init!$R$9="Yes",'Staging Table'!K14,'Staging Table'!BY14)*(-1)*Rates_previous!$H$32</f>
        <v>0</v>
      </c>
      <c r="L12" s="250">
        <f>IF(Init!$R$12="No",0,'Staging Table'!$BI14*-1)</f>
        <v>-1356406.4002414742</v>
      </c>
      <c r="M12" s="250">
        <f>IF('Staging Table'!C14=1,"",SUM(D12:L12))</f>
        <v>49064191.999952555</v>
      </c>
      <c r="N12" s="250">
        <f>IF('Staging Table'!C14=1,"",IF(Init!$R$9="Yes",(RT1SC!$C$3*'Staging Table'!E14*'Staging Table'!$F$2)+SUM('Staging Table'!L14:AI14)-IF(Init!$R$15="No",'Staging Table'!BH14, 0),Z12))</f>
        <v>1340905.0101656558</v>
      </c>
      <c r="O12" s="126">
        <f>IF('Staging Table'!C14=1,"",IF(N12=0, 0, M12/N12))</f>
        <v>36.590356235518243</v>
      </c>
      <c r="P12" s="250">
        <f>'Staging Table'!BS14*Rates_current!$E$74*100*12</f>
        <v>52172044.014480002</v>
      </c>
      <c r="Q12" s="250">
        <f>'Staging Table'!BT14*Rates_current!$E$75*100*12</f>
        <v>-5278046.8883999996</v>
      </c>
      <c r="R12" s="251">
        <f>SUMPRODUCT('Staging Table'!BZ14:CW14, LS_Demand_Rates_Restatement!$C$5:$Z$5)-IF(Init!$R$15="No",('Staging Table'!DV14*Rates_current!$H$34), 0)</f>
        <v>196588.12000000002</v>
      </c>
      <c r="S12" s="251">
        <f>SUMPRODUCT('Staging Table'!CX14:DI14, LS_Demand_Rates_Restatement!$C$11:$N$11)*1000</f>
        <v>1721282.2299999997</v>
      </c>
      <c r="T12" s="252">
        <f>'Staging Table'!EF14*IF(Init!$R$18="Yes",IF(Init!$R$6=2020,Rates_current!$C$88,Rates_current!$D$88),Rates_current!$H$33)</f>
        <v>-215733.42714931833</v>
      </c>
      <c r="U12" s="252">
        <f>IF(Init!$R$18="Yes",(SUM('Staging Table'!DL14:DU14)*IF('Staging Table'!$BT$1=2020, Rates_current!$C$87, Rates_current!$D$87)),0)</f>
        <v>910750.63777856936</v>
      </c>
      <c r="V12" s="252">
        <f>IF('Staging Table'!D14=1, 'Staging Table'!BV14*-1,SUM(P12:U12)*'Staging Table'!BV14*-1)</f>
        <v>0</v>
      </c>
      <c r="W12" s="250">
        <f>'Staging Table'!BY14*Rates_current!$H$32*-1</f>
        <v>0</v>
      </c>
      <c r="X12" s="250">
        <f>IF(Init!$R$12="No",0,'Staging Table'!$DW14*-1)</f>
        <v>0</v>
      </c>
      <c r="Y12" s="250">
        <f>IF('Staging Table'!C14=1,"",SUM(P12:X12))</f>
        <v>49506884.686709255</v>
      </c>
      <c r="Z12" s="250">
        <f>IF('Staging Table'!C14=1,"",(RT1SC!$C$4*'Staging Table'!BS14*'Staging Table'!$BT$2)+SUM('Staging Table'!BZ14:CW14)-IF(Init!$R$15="No",'Staging Table'!DV14, 0))</f>
        <v>1340907.7952697342</v>
      </c>
      <c r="AA12" s="126">
        <f>IF('Staging Table'!C14=1,"",IF(Z12=0, 0, Y12/Z12))</f>
        <v>36.920424253891781</v>
      </c>
      <c r="AB12" s="118">
        <f ca="1">IF('Staging Table'!C14=1,"",(AA12/O12-1)+(RAND()/100000000000000))</f>
        <v>9.0206287211080788E-3</v>
      </c>
      <c r="AC12" s="79">
        <f t="shared" ca="1" si="0"/>
        <v>72</v>
      </c>
      <c r="AF12" s="255"/>
      <c r="AG12" s="255"/>
      <c r="AH12" s="271"/>
      <c r="AI12" s="255"/>
      <c r="AJ12" s="255"/>
    </row>
    <row r="13" spans="1:37">
      <c r="B13" s="3">
        <v>10055</v>
      </c>
      <c r="C13" s="4" t="s">
        <v>16</v>
      </c>
      <c r="D13" s="250">
        <f>IF(Init!$R$9="Yes",'Staging Table'!E15,'Staging Table'!BS15)*Rates_previous!$E$75*100*12</f>
        <v>143437.44672000001</v>
      </c>
      <c r="E13" s="250">
        <f>IF(Init!$R$9="Yes",'Staging Table'!F15,'Staging Table'!BT15)*Rates_previous!$E$76*100*12</f>
        <v>-20227.801800000001</v>
      </c>
      <c r="F13" s="251">
        <f>IF(Init!$R$9="Yes",SUMPRODUCT('Staging Table'!L15:AI15,LS_Demand_Rates_Restatement!$C$4:$Z$4)-IF(Init!$R$15="No",('Staging Table'!BH15*Rates_previous!$H$34), 0),SUMPRODUCT('Staging Table'!BZ15:CW15,LS_Demand_Rates_Restatement!$C$4:$Z$4)-IF(Init!$R$15="No", 'Staging Table'!DV15*Rates_previous!$H$34, 0))</f>
        <v>2036.6799999999996</v>
      </c>
      <c r="G13" s="251">
        <f>IF(Init!$R$9="Yes",SUMPRODUCT('Staging Table'!AJ15:AU15,LS_Demand_Rates_Restatement!$C$10:$N$10),SUMPRODUCT(LS_Demand_Rates_Restatement!$C$10:$N$10,'Staging Table'!CX15:DI15))*1000</f>
        <v>12248.48</v>
      </c>
      <c r="H13" s="252">
        <f>IF(Init!$R$9="Yes",'Staging Table'!BR15,'Staging Table'!EF15)*IF(Init!$R$3=2018,Rates_previous!$C$88,Rates_previous!$D$88)</f>
        <v>-441.90787655696539</v>
      </c>
      <c r="I13" s="250">
        <f>IF(Init!$R$9="Yes",IF('Staging Table'!$F$1=2018,(SUM('Staging Table'!BD15:BG15)*Rates_previous!$C$87),(SUM('Staging Table'!BD15:BG15)*Rates_previous!$D$87)),IF('Staging Table'!$F$1=2018,(SUM('Staging Table'!DR15:DU15)*Rates_previous!$C$87),(SUM('Staging Table'!DR15:DU15)*Rates_previous!$D$87)))</f>
        <v>788.13415762390639</v>
      </c>
      <c r="J13" s="252">
        <f>IF(Init!$R$9="Yes",IF('Staging Table'!D15=1,'Staging Table'!H15*-1,'Staging Table'!H15*SUM(D13:I13)*(-1)),IF('Staging Table'!D15=1,'Staging Table'!BV15*-1,'Staging Table'!BV15*SUM(D13:I13)*(-1)))</f>
        <v>0</v>
      </c>
      <c r="K13" s="250">
        <f>IF(Init!$R$9="Yes",'Staging Table'!K15,'Staging Table'!BY15)*(-1)*Rates_previous!$H$32</f>
        <v>0</v>
      </c>
      <c r="L13" s="250">
        <f>IF(Init!$R$12="No",0,'Staging Table'!$BI15*-1)</f>
        <v>-2233.2709507485338</v>
      </c>
      <c r="M13" s="250">
        <f>IF('Staging Table'!C15=1,"",SUM(D13:L13))</f>
        <v>135607.76025031839</v>
      </c>
      <c r="N13" s="250">
        <f>IF('Staging Table'!C15=1,"",IF(Init!$R$9="Yes",(RT1SC!$C$3*'Staging Table'!E15*'Staging Table'!$F$2)+SUM('Staging Table'!L15:AI15)-IF(Init!$R$15="No",'Staging Table'!BH15, 0),Z13))</f>
        <v>3391.1147090479999</v>
      </c>
      <c r="O13" s="126">
        <f>IF('Staging Table'!C15=1,"",IF(N13=0, 0, M13/N13))</f>
        <v>39.98913982133859</v>
      </c>
      <c r="P13" s="250">
        <f>'Staging Table'!BS15*Rates_current!$E$74*100*12</f>
        <v>130241.16528</v>
      </c>
      <c r="Q13" s="250">
        <f>'Staging Table'!BT15*Rates_current!$E$75*100*12</f>
        <v>-13176.002399999999</v>
      </c>
      <c r="R13" s="251">
        <f>SUMPRODUCT('Staging Table'!BZ15:CW15, LS_Demand_Rates_Restatement!$C$5:$Z$5)-IF(Init!$R$15="No",('Staging Table'!DV15*Rates_current!$H$34), 0)</f>
        <v>3219.3199999999993</v>
      </c>
      <c r="S13" s="251">
        <f>SUMPRODUCT('Staging Table'!CX15:DI15, LS_Demand_Rates_Restatement!$C$11:$N$11)*1000</f>
        <v>13348.699999999997</v>
      </c>
      <c r="T13" s="252">
        <f>'Staging Table'!EF15*IF(Init!$R$18="Yes",IF(Init!$R$6=2020,Rates_current!$C$88,Rates_current!$D$88),Rates_current!$H$33)</f>
        <v>119.04999141580456</v>
      </c>
      <c r="U13" s="252">
        <f>IF(Init!$R$18="Yes",(SUM('Staging Table'!DL15:DU15)*IF('Staging Table'!$BT$1=2020, Rates_current!$C$87, Rates_current!$D$87)),0)</f>
        <v>2273.5782464429162</v>
      </c>
      <c r="V13" s="252">
        <f>IF('Staging Table'!D15=1, 'Staging Table'!BV15*-1,SUM(P13:U13)*'Staging Table'!BV15*-1)</f>
        <v>0</v>
      </c>
      <c r="W13" s="250">
        <f>'Staging Table'!BY15*Rates_current!$H$32*-1</f>
        <v>0</v>
      </c>
      <c r="X13" s="250">
        <f>IF(Init!$R$12="No",0,'Staging Table'!$DW15*-1)</f>
        <v>0</v>
      </c>
      <c r="Y13" s="250">
        <f>IF('Staging Table'!C15=1,"",SUM(P13:X13))</f>
        <v>136025.81111785871</v>
      </c>
      <c r="Z13" s="250">
        <f>IF('Staging Table'!C15=1,"",(RT1SC!$C$4*'Staging Table'!BS15*'Staging Table'!$BT$2)+SUM('Staging Table'!BZ15:CW15)-IF(Init!$R$15="No",'Staging Table'!DV15, 0))</f>
        <v>3389.3415747583999</v>
      </c>
      <c r="AA13" s="126">
        <f>IF('Staging Table'!C15=1,"",IF(Z13=0, 0, Y13/Z13))</f>
        <v>40.133402939051649</v>
      </c>
      <c r="AB13" s="118">
        <f ca="1">IF('Staging Table'!C15=1,"",(AA13/O13-1)+(RAND()/100000000000000))</f>
        <v>3.607557410777762E-3</v>
      </c>
      <c r="AC13" s="79">
        <f t="shared" ca="1" si="0"/>
        <v>80</v>
      </c>
      <c r="AF13" s="255"/>
      <c r="AG13" s="255"/>
      <c r="AH13" s="271"/>
      <c r="AI13" s="255"/>
      <c r="AJ13" s="255"/>
    </row>
    <row r="14" spans="1:37">
      <c r="B14" s="3">
        <v>10057</v>
      </c>
      <c r="C14" s="4" t="s">
        <v>17</v>
      </c>
      <c r="D14" s="250">
        <f>IF(Init!$R$9="Yes",'Staging Table'!E16,'Staging Table'!BS16)*Rates_previous!$E$75*100*12</f>
        <v>7605241.95744</v>
      </c>
      <c r="E14" s="250">
        <f>IF(Init!$R$9="Yes",'Staging Table'!F16,'Staging Table'!BT16)*Rates_previous!$E$76*100*12</f>
        <v>-1072504.6386000002</v>
      </c>
      <c r="F14" s="251">
        <f>IF(Init!$R$9="Yes",SUMPRODUCT('Staging Table'!L16:AI16,LS_Demand_Rates_Restatement!$C$4:$Z$4)-IF(Init!$R$15="No",('Staging Table'!BH16*Rates_previous!$H$34), 0),SUMPRODUCT('Staging Table'!BZ16:CW16,LS_Demand_Rates_Restatement!$C$4:$Z$4)-IF(Init!$R$15="No", 'Staging Table'!DV16*Rates_previous!$H$34, 0))</f>
        <v>-31221.819999999992</v>
      </c>
      <c r="G14" s="251">
        <f>IF(Init!$R$9="Yes",SUMPRODUCT('Staging Table'!AJ16:AU16,LS_Demand_Rates_Restatement!$C$10:$N$10),SUMPRODUCT(LS_Demand_Rates_Restatement!$C$10:$N$10,'Staging Table'!CX16:DI16))*1000</f>
        <v>289620.79000000004</v>
      </c>
      <c r="H14" s="252">
        <f>IF(Init!$R$9="Yes",'Staging Table'!BR16,'Staging Table'!EF16)*IF(Init!$R$3=2018,Rates_previous!$C$88,Rates_previous!$D$88)</f>
        <v>-79482.721066966129</v>
      </c>
      <c r="I14" s="250">
        <f>IF(Init!$R$9="Yes",IF('Staging Table'!$F$1=2018,(SUM('Staging Table'!BD16:BG16)*Rates_previous!$C$87),(SUM('Staging Table'!BD16:BG16)*Rates_previous!$D$87)),IF('Staging Table'!$F$1=2018,(SUM('Staging Table'!DR16:DU16)*Rates_previous!$C$87),(SUM('Staging Table'!DR16:DU16)*Rates_previous!$D$87)))</f>
        <v>41787.908950677134</v>
      </c>
      <c r="J14" s="252">
        <f>IF(Init!$R$9="Yes",IF('Staging Table'!D16=1,'Staging Table'!H16*-1,'Staging Table'!H16*SUM(D14:I14)*(-1)),IF('Staging Table'!D16=1,'Staging Table'!BV16*-1,'Staging Table'!BV16*SUM(D14:I14)*(-1)))</f>
        <v>0</v>
      </c>
      <c r="K14" s="250">
        <f>IF(Init!$R$9="Yes",'Staging Table'!K16,'Staging Table'!BY16)*(-1)*Rates_previous!$H$32</f>
        <v>0</v>
      </c>
      <c r="L14" s="250">
        <f>IF(Init!$R$12="No",0,'Staging Table'!$BI16*-1)</f>
        <v>-279929.27915920061</v>
      </c>
      <c r="M14" s="250">
        <f>IF('Staging Table'!C16=1,"",SUM(D14:L14))</f>
        <v>6473512.1975645106</v>
      </c>
      <c r="N14" s="250">
        <f>IF('Staging Table'!C16=1,"",IF(Init!$R$9="Yes",(RT1SC!$C$3*'Staging Table'!E16*'Staging Table'!$F$2)+SUM('Staging Table'!L16:AI16)-IF(Init!$R$15="No",'Staging Table'!BH16, 0),Z14))</f>
        <v>175480.08380069601</v>
      </c>
      <c r="O14" s="126">
        <f>IF('Staging Table'!C16=1,"",IF(N14=0, 0, M14/N14))</f>
        <v>36.890295795145015</v>
      </c>
      <c r="P14" s="250">
        <f>'Staging Table'!BS16*Rates_current!$E$74*100*12</f>
        <v>6763746.9392400011</v>
      </c>
      <c r="Q14" s="250">
        <f>'Staging Table'!BT16*Rates_current!$E$75*100*12</f>
        <v>-684262.50420000008</v>
      </c>
      <c r="R14" s="251">
        <f>SUMPRODUCT('Staging Table'!BZ16:CW16, LS_Demand_Rates_Restatement!$C$5:$Z$5)-IF(Init!$R$15="No",('Staging Table'!DV16*Rates_current!$H$34), 0)</f>
        <v>123675.69999999997</v>
      </c>
      <c r="S14" s="251">
        <f>SUMPRODUCT('Staging Table'!CX16:DI16, LS_Demand_Rates_Restatement!$C$11:$N$11)*1000</f>
        <v>331270.03999999998</v>
      </c>
      <c r="T14" s="252">
        <f>'Staging Table'!EF16*IF(Init!$R$18="Yes",IF(Init!$R$6=2020,Rates_current!$C$88,Rates_current!$D$88),Rates_current!$H$33)</f>
        <v>-1943.8269863822677</v>
      </c>
      <c r="U14" s="252">
        <f>IF(Init!$R$18="Yes",(SUM('Staging Table'!DL16:DU16)*IF('Staging Table'!$BT$1=2020, Rates_current!$C$87, Rates_current!$D$87)),0)</f>
        <v>118072.56079474262</v>
      </c>
      <c r="V14" s="252">
        <f>IF('Staging Table'!D16=1, 'Staging Table'!BV16*-1,SUM(P14:U14)*'Staging Table'!BV16*-1)</f>
        <v>0</v>
      </c>
      <c r="W14" s="250">
        <f>'Staging Table'!BY16*Rates_current!$H$32*-1</f>
        <v>0</v>
      </c>
      <c r="X14" s="250">
        <f>IF(Init!$R$12="No",0,'Staging Table'!$DW16*-1)</f>
        <v>0</v>
      </c>
      <c r="Y14" s="250">
        <f>IF('Staging Table'!C16=1,"",SUM(P14:X14))</f>
        <v>6650558.9088483611</v>
      </c>
      <c r="Z14" s="250">
        <f>IF('Staging Table'!C16=1,"",(RT1SC!$C$4*'Staging Table'!BS16*'Staging Table'!$BT$2)+SUM('Staging Table'!BZ16:CW16)-IF(Init!$R$15="No",'Staging Table'!DV16, 0))</f>
        <v>175478.45962782719</v>
      </c>
      <c r="AA14" s="126">
        <f>IF('Staging Table'!C16=1,"",IF(Z14=0, 0, Y14/Z14))</f>
        <v>37.899574243776428</v>
      </c>
      <c r="AB14" s="118">
        <f ca="1">IF('Staging Table'!C16=1,"",(AA14/O14-1)+(RAND()/100000000000000))</f>
        <v>2.7358914502505688E-2</v>
      </c>
      <c r="AC14" s="79">
        <f t="shared" ca="1" si="0"/>
        <v>20</v>
      </c>
      <c r="AF14" s="255"/>
      <c r="AG14" s="255"/>
      <c r="AH14" s="271"/>
      <c r="AI14" s="255"/>
      <c r="AJ14" s="255"/>
    </row>
    <row r="15" spans="1:37">
      <c r="B15" s="3">
        <v>10059</v>
      </c>
      <c r="C15" s="4" t="s">
        <v>18</v>
      </c>
      <c r="D15" s="250">
        <f>IF(Init!$R$9="Yes",'Staging Table'!E17,'Staging Table'!BS17)*Rates_previous!$E$75*100*12</f>
        <v>2738814.48</v>
      </c>
      <c r="E15" s="250">
        <f>IF(Init!$R$9="Yes",'Staging Table'!F17,'Staging Table'!BT17)*Rates_previous!$E$76*100*12</f>
        <v>-386232.44999999995</v>
      </c>
      <c r="F15" s="251">
        <f>IF(Init!$R$9="Yes",SUMPRODUCT('Staging Table'!L17:AI17,LS_Demand_Rates_Restatement!$C$4:$Z$4)-IF(Init!$R$15="No",('Staging Table'!BH17*Rates_previous!$H$34), 0),SUMPRODUCT('Staging Table'!BZ17:CW17,LS_Demand_Rates_Restatement!$C$4:$Z$4)-IF(Init!$R$15="No", 'Staging Table'!DV17*Rates_previous!$H$34, 0))</f>
        <v>48319.969109640348</v>
      </c>
      <c r="G15" s="251">
        <f>IF(Init!$R$9="Yes",SUMPRODUCT('Staging Table'!AJ17:AU17,LS_Demand_Rates_Restatement!$C$10:$N$10),SUMPRODUCT(LS_Demand_Rates_Restatement!$C$10:$N$10,'Staging Table'!CX17:DI17))*1000</f>
        <v>134194.93</v>
      </c>
      <c r="H15" s="252">
        <f>IF(Init!$R$9="Yes",'Staging Table'!BR17,'Staging Table'!EF17)*IF(Init!$R$3=2018,Rates_previous!$C$88,Rates_previous!$D$88)</f>
        <v>5685.24</v>
      </c>
      <c r="I15" s="250">
        <f>IF(Init!$R$9="Yes",IF('Staging Table'!$F$1=2018,(SUM('Staging Table'!BD17:BG17)*Rates_previous!$C$87),(SUM('Staging Table'!BD17:BG17)*Rates_previous!$D$87)),IF('Staging Table'!$F$1=2018,(SUM('Staging Table'!DR17:DU17)*Rates_previous!$C$87),(SUM('Staging Table'!DR17:DU17)*Rates_previous!$D$87)))</f>
        <v>15048.742796548833</v>
      </c>
      <c r="J15" s="252">
        <f>IF(Init!$R$9="Yes",IF('Staging Table'!D17=1,'Staging Table'!H17*-1,'Staging Table'!H17*SUM(D15:I15)*(-1)),IF('Staging Table'!D17=1,'Staging Table'!BV17*-1,'Staging Table'!BV17*SUM(D15:I15)*(-1)))</f>
        <v>0</v>
      </c>
      <c r="K15" s="250">
        <f>IF(Init!$R$9="Yes",'Staging Table'!K17,'Staging Table'!BY17)*(-1)*Rates_previous!$H$32</f>
        <v>0</v>
      </c>
      <c r="L15" s="250">
        <f>IF(Init!$R$12="No",0,'Staging Table'!$BI17*-1)</f>
        <v>-98196.636354647344</v>
      </c>
      <c r="M15" s="250">
        <f>IF('Staging Table'!C17=1,"",SUM(D15:L15))</f>
        <v>2457634.2755515426</v>
      </c>
      <c r="N15" s="250">
        <f>IF('Staging Table'!C17=1,"",IF(Init!$R$9="Yes",(RT1SC!$C$3*'Staging Table'!E17*'Staging Table'!$F$2)+SUM('Staging Table'!L17:AI17)-IF(Init!$R$15="No",'Staging Table'!BH17, 0),Z15))</f>
        <v>65840.160000000003</v>
      </c>
      <c r="O15" s="126">
        <f>IF('Staging Table'!C17=1,"",IF(N15=0, 0, M15/N15))</f>
        <v>37.327282855198753</v>
      </c>
      <c r="P15" s="250">
        <f>'Staging Table'!BS17*Rates_current!$E$74*100*12</f>
        <v>2525442.7413599994</v>
      </c>
      <c r="Q15" s="250">
        <f>'Staging Table'!BT17*Rates_current!$E$75*100*12</f>
        <v>-255489.41879999998</v>
      </c>
      <c r="R15" s="251">
        <f>SUMPRODUCT('Staging Table'!BZ17:CW17, LS_Demand_Rates_Restatement!$C$5:$Z$5)-IF(Init!$R$15="No",('Staging Table'!DV17*Rates_current!$H$34), 0)</f>
        <v>65420.563825416313</v>
      </c>
      <c r="S15" s="251">
        <f>SUMPRODUCT('Staging Table'!CX17:DI17, LS_Demand_Rates_Restatement!$C$11:$N$11)*1000</f>
        <v>148987.84999999998</v>
      </c>
      <c r="T15" s="252">
        <f>'Staging Table'!EF17*IF(Init!$R$18="Yes",IF(Init!$R$6=2020,Rates_current!$C$88,Rates_current!$D$88),Rates_current!$H$33)</f>
        <v>18819.280799999942</v>
      </c>
      <c r="U15" s="252">
        <f>IF(Init!$R$18="Yes",(SUM('Staging Table'!DL17:DU17)*IF('Staging Table'!$BT$1=2020, Rates_current!$C$87, Rates_current!$D$87)),0)</f>
        <v>44085.843880843837</v>
      </c>
      <c r="V15" s="252">
        <f>IF('Staging Table'!D17=1, 'Staging Table'!BV17*-1,SUM(P15:U15)*'Staging Table'!BV17*-1)</f>
        <v>0</v>
      </c>
      <c r="W15" s="250">
        <f>'Staging Table'!BY17*Rates_current!$H$32*-1</f>
        <v>0</v>
      </c>
      <c r="X15" s="250">
        <f>IF(Init!$R$12="No",0,'Staging Table'!$DW17*-1)</f>
        <v>0</v>
      </c>
      <c r="Y15" s="250">
        <f>IF('Staging Table'!C17=1,"",SUM(P15:X15))</f>
        <v>2547266.8610662594</v>
      </c>
      <c r="Z15" s="250">
        <f>IF('Staging Table'!C17=1,"",(RT1SC!$C$4*'Staging Table'!BS17*'Staging Table'!$BT$2)+SUM('Staging Table'!BZ17:CW17)-IF(Init!$R$15="No",'Staging Table'!DV17, 0))</f>
        <v>66749.615999999995</v>
      </c>
      <c r="AA15" s="126">
        <f>IF('Staging Table'!C17=1,"",IF(Z15=0, 0, Y15/Z15))</f>
        <v>38.161520825322199</v>
      </c>
      <c r="AB15" s="118">
        <f ca="1">IF('Staging Table'!C17=1,"",(AA15/O15-1)+(RAND()/100000000000000))</f>
        <v>2.2349281981225048E-2</v>
      </c>
      <c r="AC15" s="79">
        <f t="shared" ca="1" si="0"/>
        <v>44</v>
      </c>
      <c r="AF15" s="255"/>
      <c r="AG15" s="255"/>
      <c r="AH15" s="271"/>
      <c r="AI15" s="255"/>
      <c r="AJ15" s="255"/>
    </row>
    <row r="16" spans="1:37">
      <c r="B16" s="3">
        <v>10061</v>
      </c>
      <c r="C16" s="4" t="s">
        <v>19</v>
      </c>
      <c r="D16" s="250">
        <f>IF(Init!$R$9="Yes",'Staging Table'!E18,'Staging Table'!BS18)*Rates_previous!$E$75*100*12</f>
        <v>3157152.4684800003</v>
      </c>
      <c r="E16" s="250">
        <f>IF(Init!$R$9="Yes",'Staging Table'!F18,'Staging Table'!BT18)*Rates_previous!$E$76*100*12</f>
        <v>-445227.21120000002</v>
      </c>
      <c r="F16" s="251">
        <f>IF(Init!$R$9="Yes",SUMPRODUCT('Staging Table'!L18:AI18,LS_Demand_Rates_Restatement!$C$4:$Z$4)-IF(Init!$R$15="No",('Staging Table'!BH18*Rates_previous!$H$34), 0),SUMPRODUCT('Staging Table'!BZ18:CW18,LS_Demand_Rates_Restatement!$C$4:$Z$4)-IF(Init!$R$15="No", 'Staging Table'!DV18*Rates_previous!$H$34, 0))</f>
        <v>36691.117992656946</v>
      </c>
      <c r="G16" s="251">
        <f>IF(Init!$R$9="Yes",SUMPRODUCT('Staging Table'!AJ18:AU18,LS_Demand_Rates_Restatement!$C$10:$N$10),SUMPRODUCT(LS_Demand_Rates_Restatement!$C$10:$N$10,'Staging Table'!CX18:DI18))*1000</f>
        <v>125565.41000000002</v>
      </c>
      <c r="H16" s="252">
        <f>IF(Init!$R$9="Yes",'Staging Table'!BR18,'Staging Table'!EF18)*IF(Init!$R$3=2018,Rates_previous!$C$88,Rates_previous!$D$88)</f>
        <v>0</v>
      </c>
      <c r="I16" s="250">
        <f>IF(Init!$R$9="Yes",IF('Staging Table'!$F$1=2018,(SUM('Staging Table'!BD18:BG18)*Rates_previous!$C$87),(SUM('Staging Table'!BD18:BG18)*Rates_previous!$D$87)),IF('Staging Table'!$F$1=2018,(SUM('Staging Table'!DR18:DU18)*Rates_previous!$C$87),(SUM('Staging Table'!DR18:DU18)*Rates_previous!$D$87)))</f>
        <v>17347.350766030988</v>
      </c>
      <c r="J16" s="252">
        <f>IF(Init!$R$9="Yes",IF('Staging Table'!D18=1,'Staging Table'!H18*-1,'Staging Table'!H18*SUM(D16:I16)*(-1)),IF('Staging Table'!D18=1,'Staging Table'!BV18*-1,'Staging Table'!BV18*SUM(D16:I16)*(-1)))</f>
        <v>0</v>
      </c>
      <c r="K16" s="250">
        <f>IF(Init!$R$9="Yes",'Staging Table'!K18,'Staging Table'!BY18)*(-1)*Rates_previous!$H$32</f>
        <v>0</v>
      </c>
      <c r="L16" s="250">
        <f>IF(Init!$R$12="No",0,'Staging Table'!$BI18*-1)</f>
        <v>-109661.91720420276</v>
      </c>
      <c r="M16" s="250">
        <f>IF('Staging Table'!C18=1,"",SUM(D16:L16))</f>
        <v>2781867.2188344859</v>
      </c>
      <c r="N16" s="250">
        <f>IF('Staging Table'!C18=1,"",IF(Init!$R$9="Yes",(RT1SC!$C$3*'Staging Table'!E18*'Staging Table'!$F$2)+SUM('Staging Table'!L18:AI18)-IF(Init!$R$15="No",'Staging Table'!BH18, 0),Z16))</f>
        <v>75388.56</v>
      </c>
      <c r="O16" s="126">
        <f>IF('Staging Table'!C18=1,"",IF(N16=0, 0, M16/N16))</f>
        <v>36.900389380490701</v>
      </c>
      <c r="P16" s="250">
        <f>'Staging Table'!BS18*Rates_current!$E$74*100*12</f>
        <v>2943497.8686000006</v>
      </c>
      <c r="Q16" s="250">
        <f>'Staging Table'!BT18*Rates_current!$E$75*100*12</f>
        <v>-297782.46299999999</v>
      </c>
      <c r="R16" s="251">
        <f>SUMPRODUCT('Staging Table'!BZ18:CW18, LS_Demand_Rates_Restatement!$C$5:$Z$5)-IF(Init!$R$15="No",('Staging Table'!DV18*Rates_current!$H$34), 0)</f>
        <v>41057.154589137877</v>
      </c>
      <c r="S16" s="251">
        <f>SUMPRODUCT('Staging Table'!CX18:DI18, LS_Demand_Rates_Restatement!$C$11:$N$11)*1000</f>
        <v>143878.65</v>
      </c>
      <c r="T16" s="252">
        <f>'Staging Table'!EF18*IF(Init!$R$18="Yes",IF(Init!$R$6=2020,Rates_current!$C$88,Rates_current!$D$88),Rates_current!$H$33)</f>
        <v>0</v>
      </c>
      <c r="U16" s="252">
        <f>IF(Init!$R$18="Yes",(SUM('Staging Table'!DL18:DU18)*IF('Staging Table'!$BT$1=2020, Rates_current!$C$87, Rates_current!$D$87)),0)</f>
        <v>51383.698142692549</v>
      </c>
      <c r="V16" s="252">
        <f>IF('Staging Table'!D18=1, 'Staging Table'!BV18*-1,SUM(P16:U16)*'Staging Table'!BV18*-1)</f>
        <v>0</v>
      </c>
      <c r="W16" s="250">
        <f>'Staging Table'!BY18*Rates_current!$H$32*-1</f>
        <v>0</v>
      </c>
      <c r="X16" s="250">
        <f>IF(Init!$R$12="No",0,'Staging Table'!$DW18*-1)</f>
        <v>0</v>
      </c>
      <c r="Y16" s="250">
        <f>IF('Staging Table'!C18=1,"",SUM(P16:X16))</f>
        <v>2882034.908331831</v>
      </c>
      <c r="Z16" s="250">
        <f>IF('Staging Table'!C18=1,"",(RT1SC!$C$4*'Staging Table'!BS18*'Staging Table'!$BT$2)+SUM('Staging Table'!BZ18:CW18)-IF(Init!$R$15="No",'Staging Table'!DV18, 0))</f>
        <v>76420.799999999988</v>
      </c>
      <c r="AA16" s="126">
        <f>IF('Staging Table'!C18=1,"",IF(Z16=0, 0, Y16/Z16))</f>
        <v>37.712702671678805</v>
      </c>
      <c r="AB16" s="118">
        <f ca="1">IF('Staging Table'!C18=1,"",(AA16/O16-1)+(RAND()/100000000000000))</f>
        <v>2.2013678034998988E-2</v>
      </c>
      <c r="AC16" s="79">
        <f t="shared" ca="1" si="0"/>
        <v>46</v>
      </c>
      <c r="AF16" s="255"/>
      <c r="AG16" s="255"/>
      <c r="AH16" s="271"/>
      <c r="AI16" s="255"/>
      <c r="AJ16" s="255"/>
    </row>
    <row r="17" spans="2:36">
      <c r="B17" s="3">
        <v>10062</v>
      </c>
      <c r="C17" s="4" t="s">
        <v>20</v>
      </c>
      <c r="D17" s="250">
        <f>IF(Init!$R$9="Yes",'Staging Table'!E19,'Staging Table'!BS19)*Rates_previous!$E$75*100*12</f>
        <v>1920227.4172800002</v>
      </c>
      <c r="E17" s="250">
        <f>IF(Init!$R$9="Yes",'Staging Table'!F19,'Staging Table'!BT19)*Rates_previous!$E$76*100*12</f>
        <v>-270793.85820000002</v>
      </c>
      <c r="F17" s="251">
        <f>IF(Init!$R$9="Yes",SUMPRODUCT('Staging Table'!L19:AI19,LS_Demand_Rates_Restatement!$C$4:$Z$4)-IF(Init!$R$15="No",('Staging Table'!BH19*Rates_previous!$H$34), 0),SUMPRODUCT('Staging Table'!BZ19:CW19,LS_Demand_Rates_Restatement!$C$4:$Z$4)-IF(Init!$R$15="No", 'Staging Table'!DV19*Rates_previous!$H$34, 0))</f>
        <v>110216.70281467505</v>
      </c>
      <c r="G17" s="251">
        <f>IF(Init!$R$9="Yes",SUMPRODUCT('Staging Table'!AJ19:AU19,LS_Demand_Rates_Restatement!$C$10:$N$10),SUMPRODUCT(LS_Demand_Rates_Restatement!$C$10:$N$10,'Staging Table'!CX19:DI19))*1000</f>
        <v>64893.460000000006</v>
      </c>
      <c r="H17" s="252">
        <f>IF(Init!$R$9="Yes",'Staging Table'!BR19,'Staging Table'!EF19)*IF(Init!$R$3=2018,Rates_previous!$C$88,Rates_previous!$D$88)</f>
        <v>0</v>
      </c>
      <c r="I17" s="250">
        <f>IF(Init!$R$9="Yes",IF('Staging Table'!$F$1=2018,(SUM('Staging Table'!BD19:BG19)*Rates_previous!$C$87),(SUM('Staging Table'!BD19:BG19)*Rates_previous!$D$87)),IF('Staging Table'!$F$1=2018,(SUM('Staging Table'!DR19:DU19)*Rates_previous!$C$87),(SUM('Staging Table'!DR19:DU19)*Rates_previous!$D$87)))</f>
        <v>10550.918554194286</v>
      </c>
      <c r="J17" s="252">
        <f>IF(Init!$R$9="Yes",IF('Staging Table'!D19=1,'Staging Table'!H19*-1,'Staging Table'!H19*SUM(D17:I17)*(-1)),IF('Staging Table'!D19=1,'Staging Table'!BV19*-1,'Staging Table'!BV19*SUM(D17:I17)*(-1)))</f>
        <v>0</v>
      </c>
      <c r="K17" s="250">
        <f>IF(Init!$R$9="Yes",'Staging Table'!K19,'Staging Table'!BY19)*(-1)*Rates_previous!$H$32</f>
        <v>0</v>
      </c>
      <c r="L17" s="250">
        <f>IF(Init!$R$12="No",0,'Staging Table'!$BI19*-1)</f>
        <v>-75485.934594487466</v>
      </c>
      <c r="M17" s="250">
        <f>IF('Staging Table'!C19=1,"",SUM(D17:L17))</f>
        <v>1759608.7058543817</v>
      </c>
      <c r="N17" s="250">
        <f>IF('Staging Table'!C19=1,"",IF(Init!$R$9="Yes",(RT1SC!$C$3*'Staging Table'!E19*'Staging Table'!$F$2)+SUM('Staging Table'!L19:AI19)-IF(Init!$R$15="No",'Staging Table'!BH19, 0),Z17))</f>
        <v>45849.84</v>
      </c>
      <c r="O17" s="126">
        <f>IF('Staging Table'!C19=1,"",IF(N17=0, 0, M17/N17))</f>
        <v>38.377641140173701</v>
      </c>
      <c r="P17" s="250">
        <f>'Staging Table'!BS19*Rates_current!$E$74*100*12</f>
        <v>1790103.0235199998</v>
      </c>
      <c r="Q17" s="250">
        <f>'Staging Table'!BT19*Rates_current!$E$75*100*12</f>
        <v>-181097.90159999998</v>
      </c>
      <c r="R17" s="251">
        <f>SUMPRODUCT('Staging Table'!BZ19:CW19, LS_Demand_Rates_Restatement!$C$5:$Z$5)-IF(Init!$R$15="No",('Staging Table'!DV19*Rates_current!$H$34), 0)</f>
        <v>123956.02264947818</v>
      </c>
      <c r="S17" s="251">
        <f>SUMPRODUCT('Staging Table'!CX19:DI19, LS_Demand_Rates_Restatement!$C$11:$N$11)*1000</f>
        <v>77653.76999999999</v>
      </c>
      <c r="T17" s="252">
        <f>'Staging Table'!EF19*IF(Init!$R$18="Yes",IF(Init!$R$6=2020,Rates_current!$C$88,Rates_current!$D$88),Rates_current!$H$33)</f>
        <v>0</v>
      </c>
      <c r="U17" s="252">
        <f>IF(Init!$R$18="Yes",(SUM('Staging Table'!DL19:DU19)*IF('Staging Table'!$BT$1=2020, Rates_current!$C$87, Rates_current!$D$87)),0)</f>
        <v>31249.254292350455</v>
      </c>
      <c r="V17" s="252">
        <f>IF('Staging Table'!D19=1, 'Staging Table'!BV19*-1,SUM(P17:U17)*'Staging Table'!BV19*-1)</f>
        <v>0</v>
      </c>
      <c r="W17" s="250">
        <f>'Staging Table'!BY19*Rates_current!$H$32*-1</f>
        <v>0</v>
      </c>
      <c r="X17" s="250">
        <f>IF(Init!$R$12="No",0,'Staging Table'!$DW19*-1)</f>
        <v>0</v>
      </c>
      <c r="Y17" s="250">
        <f>IF('Staging Table'!C19=1,"",SUM(P17:X17))</f>
        <v>1841864.1688618285</v>
      </c>
      <c r="Z17" s="250">
        <f>IF('Staging Table'!C19=1,"",(RT1SC!$C$4*'Staging Table'!BS19*'Staging Table'!$BT$2)+SUM('Staging Table'!BZ19:CW19)-IF(Init!$R$15="No",'Staging Table'!DV19, 0))</f>
        <v>46476.144</v>
      </c>
      <c r="AA17" s="126">
        <f>IF('Staging Table'!C19=1,"",IF(Z17=0, 0, Y17/Z17))</f>
        <v>39.630313755414576</v>
      </c>
      <c r="AB17" s="118">
        <f ca="1">IF('Staging Table'!C19=1,"",(AA17/O17-1)+(RAND()/100000000000000))</f>
        <v>3.2640688120084339E-2</v>
      </c>
      <c r="AC17" s="79">
        <f t="shared" ca="1" si="0"/>
        <v>9</v>
      </c>
      <c r="AF17" s="255"/>
      <c r="AG17" s="255"/>
      <c r="AH17" s="271"/>
      <c r="AI17" s="255"/>
      <c r="AJ17" s="255"/>
    </row>
    <row r="18" spans="2:36">
      <c r="B18" s="3">
        <v>10064</v>
      </c>
      <c r="C18" s="4" t="s">
        <v>21</v>
      </c>
      <c r="D18" s="250">
        <f>IF(Init!$R$9="Yes",'Staging Table'!E20,'Staging Table'!BS20)*Rates_previous!$E$75*100*12</f>
        <v>5076615.565440001</v>
      </c>
      <c r="E18" s="250">
        <f>IF(Init!$R$9="Yes",'Staging Table'!F20,'Staging Table'!BT20)*Rates_previous!$E$76*100*12</f>
        <v>-715913.28359999997</v>
      </c>
      <c r="F18" s="251">
        <f>IF(Init!$R$9="Yes",SUMPRODUCT('Staging Table'!L20:AI20,LS_Demand_Rates_Restatement!$C$4:$Z$4)-IF(Init!$R$15="No",('Staging Table'!BH20*Rates_previous!$H$34), 0),SUMPRODUCT('Staging Table'!BZ20:CW20,LS_Demand_Rates_Restatement!$C$4:$Z$4)-IF(Init!$R$15="No", 'Staging Table'!DV20*Rates_previous!$H$34, 0))</f>
        <v>43676.350000000006</v>
      </c>
      <c r="G18" s="251">
        <f>IF(Init!$R$9="Yes",SUMPRODUCT('Staging Table'!AJ20:AU20,LS_Demand_Rates_Restatement!$C$10:$N$10),SUMPRODUCT(LS_Demand_Rates_Restatement!$C$10:$N$10,'Staging Table'!CX20:DI20))*1000</f>
        <v>208325.64999999997</v>
      </c>
      <c r="H18" s="252">
        <f>IF(Init!$R$9="Yes",'Staging Table'!BR20,'Staging Table'!EF20)*IF(Init!$R$3=2018,Rates_previous!$C$88,Rates_previous!$D$88)</f>
        <v>-12536.223886809625</v>
      </c>
      <c r="I18" s="250">
        <f>IF(Init!$R$9="Yes",IF('Staging Table'!$F$1=2018,(SUM('Staging Table'!BD20:BG20)*Rates_previous!$C$87),(SUM('Staging Table'!BD20:BG20)*Rates_previous!$D$87)),IF('Staging Table'!$F$1=2018,(SUM('Staging Table'!DR20:DU20)*Rates_previous!$C$87),(SUM('Staging Table'!DR20:DU20)*Rates_previous!$D$87)))</f>
        <v>27894.069671072753</v>
      </c>
      <c r="J18" s="252">
        <f>IF(Init!$R$9="Yes",IF('Staging Table'!D20=1,'Staging Table'!H20*-1,'Staging Table'!H20*SUM(D18:I18)*(-1)),IF('Staging Table'!D20=1,'Staging Table'!BV20*-1,'Staging Table'!BV20*SUM(D18:I18)*(-1)))</f>
        <v>0</v>
      </c>
      <c r="K18" s="250">
        <f>IF(Init!$R$9="Yes",'Staging Table'!K20,'Staging Table'!BY20)*(-1)*Rates_previous!$H$32</f>
        <v>0</v>
      </c>
      <c r="L18" s="250">
        <f>IF(Init!$R$12="No",0,'Staging Table'!$BI20*-1)</f>
        <v>-184426.84071116755</v>
      </c>
      <c r="M18" s="250">
        <f>IF('Staging Table'!C20=1,"",SUM(D18:L18))</f>
        <v>4443635.2869130969</v>
      </c>
      <c r="N18" s="250">
        <f>IF('Staging Table'!C20=1,"",IF(Init!$R$9="Yes",(RT1SC!$C$3*'Staging Table'!E20*'Staging Table'!$F$2)+SUM('Staging Table'!L20:AI20)-IF(Init!$R$15="No",'Staging Table'!BH20, 0),Z18))</f>
        <v>120202.50922289601</v>
      </c>
      <c r="O18" s="126">
        <f>IF('Staging Table'!C20=1,"",IF(N18=0, 0, M18/N18))</f>
        <v>36.967907871815704</v>
      </c>
      <c r="P18" s="250">
        <f>'Staging Table'!BS20*Rates_current!$E$74*100*12</f>
        <v>4703892.59712</v>
      </c>
      <c r="Q18" s="250">
        <f>'Staging Table'!BT20*Rates_current!$E$75*100*12</f>
        <v>-475874.88959999999</v>
      </c>
      <c r="R18" s="251">
        <f>SUMPRODUCT('Staging Table'!BZ20:CW20, LS_Demand_Rates_Restatement!$C$5:$Z$5)-IF(Init!$R$15="No",('Staging Table'!DV20*Rates_current!$H$34), 0)</f>
        <v>37305.49</v>
      </c>
      <c r="S18" s="251">
        <f>SUMPRODUCT('Staging Table'!CX20:DI20, LS_Demand_Rates_Restatement!$C$11:$N$11)*1000</f>
        <v>233159.46</v>
      </c>
      <c r="T18" s="252">
        <f>'Staging Table'!EF20*IF(Init!$R$18="Yes",IF(Init!$R$6=2020,Rates_current!$C$88,Rates_current!$D$88),Rates_current!$H$33)</f>
        <v>-29672.997612807278</v>
      </c>
      <c r="U18" s="252">
        <f>IF(Init!$R$18="Yes",(SUM('Staging Table'!DL20:DU20)*IF('Staging Table'!$BT$1=2020, Rates_current!$C$87, Rates_current!$D$87)),0)</f>
        <v>82114.344258390862</v>
      </c>
      <c r="V18" s="252">
        <f>IF('Staging Table'!D20=1, 'Staging Table'!BV20*-1,SUM(P18:U18)*'Staging Table'!BV20*-1)</f>
        <v>0</v>
      </c>
      <c r="W18" s="250">
        <f>'Staging Table'!BY20*Rates_current!$H$32*-1</f>
        <v>0</v>
      </c>
      <c r="X18" s="250">
        <f>IF(Init!$R$12="No",0,'Staging Table'!$DW20*-1)</f>
        <v>0</v>
      </c>
      <c r="Y18" s="250">
        <f>IF('Staging Table'!C20=1,"",SUM(P18:X18))</f>
        <v>4550924.0041655842</v>
      </c>
      <c r="Z18" s="250">
        <f>IF('Staging Table'!C20=1,"",(RT1SC!$C$4*'Staging Table'!BS20*'Staging Table'!$BT$2)+SUM('Staging Table'!BZ20:CW20)-IF(Init!$R$15="No",'Staging Table'!DV20, 0))</f>
        <v>120254.1978971136</v>
      </c>
      <c r="AA18" s="126">
        <f>IF('Staging Table'!C20=1,"",IF(Z18=0, 0, Y18/Z18))</f>
        <v>37.844200732678274</v>
      </c>
      <c r="AB18" s="118">
        <f ca="1">IF('Staging Table'!C20=1,"",(AA18/O18-1)+(RAND()/100000000000000))</f>
        <v>2.3704150743431719E-2</v>
      </c>
      <c r="AC18" s="79">
        <f t="shared" ca="1" si="0"/>
        <v>35</v>
      </c>
      <c r="AF18" s="255"/>
      <c r="AG18" s="255"/>
      <c r="AH18" s="271"/>
      <c r="AI18" s="255"/>
      <c r="AJ18" s="255"/>
    </row>
    <row r="19" spans="2:36">
      <c r="B19" s="3">
        <v>10065</v>
      </c>
      <c r="C19" s="4" t="s">
        <v>22</v>
      </c>
      <c r="D19" s="250">
        <f>IF(Init!$R$9="Yes",'Staging Table'!E21,'Staging Table'!BS21)*Rates_previous!$E$75*100*12</f>
        <v>858076.94592000009</v>
      </c>
      <c r="E19" s="250">
        <f>IF(Init!$R$9="Yes",'Staging Table'!F21,'Staging Table'!BT21)*Rates_previous!$E$76*100*12</f>
        <v>-121007.5248</v>
      </c>
      <c r="F19" s="251">
        <f>IF(Init!$R$9="Yes",SUMPRODUCT('Staging Table'!L21:AI21,LS_Demand_Rates_Restatement!$C$4:$Z$4)-IF(Init!$R$15="No",('Staging Table'!BH21*Rates_previous!$H$34), 0),SUMPRODUCT('Staging Table'!BZ21:CW21,LS_Demand_Rates_Restatement!$C$4:$Z$4)-IF(Init!$R$15="No", 'Staging Table'!DV21*Rates_previous!$H$34, 0))</f>
        <v>13641.571951522608</v>
      </c>
      <c r="G19" s="251">
        <f>IF(Init!$R$9="Yes",SUMPRODUCT('Staging Table'!AJ21:AU21,LS_Demand_Rates_Restatement!$C$10:$N$10),SUMPRODUCT(LS_Demand_Rates_Restatement!$C$10:$N$10,'Staging Table'!CX21:DI21))*1000</f>
        <v>57659.420000000006</v>
      </c>
      <c r="H19" s="252">
        <f>IF(Init!$R$9="Yes",'Staging Table'!BR21,'Staging Table'!EF21)*IF(Init!$R$3=2018,Rates_previous!$C$88,Rates_previous!$D$88)</f>
        <v>0</v>
      </c>
      <c r="I19" s="250">
        <f>IF(Init!$R$9="Yes",IF('Staging Table'!$F$1=2018,(SUM('Staging Table'!BD21:BG21)*Rates_previous!$C$87),(SUM('Staging Table'!BD21:BG21)*Rates_previous!$D$87)),IF('Staging Table'!$F$1=2018,(SUM('Staging Table'!DR21:DU21)*Rates_previous!$C$87),(SUM('Staging Table'!DR21:DU21)*Rates_previous!$D$87)))</f>
        <v>4714.8061152350201</v>
      </c>
      <c r="J19" s="252">
        <f>IF(Init!$R$9="Yes",IF('Staging Table'!D21=1,'Staging Table'!H21*-1,'Staging Table'!H21*SUM(D19:I19)*(-1)),IF('Staging Table'!D21=1,'Staging Table'!BV21*-1,'Staging Table'!BV21*SUM(D19:I19)*(-1)))</f>
        <v>-49212.714667975779</v>
      </c>
      <c r="K19" s="250">
        <f>IF(Init!$R$9="Yes",'Staging Table'!K21,'Staging Table'!BY21)*(-1)*Rates_previous!$H$32</f>
        <v>0</v>
      </c>
      <c r="L19" s="250">
        <f>IF(Init!$R$12="No",0,'Staging Table'!$BI21*-1)</f>
        <v>-31272.967452342367</v>
      </c>
      <c r="M19" s="250">
        <f>IF('Staging Table'!C21=1,"",SUM(D19:L19))</f>
        <v>732599.53706643952</v>
      </c>
      <c r="N19" s="250">
        <f>IF('Staging Table'!C21=1,"",IF(Init!$R$9="Yes",(RT1SC!$C$3*'Staging Table'!E21*'Staging Table'!$F$2)+SUM('Staging Table'!L21:AI21)-IF(Init!$R$15="No",'Staging Table'!BH21, 0),Z19))</f>
        <v>20489.64</v>
      </c>
      <c r="O19" s="126">
        <f>IF('Staging Table'!C21=1,"",IF(N19=0, 0, M19/N19))</f>
        <v>35.754631953828351</v>
      </c>
      <c r="P19" s="250">
        <f>'Staging Table'!BS21*Rates_current!$E$74*100*12</f>
        <v>800222.63411999994</v>
      </c>
      <c r="Q19" s="250">
        <f>'Staging Table'!BT21*Rates_current!$E$75*100*12</f>
        <v>-80955.474600000001</v>
      </c>
      <c r="R19" s="251">
        <f>SUMPRODUCT('Staging Table'!BZ21:CW21, LS_Demand_Rates_Restatement!$C$5:$Z$5)-IF(Init!$R$15="No",('Staging Table'!DV21*Rates_current!$H$34), 0)</f>
        <v>14821.813272638479</v>
      </c>
      <c r="S19" s="251">
        <f>SUMPRODUCT('Staging Table'!CX21:DI21, LS_Demand_Rates_Restatement!$C$11:$N$11)*1000</f>
        <v>65181.939999999995</v>
      </c>
      <c r="T19" s="252">
        <f>'Staging Table'!EF21*IF(Init!$R$18="Yes",IF(Init!$R$6=2020,Rates_current!$C$88,Rates_current!$D$88),Rates_current!$H$33)</f>
        <v>0</v>
      </c>
      <c r="U19" s="252">
        <f>IF(Init!$R$18="Yes",(SUM('Staging Table'!DL21:DU21)*IF('Staging Table'!$BT$1=2020, Rates_current!$C$87, Rates_current!$D$87)),0)</f>
        <v>13969.22984630164</v>
      </c>
      <c r="V19" s="252">
        <f>IF('Staging Table'!D21=1, 'Staging Table'!BV21*-1,SUM(P19:U19)*'Staging Table'!BV21*-1)</f>
        <v>-46638.346292172042</v>
      </c>
      <c r="W19" s="250">
        <f>'Staging Table'!BY21*Rates_current!$H$32*-1</f>
        <v>0</v>
      </c>
      <c r="X19" s="250">
        <f>IF(Init!$R$12="No",0,'Staging Table'!$DW21*-1)</f>
        <v>0</v>
      </c>
      <c r="Y19" s="250">
        <f>IF('Staging Table'!C21=1,"",SUM(P19:X19))</f>
        <v>766601.79634676792</v>
      </c>
      <c r="Z19" s="250">
        <f>IF('Staging Table'!C21=1,"",(RT1SC!$C$4*'Staging Table'!BS21*'Staging Table'!$BT$2)+SUM('Staging Table'!BZ21:CW21)-IF(Init!$R$15="No",'Staging Table'!DV21, 0))</f>
        <v>20774.160000000003</v>
      </c>
      <c r="AA19" s="126">
        <f>IF('Staging Table'!C21=1,"",IF(Z19=0, 0, Y19/Z19))</f>
        <v>36.90169885794505</v>
      </c>
      <c r="AB19" s="118">
        <f ca="1">IF('Staging Table'!C21=1,"",(AA19/O19-1)+(RAND()/100000000000000))</f>
        <v>3.2081630866683426E-2</v>
      </c>
      <c r="AC19" s="79">
        <f t="shared" ca="1" si="0"/>
        <v>11</v>
      </c>
      <c r="AF19" s="255"/>
      <c r="AG19" s="255"/>
      <c r="AH19" s="271"/>
      <c r="AI19" s="255"/>
      <c r="AJ19" s="255"/>
    </row>
    <row r="20" spans="2:36">
      <c r="B20" s="3">
        <v>10066</v>
      </c>
      <c r="C20" s="4" t="s">
        <v>23</v>
      </c>
      <c r="D20" s="250">
        <f>IF(Init!$R$9="Yes",'Staging Table'!E22,'Staging Table'!BS22)*Rates_previous!$E$75*100*12</f>
        <v>8797072.1097600013</v>
      </c>
      <c r="E20" s="250">
        <f>IF(Init!$R$9="Yes",'Staging Table'!F22,'Staging Table'!BT22)*Rates_previous!$E$76*100*12</f>
        <v>-1240578.6294</v>
      </c>
      <c r="F20" s="251">
        <f>IF(Init!$R$9="Yes",SUMPRODUCT('Staging Table'!L22:AI22,LS_Demand_Rates_Restatement!$C$4:$Z$4)-IF(Init!$R$15="No",('Staging Table'!BH22*Rates_previous!$H$34), 0),SUMPRODUCT('Staging Table'!BZ22:CW22,LS_Demand_Rates_Restatement!$C$4:$Z$4)-IF(Init!$R$15="No", 'Staging Table'!DV22*Rates_previous!$H$34, 0))</f>
        <v>200317.67361856403</v>
      </c>
      <c r="G20" s="251">
        <f>IF(Init!$R$9="Yes",SUMPRODUCT('Staging Table'!AJ22:AU22,LS_Demand_Rates_Restatement!$C$10:$N$10),SUMPRODUCT(LS_Demand_Rates_Restatement!$C$10:$N$10,'Staging Table'!CX22:DI22))*1000</f>
        <v>580323.92000000004</v>
      </c>
      <c r="H20" s="252">
        <f>IF(Init!$R$9="Yes",'Staging Table'!BR22,'Staging Table'!EF22)*IF(Init!$R$3=2018,Rates_previous!$C$88,Rates_previous!$D$88)</f>
        <v>0</v>
      </c>
      <c r="I20" s="250">
        <f>IF(Init!$R$9="Yes",IF('Staging Table'!$F$1=2018,(SUM('Staging Table'!BD22:BG22)*Rates_previous!$C$87),(SUM('Staging Table'!BD22:BG22)*Rates_previous!$D$87)),IF('Staging Table'!$F$1=2018,(SUM('Staging Table'!DR22:DU22)*Rates_previous!$C$87),(SUM('Staging Table'!DR22:DU22)*Rates_previous!$D$87)))</f>
        <v>48336.561862514849</v>
      </c>
      <c r="J20" s="252">
        <f>IF(Init!$R$9="Yes",IF('Staging Table'!D22=1,'Staging Table'!H22*-1,'Staging Table'!H22*SUM(D20:I20)*(-1)),IF('Staging Table'!D22=1,'Staging Table'!BV22*-1,'Staging Table'!BV22*SUM(D20:I20)*(-1)))</f>
        <v>0</v>
      </c>
      <c r="K20" s="250">
        <f>IF(Init!$R$9="Yes",'Staging Table'!K22,'Staging Table'!BY22)*(-1)*Rates_previous!$H$32</f>
        <v>0</v>
      </c>
      <c r="L20" s="250">
        <f>IF(Init!$R$12="No",0,'Staging Table'!$BI22*-1)</f>
        <v>-301197.82043856161</v>
      </c>
      <c r="M20" s="250">
        <f>IF('Staging Table'!C22=1,"",SUM(D20:L20))</f>
        <v>8084273.815402519</v>
      </c>
      <c r="N20" s="250">
        <f>IF('Staging Table'!C22=1,"",IF(Init!$R$9="Yes",(RT1SC!$C$3*'Staging Table'!E22*'Staging Table'!$F$2)+SUM('Staging Table'!L22:AI22)-IF(Init!$R$15="No",'Staging Table'!BH22, 0),Z20))</f>
        <v>210064.80000000002</v>
      </c>
      <c r="O20" s="126">
        <f>IF('Staging Table'!C22=1,"",IF(N20=0, 0, M20/N20))</f>
        <v>38.484666709522578</v>
      </c>
      <c r="P20" s="250">
        <f>'Staging Table'!BS22*Rates_current!$E$74*100*12</f>
        <v>8202103.7499600006</v>
      </c>
      <c r="Q20" s="250">
        <f>'Staging Table'!BT22*Rates_current!$E$75*100*12</f>
        <v>-829775.58179999981</v>
      </c>
      <c r="R20" s="251">
        <f>SUMPRODUCT('Staging Table'!BZ22:CW22, LS_Demand_Rates_Restatement!$C$5:$Z$5)-IF(Init!$R$15="No",('Staging Table'!DV22*Rates_current!$H$34), 0)</f>
        <v>39580.639999999912</v>
      </c>
      <c r="S20" s="251">
        <f>SUMPRODUCT('Staging Table'!CX22:DI22, LS_Demand_Rates_Restatement!$C$11:$N$11)*1000</f>
        <v>652834.92000000016</v>
      </c>
      <c r="T20" s="252">
        <f>'Staging Table'!EF22*IF(Init!$R$18="Yes",IF(Init!$R$6=2020,Rates_current!$C$88,Rates_current!$D$88),Rates_current!$H$33)</f>
        <v>0</v>
      </c>
      <c r="U20" s="252">
        <f>IF(Init!$R$18="Yes",(SUM('Staging Table'!DL22:DU22)*IF('Staging Table'!$BT$1=2020, Rates_current!$C$87, Rates_current!$D$87)),0)</f>
        <v>143181.49427553191</v>
      </c>
      <c r="V20" s="252">
        <f>IF('Staging Table'!D22=1, 'Staging Table'!BV22*-1,SUM(P20:U20)*'Staging Table'!BV22*-1)</f>
        <v>0</v>
      </c>
      <c r="W20" s="250">
        <f>'Staging Table'!BY22*Rates_current!$H$32*-1</f>
        <v>0</v>
      </c>
      <c r="X20" s="250">
        <f>IF(Init!$R$12="No",0,'Staging Table'!$DW22*-1)</f>
        <v>0</v>
      </c>
      <c r="Y20" s="250">
        <f>IF('Staging Table'!C22=1,"",SUM(P20:X20))</f>
        <v>8207925.2224355321</v>
      </c>
      <c r="Z20" s="250">
        <f>IF('Staging Table'!C22=1,"",(RT1SC!$C$4*'Staging Table'!BS22*'Staging Table'!$BT$2)+SUM('Staging Table'!BZ22:CW22)-IF(Init!$R$15="No",'Staging Table'!DV22, 0))</f>
        <v>204013.30490234878</v>
      </c>
      <c r="AA20" s="126">
        <f>IF('Staging Table'!C22=1,"",IF(Z20=0, 0, Y20/Z20))</f>
        <v>40.23230360570976</v>
      </c>
      <c r="AB20" s="118">
        <f ca="1">IF('Staging Table'!C22=1,"",(AA20/O20-1)+(RAND()/100000000000000))</f>
        <v>4.5411251950770531E-2</v>
      </c>
      <c r="AC20" s="79">
        <f t="shared" ca="1" si="0"/>
        <v>4</v>
      </c>
      <c r="AF20" s="255"/>
      <c r="AG20" s="255"/>
      <c r="AH20" s="271"/>
      <c r="AI20" s="255"/>
      <c r="AJ20" s="255"/>
    </row>
    <row r="21" spans="2:36">
      <c r="B21" s="3">
        <v>10067</v>
      </c>
      <c r="C21" s="4" t="s">
        <v>24</v>
      </c>
      <c r="D21" s="250">
        <f>IF(Init!$R$9="Yes",'Staging Table'!E23,'Staging Table'!BS23)*Rates_previous!$E$75*100*12</f>
        <v>5709218.0169600006</v>
      </c>
      <c r="E21" s="250">
        <f>IF(Init!$R$9="Yes",'Staging Table'!F23,'Staging Table'!BT23)*Rates_previous!$E$76*100*12</f>
        <v>-805123.99739999999</v>
      </c>
      <c r="F21" s="251">
        <f>IF(Init!$R$9="Yes",SUMPRODUCT('Staging Table'!L23:AI23,LS_Demand_Rates_Restatement!$C$4:$Z$4)-IF(Init!$R$15="No",('Staging Table'!BH23*Rates_previous!$H$34), 0),SUMPRODUCT('Staging Table'!BZ23:CW23,LS_Demand_Rates_Restatement!$C$4:$Z$4)-IF(Init!$R$15="No", 'Staging Table'!DV23*Rates_previous!$H$34, 0))</f>
        <v>-130198.98999999999</v>
      </c>
      <c r="G21" s="251">
        <f>IF(Init!$R$9="Yes",SUMPRODUCT('Staging Table'!AJ23:AU23,LS_Demand_Rates_Restatement!$C$10:$N$10),SUMPRODUCT(LS_Demand_Rates_Restatement!$C$10:$N$10,'Staging Table'!CX23:DI23))*1000</f>
        <v>499435.73</v>
      </c>
      <c r="H21" s="252">
        <f>IF(Init!$R$9="Yes",'Staging Table'!BR23,'Staging Table'!EF23)*IF(Init!$R$3=2018,Rates_previous!$C$88,Rates_previous!$D$88)</f>
        <v>0</v>
      </c>
      <c r="I21" s="250">
        <f>IF(Init!$R$9="Yes",IF('Staging Table'!$F$1=2018,(SUM('Staging Table'!BD23:BG23)*Rates_previous!$C$87),(SUM('Staging Table'!BD23:BG23)*Rates_previous!$D$87)),IF('Staging Table'!$F$1=2018,(SUM('Staging Table'!DR23:DU23)*Rates_previous!$C$87),(SUM('Staging Table'!DR23:DU23)*Rates_previous!$D$87)))</f>
        <v>31369.97928631282</v>
      </c>
      <c r="J21" s="252">
        <f>IF(Init!$R$9="Yes",IF('Staging Table'!D23=1,'Staging Table'!H23*-1,'Staging Table'!H23*SUM(D21:I21)*(-1)),IF('Staging Table'!D23=1,'Staging Table'!BV23*-1,'Staging Table'!BV23*SUM(D21:I21)*(-1)))</f>
        <v>0</v>
      </c>
      <c r="K21" s="250">
        <f>IF(Init!$R$9="Yes",'Staging Table'!K23,'Staging Table'!BY23)*(-1)*Rates_previous!$H$32</f>
        <v>0</v>
      </c>
      <c r="L21" s="250">
        <f>IF(Init!$R$12="No",0,'Staging Table'!$BI23*-1)</f>
        <v>-197496.66232530522</v>
      </c>
      <c r="M21" s="250">
        <f>IF('Staging Table'!C23=1,"",SUM(D21:L21))</f>
        <v>5107204.0765210083</v>
      </c>
      <c r="N21" s="250">
        <f>IF('Staging Table'!C23=1,"",IF(Init!$R$9="Yes",(RT1SC!$C$3*'Staging Table'!E23*'Staging Table'!$F$2)+SUM('Staging Table'!L23:AI23)-IF(Init!$R$15="No",'Staging Table'!BH23, 0),Z21))</f>
        <v>127619.29931626399</v>
      </c>
      <c r="O21" s="126">
        <f>IF('Staging Table'!C23=1,"",IF(N21=0, 0, M21/N21))</f>
        <v>40.019057492741922</v>
      </c>
      <c r="P21" s="250">
        <f>'Staging Table'!BS23*Rates_current!$E$74*100*12</f>
        <v>5323013.4649200002</v>
      </c>
      <c r="Q21" s="250">
        <f>'Staging Table'!BT23*Rates_current!$E$75*100*12</f>
        <v>-538508.98860000004</v>
      </c>
      <c r="R21" s="251">
        <f>SUMPRODUCT('Staging Table'!BZ23:CW23, LS_Demand_Rates_Restatement!$C$5:$Z$5)-IF(Init!$R$15="No",('Staging Table'!DV23*Rates_current!$H$34), 0)</f>
        <v>-33661.509999999958</v>
      </c>
      <c r="S21" s="251">
        <f>SUMPRODUCT('Staging Table'!CX23:DI23, LS_Demand_Rates_Restatement!$C$11:$N$11)*1000</f>
        <v>546225.38</v>
      </c>
      <c r="T21" s="252">
        <f>'Staging Table'!EF23*IF(Init!$R$18="Yes",IF(Init!$R$6=2020,Rates_current!$C$88,Rates_current!$D$88),Rates_current!$H$33)</f>
        <v>0</v>
      </c>
      <c r="U21" s="252">
        <f>IF(Init!$R$18="Yes",(SUM('Staging Table'!DL23:DU23)*IF('Staging Table'!$BT$1=2020, Rates_current!$C$87, Rates_current!$D$87)),0)</f>
        <v>92922.138659821139</v>
      </c>
      <c r="V21" s="252">
        <f>IF('Staging Table'!D23=1, 'Staging Table'!BV23*-1,SUM(P21:U21)*'Staging Table'!BV23*-1)</f>
        <v>0</v>
      </c>
      <c r="W21" s="250">
        <f>'Staging Table'!BY23*Rates_current!$H$32*-1</f>
        <v>0</v>
      </c>
      <c r="X21" s="250">
        <f>IF(Init!$R$12="No",0,'Staging Table'!$DW23*-1)</f>
        <v>0</v>
      </c>
      <c r="Y21" s="250">
        <f>IF('Staging Table'!C23=1,"",SUM(P21:X21))</f>
        <v>5389990.4849798214</v>
      </c>
      <c r="Z21" s="250">
        <f>IF('Staging Table'!C23=1,"",(RT1SC!$C$4*'Staging Table'!BS23*'Staging Table'!$BT$2)+SUM('Staging Table'!BZ23:CW23)-IF(Init!$R$15="No",'Staging Table'!DV23, 0))</f>
        <v>132599.91103989759</v>
      </c>
      <c r="AA21" s="126">
        <f>IF('Staging Table'!C23=1,"",IF(Z21=0, 0, Y21/Z21))</f>
        <v>40.648522632553224</v>
      </c>
      <c r="AB21" s="118">
        <f ca="1">IF('Staging Table'!C23=1,"",(AA21/O21-1)+(RAND()/100000000000000))</f>
        <v>1.5729134548600015E-2</v>
      </c>
      <c r="AC21" s="79">
        <f t="shared" ca="1" si="0"/>
        <v>63</v>
      </c>
      <c r="AF21" s="255"/>
      <c r="AG21" s="255"/>
      <c r="AH21" s="271"/>
      <c r="AI21" s="255"/>
      <c r="AJ21" s="255"/>
    </row>
    <row r="22" spans="2:36">
      <c r="B22" s="3">
        <v>10068</v>
      </c>
      <c r="C22" s="4" t="s">
        <v>25</v>
      </c>
      <c r="D22" s="250">
        <f>IF(Init!$R$9="Yes",'Staging Table'!E24,'Staging Table'!BS24)*Rates_previous!$E$75*100*12</f>
        <v>966610.43136000016</v>
      </c>
      <c r="E22" s="250">
        <f>IF(Init!$R$9="Yes",'Staging Table'!F24,'Staging Table'!BT24)*Rates_previous!$E$76*100*12</f>
        <v>-136313.1084</v>
      </c>
      <c r="F22" s="251">
        <f>IF(Init!$R$9="Yes",SUMPRODUCT('Staging Table'!L24:AI24,LS_Demand_Rates_Restatement!$C$4:$Z$4)-IF(Init!$R$15="No",('Staging Table'!BH24*Rates_previous!$H$34), 0),SUMPRODUCT('Staging Table'!BZ24:CW24,LS_Demand_Rates_Restatement!$C$4:$Z$4)-IF(Init!$R$15="No", 'Staging Table'!DV24*Rates_previous!$H$34, 0))</f>
        <v>5823.03999999999</v>
      </c>
      <c r="G22" s="251">
        <f>IF(Init!$R$9="Yes",SUMPRODUCT('Staging Table'!AJ24:AU24,LS_Demand_Rates_Restatement!$C$10:$N$10),SUMPRODUCT(LS_Demand_Rates_Restatement!$C$10:$N$10,'Staging Table'!CX24:DI24))*1000</f>
        <v>33934.230000000003</v>
      </c>
      <c r="H22" s="252">
        <f>IF(Init!$R$9="Yes",'Staging Table'!BR24,'Staging Table'!EF24)*IF(Init!$R$3=2018,Rates_previous!$C$88,Rates_previous!$D$88)</f>
        <v>-5375.0017201725068</v>
      </c>
      <c r="I22" s="250">
        <f>IF(Init!$R$9="Yes",IF('Staging Table'!$F$1=2018,(SUM('Staging Table'!BD24:BG24)*Rates_previous!$C$87),(SUM('Staging Table'!BD24:BG24)*Rates_previous!$D$87)),IF('Staging Table'!$F$1=2018,(SUM('Staging Table'!DR24:DU24)*Rates_previous!$C$87),(SUM('Staging Table'!DR24:DU24)*Rates_previous!$D$87)))</f>
        <v>5311.156294893608</v>
      </c>
      <c r="J22" s="252">
        <f>IF(Init!$R$9="Yes",IF('Staging Table'!D24=1,'Staging Table'!H24*-1,'Staging Table'!H24*SUM(D22:I22)*(-1)),IF('Staging Table'!D24=1,'Staging Table'!BV24*-1,'Staging Table'!BV24*SUM(D22:I22)*(-1)))</f>
        <v>0</v>
      </c>
      <c r="K22" s="250">
        <f>IF(Init!$R$9="Yes",'Staging Table'!K24,'Staging Table'!BY24)*(-1)*Rates_previous!$H$32</f>
        <v>0</v>
      </c>
      <c r="L22" s="250">
        <f>IF(Init!$R$12="No",0,'Staging Table'!$BI24*-1)</f>
        <v>-15049.786833285856</v>
      </c>
      <c r="M22" s="250">
        <f>IF('Staging Table'!C24=1,"",SUM(D22:L22))</f>
        <v>854940.96070143546</v>
      </c>
      <c r="N22" s="250">
        <f>IF('Staging Table'!C24=1,"",IF(Init!$R$9="Yes",(RT1SC!$C$3*'Staging Table'!E24*'Staging Table'!$F$2)+SUM('Staging Table'!L24:AI24)-IF(Init!$R$15="No",'Staging Table'!BH24, 0),Z22))</f>
        <v>22668.501254223997</v>
      </c>
      <c r="O22" s="126">
        <f>IF('Staging Table'!C24=1,"",IF(N22=0, 0, M22/N22))</f>
        <v>37.714931001101263</v>
      </c>
      <c r="P22" s="250">
        <f>'Staging Table'!BS24*Rates_current!$E$74*100*12</f>
        <v>864392.55132000009</v>
      </c>
      <c r="Q22" s="250">
        <f>'Staging Table'!BT24*Rates_current!$E$75*100*12</f>
        <v>-87447.300599999988</v>
      </c>
      <c r="R22" s="251">
        <f>SUMPRODUCT('Staging Table'!BZ24:CW24, LS_Demand_Rates_Restatement!$C$5:$Z$5)-IF(Init!$R$15="No",('Staging Table'!DV24*Rates_current!$H$34), 0)</f>
        <v>21491.510000000013</v>
      </c>
      <c r="S22" s="251">
        <f>SUMPRODUCT('Staging Table'!CX24:DI24, LS_Demand_Rates_Restatement!$C$11:$N$11)*1000</f>
        <v>37356.559999999998</v>
      </c>
      <c r="T22" s="252">
        <f>'Staging Table'!EF24*IF(Init!$R$18="Yes",IF(Init!$R$6=2020,Rates_current!$C$88,Rates_current!$D$88),Rates_current!$H$33)</f>
        <v>3624.3126225898814</v>
      </c>
      <c r="U22" s="252">
        <f>IF(Init!$R$18="Yes",(SUM('Staging Table'!DL24:DU24)*IF('Staging Table'!$BT$1=2020, Rates_current!$C$87, Rates_current!$D$87)),0)</f>
        <v>15089.423507870231</v>
      </c>
      <c r="V22" s="252">
        <f>IF('Staging Table'!D24=1, 'Staging Table'!BV24*-1,SUM(P22:U22)*'Staging Table'!BV24*-1)</f>
        <v>0</v>
      </c>
      <c r="W22" s="250">
        <f>'Staging Table'!BY24*Rates_current!$H$32*-1</f>
        <v>0</v>
      </c>
      <c r="X22" s="250">
        <f>IF(Init!$R$12="No",0,'Staging Table'!$DW24*-1)</f>
        <v>0</v>
      </c>
      <c r="Y22" s="250">
        <f>IF('Staging Table'!C24=1,"",SUM(P22:X22))</f>
        <v>854507.05685046024</v>
      </c>
      <c r="Z22" s="250">
        <f>IF('Staging Table'!C24=1,"",(RT1SC!$C$4*'Staging Table'!BS24*'Staging Table'!$BT$2)+SUM('Staging Table'!BZ24:CW24)-IF(Init!$R$15="No",'Staging Table'!DV24, 0))</f>
        <v>22671.495086489598</v>
      </c>
      <c r="AA22" s="126">
        <f>IF('Staging Table'!C24=1,"",IF(Z22=0, 0, Y22/Z22))</f>
        <v>37.690811902373312</v>
      </c>
      <c r="AB22" s="118">
        <f ca="1">IF('Staging Table'!C24=1,"",(AA22/O22-1)+(RAND()/100000000000000))</f>
        <v>-6.3951061522836449E-4</v>
      </c>
      <c r="AC22" s="79">
        <f t="shared" ca="1" si="0"/>
        <v>96</v>
      </c>
      <c r="AF22" s="255"/>
      <c r="AG22" s="255"/>
      <c r="AH22" s="271"/>
      <c r="AI22" s="255"/>
      <c r="AJ22" s="255"/>
    </row>
    <row r="23" spans="2:36">
      <c r="B23" s="3">
        <v>10070</v>
      </c>
      <c r="C23" s="4" t="s">
        <v>26</v>
      </c>
      <c r="D23" s="250">
        <f>IF(Init!$R$9="Yes",'Staging Table'!E25,'Staging Table'!BS25)*Rates_previous!$E$75*100*12</f>
        <v>129424.90752000001</v>
      </c>
      <c r="E23" s="250">
        <f>IF(Init!$R$9="Yes",'Staging Table'!F25,'Staging Table'!BT25)*Rates_previous!$E$76*100*12</f>
        <v>-18251.728800000004</v>
      </c>
      <c r="F23" s="251">
        <f>IF(Init!$R$9="Yes",SUMPRODUCT('Staging Table'!L25:AI25,LS_Demand_Rates_Restatement!$C$4:$Z$4)-IF(Init!$R$15="No",('Staging Table'!BH25*Rates_previous!$H$34), 0),SUMPRODUCT('Staging Table'!BZ25:CW25,LS_Demand_Rates_Restatement!$C$4:$Z$4)-IF(Init!$R$15="No", 'Staging Table'!DV25*Rates_previous!$H$34, 0))</f>
        <v>1978.7479789113604</v>
      </c>
      <c r="G23" s="251">
        <f>IF(Init!$R$9="Yes",SUMPRODUCT('Staging Table'!AJ25:AU25,LS_Demand_Rates_Restatement!$C$10:$N$10),SUMPRODUCT(LS_Demand_Rates_Restatement!$C$10:$N$10,'Staging Table'!CX25:DI25))*1000</f>
        <v>6885.17</v>
      </c>
      <c r="H23" s="252">
        <f>IF(Init!$R$9="Yes",'Staging Table'!BR25,'Staging Table'!EF25)*IF(Init!$R$3=2018,Rates_previous!$C$88,Rates_previous!$D$88)</f>
        <v>0</v>
      </c>
      <c r="I23" s="250">
        <f>IF(Init!$R$9="Yes",IF('Staging Table'!$F$1=2018,(SUM('Staging Table'!BD25:BG25)*Rates_previous!$C$87),(SUM('Staging Table'!BD25:BG25)*Rates_previous!$D$87)),IF('Staging Table'!$F$1=2018,(SUM('Staging Table'!DR25:DU25)*Rates_previous!$C$87),(SUM('Staging Table'!DR25:DU25)*Rates_previous!$D$87)))</f>
        <v>711.14058982761003</v>
      </c>
      <c r="J23" s="252">
        <f>IF(Init!$R$9="Yes",IF('Staging Table'!D25=1,'Staging Table'!H25*-1,'Staging Table'!H25*SUM(D23:I23)*(-1)),IF('Staging Table'!D25=1,'Staging Table'!BV25*-1,'Staging Table'!BV25*SUM(D23:I23)*(-1)))</f>
        <v>0</v>
      </c>
      <c r="K23" s="250">
        <f>IF(Init!$R$9="Yes",'Staging Table'!K25,'Staging Table'!BY25)*(-1)*Rates_previous!$H$32</f>
        <v>0</v>
      </c>
      <c r="L23" s="250">
        <f>IF(Init!$R$12="No",0,'Staging Table'!$BI25*-1)</f>
        <v>-2015.1006092011639</v>
      </c>
      <c r="M23" s="250">
        <f>IF('Staging Table'!C25=1,"",SUM(D23:L23))</f>
        <v>118733.1366795378</v>
      </c>
      <c r="N23" s="250">
        <f>IF('Staging Table'!C25=1,"",IF(Init!$R$9="Yes",(RT1SC!$C$3*'Staging Table'!E25*'Staging Table'!$F$2)+SUM('Staging Table'!L25:AI25)-IF(Init!$R$15="No",'Staging Table'!BH25, 0),Z23))</f>
        <v>3092.2799999999997</v>
      </c>
      <c r="O23" s="126">
        <f>IF('Staging Table'!C25=1,"",IF(N23=0, 0, M23/N23))</f>
        <v>38.396631831379374</v>
      </c>
      <c r="P23" s="250">
        <f>'Staging Table'!BS25*Rates_current!$E$74*100*12</f>
        <v>120734.51088</v>
      </c>
      <c r="Q23" s="250">
        <f>'Staging Table'!BT25*Rates_current!$E$75*100*12</f>
        <v>-12214.250400000001</v>
      </c>
      <c r="R23" s="251">
        <f>SUMPRODUCT('Staging Table'!BZ25:CW25, LS_Demand_Rates_Restatement!$C$5:$Z$5)-IF(Init!$R$15="No",('Staging Table'!DV25*Rates_current!$H$34), 0)</f>
        <v>2136.9374151055358</v>
      </c>
      <c r="S23" s="251">
        <f>SUMPRODUCT('Staging Table'!CX25:DI25, LS_Demand_Rates_Restatement!$C$11:$N$11)*1000</f>
        <v>7730.01</v>
      </c>
      <c r="T23" s="252">
        <f>'Staging Table'!EF25*IF(Init!$R$18="Yes",IF(Init!$R$6=2020,Rates_current!$C$88,Rates_current!$D$88),Rates_current!$H$33)</f>
        <v>0</v>
      </c>
      <c r="U23" s="252">
        <f>IF(Init!$R$18="Yes",(SUM('Staging Table'!DL25:DU25)*IF('Staging Table'!$BT$1=2020, Rates_current!$C$87, Rates_current!$D$87)),0)</f>
        <v>2107.6236299142361</v>
      </c>
      <c r="V23" s="252">
        <f>IF('Staging Table'!D25=1, 'Staging Table'!BV25*-1,SUM(P23:U23)*'Staging Table'!BV25*-1)</f>
        <v>0</v>
      </c>
      <c r="W23" s="250">
        <f>'Staging Table'!BY25*Rates_current!$H$32*-1</f>
        <v>0</v>
      </c>
      <c r="X23" s="250">
        <f>IF(Init!$R$12="No",0,'Staging Table'!$DW25*-1)</f>
        <v>0</v>
      </c>
      <c r="Y23" s="250">
        <f>IF('Staging Table'!C25=1,"",SUM(P23:X23))</f>
        <v>120494.83152501976</v>
      </c>
      <c r="Z23" s="250">
        <f>IF('Staging Table'!C25=1,"",(RT1SC!$C$4*'Staging Table'!BS25*'Staging Table'!$BT$2)+SUM('Staging Table'!BZ25:CW25)-IF(Init!$R$15="No",'Staging Table'!DV25, 0))</f>
        <v>3135.8879999999999</v>
      </c>
      <c r="AA23" s="126">
        <f>IF('Staging Table'!C25=1,"",IF(Z23=0, 0, Y23/Z23))</f>
        <v>38.42446908978247</v>
      </c>
      <c r="AB23" s="118">
        <f ca="1">IF('Staging Table'!C25=1,"",(AA23/O23-1)+(RAND()/100000000000000))</f>
        <v>7.2499219528888916E-4</v>
      </c>
      <c r="AC23" s="79">
        <f t="shared" ca="1" si="0"/>
        <v>92</v>
      </c>
      <c r="AF23" s="255"/>
      <c r="AG23" s="255"/>
      <c r="AH23" s="271"/>
      <c r="AI23" s="255"/>
      <c r="AJ23" s="255"/>
    </row>
    <row r="24" spans="2:36">
      <c r="B24" s="3">
        <v>10071</v>
      </c>
      <c r="C24" s="4" t="s">
        <v>27</v>
      </c>
      <c r="D24" s="250">
        <f>IF(Init!$R$9="Yes",'Staging Table'!E26,'Staging Table'!BS26)*Rates_previous!$E$75*100*12</f>
        <v>684831.00671999983</v>
      </c>
      <c r="E24" s="250">
        <f>IF(Init!$R$9="Yes",'Staging Table'!F26,'Staging Table'!BT26)*Rates_previous!$E$76*100*12</f>
        <v>-96576.07680000001</v>
      </c>
      <c r="F24" s="251">
        <f>IF(Init!$R$9="Yes",SUMPRODUCT('Staging Table'!L26:AI26,LS_Demand_Rates_Restatement!$C$4:$Z$4)-IF(Init!$R$15="No",('Staging Table'!BH26*Rates_previous!$H$34), 0),SUMPRODUCT('Staging Table'!BZ26:CW26,LS_Demand_Rates_Restatement!$C$4:$Z$4)-IF(Init!$R$15="No", 'Staging Table'!DV26*Rates_previous!$H$34, 0))</f>
        <v>14150.244735656972</v>
      </c>
      <c r="G24" s="251">
        <f>IF(Init!$R$9="Yes",SUMPRODUCT('Staging Table'!AJ26:AU26,LS_Demand_Rates_Restatement!$C$10:$N$10),SUMPRODUCT(LS_Demand_Rates_Restatement!$C$10:$N$10,'Staging Table'!CX26:DI26))*1000</f>
        <v>21991.75</v>
      </c>
      <c r="H24" s="252">
        <f>IF(Init!$R$9="Yes",'Staging Table'!BR26,'Staging Table'!EF26)*IF(Init!$R$3=2018,Rates_previous!$C$88,Rates_previous!$D$88)</f>
        <v>1932.981600000001</v>
      </c>
      <c r="I24" s="250">
        <f>IF(Init!$R$9="Yes",IF('Staging Table'!$F$1=2018,(SUM('Staging Table'!BD26:BG26)*Rates_previous!$C$87),(SUM('Staging Table'!BD26:BG26)*Rates_previous!$D$87)),IF('Staging Table'!$F$1=2018,(SUM('Staging Table'!DR26:DU26)*Rates_previous!$C$87),(SUM('Staging Table'!DR26:DU26)*Rates_previous!$D$87)))</f>
        <v>3762.8856406626292</v>
      </c>
      <c r="J24" s="252">
        <f>IF(Init!$R$9="Yes",IF('Staging Table'!D26=1,'Staging Table'!H26*-1,'Staging Table'!H26*SUM(D24:I24)*(-1)),IF('Staging Table'!D26=1,'Staging Table'!BV26*-1,'Staging Table'!BV26*SUM(D24:I24)*(-1)))</f>
        <v>0</v>
      </c>
      <c r="K24" s="250">
        <f>IF(Init!$R$9="Yes",'Staging Table'!K26,'Staging Table'!BY26)*(-1)*Rates_previous!$H$32</f>
        <v>0</v>
      </c>
      <c r="L24" s="250">
        <f>IF(Init!$R$12="No",0,'Staging Table'!$BI26*-1)</f>
        <v>-29750.927364200797</v>
      </c>
      <c r="M24" s="250">
        <f>IF('Staging Table'!C26=1,"",SUM(D24:L24))</f>
        <v>600341.86453211866</v>
      </c>
      <c r="N24" s="250">
        <f>IF('Staging Table'!C26=1,"",IF(Init!$R$9="Yes",(RT1SC!$C$3*'Staging Table'!E26*'Staging Table'!$F$2)+SUM('Staging Table'!L26:AI26)-IF(Init!$R$15="No",'Staging Table'!BH26, 0),Z24))</f>
        <v>16503.84</v>
      </c>
      <c r="O24" s="126">
        <f>IF('Staging Table'!C26=1,"",IF(N24=0, 0, M24/N24))</f>
        <v>36.37588976457107</v>
      </c>
      <c r="P24" s="250">
        <f>'Staging Table'!BS26*Rates_current!$E$74*100*12</f>
        <v>630053.52035999997</v>
      </c>
      <c r="Q24" s="250">
        <f>'Staging Table'!BT26*Rates_current!$E$75*100*12</f>
        <v>-63740.113799999992</v>
      </c>
      <c r="R24" s="251">
        <f>SUMPRODUCT('Staging Table'!BZ26:CW26, LS_Demand_Rates_Restatement!$C$5:$Z$5)-IF(Init!$R$15="No",('Staging Table'!DV26*Rates_current!$H$34), 0)</f>
        <v>14823.86</v>
      </c>
      <c r="S24" s="251">
        <f>SUMPRODUCT('Staging Table'!CX26:DI26, LS_Demand_Rates_Restatement!$C$11:$N$11)*1000</f>
        <v>25436.079999999998</v>
      </c>
      <c r="T24" s="252">
        <f>'Staging Table'!EF26*IF(Init!$R$18="Yes",IF(Init!$R$6=2020,Rates_current!$C$88,Rates_current!$D$88),Rates_current!$H$33)</f>
        <v>2471.5999013928631</v>
      </c>
      <c r="U24" s="252">
        <f>IF(Init!$R$18="Yes",(SUM('Staging Table'!DL26:DU26)*IF('Staging Table'!$BT$1=2020, Rates_current!$C$87, Rates_current!$D$87)),0)</f>
        <v>10998.642210438267</v>
      </c>
      <c r="V24" s="252">
        <f>IF('Staging Table'!D26=1, 'Staging Table'!BV26*-1,SUM(P24:U24)*'Staging Table'!BV26*-1)</f>
        <v>0</v>
      </c>
      <c r="W24" s="250">
        <f>'Staging Table'!BY26*Rates_current!$H$32*-1</f>
        <v>0</v>
      </c>
      <c r="X24" s="250">
        <f>IF(Init!$R$12="No",0,'Staging Table'!$DW26*-1)</f>
        <v>0</v>
      </c>
      <c r="Y24" s="250">
        <f>IF('Staging Table'!C26=1,"",SUM(P24:X24))</f>
        <v>620043.58867183106</v>
      </c>
      <c r="Z24" s="250">
        <f>IF('Staging Table'!C26=1,"",(RT1SC!$C$4*'Staging Table'!BS26*'Staging Table'!$BT$2)+SUM('Staging Table'!BZ26:CW26)-IF(Init!$R$15="No",'Staging Table'!DV26, 0))</f>
        <v>16511.548384460799</v>
      </c>
      <c r="AA24" s="126">
        <f>IF('Staging Table'!C26=1,"",IF(Z24=0, 0, Y24/Z24))</f>
        <v>37.552116508671041</v>
      </c>
      <c r="AB24" s="118">
        <f ca="1">IF('Staging Table'!C26=1,"",(AA24/O24-1)+(RAND()/100000000000000))</f>
        <v>3.233533947108698E-2</v>
      </c>
      <c r="AC24" s="79">
        <f t="shared" ca="1" si="0"/>
        <v>10</v>
      </c>
      <c r="AF24" s="255"/>
      <c r="AG24" s="255"/>
      <c r="AH24" s="271"/>
      <c r="AI24" s="255"/>
      <c r="AJ24" s="255"/>
    </row>
    <row r="25" spans="2:36">
      <c r="B25" s="3">
        <v>10072</v>
      </c>
      <c r="C25" s="4" t="s">
        <v>28</v>
      </c>
      <c r="D25" s="250">
        <f>IF(Init!$R$9="Yes",'Staging Table'!E27,'Staging Table'!BS27)*Rates_previous!$E$75*100*12</f>
        <v>8656691.9443199988</v>
      </c>
      <c r="E25" s="250">
        <f>IF(Init!$R$9="Yes",'Staging Table'!F27,'Staging Table'!BT27)*Rates_previous!$E$76*100*12</f>
        <v>-1220781.9708</v>
      </c>
      <c r="F25" s="251">
        <f>IF(Init!$R$9="Yes",SUMPRODUCT('Staging Table'!L27:AI27,LS_Demand_Rates_Restatement!$C$4:$Z$4)-IF(Init!$R$15="No",('Staging Table'!BH27*Rates_previous!$H$34), 0),SUMPRODUCT('Staging Table'!BZ27:CW27,LS_Demand_Rates_Restatement!$C$4:$Z$4)-IF(Init!$R$15="No", 'Staging Table'!DV27*Rates_previous!$H$34, 0))</f>
        <v>120411.84423041434</v>
      </c>
      <c r="G25" s="251">
        <f>IF(Init!$R$9="Yes",SUMPRODUCT('Staging Table'!AJ27:AU27,LS_Demand_Rates_Restatement!$C$10:$N$10),SUMPRODUCT(LS_Demand_Rates_Restatement!$C$10:$N$10,'Staging Table'!CX27:DI27))*1000</f>
        <v>437511.39999999997</v>
      </c>
      <c r="H25" s="252">
        <f>IF(Init!$R$9="Yes",'Staging Table'!BR27,'Staging Table'!EF27)*IF(Init!$R$3=2018,Rates_previous!$C$88,Rates_previous!$D$88)</f>
        <v>0</v>
      </c>
      <c r="I25" s="250">
        <f>IF(Init!$R$9="Yes",IF('Staging Table'!$F$1=2018,(SUM('Staging Table'!BD27:BG27)*Rates_previous!$C$87),(SUM('Staging Table'!BD27:BG27)*Rates_previous!$D$87)),IF('Staging Table'!$F$1=2018,(SUM('Staging Table'!DR27:DU27)*Rates_previous!$C$87),(SUM('Staging Table'!DR27:DU27)*Rates_previous!$D$87)))</f>
        <v>47565.226301501047</v>
      </c>
      <c r="J25" s="252">
        <f>IF(Init!$R$9="Yes",IF('Staging Table'!D27=1,'Staging Table'!H27*-1,'Staging Table'!H27*SUM(D25:I25)*(-1)),IF('Staging Table'!D27=1,'Staging Table'!BV27*-1,'Staging Table'!BV27*SUM(D25:I25)*(-1)))</f>
        <v>0</v>
      </c>
      <c r="K25" s="250">
        <f>IF(Init!$R$9="Yes",'Staging Table'!K27,'Staging Table'!BY27)*(-1)*Rates_previous!$H$32</f>
        <v>0</v>
      </c>
      <c r="L25" s="250">
        <f>IF(Init!$R$12="No",0,'Staging Table'!$BI27*-1)</f>
        <v>-309960.83067431522</v>
      </c>
      <c r="M25" s="250">
        <f>IF('Staging Table'!C27=1,"",SUM(D25:L25))</f>
        <v>7731437.6133776</v>
      </c>
      <c r="N25" s="250">
        <f>IF('Staging Table'!C27=1,"",IF(Init!$R$9="Yes",(RT1SC!$C$3*'Staging Table'!E27*'Staging Table'!$F$2)+SUM('Staging Table'!L27:AI27)-IF(Init!$R$15="No",'Staging Table'!BH27, 0),Z25))</f>
        <v>206709.72</v>
      </c>
      <c r="O25" s="126">
        <f>IF('Staging Table'!C27=1,"",IF(N25=0, 0, M25/N25))</f>
        <v>37.402390237757565</v>
      </c>
      <c r="P25" s="250">
        <f>'Staging Table'!BS27*Rates_current!$E$74*100*12</f>
        <v>8071149.5855999999</v>
      </c>
      <c r="Q25" s="250">
        <f>'Staging Table'!BT27*Rates_current!$E$75*100*12</f>
        <v>-816527.44800000009</v>
      </c>
      <c r="R25" s="251">
        <f>SUMPRODUCT('Staging Table'!BZ27:CW27, LS_Demand_Rates_Restatement!$C$5:$Z$5)-IF(Init!$R$15="No",('Staging Table'!DV27*Rates_current!$H$34), 0)</f>
        <v>131631.75125548083</v>
      </c>
      <c r="S25" s="251">
        <f>SUMPRODUCT('Staging Table'!CX27:DI27, LS_Demand_Rates_Restatement!$C$11:$N$11)*1000</f>
        <v>490077.04000000004</v>
      </c>
      <c r="T25" s="252">
        <f>'Staging Table'!EF27*IF(Init!$R$18="Yes",IF(Init!$R$6=2020,Rates_current!$C$88,Rates_current!$D$88),Rates_current!$H$33)</f>
        <v>0</v>
      </c>
      <c r="U25" s="252">
        <f>IF(Init!$R$18="Yes",(SUM('Staging Table'!DL27:DU27)*IF('Staging Table'!$BT$1=2020, Rates_current!$C$87, Rates_current!$D$87)),0)</f>
        <v>140895.46943284935</v>
      </c>
      <c r="V25" s="252">
        <f>IF('Staging Table'!D27=1, 'Staging Table'!BV27*-1,SUM(P25:U25)*'Staging Table'!BV27*-1)</f>
        <v>0</v>
      </c>
      <c r="W25" s="250">
        <f>'Staging Table'!BY27*Rates_current!$H$32*-1</f>
        <v>0</v>
      </c>
      <c r="X25" s="250">
        <f>IF(Init!$R$12="No",0,'Staging Table'!$DW27*-1)</f>
        <v>0</v>
      </c>
      <c r="Y25" s="250">
        <f>IF('Staging Table'!C27=1,"",SUM(P25:X25))</f>
        <v>8017226.3982883301</v>
      </c>
      <c r="Z25" s="250">
        <f>IF('Staging Table'!C27=1,"",(RT1SC!$C$4*'Staging Table'!BS27*'Staging Table'!$BT$2)+SUM('Staging Table'!BZ27:CW27)-IF(Init!$R$15="No",'Staging Table'!DV27, 0))</f>
        <v>209542.32</v>
      </c>
      <c r="AA25" s="126">
        <f>IF('Staging Table'!C27=1,"",IF(Z25=0, 0, Y25/Z25))</f>
        <v>38.260654927788956</v>
      </c>
      <c r="AB25" s="118">
        <f ca="1">IF('Staging Table'!C27=1,"",(AA25/O25-1)+(RAND()/100000000000000))</f>
        <v>2.294678721268124E-2</v>
      </c>
      <c r="AC25" s="79">
        <f t="shared" ca="1" si="0"/>
        <v>42</v>
      </c>
      <c r="AF25" s="255"/>
      <c r="AG25" s="255"/>
      <c r="AH25" s="271"/>
      <c r="AI25" s="255"/>
      <c r="AJ25" s="255"/>
    </row>
    <row r="26" spans="2:36">
      <c r="B26" s="3">
        <v>10074</v>
      </c>
      <c r="C26" s="4" t="s">
        <v>29</v>
      </c>
      <c r="D26" s="250">
        <f>IF(Init!$R$9="Yes",'Staging Table'!E28,'Staging Table'!BS28)*Rates_previous!$E$75*100*12</f>
        <v>9631455.1257600002</v>
      </c>
      <c r="E26" s="250">
        <f>IF(Init!$R$9="Yes",'Staging Table'!F28,'Staging Table'!BT28)*Rates_previous!$E$76*100*12</f>
        <v>-1358244.7944</v>
      </c>
      <c r="F26" s="251">
        <f>IF(Init!$R$9="Yes",SUMPRODUCT('Staging Table'!L28:AI28,LS_Demand_Rates_Restatement!$C$4:$Z$4)-IF(Init!$R$15="No",('Staging Table'!BH28*Rates_previous!$H$34), 0),SUMPRODUCT('Staging Table'!BZ28:CW28,LS_Demand_Rates_Restatement!$C$4:$Z$4)-IF(Init!$R$15="No", 'Staging Table'!DV28*Rates_previous!$H$34, 0))</f>
        <v>150996.47033615177</v>
      </c>
      <c r="G26" s="251">
        <f>IF(Init!$R$9="Yes",SUMPRODUCT('Staging Table'!AJ28:AU28,LS_Demand_Rates_Restatement!$C$10:$N$10),SUMPRODUCT(LS_Demand_Rates_Restatement!$C$10:$N$10,'Staging Table'!CX28:DI28))*1000</f>
        <v>510730.38999999996</v>
      </c>
      <c r="H26" s="252">
        <f>IF(Init!$R$9="Yes",'Staging Table'!BR28,'Staging Table'!EF28)*IF(Init!$R$3=2018,Rates_previous!$C$88,Rates_previous!$D$88)</f>
        <v>0</v>
      </c>
      <c r="I26" s="250">
        <f>IF(Init!$R$9="Yes",IF('Staging Table'!$F$1=2018,(SUM('Staging Table'!BD28:BG28)*Rates_previous!$C$87),(SUM('Staging Table'!BD28:BG28)*Rates_previous!$D$87)),IF('Staging Table'!$F$1=2018,(SUM('Staging Table'!DR28:DU28)*Rates_previous!$C$87),(SUM('Staging Table'!DR28:DU28)*Rates_previous!$D$87)))</f>
        <v>52921.178854021593</v>
      </c>
      <c r="J26" s="252">
        <f>IF(Init!$R$9="Yes",IF('Staging Table'!D28=1,'Staging Table'!H28*-1,'Staging Table'!H28*SUM(D26:I26)*(-1)),IF('Staging Table'!D28=1,'Staging Table'!BV28*-1,'Staging Table'!BV28*SUM(D26:I26)*(-1)))</f>
        <v>0</v>
      </c>
      <c r="K26" s="250">
        <f>IF(Init!$R$9="Yes",'Staging Table'!K28,'Staging Table'!BY28)*(-1)*Rates_previous!$H$32</f>
        <v>0</v>
      </c>
      <c r="L26" s="250">
        <f>IF(Init!$R$12="No",0,'Staging Table'!$BI28*-1)</f>
        <v>-319099.34177259984</v>
      </c>
      <c r="M26" s="250">
        <f>IF('Staging Table'!C28=1,"",SUM(D26:L26))</f>
        <v>8668759.0287775751</v>
      </c>
      <c r="N26" s="250">
        <f>IF('Staging Table'!C28=1,"",IF(Init!$R$9="Yes",(RT1SC!$C$3*'Staging Table'!E28*'Staging Table'!$F$2)+SUM('Staging Table'!L28:AI28)-IF(Init!$R$15="No",'Staging Table'!BH28, 0),Z26))</f>
        <v>229985.04</v>
      </c>
      <c r="O26" s="126">
        <f>IF('Staging Table'!C28=1,"",IF(N26=0, 0, M26/N26))</f>
        <v>37.692708311712686</v>
      </c>
      <c r="P26" s="250">
        <f>'Staging Table'!BS28*Rates_current!$E$74*100*12</f>
        <v>8979748.0798799992</v>
      </c>
      <c r="Q26" s="250">
        <f>'Staging Table'!BT28*Rates_current!$E$75*100*12</f>
        <v>-908446.89539999992</v>
      </c>
      <c r="R26" s="251">
        <f>SUMPRODUCT('Staging Table'!BZ28:CW28, LS_Demand_Rates_Restatement!$C$5:$Z$5)-IF(Init!$R$15="No",('Staging Table'!DV28*Rates_current!$H$34), 0)</f>
        <v>16286.909999999978</v>
      </c>
      <c r="S26" s="251">
        <f>SUMPRODUCT('Staging Table'!CX28:DI28, LS_Demand_Rates_Restatement!$C$11:$N$11)*1000</f>
        <v>574943.91000000015</v>
      </c>
      <c r="T26" s="252">
        <f>'Staging Table'!EF28*IF(Init!$R$18="Yes",IF(Init!$R$6=2020,Rates_current!$C$88,Rates_current!$D$88),Rates_current!$H$33)</f>
        <v>0</v>
      </c>
      <c r="U26" s="252">
        <f>IF(Init!$R$18="Yes",(SUM('Staging Table'!DL28:DU28)*IF('Staging Table'!$BT$1=2020, Rates_current!$C$87, Rates_current!$D$87)),0)</f>
        <v>156756.5819075779</v>
      </c>
      <c r="V26" s="252">
        <f>IF('Staging Table'!D28=1, 'Staging Table'!BV28*-1,SUM(P26:U26)*'Staging Table'!BV28*-1)</f>
        <v>0</v>
      </c>
      <c r="W26" s="250">
        <f>'Staging Table'!BY28*Rates_current!$H$32*-1</f>
        <v>0</v>
      </c>
      <c r="X26" s="250">
        <f>IF(Init!$R$12="No",0,'Staging Table'!$DW28*-1)</f>
        <v>0</v>
      </c>
      <c r="Y26" s="250">
        <f>IF('Staging Table'!C28=1,"",SUM(P26:X26))</f>
        <v>8819288.5863875784</v>
      </c>
      <c r="Z26" s="250">
        <f>IF('Staging Table'!C28=1,"",(RT1SC!$C$4*'Staging Table'!BS28*'Staging Table'!$BT$2)+SUM('Staging Table'!BZ28:CW28)-IF(Init!$R$15="No",'Staging Table'!DV28, 0))</f>
        <v>224987.6290494464</v>
      </c>
      <c r="AA26" s="126">
        <f>IF('Staging Table'!C28=1,"",IF(Z26=0, 0, Y26/Z26))</f>
        <v>39.198993400874187</v>
      </c>
      <c r="AB26" s="118">
        <f ca="1">IF('Staging Table'!C28=1,"",(AA26/O26-1)+(RAND()/100000000000000))</f>
        <v>3.9962240885022073E-2</v>
      </c>
      <c r="AC26" s="79">
        <f t="shared" ca="1" si="0"/>
        <v>6</v>
      </c>
      <c r="AF26" s="255"/>
      <c r="AG26" s="255"/>
      <c r="AH26" s="271"/>
      <c r="AI26" s="255"/>
      <c r="AJ26" s="255"/>
    </row>
    <row r="27" spans="2:36">
      <c r="B27" s="3">
        <v>10076</v>
      </c>
      <c r="C27" s="4" t="s">
        <v>30</v>
      </c>
      <c r="D27" s="250">
        <f>IF(Init!$R$9="Yes",'Staging Table'!E29,'Staging Table'!BS29)*Rates_previous!$E$75*100*12</f>
        <v>1738828.7279999997</v>
      </c>
      <c r="E27" s="250">
        <f>IF(Init!$R$9="Yes",'Staging Table'!F29,'Staging Table'!BT29)*Rates_previous!$E$76*100*12</f>
        <v>-245212.69500000001</v>
      </c>
      <c r="F27" s="251">
        <f>IF(Init!$R$9="Yes",SUMPRODUCT('Staging Table'!L29:AI29,LS_Demand_Rates_Restatement!$C$4:$Z$4)-IF(Init!$R$15="No",('Staging Table'!BH29*Rates_previous!$H$34), 0),SUMPRODUCT('Staging Table'!BZ29:CW29,LS_Demand_Rates_Restatement!$C$4:$Z$4)-IF(Init!$R$15="No", 'Staging Table'!DV29*Rates_previous!$H$34, 0))</f>
        <v>20932.12707100407</v>
      </c>
      <c r="G27" s="251">
        <f>IF(Init!$R$9="Yes",SUMPRODUCT('Staging Table'!AJ29:AU29,LS_Demand_Rates_Restatement!$C$10:$N$10),SUMPRODUCT(LS_Demand_Rates_Restatement!$C$10:$N$10,'Staging Table'!CX29:DI29))*1000</f>
        <v>48269.36</v>
      </c>
      <c r="H27" s="252">
        <f>IF(Init!$R$9="Yes",'Staging Table'!BR29,'Staging Table'!EF29)*IF(Init!$R$3=2018,Rates_previous!$C$88,Rates_previous!$D$88)</f>
        <v>0</v>
      </c>
      <c r="I27" s="250">
        <f>IF(Init!$R$9="Yes",IF('Staging Table'!$F$1=2018,(SUM('Staging Table'!BD29:BG29)*Rates_previous!$C$87),(SUM('Staging Table'!BD29:BG29)*Rates_previous!$D$87)),IF('Staging Table'!$F$1=2018,(SUM('Staging Table'!DR29:DU29)*Rates_previous!$C$87),(SUM('Staging Table'!DR29:DU29)*Rates_previous!$D$87)))</f>
        <v>9554.2018219949568</v>
      </c>
      <c r="J27" s="252">
        <f>IF(Init!$R$9="Yes",IF('Staging Table'!D29=1,'Staging Table'!H29*-1,'Staging Table'!H29*SUM(D27:I27)*(-1)),IF('Staging Table'!D29=1,'Staging Table'!BV29*-1,'Staging Table'!BV29*SUM(D27:I27)*(-1)))</f>
        <v>0</v>
      </c>
      <c r="K27" s="250">
        <f>IF(Init!$R$9="Yes",'Staging Table'!K29,'Staging Table'!BY29)*(-1)*Rates_previous!$H$32</f>
        <v>0</v>
      </c>
      <c r="L27" s="250">
        <f>IF(Init!$R$12="No",0,'Staging Table'!$BI29*-1)</f>
        <v>-77630.668152548416</v>
      </c>
      <c r="M27" s="250">
        <f>IF('Staging Table'!C29=1,"",SUM(D27:L27))</f>
        <v>1494741.0537404504</v>
      </c>
      <c r="N27" s="250">
        <f>IF('Staging Table'!C29=1,"",IF(Init!$R$9="Yes",(RT1SC!$C$3*'Staging Table'!E29*'Staging Table'!$F$2)+SUM('Staging Table'!L29:AI29)-IF(Init!$R$15="No",'Staging Table'!BH29, 0),Z27))</f>
        <v>41522.400000000001</v>
      </c>
      <c r="O27" s="126">
        <f>IF('Staging Table'!C29=1,"",IF(N27=0, 0, M27/N27))</f>
        <v>35.998426240786912</v>
      </c>
      <c r="P27" s="250">
        <f>'Staging Table'!BS29*Rates_current!$E$74*100*12</f>
        <v>1621359.9079200001</v>
      </c>
      <c r="Q27" s="250">
        <f>'Staging Table'!BT29*Rates_current!$E$75*100*12</f>
        <v>-164026.80359999998</v>
      </c>
      <c r="R27" s="251">
        <f>SUMPRODUCT('Staging Table'!BZ29:CW29, LS_Demand_Rates_Restatement!$C$5:$Z$5)-IF(Init!$R$15="No",('Staging Table'!DV29*Rates_current!$H$34), 0)</f>
        <v>21025.505442381811</v>
      </c>
      <c r="S27" s="251">
        <f>SUMPRODUCT('Staging Table'!CX29:DI29, LS_Demand_Rates_Restatement!$C$11:$N$11)*1000</f>
        <v>54391.17</v>
      </c>
      <c r="T27" s="252">
        <f>'Staging Table'!EF29*IF(Init!$R$18="Yes",IF(Init!$R$6=2020,Rates_current!$C$88,Rates_current!$D$88),Rates_current!$H$33)</f>
        <v>0</v>
      </c>
      <c r="U27" s="252">
        <f>IF(Init!$R$18="Yes",(SUM('Staging Table'!DL29:DU29)*IF('Staging Table'!$BT$1=2020, Rates_current!$C$87, Rates_current!$D$87)),0)</f>
        <v>28303.559848966375</v>
      </c>
      <c r="V27" s="252">
        <f>IF('Staging Table'!D29=1, 'Staging Table'!BV29*-1,SUM(P27:U27)*'Staging Table'!BV29*-1)</f>
        <v>0</v>
      </c>
      <c r="W27" s="250">
        <f>'Staging Table'!BY29*Rates_current!$H$32*-1</f>
        <v>0</v>
      </c>
      <c r="X27" s="250">
        <f>IF(Init!$R$12="No",0,'Staging Table'!$DW29*-1)</f>
        <v>0</v>
      </c>
      <c r="Y27" s="250">
        <f>IF('Staging Table'!C29=1,"",SUM(P27:X27))</f>
        <v>1561053.3396113482</v>
      </c>
      <c r="Z27" s="250">
        <f>IF('Staging Table'!C29=1,"",(RT1SC!$C$4*'Staging Table'!BS29*'Staging Table'!$BT$2)+SUM('Staging Table'!BZ29:CW29)-IF(Init!$R$15="No",'Staging Table'!DV29, 0))</f>
        <v>42092.928</v>
      </c>
      <c r="AA27" s="126">
        <f>IF('Staging Table'!C29=1,"",IF(Z27=0, 0, Y27/Z27))</f>
        <v>37.085881495612476</v>
      </c>
      <c r="AB27" s="118">
        <f ca="1">IF('Staging Table'!C29=1,"",(AA27/O27-1)+(RAND()/100000000000000))</f>
        <v>3.0208410988636671E-2</v>
      </c>
      <c r="AC27" s="79">
        <f t="shared" ca="1" si="0"/>
        <v>15</v>
      </c>
      <c r="AF27" s="255"/>
      <c r="AG27" s="255"/>
      <c r="AH27" s="271"/>
      <c r="AI27" s="255"/>
      <c r="AJ27" s="255"/>
    </row>
    <row r="28" spans="2:36">
      <c r="B28" s="3">
        <v>10078</v>
      </c>
      <c r="C28" s="4" t="s">
        <v>31</v>
      </c>
      <c r="D28" s="250">
        <f>IF(Init!$R$9="Yes",'Staging Table'!E30,'Staging Table'!BS30)*Rates_previous!$E$75*100*12</f>
        <v>1341891.7084799998</v>
      </c>
      <c r="E28" s="250">
        <f>IF(Init!$R$9="Yes",'Staging Table'!F30,'Staging Table'!BT30)*Rates_previous!$E$76*100*12</f>
        <v>-189235.9362</v>
      </c>
      <c r="F28" s="251">
        <f>IF(Init!$R$9="Yes",SUMPRODUCT('Staging Table'!L30:AI30,LS_Demand_Rates_Restatement!$C$4:$Z$4)-IF(Init!$R$15="No",('Staging Table'!BH30*Rates_previous!$H$34), 0),SUMPRODUCT('Staging Table'!BZ30:CW30,LS_Demand_Rates_Restatement!$C$4:$Z$4)-IF(Init!$R$15="No", 'Staging Table'!DV30*Rates_previous!$H$34, 0))</f>
        <v>27845.927573476722</v>
      </c>
      <c r="G28" s="251">
        <f>IF(Init!$R$9="Yes",SUMPRODUCT('Staging Table'!AJ30:AU30,LS_Demand_Rates_Restatement!$C$10:$N$10),SUMPRODUCT(LS_Demand_Rates_Restatement!$C$10:$N$10,'Staging Table'!CX30:DI30))*1000</f>
        <v>99877.529999999984</v>
      </c>
      <c r="H28" s="252">
        <f>IF(Init!$R$9="Yes",'Staging Table'!BR30,'Staging Table'!EF30)*IF(Init!$R$3=2018,Rates_previous!$C$88,Rates_previous!$D$88)</f>
        <v>0</v>
      </c>
      <c r="I28" s="250">
        <f>IF(Init!$R$9="Yes",IF('Staging Table'!$F$1=2018,(SUM('Staging Table'!BD30:BG30)*Rates_previous!$C$87),(SUM('Staging Table'!BD30:BG30)*Rates_previous!$D$87)),IF('Staging Table'!$F$1=2018,(SUM('Staging Table'!DR30:DU30)*Rates_previous!$C$87),(SUM('Staging Table'!DR30:DU30)*Rates_previous!$D$87)))</f>
        <v>7373.1840287835075</v>
      </c>
      <c r="J28" s="252">
        <f>IF(Init!$R$9="Yes",IF('Staging Table'!D30=1,'Staging Table'!H30*-1,'Staging Table'!H30*SUM(D28:I28)*(-1)),IF('Staging Table'!D30=1,'Staging Table'!BV30*-1,'Staging Table'!BV30*SUM(D28:I28)*(-1)))</f>
        <v>0</v>
      </c>
      <c r="K28" s="250">
        <f>IF(Init!$R$9="Yes",'Staging Table'!K30,'Staging Table'!BY30)*(-1)*Rates_previous!$H$32</f>
        <v>0</v>
      </c>
      <c r="L28" s="250">
        <f>IF(Init!$R$12="No",0,'Staging Table'!$BI30*-1)</f>
        <v>-56468.631515895497</v>
      </c>
      <c r="M28" s="250">
        <f>IF('Staging Table'!C30=1,"",SUM(D28:L28))</f>
        <v>1231283.7823663645</v>
      </c>
      <c r="N28" s="250">
        <f>IF('Staging Table'!C30=1,"",IF(Init!$R$9="Yes",(RT1SC!$C$3*'Staging Table'!E30*'Staging Table'!$F$2)+SUM('Staging Table'!L30:AI30)-IF(Init!$R$15="No",'Staging Table'!BH30, 0),Z28))</f>
        <v>32044.079999999998</v>
      </c>
      <c r="O28" s="126">
        <f>IF('Staging Table'!C30=1,"",IF(N28=0, 0, M28/N28))</f>
        <v>38.424688190965838</v>
      </c>
      <c r="P28" s="250">
        <f>'Staging Table'!BS30*Rates_current!$E$74*100*12</f>
        <v>1251075.7190399999</v>
      </c>
      <c r="Q28" s="250">
        <f>'Staging Table'!BT30*Rates_current!$E$75*100*12</f>
        <v>-126566.5632</v>
      </c>
      <c r="R28" s="251">
        <f>SUMPRODUCT('Staging Table'!BZ30:CW30, LS_Demand_Rates_Restatement!$C$5:$Z$5)-IF(Init!$R$15="No",('Staging Table'!DV30*Rates_current!$H$34), 0)</f>
        <v>30498.436652274668</v>
      </c>
      <c r="S28" s="251">
        <f>SUMPRODUCT('Staging Table'!CX30:DI30, LS_Demand_Rates_Restatement!$C$11:$N$11)*1000</f>
        <v>109640.47999999998</v>
      </c>
      <c r="T28" s="252">
        <f>'Staging Table'!EF30*IF(Init!$R$18="Yes",IF(Init!$R$6=2020,Rates_current!$C$88,Rates_current!$D$88),Rates_current!$H$33)</f>
        <v>0</v>
      </c>
      <c r="U28" s="252">
        <f>IF(Init!$R$18="Yes",(SUM('Staging Table'!DL30:DU30)*IF('Staging Table'!$BT$1=2020, Rates_current!$C$87, Rates_current!$D$87)),0)</f>
        <v>21839.627535174292</v>
      </c>
      <c r="V28" s="252">
        <f>IF('Staging Table'!D30=1, 'Staging Table'!BV30*-1,SUM(P28:U28)*'Staging Table'!BV30*-1)</f>
        <v>0</v>
      </c>
      <c r="W28" s="250">
        <f>'Staging Table'!BY30*Rates_current!$H$32*-1</f>
        <v>0</v>
      </c>
      <c r="X28" s="250">
        <f>IF(Init!$R$12="No",0,'Staging Table'!$DW30*-1)</f>
        <v>0</v>
      </c>
      <c r="Y28" s="250">
        <f>IF('Staging Table'!C30=1,"",SUM(P28:X28))</f>
        <v>1286487.7000274488</v>
      </c>
      <c r="Z28" s="250">
        <f>IF('Staging Table'!C30=1,"",(RT1SC!$C$4*'Staging Table'!BS30*'Staging Table'!$BT$2)+SUM('Staging Table'!BZ30:CW30)-IF(Init!$R$15="No",'Staging Table'!DV30, 0))</f>
        <v>32483.232</v>
      </c>
      <c r="AA28" s="126">
        <f>IF('Staging Table'!C30=1,"",IF(Z28=0, 0, Y28/Z28))</f>
        <v>39.604670496687298</v>
      </c>
      <c r="AB28" s="118">
        <f ca="1">IF('Staging Table'!C30=1,"",(AA28/O28-1)+(RAND()/100000000000000))</f>
        <v>3.0708962421694307E-2</v>
      </c>
      <c r="AC28" s="79">
        <f t="shared" ca="1" si="0"/>
        <v>13</v>
      </c>
      <c r="AF28" s="255"/>
      <c r="AG28" s="255"/>
      <c r="AH28" s="271"/>
      <c r="AI28" s="255"/>
      <c r="AJ28" s="255"/>
    </row>
    <row r="29" spans="2:36">
      <c r="B29" s="3">
        <v>10079</v>
      </c>
      <c r="C29" s="4" t="s">
        <v>32</v>
      </c>
      <c r="D29" s="250">
        <f>IF(Init!$R$9="Yes",'Staging Table'!E31,'Staging Table'!BS31)*Rates_previous!$E$75*100*12</f>
        <v>31829355.406079996</v>
      </c>
      <c r="E29" s="250">
        <f>IF(Init!$R$9="Yes",'Staging Table'!F31,'Staging Table'!BT31)*Rates_previous!$E$76*100*12</f>
        <v>-4488631.8552000001</v>
      </c>
      <c r="F29" s="251">
        <f>IF(Init!$R$9="Yes",SUMPRODUCT('Staging Table'!L31:AI31,LS_Demand_Rates_Restatement!$C$4:$Z$4)-IF(Init!$R$15="No",('Staging Table'!BH31*Rates_previous!$H$34), 0),SUMPRODUCT('Staging Table'!BZ31:CW31,LS_Demand_Rates_Restatement!$C$4:$Z$4)-IF(Init!$R$15="No", 'Staging Table'!DV31*Rates_previous!$H$34, 0))</f>
        <v>83358.770000000019</v>
      </c>
      <c r="G29" s="251">
        <f>IF(Init!$R$9="Yes",SUMPRODUCT('Staging Table'!AJ31:AU31,LS_Demand_Rates_Restatement!$C$10:$N$10),SUMPRODUCT(LS_Demand_Rates_Restatement!$C$10:$N$10,'Staging Table'!CX31:DI31))*1000</f>
        <v>2014589.0500000003</v>
      </c>
      <c r="H29" s="252">
        <f>IF(Init!$R$9="Yes",'Staging Table'!BR31,'Staging Table'!EF31)*IF(Init!$R$3=2018,Rates_previous!$C$88,Rates_previous!$D$88)</f>
        <v>-42972.283553134213</v>
      </c>
      <c r="I29" s="250">
        <f>IF(Init!$R$9="Yes",IF('Staging Table'!$F$1=2018,(SUM('Staging Table'!BD31:BG31)*Rates_previous!$C$87),(SUM('Staging Table'!BD31:BG31)*Rates_previous!$D$87)),IF('Staging Table'!$F$1=2018,(SUM('Staging Table'!DR31:DU31)*Rates_previous!$C$87),(SUM('Staging Table'!DR31:DU31)*Rates_previous!$D$87)))</f>
        <v>174890.18930776176</v>
      </c>
      <c r="J29" s="252">
        <f>IF(Init!$R$9="Yes",IF('Staging Table'!D31=1,'Staging Table'!H31*-1,'Staging Table'!H31*SUM(D29:I29)*(-1)),IF('Staging Table'!D31=1,'Staging Table'!BV31*-1,'Staging Table'!BV31*SUM(D29:I29)*(-1)))</f>
        <v>0</v>
      </c>
      <c r="K29" s="250">
        <f>IF(Init!$R$9="Yes",'Staging Table'!K31,'Staging Table'!BY31)*(-1)*Rates_previous!$H$32</f>
        <v>0</v>
      </c>
      <c r="L29" s="250">
        <f>IF(Init!$R$12="No",0,'Staging Table'!$BI31*-1)</f>
        <v>-1089139.938739561</v>
      </c>
      <c r="M29" s="250">
        <f>IF('Staging Table'!C31=1,"",SUM(D29:L29))</f>
        <v>28481449.337895062</v>
      </c>
      <c r="N29" s="250">
        <f>IF('Staging Table'!C31=1,"",IF(Init!$R$9="Yes",(RT1SC!$C$3*'Staging Table'!E31*'Staging Table'!$F$2)+SUM('Staging Table'!L31:AI31)-IF(Init!$R$15="No",'Staging Table'!BH31, 0),Z29))</f>
        <v>751231.94641347195</v>
      </c>
      <c r="O29" s="126">
        <f>IF('Staging Table'!C31=1,"",IF(N29=0, 0, M29/N29))</f>
        <v>37.912990087643458</v>
      </c>
      <c r="P29" s="250">
        <f>'Staging Table'!BS31*Rates_current!$E$74*100*12</f>
        <v>29303549.188919999</v>
      </c>
      <c r="Q29" s="250">
        <f>'Staging Table'!BT31*Rates_current!$E$75*100*12</f>
        <v>-2964528.4086000002</v>
      </c>
      <c r="R29" s="251">
        <f>SUMPRODUCT('Staging Table'!BZ31:CW31, LS_Demand_Rates_Restatement!$C$5:$Z$5)-IF(Init!$R$15="No",('Staging Table'!DV31*Rates_current!$H$34), 0)</f>
        <v>251527.87</v>
      </c>
      <c r="S29" s="251">
        <f>SUMPRODUCT('Staging Table'!CX31:DI31, LS_Demand_Rates_Restatement!$C$11:$N$11)*1000</f>
        <v>2206879.1100000003</v>
      </c>
      <c r="T29" s="252">
        <f>'Staging Table'!EF31*IF(Init!$R$18="Yes",IF(Init!$R$6=2020,Rates_current!$C$88,Rates_current!$D$88),Rates_current!$H$33)</f>
        <v>-64240.120206578307</v>
      </c>
      <c r="U29" s="252">
        <f>IF(Init!$R$18="Yes",(SUM('Staging Table'!DL31:DU31)*IF('Staging Table'!$BT$1=2020, Rates_current!$C$87, Rates_current!$D$87)),0)</f>
        <v>511542.65885341645</v>
      </c>
      <c r="V29" s="252">
        <f>IF('Staging Table'!D31=1, 'Staging Table'!BV31*-1,SUM(P29:U29)*'Staging Table'!BV31*-1)</f>
        <v>0</v>
      </c>
      <c r="W29" s="250">
        <f>'Staging Table'!BY31*Rates_current!$H$32*-1</f>
        <v>0</v>
      </c>
      <c r="X29" s="250">
        <f>IF(Init!$R$12="No",0,'Staging Table'!$DW31*-1)</f>
        <v>0</v>
      </c>
      <c r="Y29" s="250">
        <f>IF('Staging Table'!C31=1,"",SUM(P29:X29))</f>
        <v>29244730.298966836</v>
      </c>
      <c r="Z29" s="250">
        <f>IF('Staging Table'!C31=1,"",(RT1SC!$C$4*'Staging Table'!BS31*'Staging Table'!$BT$2)+SUM('Staging Table'!BZ31:CW31)-IF(Init!$R$15="No",'Staging Table'!DV31, 0))</f>
        <v>756734.34332661761</v>
      </c>
      <c r="AA29" s="126">
        <f>IF('Staging Table'!C31=1,"",IF(Z29=0, 0, Y29/Z29))</f>
        <v>38.645966787243303</v>
      </c>
      <c r="AB29" s="118">
        <f ca="1">IF('Staging Table'!C31=1,"",(AA29/O29-1)+(RAND()/100000000000000))</f>
        <v>1.9333128247220013E-2</v>
      </c>
      <c r="AC29" s="79">
        <f t="shared" ca="1" si="0"/>
        <v>54</v>
      </c>
      <c r="AF29" s="255"/>
      <c r="AG29" s="255"/>
      <c r="AH29" s="271"/>
      <c r="AI29" s="255"/>
      <c r="AJ29" s="255"/>
    </row>
    <row r="30" spans="2:36">
      <c r="B30" s="3">
        <v>10080</v>
      </c>
      <c r="C30" s="4" t="s">
        <v>33</v>
      </c>
      <c r="D30" s="250">
        <f>IF(Init!$R$9="Yes",'Staging Table'!E32,'Staging Table'!BS32)*Rates_previous!$E$75*100*12</f>
        <v>2684547.73728</v>
      </c>
      <c r="E30" s="250">
        <f>IF(Init!$R$9="Yes",'Staging Table'!F32,'Staging Table'!BT32)*Rates_previous!$E$76*100*12</f>
        <v>-378579.65820000001</v>
      </c>
      <c r="F30" s="251">
        <f>IF(Init!$R$9="Yes",SUMPRODUCT('Staging Table'!L32:AI32,LS_Demand_Rates_Restatement!$C$4:$Z$4)-IF(Init!$R$15="No",('Staging Table'!BH32*Rates_previous!$H$34), 0),SUMPRODUCT('Staging Table'!BZ32:CW32,LS_Demand_Rates_Restatement!$C$4:$Z$4)-IF(Init!$R$15="No", 'Staging Table'!DV32*Rates_previous!$H$34, 0))</f>
        <v>-52015.64</v>
      </c>
      <c r="G30" s="251">
        <f>IF(Init!$R$9="Yes",SUMPRODUCT('Staging Table'!AJ32:AU32,LS_Demand_Rates_Restatement!$C$10:$N$10),SUMPRODUCT(LS_Demand_Rates_Restatement!$C$10:$N$10,'Staging Table'!CX32:DI32))*1000</f>
        <v>90656.97</v>
      </c>
      <c r="H30" s="252">
        <f>IF(Init!$R$9="Yes",'Staging Table'!BR32,'Staging Table'!EF32)*IF(Init!$R$3=2018,Rates_previous!$C$88,Rates_previous!$D$88)</f>
        <v>-50477.794061954941</v>
      </c>
      <c r="I30" s="250">
        <f>IF(Init!$R$9="Yes",IF('Staging Table'!$F$1=2018,(SUM('Staging Table'!BD32:BG32)*Rates_previous!$C$87),(SUM('Staging Table'!BD32:BG32)*Rates_previous!$D$87)),IF('Staging Table'!$F$1=2018,(SUM('Staging Table'!DR32:DU32)*Rates_previous!$C$87),(SUM('Staging Table'!DR32:DU32)*Rates_previous!$D$87)))</f>
        <v>14750.567706719541</v>
      </c>
      <c r="J30" s="252">
        <f>IF(Init!$R$9="Yes",IF('Staging Table'!D32=1,'Staging Table'!H32*-1,'Staging Table'!H32*SUM(D30:I30)*(-1)),IF('Staging Table'!D32=1,'Staging Table'!BV32*-1,'Staging Table'!BV32*SUM(D30:I30)*(-1)))</f>
        <v>0</v>
      </c>
      <c r="K30" s="250">
        <f>IF(Init!$R$9="Yes",'Staging Table'!K32,'Staging Table'!BY32)*(-1)*Rates_previous!$H$32</f>
        <v>0</v>
      </c>
      <c r="L30" s="250">
        <f>IF(Init!$R$12="No",0,'Staging Table'!$BI32*-1)</f>
        <v>-95504.502766492631</v>
      </c>
      <c r="M30" s="250">
        <f>IF('Staging Table'!C32=1,"",SUM(D30:L30))</f>
        <v>2213377.6799582718</v>
      </c>
      <c r="N30" s="250">
        <f>IF('Staging Table'!C32=1,"",IF(Init!$R$9="Yes",(RT1SC!$C$3*'Staging Table'!E32*'Staging Table'!$F$2)+SUM('Staging Table'!L32:AI32)-IF(Init!$R$15="No",'Staging Table'!BH32, 0),Z30))</f>
        <v>60216.789856552001</v>
      </c>
      <c r="O30" s="126">
        <f>IF('Staging Table'!C32=1,"",IF(N30=0, 0, M30/N30))</f>
        <v>36.756819571932745</v>
      </c>
      <c r="P30" s="250">
        <f>'Staging Table'!BS32*Rates_current!$E$74*100*12</f>
        <v>2330793.9925199999</v>
      </c>
      <c r="Q30" s="250">
        <f>'Staging Table'!BT32*Rates_current!$E$75*100*12</f>
        <v>-235797.5466</v>
      </c>
      <c r="R30" s="251">
        <f>SUMPRODUCT('Staging Table'!BZ32:CW32, LS_Demand_Rates_Restatement!$C$5:$Z$5)-IF(Init!$R$15="No",('Staging Table'!DV32*Rates_current!$H$34), 0)</f>
        <v>36808.42000000002</v>
      </c>
      <c r="S30" s="251">
        <f>SUMPRODUCT('Staging Table'!CX32:DI32, LS_Demand_Rates_Restatement!$C$11:$N$11)*1000</f>
        <v>103300.94</v>
      </c>
      <c r="T30" s="252">
        <f>'Staging Table'!EF32*IF(Init!$R$18="Yes",IF(Init!$R$6=2020,Rates_current!$C$88,Rates_current!$D$88),Rates_current!$H$33)</f>
        <v>-4721.9049020898901</v>
      </c>
      <c r="U30" s="252">
        <f>IF(Init!$R$18="Yes",(SUM('Staging Table'!DL32:DU32)*IF('Staging Table'!$BT$1=2020, Rates_current!$C$87, Rates_current!$D$87)),0)</f>
        <v>40687.923107419119</v>
      </c>
      <c r="V30" s="252">
        <f>IF('Staging Table'!D32=1, 'Staging Table'!BV32*-1,SUM(P30:U30)*'Staging Table'!BV32*-1)</f>
        <v>0</v>
      </c>
      <c r="W30" s="250">
        <f>'Staging Table'!BY32*Rates_current!$H$32*-1</f>
        <v>0</v>
      </c>
      <c r="X30" s="250">
        <f>IF(Init!$R$12="No",0,'Staging Table'!$DW32*-1)</f>
        <v>0</v>
      </c>
      <c r="Y30" s="250">
        <f>IF('Staging Table'!C32=1,"",SUM(P30:X30))</f>
        <v>2271071.824125329</v>
      </c>
      <c r="Z30" s="250">
        <f>IF('Staging Table'!C32=1,"",(RT1SC!$C$4*'Staging Table'!BS32*'Staging Table'!$BT$2)+SUM('Staging Table'!BZ32:CW32)-IF(Init!$R$15="No",'Staging Table'!DV32, 0))</f>
        <v>60215.439459225592</v>
      </c>
      <c r="AA30" s="126">
        <f>IF('Staging Table'!C32=1,"",IF(Z30=0, 0, Y30/Z30))</f>
        <v>37.715772641054414</v>
      </c>
      <c r="AB30" s="118">
        <f ca="1">IF('Staging Table'!C32=1,"",(AA30/O30-1)+(RAND()/100000000000000))</f>
        <v>2.6089119795720532E-2</v>
      </c>
      <c r="AC30" s="79">
        <f t="shared" ca="1" si="0"/>
        <v>22</v>
      </c>
      <c r="AF30" s="255"/>
      <c r="AG30" s="255"/>
      <c r="AH30" s="271"/>
      <c r="AI30" s="255"/>
      <c r="AJ30" s="255"/>
    </row>
    <row r="31" spans="2:36">
      <c r="B31" s="3">
        <v>10081</v>
      </c>
      <c r="C31" s="4" t="s">
        <v>34</v>
      </c>
      <c r="D31" s="250">
        <f>IF(Init!$R$9="Yes",'Staging Table'!E33,'Staging Table'!BS33)*Rates_previous!$E$75*100*12</f>
        <v>3556637.2224000003</v>
      </c>
      <c r="E31" s="250">
        <f>IF(Init!$R$9="Yes",'Staging Table'!F33,'Staging Table'!BT33)*Rates_previous!$E$76*100*12</f>
        <v>-501563.25600000011</v>
      </c>
      <c r="F31" s="251">
        <f>IF(Init!$R$9="Yes",SUMPRODUCT('Staging Table'!L33:AI33,LS_Demand_Rates_Restatement!$C$4:$Z$4)-IF(Init!$R$15="No",('Staging Table'!BH33*Rates_previous!$H$34), 0),SUMPRODUCT('Staging Table'!BZ33:CW33,LS_Demand_Rates_Restatement!$C$4:$Z$4)-IF(Init!$R$15="No", 'Staging Table'!DV33*Rates_previous!$H$34, 0))</f>
        <v>46076.14999999998</v>
      </c>
      <c r="G31" s="251">
        <f>IF(Init!$R$9="Yes",SUMPRODUCT('Staging Table'!AJ33:AU33,LS_Demand_Rates_Restatement!$C$10:$N$10),SUMPRODUCT(LS_Demand_Rates_Restatement!$C$10:$N$10,'Staging Table'!CX33:DI33))*1000</f>
        <v>281130.33</v>
      </c>
      <c r="H31" s="252">
        <f>IF(Init!$R$9="Yes",'Staging Table'!BR33,'Staging Table'!EF33)*IF(Init!$R$3=2018,Rates_previous!$C$88,Rates_previous!$D$88)</f>
        <v>-22610.589656723179</v>
      </c>
      <c r="I31" s="250">
        <f>IF(Init!$R$9="Yes",IF('Staging Table'!$F$1=2018,(SUM('Staging Table'!BD33:BG33)*Rates_previous!$C$87),(SUM('Staging Table'!BD33:BG33)*Rates_previous!$D$87)),IF('Staging Table'!$F$1=2018,(SUM('Staging Table'!DR33:DU33)*Rates_previous!$C$87),(SUM('Staging Table'!DR33:DU33)*Rates_previous!$D$87)))</f>
        <v>19542.36738975086</v>
      </c>
      <c r="J31" s="252">
        <f>IF(Init!$R$9="Yes",IF('Staging Table'!D33=1,'Staging Table'!H33*-1,'Staging Table'!H33*SUM(D31:I31)*(-1)),IF('Staging Table'!D33=1,'Staging Table'!BV33*-1,'Staging Table'!BV33*SUM(D31:I31)*(-1)))</f>
        <v>0</v>
      </c>
      <c r="K31" s="250">
        <f>IF(Init!$R$9="Yes",'Staging Table'!K33,'Staging Table'!BY33)*(-1)*Rates_previous!$H$32</f>
        <v>0</v>
      </c>
      <c r="L31" s="250">
        <f>IF(Init!$R$12="No",0,'Staging Table'!$BI33*-1)</f>
        <v>-132336.57605235174</v>
      </c>
      <c r="M31" s="250">
        <f>IF('Staging Table'!C33=1,"",SUM(D31:L31))</f>
        <v>3246875.6480806759</v>
      </c>
      <c r="N31" s="250">
        <f>IF('Staging Table'!C33=1,"",IF(Init!$R$9="Yes",(RT1SC!$C$3*'Staging Table'!E33*'Staging Table'!$F$2)+SUM('Staging Table'!L33:AI33)-IF(Init!$R$15="No",'Staging Table'!BH33, 0),Z31))</f>
        <v>83186.243940159999</v>
      </c>
      <c r="O31" s="126">
        <f>IF('Staging Table'!C33=1,"",IF(N31=0, 0, M31/N31))</f>
        <v>39.03140103808888</v>
      </c>
      <c r="P31" s="250">
        <f>'Staging Table'!BS33*Rates_current!$E$74*100*12</f>
        <v>3518650.4598000003</v>
      </c>
      <c r="Q31" s="250">
        <f>'Staging Table'!BT33*Rates_current!$E$75*100*12</f>
        <v>-355968.45899999997</v>
      </c>
      <c r="R31" s="251">
        <f>SUMPRODUCT('Staging Table'!BZ33:CW33, LS_Demand_Rates_Restatement!$C$5:$Z$5)-IF(Init!$R$15="No",('Staging Table'!DV33*Rates_current!$H$34), 0)</f>
        <v>-60388.01999999999</v>
      </c>
      <c r="S31" s="251">
        <f>SUMPRODUCT('Staging Table'!CX33:DI33, LS_Demand_Rates_Restatement!$C$11:$N$11)*1000</f>
        <v>309848.99999999994</v>
      </c>
      <c r="T31" s="252">
        <f>'Staging Table'!EF33*IF(Init!$R$18="Yes",IF(Init!$R$6=2020,Rates_current!$C$88,Rates_current!$D$88),Rates_current!$H$33)</f>
        <v>-129607.82220636668</v>
      </c>
      <c r="U31" s="252">
        <f>IF(Init!$R$18="Yes",(SUM('Staging Table'!DL33:DU33)*IF('Staging Table'!$BT$1=2020, Rates_current!$C$87, Rates_current!$D$87)),0)</f>
        <v>61423.952442677692</v>
      </c>
      <c r="V31" s="252">
        <f>IF('Staging Table'!D33=1, 'Staging Table'!BV33*-1,SUM(P31:U31)*'Staging Table'!BV33*-1)</f>
        <v>0</v>
      </c>
      <c r="W31" s="250">
        <f>'Staging Table'!BY33*Rates_current!$H$32*-1</f>
        <v>0</v>
      </c>
      <c r="X31" s="250">
        <f>IF(Init!$R$12="No",0,'Staging Table'!$DW33*-1)</f>
        <v>0</v>
      </c>
      <c r="Y31" s="250">
        <f>IF('Staging Table'!C33=1,"",SUM(P31:X31))</f>
        <v>3343959.1110363114</v>
      </c>
      <c r="Z31" s="250">
        <f>IF('Staging Table'!C33=1,"",(RT1SC!$C$4*'Staging Table'!BS33*'Staging Table'!$BT$2)+SUM('Staging Table'!BZ33:CW33)-IF(Init!$R$15="No",'Staging Table'!DV33, 0))</f>
        <v>83186.755500544008</v>
      </c>
      <c r="AA31" s="126">
        <f>IF('Staging Table'!C33=1,"",IF(Z31=0, 0, Y31/Z31))</f>
        <v>40.198215339873947</v>
      </c>
      <c r="AB31" s="118">
        <f ca="1">IF('Staging Table'!C33=1,"",(AA31/O31-1)+(RAND()/100000000000000))</f>
        <v>2.9894245934106934E-2</v>
      </c>
      <c r="AC31" s="79">
        <f t="shared" ca="1" si="0"/>
        <v>16</v>
      </c>
      <c r="AF31" s="255"/>
      <c r="AG31" s="255"/>
      <c r="AH31" s="271"/>
      <c r="AI31" s="255"/>
      <c r="AJ31" s="255"/>
    </row>
    <row r="32" spans="2:36">
      <c r="B32" s="3">
        <v>10082</v>
      </c>
      <c r="C32" s="4" t="s">
        <v>35</v>
      </c>
      <c r="D32" s="250">
        <f>IF(Init!$R$9="Yes",'Staging Table'!E34,'Staging Table'!BS34)*Rates_previous!$E$75*100*12</f>
        <v>36942.148800000003</v>
      </c>
      <c r="E32" s="250">
        <f>IF(Init!$R$9="Yes",'Staging Table'!F34,'Staging Table'!BT34)*Rates_previous!$E$76*100*12</f>
        <v>-5209.6470000000008</v>
      </c>
      <c r="F32" s="251">
        <f>IF(Init!$R$9="Yes",SUMPRODUCT('Staging Table'!L34:AI34,LS_Demand_Rates_Restatement!$C$4:$Z$4)-IF(Init!$R$15="No",('Staging Table'!BH34*Rates_previous!$H$34), 0),SUMPRODUCT('Staging Table'!BZ34:CW34,LS_Demand_Rates_Restatement!$C$4:$Z$4)-IF(Init!$R$15="No", 'Staging Table'!DV34*Rates_previous!$H$34, 0))</f>
        <v>-620.38999999999987</v>
      </c>
      <c r="G32" s="251">
        <f>IF(Init!$R$9="Yes",SUMPRODUCT('Staging Table'!AJ34:AU34,LS_Demand_Rates_Restatement!$C$10:$N$10),SUMPRODUCT(LS_Demand_Rates_Restatement!$C$10:$N$10,'Staging Table'!CX34:DI34))*1000</f>
        <v>1852.46</v>
      </c>
      <c r="H32" s="252">
        <f>IF(Init!$R$9="Yes",'Staging Table'!BR34,'Staging Table'!EF34)*IF(Init!$R$3=2018,Rates_previous!$C$88,Rates_previous!$D$88)</f>
        <v>-786.92108081840138</v>
      </c>
      <c r="I32" s="250">
        <f>IF(Init!$R$9="Yes",IF('Staging Table'!$F$1=2018,(SUM('Staging Table'!BD34:BG34)*Rates_previous!$C$87),(SUM('Staging Table'!BD34:BG34)*Rates_previous!$D$87)),IF('Staging Table'!$F$1=2018,(SUM('Staging Table'!DR34:DU34)*Rates_previous!$C$87),(SUM('Staging Table'!DR34:DU34)*Rates_previous!$D$87)))</f>
        <v>202.98304237205406</v>
      </c>
      <c r="J32" s="252">
        <f>IF(Init!$R$9="Yes",IF('Staging Table'!D34=1,'Staging Table'!H34*-1,'Staging Table'!H34*SUM(D32:I32)*(-1)),IF('Staging Table'!D34=1,'Staging Table'!BV34*-1,'Staging Table'!BV34*SUM(D32:I32)*(-1)))</f>
        <v>0</v>
      </c>
      <c r="K32" s="250">
        <f>IF(Init!$R$9="Yes",'Staging Table'!K34,'Staging Table'!BY34)*(-1)*Rates_previous!$H$32</f>
        <v>0</v>
      </c>
      <c r="L32" s="250">
        <f>IF(Init!$R$12="No",0,'Staging Table'!$BI34*-1)</f>
        <v>-575.17635498852121</v>
      </c>
      <c r="M32" s="250">
        <f>IF('Staging Table'!C34=1,"",SUM(D32:L32))</f>
        <v>31805.457406565136</v>
      </c>
      <c r="N32" s="250">
        <f>IF('Staging Table'!C34=1,"",IF(Init!$R$9="Yes",(RT1SC!$C$3*'Staging Table'!E34*'Staging Table'!$F$2)+SUM('Staging Table'!L34:AI34)-IF(Init!$R$15="No",'Staging Table'!BH34, 0),Z32))</f>
        <v>824.13433892</v>
      </c>
      <c r="O32" s="126">
        <f>IF('Staging Table'!C34=1,"",IF(N32=0, 0, M32/N32))</f>
        <v>38.592564227144209</v>
      </c>
      <c r="P32" s="250">
        <f>'Staging Table'!BS34*Rates_current!$E$74*100*12</f>
        <v>31847.292240000002</v>
      </c>
      <c r="Q32" s="250">
        <f>'Staging Table'!BT34*Rates_current!$E$75*100*12</f>
        <v>-3221.8692000000001</v>
      </c>
      <c r="R32" s="251">
        <f>SUMPRODUCT('Staging Table'!BZ34:CW34, LS_Demand_Rates_Restatement!$C$5:$Z$5)-IF(Init!$R$15="No",('Staging Table'!DV34*Rates_current!$H$34), 0)</f>
        <v>713.80000000000018</v>
      </c>
      <c r="S32" s="251">
        <f>SUMPRODUCT('Staging Table'!CX34:DI34, LS_Demand_Rates_Restatement!$C$11:$N$11)*1000</f>
        <v>2117.5300000000002</v>
      </c>
      <c r="T32" s="252">
        <f>'Staging Table'!EF34*IF(Init!$R$18="Yes",IF(Init!$R$6=2020,Rates_current!$C$88,Rates_current!$D$88),Rates_current!$H$33)</f>
        <v>-29.702297281537351</v>
      </c>
      <c r="U32" s="252">
        <f>IF(Init!$R$18="Yes",(SUM('Staging Table'!DL34:DU34)*IF('Staging Table'!$BT$1=2020, Rates_current!$C$87, Rates_current!$D$87)),0)</f>
        <v>555.94796537107811</v>
      </c>
      <c r="V32" s="252">
        <f>IF('Staging Table'!D34=1, 'Staging Table'!BV34*-1,SUM(P32:U32)*'Staging Table'!BV34*-1)</f>
        <v>0</v>
      </c>
      <c r="W32" s="250">
        <f>'Staging Table'!BY34*Rates_current!$H$32*-1</f>
        <v>0</v>
      </c>
      <c r="X32" s="250">
        <f>IF(Init!$R$12="No",0,'Staging Table'!$DW34*-1)</f>
        <v>0</v>
      </c>
      <c r="Y32" s="250">
        <f>IF('Staging Table'!C34=1,"",SUM(P32:X32))</f>
        <v>31982.998708089541</v>
      </c>
      <c r="Z32" s="250">
        <f>IF('Staging Table'!C34=1,"",(RT1SC!$C$4*'Staging Table'!BS34*'Staging Table'!$BT$2)+SUM('Staging Table'!BZ34:CW34)-IF(Init!$R$15="No",'Staging Table'!DV34, 0))</f>
        <v>823.82439966719994</v>
      </c>
      <c r="AA32" s="126">
        <f>IF('Staging Table'!C34=1,"",IF(Z32=0, 0, Y32/Z32))</f>
        <v>38.822592194416309</v>
      </c>
      <c r="AB32" s="118">
        <f ca="1">IF('Staging Table'!C34=1,"",(AA32/O32-1)+(RAND()/100000000000000))</f>
        <v>5.9604219589634092E-3</v>
      </c>
      <c r="AC32" s="79">
        <f t="shared" ca="1" si="0"/>
        <v>77</v>
      </c>
      <c r="AF32" s="255"/>
      <c r="AG32" s="255"/>
      <c r="AH32" s="271"/>
      <c r="AI32" s="255"/>
      <c r="AJ32" s="255"/>
    </row>
    <row r="33" spans="2:36">
      <c r="B33" s="3">
        <v>10083</v>
      </c>
      <c r="C33" s="4" t="s">
        <v>36</v>
      </c>
      <c r="D33" s="250">
        <f>IF(Init!$R$9="Yes",'Staging Table'!E35,'Staging Table'!BS35)*Rates_previous!$E$75*100*12</f>
        <v>3018810.4905600003</v>
      </c>
      <c r="E33" s="250">
        <f>IF(Init!$R$9="Yes",'Staging Table'!F35,'Staging Table'!BT35)*Rates_previous!$E$76*100*12</f>
        <v>-425717.98139999999</v>
      </c>
      <c r="F33" s="251">
        <f>IF(Init!$R$9="Yes",SUMPRODUCT('Staging Table'!L35:AI35,LS_Demand_Rates_Restatement!$C$4:$Z$4)-IF(Init!$R$15="No",('Staging Table'!BH35*Rates_previous!$H$34), 0),SUMPRODUCT('Staging Table'!BZ35:CW35,LS_Demand_Rates_Restatement!$C$4:$Z$4)-IF(Init!$R$15="No", 'Staging Table'!DV35*Rates_previous!$H$34, 0))</f>
        <v>48412.932736457951</v>
      </c>
      <c r="G33" s="251">
        <f>IF(Init!$R$9="Yes",SUMPRODUCT('Staging Table'!AJ35:AU35,LS_Demand_Rates_Restatement!$C$10:$N$10),SUMPRODUCT(LS_Demand_Rates_Restatement!$C$10:$N$10,'Staging Table'!CX35:DI35))*1000</f>
        <v>138063.65</v>
      </c>
      <c r="H33" s="252">
        <f>IF(Init!$R$9="Yes",'Staging Table'!BR35,'Staging Table'!EF35)*IF(Init!$R$3=2018,Rates_previous!$C$88,Rates_previous!$D$88)</f>
        <v>0</v>
      </c>
      <c r="I33" s="250">
        <f>IF(Init!$R$9="Yes",IF('Staging Table'!$F$1=2018,(SUM('Staging Table'!BD35:BG35)*Rates_previous!$C$87),(SUM('Staging Table'!BD35:BG35)*Rates_previous!$D$87)),IF('Staging Table'!$F$1=2018,(SUM('Staging Table'!DR35:DU35)*Rates_previous!$C$87),(SUM('Staging Table'!DR35:DU35)*Rates_previous!$D$87)))</f>
        <v>16587.214269423916</v>
      </c>
      <c r="J33" s="252">
        <f>IF(Init!$R$9="Yes",IF('Staging Table'!D35=1,'Staging Table'!H35*-1,'Staging Table'!H35*SUM(D33:I33)*(-1)),IF('Staging Table'!D35=1,'Staging Table'!BV35*-1,'Staging Table'!BV35*SUM(D33:I33)*(-1)))</f>
        <v>0</v>
      </c>
      <c r="K33" s="250">
        <f>IF(Init!$R$9="Yes",'Staging Table'!K35,'Staging Table'!BY35)*(-1)*Rates_previous!$H$32</f>
        <v>0</v>
      </c>
      <c r="L33" s="250">
        <f>IF(Init!$R$12="No",0,'Staging Table'!$BI35*-1)</f>
        <v>-106604.71104336144</v>
      </c>
      <c r="M33" s="250">
        <f>IF('Staging Table'!C35=1,"",SUM(D33:L33))</f>
        <v>2689551.5951225203</v>
      </c>
      <c r="N33" s="250">
        <f>IF('Staging Table'!C35=1,"",IF(Init!$R$9="Yes",(RT1SC!$C$3*'Staging Table'!E35*'Staging Table'!$F$2)+SUM('Staging Table'!L35:AI35)-IF(Init!$R$15="No",'Staging Table'!BH35, 0),Z33))</f>
        <v>72086.039999999994</v>
      </c>
      <c r="O33" s="126">
        <f>IF('Staging Table'!C35=1,"",IF(N33=0, 0, M33/N33))</f>
        <v>37.31029746012571</v>
      </c>
      <c r="P33" s="250">
        <f>'Staging Table'!BS35*Rates_current!$E$74*100*12</f>
        <v>2814682.7014799993</v>
      </c>
      <c r="Q33" s="250">
        <f>'Staging Table'!BT35*Rates_current!$E$75*100*12</f>
        <v>-284750.72339999996</v>
      </c>
      <c r="R33" s="251">
        <f>SUMPRODUCT('Staging Table'!BZ35:CW35, LS_Demand_Rates_Restatement!$C$5:$Z$5)-IF(Init!$R$15="No",('Staging Table'!DV35*Rates_current!$H$34), 0)</f>
        <v>53635.800789242261</v>
      </c>
      <c r="S33" s="251">
        <f>SUMPRODUCT('Staging Table'!CX35:DI35, LS_Demand_Rates_Restatement!$C$11:$N$11)*1000</f>
        <v>158266.59999999998</v>
      </c>
      <c r="T33" s="252">
        <f>'Staging Table'!EF35*IF(Init!$R$18="Yes",IF(Init!$R$6=2020,Rates_current!$C$88,Rates_current!$D$88),Rates_current!$H$33)</f>
        <v>0</v>
      </c>
      <c r="U33" s="252">
        <f>IF(Init!$R$18="Yes",(SUM('Staging Table'!DL35:DU35)*IF('Staging Table'!$BT$1=2020, Rates_current!$C$87, Rates_current!$D$87)),0)</f>
        <v>49135.013088728934</v>
      </c>
      <c r="V33" s="252">
        <f>IF('Staging Table'!D35=1, 'Staging Table'!BV35*-1,SUM(P33:U33)*'Staging Table'!BV35*-1)</f>
        <v>0</v>
      </c>
      <c r="W33" s="250">
        <f>'Staging Table'!BY35*Rates_current!$H$32*-1</f>
        <v>0</v>
      </c>
      <c r="X33" s="250">
        <f>IF(Init!$R$12="No",0,'Staging Table'!$DW35*-1)</f>
        <v>0</v>
      </c>
      <c r="Y33" s="250">
        <f>IF('Staging Table'!C35=1,"",SUM(P33:X33))</f>
        <v>2790969.3919579703</v>
      </c>
      <c r="Z33" s="250">
        <f>IF('Staging Table'!C35=1,"",(RT1SC!$C$4*'Staging Table'!BS35*'Staging Table'!$BT$2)+SUM('Staging Table'!BZ35:CW35)-IF(Init!$R$15="No",'Staging Table'!DV35, 0))</f>
        <v>73074.096000000005</v>
      </c>
      <c r="AA33" s="126">
        <f>IF('Staging Table'!C35=1,"",IF(Z33=0, 0, Y33/Z33))</f>
        <v>38.193690305220748</v>
      </c>
      <c r="AB33" s="118">
        <f ca="1">IF('Staging Table'!C35=1,"",(AA33/O33-1)+(RAND()/100000000000000))</f>
        <v>2.3676917774225325E-2</v>
      </c>
      <c r="AC33" s="79">
        <f t="shared" ca="1" si="0"/>
        <v>37</v>
      </c>
      <c r="AF33" s="255"/>
      <c r="AG33" s="255"/>
      <c r="AH33" s="271"/>
      <c r="AI33" s="255"/>
      <c r="AJ33" s="255"/>
    </row>
    <row r="34" spans="2:36">
      <c r="B34" s="3">
        <v>10086</v>
      </c>
      <c r="C34" s="4" t="s">
        <v>37</v>
      </c>
      <c r="D34" s="250">
        <f>IF(Init!$R$9="Yes",'Staging Table'!E36,'Staging Table'!BS36)*Rates_previous!$E$75*100*12</f>
        <v>1424183.5296</v>
      </c>
      <c r="E34" s="250">
        <f>IF(Init!$R$9="Yes",'Staging Table'!F36,'Staging Table'!BT36)*Rates_previous!$E$76*100*12</f>
        <v>-200840.87400000004</v>
      </c>
      <c r="F34" s="251">
        <f>IF(Init!$R$9="Yes",SUMPRODUCT('Staging Table'!L36:AI36,LS_Demand_Rates_Restatement!$C$4:$Z$4)-IF(Init!$R$15="No",('Staging Table'!BH36*Rates_previous!$H$34), 0),SUMPRODUCT('Staging Table'!BZ36:CW36,LS_Demand_Rates_Restatement!$C$4:$Z$4)-IF(Init!$R$15="No", 'Staging Table'!DV36*Rates_previous!$H$34, 0))</f>
        <v>18376.469999999983</v>
      </c>
      <c r="G34" s="251">
        <f>IF(Init!$R$9="Yes",SUMPRODUCT('Staging Table'!AJ36:AU36,LS_Demand_Rates_Restatement!$C$10:$N$10),SUMPRODUCT(LS_Demand_Rates_Restatement!$C$10:$N$10,'Staging Table'!CX36:DI36))*1000</f>
        <v>79072.74000000002</v>
      </c>
      <c r="H34" s="252">
        <f>IF(Init!$R$9="Yes",'Staging Table'!BR36,'Staging Table'!EF36)*IF(Init!$R$3=2018,Rates_previous!$C$88,Rates_previous!$D$88)</f>
        <v>-538.93366741280943</v>
      </c>
      <c r="I34" s="250">
        <f>IF(Init!$R$9="Yes",IF('Staging Table'!$F$1=2018,(SUM('Staging Table'!BD36:BG36)*Rates_previous!$C$87),(SUM('Staging Table'!BD36:BG36)*Rates_previous!$D$87)),IF('Staging Table'!$F$1=2018,(SUM('Staging Table'!DR36:DU36)*Rates_previous!$C$87),(SUM('Staging Table'!DR36:DU36)*Rates_previous!$D$87)))</f>
        <v>7825.3462542053949</v>
      </c>
      <c r="J34" s="252">
        <f>IF(Init!$R$9="Yes",IF('Staging Table'!D36=1,'Staging Table'!H36*-1,'Staging Table'!H36*SUM(D34:I34)*(-1)),IF('Staging Table'!D36=1,'Staging Table'!BV36*-1,'Staging Table'!BV36*SUM(D34:I34)*(-1)))</f>
        <v>0</v>
      </c>
      <c r="K34" s="250">
        <f>IF(Init!$R$9="Yes",'Staging Table'!K36,'Staging Table'!BY36)*(-1)*Rates_previous!$H$32</f>
        <v>0</v>
      </c>
      <c r="L34" s="250">
        <f>IF(Init!$R$12="No",0,'Staging Table'!$BI36*-1)</f>
        <v>-50427.790581798938</v>
      </c>
      <c r="M34" s="250">
        <f>IF('Staging Table'!C36=1,"",SUM(D34:L34))</f>
        <v>1277650.4876049936</v>
      </c>
      <c r="N34" s="250">
        <f>IF('Staging Table'!C36=1,"",IF(Init!$R$9="Yes",(RT1SC!$C$3*'Staging Table'!E36*'Staging Table'!$F$2)+SUM('Staging Table'!L36:AI36)-IF(Init!$R$15="No",'Staging Table'!BH36, 0),Z34))</f>
        <v>33964.799686639999</v>
      </c>
      <c r="O34" s="126">
        <f>IF('Staging Table'!C36=1,"",IF(N34=0, 0, M34/N34))</f>
        <v>37.616900420218158</v>
      </c>
      <c r="P34" s="250">
        <f>'Staging Table'!BS36*Rates_current!$E$74*100*12</f>
        <v>1310492.30904</v>
      </c>
      <c r="Q34" s="250">
        <f>'Staging Table'!BT36*Rates_current!$E$75*100*12</f>
        <v>-132577.51319999999</v>
      </c>
      <c r="R34" s="251">
        <f>SUMPRODUCT('Staging Table'!BZ36:CW36, LS_Demand_Rates_Restatement!$C$5:$Z$5)-IF(Init!$R$15="No",('Staging Table'!DV36*Rates_current!$H$34), 0)</f>
        <v>20036.309999999994</v>
      </c>
      <c r="S34" s="251">
        <f>SUMPRODUCT('Staging Table'!CX36:DI36, LS_Demand_Rates_Restatement!$C$11:$N$11)*1000</f>
        <v>88349.209999999992</v>
      </c>
      <c r="T34" s="252">
        <f>'Staging Table'!EF36*IF(Init!$R$18="Yes",IF(Init!$R$6=2020,Rates_current!$C$88,Rates_current!$D$88),Rates_current!$H$33)</f>
        <v>-924.03054097314191</v>
      </c>
      <c r="U34" s="252">
        <f>IF(Init!$R$18="Yes",(SUM('Staging Table'!DL36:DU36)*IF('Staging Table'!$BT$1=2020, Rates_current!$C$87, Rates_current!$D$87)),0)</f>
        <v>22876.843888478536</v>
      </c>
      <c r="V34" s="252">
        <f>IF('Staging Table'!D36=1, 'Staging Table'!BV36*-1,SUM(P34:U34)*'Staging Table'!BV36*-1)</f>
        <v>0</v>
      </c>
      <c r="W34" s="250">
        <f>'Staging Table'!BY36*Rates_current!$H$32*-1</f>
        <v>0</v>
      </c>
      <c r="X34" s="250">
        <f>IF(Init!$R$12="No",0,'Staging Table'!$DW36*-1)</f>
        <v>0</v>
      </c>
      <c r="Y34" s="250">
        <f>IF('Staging Table'!C36=1,"",SUM(P34:X34))</f>
        <v>1308253.1291875055</v>
      </c>
      <c r="Z34" s="250">
        <f>IF('Staging Table'!C36=1,"",(RT1SC!$C$4*'Staging Table'!BS36*'Staging Table'!$BT$2)+SUM('Staging Table'!BZ36:CW36)-IF(Init!$R$15="No",'Staging Table'!DV36, 0))</f>
        <v>33962.207013171195</v>
      </c>
      <c r="AA34" s="126">
        <f>IF('Staging Table'!C36=1,"",IF(Z34=0, 0, Y34/Z34))</f>
        <v>38.520851388725703</v>
      </c>
      <c r="AB34" s="118">
        <f ca="1">IF('Staging Table'!C36=1,"",(AA34/O34-1)+(RAND()/100000000000000))</f>
        <v>2.403044797444373E-2</v>
      </c>
      <c r="AC34" s="79">
        <f t="shared" ca="1" si="0"/>
        <v>34</v>
      </c>
      <c r="AF34" s="255"/>
      <c r="AG34" s="255"/>
      <c r="AH34" s="271"/>
      <c r="AI34" s="255"/>
      <c r="AJ34" s="255"/>
    </row>
    <row r="35" spans="2:36">
      <c r="B35" s="3">
        <v>10087</v>
      </c>
      <c r="C35" s="4" t="s">
        <v>38</v>
      </c>
      <c r="D35" s="250">
        <f>IF(Init!$R$9="Yes",'Staging Table'!E37,'Staging Table'!BS37)*Rates_previous!$E$75*100*12</f>
        <v>11306080.946880002</v>
      </c>
      <c r="E35" s="250">
        <f>IF(Init!$R$9="Yes",'Staging Table'!F37,'Staging Table'!BT37)*Rates_previous!$E$76*100*12</f>
        <v>-1594403.4822</v>
      </c>
      <c r="F35" s="251">
        <f>IF(Init!$R$9="Yes",SUMPRODUCT('Staging Table'!L37:AI37,LS_Demand_Rates_Restatement!$C$4:$Z$4)-IF(Init!$R$15="No",('Staging Table'!BH37*Rates_previous!$H$34), 0),SUMPRODUCT('Staging Table'!BZ37:CW37,LS_Demand_Rates_Restatement!$C$4:$Z$4)-IF(Init!$R$15="No", 'Staging Table'!DV37*Rates_previous!$H$34, 0))</f>
        <v>407866.86000000016</v>
      </c>
      <c r="G35" s="251">
        <f>IF(Init!$R$9="Yes",SUMPRODUCT('Staging Table'!AJ37:AU37,LS_Demand_Rates_Restatement!$C$10:$N$10),SUMPRODUCT(LS_Demand_Rates_Restatement!$C$10:$N$10,'Staging Table'!CX37:DI37))*1000</f>
        <v>18431.14</v>
      </c>
      <c r="H35" s="252">
        <f>IF(Init!$R$9="Yes",'Staging Table'!BR37,'Staging Table'!EF37)*IF(Init!$R$3=2018,Rates_previous!$C$88,Rates_previous!$D$88)</f>
        <v>154880.65049739214</v>
      </c>
      <c r="I35" s="250">
        <f>IF(Init!$R$9="Yes",IF('Staging Table'!$F$1=2018,(SUM('Staging Table'!BD37:BG37)*Rates_previous!$C$87),(SUM('Staging Table'!BD37:BG37)*Rates_previous!$D$87)),IF('Staging Table'!$F$1=2018,(SUM('Staging Table'!DR37:DU37)*Rates_previous!$C$87),(SUM('Staging Table'!DR37:DU37)*Rates_previous!$D$87)))</f>
        <v>62122.610147204439</v>
      </c>
      <c r="J35" s="252">
        <f>IF(Init!$R$9="Yes",IF('Staging Table'!D37=1,'Staging Table'!H37*-1,'Staging Table'!H37*SUM(D35:I35)*(-1)),IF('Staging Table'!D37=1,'Staging Table'!BV37*-1,'Staging Table'!BV37*SUM(D35:I35)*(-1)))</f>
        <v>0</v>
      </c>
      <c r="K35" s="250">
        <f>IF(Init!$R$9="Yes",'Staging Table'!K37,'Staging Table'!BY37)*(-1)*Rates_previous!$H$32</f>
        <v>0</v>
      </c>
      <c r="L35" s="250">
        <f>IF(Init!$R$12="No",0,'Staging Table'!$BI37*-1)</f>
        <v>-693203.97036166384</v>
      </c>
      <c r="M35" s="250">
        <f>IF('Staging Table'!C37=1,"",SUM(D35:L35))</f>
        <v>9661774.7549629342</v>
      </c>
      <c r="N35" s="250">
        <f>IF('Staging Table'!C37=1,"",IF(Init!$R$9="Yes",(RT1SC!$C$3*'Staging Table'!E37*'Staging Table'!$F$2)+SUM('Staging Table'!L37:AI37)-IF(Init!$R$15="No",'Staging Table'!BH37, 0),Z35))</f>
        <v>281906.693505192</v>
      </c>
      <c r="O35" s="126">
        <f>IF('Staging Table'!C37=1,"",IF(N35=0, 0, M35/N35))</f>
        <v>34.272952638440948</v>
      </c>
      <c r="P35" s="250">
        <f>'Staging Table'!BS37*Rates_current!$E$74*100*12</f>
        <v>10376513.2776</v>
      </c>
      <c r="Q35" s="250">
        <f>'Staging Table'!BT37*Rates_current!$E$75*100*12</f>
        <v>-1049752.308</v>
      </c>
      <c r="R35" s="251">
        <f>SUMPRODUCT('Staging Table'!BZ37:CW37, LS_Demand_Rates_Restatement!$C$5:$Z$5)-IF(Init!$R$15="No",('Staging Table'!DV37*Rates_current!$H$34), 0)</f>
        <v>388376.87999999983</v>
      </c>
      <c r="S35" s="251">
        <f>SUMPRODUCT('Staging Table'!CX37:DI37, LS_Demand_Rates_Restatement!$C$11:$N$11)*1000</f>
        <v>28440.82</v>
      </c>
      <c r="T35" s="252">
        <f>'Staging Table'!EF37*IF(Init!$R$18="Yes",IF(Init!$R$6=2020,Rates_current!$C$88,Rates_current!$D$88),Rates_current!$H$33)</f>
        <v>198536.40328513543</v>
      </c>
      <c r="U35" s="252">
        <f>IF(Init!$R$18="Yes",(SUM('Staging Table'!DL37:DU37)*IF('Staging Table'!$BT$1=2020, Rates_current!$C$87, Rates_current!$D$87)),0)</f>
        <v>181139.46394105424</v>
      </c>
      <c r="V35" s="252">
        <f>IF('Staging Table'!D37=1, 'Staging Table'!BV37*-1,SUM(P35:U35)*'Staging Table'!BV37*-1)</f>
        <v>0</v>
      </c>
      <c r="W35" s="250">
        <f>'Staging Table'!BY37*Rates_current!$H$32*-1</f>
        <v>0</v>
      </c>
      <c r="X35" s="250">
        <f>IF(Init!$R$12="No",0,'Staging Table'!$DW37*-1)</f>
        <v>0</v>
      </c>
      <c r="Y35" s="250">
        <f>IF('Staging Table'!C37=1,"",SUM(P35:X35))</f>
        <v>10123254.536826188</v>
      </c>
      <c r="Z35" s="250">
        <f>IF('Staging Table'!C37=1,"",(RT1SC!$C$4*'Staging Table'!BS37*'Staging Table'!$BT$2)+SUM('Staging Table'!BZ37:CW37)-IF(Init!$R$15="No",'Staging Table'!DV37, 0))</f>
        <v>281906.66633932799</v>
      </c>
      <c r="AA35" s="126">
        <f>IF('Staging Table'!C37=1,"",IF(Z35=0, 0, Y35/Z35))</f>
        <v>35.909950865230471</v>
      </c>
      <c r="AB35" s="118">
        <f ca="1">IF('Staging Table'!C37=1,"",(AA35/O35-1)+(RAND()/100000000000000))</f>
        <v>4.7763559914407228E-2</v>
      </c>
      <c r="AC35" s="79">
        <f t="shared" ca="1" si="0"/>
        <v>2</v>
      </c>
      <c r="AF35" s="255"/>
      <c r="AG35" s="255"/>
      <c r="AH35" s="271"/>
      <c r="AI35" s="255"/>
      <c r="AJ35" s="255"/>
    </row>
    <row r="36" spans="2:36">
      <c r="B36" s="3">
        <v>10089</v>
      </c>
      <c r="C36" s="4" t="s">
        <v>39</v>
      </c>
      <c r="D36" s="250">
        <f>IF(Init!$R$9="Yes",'Staging Table'!E38,'Staging Table'!BS38)*Rates_previous!$E$75*100*12</f>
        <v>37488637.8288</v>
      </c>
      <c r="E36" s="250">
        <f>IF(Init!$R$9="Yes",'Staging Table'!F38,'Staging Table'!BT38)*Rates_previous!$E$76*100*12</f>
        <v>-5286713.8470000001</v>
      </c>
      <c r="F36" s="251">
        <f>IF(Init!$R$9="Yes",SUMPRODUCT('Staging Table'!L38:AI38,LS_Demand_Rates_Restatement!$C$4:$Z$4)-IF(Init!$R$15="No",('Staging Table'!BH38*Rates_previous!$H$34), 0),SUMPRODUCT('Staging Table'!BZ38:CW38,LS_Demand_Rates_Restatement!$C$4:$Z$4)-IF(Init!$R$15="No", 'Staging Table'!DV38*Rates_previous!$H$34, 0))</f>
        <v>-308991.40000000008</v>
      </c>
      <c r="G36" s="251">
        <f>IF(Init!$R$9="Yes",SUMPRODUCT('Staging Table'!AJ38:AU38,LS_Demand_Rates_Restatement!$C$10:$N$10),SUMPRODUCT(LS_Demand_Rates_Restatement!$C$10:$N$10,'Staging Table'!CX38:DI38))*1000</f>
        <v>1351416.64</v>
      </c>
      <c r="H36" s="252">
        <f>IF(Init!$R$9="Yes",'Staging Table'!BR38,'Staging Table'!EF38)*IF(Init!$R$3=2018,Rates_previous!$C$88,Rates_previous!$D$88)</f>
        <v>0</v>
      </c>
      <c r="I36" s="250">
        <f>IF(Init!$R$9="Yes",IF('Staging Table'!$F$1=2018,(SUM('Staging Table'!BD38:BG38)*Rates_previous!$C$87),(SUM('Staging Table'!BD38:BG38)*Rates_previous!$D$87)),IF('Staging Table'!$F$1=2018,(SUM('Staging Table'!DR38:DU38)*Rates_previous!$C$87),(SUM('Staging Table'!DR38:DU38)*Rates_previous!$D$87)))</f>
        <v>205985.79151610957</v>
      </c>
      <c r="J36" s="252">
        <f>IF(Init!$R$9="Yes",IF('Staging Table'!D38=1,'Staging Table'!H38*-1,'Staging Table'!H38*SUM(D36:I36)*(-1)),IF('Staging Table'!D38=1,'Staging Table'!BV38*-1,'Staging Table'!BV38*SUM(D36:I36)*(-1)))</f>
        <v>0</v>
      </c>
      <c r="K36" s="250">
        <f>IF(Init!$R$9="Yes",'Staging Table'!K38,'Staging Table'!BY38)*(-1)*Rates_previous!$H$32</f>
        <v>0</v>
      </c>
      <c r="L36" s="250">
        <f>IF(Init!$R$12="No",0,'Staging Table'!$BI38*-1)</f>
        <v>-1207342.0876217578</v>
      </c>
      <c r="M36" s="250">
        <f>IF('Staging Table'!C38=1,"",SUM(D36:L36))</f>
        <v>32242992.925694354</v>
      </c>
      <c r="N36" s="250">
        <f>IF('Staging Table'!C38=1,"",IF(Init!$R$9="Yes",(RT1SC!$C$3*'Staging Table'!E38*'Staging Table'!$F$2)+SUM('Staging Table'!L38:AI38)-IF(Init!$R$15="No",'Staging Table'!BH38, 0),Z36))</f>
        <v>864910.84345091996</v>
      </c>
      <c r="O36" s="126">
        <f>IF('Staging Table'!C38=1,"",IF(N36=0, 0, M36/N36))</f>
        <v>37.27897871767636</v>
      </c>
      <c r="P36" s="250">
        <f>'Staging Table'!BS38*Rates_current!$E$74*100*12</f>
        <v>34952640.89976</v>
      </c>
      <c r="Q36" s="250">
        <f>'Staging Table'!BT38*Rates_current!$E$75*100*12</f>
        <v>-3536025.4908000003</v>
      </c>
      <c r="R36" s="251">
        <f>SUMPRODUCT('Staging Table'!BZ38:CW38, LS_Demand_Rates_Restatement!$C$5:$Z$5)-IF(Init!$R$15="No",('Staging Table'!DV38*Rates_current!$H$34), 0)</f>
        <v>85865.809999999983</v>
      </c>
      <c r="S36" s="251">
        <f>SUMPRODUCT('Staging Table'!CX38:DI38, LS_Demand_Rates_Restatement!$C$11:$N$11)*1000</f>
        <v>1546108.52</v>
      </c>
      <c r="T36" s="252">
        <f>'Staging Table'!EF38*IF(Init!$R$18="Yes",IF(Init!$R$6=2020,Rates_current!$C$88,Rates_current!$D$88),Rates_current!$H$33)</f>
        <v>0</v>
      </c>
      <c r="U36" s="252">
        <f>IF(Init!$R$18="Yes",(SUM('Staging Table'!DL38:DU38)*IF('Staging Table'!$BT$1=2020, Rates_current!$C$87, Rates_current!$D$87)),0)</f>
        <v>610157.04086017143</v>
      </c>
      <c r="V36" s="252">
        <f>IF('Staging Table'!D38=1, 'Staging Table'!BV38*-1,SUM(P36:U36)*'Staging Table'!BV38*-1)</f>
        <v>0</v>
      </c>
      <c r="W36" s="250">
        <f>'Staging Table'!BY38*Rates_current!$H$32*-1</f>
        <v>0</v>
      </c>
      <c r="X36" s="250">
        <f>IF(Init!$R$12="No",0,'Staging Table'!$DW38*-1)</f>
        <v>0</v>
      </c>
      <c r="Y36" s="250">
        <f>IF('Staging Table'!C38=1,"",SUM(P36:X36))</f>
        <v>33658746.779820167</v>
      </c>
      <c r="Z36" s="250">
        <f>IF('Staging Table'!C38=1,"",(RT1SC!$C$4*'Staging Table'!BS38*'Staging Table'!$BT$2)+SUM('Staging Table'!BZ38:CW38)-IF(Init!$R$15="No",'Staging Table'!DV38, 0))</f>
        <v>890534.94896609278</v>
      </c>
      <c r="AA36" s="126">
        <f>IF('Staging Table'!C38=1,"",IF(Z36=0, 0, Y36/Z36))</f>
        <v>37.796098647108487</v>
      </c>
      <c r="AB36" s="118">
        <f ca="1">IF('Staging Table'!C38=1,"",(AA36/O36-1)+(RAND()/100000000000000))</f>
        <v>1.3871622754165206E-2</v>
      </c>
      <c r="AC36" s="79">
        <f t="shared" ca="1" si="0"/>
        <v>66</v>
      </c>
      <c r="AF36" s="255"/>
      <c r="AG36" s="255"/>
      <c r="AH36" s="271"/>
      <c r="AI36" s="255"/>
      <c r="AJ36" s="255"/>
    </row>
    <row r="37" spans="2:36">
      <c r="B37" s="3">
        <v>10091</v>
      </c>
      <c r="C37" s="4" t="s">
        <v>40</v>
      </c>
      <c r="D37" s="250">
        <f>IF(Init!$R$9="Yes",'Staging Table'!E39,'Staging Table'!BS39)*Rates_previous!$E$75*100*12</f>
        <v>3400970.65056</v>
      </c>
      <c r="E37" s="250">
        <f>IF(Init!$R$9="Yes",'Staging Table'!F39,'Staging Table'!BT39)*Rates_previous!$E$76*100*12</f>
        <v>-479610.88139999995</v>
      </c>
      <c r="F37" s="251">
        <f>IF(Init!$R$9="Yes",SUMPRODUCT('Staging Table'!L39:AI39,LS_Demand_Rates_Restatement!$C$4:$Z$4)-IF(Init!$R$15="No",('Staging Table'!BH39*Rates_previous!$H$34), 0),SUMPRODUCT('Staging Table'!BZ39:CW39,LS_Demand_Rates_Restatement!$C$4:$Z$4)-IF(Init!$R$15="No", 'Staging Table'!DV39*Rates_previous!$H$34, 0))</f>
        <v>49998.529077338215</v>
      </c>
      <c r="G37" s="251">
        <f>IF(Init!$R$9="Yes",SUMPRODUCT('Staging Table'!AJ39:AU39,LS_Demand_Rates_Restatement!$C$10:$N$10),SUMPRODUCT(LS_Demand_Rates_Restatement!$C$10:$N$10,'Staging Table'!CX39:DI39))*1000</f>
        <v>210080.75</v>
      </c>
      <c r="H37" s="252">
        <f>IF(Init!$R$9="Yes",'Staging Table'!BR39,'Staging Table'!EF39)*IF(Init!$R$3=2018,Rates_previous!$C$88,Rates_previous!$D$88)</f>
        <v>0</v>
      </c>
      <c r="I37" s="250">
        <f>IF(Init!$R$9="Yes",IF('Staging Table'!$F$1=2018,(SUM('Staging Table'!BD39:BG39)*Rates_previous!$C$87),(SUM('Staging Table'!BD39:BG39)*Rates_previous!$D$87)),IF('Staging Table'!$F$1=2018,(SUM('Staging Table'!DR39:DU39)*Rates_previous!$C$87),(SUM('Staging Table'!DR39:DU39)*Rates_previous!$D$87)))</f>
        <v>18687.038845686548</v>
      </c>
      <c r="J37" s="252">
        <f>IF(Init!$R$9="Yes",IF('Staging Table'!D39=1,'Staging Table'!H39*-1,'Staging Table'!H39*SUM(D37:I37)*(-1)),IF('Staging Table'!D39=1,'Staging Table'!BV39*-1,'Staging Table'!BV39*SUM(D37:I37)*(-1)))</f>
        <v>0</v>
      </c>
      <c r="K37" s="250">
        <f>IF(Init!$R$9="Yes",'Staging Table'!K39,'Staging Table'!BY39)*(-1)*Rates_previous!$H$32</f>
        <v>0</v>
      </c>
      <c r="L37" s="250">
        <f>IF(Init!$R$12="No",0,'Staging Table'!$BI39*-1)</f>
        <v>-125894.70843970538</v>
      </c>
      <c r="M37" s="250">
        <f>IF('Staging Table'!C39=1,"",SUM(D37:L37))</f>
        <v>3074231.3786433195</v>
      </c>
      <c r="N37" s="250">
        <f>IF('Staging Table'!C39=1,"",IF(Init!$R$9="Yes",(RT1SC!$C$3*'Staging Table'!E39*'Staging Table'!$F$2)+SUM('Staging Table'!L39:AI39)-IF(Init!$R$15="No",'Staging Table'!BH39, 0),Z37))</f>
        <v>81213.960000000006</v>
      </c>
      <c r="O37" s="126">
        <f>IF('Staging Table'!C39=1,"",IF(N37=0, 0, M37/N37))</f>
        <v>37.853484532010498</v>
      </c>
      <c r="P37" s="250">
        <f>'Staging Table'!BS39*Rates_current!$E$74*100*12</f>
        <v>3171182.2414800003</v>
      </c>
      <c r="Q37" s="250">
        <f>'Staging Table'!BT39*Rates_current!$E$75*100*12</f>
        <v>-320816.42339999997</v>
      </c>
      <c r="R37" s="251">
        <f>SUMPRODUCT('Staging Table'!BZ39:CW39, LS_Demand_Rates_Restatement!$C$5:$Z$5)-IF(Init!$R$15="No",('Staging Table'!DV39*Rates_current!$H$34), 0)</f>
        <v>53146.8997135299</v>
      </c>
      <c r="S37" s="251">
        <f>SUMPRODUCT('Staging Table'!CX39:DI39, LS_Demand_Rates_Restatement!$C$11:$N$11)*1000</f>
        <v>231275.08000000002</v>
      </c>
      <c r="T37" s="252">
        <f>'Staging Table'!EF39*IF(Init!$R$18="Yes",IF(Init!$R$6=2020,Rates_current!$C$88,Rates_current!$D$88),Rates_current!$H$33)</f>
        <v>0</v>
      </c>
      <c r="U37" s="252">
        <f>IF(Init!$R$18="Yes",(SUM('Staging Table'!DL39:DU39)*IF('Staging Table'!$BT$1=2020, Rates_current!$C$87, Rates_current!$D$87)),0)</f>
        <v>55358.311208554434</v>
      </c>
      <c r="V37" s="252">
        <f>IF('Staging Table'!D39=1, 'Staging Table'!BV39*-1,SUM(P37:U37)*'Staging Table'!BV39*-1)</f>
        <v>0</v>
      </c>
      <c r="W37" s="250">
        <f>'Staging Table'!BY39*Rates_current!$H$32*-1</f>
        <v>0</v>
      </c>
      <c r="X37" s="250">
        <f>IF(Init!$R$12="No",0,'Staging Table'!$DW39*-1)</f>
        <v>0</v>
      </c>
      <c r="Y37" s="250">
        <f>IF('Staging Table'!C39=1,"",SUM(P37:X37))</f>
        <v>3190146.1090020849</v>
      </c>
      <c r="Z37" s="250">
        <f>IF('Staging Table'!C39=1,"",(RT1SC!$C$4*'Staging Table'!BS39*'Staging Table'!$BT$2)+SUM('Staging Table'!BZ39:CW39)-IF(Init!$R$15="No",'Staging Table'!DV39, 0))</f>
        <v>82332.432000000001</v>
      </c>
      <c r="AA37" s="126">
        <f>IF('Staging Table'!C39=1,"",IF(Z37=0, 0, Y37/Z37))</f>
        <v>38.747138053714785</v>
      </c>
      <c r="AB37" s="118">
        <f ca="1">IF('Staging Table'!C39=1,"",(AA37/O37-1)+(RAND()/100000000000000))</f>
        <v>2.3608223463519165E-2</v>
      </c>
      <c r="AC37" s="79">
        <f t="shared" ca="1" si="0"/>
        <v>39</v>
      </c>
      <c r="AF37" s="255"/>
      <c r="AG37" s="255"/>
      <c r="AH37" s="271"/>
      <c r="AI37" s="255"/>
      <c r="AJ37" s="255"/>
    </row>
    <row r="38" spans="2:36">
      <c r="B38" s="3">
        <v>10094</v>
      </c>
      <c r="C38" s="4" t="s">
        <v>41</v>
      </c>
      <c r="D38" s="250">
        <f>IF(Init!$R$9="Yes",'Staging Table'!E40,'Staging Table'!BS40)*Rates_previous!$E$75*100*12</f>
        <v>1096035.3388799999</v>
      </c>
      <c r="E38" s="250">
        <f>IF(Init!$R$9="Yes",'Staging Table'!F40,'Staging Table'!BT40)*Rates_previous!$E$76*100*12</f>
        <v>-154564.83720000001</v>
      </c>
      <c r="F38" s="251">
        <f>IF(Init!$R$9="Yes",SUMPRODUCT('Staging Table'!L40:AI40,LS_Demand_Rates_Restatement!$C$4:$Z$4)-IF(Init!$R$15="No",('Staging Table'!BH40*Rates_previous!$H$34), 0),SUMPRODUCT('Staging Table'!BZ40:CW40,LS_Demand_Rates_Restatement!$C$4:$Z$4)-IF(Init!$R$15="No", 'Staging Table'!DV40*Rates_previous!$H$34, 0))</f>
        <v>14688.497156843945</v>
      </c>
      <c r="G38" s="251">
        <f>IF(Init!$R$9="Yes",SUMPRODUCT('Staging Table'!AJ40:AU40,LS_Demand_Rates_Restatement!$C$10:$N$10),SUMPRODUCT(LS_Demand_Rates_Restatement!$C$10:$N$10,'Staging Table'!CX40:DI40))*1000</f>
        <v>51294.409999999996</v>
      </c>
      <c r="H38" s="252">
        <f>IF(Init!$R$9="Yes",'Staging Table'!BR40,'Staging Table'!EF40)*IF(Init!$R$3=2018,Rates_previous!$C$88,Rates_previous!$D$88)</f>
        <v>0</v>
      </c>
      <c r="I38" s="250">
        <f>IF(Init!$R$9="Yes",IF('Staging Table'!$F$1=2018,(SUM('Staging Table'!BD40:BG40)*Rates_previous!$C$87),(SUM('Staging Table'!BD40:BG40)*Rates_previous!$D$87)),IF('Staging Table'!$F$1=2018,(SUM('Staging Table'!DR40:DU40)*Rates_previous!$C$87),(SUM('Staging Table'!DR40:DU40)*Rates_previous!$D$87)))</f>
        <v>6022.2968847212169</v>
      </c>
      <c r="J38" s="252">
        <f>IF(Init!$R$9="Yes",IF('Staging Table'!D40=1,'Staging Table'!H40*-1,'Staging Table'!H40*SUM(D38:I38)*(-1)),IF('Staging Table'!D40=1,'Staging Table'!BV40*-1,'Staging Table'!BV40*SUM(D38:I38)*(-1)))</f>
        <v>0</v>
      </c>
      <c r="K38" s="250">
        <f>IF(Init!$R$9="Yes",'Staging Table'!K40,'Staging Table'!BY40)*(-1)*Rates_previous!$H$32</f>
        <v>0</v>
      </c>
      <c r="L38" s="250">
        <f>IF(Init!$R$12="No",0,'Staging Table'!$BI40*-1)</f>
        <v>-17064.887442487019</v>
      </c>
      <c r="M38" s="250">
        <f>IF('Staging Table'!C40=1,"",SUM(D38:L38))</f>
        <v>996410.81827907811</v>
      </c>
      <c r="N38" s="250">
        <f>IF('Staging Table'!C40=1,"",IF(Init!$R$9="Yes",(RT1SC!$C$3*'Staging Table'!E40*'Staging Table'!$F$2)+SUM('Staging Table'!L40:AI40)-IF(Init!$R$15="No",'Staging Table'!BH40, 0),Z38))</f>
        <v>26174.880000000001</v>
      </c>
      <c r="O38" s="126">
        <f>IF('Staging Table'!C40=1,"",IF(N38=0, 0, M38/N38))</f>
        <v>38.067445515665327</v>
      </c>
      <c r="P38" s="250">
        <f>'Staging Table'!BS40*Rates_current!$E$74*100*12</f>
        <v>1022203.0143599999</v>
      </c>
      <c r="Q38" s="250">
        <f>'Staging Table'!BT40*Rates_current!$E$75*100*12</f>
        <v>-103412.38380000001</v>
      </c>
      <c r="R38" s="251">
        <f>SUMPRODUCT('Staging Table'!BZ40:CW40, LS_Demand_Rates_Restatement!$C$5:$Z$5)-IF(Init!$R$15="No",('Staging Table'!DV40*Rates_current!$H$34), 0)</f>
        <v>16479.985076001827</v>
      </c>
      <c r="S38" s="251">
        <f>SUMPRODUCT('Staging Table'!CX40:DI40, LS_Demand_Rates_Restatement!$C$11:$N$11)*1000</f>
        <v>57264.13</v>
      </c>
      <c r="T38" s="252">
        <f>'Staging Table'!EF40*IF(Init!$R$18="Yes",IF(Init!$R$6=2020,Rates_current!$C$88,Rates_current!$D$88),Rates_current!$H$33)</f>
        <v>0</v>
      </c>
      <c r="U38" s="252">
        <f>IF(Init!$R$18="Yes",(SUM('Staging Table'!DL40:DU40)*IF('Staging Table'!$BT$1=2020, Rates_current!$C$87, Rates_current!$D$87)),0)</f>
        <v>17844.270142246318</v>
      </c>
      <c r="V38" s="252">
        <f>IF('Staging Table'!D40=1, 'Staging Table'!BV40*-1,SUM(P38:U38)*'Staging Table'!BV40*-1)</f>
        <v>0</v>
      </c>
      <c r="W38" s="250">
        <f>'Staging Table'!BY40*Rates_current!$H$32*-1</f>
        <v>0</v>
      </c>
      <c r="X38" s="250">
        <f>IF(Init!$R$12="No",0,'Staging Table'!$DW40*-1)</f>
        <v>0</v>
      </c>
      <c r="Y38" s="250">
        <f>IF('Staging Table'!C40=1,"",SUM(P38:X38))</f>
        <v>1010379.0157782481</v>
      </c>
      <c r="Z38" s="250">
        <f>IF('Staging Table'!C40=1,"",(RT1SC!$C$4*'Staging Table'!BS40*'Staging Table'!$BT$2)+SUM('Staging Table'!BZ40:CW40)-IF(Init!$R$15="No",'Staging Table'!DV40, 0))</f>
        <v>26536.464</v>
      </c>
      <c r="AA38" s="126">
        <f>IF('Staging Table'!C40=1,"",IF(Z38=0, 0, Y38/Z38))</f>
        <v>38.07511866608332</v>
      </c>
      <c r="AB38" s="118">
        <f ca="1">IF('Staging Table'!C40=1,"",(AA38/O38-1)+(RAND()/100000000000000))</f>
        <v>2.0156725291988514E-4</v>
      </c>
      <c r="AC38" s="79">
        <f t="shared" ca="1" si="0"/>
        <v>94</v>
      </c>
      <c r="AF38" s="255"/>
      <c r="AG38" s="255"/>
      <c r="AH38" s="271"/>
      <c r="AI38" s="255"/>
      <c r="AJ38" s="255"/>
    </row>
    <row r="39" spans="2:36">
      <c r="B39" s="3">
        <v>10095</v>
      </c>
      <c r="C39" s="4" t="s">
        <v>42</v>
      </c>
      <c r="D39" s="250">
        <f>IF(Init!$R$9="Yes",'Staging Table'!E41,'Staging Table'!BS41)*Rates_previous!$E$75*100*12</f>
        <v>1314885.7238400001</v>
      </c>
      <c r="E39" s="250">
        <f>IF(Init!$R$9="Yes",'Staging Table'!F41,'Staging Table'!BT41)*Rates_previous!$E$76*100*12</f>
        <v>-185427.50459999999</v>
      </c>
      <c r="F39" s="251">
        <f>IF(Init!$R$9="Yes",SUMPRODUCT('Staging Table'!L41:AI41,LS_Demand_Rates_Restatement!$C$4:$Z$4)-IF(Init!$R$15="No",('Staging Table'!BH41*Rates_previous!$H$34), 0),SUMPRODUCT('Staging Table'!BZ41:CW41,LS_Demand_Rates_Restatement!$C$4:$Z$4)-IF(Init!$R$15="No", 'Staging Table'!DV41*Rates_previous!$H$34, 0))</f>
        <v>9677.809225121091</v>
      </c>
      <c r="G39" s="251">
        <f>IF(Init!$R$9="Yes",SUMPRODUCT('Staging Table'!AJ41:AU41,LS_Demand_Rates_Restatement!$C$10:$N$10),SUMPRODUCT(LS_Demand_Rates_Restatement!$C$10:$N$10,'Staging Table'!CX41:DI41))*1000</f>
        <v>34449.210000000006</v>
      </c>
      <c r="H39" s="252">
        <f>IF(Init!$R$9="Yes",'Staging Table'!BR41,'Staging Table'!EF41)*IF(Init!$R$3=2018,Rates_previous!$C$88,Rates_previous!$D$88)</f>
        <v>0</v>
      </c>
      <c r="I39" s="250">
        <f>IF(Init!$R$9="Yes",IF('Staging Table'!$F$1=2018,(SUM('Staging Table'!BD41:BG41)*Rates_previous!$C$87),(SUM('Staging Table'!BD41:BG41)*Rates_previous!$D$87)),IF('Staging Table'!$F$1=2018,(SUM('Staging Table'!DR41:DU41)*Rates_previous!$C$87),(SUM('Staging Table'!DR41:DU41)*Rates_previous!$D$87)))</f>
        <v>7224.7964253942828</v>
      </c>
      <c r="J39" s="252">
        <f>IF(Init!$R$9="Yes",IF('Staging Table'!D41=1,'Staging Table'!H41*-1,'Staging Table'!H41*SUM(D39:I39)*(-1)),IF('Staging Table'!D41=1,'Staging Table'!BV41*-1,'Staging Table'!BV41*SUM(D39:I39)*(-1)))</f>
        <v>0</v>
      </c>
      <c r="K39" s="250">
        <f>IF(Init!$R$9="Yes",'Staging Table'!K41,'Staging Table'!BY41)*(-1)*Rates_previous!$H$32</f>
        <v>0</v>
      </c>
      <c r="L39" s="250">
        <f>IF(Init!$R$12="No",0,'Staging Table'!$BI41*-1)</f>
        <v>-43901.029034336563</v>
      </c>
      <c r="M39" s="250">
        <f>IF('Staging Table'!C41=1,"",SUM(D39:L39))</f>
        <v>1136909.0058561787</v>
      </c>
      <c r="N39" s="250">
        <f>IF('Staging Table'!C41=1,"",IF(Init!$R$9="Yes",(RT1SC!$C$3*'Staging Table'!E41*'Staging Table'!$F$2)+SUM('Staging Table'!L41:AI41)-IF(Init!$R$15="No",'Staging Table'!BH41, 0),Z39))</f>
        <v>31395.84</v>
      </c>
      <c r="O39" s="126">
        <f>IF('Staging Table'!C41=1,"",IF(N39=0, 0, M39/N39))</f>
        <v>36.212090705525917</v>
      </c>
      <c r="P39" s="250">
        <f>'Staging Table'!BS41*Rates_current!$E$74*100*12</f>
        <v>1225883.0848799997</v>
      </c>
      <c r="Q39" s="250">
        <f>'Staging Table'!BT41*Rates_current!$E$75*100*12</f>
        <v>-124017.9204</v>
      </c>
      <c r="R39" s="251">
        <f>SUMPRODUCT('Staging Table'!BZ41:CW41, LS_Demand_Rates_Restatement!$C$5:$Z$5)-IF(Init!$R$15="No",('Staging Table'!DV41*Rates_current!$H$34), 0)</f>
        <v>10375.590304398385</v>
      </c>
      <c r="S39" s="251">
        <f>SUMPRODUCT('Staging Table'!CX41:DI41, LS_Demand_Rates_Restatement!$C$11:$N$11)*1000</f>
        <v>41673.61</v>
      </c>
      <c r="T39" s="252">
        <f>'Staging Table'!EF41*IF(Init!$R$18="Yes",IF(Init!$R$6=2020,Rates_current!$C$88,Rates_current!$D$88),Rates_current!$H$33)</f>
        <v>0</v>
      </c>
      <c r="U39" s="252">
        <f>IF(Init!$R$18="Yes",(SUM('Staging Table'!DL41:DU41)*IF('Staging Table'!$BT$1=2020, Rates_current!$C$87, Rates_current!$D$87)),0)</f>
        <v>21399.847801373289</v>
      </c>
      <c r="V39" s="252">
        <f>IF('Staging Table'!D41=1, 'Staging Table'!BV41*-1,SUM(P39:U39)*'Staging Table'!BV41*-1)</f>
        <v>0</v>
      </c>
      <c r="W39" s="250">
        <f>'Staging Table'!BY41*Rates_current!$H$32*-1</f>
        <v>0</v>
      </c>
      <c r="X39" s="250">
        <f>IF(Init!$R$12="No",0,'Staging Table'!$DW41*-1)</f>
        <v>0</v>
      </c>
      <c r="Y39" s="250">
        <f>IF('Staging Table'!C41=1,"",SUM(P39:X39))</f>
        <v>1175314.2125857717</v>
      </c>
      <c r="Z39" s="250">
        <f>IF('Staging Table'!C41=1,"",(RT1SC!$C$4*'Staging Table'!BS41*'Staging Table'!$BT$2)+SUM('Staging Table'!BZ41:CW41)-IF(Init!$R$15="No",'Staging Table'!DV41, 0))</f>
        <v>31824.432000000001</v>
      </c>
      <c r="AA39" s="126">
        <f>IF('Staging Table'!C41=1,"",IF(Z39=0, 0, Y39/Z39))</f>
        <v>36.931192128920685</v>
      </c>
      <c r="AB39" s="118">
        <f ca="1">IF('Staging Table'!C41=1,"",(AA39/O39-1)+(RAND()/100000000000000))</f>
        <v>1.9858047668188047E-2</v>
      </c>
      <c r="AC39" s="79">
        <f t="shared" ca="1" si="0"/>
        <v>51</v>
      </c>
      <c r="AF39" s="255"/>
      <c r="AG39" s="255"/>
      <c r="AH39" s="271"/>
      <c r="AI39" s="255"/>
      <c r="AJ39" s="255"/>
    </row>
    <row r="40" spans="2:36">
      <c r="B40" s="3">
        <v>10097</v>
      </c>
      <c r="C40" s="4" t="s">
        <v>43</v>
      </c>
      <c r="D40" s="250">
        <f>IF(Init!$R$9="Yes",'Staging Table'!E42,'Staging Table'!BS42)*Rates_previous!$E$75*100*12</f>
        <v>735530.92128000013</v>
      </c>
      <c r="E40" s="250">
        <f>IF(Init!$R$9="Yes",'Staging Table'!F42,'Staging Table'!BT42)*Rates_previous!$E$76*100*12</f>
        <v>-103725.8682</v>
      </c>
      <c r="F40" s="251">
        <f>IF(Init!$R$9="Yes",SUMPRODUCT('Staging Table'!L42:AI42,LS_Demand_Rates_Restatement!$C$4:$Z$4)-IF(Init!$R$15="No",('Staging Table'!BH42*Rates_previous!$H$34), 0),SUMPRODUCT('Staging Table'!BZ42:CW42,LS_Demand_Rates_Restatement!$C$4:$Z$4)-IF(Init!$R$15="No", 'Staging Table'!DV42*Rates_previous!$H$34, 0))</f>
        <v>13405.271917946997</v>
      </c>
      <c r="G40" s="251">
        <f>IF(Init!$R$9="Yes",SUMPRODUCT('Staging Table'!AJ42:AU42,LS_Demand_Rates_Restatement!$C$10:$N$10),SUMPRODUCT(LS_Demand_Rates_Restatement!$C$10:$N$10,'Staging Table'!CX42:DI42))*1000</f>
        <v>37175.69</v>
      </c>
      <c r="H40" s="252">
        <f>IF(Init!$R$9="Yes",'Staging Table'!BR42,'Staging Table'!EF42)*IF(Init!$R$3=2018,Rates_previous!$C$88,Rates_previous!$D$88)</f>
        <v>0</v>
      </c>
      <c r="I40" s="250">
        <f>IF(Init!$R$9="Yes",IF('Staging Table'!$F$1=2018,(SUM('Staging Table'!BD42:BG42)*Rates_previous!$C$87),(SUM('Staging Table'!BD42:BG42)*Rates_previous!$D$87)),IF('Staging Table'!$F$1=2018,(SUM('Staging Table'!DR42:DU42)*Rates_previous!$C$87),(SUM('Staging Table'!DR42:DU42)*Rates_previous!$D$87)))</f>
        <v>4041.4623677801378</v>
      </c>
      <c r="J40" s="252">
        <f>IF(Init!$R$9="Yes",IF('Staging Table'!D42=1,'Staging Table'!H42*-1,'Staging Table'!H42*SUM(D40:I40)*(-1)),IF('Staging Table'!D42=1,'Staging Table'!BV42*-1,'Staging Table'!BV42*SUM(D40:I40)*(-1)))</f>
        <v>0</v>
      </c>
      <c r="K40" s="250">
        <f>IF(Init!$R$9="Yes",'Staging Table'!K42,'Staging Table'!BY42)*(-1)*Rates_previous!$H$32</f>
        <v>0</v>
      </c>
      <c r="L40" s="250">
        <f>IF(Init!$R$12="No",0,'Staging Table'!$BI42*-1)</f>
        <v>-11451.95956449559</v>
      </c>
      <c r="M40" s="250">
        <f>IF('Staging Table'!C42=1,"",SUM(D40:L40))</f>
        <v>674975.51780123159</v>
      </c>
      <c r="N40" s="250">
        <f>IF('Staging Table'!C42=1,"",IF(Init!$R$9="Yes",(RT1SC!$C$3*'Staging Table'!E42*'Staging Table'!$F$2)+SUM('Staging Table'!L42:AI42)-IF(Init!$R$15="No",'Staging Table'!BH42, 0),Z40))</f>
        <v>17563.8</v>
      </c>
      <c r="O40" s="126">
        <f>IF('Staging Table'!C42=1,"",IF(N40=0, 0, M40/N40))</f>
        <v>38.429925061844912</v>
      </c>
      <c r="P40" s="250">
        <f>'Staging Table'!BS42*Rates_current!$E$74*100*12</f>
        <v>680438.78868</v>
      </c>
      <c r="Q40" s="250">
        <f>'Staging Table'!BT42*Rates_current!$E$75*100*12</f>
        <v>-68837.399399999995</v>
      </c>
      <c r="R40" s="251">
        <f>SUMPRODUCT('Staging Table'!BZ42:CW42, LS_Demand_Rates_Restatement!$C$5:$Z$5)-IF(Init!$R$15="No",('Staging Table'!DV42*Rates_current!$H$34), 0)</f>
        <v>14554.219999999994</v>
      </c>
      <c r="S40" s="251">
        <f>SUMPRODUCT('Staging Table'!CX42:DI42, LS_Demand_Rates_Restatement!$C$11:$N$11)*1000</f>
        <v>41458.859999999993</v>
      </c>
      <c r="T40" s="252">
        <f>'Staging Table'!EF42*IF(Init!$R$18="Yes",IF(Init!$R$6=2020,Rates_current!$C$88,Rates_current!$D$88),Rates_current!$H$33)</f>
        <v>0.54955763405250757</v>
      </c>
      <c r="U40" s="252">
        <f>IF(Init!$R$18="Yes",(SUM('Staging Table'!DL42:DU42)*IF('Staging Table'!$BT$1=2020, Rates_current!$C$87, Rates_current!$D$87)),0)</f>
        <v>11878.201678040274</v>
      </c>
      <c r="V40" s="252">
        <f>IF('Staging Table'!D42=1, 'Staging Table'!BV42*-1,SUM(P40:U40)*'Staging Table'!BV42*-1)</f>
        <v>0</v>
      </c>
      <c r="W40" s="250">
        <f>'Staging Table'!BY42*Rates_current!$H$32*-1</f>
        <v>0</v>
      </c>
      <c r="X40" s="250">
        <f>IF(Init!$R$12="No",0,'Staging Table'!$DW42*-1)</f>
        <v>0</v>
      </c>
      <c r="Y40" s="250">
        <f>IF('Staging Table'!C42=1,"",SUM(P40:X40))</f>
        <v>679493.22051567433</v>
      </c>
      <c r="Z40" s="250">
        <f>IF('Staging Table'!C42=1,"",(RT1SC!$C$4*'Staging Table'!BS42*'Staging Table'!$BT$2)+SUM('Staging Table'!BZ42:CW42)-IF(Init!$R$15="No",'Staging Table'!DV42, 0))</f>
        <v>17664.6586287104</v>
      </c>
      <c r="AA40" s="126">
        <f>IF('Staging Table'!C42=1,"",IF(Z40=0, 0, Y40/Z40))</f>
        <v>38.466252577974693</v>
      </c>
      <c r="AB40" s="118">
        <f ca="1">IF('Staging Table'!C42=1,"",(AA40/O40-1)+(RAND()/100000000000000))</f>
        <v>9.4529240094339245E-4</v>
      </c>
      <c r="AC40" s="79">
        <f t="shared" ca="1" si="0"/>
        <v>89</v>
      </c>
      <c r="AF40" s="255"/>
      <c r="AG40" s="255"/>
      <c r="AH40" s="271"/>
      <c r="AI40" s="255"/>
      <c r="AJ40" s="255"/>
    </row>
    <row r="41" spans="2:36">
      <c r="B41" s="3">
        <v>10101</v>
      </c>
      <c r="C41" s="4" t="s">
        <v>44</v>
      </c>
      <c r="D41" s="250">
        <f>IF(Init!$R$9="Yes",'Staging Table'!E43,'Staging Table'!BS43)*Rates_previous!$E$75*100*12</f>
        <v>27443430.636480004</v>
      </c>
      <c r="E41" s="250">
        <f>IF(Init!$R$9="Yes",'Staging Table'!F43,'Staging Table'!BT43)*Rates_previous!$E$76*100*12</f>
        <v>-3870121.0061999997</v>
      </c>
      <c r="F41" s="251">
        <f>IF(Init!$R$9="Yes",SUMPRODUCT('Staging Table'!L43:AI43,LS_Demand_Rates_Restatement!$C$4:$Z$4)-IF(Init!$R$15="No",('Staging Table'!BH43*Rates_previous!$H$34), 0),SUMPRODUCT('Staging Table'!BZ43:CW43,LS_Demand_Rates_Restatement!$C$4:$Z$4)-IF(Init!$R$15="No", 'Staging Table'!DV43*Rates_previous!$H$34, 0))</f>
        <v>556339.18237558135</v>
      </c>
      <c r="G41" s="251">
        <f>IF(Init!$R$9="Yes",SUMPRODUCT('Staging Table'!AJ43:AU43,LS_Demand_Rates_Restatement!$C$10:$N$10),SUMPRODUCT(LS_Demand_Rates_Restatement!$C$10:$N$10,'Staging Table'!CX43:DI43))*1000</f>
        <v>2161101.65</v>
      </c>
      <c r="H41" s="252">
        <f>IF(Init!$R$9="Yes",'Staging Table'!BR43,'Staging Table'!EF43)*IF(Init!$R$3=2018,Rates_previous!$C$88,Rates_previous!$D$88)</f>
        <v>0</v>
      </c>
      <c r="I41" s="250">
        <f>IF(Init!$R$9="Yes",IF('Staging Table'!$F$1=2018,(SUM('Staging Table'!BD43:BG43)*Rates_previous!$C$87),(SUM('Staging Table'!BD43:BG43)*Rates_previous!$D$87)),IF('Staging Table'!$F$1=2018,(SUM('Staging Table'!DR43:DU43)*Rates_previous!$C$87),(SUM('Staging Table'!DR43:DU43)*Rates_previous!$D$87)))</f>
        <v>150791.20258752099</v>
      </c>
      <c r="J41" s="252">
        <f>IF(Init!$R$9="Yes",IF('Staging Table'!D43=1,'Staging Table'!H43*-1,'Staging Table'!H43*SUM(D41:I41)*(-1)),IF('Staging Table'!D43=1,'Staging Table'!BV43*-1,'Staging Table'!BV43*SUM(D41:I41)*(-1)))</f>
        <v>-1490189.7610156045</v>
      </c>
      <c r="K41" s="250">
        <f>IF(Init!$R$9="Yes",'Staging Table'!K43,'Staging Table'!BY43)*(-1)*Rates_previous!$H$32</f>
        <v>0</v>
      </c>
      <c r="L41" s="250">
        <f>IF(Init!$R$12="No",0,'Staging Table'!$BI43*-1)</f>
        <v>-947867.86706278101</v>
      </c>
      <c r="M41" s="250">
        <f>IF('Staging Table'!C43=1,"",SUM(D41:L41))</f>
        <v>24003484.037164718</v>
      </c>
      <c r="N41" s="250">
        <f>IF('Staging Table'!C43=1,"",IF(Init!$R$9="Yes",(RT1SC!$C$3*'Staging Table'!E43*'Staging Table'!$F$2)+SUM('Staging Table'!L43:AI43)-IF(Init!$R$15="No",'Staging Table'!BH43, 0),Z41))</f>
        <v>655318.08000000007</v>
      </c>
      <c r="O41" s="126">
        <f>IF('Staging Table'!C43=1,"",IF(N41=0, 0, M41/N41))</f>
        <v>36.628752921275598</v>
      </c>
      <c r="P41" s="250">
        <f>'Staging Table'!BS43*Rates_current!$E$74*100*12</f>
        <v>25586922.651240002</v>
      </c>
      <c r="Q41" s="250">
        <f>'Staging Table'!BT43*Rates_current!$E$75*100*12</f>
        <v>-2588531.4642000003</v>
      </c>
      <c r="R41" s="251">
        <f>SUMPRODUCT('Staging Table'!BZ43:CW43, LS_Demand_Rates_Restatement!$C$5:$Z$5)-IF(Init!$R$15="No",('Staging Table'!DV43*Rates_current!$H$34), 0)</f>
        <v>610943.92296245554</v>
      </c>
      <c r="S41" s="251">
        <f>SUMPRODUCT('Staging Table'!CX43:DI43, LS_Demand_Rates_Restatement!$C$11:$N$11)*1000</f>
        <v>2370512.6099999994</v>
      </c>
      <c r="T41" s="252">
        <f>'Staging Table'!EF43*IF(Init!$R$18="Yes",IF(Init!$R$6=2020,Rates_current!$C$88,Rates_current!$D$88),Rates_current!$H$33)</f>
        <v>0</v>
      </c>
      <c r="U41" s="252">
        <f>IF(Init!$R$18="Yes",(SUM('Staging Table'!DL43:DU43)*IF('Staging Table'!$BT$1=2020, Rates_current!$C$87, Rates_current!$D$87)),0)</f>
        <v>446662.70152152918</v>
      </c>
      <c r="V41" s="252">
        <f>IF('Staging Table'!D43=1, 'Staging Table'!BV43*-1,SUM(P41:U41)*'Staging Table'!BV43*-1)</f>
        <v>-1351813.7861495118</v>
      </c>
      <c r="W41" s="250">
        <f>'Staging Table'!BY43*Rates_current!$H$32*-1</f>
        <v>0</v>
      </c>
      <c r="X41" s="250">
        <f>IF(Init!$R$12="No",0,'Staging Table'!$DW43*-1)</f>
        <v>0</v>
      </c>
      <c r="Y41" s="250">
        <f>IF('Staging Table'!C43=1,"",SUM(P41:X41))</f>
        <v>25074696.635374475</v>
      </c>
      <c r="Z41" s="250">
        <f>IF('Staging Table'!C43=1,"",(RT1SC!$C$4*'Staging Table'!BS43*'Staging Table'!$BT$2)+SUM('Staging Table'!BZ43:CW43)-IF(Init!$R$15="No",'Staging Table'!DV43, 0))</f>
        <v>664290</v>
      </c>
      <c r="AA41" s="126">
        <f>IF('Staging Table'!C43=1,"",IF(Z41=0, 0, Y41/Z41))</f>
        <v>37.74661162349949</v>
      </c>
      <c r="AB41" s="118">
        <f ca="1">IF('Staging Table'!C43=1,"",(AA41/O41-1)+(RAND()/100000000000000))</f>
        <v>3.0518612103085499E-2</v>
      </c>
      <c r="AC41" s="79">
        <f t="shared" ca="1" si="0"/>
        <v>14</v>
      </c>
      <c r="AF41" s="255"/>
      <c r="AG41" s="255"/>
      <c r="AH41" s="271"/>
      <c r="AI41" s="255"/>
      <c r="AJ41" s="255"/>
    </row>
    <row r="42" spans="2:36">
      <c r="B42" s="3">
        <v>10103</v>
      </c>
      <c r="C42" s="4" t="s">
        <v>45</v>
      </c>
      <c r="D42" s="250">
        <f>IF(Init!$R$9="Yes",'Staging Table'!E44,'Staging Table'!BS44)*Rates_previous!$E$75*100*12</f>
        <v>111775222.69056</v>
      </c>
      <c r="E42" s="250">
        <f>IF(Init!$R$9="Yes",'Staging Table'!F44,'Staging Table'!BT44)*Rates_previous!$E$76*100*12</f>
        <v>-7918376.0111999996</v>
      </c>
      <c r="F42" s="251">
        <f>IF(Init!$R$9="Yes",SUMPRODUCT('Staging Table'!L44:AI44,LS_Demand_Rates_Restatement!$C$4:$Z$4)-IF(Init!$R$15="No",('Staging Table'!BH44*Rates_previous!$H$34), 0),SUMPRODUCT('Staging Table'!BZ44:CW44,LS_Demand_Rates_Restatement!$C$4:$Z$4)-IF(Init!$R$15="No", 'Staging Table'!DV44*Rates_previous!$H$34, 0))</f>
        <v>389124.06000000017</v>
      </c>
      <c r="G42" s="251">
        <f>IF(Init!$R$9="Yes",SUMPRODUCT('Staging Table'!AJ44:AU44,LS_Demand_Rates_Restatement!$C$10:$N$10),SUMPRODUCT(LS_Demand_Rates_Restatement!$C$10:$N$10,'Staging Table'!CX44:DI44))*1000</f>
        <v>0</v>
      </c>
      <c r="H42" s="252">
        <f>IF(Init!$R$9="Yes",'Staging Table'!BR44,'Staging Table'!EF44)*IF(Init!$R$3=2018,Rates_previous!$C$88,Rates_previous!$D$88)</f>
        <v>0</v>
      </c>
      <c r="I42" s="250">
        <f>IF(Init!$R$9="Yes",IF('Staging Table'!$F$1=2018,(SUM('Staging Table'!BD44:BG44)*Rates_previous!$C$87),(SUM('Staging Table'!BD44:BG44)*Rates_previous!$D$87)),IF('Staging Table'!$F$1=2018,(SUM('Staging Table'!DR44:DU44)*Rates_previous!$C$87),(SUM('Staging Table'!DR44:DU44)*Rates_previous!$D$87)))</f>
        <v>308523.02534111537</v>
      </c>
      <c r="J42" s="252">
        <f>IF(Init!$R$9="Yes",IF('Staging Table'!D44=1,'Staging Table'!H44*-1,'Staging Table'!H44*SUM(D42:I42)*(-1)),IF('Staging Table'!D44=1,'Staging Table'!BV44*-1,'Staging Table'!BV44*SUM(D42:I42)*(-1)))</f>
        <v>0</v>
      </c>
      <c r="K42" s="250">
        <f>IF(Init!$R$9="Yes",'Staging Table'!K44,'Staging Table'!BY44)*(-1)*Rates_previous!$H$32</f>
        <v>0</v>
      </c>
      <c r="L42" s="250">
        <f>IF(Init!$R$12="No",0,'Staging Table'!$BI44*-1)</f>
        <v>-4076834.2519638757</v>
      </c>
      <c r="M42" s="250">
        <f>IF('Staging Table'!C44=1,"",SUM(D42:L42))</f>
        <v>100477659.51273724</v>
      </c>
      <c r="N42" s="250">
        <f>IF('Staging Table'!C44=1,"",IF(Init!$R$9="Yes",(RT1SC!$C$3*'Staging Table'!E44*'Staging Table'!$F$2)+SUM('Staging Table'!L44:AI44)-IF(Init!$R$15="No",'Staging Table'!BH44, 0),Z42))</f>
        <v>2670456.6600575037</v>
      </c>
      <c r="O42" s="126">
        <f>IF('Staging Table'!C44=1,"",IF(N42=0, 0, M42/N42))</f>
        <v>37.62564695978763</v>
      </c>
      <c r="P42" s="250">
        <f>'Staging Table'!BS44*Rates_current!$E$74*100*12</f>
        <v>102805436.01431999</v>
      </c>
      <c r="Q42" s="250">
        <f>'Staging Table'!BT44*Rates_current!$E$75*100*12</f>
        <v>-5153716.3986000009</v>
      </c>
      <c r="R42" s="251">
        <f>SUMPRODUCT('Staging Table'!BZ44:CW44, LS_Demand_Rates_Restatement!$C$5:$Z$5)-IF(Init!$R$15="No",('Staging Table'!DV44*Rates_current!$H$34), 0)</f>
        <v>265151.97000000015</v>
      </c>
      <c r="S42" s="251">
        <f>SUMPRODUCT('Staging Table'!CX44:DI44, LS_Demand_Rates_Restatement!$C$11:$N$11)*1000</f>
        <v>0</v>
      </c>
      <c r="T42" s="252">
        <f>'Staging Table'!EF44*IF(Init!$R$18="Yes",IF(Init!$R$6=2020,Rates_current!$C$88,Rates_current!$D$88),Rates_current!$H$33)</f>
        <v>0</v>
      </c>
      <c r="U42" s="252">
        <f>IF(Init!$R$18="Yes",(SUM('Staging Table'!DL44:DU44)*IF('Staging Table'!$BT$1=2020, Rates_current!$C$87, Rates_current!$D$87)),0)</f>
        <v>889296.85472682456</v>
      </c>
      <c r="V42" s="252">
        <f>IF('Staging Table'!D44=1, 'Staging Table'!BV44*-1,SUM(P42:U42)*'Staging Table'!BV44*-1)</f>
        <v>0</v>
      </c>
      <c r="W42" s="250">
        <f>'Staging Table'!BY44*Rates_current!$H$32*-1</f>
        <v>0</v>
      </c>
      <c r="X42" s="250">
        <f>IF(Init!$R$12="No",0,'Staging Table'!$DW44*-1)</f>
        <v>0</v>
      </c>
      <c r="Y42" s="250">
        <f>IF('Staging Table'!C44=1,"",SUM(P42:X42))</f>
        <v>98806168.440446809</v>
      </c>
      <c r="Z42" s="250">
        <f>IF('Staging Table'!C44=1,"",(RT1SC!$C$4*'Staging Table'!BS44*'Staging Table'!$BT$2)+SUM('Staging Table'!BZ44:CW44)-IF(Init!$R$15="No",'Staging Table'!DV44, 0))</f>
        <v>2663389.8654391295</v>
      </c>
      <c r="AA42" s="126">
        <f>IF('Staging Table'!C44=1,"",IF(Z42=0, 0, Y42/Z42))</f>
        <v>37.097899080634981</v>
      </c>
      <c r="AB42" s="118">
        <f ca="1">IF('Staging Table'!C44=1,"",(AA42/O42-1)+(RAND()/100000000000000))</f>
        <v>-1.4026280523930677E-2</v>
      </c>
      <c r="AC42" s="79">
        <f t="shared" ca="1" si="0"/>
        <v>105</v>
      </c>
      <c r="AF42" s="255"/>
      <c r="AG42" s="255"/>
      <c r="AH42" s="271"/>
      <c r="AI42" s="255"/>
      <c r="AJ42" s="255"/>
    </row>
    <row r="43" spans="2:36">
      <c r="B43" s="3">
        <v>10105</v>
      </c>
      <c r="C43" s="4" t="s">
        <v>46</v>
      </c>
      <c r="D43" s="250">
        <f>IF(Init!$R$9="Yes",'Staging Table'!E45,'Staging Table'!BS45)*Rates_previous!$E$75*100*12</f>
        <v>32123109.182400003</v>
      </c>
      <c r="E43" s="250">
        <f>IF(Init!$R$9="Yes",'Staging Table'!F45,'Staging Table'!BT45)*Rates_previous!$E$76*100*12</f>
        <v>-1922611.2431999999</v>
      </c>
      <c r="F43" s="251">
        <f>IF(Init!$R$9="Yes",SUMPRODUCT('Staging Table'!L45:AI45,LS_Demand_Rates_Restatement!$C$4:$Z$4)-IF(Init!$R$15="No",('Staging Table'!BH45*Rates_previous!$H$34), 0),SUMPRODUCT('Staging Table'!BZ45:CW45,LS_Demand_Rates_Restatement!$C$4:$Z$4)-IF(Init!$R$15="No", 'Staging Table'!DV45*Rates_previous!$H$34, 0))</f>
        <v>19083.225000000042</v>
      </c>
      <c r="G43" s="251">
        <f>IF(Init!$R$9="Yes",SUMPRODUCT('Staging Table'!AJ45:AU45,LS_Demand_Rates_Restatement!$C$10:$N$10),SUMPRODUCT(LS_Demand_Rates_Restatement!$C$10:$N$10,'Staging Table'!CX45:DI45))*1000</f>
        <v>0</v>
      </c>
      <c r="H43" s="252">
        <f>IF(Init!$R$9="Yes",'Staging Table'!BR45,'Staging Table'!EF45)*IF(Init!$R$3=2018,Rates_previous!$C$88,Rates_previous!$D$88)</f>
        <v>0</v>
      </c>
      <c r="I43" s="250">
        <f>IF(Init!$R$9="Yes",IF('Staging Table'!$F$1=2018,(SUM('Staging Table'!BD45:BG45)*Rates_previous!$C$87),(SUM('Staging Table'!BD45:BG45)*Rates_previous!$D$87)),IF('Staging Table'!$F$1=2018,(SUM('Staging Table'!DR45:DU45)*Rates_previous!$C$87),(SUM('Staging Table'!DR45:DU45)*Rates_previous!$D$87)))</f>
        <v>74910.541816643818</v>
      </c>
      <c r="J43" s="252">
        <f>IF(Init!$R$9="Yes",IF('Staging Table'!D45=1,'Staging Table'!H45*-1,'Staging Table'!H45*SUM(D43:I43)*(-1)),IF('Staging Table'!D45=1,'Staging Table'!BV45*-1,'Staging Table'!BV45*SUM(D43:I43)*(-1)))</f>
        <v>0</v>
      </c>
      <c r="K43" s="250">
        <f>IF(Init!$R$9="Yes",'Staging Table'!K45,'Staging Table'!BY45)*(-1)*Rates_previous!$H$32</f>
        <v>0</v>
      </c>
      <c r="L43" s="250">
        <f>IF(Init!$R$12="No",0,'Staging Table'!$BI45*-1)</f>
        <v>-1100156.3819007562</v>
      </c>
      <c r="M43" s="250">
        <f>IF('Staging Table'!C45=1,"",SUM(D43:L43))</f>
        <v>29194335.324115891</v>
      </c>
      <c r="N43" s="250">
        <f>IF('Staging Table'!C45=1,"",IF(Init!$R$9="Yes",(RT1SC!$C$3*'Staging Table'!E45*'Staging Table'!$F$2)+SUM('Staging Table'!L45:AI45)-IF(Init!$R$15="No",'Staging Table'!BH45, 0),Z43))</f>
        <v>767402.93532915995</v>
      </c>
      <c r="O43" s="126">
        <f>IF('Staging Table'!C45=1,"",IF(N43=0, 0, M43/N43))</f>
        <v>38.04303317082524</v>
      </c>
      <c r="P43" s="250">
        <f>'Staging Table'!BS45*Rates_current!$E$74*100*12</f>
        <v>29545493.543399997</v>
      </c>
      <c r="Q43" s="250">
        <f>'Staging Table'!BT45*Rates_current!$E$75*100*12</f>
        <v>-1245012.0077999998</v>
      </c>
      <c r="R43" s="251">
        <f>SUMPRODUCT('Staging Table'!BZ45:CW45, LS_Demand_Rates_Restatement!$C$5:$Z$5)-IF(Init!$R$15="No",('Staging Table'!DV45*Rates_current!$H$34), 0)</f>
        <v>-23770.519999999968</v>
      </c>
      <c r="S43" s="251">
        <f>SUMPRODUCT('Staging Table'!CX45:DI45, LS_Demand_Rates_Restatement!$C$11:$N$11)*1000</f>
        <v>0</v>
      </c>
      <c r="T43" s="252">
        <f>'Staging Table'!EF45*IF(Init!$R$18="Yes",IF(Init!$R$6=2020,Rates_current!$C$88,Rates_current!$D$88),Rates_current!$H$33)</f>
        <v>0</v>
      </c>
      <c r="U43" s="252">
        <f>IF(Init!$R$18="Yes",(SUM('Staging Table'!DL45:DU45)*IF('Staging Table'!$BT$1=2020, Rates_current!$C$87, Rates_current!$D$87)),0)</f>
        <v>214832.39996178949</v>
      </c>
      <c r="V43" s="252">
        <f>IF('Staging Table'!D45=1, 'Staging Table'!BV45*-1,SUM(P43:U43)*'Staging Table'!BV45*-1)</f>
        <v>0</v>
      </c>
      <c r="W43" s="250">
        <f>'Staging Table'!BY45*Rates_current!$H$32*-1</f>
        <v>0</v>
      </c>
      <c r="X43" s="250">
        <f>IF(Init!$R$12="No",0,'Staging Table'!$DW45*-1)</f>
        <v>0</v>
      </c>
      <c r="Y43" s="250">
        <f>IF('Staging Table'!C45=1,"",SUM(P43:X43))</f>
        <v>28491543.415561788</v>
      </c>
      <c r="Z43" s="250">
        <f>IF('Staging Table'!C45=1,"",(RT1SC!$C$4*'Staging Table'!BS45*'Staging Table'!$BT$2)+SUM('Staging Table'!BZ45:CW45)-IF(Init!$R$15="No",'Staging Table'!DV45, 0))</f>
        <v>765181.74063155195</v>
      </c>
      <c r="AA43" s="126">
        <f>IF('Staging Table'!C45=1,"",IF(Z43=0, 0, Y43/Z43))</f>
        <v>37.235001703054166</v>
      </c>
      <c r="AB43" s="118">
        <f ca="1">IF('Staging Table'!C45=1,"",(AA43/O43-1)+(RAND()/100000000000000))</f>
        <v>-2.1239932792495454E-2</v>
      </c>
      <c r="AC43" s="79">
        <f t="shared" ca="1" si="0"/>
        <v>114</v>
      </c>
      <c r="AF43" s="255"/>
      <c r="AG43" s="255"/>
      <c r="AH43" s="271"/>
      <c r="AI43" s="255"/>
      <c r="AJ43" s="255"/>
    </row>
    <row r="44" spans="2:36">
      <c r="B44" s="3">
        <v>10106</v>
      </c>
      <c r="C44" s="4" t="s">
        <v>47</v>
      </c>
      <c r="D44" s="250">
        <f>IF(Init!$R$9="Yes",'Staging Table'!E46,'Staging Table'!BS46)*Rates_previous!$E$75*100*12</f>
        <v>8619495.0220799986</v>
      </c>
      <c r="E44" s="250">
        <f>IF(Init!$R$9="Yes",'Staging Table'!F46,'Staging Table'!BT46)*Rates_previous!$E$76*100*12</f>
        <v>-1215536.3951999999</v>
      </c>
      <c r="F44" s="251">
        <f>IF(Init!$R$9="Yes",SUMPRODUCT('Staging Table'!L46:AI46,LS_Demand_Rates_Restatement!$C$4:$Z$4)-IF(Init!$R$15="No",('Staging Table'!BH46*Rates_previous!$H$34), 0),SUMPRODUCT('Staging Table'!BZ46:CW46,LS_Demand_Rates_Restatement!$C$4:$Z$4)-IF(Init!$R$15="No", 'Staging Table'!DV46*Rates_previous!$H$34, 0))</f>
        <v>0</v>
      </c>
      <c r="G44" s="251">
        <f>IF(Init!$R$9="Yes",SUMPRODUCT('Staging Table'!AJ46:AU46,LS_Demand_Rates_Restatement!$C$10:$N$10),SUMPRODUCT(LS_Demand_Rates_Restatement!$C$10:$N$10,'Staging Table'!CX46:DI46))*1000</f>
        <v>0</v>
      </c>
      <c r="H44" s="252">
        <f>IF(Init!$R$9="Yes",'Staging Table'!BR46,'Staging Table'!EF46)*IF(Init!$R$3=2018,Rates_previous!$C$88,Rates_previous!$D$88)</f>
        <v>0</v>
      </c>
      <c r="I44" s="250">
        <f>IF(Init!$R$9="Yes",IF('Staging Table'!$F$1=2018,(SUM('Staging Table'!BD46:BG46)*Rates_previous!$C$87),(SUM('Staging Table'!BD46:BG46)*Rates_previous!$D$87)),IF('Staging Table'!$F$1=2018,(SUM('Staging Table'!DR46:DU46)*Rates_previous!$C$87),(SUM('Staging Table'!DR46:DU46)*Rates_previous!$D$87)))</f>
        <v>47360.843376078155</v>
      </c>
      <c r="J44" s="252">
        <f>IF(Init!$R$9="Yes",IF('Staging Table'!D46=1,'Staging Table'!H46*-1,'Staging Table'!H46*SUM(D44:I44)*(-1)),IF('Staging Table'!D46=1,'Staging Table'!BV46*-1,'Staging Table'!BV46*SUM(D44:I44)*(-1)))</f>
        <v>-523213.02490270603</v>
      </c>
      <c r="K44" s="250">
        <f>IF(Init!$R$9="Yes",'Staging Table'!K46,'Staging Table'!BY46)*(-1)*Rates_previous!$H$32</f>
        <v>0</v>
      </c>
      <c r="L44" s="250">
        <f>IF(Init!$R$12="No",0,'Staging Table'!$BI46*-1)</f>
        <v>-260035.52408878764</v>
      </c>
      <c r="M44" s="250" t="str">
        <f>IF('Staging Table'!C46=1,"",SUM(D44:L44))</f>
        <v/>
      </c>
      <c r="N44" s="250" t="str">
        <f>IF('Staging Table'!C46=1,"",IF(Init!$R$9="Yes",(RT1SC!$C$3*'Staging Table'!E46*'Staging Table'!$F$2)+SUM('Staging Table'!L46:AI46)-IF(Init!$R$15="No",'Staging Table'!BH46, 0),Z44))</f>
        <v/>
      </c>
      <c r="O44" s="126" t="str">
        <f>IF('Staging Table'!C46=1,"",IF(N44=0, 0, M44/N44))</f>
        <v/>
      </c>
      <c r="P44" s="250">
        <f>'Staging Table'!BS46*Rates_current!$E$74*100*12</f>
        <v>8011970.6619600002</v>
      </c>
      <c r="Q44" s="250">
        <f>'Staging Table'!BT46*Rates_current!$E$75*100*12</f>
        <v>-810540.54180000001</v>
      </c>
      <c r="R44" s="251">
        <f>SUMPRODUCT('Staging Table'!BZ46:CW46, LS_Demand_Rates_Restatement!$C$5:$Z$5)-IF(Init!$R$15="No",('Staging Table'!DV46*Rates_current!$H$34), 0)</f>
        <v>0</v>
      </c>
      <c r="S44" s="251">
        <f>SUMPRODUCT('Staging Table'!CX46:DI46, LS_Demand_Rates_Restatement!$C$11:$N$11)*1000</f>
        <v>0</v>
      </c>
      <c r="T44" s="252">
        <f>'Staging Table'!EF46*IF(Init!$R$18="Yes",IF(Init!$R$6=2020,Rates_current!$C$88,Rates_current!$D$88),Rates_current!$H$33)</f>
        <v>46.337697478895421</v>
      </c>
      <c r="U44" s="252">
        <f>IF(Init!$R$18="Yes",(SUM('Staging Table'!DL46:DU46)*IF('Staging Table'!$BT$1=2020, Rates_current!$C$87, Rates_current!$D$87)),0)</f>
        <v>139862.40194495828</v>
      </c>
      <c r="V44" s="252">
        <f>IF('Staging Table'!D46=1, 'Staging Table'!BV46*-1,SUM(P44:U44)*'Staging Table'!BV46*-1)</f>
        <v>-513893.72018617071</v>
      </c>
      <c r="W44" s="250">
        <f>'Staging Table'!BY46*Rates_current!$H$32*-1</f>
        <v>0</v>
      </c>
      <c r="X44" s="250">
        <f>IF(Init!$R$12="No",0,'Staging Table'!$DW46*-1)</f>
        <v>0</v>
      </c>
      <c r="Y44" s="250" t="str">
        <f>IF('Staging Table'!C46=1,"",SUM(P44:X44))</f>
        <v/>
      </c>
      <c r="Z44" s="250" t="str">
        <f>IF('Staging Table'!C46=1,"",(RT1SC!$C$4*'Staging Table'!BS46*'Staging Table'!$BT$2)+SUM('Staging Table'!BZ46:CW46)-IF(Init!$R$15="No",'Staging Table'!DV46, 0))</f>
        <v/>
      </c>
      <c r="AA44" s="126" t="str">
        <f>IF('Staging Table'!C46=1,"",IF(Z44=0, 0, Y44/Z44))</f>
        <v/>
      </c>
      <c r="AB44" s="118" t="str">
        <f ca="1">IF('Staging Table'!C46=1,"",(AA44/O44-1)+(RAND()/100000000000000))</f>
        <v/>
      </c>
      <c r="AC44" s="79" t="str">
        <f t="shared" ca="1" si="0"/>
        <v/>
      </c>
      <c r="AF44" s="255"/>
      <c r="AG44" s="255"/>
      <c r="AH44" s="271"/>
      <c r="AI44" s="255"/>
      <c r="AJ44" s="255"/>
    </row>
    <row r="45" spans="2:36">
      <c r="B45" s="3">
        <v>10109</v>
      </c>
      <c r="C45" s="4" t="s">
        <v>48</v>
      </c>
      <c r="D45" s="250">
        <f>IF(Init!$R$9="Yes",'Staging Table'!E47,'Staging Table'!BS47)*Rates_previous!$E$75*100*12</f>
        <v>4374459.9648000002</v>
      </c>
      <c r="E45" s="250">
        <f>IF(Init!$R$9="Yes",'Staging Table'!F47,'Staging Table'!BT47)*Rates_previous!$E$76*100*12</f>
        <v>-616894.06200000003</v>
      </c>
      <c r="F45" s="251">
        <f>IF(Init!$R$9="Yes",SUMPRODUCT('Staging Table'!L47:AI47,LS_Demand_Rates_Restatement!$C$4:$Z$4)-IF(Init!$R$15="No",('Staging Table'!BH47*Rates_previous!$H$34), 0),SUMPRODUCT('Staging Table'!BZ47:CW47,LS_Demand_Rates_Restatement!$C$4:$Z$4)-IF(Init!$R$15="No", 'Staging Table'!DV47*Rates_previous!$H$34, 0))</f>
        <v>-195697.56999999998</v>
      </c>
      <c r="G45" s="251">
        <f>IF(Init!$R$9="Yes",SUMPRODUCT('Staging Table'!AJ47:AU47,LS_Demand_Rates_Restatement!$C$10:$N$10),SUMPRODUCT(LS_Demand_Rates_Restatement!$C$10:$N$10,'Staging Table'!CX47:DI47))*1000</f>
        <v>388665.52000000008</v>
      </c>
      <c r="H45" s="252">
        <f>IF(Init!$R$9="Yes",'Staging Table'!BR47,'Staging Table'!EF47)*IF(Init!$R$3=2018,Rates_previous!$C$88,Rates_previous!$D$88)</f>
        <v>0</v>
      </c>
      <c r="I45" s="250">
        <f>IF(Init!$R$9="Yes",IF('Staging Table'!$F$1=2018,(SUM('Staging Table'!BD47:BG47)*Rates_previous!$C$87),(SUM('Staging Table'!BD47:BG47)*Rates_previous!$D$87)),IF('Staging Table'!$F$1=2018,(SUM('Staging Table'!DR47:DU47)*Rates_previous!$C$87),(SUM('Staging Table'!DR47:DU47)*Rates_previous!$D$87)))</f>
        <v>24035.991982952881</v>
      </c>
      <c r="J45" s="252">
        <f>IF(Init!$R$9="Yes",IF('Staging Table'!D47=1,'Staging Table'!H47*-1,'Staging Table'!H47*SUM(D45:I45)*(-1)),IF('Staging Table'!D47=1,'Staging Table'!BV47*-1,'Staging Table'!BV47*SUM(D45:I45)*(-1)))</f>
        <v>-330392.08020235016</v>
      </c>
      <c r="K45" s="250">
        <f>IF(Init!$R$9="Yes",'Staging Table'!K47,'Staging Table'!BY47)*(-1)*Rates_previous!$H$32</f>
        <v>-248139.93960000004</v>
      </c>
      <c r="L45" s="250">
        <f>IF(Init!$R$12="No",0,'Staging Table'!$BI47*-1)</f>
        <v>-68108.813897606262</v>
      </c>
      <c r="M45" s="250">
        <f>IF('Staging Table'!C47=1,"",SUM(D45:L45))</f>
        <v>3327929.0110829961</v>
      </c>
      <c r="N45" s="250">
        <f>IF('Staging Table'!C47=1,"",IF(Init!$R$9="Yes",(RT1SC!$C$3*'Staging Table'!E47*'Staging Table'!$F$2)+SUM('Staging Table'!L47:AI47)-IF(Init!$R$15="No",'Staging Table'!BH47, 0),Z45))</f>
        <v>98071.873098319993</v>
      </c>
      <c r="O45" s="126">
        <f>IF('Staging Table'!C47=1,"",IF(N45=0, 0, M45/N45))</f>
        <v>33.933572449938296</v>
      </c>
      <c r="P45" s="250">
        <f>'Staging Table'!BS47*Rates_current!$E$74*100*12</f>
        <v>4078354.7376000001</v>
      </c>
      <c r="Q45" s="250">
        <f>'Staging Table'!BT47*Rates_current!$E$75*100*12</f>
        <v>-412591.60800000001</v>
      </c>
      <c r="R45" s="251">
        <f>SUMPRODUCT('Staging Table'!BZ47:CW47, LS_Demand_Rates_Restatement!$C$5:$Z$5)-IF(Init!$R$15="No",('Staging Table'!DV47*Rates_current!$H$34), 0)</f>
        <v>-97073.76999999996</v>
      </c>
      <c r="S45" s="251">
        <f>SUMPRODUCT('Staging Table'!CX47:DI47, LS_Demand_Rates_Restatement!$C$11:$N$11)*1000</f>
        <v>425857.21999999991</v>
      </c>
      <c r="T45" s="252">
        <f>'Staging Table'!EF47*IF(Init!$R$18="Yes",IF(Init!$R$6=2020,Rates_current!$C$88,Rates_current!$D$88),Rates_current!$H$33)</f>
        <v>0</v>
      </c>
      <c r="U45" s="252">
        <f>IF(Init!$R$18="Yes",(SUM('Staging Table'!DL47:DU47)*IF('Staging Table'!$BT$1=2020, Rates_current!$C$87, Rates_current!$D$87)),0)</f>
        <v>71194.530490803736</v>
      </c>
      <c r="V45" s="252">
        <f>IF('Staging Table'!D47=1, 'Staging Table'!BV47*-1,SUM(P45:U45)*'Staging Table'!BV47*-1)</f>
        <v>-322237.22344013379</v>
      </c>
      <c r="W45" s="250">
        <f>'Staging Table'!BY47*Rates_current!$H$32*-1</f>
        <v>-234424.72185000003</v>
      </c>
      <c r="X45" s="250">
        <f>IF(Init!$R$12="No",0,'Staging Table'!$DW47*-1)</f>
        <v>0</v>
      </c>
      <c r="Y45" s="250">
        <f>IF('Staging Table'!C47=1,"",SUM(P45:X45))</f>
        <v>3509079.1648006695</v>
      </c>
      <c r="Z45" s="250">
        <f>IF('Staging Table'!C47=1,"",(RT1SC!$C$4*'Staging Table'!BS47*'Staging Table'!$BT$2)+SUM('Staging Table'!BZ47:CW47)-IF(Init!$R$15="No",'Staging Table'!DV47, 0))</f>
        <v>103659.88580812799</v>
      </c>
      <c r="AA45" s="126">
        <f>IF('Staging Table'!C47=1,"",IF(Z45=0, 0, Y45/Z45))</f>
        <v>33.851852502480007</v>
      </c>
      <c r="AB45" s="118">
        <f ca="1">IF('Staging Table'!C47=1,"",(AA45/O45-1)+(RAND()/100000000000000))</f>
        <v>-2.4082329550985273E-3</v>
      </c>
      <c r="AC45" s="79">
        <f t="shared" ca="1" si="0"/>
        <v>101</v>
      </c>
      <c r="AF45" s="255"/>
      <c r="AG45" s="255"/>
      <c r="AH45" s="271"/>
      <c r="AI45" s="255"/>
      <c r="AJ45" s="255"/>
    </row>
    <row r="46" spans="2:36">
      <c r="B46" s="3">
        <v>10111</v>
      </c>
      <c r="C46" s="4" t="s">
        <v>49</v>
      </c>
      <c r="D46" s="250">
        <f>IF(Init!$R$9="Yes",'Staging Table'!E48,'Staging Table'!BS48)*Rates_previous!$E$75*100*12</f>
        <v>1082277.5731200003</v>
      </c>
      <c r="E46" s="250">
        <f>IF(Init!$R$9="Yes",'Staging Table'!F48,'Staging Table'!BT48)*Rates_previous!$E$76*100*12</f>
        <v>-152624.69280000002</v>
      </c>
      <c r="F46" s="251">
        <f>IF(Init!$R$9="Yes",SUMPRODUCT('Staging Table'!L48:AI48,LS_Demand_Rates_Restatement!$C$4:$Z$4)-IF(Init!$R$15="No",('Staging Table'!BH48*Rates_previous!$H$34), 0),SUMPRODUCT('Staging Table'!BZ48:CW48,LS_Demand_Rates_Restatement!$C$4:$Z$4)-IF(Init!$R$15="No", 'Staging Table'!DV48*Rates_previous!$H$34, 0))</f>
        <v>26291.620000000006</v>
      </c>
      <c r="G46" s="251">
        <f>IF(Init!$R$9="Yes",SUMPRODUCT('Staging Table'!AJ48:AU48,LS_Demand_Rates_Restatement!$C$10:$N$10),SUMPRODUCT(LS_Demand_Rates_Restatement!$C$10:$N$10,'Staging Table'!CX48:DI48))*1000</f>
        <v>78914.8</v>
      </c>
      <c r="H46" s="252">
        <f>IF(Init!$R$9="Yes",'Staging Table'!BR48,'Staging Table'!EF48)*IF(Init!$R$3=2018,Rates_previous!$C$88,Rates_previous!$D$88)</f>
        <v>11870.135855747842</v>
      </c>
      <c r="I46" s="250">
        <f>IF(Init!$R$9="Yes",IF('Staging Table'!$F$1=2018,(SUM('Staging Table'!BD48:BG48)*Rates_previous!$C$87),(SUM('Staging Table'!BD48:BG48)*Rates_previous!$D$87)),IF('Staging Table'!$F$1=2018,(SUM('Staging Table'!DR48:DU48)*Rates_previous!$C$87),(SUM('Staging Table'!DR48:DU48)*Rates_previous!$D$87)))</f>
        <v>5946.7031999757628</v>
      </c>
      <c r="J46" s="252">
        <f>IF(Init!$R$9="Yes",IF('Staging Table'!D48=1,'Staging Table'!H48*-1,'Staging Table'!H48*SUM(D46:I46)*(-1)),IF('Staging Table'!D48=1,'Staging Table'!BV48*-1,'Staging Table'!BV48*SUM(D46:I46)*(-1)))</f>
        <v>-73687.329756300678</v>
      </c>
      <c r="K46" s="250">
        <f>IF(Init!$R$9="Yes",'Staging Table'!K48,'Staging Table'!BY48)*(-1)*Rates_previous!$H$32</f>
        <v>-61477.152239999996</v>
      </c>
      <c r="L46" s="250">
        <f>IF(Init!$R$12="No",0,'Staging Table'!$BI48*-1)</f>
        <v>-16850.683834422329</v>
      </c>
      <c r="M46" s="250">
        <f>IF('Staging Table'!C48=1,"",SUM(D46:L46))</f>
        <v>900660.97354500089</v>
      </c>
      <c r="N46" s="250">
        <f>IF('Staging Table'!C48=1,"",IF(Init!$R$9="Yes",(RT1SC!$C$3*'Staging Table'!E48*'Staging Table'!$F$2)+SUM('Staging Table'!L48:AI48)-IF(Init!$R$15="No",'Staging Table'!BH48, 0),Z46))</f>
        <v>26756.494287808</v>
      </c>
      <c r="O46" s="126">
        <f>IF('Staging Table'!C48=1,"",IF(N46=0, 0, M46/N46))</f>
        <v>33.661396887685719</v>
      </c>
      <c r="P46" s="250">
        <f>'Staging Table'!BS48*Rates_current!$E$74*100*12</f>
        <v>1030521.33696</v>
      </c>
      <c r="Q46" s="250">
        <f>'Staging Table'!BT48*Rates_current!$E$75*100*12</f>
        <v>-104253.91680000001</v>
      </c>
      <c r="R46" s="251">
        <f>SUMPRODUCT('Staging Table'!BZ48:CW48, LS_Demand_Rates_Restatement!$C$5:$Z$5)-IF(Init!$R$15="No",('Staging Table'!DV48*Rates_current!$H$34), 0)</f>
        <v>6473.7799999999988</v>
      </c>
      <c r="S46" s="251">
        <f>SUMPRODUCT('Staging Table'!CX48:DI48, LS_Demand_Rates_Restatement!$C$11:$N$11)*1000</f>
        <v>88235.209999999992</v>
      </c>
      <c r="T46" s="252">
        <f>'Staging Table'!EF48*IF(Init!$R$18="Yes",IF(Init!$R$6=2020,Rates_current!$C$88,Rates_current!$D$88),Rates_current!$H$33)</f>
        <v>-8.0509508413105504</v>
      </c>
      <c r="U46" s="252">
        <f>IF(Init!$R$18="Yes",(SUM('Staging Table'!DL48:DU48)*IF('Staging Table'!$BT$1=2020, Rates_current!$C$87, Rates_current!$D$87)),0)</f>
        <v>17989.480431708915</v>
      </c>
      <c r="V46" s="252">
        <f>IF('Staging Table'!D48=1, 'Staging Table'!BV48*-1,SUM(P46:U46)*'Staging Table'!BV48*-1)</f>
        <v>-72727.048774860741</v>
      </c>
      <c r="W46" s="250">
        <f>'Staging Table'!BY48*Rates_current!$H$32*-1</f>
        <v>-58079.180389999994</v>
      </c>
      <c r="X46" s="250">
        <f>IF(Init!$R$12="No",0,'Staging Table'!$DW48*-1)</f>
        <v>0</v>
      </c>
      <c r="Y46" s="250">
        <f>IF('Staging Table'!C48=1,"",SUM(P46:X46))</f>
        <v>908151.61047600687</v>
      </c>
      <c r="Z46" s="250">
        <f>IF('Staging Table'!C48=1,"",(RT1SC!$C$4*'Staging Table'!BS48*'Staging Table'!$BT$2)+SUM('Staging Table'!BZ48:CW48)-IF(Init!$R$15="No",'Staging Table'!DV48, 0))</f>
        <v>26755.556693708801</v>
      </c>
      <c r="AA46" s="126">
        <f>IF('Staging Table'!C48=1,"",IF(Z46=0, 0, Y46/Z46))</f>
        <v>33.942542137033769</v>
      </c>
      <c r="AB46" s="118">
        <f ca="1">IF('Staging Table'!C48=1,"",(AA46/O46-1)+(RAND()/100000000000000))</f>
        <v>8.3521563376110705E-3</v>
      </c>
      <c r="AC46" s="79">
        <f t="shared" ca="1" si="0"/>
        <v>73</v>
      </c>
      <c r="AF46" s="255"/>
      <c r="AG46" s="255"/>
      <c r="AH46" s="271"/>
      <c r="AI46" s="255"/>
      <c r="AJ46" s="255"/>
    </row>
    <row r="47" spans="2:36">
      <c r="B47" s="3">
        <v>10112</v>
      </c>
      <c r="C47" s="4" t="s">
        <v>50</v>
      </c>
      <c r="D47" s="250">
        <f>IF(Init!$R$9="Yes",'Staging Table'!E49,'Staging Table'!BS49)*Rates_previous!$E$75*100*12</f>
        <v>20555885.459520001</v>
      </c>
      <c r="E47" s="250">
        <f>IF(Init!$R$9="Yes",'Staging Table'!F49,'Staging Table'!BT49)*Rates_previous!$E$76*100*12</f>
        <v>-2898827.2338000005</v>
      </c>
      <c r="F47" s="251">
        <f>IF(Init!$R$9="Yes",SUMPRODUCT('Staging Table'!L49:AI49,LS_Demand_Rates_Restatement!$C$4:$Z$4)-IF(Init!$R$15="No",('Staging Table'!BH49*Rates_previous!$H$34), 0),SUMPRODUCT('Staging Table'!BZ49:CW49,LS_Demand_Rates_Restatement!$C$4:$Z$4)-IF(Init!$R$15="No", 'Staging Table'!DV49*Rates_previous!$H$34, 0))</f>
        <v>-83685.67999999992</v>
      </c>
      <c r="G47" s="251">
        <f>IF(Init!$R$9="Yes",SUMPRODUCT('Staging Table'!AJ49:AU49,LS_Demand_Rates_Restatement!$C$10:$N$10),SUMPRODUCT(LS_Demand_Rates_Restatement!$C$10:$N$10,'Staging Table'!CX49:DI49))*1000</f>
        <v>980605.74999999988</v>
      </c>
      <c r="H47" s="252">
        <f>IF(Init!$R$9="Yes",'Staging Table'!BR49,'Staging Table'!EF49)*IF(Init!$R$3=2018,Rates_previous!$C$88,Rates_previous!$D$88)</f>
        <v>-159733.37788462761</v>
      </c>
      <c r="I47" s="250">
        <f>IF(Init!$R$9="Yes",IF('Staging Table'!$F$1=2018,(SUM('Staging Table'!BD49:BG49)*Rates_previous!$C$87),(SUM('Staging Table'!BD49:BG49)*Rates_previous!$D$87)),IF('Staging Table'!$F$1=2018,(SUM('Staging Table'!DR49:DU49)*Rates_previous!$C$87),(SUM('Staging Table'!DR49:DU49)*Rates_previous!$D$87)))</f>
        <v>112946.76419106509</v>
      </c>
      <c r="J47" s="252">
        <f>IF(Init!$R$9="Yes",IF('Staging Table'!D49=1,'Staging Table'!H49*-1,'Staging Table'!H49*SUM(D47:I47)*(-1)),IF('Staging Table'!D49=1,'Staging Table'!BV49*-1,'Staging Table'!BV49*SUM(D47:I47)*(-1)))</f>
        <v>0</v>
      </c>
      <c r="K47" s="250">
        <f>IF(Init!$R$9="Yes",'Staging Table'!K49,'Staging Table'!BY49)*(-1)*Rates_previous!$H$32</f>
        <v>0</v>
      </c>
      <c r="L47" s="250">
        <f>IF(Init!$R$12="No",0,'Staging Table'!$BI49*-1)</f>
        <v>-585492.23640435282</v>
      </c>
      <c r="M47" s="250">
        <f>IF('Staging Table'!C49=1,"",SUM(D47:L47))</f>
        <v>17921699.445622087</v>
      </c>
      <c r="N47" s="250">
        <f>IF('Staging Table'!C49=1,"",IF(Init!$R$9="Yes",(RT1SC!$C$3*'Staging Table'!E49*'Staging Table'!$F$2)+SUM('Staging Table'!L49:AI49)-IF(Init!$R$15="No",'Staging Table'!BH49, 0),Z47))</f>
        <v>478542.964600568</v>
      </c>
      <c r="O47" s="126">
        <f>IF('Staging Table'!C49=1,"",IF(N47=0, 0, M47/N47))</f>
        <v>37.450554644724612</v>
      </c>
      <c r="P47" s="250">
        <f>'Staging Table'!BS49*Rates_current!$E$74*100*12</f>
        <v>18432452.216159999</v>
      </c>
      <c r="Q47" s="250">
        <f>'Staging Table'!BT49*Rates_current!$E$75*100*12</f>
        <v>-1864740.9527999999</v>
      </c>
      <c r="R47" s="251">
        <f>SUMPRODUCT('Staging Table'!BZ49:CW49, LS_Demand_Rates_Restatement!$C$5:$Z$5)-IF(Init!$R$15="No",('Staging Table'!DV49*Rates_current!$H$34), 0)</f>
        <v>228078.3</v>
      </c>
      <c r="S47" s="251">
        <f>SUMPRODUCT('Staging Table'!CX49:DI49, LS_Demand_Rates_Restatement!$C$11:$N$11)*1000</f>
        <v>1106361.03</v>
      </c>
      <c r="T47" s="252">
        <f>'Staging Table'!EF49*IF(Init!$R$18="Yes",IF(Init!$R$6=2020,Rates_current!$C$88,Rates_current!$D$88),Rates_current!$H$33)</f>
        <v>26.684882634791428</v>
      </c>
      <c r="U47" s="252">
        <f>IF(Init!$R$18="Yes",(SUM('Staging Table'!DL49:DU49)*IF('Staging Table'!$BT$1=2020, Rates_current!$C$87, Rates_current!$D$87)),0)</f>
        <v>321769.40598745772</v>
      </c>
      <c r="V47" s="252">
        <f>IF('Staging Table'!D49=1, 'Staging Table'!BV49*-1,SUM(P47:U47)*'Staging Table'!BV49*-1)</f>
        <v>0</v>
      </c>
      <c r="W47" s="250">
        <f>'Staging Table'!BY49*Rates_current!$H$32*-1</f>
        <v>0</v>
      </c>
      <c r="X47" s="250">
        <f>IF(Init!$R$12="No",0,'Staging Table'!$DW49*-1)</f>
        <v>0</v>
      </c>
      <c r="Y47" s="250">
        <f>IF('Staging Table'!C49=1,"",SUM(P47:X47))</f>
        <v>18223946.684230089</v>
      </c>
      <c r="Z47" s="250">
        <f>IF('Staging Table'!C49=1,"",(RT1SC!$C$4*'Staging Table'!BS49*'Staging Table'!$BT$2)+SUM('Staging Table'!BZ49:CW49)-IF(Init!$R$15="No",'Staging Table'!DV49, 0))</f>
        <v>478545.21746708476</v>
      </c>
      <c r="AA47" s="126">
        <f>IF('Staging Table'!C49=1,"",IF(Z47=0, 0, Y47/Z47))</f>
        <v>38.081974323531021</v>
      </c>
      <c r="AB47" s="118">
        <f ca="1">IF('Staging Table'!C49=1,"",(AA47/O47-1)+(RAND()/100000000000000))</f>
        <v>1.6860088850391804E-2</v>
      </c>
      <c r="AC47" s="79">
        <f t="shared" ca="1" si="0"/>
        <v>60</v>
      </c>
      <c r="AF47" s="255"/>
      <c r="AG47" s="255"/>
      <c r="AH47" s="271"/>
      <c r="AI47" s="255"/>
      <c r="AJ47" s="255"/>
    </row>
    <row r="48" spans="2:36">
      <c r="B48" s="3">
        <v>10113</v>
      </c>
      <c r="C48" s="4" t="s">
        <v>51</v>
      </c>
      <c r="D48" s="250">
        <f>IF(Init!$R$9="Yes",'Staging Table'!E50,'Staging Table'!BS50)*Rates_previous!$E$75*100*12</f>
        <v>13605920.789760001</v>
      </c>
      <c r="E48" s="250">
        <f>IF(Init!$R$9="Yes",'Staging Table'!F50,'Staging Table'!BT50)*Rates_previous!$E$76*100*12</f>
        <v>-1918730.9544000002</v>
      </c>
      <c r="F48" s="251">
        <f>IF(Init!$R$9="Yes",SUMPRODUCT('Staging Table'!L50:AI50,LS_Demand_Rates_Restatement!$C$4:$Z$4)-IF(Init!$R$15="No",('Staging Table'!BH50*Rates_previous!$H$34), 0),SUMPRODUCT('Staging Table'!BZ50:CW50,LS_Demand_Rates_Restatement!$C$4:$Z$4)-IF(Init!$R$15="No", 'Staging Table'!DV50*Rates_previous!$H$34, 0))</f>
        <v>-494410.44000000024</v>
      </c>
      <c r="G48" s="251">
        <f>IF(Init!$R$9="Yes",SUMPRODUCT('Staging Table'!AJ50:AU50,LS_Demand_Rates_Restatement!$C$10:$N$10),SUMPRODUCT(LS_Demand_Rates_Restatement!$C$10:$N$10,'Staging Table'!CX50:DI50))*1000</f>
        <v>869255.6100000001</v>
      </c>
      <c r="H48" s="252">
        <f>IF(Init!$R$9="Yes",'Staging Table'!BR50,'Staging Table'!EF50)*IF(Init!$R$3=2018,Rates_previous!$C$88,Rates_previous!$D$88)</f>
        <v>0</v>
      </c>
      <c r="I48" s="250">
        <f>IF(Init!$R$9="Yes",IF('Staging Table'!$F$1=2018,(SUM('Staging Table'!BD50:BG50)*Rates_previous!$C$87),(SUM('Staging Table'!BD50:BG50)*Rates_previous!$D$87)),IF('Staging Table'!$F$1=2018,(SUM('Staging Table'!DR50:DU50)*Rates_previous!$C$87),(SUM('Staging Table'!DR50:DU50)*Rates_previous!$D$87)))</f>
        <v>74759.354447152931</v>
      </c>
      <c r="J48" s="252">
        <f>IF(Init!$R$9="Yes",IF('Staging Table'!D50=1,'Staging Table'!H50*-1,'Staging Table'!H50*SUM(D48:I48)*(-1)),IF('Staging Table'!D50=1,'Staging Table'!BV50*-1,'Staging Table'!BV50*SUM(D48:I48)*(-1)))</f>
        <v>-970868.30065954162</v>
      </c>
      <c r="K48" s="250">
        <f>IF(Init!$R$9="Yes",'Staging Table'!K50,'Staging Table'!BY50)*(-1)*Rates_previous!$H$32</f>
        <v>-1583554.1131199999</v>
      </c>
      <c r="L48" s="250">
        <f>IF(Init!$R$12="No",0,'Staging Table'!$BI50*-1)</f>
        <v>-211839.43490901371</v>
      </c>
      <c r="M48" s="250">
        <f>IF('Staging Table'!C50=1,"",SUM(D48:L48))</f>
        <v>9370532.5111186001</v>
      </c>
      <c r="N48" s="250">
        <f>IF('Staging Table'!C50=1,"",IF(Init!$R$9="Yes",(RT1SC!$C$3*'Staging Table'!E50*'Staging Table'!$F$2)+SUM('Staging Table'!L50:AI50)-IF(Init!$R$15="No",'Staging Table'!BH50, 0),Z48))</f>
        <v>318926.11886678403</v>
      </c>
      <c r="O48" s="126">
        <f>IF('Staging Table'!C50=1,"",IF(N48=0, 0, M48/N48))</f>
        <v>29.381514892584534</v>
      </c>
      <c r="P48" s="250">
        <f>'Staging Table'!BS50*Rates_current!$E$74*100*12</f>
        <v>12685441.965</v>
      </c>
      <c r="Q48" s="250">
        <f>'Staging Table'!BT50*Rates_current!$E$75*100*12</f>
        <v>-1283337.8250000002</v>
      </c>
      <c r="R48" s="251">
        <f>SUMPRODUCT('Staging Table'!BZ50:CW50, LS_Demand_Rates_Restatement!$C$5:$Z$5)-IF(Init!$R$15="No",('Staging Table'!DV50*Rates_current!$H$34), 0)</f>
        <v>-772778.2799999998</v>
      </c>
      <c r="S48" s="251">
        <f>SUMPRODUCT('Staging Table'!CX50:DI50, LS_Demand_Rates_Restatement!$C$11:$N$11)*1000</f>
        <v>936510.98</v>
      </c>
      <c r="T48" s="252">
        <f>'Staging Table'!EF50*IF(Init!$R$18="Yes",IF(Init!$R$6=2020,Rates_current!$C$88,Rates_current!$D$88),Rates_current!$H$33)</f>
        <v>0</v>
      </c>
      <c r="U48" s="252">
        <f>IF(Init!$R$18="Yes",(SUM('Staging Table'!DL50:DU50)*IF('Staging Table'!$BT$1=2020, Rates_current!$C$87, Rates_current!$D$87)),0)</f>
        <v>221445.6914304574</v>
      </c>
      <c r="V48" s="252">
        <f>IF('Staging Table'!D50=1, 'Staging Table'!BV50*-1,SUM(P48:U48)*'Staging Table'!BV50*-1)</f>
        <v>-963137.67691492965</v>
      </c>
      <c r="W48" s="250">
        <f>'Staging Table'!BY50*Rates_current!$H$32*-1</f>
        <v>-1496027.7378199999</v>
      </c>
      <c r="X48" s="250">
        <f>IF(Init!$R$12="No",0,'Staging Table'!$DW50*-1)</f>
        <v>0</v>
      </c>
      <c r="Y48" s="250">
        <f>IF('Staging Table'!C50=1,"",SUM(P48:X48))</f>
        <v>9328117.1166955288</v>
      </c>
      <c r="Z48" s="250">
        <f>IF('Staging Table'!C50=1,"",(RT1SC!$C$4*'Staging Table'!BS50*'Staging Table'!$BT$2)+SUM('Staging Table'!BZ50:CW50)-IF(Init!$R$15="No",'Staging Table'!DV50, 0))</f>
        <v>310215.43531519995</v>
      </c>
      <c r="AA48" s="423">
        <f>IF('Staging Table'!C50=1,"",IF(Z48=0, 0, Y48/Z48))</f>
        <v>30.069803287568615</v>
      </c>
      <c r="AB48" s="420">
        <f ca="1">IF('Staging Table'!C50=1,"",(AA48/O48-1)+(RAND()/100000000000000))</f>
        <v>2.3425898817690194E-2</v>
      </c>
      <c r="AC48" s="421">
        <f t="shared" ca="1" si="0"/>
        <v>40</v>
      </c>
      <c r="AF48" s="255"/>
      <c r="AG48" s="255"/>
      <c r="AH48" s="271"/>
      <c r="AI48" s="255"/>
      <c r="AJ48" s="255"/>
    </row>
    <row r="49" spans="2:36">
      <c r="B49" s="3">
        <v>10116</v>
      </c>
      <c r="C49" s="4" t="s">
        <v>52</v>
      </c>
      <c r="D49" s="250">
        <f>IF(Init!$R$9="Yes",'Staging Table'!E51,'Staging Table'!BS51)*Rates_previous!$E$75*100*12</f>
        <v>82291.821120000008</v>
      </c>
      <c r="E49" s="250">
        <f>IF(Init!$R$9="Yes",'Staging Table'!F51,'Staging Table'!BT51)*Rates_previous!$E$76*100*12</f>
        <v>-11604.9378</v>
      </c>
      <c r="F49" s="251">
        <f>IF(Init!$R$9="Yes",SUMPRODUCT('Staging Table'!L51:AI51,LS_Demand_Rates_Restatement!$C$4:$Z$4)-IF(Init!$R$15="No",('Staging Table'!BH51*Rates_previous!$H$34), 0),SUMPRODUCT('Staging Table'!BZ51:CW51,LS_Demand_Rates_Restatement!$C$4:$Z$4)-IF(Init!$R$15="No", 'Staging Table'!DV51*Rates_previous!$H$34, 0))</f>
        <v>-449.96115990502221</v>
      </c>
      <c r="G49" s="251">
        <f>IF(Init!$R$9="Yes",SUMPRODUCT('Staging Table'!AJ51:AU51,LS_Demand_Rates_Restatement!$C$10:$N$10),SUMPRODUCT(LS_Demand_Rates_Restatement!$C$10:$N$10,'Staging Table'!CX51:DI51))*1000</f>
        <v>5208.0640251682207</v>
      </c>
      <c r="H49" s="252">
        <f>IF(Init!$R$9="Yes",'Staging Table'!BR51,'Staging Table'!EF51)*IF(Init!$R$3=2018,Rates_previous!$C$88,Rates_previous!$D$88)</f>
        <v>0</v>
      </c>
      <c r="I49" s="250">
        <f>IF(Init!$R$9="Yes",IF('Staging Table'!$F$1=2018,(SUM('Staging Table'!BD51:BG51)*Rates_previous!$C$87),(SUM('Staging Table'!BD51:BG51)*Rates_previous!$D$87)),IF('Staging Table'!$F$1=2018,(SUM('Staging Table'!DR51:DU51)*Rates_previous!$C$87),(SUM('Staging Table'!DR51:DU51)*Rates_previous!$D$87)))</f>
        <v>452.16222542188586</v>
      </c>
      <c r="J49" s="252">
        <f>IF(Init!$R$9="Yes",IF('Staging Table'!D51=1,'Staging Table'!H51*-1,'Staging Table'!H51*SUM(D49:I49)*(-1)),IF('Staging Table'!D51=1,'Staging Table'!BV51*-1,'Staging Table'!BV51*SUM(D49:I49)*(-1)))</f>
        <v>0</v>
      </c>
      <c r="K49" s="250">
        <f>IF(Init!$R$9="Yes",'Staging Table'!K51,'Staging Table'!BY51)*(-1)*Rates_previous!$H$32</f>
        <v>0</v>
      </c>
      <c r="L49" s="250">
        <f>IF(Init!$R$12="No",0,'Staging Table'!$BI51*-1)</f>
        <v>-3106.5164304322193</v>
      </c>
      <c r="M49" s="250">
        <f>IF('Staging Table'!C51=1,"",SUM(D49:L49))</f>
        <v>72790.63198025286</v>
      </c>
      <c r="N49" s="250">
        <f>IF('Staging Table'!C51=1,"",IF(Init!$R$9="Yes",(RT1SC!$C$3*'Staging Table'!E51*'Staging Table'!$F$2)+SUM('Staging Table'!L51:AI51)-IF(Init!$R$15="No",'Staging Table'!BH51, 0),Z49))</f>
        <v>1962.24</v>
      </c>
      <c r="O49" s="126">
        <f>IF('Staging Table'!C51=1,"",IF(N49=0, 0, M49/N49))</f>
        <v>37.095682475259323</v>
      </c>
      <c r="P49" s="250">
        <f>'Staging Table'!BS51*Rates_current!$E$74*100*12</f>
        <v>76528.567919999987</v>
      </c>
      <c r="Q49" s="250">
        <f>'Staging Table'!BT51*Rates_current!$E$75*100*12</f>
        <v>-7742.1035999999986</v>
      </c>
      <c r="R49" s="251">
        <f>SUMPRODUCT('Staging Table'!BZ51:CW51, LS_Demand_Rates_Restatement!$C$5:$Z$5)-IF(Init!$R$15="No",('Staging Table'!DV51*Rates_current!$H$34), 0)</f>
        <v>-458.48312763670765</v>
      </c>
      <c r="S49" s="251">
        <f>SUMPRODUCT('Staging Table'!CX51:DI51, LS_Demand_Rates_Restatement!$C$11:$N$11)*1000</f>
        <v>5722.4085137716556</v>
      </c>
      <c r="T49" s="252">
        <f>'Staging Table'!EF51*IF(Init!$R$18="Yes",IF(Init!$R$6=2020,Rates_current!$C$88,Rates_current!$D$88),Rates_current!$H$33)</f>
        <v>0</v>
      </c>
      <c r="U49" s="252">
        <f>IF(Init!$R$18="Yes",(SUM('Staging Table'!DL51:DU51)*IF('Staging Table'!$BT$1=2020, Rates_current!$C$87, Rates_current!$D$87)),0)</f>
        <v>1335.9346630558739</v>
      </c>
      <c r="V49" s="252">
        <f>IF('Staging Table'!D51=1, 'Staging Table'!BV51*-1,SUM(P49:U49)*'Staging Table'!BV51*-1)</f>
        <v>0</v>
      </c>
      <c r="W49" s="250">
        <f>'Staging Table'!BY51*Rates_current!$H$32*-1</f>
        <v>0</v>
      </c>
      <c r="X49" s="250">
        <f>IF(Init!$R$12="No",0,'Staging Table'!$DW51*-1)</f>
        <v>0</v>
      </c>
      <c r="Y49" s="250">
        <f>IF('Staging Table'!C51=1,"",SUM(P49:X49))</f>
        <v>75386.324369190814</v>
      </c>
      <c r="Z49" s="250">
        <f>IF('Staging Table'!C51=1,"",(RT1SC!$C$4*'Staging Table'!BS51*'Staging Table'!$BT$2)+SUM('Staging Table'!BZ51:CW51)-IF(Init!$R$15="No",'Staging Table'!DV51, 0))</f>
        <v>1985.184</v>
      </c>
      <c r="AA49" s="423">
        <f>IF('Staging Table'!C51=1,"",IF(Z49=0, 0, Y49/Z49))</f>
        <v>37.974477111033949</v>
      </c>
      <c r="AB49" s="420">
        <f ca="1">IF('Staging Table'!C51=1,"",(AA49/O49-1)+(RAND()/100000000000000))</f>
        <v>2.3689943873145138E-2</v>
      </c>
      <c r="AC49" s="421">
        <f t="shared" ca="1" si="0"/>
        <v>36</v>
      </c>
      <c r="AE49" s="422"/>
      <c r="AF49" s="255"/>
      <c r="AG49" s="255"/>
      <c r="AH49" s="271"/>
      <c r="AI49" s="255"/>
      <c r="AJ49" s="255"/>
    </row>
    <row r="50" spans="2:36">
      <c r="B50" s="3">
        <v>10118</v>
      </c>
      <c r="C50" s="4" t="s">
        <v>53</v>
      </c>
      <c r="D50" s="250">
        <f>IF(Init!$R$9="Yes",'Staging Table'!E52,'Staging Table'!BS52)*Rates_previous!$E$75*100*12</f>
        <v>16486644.07584</v>
      </c>
      <c r="E50" s="250">
        <f>IF(Init!$R$9="Yes",'Staging Table'!F52,'Staging Table'!BT52)*Rates_previous!$E$76*100*12</f>
        <v>-2324975.6345999995</v>
      </c>
      <c r="F50" s="251">
        <f>IF(Init!$R$9="Yes",SUMPRODUCT('Staging Table'!L52:AI52,LS_Demand_Rates_Restatement!$C$4:$Z$4)-IF(Init!$R$15="No",('Staging Table'!BH52*Rates_previous!$H$34), 0),SUMPRODUCT('Staging Table'!BZ52:CW52,LS_Demand_Rates_Restatement!$C$4:$Z$4)-IF(Init!$R$15="No", 'Staging Table'!DV52*Rates_previous!$H$34, 0))</f>
        <v>0</v>
      </c>
      <c r="G50" s="251">
        <f>IF(Init!$R$9="Yes",SUMPRODUCT('Staging Table'!AJ52:AU52,LS_Demand_Rates_Restatement!$C$10:$N$10),SUMPRODUCT(LS_Demand_Rates_Restatement!$C$10:$N$10,'Staging Table'!CX52:DI52))*1000</f>
        <v>0</v>
      </c>
      <c r="H50" s="252">
        <f>IF(Init!$R$9="Yes",'Staging Table'!BR52,'Staging Table'!EF52)*IF(Init!$R$3=2018,Rates_previous!$C$88,Rates_previous!$D$88)</f>
        <v>0</v>
      </c>
      <c r="I50" s="250">
        <f>IF(Init!$R$9="Yes",IF('Staging Table'!$F$1=2018,(SUM('Staging Table'!BD52:BG52)*Rates_previous!$C$87),(SUM('Staging Table'!BD52:BG52)*Rates_previous!$D$87)),IF('Staging Table'!$F$1=2018,(SUM('Staging Table'!DR52:DU52)*Rates_previous!$C$87),(SUM('Staging Table'!DR52:DU52)*Rates_previous!$D$87)))</f>
        <v>90587.832103020599</v>
      </c>
      <c r="J50" s="252">
        <f>IF(Init!$R$9="Yes",IF('Staging Table'!D52=1,'Staging Table'!H52*-1,'Staging Table'!H52*SUM(D50:I50)*(-1)),IF('Staging Table'!D52=1,'Staging Table'!BV52*-1,'Staging Table'!BV52*SUM(D50:I50)*(-1)))</f>
        <v>-953977.62410746992</v>
      </c>
      <c r="K50" s="250">
        <f>IF(Init!$R$9="Yes",'Staging Table'!K52,'Staging Table'!BY52)*(-1)*Rates_previous!$H$32</f>
        <v>0</v>
      </c>
      <c r="L50" s="250">
        <f>IF(Init!$R$12="No",0,'Staging Table'!$BI52*-1)</f>
        <v>-502767.38362718758</v>
      </c>
      <c r="M50" s="250" t="str">
        <f>IF('Staging Table'!C52=1,"",SUM(D50:L50))</f>
        <v/>
      </c>
      <c r="N50" s="250" t="str">
        <f>IF('Staging Table'!C52=1,"",IF(Init!$R$9="Yes",(RT1SC!$C$3*'Staging Table'!E52*'Staging Table'!$F$2)+SUM('Staging Table'!L52:AI52)-IF(Init!$R$15="No",'Staging Table'!BH52, 0),Z50))</f>
        <v/>
      </c>
      <c r="O50" s="126" t="str">
        <f>IF('Staging Table'!C52=1,"",IF(N50=0, 0, M50/N50))</f>
        <v/>
      </c>
      <c r="P50" s="250">
        <f>'Staging Table'!BS52*Rates_current!$E$74*100*12</f>
        <v>15371309.499360003</v>
      </c>
      <c r="Q50" s="250">
        <f>'Staging Table'!BT52*Rates_current!$E$75*100*12</f>
        <v>-1555056.8088</v>
      </c>
      <c r="R50" s="251">
        <f>SUMPRODUCT('Staging Table'!BZ52:CW52, LS_Demand_Rates_Restatement!$C$5:$Z$5)-IF(Init!$R$15="No",('Staging Table'!DV52*Rates_current!$H$34), 0)</f>
        <v>0</v>
      </c>
      <c r="S50" s="251">
        <f>SUMPRODUCT('Staging Table'!CX52:DI52, LS_Demand_Rates_Restatement!$C$11:$N$11)*1000</f>
        <v>0</v>
      </c>
      <c r="T50" s="252">
        <f>'Staging Table'!EF52*IF(Init!$R$18="Yes",IF(Init!$R$6=2020,Rates_current!$C$88,Rates_current!$D$88),Rates_current!$H$33)</f>
        <v>0</v>
      </c>
      <c r="U50" s="252">
        <f>IF(Init!$R$18="Yes",(SUM('Staging Table'!DL52:DU52)*IF('Staging Table'!$BT$1=2020, Rates_current!$C$87, Rates_current!$D$87)),0)</f>
        <v>268332.01946522272</v>
      </c>
      <c r="V50" s="252">
        <f>IF('Staging Table'!D52=1, 'Staging Table'!BV52*-1,SUM(P50:U50)*'Staging Table'!BV52*-1)</f>
        <v>-947255.9277558045</v>
      </c>
      <c r="W50" s="250">
        <f>'Staging Table'!BY52*Rates_current!$H$32*-1</f>
        <v>0</v>
      </c>
      <c r="X50" s="250">
        <f>IF(Init!$R$12="No",0,'Staging Table'!$DW52*-1)</f>
        <v>0</v>
      </c>
      <c r="Y50" s="250" t="str">
        <f>IF('Staging Table'!C52=1,"",SUM(P50:X50))</f>
        <v/>
      </c>
      <c r="Z50" s="250" t="str">
        <f>IF('Staging Table'!C52=1,"",(RT1SC!$C$4*'Staging Table'!BS52*'Staging Table'!$BT$2)+SUM('Staging Table'!BZ52:CW52)-IF(Init!$R$15="No",'Staging Table'!DV52, 0))</f>
        <v/>
      </c>
      <c r="AA50" s="126" t="str">
        <f>IF('Staging Table'!C52=1,"",IF(Z50=0, 0, Y50/Z50))</f>
        <v/>
      </c>
      <c r="AB50" s="118" t="str">
        <f ca="1">IF('Staging Table'!C52=1,"",(AA50/O50-1)+(RAND()/100000000000000))</f>
        <v/>
      </c>
      <c r="AC50" s="79" t="str">
        <f t="shared" ca="1" si="0"/>
        <v/>
      </c>
      <c r="AF50" s="255"/>
      <c r="AG50" s="255"/>
      <c r="AH50" s="271"/>
      <c r="AI50" s="255"/>
      <c r="AJ50" s="255"/>
    </row>
    <row r="51" spans="2:36">
      <c r="B51" s="3">
        <v>10121</v>
      </c>
      <c r="C51" s="4" t="s">
        <v>54</v>
      </c>
      <c r="D51" s="250">
        <f>IF(Init!$R$9="Yes",'Staging Table'!E53,'Staging Table'!BS53)*Rates_previous!$E$75*100*12</f>
        <v>14253045.32736</v>
      </c>
      <c r="E51" s="250">
        <f>IF(Init!$R$9="Yes",'Staging Table'!F53,'Staging Table'!BT53)*Rates_previous!$E$76*100*12</f>
        <v>-2009989.5984</v>
      </c>
      <c r="F51" s="251">
        <f>IF(Init!$R$9="Yes",SUMPRODUCT('Staging Table'!L53:AI53,LS_Demand_Rates_Restatement!$C$4:$Z$4)-IF(Init!$R$15="No",('Staging Table'!BH53*Rates_previous!$H$34), 0),SUMPRODUCT('Staging Table'!BZ53:CW53,LS_Demand_Rates_Restatement!$C$4:$Z$4)-IF(Init!$R$15="No", 'Staging Table'!DV53*Rates_previous!$H$34, 0))</f>
        <v>0</v>
      </c>
      <c r="G51" s="251">
        <f>IF(Init!$R$9="Yes",SUMPRODUCT('Staging Table'!AJ53:AU53,LS_Demand_Rates_Restatement!$C$10:$N$10),SUMPRODUCT(LS_Demand_Rates_Restatement!$C$10:$N$10,'Staging Table'!CX53:DI53))*1000</f>
        <v>0</v>
      </c>
      <c r="H51" s="252">
        <f>IF(Init!$R$9="Yes",'Staging Table'!BR53,'Staging Table'!EF53)*IF(Init!$R$3=2018,Rates_previous!$C$88,Rates_previous!$D$88)</f>
        <v>28.023957899379312</v>
      </c>
      <c r="I51" s="250">
        <f>IF(Init!$R$9="Yes",IF('Staging Table'!$F$1=2018,(SUM('Staging Table'!BD53:BG53)*Rates_previous!$C$87),(SUM('Staging Table'!BD53:BG53)*Rates_previous!$D$87)),IF('Staging Table'!$F$1=2018,(SUM('Staging Table'!DR53:DU53)*Rates_previous!$C$87),(SUM('Staging Table'!DR53:DU53)*Rates_previous!$D$87)))</f>
        <v>78315.057396290969</v>
      </c>
      <c r="J51" s="252">
        <f>IF(Init!$R$9="Yes",IF('Staging Table'!D53=1,'Staging Table'!H53*-1,'Staging Table'!H53*SUM(D51:I51)*(-1)),IF('Staging Table'!D53=1,'Staging Table'!BV53*-1,'Staging Table'!BV53*SUM(D51:I51)*(-1)))</f>
        <v>-739283.92861885135</v>
      </c>
      <c r="K51" s="250">
        <f>IF(Init!$R$9="Yes",'Staging Table'!K53,'Staging Table'!BY53)*(-1)*Rates_previous!$H$32</f>
        <v>0</v>
      </c>
      <c r="L51" s="250">
        <f>IF(Init!$R$12="No",0,'Staging Table'!$BI53*-1)</f>
        <v>-451182.23210318614</v>
      </c>
      <c r="M51" s="250" t="str">
        <f>IF('Staging Table'!C53=1,"",SUM(D51:L51))</f>
        <v/>
      </c>
      <c r="N51" s="250" t="str">
        <f>IF('Staging Table'!C53=1,"",IF(Init!$R$9="Yes",(RT1SC!$C$3*'Staging Table'!E53*'Staging Table'!$F$2)+SUM('Staging Table'!L53:AI53)-IF(Init!$R$15="No",'Staging Table'!BH53, 0),Z51))</f>
        <v/>
      </c>
      <c r="O51" s="126" t="str">
        <f>IF('Staging Table'!C53=1,"",IF(N51=0, 0, M51/N51))</f>
        <v/>
      </c>
      <c r="P51" s="250">
        <f>'Staging Table'!BS53*Rates_current!$E$74*100*12</f>
        <v>13170281.339400001</v>
      </c>
      <c r="Q51" s="250">
        <f>'Staging Table'!BT53*Rates_current!$E$75*100*12</f>
        <v>-1332387.1770000001</v>
      </c>
      <c r="R51" s="251">
        <f>SUMPRODUCT('Staging Table'!BZ53:CW53, LS_Demand_Rates_Restatement!$C$5:$Z$5)-IF(Init!$R$15="No",('Staging Table'!DV53*Rates_current!$H$34), 0)</f>
        <v>0</v>
      </c>
      <c r="S51" s="251">
        <f>SUMPRODUCT('Staging Table'!CX53:DI53, LS_Demand_Rates_Restatement!$C$11:$N$11)*1000</f>
        <v>0</v>
      </c>
      <c r="T51" s="252">
        <f>'Staging Table'!EF53*IF(Init!$R$18="Yes",IF(Init!$R$6=2020,Rates_current!$C$88,Rates_current!$D$88),Rates_current!$H$33)</f>
        <v>46.455464355315776</v>
      </c>
      <c r="U51" s="252">
        <f>IF(Init!$R$18="Yes",(SUM('Staging Table'!DL53:DU53)*IF('Staging Table'!$BT$1=2020, Rates_current!$C$87, Rates_current!$D$87)),0)</f>
        <v>229909.37687342014</v>
      </c>
      <c r="V51" s="252">
        <f>IF('Staging Table'!D53=1, 'Staging Table'!BV53*-1,SUM(P51:U51)*'Staging Table'!BV53*-1)</f>
        <v>-724070.99968426651</v>
      </c>
      <c r="W51" s="250">
        <f>'Staging Table'!BY53*Rates_current!$H$32*-1</f>
        <v>0</v>
      </c>
      <c r="X51" s="250">
        <f>IF(Init!$R$12="No",0,'Staging Table'!$DW53*-1)</f>
        <v>0</v>
      </c>
      <c r="Y51" s="250" t="str">
        <f>IF('Staging Table'!C53=1,"",SUM(P51:X51))</f>
        <v/>
      </c>
      <c r="Z51" s="250" t="str">
        <f>IF('Staging Table'!C53=1,"",(RT1SC!$C$4*'Staging Table'!BS53*'Staging Table'!$BT$2)+SUM('Staging Table'!BZ53:CW53)-IF(Init!$R$15="No",'Staging Table'!DV53, 0))</f>
        <v/>
      </c>
      <c r="AA51" s="126" t="str">
        <f>IF('Staging Table'!C53=1,"",IF(Z51=0, 0, Y51/Z51))</f>
        <v/>
      </c>
      <c r="AB51" s="118" t="str">
        <f ca="1">IF('Staging Table'!C53=1,"",(AA51/O51-1)+(RAND()/100000000000000))</f>
        <v/>
      </c>
      <c r="AC51" s="79" t="str">
        <f t="shared" ca="1" si="0"/>
        <v/>
      </c>
      <c r="AF51" s="255"/>
      <c r="AG51" s="255"/>
      <c r="AH51" s="271"/>
      <c r="AI51" s="255"/>
      <c r="AJ51" s="255"/>
    </row>
    <row r="52" spans="2:36">
      <c r="B52" s="3">
        <v>10123</v>
      </c>
      <c r="C52" s="4" t="s">
        <v>55</v>
      </c>
      <c r="D52" s="250">
        <f>IF(Init!$R$9="Yes",'Staging Table'!E54,'Staging Table'!BS54)*Rates_previous!$E$75*100*12</f>
        <v>153961882.75296</v>
      </c>
      <c r="E52" s="250">
        <f>IF(Init!$R$9="Yes",'Staging Table'!F54,'Staging Table'!BT54)*Rates_previous!$E$76*100*12</f>
        <v>-7374560.7216000007</v>
      </c>
      <c r="F52" s="251">
        <f>IF(Init!$R$9="Yes",SUMPRODUCT('Staging Table'!L54:AI54,LS_Demand_Rates_Restatement!$C$4:$Z$4)-IF(Init!$R$15="No",('Staging Table'!BH54*Rates_previous!$H$34), 0),SUMPRODUCT('Staging Table'!BZ54:CW54,LS_Demand_Rates_Restatement!$C$4:$Z$4)-IF(Init!$R$15="No", 'Staging Table'!DV54*Rates_previous!$H$34, 0))</f>
        <v>-45041.380000000063</v>
      </c>
      <c r="G52" s="251">
        <f>IF(Init!$R$9="Yes",SUMPRODUCT('Staging Table'!AJ54:AU54,LS_Demand_Rates_Restatement!$C$10:$N$10),SUMPRODUCT(LS_Demand_Rates_Restatement!$C$10:$N$10,'Staging Table'!CX54:DI54))*1000</f>
        <v>0</v>
      </c>
      <c r="H52" s="252">
        <f>IF(Init!$R$9="Yes",'Staging Table'!BR54,'Staging Table'!EF54)*IF(Init!$R$3=2018,Rates_previous!$C$88,Rates_previous!$D$88)</f>
        <v>0</v>
      </c>
      <c r="I52" s="250">
        <f>IF(Init!$R$9="Yes",IF('Staging Table'!$F$1=2018,(SUM('Staging Table'!BD54:BG54)*Rates_previous!$C$87),(SUM('Staging Table'!BD54:BG54)*Rates_previous!$D$87)),IF('Staging Table'!$F$1=2018,(SUM('Staging Table'!DR54:DU54)*Rates_previous!$C$87),(SUM('Staging Table'!DR54:DU54)*Rates_previous!$D$87)))</f>
        <v>287334.39548357466</v>
      </c>
      <c r="J52" s="252">
        <f>IF(Init!$R$9="Yes",IF('Staging Table'!D54=1,'Staging Table'!H54*-1,'Staging Table'!H54*SUM(D52:I52)*(-1)),IF('Staging Table'!D54=1,'Staging Table'!BV54*-1,'Staging Table'!BV54*SUM(D52:I52)*(-1)))</f>
        <v>0</v>
      </c>
      <c r="K52" s="250">
        <f>IF(Init!$R$9="Yes",'Staging Table'!K54,'Staging Table'!BY54)*(-1)*Rates_previous!$H$32</f>
        <v>0</v>
      </c>
      <c r="L52" s="250">
        <f>IF(Init!$R$12="No",0,'Staging Table'!$BI54*-1)</f>
        <v>-6533371.8532547178</v>
      </c>
      <c r="M52" s="250">
        <f>IF('Staging Table'!C54=1,"",SUM(D52:L52))</f>
        <v>140296243.19358888</v>
      </c>
      <c r="N52" s="250">
        <f>IF('Staging Table'!C54=1,"",IF(Init!$R$9="Yes",(RT1SC!$C$3*'Staging Table'!E54*'Staging Table'!$F$2)+SUM('Staging Table'!L54:AI54)-IF(Init!$R$15="No",'Staging Table'!BH54, 0),Z52))</f>
        <v>3676200.156678664</v>
      </c>
      <c r="O52" s="126">
        <f>IF('Staging Table'!C54=1,"",IF(N52=0, 0, M52/N52))</f>
        <v>38.163385347424146</v>
      </c>
      <c r="P52" s="250">
        <f>'Staging Table'!BS54*Rates_current!$E$74*100*12</f>
        <v>141606845.94792002</v>
      </c>
      <c r="Q52" s="250">
        <f>'Staging Table'!BT54*Rates_current!$E$75*100*12</f>
        <v>-4736195.8115999997</v>
      </c>
      <c r="R52" s="251">
        <f>SUMPRODUCT('Staging Table'!BZ54:CW54, LS_Demand_Rates_Restatement!$C$5:$Z$5)-IF(Init!$R$15="No",('Staging Table'!DV54*Rates_current!$H$34), 0)</f>
        <v>-195343.7999999999</v>
      </c>
      <c r="S52" s="251">
        <f>SUMPRODUCT('Staging Table'!CX54:DI54, LS_Demand_Rates_Restatement!$C$11:$N$11)*1000</f>
        <v>0</v>
      </c>
      <c r="T52" s="252">
        <f>'Staging Table'!EF54*IF(Init!$R$18="Yes",IF(Init!$R$6=2020,Rates_current!$C$88,Rates_current!$D$88),Rates_current!$H$33)</f>
        <v>0</v>
      </c>
      <c r="U52" s="252">
        <f>IF(Init!$R$18="Yes",(SUM('Staging Table'!DL54:DU54)*IF('Staging Table'!$BT$1=2020, Rates_current!$C$87, Rates_current!$D$87)),0)</f>
        <v>817251.80682631105</v>
      </c>
      <c r="V52" s="252">
        <f>IF('Staging Table'!D54=1, 'Staging Table'!BV54*-1,SUM(P52:U52)*'Staging Table'!BV54*-1)</f>
        <v>0</v>
      </c>
      <c r="W52" s="250">
        <f>'Staging Table'!BY54*Rates_current!$H$32*-1</f>
        <v>0</v>
      </c>
      <c r="X52" s="250">
        <f>IF(Init!$R$12="No",0,'Staging Table'!$DW54*-1)</f>
        <v>0</v>
      </c>
      <c r="Y52" s="250">
        <f>IF('Staging Table'!C54=1,"",SUM(P52:X52))</f>
        <v>137492558.14314634</v>
      </c>
      <c r="Z52" s="250">
        <f>IF('Staging Table'!C54=1,"",(RT1SC!$C$4*'Staging Table'!BS54*'Staging Table'!$BT$2)+SUM('Staging Table'!BZ54:CW54)-IF(Init!$R$15="No",'Staging Table'!DV54, 0))</f>
        <v>3666062.1601381376</v>
      </c>
      <c r="AA52" s="126">
        <f>IF('Staging Table'!C54=1,"",IF(Z52=0, 0, Y52/Z52))</f>
        <v>37.504153540584156</v>
      </c>
      <c r="AB52" s="118">
        <f ca="1">IF('Staging Table'!C54=1,"",(AA52/O52-1)+(RAND()/100000000000000))</f>
        <v>-1.7273934186871984E-2</v>
      </c>
      <c r="AC52" s="79">
        <f t="shared" ca="1" si="0"/>
        <v>108</v>
      </c>
      <c r="AF52" s="255"/>
      <c r="AG52" s="255"/>
      <c r="AH52" s="271"/>
      <c r="AI52" s="255"/>
      <c r="AJ52" s="255"/>
    </row>
    <row r="53" spans="2:36">
      <c r="B53" s="3">
        <v>10136</v>
      </c>
      <c r="C53" s="4" t="s">
        <v>56</v>
      </c>
      <c r="D53" s="250">
        <f>IF(Init!$R$9="Yes",'Staging Table'!E55,'Staging Table'!BS55)*Rates_previous!$E$75*100*12</f>
        <v>6645255.63552</v>
      </c>
      <c r="E53" s="250">
        <f>IF(Init!$R$9="Yes",'Staging Table'!F55,'Staging Table'!BT55)*Rates_previous!$E$76*100*12</f>
        <v>-937125.67379999999</v>
      </c>
      <c r="F53" s="251">
        <f>IF(Init!$R$9="Yes",SUMPRODUCT('Staging Table'!L55:AI55,LS_Demand_Rates_Restatement!$C$4:$Z$4)-IF(Init!$R$15="No",('Staging Table'!BH55*Rates_previous!$H$34), 0),SUMPRODUCT('Staging Table'!BZ55:CW55,LS_Demand_Rates_Restatement!$C$4:$Z$4)-IF(Init!$R$15="No", 'Staging Table'!DV55*Rates_previous!$H$34, 0))</f>
        <v>0</v>
      </c>
      <c r="G53" s="251">
        <f>IF(Init!$R$9="Yes",SUMPRODUCT('Staging Table'!AJ55:AU55,LS_Demand_Rates_Restatement!$C$10:$N$10),SUMPRODUCT(LS_Demand_Rates_Restatement!$C$10:$N$10,'Staging Table'!CX55:DI55))*1000</f>
        <v>0</v>
      </c>
      <c r="H53" s="252">
        <f>IF(Init!$R$9="Yes",'Staging Table'!BR55,'Staging Table'!EF55)*IF(Init!$R$3=2018,Rates_previous!$C$88,Rates_previous!$D$88)</f>
        <v>27.496299404645107</v>
      </c>
      <c r="I53" s="250">
        <f>IF(Init!$R$9="Yes",IF('Staging Table'!$F$1=2018,(SUM('Staging Table'!BD55:BG55)*Rates_previous!$C$87),(SUM('Staging Table'!BD55:BG55)*Rates_previous!$D$87)),IF('Staging Table'!$F$1=2018,(SUM('Staging Table'!DR55:DU55)*Rates_previous!$C$87),(SUM('Staging Table'!DR55:DU55)*Rates_previous!$D$87)))</f>
        <v>36513.149615105416</v>
      </c>
      <c r="J53" s="252">
        <f>IF(Init!$R$9="Yes",IF('Staging Table'!D55=1,'Staging Table'!H55*-1,'Staging Table'!H55*SUM(D53:I53)*(-1)),IF('Staging Table'!D55=1,'Staging Table'!BV55*-1,'Staging Table'!BV55*SUM(D53:I53)*(-1)))</f>
        <v>-402126.94253441575</v>
      </c>
      <c r="K53" s="250">
        <f>IF(Init!$R$9="Yes",'Staging Table'!K55,'Staging Table'!BY55)*(-1)*Rates_previous!$H$32</f>
        <v>0</v>
      </c>
      <c r="L53" s="250">
        <f>IF(Init!$R$12="No",0,'Staging Table'!$BI55*-1)</f>
        <v>-208802.48375921027</v>
      </c>
      <c r="M53" s="250" t="str">
        <f>IF('Staging Table'!C55=1,"",SUM(D53:L53))</f>
        <v/>
      </c>
      <c r="N53" s="250" t="str">
        <f>IF('Staging Table'!C55=1,"",IF(Init!$R$9="Yes",(RT1SC!$C$3*'Staging Table'!E55*'Staging Table'!$F$2)+SUM('Staging Table'!L55:AI55)-IF(Init!$R$15="No",'Staging Table'!BH55, 0),Z53))</f>
        <v/>
      </c>
      <c r="O53" s="126" t="str">
        <f>IF('Staging Table'!C55=1,"",IF(N53=0, 0, M53/N53))</f>
        <v/>
      </c>
      <c r="P53" s="250">
        <f>'Staging Table'!BS55*Rates_current!$E$74*100*12</f>
        <v>6129653.0907599991</v>
      </c>
      <c r="Q53" s="250">
        <f>'Staging Table'!BT55*Rates_current!$E$75*100*12</f>
        <v>-620113.64580000006</v>
      </c>
      <c r="R53" s="251">
        <f>SUMPRODUCT('Staging Table'!BZ55:CW55, LS_Demand_Rates_Restatement!$C$5:$Z$5)-IF(Init!$R$15="No",('Staging Table'!DV55*Rates_current!$H$34), 0)</f>
        <v>0</v>
      </c>
      <c r="S53" s="251">
        <f>SUMPRODUCT('Staging Table'!CX55:DI55, LS_Demand_Rates_Restatement!$C$11:$N$11)*1000</f>
        <v>0</v>
      </c>
      <c r="T53" s="252">
        <f>'Staging Table'!EF55*IF(Init!$R$18="Yes",IF(Init!$R$6=2020,Rates_current!$C$88,Rates_current!$D$88),Rates_current!$H$33)</f>
        <v>-11.305620209792686</v>
      </c>
      <c r="U53" s="252">
        <f>IF(Init!$R$18="Yes",(SUM('Staging Table'!DL55:DU55)*IF('Staging Table'!$BT$1=2020, Rates_current!$C$87, Rates_current!$D$87)),0)</f>
        <v>107003.38787227965</v>
      </c>
      <c r="V53" s="252">
        <f>IF('Staging Table'!D55=1, 'Staging Table'!BV55*-1,SUM(P53:U53)*'Staging Table'!BV55*-1)</f>
        <v>-393157.20690484485</v>
      </c>
      <c r="W53" s="250">
        <f>'Staging Table'!BY55*Rates_current!$H$32*-1</f>
        <v>0</v>
      </c>
      <c r="X53" s="250">
        <f>IF(Init!$R$12="No",0,'Staging Table'!$DW55*-1)</f>
        <v>0</v>
      </c>
      <c r="Y53" s="250" t="str">
        <f>IF('Staging Table'!C55=1,"",SUM(P53:X53))</f>
        <v/>
      </c>
      <c r="Z53" s="250" t="str">
        <f>IF('Staging Table'!C55=1,"",(RT1SC!$C$4*'Staging Table'!BS55*'Staging Table'!$BT$2)+SUM('Staging Table'!BZ55:CW55)-IF(Init!$R$15="No",'Staging Table'!DV55, 0))</f>
        <v/>
      </c>
      <c r="AA53" s="126" t="str">
        <f>IF('Staging Table'!C55=1,"",IF(Z53=0, 0, Y53/Z53))</f>
        <v/>
      </c>
      <c r="AB53" s="118" t="str">
        <f ca="1">IF('Staging Table'!C55=1,"",(AA53/O53-1)+(RAND()/100000000000000))</f>
        <v/>
      </c>
      <c r="AC53" s="79" t="str">
        <f t="shared" ca="1" si="0"/>
        <v/>
      </c>
      <c r="AF53" s="255"/>
      <c r="AG53" s="255"/>
      <c r="AH53" s="271"/>
      <c r="AI53" s="255"/>
      <c r="AJ53" s="255"/>
    </row>
    <row r="54" spans="2:36">
      <c r="B54" s="3">
        <v>10142</v>
      </c>
      <c r="C54" s="4" t="s">
        <v>57</v>
      </c>
      <c r="D54" s="250">
        <f>IF(Init!$R$9="Yes",'Staging Table'!E56,'Staging Table'!BS56)*Rates_previous!$E$75*100*12</f>
        <v>969922.48607999994</v>
      </c>
      <c r="E54" s="250">
        <f>IF(Init!$R$9="Yes",'Staging Table'!F56,'Staging Table'!BT56)*Rates_previous!$E$76*100*12</f>
        <v>-136780.18019999997</v>
      </c>
      <c r="F54" s="251">
        <f>IF(Init!$R$9="Yes",SUMPRODUCT('Staging Table'!L56:AI56,LS_Demand_Rates_Restatement!$C$4:$Z$4)-IF(Init!$R$15="No",('Staging Table'!BH56*Rates_previous!$H$34), 0),SUMPRODUCT('Staging Table'!BZ56:CW56,LS_Demand_Rates_Restatement!$C$4:$Z$4)-IF(Init!$R$15="No", 'Staging Table'!DV56*Rates_previous!$H$34, 0))</f>
        <v>-11673.277707646375</v>
      </c>
      <c r="G54" s="251">
        <f>IF(Init!$R$9="Yes",SUMPRODUCT('Staging Table'!AJ56:AU56,LS_Demand_Rates_Restatement!$C$10:$N$10),SUMPRODUCT(LS_Demand_Rates_Restatement!$C$10:$N$10,'Staging Table'!CX56:DI56))*1000</f>
        <v>63270.179999999993</v>
      </c>
      <c r="H54" s="252">
        <f>IF(Init!$R$9="Yes",'Staging Table'!BR56,'Staging Table'!EF56)*IF(Init!$R$3=2018,Rates_previous!$C$88,Rates_previous!$D$88)</f>
        <v>0</v>
      </c>
      <c r="I54" s="250">
        <f>IF(Init!$R$9="Yes",IF('Staging Table'!$F$1=2018,(SUM('Staging Table'!BD56:BG56)*Rates_previous!$C$87),(SUM('Staging Table'!BD56:BG56)*Rates_previous!$D$87)),IF('Staging Table'!$F$1=2018,(SUM('Staging Table'!DR56:DU56)*Rates_previous!$C$87),(SUM('Staging Table'!DR56:DU56)*Rates_previous!$D$87)))</f>
        <v>5329.3547745545484</v>
      </c>
      <c r="J54" s="252">
        <f>IF(Init!$R$9="Yes",IF('Staging Table'!D56=1,'Staging Table'!H56*-1,'Staging Table'!H56*SUM(D54:I54)*(-1)),IF('Staging Table'!D56=1,'Staging Table'!BV56*-1,'Staging Table'!BV56*SUM(D54:I54)*(-1)))</f>
        <v>-28923.846035235321</v>
      </c>
      <c r="K54" s="250">
        <f>IF(Init!$R$9="Yes",'Staging Table'!K56,'Staging Table'!BY56)*(-1)*Rates_previous!$H$32</f>
        <v>-67849.131840000002</v>
      </c>
      <c r="L54" s="250">
        <f>IF(Init!$R$12="No",0,'Staging Table'!$BI56*-1)</f>
        <v>-15101.354368560689</v>
      </c>
      <c r="M54" s="250">
        <f>IF('Staging Table'!C56=1,"",SUM(D54:L54))</f>
        <v>778194.23070311209</v>
      </c>
      <c r="N54" s="250">
        <f>IF('Staging Table'!C56=1,"",IF(Init!$R$9="Yes",(RT1SC!$C$3*'Staging Table'!E56*'Staging Table'!$F$2)+SUM('Staging Table'!L56:AI56)-IF(Init!$R$15="No",'Staging Table'!BH56, 0),Z54))</f>
        <v>23161.440000000002</v>
      </c>
      <c r="O54" s="126">
        <f>IF('Staging Table'!C56=1,"",IF(N54=0, 0, M54/N54))</f>
        <v>33.598698125121409</v>
      </c>
      <c r="P54" s="250">
        <f>'Staging Table'!BS56*Rates_current!$E$74*100*12</f>
        <v>904320.49979999999</v>
      </c>
      <c r="Q54" s="250">
        <f>'Staging Table'!BT56*Rates_current!$E$75*100*12</f>
        <v>-91486.659</v>
      </c>
      <c r="R54" s="251">
        <f>SUMPRODUCT('Staging Table'!BZ56:CW56, LS_Demand_Rates_Restatement!$C$5:$Z$5)-IF(Init!$R$15="No",('Staging Table'!DV56*Rates_current!$H$34), 0)</f>
        <v>-15575.430758589344</v>
      </c>
      <c r="S54" s="251">
        <f>SUMPRODUCT('Staging Table'!CX56:DI56, LS_Demand_Rates_Restatement!$C$11:$N$11)*1000</f>
        <v>69850.290000000008</v>
      </c>
      <c r="T54" s="252">
        <f>'Staging Table'!EF56*IF(Init!$R$18="Yes",IF(Init!$R$6=2020,Rates_current!$C$88,Rates_current!$D$88),Rates_current!$H$33)</f>
        <v>0</v>
      </c>
      <c r="U54" s="252">
        <f>IF(Init!$R$18="Yes",(SUM('Staging Table'!DL56:DU56)*IF('Staging Table'!$BT$1=2020, Rates_current!$C$87, Rates_current!$D$87)),0)</f>
        <v>15786.432897290688</v>
      </c>
      <c r="V54" s="252">
        <f>IF('Staging Table'!D56=1, 'Staging Table'!BV56*-1,SUM(P54:U54)*'Staging Table'!BV56*-1)</f>
        <v>-29102.872267058414</v>
      </c>
      <c r="W54" s="250">
        <f>'Staging Table'!BY56*Rates_current!$H$32*-1</f>
        <v>-64098.967239999998</v>
      </c>
      <c r="X54" s="250">
        <f>IF(Init!$R$12="No",0,'Staging Table'!$DW56*-1)</f>
        <v>0</v>
      </c>
      <c r="Y54" s="250">
        <f>IF('Staging Table'!C56=1,"",SUM(P54:X54))</f>
        <v>789693.29343164293</v>
      </c>
      <c r="Z54" s="250">
        <f>IF('Staging Table'!C56=1,"",(RT1SC!$C$4*'Staging Table'!BS56*'Staging Table'!$BT$2)+SUM('Staging Table'!BZ56:CW56)-IF(Init!$R$15="No",'Staging Table'!DV56, 0))</f>
        <v>23479.632000000001</v>
      </c>
      <c r="AA54" s="126">
        <f>IF('Staging Table'!C56=1,"",IF(Z54=0, 0, Y54/Z54))</f>
        <v>33.633120545996753</v>
      </c>
      <c r="AB54" s="118">
        <f ca="1">IF('Staging Table'!C56=1,"",(AA54/O54-1)+(RAND()/100000000000000))</f>
        <v>1.0245165079710732E-3</v>
      </c>
      <c r="AC54" s="79">
        <f t="shared" ca="1" si="0"/>
        <v>88</v>
      </c>
      <c r="AF54" s="255"/>
      <c r="AG54" s="255"/>
      <c r="AH54" s="271"/>
      <c r="AI54" s="255"/>
      <c r="AJ54" s="255"/>
    </row>
    <row r="55" spans="2:36">
      <c r="B55" s="3">
        <v>10144</v>
      </c>
      <c r="C55" s="4" t="s">
        <v>58</v>
      </c>
      <c r="D55" s="250">
        <f>IF(Init!$R$9="Yes",'Staging Table'!E57,'Staging Table'!BS57)*Rates_previous!$E$75*100*12</f>
        <v>1196925.62112</v>
      </c>
      <c r="E55" s="250">
        <f>IF(Init!$R$9="Yes",'Staging Table'!F57,'Staging Table'!BT57)*Rates_previous!$E$76*100*12</f>
        <v>-168792.56280000001</v>
      </c>
      <c r="F55" s="251">
        <f>IF(Init!$R$9="Yes",SUMPRODUCT('Staging Table'!L57:AI57,LS_Demand_Rates_Restatement!$C$4:$Z$4)-IF(Init!$R$15="No",('Staging Table'!BH57*Rates_previous!$H$34), 0),SUMPRODUCT('Staging Table'!BZ57:CW57,LS_Demand_Rates_Restatement!$C$4:$Z$4)-IF(Init!$R$15="No", 'Staging Table'!DV57*Rates_previous!$H$34, 0))</f>
        <v>30056.680000000026</v>
      </c>
      <c r="G55" s="251">
        <f>IF(Init!$R$9="Yes",SUMPRODUCT('Staging Table'!AJ57:AU57,LS_Demand_Rates_Restatement!$C$10:$N$10),SUMPRODUCT(LS_Demand_Rates_Restatement!$C$10:$N$10,'Staging Table'!CX57:DI57))*1000</f>
        <v>96317.88</v>
      </c>
      <c r="H55" s="252">
        <f>IF(Init!$R$9="Yes",'Staging Table'!BR57,'Staging Table'!EF57)*IF(Init!$R$3=2018,Rates_previous!$C$88,Rates_previous!$D$88)</f>
        <v>3975.4181014838059</v>
      </c>
      <c r="I55" s="250">
        <f>IF(Init!$R$9="Yes",IF('Staging Table'!$F$1=2018,(SUM('Staging Table'!BD57:BG57)*Rates_previous!$C$87),(SUM('Staging Table'!BD57:BG57)*Rates_previous!$D$87)),IF('Staging Table'!$F$1=2018,(SUM('Staging Table'!DR57:DU57)*Rates_previous!$C$87),(SUM('Staging Table'!DR57:DU57)*Rates_previous!$D$87)))</f>
        <v>6576.6505728545517</v>
      </c>
      <c r="J55" s="252">
        <f>IF(Init!$R$9="Yes",IF('Staging Table'!D57=1,'Staging Table'!H57*-1,'Staging Table'!H57*SUM(D55:I55)*(-1)),IF('Staging Table'!D57=1,'Staging Table'!BV57*-1,'Staging Table'!BV57*SUM(D55:I55)*(-1)))</f>
        <v>0</v>
      </c>
      <c r="K55" s="250">
        <f>IF(Init!$R$9="Yes",'Staging Table'!K57,'Staging Table'!BY57)*(-1)*Rates_previous!$H$32</f>
        <v>0</v>
      </c>
      <c r="L55" s="250">
        <f>IF(Init!$R$12="No",0,'Staging Table'!$BI57*-1)</f>
        <v>-41873.892466229881</v>
      </c>
      <c r="M55" s="250">
        <f>IF('Staging Table'!C57=1,"",SUM(D55:L55))</f>
        <v>1123185.7945281083</v>
      </c>
      <c r="N55" s="250">
        <f>IF('Staging Table'!C57=1,"",IF(Init!$R$9="Yes",(RT1SC!$C$3*'Staging Table'!E57*'Staging Table'!$F$2)+SUM('Staging Table'!L57:AI57)-IF(Init!$R$15="No",'Staging Table'!BH57, 0),Z55))</f>
        <v>28890.152581007995</v>
      </c>
      <c r="O55" s="126">
        <f>IF('Staging Table'!C57=1,"",IF(N55=0, 0, M55/N55))</f>
        <v>38.877807632849809</v>
      </c>
      <c r="P55" s="250">
        <f>'Staging Table'!BS57*Rates_current!$E$74*100*12</f>
        <v>1133430.87084</v>
      </c>
      <c r="Q55" s="250">
        <f>'Staging Table'!BT57*Rates_current!$E$75*100*12</f>
        <v>-114664.88219999999</v>
      </c>
      <c r="R55" s="251">
        <f>SUMPRODUCT('Staging Table'!BZ57:CW57, LS_Demand_Rates_Restatement!$C$5:$Z$5)-IF(Init!$R$15="No",('Staging Table'!DV57*Rates_current!$H$34), 0)</f>
        <v>14778.379999999983</v>
      </c>
      <c r="S55" s="251">
        <f>SUMPRODUCT('Staging Table'!CX57:DI57, LS_Demand_Rates_Restatement!$C$11:$N$11)*1000</f>
        <v>105890.1</v>
      </c>
      <c r="T55" s="252">
        <f>'Staging Table'!EF57*IF(Init!$R$18="Yes",IF(Init!$R$6=2020,Rates_current!$C$88,Rates_current!$D$88),Rates_current!$H$33)</f>
        <v>-8571.2256929526429</v>
      </c>
      <c r="U55" s="252">
        <f>IF(Init!$R$18="Yes",(SUM('Staging Table'!DL57:DU57)*IF('Staging Table'!$BT$1=2020, Rates_current!$C$87, Rates_current!$D$87)),0)</f>
        <v>19785.939155631877</v>
      </c>
      <c r="V55" s="252">
        <f>IF('Staging Table'!D57=1, 'Staging Table'!BV57*-1,SUM(P55:U55)*'Staging Table'!BV57*-1)</f>
        <v>0</v>
      </c>
      <c r="W55" s="250">
        <f>'Staging Table'!BY57*Rates_current!$H$32*-1</f>
        <v>0</v>
      </c>
      <c r="X55" s="250">
        <f>IF(Init!$R$12="No",0,'Staging Table'!$DW57*-1)</f>
        <v>0</v>
      </c>
      <c r="Y55" s="250">
        <f>IF('Staging Table'!C57=1,"",SUM(P55:X55))</f>
        <v>1150649.1821026793</v>
      </c>
      <c r="Z55" s="250">
        <f>IF('Staging Table'!C57=1,"",(RT1SC!$C$4*'Staging Table'!BS57*'Staging Table'!$BT$2)+SUM('Staging Table'!BZ57:CW57)-IF(Init!$R$15="No",'Staging Table'!DV57, 0))</f>
        <v>28886.310164275197</v>
      </c>
      <c r="AA55" s="126">
        <f>IF('Staging Table'!C57=1,"",IF(Z55=0, 0, Y55/Z55))</f>
        <v>39.833719694865394</v>
      </c>
      <c r="AB55" s="118">
        <f ca="1">IF('Staging Table'!C57=1,"",(AA55/O55-1)+(RAND()/100000000000000))</f>
        <v>2.45876020336133E-2</v>
      </c>
      <c r="AC55" s="79">
        <f t="shared" ca="1" si="0"/>
        <v>29</v>
      </c>
      <c r="AF55" s="255"/>
      <c r="AG55" s="255"/>
      <c r="AH55" s="271"/>
      <c r="AI55" s="255"/>
      <c r="AJ55" s="255"/>
    </row>
    <row r="56" spans="2:36">
      <c r="B56" s="3">
        <v>10156</v>
      </c>
      <c r="C56" s="4" t="s">
        <v>59</v>
      </c>
      <c r="D56" s="250">
        <f>IF(Init!$R$9="Yes",'Staging Table'!E58,'Staging Table'!BS58)*Rates_previous!$E$75*100*12</f>
        <v>11600853.81696</v>
      </c>
      <c r="E56" s="250">
        <f>IF(Init!$R$9="Yes",'Staging Table'!F58,'Staging Table'!BT58)*Rates_previous!$E$76*100*12</f>
        <v>-1635972.8724000002</v>
      </c>
      <c r="F56" s="251">
        <f>IF(Init!$R$9="Yes",SUMPRODUCT('Staging Table'!L58:AI58,LS_Demand_Rates_Restatement!$C$4:$Z$4)-IF(Init!$R$15="No",('Staging Table'!BH58*Rates_previous!$H$34), 0),SUMPRODUCT('Staging Table'!BZ58:CW58,LS_Demand_Rates_Restatement!$C$4:$Z$4)-IF(Init!$R$15="No", 'Staging Table'!DV58*Rates_previous!$H$34, 0))</f>
        <v>225858.43643415446</v>
      </c>
      <c r="G56" s="251">
        <f>IF(Init!$R$9="Yes",SUMPRODUCT('Staging Table'!AJ58:AU58,LS_Demand_Rates_Restatement!$C$10:$N$10),SUMPRODUCT(LS_Demand_Rates_Restatement!$C$10:$N$10,'Staging Table'!CX58:DI58))*1000</f>
        <v>738919.24</v>
      </c>
      <c r="H56" s="252">
        <f>IF(Init!$R$9="Yes",'Staging Table'!BR58,'Staging Table'!EF58)*IF(Init!$R$3=2018,Rates_previous!$C$88,Rates_previous!$D$88)</f>
        <v>11143.070400000513</v>
      </c>
      <c r="I56" s="250">
        <f>IF(Init!$R$9="Yes",IF('Staging Table'!$F$1=2018,(SUM('Staging Table'!BD58:BG58)*Rates_previous!$C$87),(SUM('Staging Table'!BD58:BG58)*Rates_previous!$D$87)),IF('Staging Table'!$F$1=2018,(SUM('Staging Table'!DR58:DU58)*Rates_previous!$C$87),(SUM('Staging Table'!DR58:DU58)*Rates_previous!$D$87)))</f>
        <v>63742.27483702833</v>
      </c>
      <c r="J56" s="252">
        <f>IF(Init!$R$9="Yes",IF('Staging Table'!D58=1,'Staging Table'!H58*-1,'Staging Table'!H58*SUM(D56:I56)*(-1)),IF('Staging Table'!D58=1,'Staging Table'!BV58*-1,'Staging Table'!BV58*SUM(D56:I56)*(-1)))</f>
        <v>0</v>
      </c>
      <c r="K56" s="250">
        <f>IF(Init!$R$9="Yes",'Staging Table'!K58,'Staging Table'!BY58)*(-1)*Rates_previous!$H$32</f>
        <v>0</v>
      </c>
      <c r="L56" s="250">
        <f>IF(Init!$R$12="No",0,'Staging Table'!$BI58*-1)</f>
        <v>-180621.24240032636</v>
      </c>
      <c r="M56" s="250">
        <f>IF('Staging Table'!C58=1,"",SUM(D56:L56))</f>
        <v>10823922.723830856</v>
      </c>
      <c r="N56" s="250">
        <f>IF('Staging Table'!C58=1,"",IF(Init!$R$9="Yes",(RT1SC!$C$3*'Staging Table'!E58*'Staging Table'!$F$2)+SUM('Staging Table'!L58:AI58)-IF(Init!$R$15="No",'Staging Table'!BH58, 0),Z56))</f>
        <v>277875.96000000002</v>
      </c>
      <c r="O56" s="126">
        <f>IF('Staging Table'!C58=1,"",IF(N56=0, 0, M56/N56))</f>
        <v>38.95235386260422</v>
      </c>
      <c r="P56" s="250">
        <f>'Staging Table'!BS58*Rates_current!$E$74*100*12</f>
        <v>10849469.333999999</v>
      </c>
      <c r="Q56" s="250">
        <f>'Staging Table'!BT58*Rates_current!$E$75*100*12</f>
        <v>-1097599.47</v>
      </c>
      <c r="R56" s="251">
        <f>SUMPRODUCT('Staging Table'!BZ58:CW58, LS_Demand_Rates_Restatement!$C$5:$Z$5)-IF(Init!$R$15="No",('Staging Table'!DV58*Rates_current!$H$34), 0)</f>
        <v>227642.30815316472</v>
      </c>
      <c r="S56" s="251">
        <f>SUMPRODUCT('Staging Table'!CX58:DI58, LS_Demand_Rates_Restatement!$C$11:$N$11)*1000</f>
        <v>828244.16999999981</v>
      </c>
      <c r="T56" s="252">
        <f>'Staging Table'!EF58*IF(Init!$R$18="Yes",IF(Init!$R$6=2020,Rates_current!$C$88,Rates_current!$D$88),Rates_current!$H$33)</f>
        <v>0</v>
      </c>
      <c r="U56" s="252">
        <f>IF(Init!$R$18="Yes",(SUM('Staging Table'!DL58:DU58)*IF('Staging Table'!$BT$1=2020, Rates_current!$C$87, Rates_current!$D$87)),0)</f>
        <v>189395.70611335602</v>
      </c>
      <c r="V56" s="252">
        <f>IF('Staging Table'!D58=1, 'Staging Table'!BV58*-1,SUM(P56:U56)*'Staging Table'!BV58*-1)</f>
        <v>0</v>
      </c>
      <c r="W56" s="250">
        <f>'Staging Table'!BY58*Rates_current!$H$32*-1</f>
        <v>0</v>
      </c>
      <c r="X56" s="250">
        <f>IF(Init!$R$12="No",0,'Staging Table'!$DW58*-1)</f>
        <v>0</v>
      </c>
      <c r="Y56" s="250">
        <f>IF('Staging Table'!C58=1,"",SUM(P56:X56))</f>
        <v>10997152.048266519</v>
      </c>
      <c r="Z56" s="250">
        <f>IF('Staging Table'!C58=1,"",(RT1SC!$C$4*'Staging Table'!BS58*'Staging Table'!$BT$2)+SUM('Staging Table'!BZ58:CW58)-IF(Init!$R$15="No",'Staging Table'!DV58, 0))</f>
        <v>281676.52799999999</v>
      </c>
      <c r="AA56" s="126">
        <f>IF('Staging Table'!C58=1,"",IF(Z56=0, 0, Y56/Z56))</f>
        <v>39.041776488620023</v>
      </c>
      <c r="AB56" s="118">
        <f ca="1">IF('Staging Table'!C58=1,"",(AA56/O56-1)+(RAND()/100000000000000))</f>
        <v>2.2956924844989872E-3</v>
      </c>
      <c r="AC56" s="79">
        <f t="shared" ca="1" si="0"/>
        <v>83</v>
      </c>
      <c r="AF56" s="255"/>
      <c r="AG56" s="255"/>
      <c r="AH56" s="271"/>
      <c r="AI56" s="255"/>
      <c r="AJ56" s="255"/>
    </row>
    <row r="57" spans="2:36">
      <c r="B57" s="3">
        <v>10157</v>
      </c>
      <c r="C57" s="4" t="s">
        <v>60</v>
      </c>
      <c r="D57" s="250">
        <f>IF(Init!$R$9="Yes",'Staging Table'!E59,'Staging Table'!BS59)*Rates_previous!$E$75*100*12</f>
        <v>18033118.856640004</v>
      </c>
      <c r="E57" s="250">
        <f>IF(Init!$R$9="Yes",'Staging Table'!F59,'Staging Table'!BT59)*Rates_previous!$E$76*100*12</f>
        <v>-1213704.0366</v>
      </c>
      <c r="F57" s="251">
        <f>IF(Init!$R$9="Yes",SUMPRODUCT('Staging Table'!L59:AI59,LS_Demand_Rates_Restatement!$C$4:$Z$4)-IF(Init!$R$15="No",('Staging Table'!BH59*Rates_previous!$H$34), 0),SUMPRODUCT('Staging Table'!BZ59:CW59,LS_Demand_Rates_Restatement!$C$4:$Z$4)-IF(Init!$R$15="No", 'Staging Table'!DV59*Rates_previous!$H$34, 0))</f>
        <v>60504.600000000049</v>
      </c>
      <c r="G57" s="251">
        <f>IF(Init!$R$9="Yes",SUMPRODUCT('Staging Table'!AJ59:AU59,LS_Demand_Rates_Restatement!$C$10:$N$10),SUMPRODUCT(LS_Demand_Rates_Restatement!$C$10:$N$10,'Staging Table'!CX59:DI59))*1000</f>
        <v>0</v>
      </c>
      <c r="H57" s="252">
        <f>IF(Init!$R$9="Yes",'Staging Table'!BR59,'Staging Table'!EF59)*IF(Init!$R$3=2018,Rates_previous!$C$88,Rates_previous!$D$88)</f>
        <v>0</v>
      </c>
      <c r="I57" s="250">
        <f>IF(Init!$R$9="Yes",IF('Staging Table'!$F$1=2018,(SUM('Staging Table'!BD59:BG59)*Rates_previous!$C$87),(SUM('Staging Table'!BD59:BG59)*Rates_previous!$D$87)),IF('Staging Table'!$F$1=2018,(SUM('Staging Table'!DR59:DU59)*Rates_previous!$C$87),(SUM('Staging Table'!DR59:DU59)*Rates_previous!$D$87)))</f>
        <v>47289.449340485226</v>
      </c>
      <c r="J57" s="252">
        <f>IF(Init!$R$9="Yes",IF('Staging Table'!D59=1,'Staging Table'!H59*-1,'Staging Table'!H59*SUM(D57:I57)*(-1)),IF('Staging Table'!D59=1,'Staging Table'!BV59*-1,'Staging Table'!BV59*SUM(D57:I57)*(-1)))</f>
        <v>-960000</v>
      </c>
      <c r="K57" s="250">
        <f>IF(Init!$R$9="Yes",'Staging Table'!K59,'Staging Table'!BY59)*(-1)*Rates_previous!$H$32</f>
        <v>0</v>
      </c>
      <c r="L57" s="250">
        <f>IF(Init!$R$12="No",0,'Staging Table'!$BI59*-1)</f>
        <v>-657317.14694681426</v>
      </c>
      <c r="M57" s="250">
        <f>IF('Staging Table'!C59=1,"",SUM(D57:L57))</f>
        <v>15309891.722433675</v>
      </c>
      <c r="N57" s="250">
        <f>IF('Staging Table'!C59=1,"",IF(Init!$R$9="Yes",(RT1SC!$C$3*'Staging Table'!E59*'Staging Table'!$F$2)+SUM('Staging Table'!L59:AI59)-IF(Init!$R$15="No",'Staging Table'!BH59, 0),Z57))</f>
        <v>430094.81477997603</v>
      </c>
      <c r="O57" s="126">
        <f>IF('Staging Table'!C59=1,"",IF(N57=0, 0, M57/N57))</f>
        <v>35.596550333362586</v>
      </c>
      <c r="P57" s="250">
        <f>'Staging Table'!BS59*Rates_current!$E$74*100*12</f>
        <v>16812993.639119998</v>
      </c>
      <c r="Q57" s="250">
        <f>'Staging Table'!BT59*Rates_current!$E$75*100*12</f>
        <v>-811766.77560000005</v>
      </c>
      <c r="R57" s="251">
        <f>SUMPRODUCT('Staging Table'!BZ59:CW59, LS_Demand_Rates_Restatement!$C$5:$Z$5)-IF(Init!$R$15="No",('Staging Table'!DV59*Rates_current!$H$34), 0)</f>
        <v>71285.590000000055</v>
      </c>
      <c r="S57" s="251">
        <f>SUMPRODUCT('Staging Table'!CX59:DI59, LS_Demand_Rates_Restatement!$C$11:$N$11)*1000</f>
        <v>0</v>
      </c>
      <c r="T57" s="252">
        <f>'Staging Table'!EF59*IF(Init!$R$18="Yes",IF(Init!$R$6=2020,Rates_current!$C$88,Rates_current!$D$88),Rates_current!$H$33)</f>
        <v>0</v>
      </c>
      <c r="U57" s="252">
        <f>IF(Init!$R$18="Yes",(SUM('Staging Table'!DL59:DU59)*IF('Staging Table'!$BT$1=2020, Rates_current!$C$87, Rates_current!$D$87)),0)</f>
        <v>140073.9940810324</v>
      </c>
      <c r="V57" s="252">
        <f>IF('Staging Table'!D59=1, 'Staging Table'!BV59*-1,SUM(P57:U57)*'Staging Table'!BV59*-1)</f>
        <v>-960000</v>
      </c>
      <c r="W57" s="250">
        <f>'Staging Table'!BY59*Rates_current!$H$32*-1</f>
        <v>0</v>
      </c>
      <c r="X57" s="250">
        <f>IF(Init!$R$12="No",0,'Staging Table'!$DW59*-1)</f>
        <v>0</v>
      </c>
      <c r="Y57" s="250">
        <f>IF('Staging Table'!C59=1,"",SUM(P57:X57))</f>
        <v>15252586.44760103</v>
      </c>
      <c r="Z57" s="250">
        <f>IF('Staging Table'!C59=1,"",(RT1SC!$C$4*'Staging Table'!BS59*'Staging Table'!$BT$2)+SUM('Staging Table'!BZ59:CW59)-IF(Init!$R$15="No",'Staging Table'!DV59, 0))</f>
        <v>435543.5797108736</v>
      </c>
      <c r="AA57" s="126">
        <f>IF('Staging Table'!C59=1,"",IF(Z57=0, 0, Y57/Z57))</f>
        <v>35.019656259716044</v>
      </c>
      <c r="AB57" s="118">
        <f ca="1">IF('Staging Table'!C59=1,"",(AA57/O57-1)+(RAND()/100000000000000))</f>
        <v>-1.6206460127282711E-2</v>
      </c>
      <c r="AC57" s="79">
        <f t="shared" ca="1" si="0"/>
        <v>106</v>
      </c>
      <c r="AF57" s="255"/>
      <c r="AG57" s="255"/>
      <c r="AH57" s="271"/>
      <c r="AI57" s="255"/>
      <c r="AJ57" s="255"/>
    </row>
    <row r="58" spans="2:36">
      <c r="B58" s="3">
        <v>10158</v>
      </c>
      <c r="C58" s="4" t="s">
        <v>61</v>
      </c>
      <c r="D58" s="250">
        <f>IF(Init!$R$9="Yes",'Staging Table'!E60,'Staging Table'!BS60)*Rates_previous!$E$75*100*12</f>
        <v>967374.75167999999</v>
      </c>
      <c r="E58" s="250">
        <f>IF(Init!$R$9="Yes",'Staging Table'!F60,'Staging Table'!BT60)*Rates_previous!$E$76*100*12</f>
        <v>-136420.89419999998</v>
      </c>
      <c r="F58" s="251">
        <f>IF(Init!$R$9="Yes",SUMPRODUCT('Staging Table'!L60:AI60,LS_Demand_Rates_Restatement!$C$4:$Z$4)-IF(Init!$R$15="No",('Staging Table'!BH60*Rates_previous!$H$34), 0),SUMPRODUCT('Staging Table'!BZ60:CW60,LS_Demand_Rates_Restatement!$C$4:$Z$4)-IF(Init!$R$15="No", 'Staging Table'!DV60*Rates_previous!$H$34, 0))</f>
        <v>-41031.329999999994</v>
      </c>
      <c r="G58" s="251">
        <f>IF(Init!$R$9="Yes",SUMPRODUCT('Staging Table'!AJ60:AU60,LS_Demand_Rates_Restatement!$C$10:$N$10),SUMPRODUCT(LS_Demand_Rates_Restatement!$C$10:$N$10,'Staging Table'!CX60:DI60))*1000</f>
        <v>15950.710000000001</v>
      </c>
      <c r="H58" s="252">
        <f>IF(Init!$R$9="Yes",'Staging Table'!BR60,'Staging Table'!EF60)*IF(Init!$R$3=2018,Rates_previous!$C$88,Rates_previous!$D$88)</f>
        <v>-29002.092622534255</v>
      </c>
      <c r="I58" s="250">
        <f>IF(Init!$R$9="Yes",IF('Staging Table'!$F$1=2018,(SUM('Staging Table'!BD60:BG60)*Rates_previous!$C$87),(SUM('Staging Table'!BD60:BG60)*Rates_previous!$D$87)),IF('Staging Table'!$F$1=2018,(SUM('Staging Table'!DR60:DU60)*Rates_previous!$C$87),(SUM('Staging Table'!DR60:DU60)*Rates_previous!$D$87)))</f>
        <v>5315.3559440461313</v>
      </c>
      <c r="J58" s="252">
        <f>IF(Init!$R$9="Yes",IF('Staging Table'!D60=1,'Staging Table'!H60*-1,'Staging Table'!H60*SUM(D58:I58)*(-1)),IF('Staging Table'!D60=1,'Staging Table'!BV60*-1,'Staging Table'!BV60*SUM(D58:I58)*(-1)))</f>
        <v>0</v>
      </c>
      <c r="K58" s="250">
        <f>IF(Init!$R$9="Yes",'Staging Table'!K60,'Staging Table'!BY60)*(-1)*Rates_previous!$H$32</f>
        <v>0</v>
      </c>
      <c r="L58" s="250">
        <f>IF(Init!$R$12="No",0,'Staging Table'!$BI60*-1)</f>
        <v>-35476.457803994388</v>
      </c>
      <c r="M58" s="250">
        <f>IF('Staging Table'!C60=1,"",SUM(D58:L58))</f>
        <v>746710.04299751751</v>
      </c>
      <c r="N58" s="250">
        <f>IF('Staging Table'!C60=1,"",IF(Init!$R$9="Yes",(RT1SC!$C$3*'Staging Table'!E60*'Staging Table'!$F$2)+SUM('Staging Table'!L60:AI60)-IF(Init!$R$15="No",'Staging Table'!BH60, 0),Z58))</f>
        <v>20865.752309511998</v>
      </c>
      <c r="O58" s="126">
        <f>IF('Staging Table'!C60=1,"",IF(N58=0, 0, M58/N58))</f>
        <v>35.786394466933139</v>
      </c>
      <c r="P58" s="250">
        <f>'Staging Table'!BS60*Rates_current!$E$74*100*12</f>
        <v>817334.61204000015</v>
      </c>
      <c r="Q58" s="250">
        <f>'Staging Table'!BT60*Rates_current!$E$75*100*12</f>
        <v>-82686.628200000006</v>
      </c>
      <c r="R58" s="251">
        <f>SUMPRODUCT('Staging Table'!BZ60:CW60, LS_Demand_Rates_Restatement!$C$5:$Z$5)-IF(Init!$R$15="No",('Staging Table'!DV60*Rates_current!$H$34), 0)</f>
        <v>4499.4300000000076</v>
      </c>
      <c r="S58" s="251">
        <f>SUMPRODUCT('Staging Table'!CX60:DI60, LS_Demand_Rates_Restatement!$C$11:$N$11)*1000</f>
        <v>16655.52</v>
      </c>
      <c r="T58" s="252">
        <f>'Staging Table'!EF60*IF(Init!$R$18="Yes",IF(Init!$R$6=2020,Rates_current!$C$88,Rates_current!$D$88),Rates_current!$H$33)</f>
        <v>-5623.9236163523065</v>
      </c>
      <c r="U58" s="252">
        <f>IF(Init!$R$18="Yes",(SUM('Staging Table'!DL60:DU60)*IF('Staging Table'!$BT$1=2020, Rates_current!$C$87, Rates_current!$D$87)),0)</f>
        <v>14267.948156053266</v>
      </c>
      <c r="V58" s="252">
        <f>IF('Staging Table'!D60=1, 'Staging Table'!BV60*-1,SUM(P58:U58)*'Staging Table'!BV60*-1)</f>
        <v>0</v>
      </c>
      <c r="W58" s="250">
        <f>'Staging Table'!BY60*Rates_current!$H$32*-1</f>
        <v>0</v>
      </c>
      <c r="X58" s="250">
        <f>IF(Init!$R$12="No",0,'Staging Table'!$DW60*-1)</f>
        <v>0</v>
      </c>
      <c r="Y58" s="250">
        <f>IF('Staging Table'!C60=1,"",SUM(P58:X58))</f>
        <v>764446.95837970125</v>
      </c>
      <c r="Z58" s="250">
        <f>IF('Staging Table'!C60=1,"",(RT1SC!$C$4*'Staging Table'!BS60*'Staging Table'!$BT$2)+SUM('Staging Table'!BZ60:CW60)-IF(Init!$R$15="No",'Staging Table'!DV60, 0))</f>
        <v>20867.769481011197</v>
      </c>
      <c r="AA58" s="126">
        <f>IF('Staging Table'!C60=1,"",IF(Z58=0, 0, Y58/Z58))</f>
        <v>36.632902192796223</v>
      </c>
      <c r="AB58" s="118">
        <f ca="1">IF('Staging Table'!C60=1,"",(AA58/O58-1)+(RAND()/100000000000000))</f>
        <v>2.365445690946924E-2</v>
      </c>
      <c r="AC58" s="79">
        <f t="shared" ca="1" si="0"/>
        <v>38</v>
      </c>
      <c r="AF58" s="255"/>
      <c r="AG58" s="255"/>
      <c r="AH58" s="271"/>
      <c r="AI58" s="255"/>
      <c r="AJ58" s="255"/>
    </row>
    <row r="59" spans="2:36">
      <c r="B59" s="3">
        <v>10170</v>
      </c>
      <c r="C59" s="4" t="s">
        <v>62</v>
      </c>
      <c r="D59" s="250">
        <f>IF(Init!$R$9="Yes",'Staging Table'!E61,'Staging Table'!BS61)*Rates_previous!$E$75*100*12</f>
        <v>87586522.750079989</v>
      </c>
      <c r="E59" s="250">
        <f>IF(Init!$R$9="Yes",'Staging Table'!F61,'Staging Table'!BT61)*Rates_previous!$E$76*100*12</f>
        <v>-5904865.4100000001</v>
      </c>
      <c r="F59" s="251">
        <f>IF(Init!$R$9="Yes",SUMPRODUCT('Staging Table'!L61:AI61,LS_Demand_Rates_Restatement!$C$4:$Z$4)-IF(Init!$R$15="No",('Staging Table'!BH61*Rates_previous!$H$34), 0),SUMPRODUCT('Staging Table'!BZ61:CW61,LS_Demand_Rates_Restatement!$C$4:$Z$4)-IF(Init!$R$15="No", 'Staging Table'!DV61*Rates_previous!$H$34, 0))</f>
        <v>321349.33000000019</v>
      </c>
      <c r="G59" s="251">
        <f>IF(Init!$R$9="Yes",SUMPRODUCT('Staging Table'!AJ61:AU61,LS_Demand_Rates_Restatement!$C$10:$N$10),SUMPRODUCT(LS_Demand_Rates_Restatement!$C$10:$N$10,'Staging Table'!CX61:DI61))*1000</f>
        <v>0</v>
      </c>
      <c r="H59" s="252">
        <f>IF(Init!$R$9="Yes",'Staging Table'!BR61,'Staging Table'!EF61)*IF(Init!$R$3=2018,Rates_previous!$C$88,Rates_previous!$D$88)</f>
        <v>0</v>
      </c>
      <c r="I59" s="250">
        <f>IF(Init!$R$9="Yes",IF('Staging Table'!$F$1=2018,(SUM('Staging Table'!BD61:BG61)*Rates_previous!$C$87),(SUM('Staging Table'!BD61:BG61)*Rates_previous!$D$87)),IF('Staging Table'!$F$1=2018,(SUM('Staging Table'!DR61:DU61)*Rates_previous!$C$87),(SUM('Staging Table'!DR61:DU61)*Rates_previous!$D$87)))</f>
        <v>230070.77940584192</v>
      </c>
      <c r="J59" s="252">
        <f>IF(Init!$R$9="Yes",IF('Staging Table'!D61=1,'Staging Table'!H61*-1,'Staging Table'!H61*SUM(D59:I59)*(-1)),IF('Staging Table'!D61=1,'Staging Table'!BV61*-1,'Staging Table'!BV61*SUM(D59:I59)*(-1)))</f>
        <v>0</v>
      </c>
      <c r="K59" s="250">
        <f>IF(Init!$R$9="Yes",'Staging Table'!K61,'Staging Table'!BY61)*(-1)*Rates_previous!$H$32</f>
        <v>0</v>
      </c>
      <c r="L59" s="250">
        <f>IF(Init!$R$12="No",0,'Staging Table'!$BI61*-1)</f>
        <v>-2844268.4545550141</v>
      </c>
      <c r="M59" s="250">
        <f>IF('Staging Table'!C61=1,"",SUM(D59:L59))</f>
        <v>79388808.994930819</v>
      </c>
      <c r="N59" s="250">
        <f>IF('Staging Table'!C61=1,"",IF(Init!$R$9="Yes",(RT1SC!$C$3*'Staging Table'!E61*'Staging Table'!$F$2)+SUM('Staging Table'!L61:AI61)-IF(Init!$R$15="No",'Staging Table'!BH61, 0),Z59))</f>
        <v>2092175.9296730717</v>
      </c>
      <c r="O59" s="126">
        <f>IF('Staging Table'!C61=1,"",IF(N59=0, 0, M59/N59))</f>
        <v>37.945570383909491</v>
      </c>
      <c r="P59" s="250">
        <f>'Staging Table'!BS61*Rates_current!$E$74*100*12</f>
        <v>80558438.720160007</v>
      </c>
      <c r="Q59" s="250">
        <f>'Staging Table'!BT61*Rates_current!$E$75*100*12</f>
        <v>-3837871.3560000001</v>
      </c>
      <c r="R59" s="251">
        <f>SUMPRODUCT('Staging Table'!BZ61:CW61, LS_Demand_Rates_Restatement!$C$5:$Z$5)-IF(Init!$R$15="No",('Staging Table'!DV61*Rates_current!$H$34), 0)</f>
        <v>277437.13000000012</v>
      </c>
      <c r="S59" s="251">
        <f>SUMPRODUCT('Staging Table'!CX61:DI61, LS_Demand_Rates_Restatement!$C$11:$N$11)*1000</f>
        <v>0</v>
      </c>
      <c r="T59" s="252">
        <f>'Staging Table'!EF61*IF(Init!$R$18="Yes",IF(Init!$R$6=2020,Rates_current!$C$88,Rates_current!$D$88),Rates_current!$H$33)</f>
        <v>0</v>
      </c>
      <c r="U59" s="252">
        <f>IF(Init!$R$18="Yes",(SUM('Staging Table'!DL61:DU61)*IF('Staging Table'!$BT$1=2020, Rates_current!$C$87, Rates_current!$D$87)),0)</f>
        <v>662241.89725769754</v>
      </c>
      <c r="V59" s="252">
        <f>IF('Staging Table'!D61=1, 'Staging Table'!BV61*-1,SUM(P59:U59)*'Staging Table'!BV61*-1)</f>
        <v>0</v>
      </c>
      <c r="W59" s="250">
        <f>'Staging Table'!BY61*Rates_current!$H$32*-1</f>
        <v>0</v>
      </c>
      <c r="X59" s="250">
        <f>IF(Init!$R$12="No",0,'Staging Table'!$DW61*-1)</f>
        <v>0</v>
      </c>
      <c r="Y59" s="250">
        <f>IF('Staging Table'!C61=1,"",SUM(P59:X59))</f>
        <v>77660246.391417697</v>
      </c>
      <c r="Z59" s="250">
        <f>IF('Staging Table'!C61=1,"",(RT1SC!$C$4*'Staging Table'!BS61*'Staging Table'!$BT$2)+SUM('Staging Table'!BZ61:CW61)-IF(Init!$R$15="No",'Staging Table'!DV61, 0))</f>
        <v>2086814.8299522046</v>
      </c>
      <c r="AA59" s="126">
        <f>IF('Staging Table'!C61=1,"",IF(Z59=0, 0, Y59/Z59))</f>
        <v>37.21472805193568</v>
      </c>
      <c r="AB59" s="118">
        <f ca="1">IF('Staging Table'!C61=1,"",(AA59/O59-1)+(RAND()/100000000000000))</f>
        <v>-1.9260280569763515E-2</v>
      </c>
      <c r="AC59" s="79">
        <f t="shared" ca="1" si="0"/>
        <v>113</v>
      </c>
      <c r="AF59" s="255"/>
      <c r="AG59" s="255"/>
      <c r="AH59" s="271"/>
      <c r="AI59" s="255"/>
      <c r="AJ59" s="255"/>
    </row>
    <row r="60" spans="2:36">
      <c r="B60" s="3">
        <v>10172</v>
      </c>
      <c r="C60" s="4" t="s">
        <v>63</v>
      </c>
      <c r="D60" s="250">
        <f>IF(Init!$R$9="Yes",'Staging Table'!E62,'Staging Table'!BS62)*Rates_previous!$E$75*100*12</f>
        <v>2026213.1683199997</v>
      </c>
      <c r="E60" s="250">
        <f>IF(Init!$R$9="Yes",'Staging Table'!F62,'Staging Table'!BT62)*Rates_previous!$E$76*100*12</f>
        <v>-285740.15579999995</v>
      </c>
      <c r="F60" s="251">
        <f>IF(Init!$R$9="Yes",SUMPRODUCT('Staging Table'!L62:AI62,LS_Demand_Rates_Restatement!$C$4:$Z$4)-IF(Init!$R$15="No",('Staging Table'!BH62*Rates_previous!$H$34), 0),SUMPRODUCT('Staging Table'!BZ62:CW62,LS_Demand_Rates_Restatement!$C$4:$Z$4)-IF(Init!$R$15="No", 'Staging Table'!DV62*Rates_previous!$H$34, 0))</f>
        <v>-3788.6900000000014</v>
      </c>
      <c r="G60" s="251">
        <f>IF(Init!$R$9="Yes",SUMPRODUCT('Staging Table'!AJ62:AU62,LS_Demand_Rates_Restatement!$C$10:$N$10),SUMPRODUCT(LS_Demand_Rates_Restatement!$C$10:$N$10,'Staging Table'!CX62:DI62))*1000</f>
        <v>108825.61</v>
      </c>
      <c r="H60" s="252">
        <f>IF(Init!$R$9="Yes",'Staging Table'!BR62,'Staging Table'!EF62)*IF(Init!$R$3=2018,Rates_previous!$C$88,Rates_previous!$D$88)</f>
        <v>-9188.962961025798</v>
      </c>
      <c r="I60" s="250">
        <f>IF(Init!$R$9="Yes",IF('Staging Table'!$F$1=2018,(SUM('Staging Table'!BD62:BG62)*Rates_previous!$C$87),(SUM('Staging Table'!BD62:BG62)*Rates_previous!$D$87)),IF('Staging Table'!$F$1=2018,(SUM('Staging Table'!DR62:DU62)*Rates_previous!$C$87),(SUM('Staging Table'!DR62:DU62)*Rates_previous!$D$87)))</f>
        <v>11133.269903344453</v>
      </c>
      <c r="J60" s="252">
        <f>IF(Init!$R$9="Yes",IF('Staging Table'!D62=1,'Staging Table'!H62*-1,'Staging Table'!H62*SUM(D60:I60)*(-1)),IF('Staging Table'!D62=1,'Staging Table'!BV62*-1,'Staging Table'!BV62*SUM(D60:I60)*(-1)))</f>
        <v>0</v>
      </c>
      <c r="K60" s="250">
        <f>IF(Init!$R$9="Yes",'Staging Table'!K62,'Staging Table'!BY62)*(-1)*Rates_previous!$H$32</f>
        <v>0</v>
      </c>
      <c r="L60" s="250">
        <f>IF(Init!$R$12="No",0,'Staging Table'!$BI62*-1)</f>
        <v>-92012.840640199531</v>
      </c>
      <c r="M60" s="250">
        <f>IF('Staging Table'!C62=1,"",SUM(D60:L60))</f>
        <v>1755441.3988221192</v>
      </c>
      <c r="N60" s="250">
        <f>IF('Staging Table'!C62=1,"",IF(Init!$R$9="Yes",(RT1SC!$C$3*'Staging Table'!E62*'Staging Table'!$F$2)+SUM('Staging Table'!L62:AI62)-IF(Init!$R$15="No",'Staging Table'!BH62, 0),Z60))</f>
        <v>47673.547568487993</v>
      </c>
      <c r="O60" s="126">
        <f>IF('Staging Table'!C62=1,"",IF(N60=0, 0, M60/N60))</f>
        <v>36.822126490591991</v>
      </c>
      <c r="P60" s="250">
        <f>'Staging Table'!BS62*Rates_current!$E$74*100*12</f>
        <v>1826941.30932</v>
      </c>
      <c r="Q60" s="250">
        <f>'Staging Table'!BT62*Rates_current!$E$75*100*12</f>
        <v>-184824.69060000003</v>
      </c>
      <c r="R60" s="251">
        <f>SUMPRODUCT('Staging Table'!BZ62:CW62, LS_Demand_Rates_Restatement!$C$5:$Z$5)-IF(Init!$R$15="No",('Staging Table'!DV62*Rates_current!$H$34), 0)</f>
        <v>19280.999999999993</v>
      </c>
      <c r="S60" s="251">
        <f>SUMPRODUCT('Staging Table'!CX62:DI62, LS_Demand_Rates_Restatement!$C$11:$N$11)*1000</f>
        <v>119910.58</v>
      </c>
      <c r="T60" s="252">
        <f>'Staging Table'!EF62*IF(Init!$R$18="Yes",IF(Init!$R$6=2020,Rates_current!$C$88,Rates_current!$D$88),Rates_current!$H$33)</f>
        <v>3804.6264554985692</v>
      </c>
      <c r="U60" s="252">
        <f>IF(Init!$R$18="Yes",(SUM('Staging Table'!DL62:DU62)*IF('Staging Table'!$BT$1=2020, Rates_current!$C$87, Rates_current!$D$87)),0)</f>
        <v>31892.328431399081</v>
      </c>
      <c r="V60" s="252">
        <f>IF('Staging Table'!D62=1, 'Staging Table'!BV62*-1,SUM(P60:U60)*'Staging Table'!BV62*-1)</f>
        <v>0</v>
      </c>
      <c r="W60" s="250">
        <f>'Staging Table'!BY62*Rates_current!$H$32*-1</f>
        <v>0</v>
      </c>
      <c r="X60" s="250">
        <f>IF(Init!$R$12="No",0,'Staging Table'!$DW62*-1)</f>
        <v>0</v>
      </c>
      <c r="Y60" s="250">
        <f>IF('Staging Table'!C62=1,"",SUM(P60:X60))</f>
        <v>1817005.1536068977</v>
      </c>
      <c r="Z60" s="250">
        <f>IF('Staging Table'!C62=1,"",(RT1SC!$C$4*'Staging Table'!BS62*'Staging Table'!$BT$2)+SUM('Staging Table'!BZ62:CW62)-IF(Init!$R$15="No",'Staging Table'!DV62, 0))</f>
        <v>47673.337016729594</v>
      </c>
      <c r="AA60" s="126">
        <f>IF('Staging Table'!C62=1,"",IF(Z60=0, 0, Y60/Z60))</f>
        <v>38.11365571009371</v>
      </c>
      <c r="AB60" s="118">
        <f ca="1">IF('Staging Table'!C62=1,"",(AA60/O60-1)+(RAND()/100000000000000))</f>
        <v>3.5074813504639618E-2</v>
      </c>
      <c r="AC60" s="79">
        <f t="shared" ca="1" si="0"/>
        <v>8</v>
      </c>
      <c r="AF60" s="255"/>
      <c r="AG60" s="255"/>
      <c r="AH60" s="271"/>
      <c r="AI60" s="255"/>
      <c r="AJ60" s="255"/>
    </row>
    <row r="61" spans="2:36">
      <c r="B61" s="3">
        <v>10173</v>
      </c>
      <c r="C61" s="4" t="s">
        <v>64</v>
      </c>
      <c r="D61" s="250">
        <f>IF(Init!$R$9="Yes",'Staging Table'!E63,'Staging Table'!BS63)*Rates_previous!$E$75*100*12</f>
        <v>11958555.72672</v>
      </c>
      <c r="E61" s="250">
        <f>IF(Init!$R$9="Yes",'Staging Table'!F63,'Staging Table'!BT63)*Rates_previous!$E$76*100*12</f>
        <v>-1686416.6267999997</v>
      </c>
      <c r="F61" s="251">
        <f>IF(Init!$R$9="Yes",SUMPRODUCT('Staging Table'!L63:AI63,LS_Demand_Rates_Restatement!$C$4:$Z$4)-IF(Init!$R$15="No",('Staging Table'!BH63*Rates_previous!$H$34), 0),SUMPRODUCT('Staging Table'!BZ63:CW63,LS_Demand_Rates_Restatement!$C$4:$Z$4)-IF(Init!$R$15="No", 'Staging Table'!DV63*Rates_previous!$H$34, 0))</f>
        <v>0</v>
      </c>
      <c r="G61" s="251">
        <f>IF(Init!$R$9="Yes",SUMPRODUCT('Staging Table'!AJ63:AU63,LS_Demand_Rates_Restatement!$C$10:$N$10),SUMPRODUCT(LS_Demand_Rates_Restatement!$C$10:$N$10,'Staging Table'!CX63:DI63))*1000</f>
        <v>0</v>
      </c>
      <c r="H61" s="252">
        <f>IF(Init!$R$9="Yes",'Staging Table'!BR63,'Staging Table'!EF63)*IF(Init!$R$3=2018,Rates_previous!$C$88,Rates_previous!$D$88)</f>
        <v>0</v>
      </c>
      <c r="I61" s="250">
        <f>IF(Init!$R$9="Yes",IF('Staging Table'!$F$1=2018,(SUM('Staging Table'!BD63:BG63)*Rates_previous!$C$87),(SUM('Staging Table'!BD63:BG63)*Rates_previous!$D$87)),IF('Staging Table'!$F$1=2018,(SUM('Staging Table'!DR63:DU63)*Rates_previous!$C$87),(SUM('Staging Table'!DR63:DU63)*Rates_previous!$D$87)))</f>
        <v>65707.710640410151</v>
      </c>
      <c r="J61" s="252">
        <f>IF(Init!$R$9="Yes",IF('Staging Table'!D63=1,'Staging Table'!H63*-1,'Staging Table'!H63*SUM(D61:I61)*(-1)),IF('Staging Table'!D63=1,'Staging Table'!BV63*-1,'Staging Table'!BV63*SUM(D61:I61)*(-1)))</f>
        <v>-777660.39118568273</v>
      </c>
      <c r="K61" s="250">
        <f>IF(Init!$R$9="Yes",'Staging Table'!K63,'Staging Table'!BY63)*(-1)*Rates_previous!$H$32</f>
        <v>-521085.55296</v>
      </c>
      <c r="L61" s="250">
        <f>IF(Init!$R$12="No",0,'Staging Table'!$BI63*-1)</f>
        <v>-338597.0860257973</v>
      </c>
      <c r="M61" s="250" t="str">
        <f>IF('Staging Table'!C63=1,"",SUM(D61:L61))</f>
        <v/>
      </c>
      <c r="N61" s="250" t="str">
        <f>IF('Staging Table'!C63=1,"",IF(Init!$R$9="Yes",(RT1SC!$C$3*'Staging Table'!E63*'Staging Table'!$F$2)+SUM('Staging Table'!L63:AI63)-IF(Init!$R$15="No",'Staging Table'!BH63, 0),Z61))</f>
        <v/>
      </c>
      <c r="O61" s="126" t="str">
        <f>IF('Staging Table'!C63=1,"",IF(N61=0, 0, M61/N61))</f>
        <v/>
      </c>
      <c r="P61" s="250">
        <f>'Staging Table'!BS63*Rates_current!$E$74*100*12</f>
        <v>11149641.946679998</v>
      </c>
      <c r="Q61" s="250">
        <f>'Staging Table'!BT63*Rates_current!$E$75*100*12</f>
        <v>-1127966.7893999999</v>
      </c>
      <c r="R61" s="251">
        <f>SUMPRODUCT('Staging Table'!BZ63:CW63, LS_Demand_Rates_Restatement!$C$5:$Z$5)-IF(Init!$R$15="No",('Staging Table'!DV63*Rates_current!$H$34), 0)</f>
        <v>0</v>
      </c>
      <c r="S61" s="251">
        <f>SUMPRODUCT('Staging Table'!CX63:DI63, LS_Demand_Rates_Restatement!$C$11:$N$11)*1000</f>
        <v>0</v>
      </c>
      <c r="T61" s="252">
        <f>'Staging Table'!EF63*IF(Init!$R$18="Yes",IF(Init!$R$6=2020,Rates_current!$C$88,Rates_current!$D$88),Rates_current!$H$33)</f>
        <v>0</v>
      </c>
      <c r="U61" s="252">
        <f>IF(Init!$R$18="Yes",(SUM('Staging Table'!DL63:DU63)*IF('Staging Table'!$BT$1=2020, Rates_current!$C$87, Rates_current!$D$87)),0)</f>
        <v>194635.72313024916</v>
      </c>
      <c r="V61" s="252">
        <f>IF('Staging Table'!D63=1, 'Staging Table'!BV63*-1,SUM(P61:U61)*'Staging Table'!BV63*-1)</f>
        <v>-796868.16214764712</v>
      </c>
      <c r="W61" s="250">
        <f>'Staging Table'!BY63*Rates_current!$H$32*-1</f>
        <v>-492284.05555999995</v>
      </c>
      <c r="X61" s="250">
        <f>IF(Init!$R$12="No",0,'Staging Table'!$DW63*-1)</f>
        <v>0</v>
      </c>
      <c r="Y61" s="250" t="str">
        <f>IF('Staging Table'!C63=1,"",SUM(P61:X61))</f>
        <v/>
      </c>
      <c r="Z61" s="250" t="str">
        <f>IF('Staging Table'!C63=1,"",(RT1SC!$C$4*'Staging Table'!BS63*'Staging Table'!$BT$2)+SUM('Staging Table'!BZ63:CW63)-IF(Init!$R$15="No",'Staging Table'!DV63, 0))</f>
        <v/>
      </c>
      <c r="AA61" s="126" t="str">
        <f>IF('Staging Table'!C63=1,"",IF(Z61=0, 0, Y61/Z61))</f>
        <v/>
      </c>
      <c r="AB61" s="118" t="str">
        <f ca="1">IF('Staging Table'!C63=1,"",(AA61/O61-1)+(RAND()/100000000000000))</f>
        <v/>
      </c>
      <c r="AC61" s="79" t="str">
        <f t="shared" ca="1" si="0"/>
        <v/>
      </c>
      <c r="AF61" s="255"/>
      <c r="AG61" s="255"/>
      <c r="AH61" s="271"/>
      <c r="AI61" s="255"/>
      <c r="AJ61" s="255"/>
    </row>
    <row r="62" spans="2:36">
      <c r="B62" s="3">
        <v>10174</v>
      </c>
      <c r="C62" s="4" t="s">
        <v>65</v>
      </c>
      <c r="D62" s="250">
        <f>IF(Init!$R$9="Yes",'Staging Table'!E64,'Staging Table'!BS64)*Rates_previous!$E$75*100*12</f>
        <v>183182.10336000001</v>
      </c>
      <c r="E62" s="250">
        <f>IF(Init!$R$9="Yes",'Staging Table'!F64,'Staging Table'!BT64)*Rates_previous!$E$76*100*12</f>
        <v>-25832.663400000001</v>
      </c>
      <c r="F62" s="251">
        <f>IF(Init!$R$9="Yes",SUMPRODUCT('Staging Table'!L64:AI64,LS_Demand_Rates_Restatement!$C$4:$Z$4)-IF(Init!$R$15="No",('Staging Table'!BH64*Rates_previous!$H$34), 0),SUMPRODUCT('Staging Table'!BZ64:CW64,LS_Demand_Rates_Restatement!$C$4:$Z$4)-IF(Init!$R$15="No", 'Staging Table'!DV64*Rates_previous!$H$34, 0))</f>
        <v>2307.8999999999996</v>
      </c>
      <c r="G62" s="251">
        <f>IF(Init!$R$9="Yes",SUMPRODUCT('Staging Table'!AJ64:AU64,LS_Demand_Rates_Restatement!$C$10:$N$10),SUMPRODUCT(LS_Demand_Rates_Restatement!$C$10:$N$10,'Staging Table'!CX64:DI64))*1000</f>
        <v>11015.039999999997</v>
      </c>
      <c r="H62" s="252">
        <f>IF(Init!$R$9="Yes",'Staging Table'!BR64,'Staging Table'!EF64)*IF(Init!$R$3=2018,Rates_previous!$C$88,Rates_previous!$D$88)</f>
        <v>-52.833999368477691</v>
      </c>
      <c r="I62" s="250">
        <f>IF(Init!$R$9="Yes",IF('Staging Table'!$F$1=2018,(SUM('Staging Table'!BD64:BG64)*Rates_previous!$C$87),(SUM('Staging Table'!BD64:BG64)*Rates_previous!$D$87)),IF('Staging Table'!$F$1=2018,(SUM('Staging Table'!DR64:DU64)*Rates_previous!$C$87),(SUM('Staging Table'!DR64:DU64)*Rates_previous!$D$87)))</f>
        <v>1006.5159135552196</v>
      </c>
      <c r="J62" s="252">
        <f>IF(Init!$R$9="Yes",IF('Staging Table'!D64=1,'Staging Table'!H64*-1,'Staging Table'!H64*SUM(D62:I62)*(-1)),IF('Staging Table'!D64=1,'Staging Table'!BV64*-1,'Staging Table'!BV64*SUM(D62:I62)*(-1)))</f>
        <v>0</v>
      </c>
      <c r="K62" s="250">
        <f>IF(Init!$R$9="Yes",'Staging Table'!K64,'Staging Table'!BY64)*(-1)*Rates_previous!$H$32</f>
        <v>0</v>
      </c>
      <c r="L62" s="250">
        <f>IF(Init!$R$12="No",0,'Staging Table'!$BI64*-1)</f>
        <v>-2852.0813740465292</v>
      </c>
      <c r="M62" s="250">
        <f>IF('Staging Table'!C64=1,"",SUM(D62:L62))</f>
        <v>168773.98050014023</v>
      </c>
      <c r="N62" s="250">
        <f>IF('Staging Table'!C64=1,"",IF(Init!$R$9="Yes",(RT1SC!$C$3*'Staging Table'!E64*'Staging Table'!$F$2)+SUM('Staging Table'!L64:AI64)-IF(Init!$R$15="No",'Staging Table'!BH64, 0),Z62))</f>
        <v>4367.169584024</v>
      </c>
      <c r="O62" s="126">
        <f>IF('Staging Table'!C64=1,"",IF(N62=0, 0, M62/N62))</f>
        <v>38.646078942652004</v>
      </c>
      <c r="P62" s="250">
        <f>'Staging Table'!BS64*Rates_current!$E$74*100*12</f>
        <v>168267.78288000001</v>
      </c>
      <c r="Q62" s="250">
        <f>'Staging Table'!BT64*Rates_current!$E$75*100*12</f>
        <v>-17023.010399999999</v>
      </c>
      <c r="R62" s="251">
        <f>SUMPRODUCT('Staging Table'!BZ64:CW64, LS_Demand_Rates_Restatement!$C$5:$Z$5)-IF(Init!$R$15="No",('Staging Table'!DV64*Rates_current!$H$34), 0)</f>
        <v>2495.7499999999977</v>
      </c>
      <c r="S62" s="251">
        <f>SUMPRODUCT('Staging Table'!CX64:DI64, LS_Demand_Rates_Restatement!$C$11:$N$11)*1000</f>
        <v>11941.98</v>
      </c>
      <c r="T62" s="252">
        <f>'Staging Table'!EF64*IF(Init!$R$18="Yes",IF(Init!$R$6=2020,Rates_current!$C$88,Rates_current!$D$88),Rates_current!$H$33)</f>
        <v>30.892371975168196</v>
      </c>
      <c r="U62" s="252">
        <f>IF(Init!$R$18="Yes",(SUM('Staging Table'!DL64:DU64)*IF('Staging Table'!$BT$1=2020, Rates_current!$C$87, Rates_current!$D$87)),0)</f>
        <v>2937.3967125576364</v>
      </c>
      <c r="V62" s="252">
        <f>IF('Staging Table'!D64=1, 'Staging Table'!BV64*-1,SUM(P62:U62)*'Staging Table'!BV64*-1)</f>
        <v>0</v>
      </c>
      <c r="W62" s="250">
        <f>'Staging Table'!BY64*Rates_current!$H$32*-1</f>
        <v>0</v>
      </c>
      <c r="X62" s="250">
        <f>IF(Init!$R$12="No",0,'Staging Table'!$DW64*-1)</f>
        <v>0</v>
      </c>
      <c r="Y62" s="250">
        <f>IF('Staging Table'!C64=1,"",SUM(P62:X62))</f>
        <v>168650.79156453285</v>
      </c>
      <c r="Z62" s="250">
        <f>IF('Staging Table'!C64=1,"",(RT1SC!$C$4*'Staging Table'!BS64*'Staging Table'!$BT$2)+SUM('Staging Table'!BZ64:CW64)-IF(Init!$R$15="No",'Staging Table'!DV64, 0))</f>
        <v>4367.5945892864002</v>
      </c>
      <c r="AA62" s="126">
        <f>IF('Staging Table'!C64=1,"",IF(Z62=0, 0, Y62/Z62))</f>
        <v>38.614113127218587</v>
      </c>
      <c r="AB62" s="118">
        <f ca="1">IF('Staging Table'!C64=1,"",(AA62/O62-1)+(RAND()/100000000000000))</f>
        <v>-8.2714252798577902E-4</v>
      </c>
      <c r="AC62" s="79">
        <f t="shared" ca="1" si="0"/>
        <v>97</v>
      </c>
      <c r="AF62" s="255"/>
      <c r="AG62" s="255"/>
      <c r="AH62" s="271"/>
      <c r="AI62" s="255"/>
      <c r="AJ62" s="255"/>
    </row>
    <row r="63" spans="2:36">
      <c r="B63" s="3">
        <v>10177</v>
      </c>
      <c r="C63" s="4" t="s">
        <v>66</v>
      </c>
      <c r="D63" s="250">
        <f>IF(Init!$R$9="Yes",'Staging Table'!E65,'Staging Table'!BS65)*Rates_previous!$E$75*100*12</f>
        <v>3624406.95744</v>
      </c>
      <c r="E63" s="250">
        <f>IF(Init!$R$9="Yes",'Staging Table'!F65,'Staging Table'!BT65)*Rates_previous!$E$76*100*12</f>
        <v>-511120.26360000006</v>
      </c>
      <c r="F63" s="251">
        <f>IF(Init!$R$9="Yes",SUMPRODUCT('Staging Table'!L65:AI65,LS_Demand_Rates_Restatement!$C$4:$Z$4)-IF(Init!$R$15="No",('Staging Table'!BH65*Rates_previous!$H$34), 0),SUMPRODUCT('Staging Table'!BZ65:CW65,LS_Demand_Rates_Restatement!$C$4:$Z$4)-IF(Init!$R$15="No", 'Staging Table'!DV65*Rates_previous!$H$34, 0))</f>
        <v>-158814.91</v>
      </c>
      <c r="G63" s="251">
        <f>IF(Init!$R$9="Yes",SUMPRODUCT('Staging Table'!AJ65:AU65,LS_Demand_Rates_Restatement!$C$10:$N$10),SUMPRODUCT(LS_Demand_Rates_Restatement!$C$10:$N$10,'Staging Table'!CX65:DI65))*1000</f>
        <v>59249.420000000006</v>
      </c>
      <c r="H63" s="252">
        <f>IF(Init!$R$9="Yes",'Staging Table'!BR65,'Staging Table'!EF65)*IF(Init!$R$3=2018,Rates_previous!$C$88,Rates_previous!$D$88)</f>
        <v>-115551.79979946598</v>
      </c>
      <c r="I63" s="250">
        <f>IF(Init!$R$9="Yes",IF('Staging Table'!$F$1=2018,(SUM('Staging Table'!BD65:BG65)*Rates_previous!$C$87),(SUM('Staging Table'!BD65:BG65)*Rates_previous!$D$87)),IF('Staging Table'!$F$1=2018,(SUM('Staging Table'!DR65:DU65)*Rates_previous!$C$87),(SUM('Staging Table'!DR65:DU65)*Rates_previous!$D$87)))</f>
        <v>19914.73628127476</v>
      </c>
      <c r="J63" s="252">
        <f>IF(Init!$R$9="Yes",IF('Staging Table'!D65=1,'Staging Table'!H65*-1,'Staging Table'!H65*SUM(D63:I63)*(-1)),IF('Staging Table'!D65=1,'Staging Table'!BV65*-1,'Staging Table'!BV65*SUM(D63:I63)*(-1)))</f>
        <v>-204265.8898225266</v>
      </c>
      <c r="K63" s="250">
        <f>IF(Init!$R$9="Yes",'Staging Table'!K65,'Staging Table'!BY65)*(-1)*Rates_previous!$H$32</f>
        <v>0</v>
      </c>
      <c r="L63" s="250">
        <f>IF(Init!$R$12="No",0,'Staging Table'!$BI65*-1)</f>
        <v>-124305.72133002119</v>
      </c>
      <c r="M63" s="250">
        <f>IF('Staging Table'!C65=1,"",SUM(D63:L63))</f>
        <v>2589512.529169261</v>
      </c>
      <c r="N63" s="250">
        <f>IF('Staging Table'!C65=1,"",IF(Init!$R$9="Yes",(RT1SC!$C$3*'Staging Table'!E65*'Staging Table'!$F$2)+SUM('Staging Table'!L65:AI65)-IF(Init!$R$15="No",'Staging Table'!BH65, 0),Z63))</f>
        <v>77646.504175695998</v>
      </c>
      <c r="O63" s="126">
        <f>IF('Staging Table'!C65=1,"",IF(N63=0, 0, M63/N63))</f>
        <v>33.350020798229316</v>
      </c>
      <c r="P63" s="250">
        <f>'Staging Table'!BS65*Rates_current!$E$74*100*12</f>
        <v>3111052.6524</v>
      </c>
      <c r="Q63" s="250">
        <f>'Staging Table'!BT65*Rates_current!$E$75*100*12</f>
        <v>-314733.342</v>
      </c>
      <c r="R63" s="251">
        <f>SUMPRODUCT('Staging Table'!BZ65:CW65, LS_Demand_Rates_Restatement!$C$5:$Z$5)-IF(Init!$R$15="No",('Staging Table'!DV65*Rates_current!$H$34), 0)</f>
        <v>-7845.1299999999974</v>
      </c>
      <c r="S63" s="251">
        <f>SUMPRODUCT('Staging Table'!CX65:DI65, LS_Demand_Rates_Restatement!$C$11:$N$11)*1000</f>
        <v>66112.739999999991</v>
      </c>
      <c r="T63" s="252">
        <f>'Staging Table'!EF65*IF(Init!$R$18="Yes",IF(Init!$R$6=2020,Rates_current!$C$88,Rates_current!$D$88),Rates_current!$H$33)</f>
        <v>-49534.122425487498</v>
      </c>
      <c r="U63" s="252">
        <f>IF(Init!$R$18="Yes",(SUM('Staging Table'!DL65:DU65)*IF('Staging Table'!$BT$1=2020, Rates_current!$C$87, Rates_current!$D$87)),0)</f>
        <v>54308.648259010544</v>
      </c>
      <c r="V63" s="252">
        <f>IF('Staging Table'!D65=1, 'Staging Table'!BV65*-1,SUM(P63:U63)*'Staging Table'!BV65*-1)</f>
        <v>-200155.30123634666</v>
      </c>
      <c r="W63" s="250">
        <f>'Staging Table'!BY65*Rates_current!$H$32*-1</f>
        <v>0</v>
      </c>
      <c r="X63" s="250">
        <f>IF(Init!$R$12="No",0,'Staging Table'!$DW65*-1)</f>
        <v>0</v>
      </c>
      <c r="Y63" s="250">
        <f>IF('Staging Table'!C65=1,"",SUM(P63:X63))</f>
        <v>2659206.1449971767</v>
      </c>
      <c r="Z63" s="250">
        <f>IF('Staging Table'!C65=1,"",(RT1SC!$C$4*'Staging Table'!BS65*'Staging Table'!$BT$2)+SUM('Staging Table'!BZ65:CW65)-IF(Init!$R$15="No",'Staging Table'!DV65, 0))</f>
        <v>77647.637251071996</v>
      </c>
      <c r="AA63" s="126">
        <f>IF('Staging Table'!C65=1,"",IF(Z63=0, 0, Y63/Z63))</f>
        <v>34.247096745502887</v>
      </c>
      <c r="AB63" s="118">
        <f ca="1">IF('Staging Table'!C65=1,"",(AA63/O63-1)+(RAND()/100000000000000))</f>
        <v>2.6898812228672509E-2</v>
      </c>
      <c r="AC63" s="79">
        <f t="shared" ca="1" si="0"/>
        <v>21</v>
      </c>
      <c r="AF63" s="255"/>
      <c r="AG63" s="255"/>
      <c r="AH63" s="271"/>
      <c r="AI63" s="255"/>
      <c r="AJ63" s="255"/>
    </row>
    <row r="64" spans="2:36">
      <c r="B64" s="3">
        <v>10179</v>
      </c>
      <c r="C64" s="4" t="s">
        <v>67</v>
      </c>
      <c r="D64" s="250">
        <f>IF(Init!$R$9="Yes",'Staging Table'!E66,'Staging Table'!BS66)*Rates_previous!$E$75*100*12</f>
        <v>60216976.411199994</v>
      </c>
      <c r="E64" s="250">
        <f>IF(Init!$R$9="Yes",'Staging Table'!F66,'Staging Table'!BT66)*Rates_previous!$E$76*100*12</f>
        <v>-8491904.2530000005</v>
      </c>
      <c r="F64" s="251">
        <f>IF(Init!$R$9="Yes",SUMPRODUCT('Staging Table'!L66:AI66,LS_Demand_Rates_Restatement!$C$4:$Z$4)-IF(Init!$R$15="No",('Staging Table'!BH66*Rates_previous!$H$34), 0),SUMPRODUCT('Staging Table'!BZ66:CW66,LS_Demand_Rates_Restatement!$C$4:$Z$4)-IF(Init!$R$15="No", 'Staging Table'!DV66*Rates_previous!$H$34, 0))</f>
        <v>913920.01392046455</v>
      </c>
      <c r="G64" s="251">
        <f>IF(Init!$R$9="Yes",SUMPRODUCT('Staging Table'!AJ66:AU66,LS_Demand_Rates_Restatement!$C$10:$N$10),SUMPRODUCT(LS_Demand_Rates_Restatement!$C$10:$N$10,'Staging Table'!CX66:DI66))*1000</f>
        <v>4047305.5800000005</v>
      </c>
      <c r="H64" s="252">
        <f>IF(Init!$R$9="Yes",'Staging Table'!BR66,'Staging Table'!EF66)*IF(Init!$R$3=2018,Rates_previous!$C$88,Rates_previous!$D$88)</f>
        <v>0</v>
      </c>
      <c r="I64" s="250">
        <f>IF(Init!$R$9="Yes",IF('Staging Table'!$F$1=2018,(SUM('Staging Table'!BD66:BG66)*Rates_previous!$C$87),(SUM('Staging Table'!BD66:BG66)*Rates_previous!$D$87)),IF('Staging Table'!$F$1=2018,(SUM('Staging Table'!DR66:DU66)*Rates_previous!$C$87),(SUM('Staging Table'!DR66:DU66)*Rates_previous!$D$87)))</f>
        <v>330869.35848170228</v>
      </c>
      <c r="J64" s="252">
        <f>IF(Init!$R$9="Yes",IF('Staging Table'!D66=1,'Staging Table'!H66*-1,'Staging Table'!H66*SUM(D64:I64)*(-1)),IF('Staging Table'!D66=1,'Staging Table'!BV66*-1,'Staging Table'!BV66*SUM(D64:I64)*(-1)))</f>
        <v>0</v>
      </c>
      <c r="K64" s="250">
        <f>IF(Init!$R$9="Yes",'Staging Table'!K66,'Staging Table'!BY66)*(-1)*Rates_previous!$H$32</f>
        <v>0</v>
      </c>
      <c r="L64" s="250">
        <f>IF(Init!$R$12="No",0,'Staging Table'!$BI66*-1)</f>
        <v>-1545636.9725373732</v>
      </c>
      <c r="M64" s="250">
        <f>IF('Staging Table'!C66=1,"",SUM(D64:L64))</f>
        <v>55471530.138064787</v>
      </c>
      <c r="N64" s="250">
        <f>IF('Staging Table'!C66=1,"",IF(Init!$R$9="Yes",(RT1SC!$C$3*'Staging Table'!E66*'Staging Table'!$F$2)+SUM('Staging Table'!L66:AI66)-IF(Init!$R$15="No",'Staging Table'!BH66, 0),Z64))</f>
        <v>1437910.2000000002</v>
      </c>
      <c r="O64" s="126">
        <f>IF('Staging Table'!C66=1,"",IF(N64=0, 0, M64/N64))</f>
        <v>38.577882080581098</v>
      </c>
      <c r="P64" s="250">
        <f>'Staging Table'!BS66*Rates_current!$E$74*100*12</f>
        <v>56143448.890080005</v>
      </c>
      <c r="Q64" s="250">
        <f>'Staging Table'!BT66*Rates_current!$E$75*100*12</f>
        <v>-5679818.7863999996</v>
      </c>
      <c r="R64" s="251">
        <f>SUMPRODUCT('Staging Table'!BZ66:CW66, LS_Demand_Rates_Restatement!$C$5:$Z$5)-IF(Init!$R$15="No",('Staging Table'!DV66*Rates_current!$H$34), 0)</f>
        <v>984644.76777426724</v>
      </c>
      <c r="S64" s="251">
        <f>SUMPRODUCT('Staging Table'!CX66:DI66, LS_Demand_Rates_Restatement!$C$11:$N$11)*1000</f>
        <v>4489316.76</v>
      </c>
      <c r="T64" s="252">
        <f>'Staging Table'!EF66*IF(Init!$R$18="Yes",IF(Init!$R$6=2020,Rates_current!$C$88,Rates_current!$D$88),Rates_current!$H$33)</f>
        <v>0</v>
      </c>
      <c r="U64" s="252">
        <f>IF(Init!$R$18="Yes",(SUM('Staging Table'!DL66:DU66)*IF('Staging Table'!$BT$1=2020, Rates_current!$C$87, Rates_current!$D$87)),0)</f>
        <v>980078.17883342563</v>
      </c>
      <c r="V64" s="252">
        <f>IF('Staging Table'!D66=1, 'Staging Table'!BV66*-1,SUM(P64:U64)*'Staging Table'!BV66*-1)</f>
        <v>0</v>
      </c>
      <c r="W64" s="250">
        <f>'Staging Table'!BY66*Rates_current!$H$32*-1</f>
        <v>0</v>
      </c>
      <c r="X64" s="250">
        <f>IF(Init!$R$12="No",0,'Staging Table'!$DW66*-1)</f>
        <v>0</v>
      </c>
      <c r="Y64" s="250">
        <f>IF('Staging Table'!C66=1,"",SUM(P64:X64))</f>
        <v>56917669.810287699</v>
      </c>
      <c r="Z64" s="250">
        <f>IF('Staging Table'!C66=1,"",(RT1SC!$C$4*'Staging Table'!BS66*'Staging Table'!$BT$2)+SUM('Staging Table'!BZ66:CW66)-IF(Init!$R$15="No",'Staging Table'!DV66, 0))</f>
        <v>1457608.176</v>
      </c>
      <c r="AA64" s="126">
        <f>IF('Staging Table'!C66=1,"",IF(Z64=0, 0, Y64/Z64))</f>
        <v>39.048676281771691</v>
      </c>
      <c r="AB64" s="118">
        <f ca="1">IF('Staging Table'!C66=1,"",(AA64/O64-1)+(RAND()/100000000000000))</f>
        <v>1.2203733740678154E-2</v>
      </c>
      <c r="AC64" s="79">
        <f t="shared" ca="1" si="0"/>
        <v>68</v>
      </c>
      <c r="AF64" s="255"/>
      <c r="AG64" s="255"/>
      <c r="AH64" s="271"/>
      <c r="AI64" s="255"/>
      <c r="AJ64" s="255"/>
    </row>
    <row r="65" spans="2:36">
      <c r="B65" s="3">
        <v>10183</v>
      </c>
      <c r="C65" s="4" t="s">
        <v>68</v>
      </c>
      <c r="D65" s="250">
        <f>IF(Init!$R$9="Yes",'Staging Table'!E67,'Staging Table'!BS67)*Rates_previous!$E$75*100*12</f>
        <v>42359651.228159994</v>
      </c>
      <c r="E65" s="250">
        <f>IF(Init!$R$9="Yes",'Staging Table'!F67,'Staging Table'!BT67)*Rates_previous!$E$76*100*12</f>
        <v>-3173465.4522000002</v>
      </c>
      <c r="F65" s="251">
        <f>IF(Init!$R$9="Yes",SUMPRODUCT('Staging Table'!L67:AI67,LS_Demand_Rates_Restatement!$C$4:$Z$4)-IF(Init!$R$15="No",('Staging Table'!BH67*Rates_previous!$H$34), 0),SUMPRODUCT('Staging Table'!BZ67:CW67,LS_Demand_Rates_Restatement!$C$4:$Z$4)-IF(Init!$R$15="No", 'Staging Table'!DV67*Rates_previous!$H$34, 0))</f>
        <v>-83537.679999999935</v>
      </c>
      <c r="G65" s="251">
        <f>IF(Init!$R$9="Yes",SUMPRODUCT('Staging Table'!AJ67:AU67,LS_Demand_Rates_Restatement!$C$10:$N$10),SUMPRODUCT(LS_Demand_Rates_Restatement!$C$10:$N$10,'Staging Table'!CX67:DI67))*1000</f>
        <v>0</v>
      </c>
      <c r="H65" s="252">
        <f>IF(Init!$R$9="Yes",'Staging Table'!BR67,'Staging Table'!EF67)*IF(Init!$R$3=2018,Rates_previous!$C$88,Rates_previous!$D$88)</f>
        <v>0</v>
      </c>
      <c r="I65" s="250">
        <f>IF(Init!$R$9="Yes",IF('Staging Table'!$F$1=2018,(SUM('Staging Table'!BD67:BG67)*Rates_previous!$C$87),(SUM('Staging Table'!BD67:BG67)*Rates_previous!$D$87)),IF('Staging Table'!$F$1=2018,(SUM('Staging Table'!DR67:DU67)*Rates_previous!$C$87),(SUM('Staging Table'!DR67:DU67)*Rates_previous!$D$87)))</f>
        <v>123647.47023169942</v>
      </c>
      <c r="J65" s="252">
        <f>IF(Init!$R$9="Yes",IF('Staging Table'!D67=1,'Staging Table'!H67*-1,'Staging Table'!H67*SUM(D65:I65)*(-1)),IF('Staging Table'!D67=1,'Staging Table'!BV67*-1,'Staging Table'!BV67*SUM(D65:I65)*(-1)))</f>
        <v>0</v>
      </c>
      <c r="K65" s="250">
        <f>IF(Init!$R$9="Yes",'Staging Table'!K67,'Staging Table'!BY67)*(-1)*Rates_previous!$H$32</f>
        <v>-1110229.2247200001</v>
      </c>
      <c r="L65" s="250">
        <f>IF(Init!$R$12="No",0,'Staging Table'!$BI67*-1)</f>
        <v>-1131478.6429234776</v>
      </c>
      <c r="M65" s="250">
        <f>IF('Staging Table'!C67=1,"",SUM(D65:L65))</f>
        <v>36984587.698548213</v>
      </c>
      <c r="N65" s="250">
        <f>IF('Staging Table'!C67=1,"",IF(Init!$R$9="Yes",(RT1SC!$C$3*'Staging Table'!E67*'Staging Table'!$F$2)+SUM('Staging Table'!L67:AI67)-IF(Init!$R$15="No",'Staging Table'!BH67, 0),Z65))</f>
        <v>1011676.8188013439</v>
      </c>
      <c r="O65" s="126">
        <f>IF('Staging Table'!C67=1,"",IF(N65=0, 0, M65/N65))</f>
        <v>36.557709943743035</v>
      </c>
      <c r="P65" s="250">
        <f>'Staging Table'!BS67*Rates_current!$E$74*100*12</f>
        <v>39494207.372999996</v>
      </c>
      <c r="Q65" s="250">
        <f>'Staging Table'!BT67*Rates_current!$E$75*100*12</f>
        <v>-2122586.6640000003</v>
      </c>
      <c r="R65" s="251">
        <f>SUMPRODUCT('Staging Table'!BZ67:CW67, LS_Demand_Rates_Restatement!$C$5:$Z$5)-IF(Init!$R$15="No",('Staging Table'!DV67*Rates_current!$H$34), 0)</f>
        <v>-128469.82000000009</v>
      </c>
      <c r="S65" s="251">
        <f>SUMPRODUCT('Staging Table'!CX67:DI67, LS_Demand_Rates_Restatement!$C$11:$N$11)*1000</f>
        <v>0</v>
      </c>
      <c r="T65" s="252">
        <f>'Staging Table'!EF67*IF(Init!$R$18="Yes",IF(Init!$R$6=2020,Rates_current!$C$88,Rates_current!$D$88),Rates_current!$H$33)</f>
        <v>0</v>
      </c>
      <c r="U65" s="252">
        <f>IF(Init!$R$18="Yes",(SUM('Staging Table'!DL67:DU67)*IF('Staging Table'!$BT$1=2020, Rates_current!$C$87, Rates_current!$D$87)),0)</f>
        <v>366261.83867879683</v>
      </c>
      <c r="V65" s="252">
        <f>IF('Staging Table'!D67=1, 'Staging Table'!BV67*-1,SUM(P65:U65)*'Staging Table'!BV67*-1)</f>
        <v>0</v>
      </c>
      <c r="W65" s="250">
        <f>'Staging Table'!BY67*Rates_current!$H$32*-1</f>
        <v>-1048864.5141699999</v>
      </c>
      <c r="X65" s="250">
        <f>IF(Init!$R$12="No",0,'Staging Table'!$DW67*-1)</f>
        <v>0</v>
      </c>
      <c r="Y65" s="250">
        <f>IF('Staging Table'!C67=1,"",SUM(P65:X65))</f>
        <v>36560548.2135088</v>
      </c>
      <c r="Z65" s="250">
        <f>IF('Staging Table'!C67=1,"",(RT1SC!$C$4*'Staging Table'!BS67*'Staging Table'!$BT$2)+SUM('Staging Table'!BZ67:CW67)-IF(Init!$R$15="No",'Staging Table'!DV67, 0))</f>
        <v>1023333.8105574399</v>
      </c>
      <c r="AA65" s="126">
        <f>IF('Staging Table'!C67=1,"",IF(Z65=0, 0, Y65/Z65))</f>
        <v>35.72690341736407</v>
      </c>
      <c r="AB65" s="118">
        <f ca="1">IF('Staging Table'!C67=1,"",(AA65/O65-1)+(RAND()/100000000000000))</f>
        <v>-2.2725890862890428E-2</v>
      </c>
      <c r="AC65" s="79">
        <f t="shared" ca="1" si="0"/>
        <v>117</v>
      </c>
      <c r="AF65" s="255"/>
      <c r="AG65" s="255"/>
      <c r="AH65" s="271"/>
      <c r="AI65" s="255"/>
      <c r="AJ65" s="255"/>
    </row>
    <row r="66" spans="2:36">
      <c r="B66" s="3">
        <v>10186</v>
      </c>
      <c r="C66" s="4" t="s">
        <v>69</v>
      </c>
      <c r="D66" s="250">
        <f>IF(Init!$R$9="Yes",'Staging Table'!E68,'Staging Table'!BS68)*Rates_previous!$E$75*100*12</f>
        <v>6723216.3081600014</v>
      </c>
      <c r="E66" s="250">
        <f>IF(Init!$R$9="Yes",'Staging Table'!F68,'Staging Table'!BT68)*Rates_previous!$E$76*100*12</f>
        <v>-948119.82539999997</v>
      </c>
      <c r="F66" s="251">
        <f>IF(Init!$R$9="Yes",SUMPRODUCT('Staging Table'!L68:AI68,LS_Demand_Rates_Restatement!$C$4:$Z$4)-IF(Init!$R$15="No",('Staging Table'!BH68*Rates_previous!$H$34), 0),SUMPRODUCT('Staging Table'!BZ68:CW68,LS_Demand_Rates_Restatement!$C$4:$Z$4)-IF(Init!$R$15="No", 'Staging Table'!DV68*Rates_previous!$H$34, 0))</f>
        <v>-32249.049999999988</v>
      </c>
      <c r="G66" s="251">
        <f>IF(Init!$R$9="Yes",SUMPRODUCT('Staging Table'!AJ68:AU68,LS_Demand_Rates_Restatement!$C$10:$N$10),SUMPRODUCT(LS_Demand_Rates_Restatement!$C$10:$N$10,'Staging Table'!CX68:DI68))*1000</f>
        <v>329186.25000000006</v>
      </c>
      <c r="H66" s="252">
        <f>IF(Init!$R$9="Yes",'Staging Table'!BR68,'Staging Table'!EF68)*IF(Init!$R$3=2018,Rates_previous!$C$88,Rates_previous!$D$88)</f>
        <v>-45406.038941495106</v>
      </c>
      <c r="I66" s="250">
        <f>IF(Init!$R$9="Yes",IF('Staging Table'!$F$1=2018,(SUM('Staging Table'!BD68:BG68)*Rates_previous!$C$87),(SUM('Staging Table'!BD68:BG68)*Rates_previous!$D$87)),IF('Staging Table'!$F$1=2018,(SUM('Staging Table'!DR68:DU68)*Rates_previous!$C$87),(SUM('Staging Table'!DR68:DU68)*Rates_previous!$D$87)))</f>
        <v>36941.513828662995</v>
      </c>
      <c r="J66" s="252">
        <f>IF(Init!$R$9="Yes",IF('Staging Table'!D68=1,'Staging Table'!H68*-1,'Staging Table'!H68*SUM(D66:I66)*(-1)),IF('Staging Table'!D68=1,'Staging Table'!BV68*-1,'Staging Table'!BV68*SUM(D66:I66)*(-1)))</f>
        <v>-424449.84103530186</v>
      </c>
      <c r="K66" s="250">
        <f>IF(Init!$R$9="Yes",'Staging Table'!K68,'Staging Table'!BY68)*(-1)*Rates_previous!$H$32</f>
        <v>0</v>
      </c>
      <c r="L66" s="250">
        <f>IF(Init!$R$12="No",0,'Staging Table'!$BI68*-1)</f>
        <v>-104678.12987442817</v>
      </c>
      <c r="M66" s="250">
        <f>IF('Staging Table'!C68=1,"",SUM(D66:L66))</f>
        <v>5534441.1867374396</v>
      </c>
      <c r="N66" s="250">
        <f>IF('Staging Table'!C68=1,"",IF(Init!$R$9="Yes",(RT1SC!$C$3*'Staging Table'!E68*'Staging Table'!$F$2)+SUM('Staging Table'!L68:AI68)-IF(Init!$R$15="No",'Staging Table'!BH68, 0),Z66))</f>
        <v>157046.365998344</v>
      </c>
      <c r="O66" s="126">
        <f>IF('Staging Table'!C68=1,"",IF(N66=0, 0, M66/N66))</f>
        <v>35.240810263612204</v>
      </c>
      <c r="P66" s="250">
        <f>'Staging Table'!BS68*Rates_current!$E$74*100*12</f>
        <v>6025079.8923599999</v>
      </c>
      <c r="Q66" s="250">
        <f>'Staging Table'!BT68*Rates_current!$E$75*100*12</f>
        <v>-609534.37380000006</v>
      </c>
      <c r="R66" s="251">
        <f>SUMPRODUCT('Staging Table'!BZ68:CW68, LS_Demand_Rates_Restatement!$C$5:$Z$5)-IF(Init!$R$15="No",('Staging Table'!DV68*Rates_current!$H$34), 0)</f>
        <v>65123.480000000018</v>
      </c>
      <c r="S66" s="251">
        <f>SUMPRODUCT('Staging Table'!CX68:DI68, LS_Demand_Rates_Restatement!$C$11:$N$11)*1000</f>
        <v>366690.63</v>
      </c>
      <c r="T66" s="252">
        <f>'Staging Table'!EF68*IF(Init!$R$18="Yes",IF(Init!$R$6=2020,Rates_current!$C$88,Rates_current!$D$88),Rates_current!$H$33)</f>
        <v>9880.6274132522412</v>
      </c>
      <c r="U66" s="252">
        <f>IF(Init!$R$18="Yes",(SUM('Staging Table'!DL68:DU68)*IF('Staging Table'!$BT$1=2020, Rates_current!$C$87, Rates_current!$D$87)),0)</f>
        <v>105177.8870904642</v>
      </c>
      <c r="V66" s="252">
        <f>IF('Staging Table'!D68=1, 'Staging Table'!BV68*-1,SUM(P66:U66)*'Staging Table'!BV68*-1)</f>
        <v>-417369.2700144602</v>
      </c>
      <c r="W66" s="250">
        <f>'Staging Table'!BY68*Rates_current!$H$32*-1</f>
        <v>0</v>
      </c>
      <c r="X66" s="250">
        <f>IF(Init!$R$12="No",0,'Staging Table'!$DW68*-1)</f>
        <v>0</v>
      </c>
      <c r="Y66" s="250">
        <f>IF('Staging Table'!C68=1,"",SUM(P66:X66))</f>
        <v>5545048.8730492564</v>
      </c>
      <c r="Z66" s="250">
        <f>IF('Staging Table'!C68=1,"",(RT1SC!$C$4*'Staging Table'!BS68*'Staging Table'!$BT$2)+SUM('Staging Table'!BZ68:CW68)-IF(Init!$R$15="No",'Staging Table'!DV68, 0))</f>
        <v>157048.06982062082</v>
      </c>
      <c r="AA66" s="126">
        <f>IF('Staging Table'!C68=1,"",IF(Z66=0, 0, Y66/Z66))</f>
        <v>35.307972134791413</v>
      </c>
      <c r="AB66" s="118">
        <f ca="1">IF('Staging Table'!C68=1,"",(AA66/O66-1)+(RAND()/100000000000000))</f>
        <v>1.905798154951194E-3</v>
      </c>
      <c r="AC66" s="79">
        <f t="shared" ca="1" si="0"/>
        <v>86</v>
      </c>
      <c r="AF66" s="255"/>
      <c r="AG66" s="255"/>
      <c r="AH66" s="271"/>
      <c r="AI66" s="255"/>
      <c r="AJ66" s="255"/>
    </row>
    <row r="67" spans="2:36">
      <c r="B67" s="3">
        <v>10190</v>
      </c>
      <c r="C67" s="4" t="s">
        <v>70</v>
      </c>
      <c r="D67" s="250">
        <f>IF(Init!$R$9="Yes",'Staging Table'!E69,'Staging Table'!BS69)*Rates_previous!$E$75*100*12</f>
        <v>1873858.6512000002</v>
      </c>
      <c r="E67" s="250">
        <f>IF(Init!$R$9="Yes",'Staging Table'!F69,'Staging Table'!BT69)*Rates_previous!$E$76*100*12</f>
        <v>-264254.853</v>
      </c>
      <c r="F67" s="251">
        <f>IF(Init!$R$9="Yes",SUMPRODUCT('Staging Table'!L69:AI69,LS_Demand_Rates_Restatement!$C$4:$Z$4)-IF(Init!$R$15="No",('Staging Table'!BH69*Rates_previous!$H$34), 0),SUMPRODUCT('Staging Table'!BZ69:CW69,LS_Demand_Rates_Restatement!$C$4:$Z$4)-IF(Init!$R$15="No", 'Staging Table'!DV69*Rates_previous!$H$34, 0))</f>
        <v>51005.029212781497</v>
      </c>
      <c r="G67" s="251">
        <f>IF(Init!$R$9="Yes",SUMPRODUCT('Staging Table'!AJ69:AU69,LS_Demand_Rates_Restatement!$C$10:$N$10),SUMPRODUCT(LS_Demand_Rates_Restatement!$C$10:$N$10,'Staging Table'!CX69:DI69))*1000</f>
        <v>88425.33</v>
      </c>
      <c r="H67" s="252">
        <f>IF(Init!$R$9="Yes",'Staging Table'!BR69,'Staging Table'!EF69)*IF(Init!$R$3=2018,Rates_previous!$C$88,Rates_previous!$D$88)</f>
        <v>0</v>
      </c>
      <c r="I67" s="250">
        <f>IF(Init!$R$9="Yes",IF('Staging Table'!$F$1=2018,(SUM('Staging Table'!BD69:BG69)*Rates_previous!$C$87),(SUM('Staging Table'!BD69:BG69)*Rates_previous!$D$87)),IF('Staging Table'!$F$1=2018,(SUM('Staging Table'!DR69:DU69)*Rates_previous!$C$87),(SUM('Staging Table'!DR69:DU69)*Rates_previous!$D$87)))</f>
        <v>10296.139838941084</v>
      </c>
      <c r="J67" s="252">
        <f>IF(Init!$R$9="Yes",IF('Staging Table'!D69=1,'Staging Table'!H69*-1,'Staging Table'!H69*SUM(D67:I67)*(-1)),IF('Staging Table'!D69=1,'Staging Table'!BV69*-1,'Staging Table'!BV69*SUM(D67:I67)*(-1)))</f>
        <v>0</v>
      </c>
      <c r="K67" s="250">
        <f>IF(Init!$R$9="Yes",'Staging Table'!K69,'Staging Table'!BY69)*(-1)*Rates_previous!$H$32</f>
        <v>0</v>
      </c>
      <c r="L67" s="250">
        <f>IF(Init!$R$12="No",0,'Staging Table'!$BI69*-1)</f>
        <v>-1376110.9197385786</v>
      </c>
      <c r="M67" s="250">
        <f>IF('Staging Table'!C69=1,"",SUM(D67:L67))</f>
        <v>383219.37751314417</v>
      </c>
      <c r="N67" s="250">
        <f>IF('Staging Table'!C69=1,"",IF(Init!$R$9="Yes",(RT1SC!$C$3*'Staging Table'!E69*'Staging Table'!$F$2)+SUM('Staging Table'!L69:AI69)-IF(Init!$R$15="No",'Staging Table'!BH69, 0),Z67))</f>
        <v>44746.079999999994</v>
      </c>
      <c r="O67" s="126">
        <f>IF('Staging Table'!C69=1,"",IF(N67=0, 0, M67/N67))</f>
        <v>8.5643117232424437</v>
      </c>
      <c r="P67" s="250">
        <f>'Staging Table'!BS69*Rates_current!$E$74*100*12</f>
        <v>1747085.41236</v>
      </c>
      <c r="Q67" s="250">
        <f>'Staging Table'!BT69*Rates_current!$E$75*100*12</f>
        <v>-176745.97380000004</v>
      </c>
      <c r="R67" s="251">
        <f>SUMPRODUCT('Staging Table'!BZ69:CW69, LS_Demand_Rates_Restatement!$C$5:$Z$5)-IF(Init!$R$15="No",('Staging Table'!DV69*Rates_current!$H$34), 0)</f>
        <v>55657.738243387379</v>
      </c>
      <c r="S67" s="251">
        <f>SUMPRODUCT('Staging Table'!CX69:DI69, LS_Demand_Rates_Restatement!$C$11:$N$11)*1000</f>
        <v>95526.97</v>
      </c>
      <c r="T67" s="252">
        <f>'Staging Table'!EF69*IF(Init!$R$18="Yes",IF(Init!$R$6=2020,Rates_current!$C$88,Rates_current!$D$88),Rates_current!$H$33)</f>
        <v>0</v>
      </c>
      <c r="U67" s="252">
        <f>IF(Init!$R$18="Yes",(SUM('Staging Table'!DL69:DU69)*IF('Staging Table'!$BT$1=2020, Rates_current!$C$87, Rates_current!$D$87)),0)</f>
        <v>30498.309652558171</v>
      </c>
      <c r="V67" s="252">
        <f>IF('Staging Table'!D69=1, 'Staging Table'!BV69*-1,SUM(P67:U67)*'Staging Table'!BV69*-1)</f>
        <v>0</v>
      </c>
      <c r="W67" s="250">
        <f>'Staging Table'!BY69*Rates_current!$H$32*-1</f>
        <v>0</v>
      </c>
      <c r="X67" s="250">
        <f>IF(Init!$R$12="No",0,'Staging Table'!$DW69*-1)</f>
        <v>0</v>
      </c>
      <c r="Y67" s="250">
        <f>IF('Staging Table'!C69=1,"",SUM(P67:X67))</f>
        <v>1752022.4564559453</v>
      </c>
      <c r="Z67" s="250">
        <f>IF('Staging Table'!C69=1,"",(RT1SC!$C$4*'Staging Table'!BS69*'Staging Table'!$BT$2)+SUM('Staging Table'!BZ69:CW69)-IF(Init!$R$15="No",'Staging Table'!DV69, 0))</f>
        <v>45360.576000000001</v>
      </c>
      <c r="AA67" s="126">
        <f>IF('Staging Table'!C69=1,"",IF(Z67=0, 0, Y67/Z67))</f>
        <v>38.624343228268202</v>
      </c>
      <c r="AB67" s="118"/>
      <c r="AC67" s="79" t="str">
        <f t="shared" si="0"/>
        <v/>
      </c>
      <c r="AF67" s="255"/>
      <c r="AG67" s="255"/>
      <c r="AH67" s="271"/>
      <c r="AI67" s="255"/>
      <c r="AJ67" s="255"/>
    </row>
    <row r="68" spans="2:36">
      <c r="B68" s="3">
        <v>10191</v>
      </c>
      <c r="C68" s="4" t="s">
        <v>71</v>
      </c>
      <c r="D68" s="250">
        <f>IF(Init!$R$9="Yes",'Staging Table'!E70,'Staging Table'!BS70)*Rates_previous!$E$75*100*12</f>
        <v>47364675.456960008</v>
      </c>
      <c r="E68" s="250">
        <f>IF(Init!$R$9="Yes",'Staging Table'!F70,'Staging Table'!BT70)*Rates_previous!$E$76*100*12</f>
        <v>-3198759.1866000001</v>
      </c>
      <c r="F68" s="251">
        <f>IF(Init!$R$9="Yes",SUMPRODUCT('Staging Table'!L70:AI70,LS_Demand_Rates_Restatement!$C$4:$Z$4)-IF(Init!$R$15="No",('Staging Table'!BH70*Rates_previous!$H$34), 0),SUMPRODUCT('Staging Table'!BZ70:CW70,LS_Demand_Rates_Restatement!$C$4:$Z$4)-IF(Init!$R$15="No", 'Staging Table'!DV70*Rates_previous!$H$34, 0))</f>
        <v>131622.19999999984</v>
      </c>
      <c r="G68" s="251">
        <f>IF(Init!$R$9="Yes",SUMPRODUCT('Staging Table'!AJ70:AU70,LS_Demand_Rates_Restatement!$C$10:$N$10),SUMPRODUCT(LS_Demand_Rates_Restatement!$C$10:$N$10,'Staging Table'!CX70:DI70))*1000</f>
        <v>0</v>
      </c>
      <c r="H68" s="252">
        <f>IF(Init!$R$9="Yes",'Staging Table'!BR70,'Staging Table'!EF70)*IF(Init!$R$3=2018,Rates_previous!$C$88,Rates_previous!$D$88)</f>
        <v>0</v>
      </c>
      <c r="I68" s="250">
        <f>IF(Init!$R$9="Yes",IF('Staging Table'!$F$1=2018,(SUM('Staging Table'!BD70:BG70)*Rates_previous!$C$87),(SUM('Staging Table'!BD70:BG70)*Rates_previous!$D$87)),IF('Staging Table'!$F$1=2018,(SUM('Staging Table'!DR70:DU70)*Rates_previous!$C$87),(SUM('Staging Table'!DR70:DU70)*Rates_previous!$D$87)))</f>
        <v>124632.98789949203</v>
      </c>
      <c r="J68" s="252">
        <f>IF(Init!$R$9="Yes",IF('Staging Table'!D70=1,'Staging Table'!H70*-1,'Staging Table'!H70*SUM(D68:I68)*(-1)),IF('Staging Table'!D70=1,'Staging Table'!BV70*-1,'Staging Table'!BV70*SUM(D68:I68)*(-1)))</f>
        <v>0</v>
      </c>
      <c r="K68" s="250">
        <f>IF(Init!$R$9="Yes",'Staging Table'!K70,'Staging Table'!BY70)*(-1)*Rates_previous!$H$32</f>
        <v>0</v>
      </c>
      <c r="L68" s="250">
        <f>IF(Init!$R$12="No",0,'Staging Table'!$BI70*-1)</f>
        <v>-1467483.9585642517</v>
      </c>
      <c r="M68" s="250">
        <f>IF('Staging Table'!C70=1,"",SUM(D68:L68))</f>
        <v>42954687.499695249</v>
      </c>
      <c r="N68" s="250">
        <f>IF('Staging Table'!C70=1,"",IF(Init!$R$9="Yes",(RT1SC!$C$3*'Staging Table'!E70*'Staging Table'!$F$2)+SUM('Staging Table'!L70:AI70)-IF(Init!$R$15="No",'Staging Table'!BH70, 0),Z68))</f>
        <v>1130889.3125122641</v>
      </c>
      <c r="O68" s="126">
        <f>IF('Staging Table'!C70=1,"",IF(N68=0, 0, M68/N68))</f>
        <v>37.983104999260853</v>
      </c>
      <c r="P68" s="250">
        <f>'Staging Table'!BS70*Rates_current!$E$74*100*12</f>
        <v>43741780.558920003</v>
      </c>
      <c r="Q68" s="250">
        <f>'Staging Table'!BT70*Rates_current!$E$75*100*12</f>
        <v>-2097100.236</v>
      </c>
      <c r="R68" s="251">
        <f>SUMPRODUCT('Staging Table'!BZ70:CW70, LS_Demand_Rates_Restatement!$C$5:$Z$5)-IF(Init!$R$15="No",('Staging Table'!DV70*Rates_current!$H$34), 0)</f>
        <v>104323.71999999983</v>
      </c>
      <c r="S68" s="251">
        <f>SUMPRODUCT('Staging Table'!CX70:DI70, LS_Demand_Rates_Restatement!$C$11:$N$11)*1000</f>
        <v>0</v>
      </c>
      <c r="T68" s="252">
        <f>'Staging Table'!EF70*IF(Init!$R$18="Yes",IF(Init!$R$6=2020,Rates_current!$C$88,Rates_current!$D$88),Rates_current!$H$33)</f>
        <v>0</v>
      </c>
      <c r="U68" s="252">
        <f>IF(Init!$R$18="Yes",(SUM('Staging Table'!DL70:DU70)*IF('Staging Table'!$BT$1=2020, Rates_current!$C$87, Rates_current!$D$87)),0)</f>
        <v>361864.04134078679</v>
      </c>
      <c r="V68" s="252">
        <f>IF('Staging Table'!D70=1, 'Staging Table'!BV70*-1,SUM(P68:U68)*'Staging Table'!BV70*-1)</f>
        <v>0</v>
      </c>
      <c r="W68" s="250">
        <f>'Staging Table'!BY70*Rates_current!$H$32*-1</f>
        <v>0</v>
      </c>
      <c r="X68" s="250">
        <f>IF(Init!$R$12="No",0,'Staging Table'!$DW70*-1)</f>
        <v>0</v>
      </c>
      <c r="Y68" s="250">
        <f>IF('Staging Table'!C70=1,"",SUM(P68:X68))</f>
        <v>42110868.084260784</v>
      </c>
      <c r="Z68" s="250">
        <f>IF('Staging Table'!C70=1,"",(RT1SC!$C$4*'Staging Table'!BS70*'Staging Table'!$BT$2)+SUM('Staging Table'!BZ70:CW70)-IF(Init!$R$15="No",'Staging Table'!DV70, 0))</f>
        <v>1133114.9722802176</v>
      </c>
      <c r="AA68" s="126">
        <f>IF('Staging Table'!C70=1,"",IF(Z68=0, 0, Y68/Z68))</f>
        <v>37.163808717061798</v>
      </c>
      <c r="AB68" s="118">
        <f ca="1">IF('Staging Table'!C70=1,"",(AA68/O68-1)+(RAND()/100000000000000))</f>
        <v>-2.157001862314633E-2</v>
      </c>
      <c r="AC68" s="79">
        <f t="shared" ref="AC68:AC131" ca="1" si="1">IF(AB68="","",RANK(AB68,$AB$4:$AB$138))</f>
        <v>115</v>
      </c>
      <c r="AF68" s="255"/>
      <c r="AG68" s="255"/>
      <c r="AH68" s="271"/>
      <c r="AI68" s="255"/>
      <c r="AJ68" s="255"/>
    </row>
    <row r="69" spans="2:36">
      <c r="B69" s="3">
        <v>10197</v>
      </c>
      <c r="C69" s="4" t="s">
        <v>72</v>
      </c>
      <c r="D69" s="250">
        <f>IF(Init!$R$9="Yes",'Staging Table'!E71,'Staging Table'!BS71)*Rates_previous!$E$75*100*12</f>
        <v>8212621.8383999988</v>
      </c>
      <c r="E69" s="250">
        <f>IF(Init!$R$9="Yes",'Staging Table'!F71,'Staging Table'!BT71)*Rates_previous!$E$76*100*12</f>
        <v>-1158158.4209999999</v>
      </c>
      <c r="F69" s="251">
        <f>IF(Init!$R$9="Yes",SUMPRODUCT('Staging Table'!L71:AI71,LS_Demand_Rates_Restatement!$C$4:$Z$4)-IF(Init!$R$15="No",('Staging Table'!BH71*Rates_previous!$H$34), 0),SUMPRODUCT('Staging Table'!BZ71:CW71,LS_Demand_Rates_Restatement!$C$4:$Z$4)-IF(Init!$R$15="No", 'Staging Table'!DV71*Rates_previous!$H$34, 0))</f>
        <v>-411983.63921848871</v>
      </c>
      <c r="G69" s="251">
        <f>IF(Init!$R$9="Yes",SUMPRODUCT('Staging Table'!AJ71:AU71,LS_Demand_Rates_Restatement!$C$10:$N$10),SUMPRODUCT(LS_Demand_Rates_Restatement!$C$10:$N$10,'Staging Table'!CX71:DI71))*1000</f>
        <v>436122.12000000005</v>
      </c>
      <c r="H69" s="252">
        <f>IF(Init!$R$9="Yes",'Staging Table'!BR71,'Staging Table'!EF71)*IF(Init!$R$3=2018,Rates_previous!$C$88,Rates_previous!$D$88)</f>
        <v>0</v>
      </c>
      <c r="I69" s="250">
        <f>IF(Init!$R$9="Yes",IF('Staging Table'!$F$1=2018,(SUM('Staging Table'!BD71:BG71)*Rates_previous!$C$87),(SUM('Staging Table'!BD71:BG71)*Rates_previous!$D$87)),IF('Staging Table'!$F$1=2018,(SUM('Staging Table'!DR71:DU71)*Rates_previous!$C$87),(SUM('Staging Table'!DR71:DU71)*Rates_previous!$D$87)))</f>
        <v>45125.230143883869</v>
      </c>
      <c r="J69" s="252">
        <f>IF(Init!$R$9="Yes",IF('Staging Table'!D71=1,'Staging Table'!H71*-1,'Staging Table'!H71*SUM(D69:I69)*(-1)),IF('Staging Table'!D71=1,'Staging Table'!BV71*-1,'Staging Table'!BV71*SUM(D69:I69)*(-1)))</f>
        <v>-512069.89055642445</v>
      </c>
      <c r="K69" s="250">
        <f>IF(Init!$R$9="Yes",'Staging Table'!K71,'Staging Table'!BY71)*(-1)*Rates_previous!$H$32</f>
        <v>-1174814.6507999997</v>
      </c>
      <c r="L69" s="250">
        <f>IF(Init!$R$12="No",0,'Staging Table'!$BI71*-1)</f>
        <v>-219249.61152246164</v>
      </c>
      <c r="M69" s="250">
        <f>IF('Staging Table'!C71=1,"",SUM(D69:L69))</f>
        <v>5217592.9754465083</v>
      </c>
      <c r="N69" s="250">
        <f>IF('Staging Table'!C71=1,"",IF(Init!$R$9="Yes",(RT1SC!$C$3*'Staging Table'!E71*'Staging Table'!$F$2)+SUM('Staging Table'!L71:AI71)-IF(Init!$R$15="No",'Staging Table'!BH71, 0),Z69))</f>
        <v>196110.12</v>
      </c>
      <c r="O69" s="126">
        <f>IF('Staging Table'!C71=1,"",IF(N69=0, 0, M69/N69))</f>
        <v>26.605424418926003</v>
      </c>
      <c r="P69" s="250">
        <f>'Staging Table'!BS71*Rates_current!$E$74*100*12</f>
        <v>7657372.4528400004</v>
      </c>
      <c r="Q69" s="250">
        <f>'Staging Table'!BT71*Rates_current!$E$75*100*12</f>
        <v>-774667.19219999993</v>
      </c>
      <c r="R69" s="251">
        <f>SUMPRODUCT('Staging Table'!BZ71:CW71, LS_Demand_Rates_Restatement!$C$5:$Z$5)-IF(Init!$R$15="No",('Staging Table'!DV71*Rates_current!$H$34), 0)</f>
        <v>-461710.54045746988</v>
      </c>
      <c r="S69" s="251">
        <f>SUMPRODUCT('Staging Table'!CX71:DI71, LS_Demand_Rates_Restatement!$C$11:$N$11)*1000</f>
        <v>470433.50000000012</v>
      </c>
      <c r="T69" s="252">
        <f>'Staging Table'!EF71*IF(Init!$R$18="Yes",IF(Init!$R$6=2020,Rates_current!$C$88,Rates_current!$D$88),Rates_current!$H$33)</f>
        <v>0</v>
      </c>
      <c r="U69" s="252">
        <f>IF(Init!$R$18="Yes",(SUM('Staging Table'!DL71:DU71)*IF('Staging Table'!$BT$1=2020, Rates_current!$C$87, Rates_current!$D$87)),0)</f>
        <v>133672.29474843855</v>
      </c>
      <c r="V69" s="252">
        <f>IF('Staging Table'!D71=1, 'Staging Table'!BV71*-1,SUM(P69:U69)*'Staging Table'!BV71*-1)</f>
        <v>-546447.44355390547</v>
      </c>
      <c r="W69" s="250">
        <f>'Staging Table'!BY71*Rates_current!$H$32*-1</f>
        <v>-1109880.1675499999</v>
      </c>
      <c r="X69" s="250">
        <f>IF(Init!$R$12="No",0,'Staging Table'!$DW71*-1)</f>
        <v>0</v>
      </c>
      <c r="Y69" s="250">
        <f>IF('Staging Table'!C71=1,"",SUM(P69:X69))</f>
        <v>5368772.9038270637</v>
      </c>
      <c r="Z69" s="250">
        <f>IF('Staging Table'!C71=1,"",(RT1SC!$C$4*'Staging Table'!BS71*'Staging Table'!$BT$2)+SUM('Staging Table'!BZ71:CW71)-IF(Init!$R$15="No",'Staging Table'!DV71, 0))</f>
        <v>198799.48800000001</v>
      </c>
      <c r="AA69" s="126">
        <f>IF('Staging Table'!C71=1,"",IF(Z69=0, 0, Y69/Z69))</f>
        <v>27.005969471244633</v>
      </c>
      <c r="AB69" s="118">
        <f ca="1">IF('Staging Table'!C71=1,"",(AA69/O69-1)+(RAND()/100000000000000))</f>
        <v>1.505501457190815E-2</v>
      </c>
      <c r="AC69" s="79">
        <f t="shared" ca="1" si="1"/>
        <v>64</v>
      </c>
      <c r="AF69" s="255"/>
      <c r="AG69" s="255"/>
      <c r="AH69" s="271"/>
      <c r="AI69" s="255"/>
      <c r="AJ69" s="255"/>
    </row>
    <row r="70" spans="2:36">
      <c r="B70" s="3">
        <v>10202</v>
      </c>
      <c r="C70" s="4" t="s">
        <v>73</v>
      </c>
      <c r="D70" s="250">
        <f>IF(Init!$R$9="Yes",'Staging Table'!E72,'Staging Table'!BS72)*Rates_previous!$E$75*100*12</f>
        <v>4728085.4995200001</v>
      </c>
      <c r="E70" s="250">
        <f>IF(Init!$R$9="Yes",'Staging Table'!F72,'Staging Table'!BT72)*Rates_previous!$E$76*100*12</f>
        <v>-666762.95880000002</v>
      </c>
      <c r="F70" s="251">
        <f>IF(Init!$R$9="Yes",SUMPRODUCT('Staging Table'!L72:AI72,LS_Demand_Rates_Restatement!$C$4:$Z$4)-IF(Init!$R$15="No",('Staging Table'!BH72*Rates_previous!$H$34), 0),SUMPRODUCT('Staging Table'!BZ72:CW72,LS_Demand_Rates_Restatement!$C$4:$Z$4)-IF(Init!$R$15="No", 'Staging Table'!DV72*Rates_previous!$H$34, 0))</f>
        <v>112670.30000000003</v>
      </c>
      <c r="G70" s="251">
        <f>IF(Init!$R$9="Yes",SUMPRODUCT('Staging Table'!AJ72:AU72,LS_Demand_Rates_Restatement!$C$10:$N$10),SUMPRODUCT(LS_Demand_Rates_Restatement!$C$10:$N$10,'Staging Table'!CX72:DI72))*1000</f>
        <v>273645.28000000003</v>
      </c>
      <c r="H70" s="252">
        <f>IF(Init!$R$9="Yes",'Staging Table'!BR72,'Staging Table'!EF72)*IF(Init!$R$3=2018,Rates_previous!$C$88,Rates_previous!$D$88)</f>
        <v>0</v>
      </c>
      <c r="I70" s="250">
        <f>IF(Init!$R$9="Yes",IF('Staging Table'!$F$1=2018,(SUM('Staging Table'!BD72:BG72)*Rates_previous!$C$87),(SUM('Staging Table'!BD72:BG72)*Rates_previous!$D$87)),IF('Staging Table'!$F$1=2018,(SUM('Staging Table'!DR72:DU72)*Rates_previous!$C$87),(SUM('Staging Table'!DR72:DU72)*Rates_previous!$D$87)))</f>
        <v>25979.029657521231</v>
      </c>
      <c r="J70" s="252">
        <f>IF(Init!$R$9="Yes",IF('Staging Table'!D72=1,'Staging Table'!H72*-1,'Staging Table'!H72*SUM(D70:I70)*(-1)),IF('Staging Table'!D72=1,'Staging Table'!BV72*-1,'Staging Table'!BV72*SUM(D70:I70)*(-1)))</f>
        <v>0</v>
      </c>
      <c r="K70" s="250">
        <f>IF(Init!$R$9="Yes",'Staging Table'!K72,'Staging Table'!BY72)*(-1)*Rates_previous!$H$32</f>
        <v>0</v>
      </c>
      <c r="L70" s="250">
        <f>IF(Init!$R$12="No",0,'Staging Table'!$BI72*-1)</f>
        <v>-163397.78896729407</v>
      </c>
      <c r="M70" s="250">
        <f>IF('Staging Table'!C72=1,"",SUM(D70:L70))</f>
        <v>4310219.3614102276</v>
      </c>
      <c r="N70" s="250">
        <f>IF('Staging Table'!C72=1,"",IF(Init!$R$9="Yes",(RT1SC!$C$3*'Staging Table'!E72*'Staging Table'!$F$2)+SUM('Staging Table'!L72:AI72)-IF(Init!$R$15="No",'Staging Table'!BH72, 0),Z70))</f>
        <v>112779.02801156799</v>
      </c>
      <c r="O70" s="126">
        <f>IF('Staging Table'!C72=1,"",IF(N70=0, 0, M70/N70))</f>
        <v>38.218270164273086</v>
      </c>
      <c r="P70" s="250">
        <f>'Staging Table'!BS72*Rates_current!$E$74*100*12</f>
        <v>4408235.6452799998</v>
      </c>
      <c r="Q70" s="250">
        <f>'Staging Table'!BT72*Rates_current!$E$75*100*12</f>
        <v>-445964.40240000002</v>
      </c>
      <c r="R70" s="251">
        <f>SUMPRODUCT('Staging Table'!BZ72:CW72, LS_Demand_Rates_Restatement!$C$5:$Z$5)-IF(Init!$R$15="No",('Staging Table'!DV72*Rates_current!$H$34), 0)</f>
        <v>62910.269999999968</v>
      </c>
      <c r="S70" s="251">
        <f>SUMPRODUCT('Staging Table'!CX72:DI72, LS_Demand_Rates_Restatement!$C$11:$N$11)*1000</f>
        <v>306590.91999999993</v>
      </c>
      <c r="T70" s="252">
        <f>'Staging Table'!EF72*IF(Init!$R$18="Yes",IF(Init!$R$6=2020,Rates_current!$C$88,Rates_current!$D$88),Rates_current!$H$33)</f>
        <v>0</v>
      </c>
      <c r="U70" s="252">
        <f>IF(Init!$R$18="Yes",(SUM('Staging Table'!DL72:DU72)*IF('Staging Table'!$BT$1=2020, Rates_current!$C$87, Rates_current!$D$87)),0)</f>
        <v>76953.155684348923</v>
      </c>
      <c r="V70" s="252">
        <f>IF('Staging Table'!D72=1, 'Staging Table'!BV72*-1,SUM(P70:U70)*'Staging Table'!BV72*-1)</f>
        <v>0</v>
      </c>
      <c r="W70" s="250">
        <f>'Staging Table'!BY72*Rates_current!$H$32*-1</f>
        <v>0</v>
      </c>
      <c r="X70" s="250">
        <f>IF(Init!$R$12="No",0,'Staging Table'!$DW72*-1)</f>
        <v>0</v>
      </c>
      <c r="Y70" s="250">
        <f>IF('Staging Table'!C72=1,"",SUM(P70:X70))</f>
        <v>4408725.5885643484</v>
      </c>
      <c r="Z70" s="250">
        <f>IF('Staging Table'!C72=1,"",(RT1SC!$C$4*'Staging Table'!BS72*'Staging Table'!$BT$2)+SUM('Staging Table'!BZ72:CW72)-IF(Init!$R$15="No",'Staging Table'!DV72, 0))</f>
        <v>110734.30570915841</v>
      </c>
      <c r="AA70" s="126">
        <f>IF('Staging Table'!C72=1,"",IF(Z70=0, 0, Y70/Z70))</f>
        <v>39.813547936479452</v>
      </c>
      <c r="AB70" s="118">
        <f ca="1">IF('Staging Table'!C72=1,"",(AA70/O70-1)+(RAND()/100000000000000))</f>
        <v>4.1741234371664812E-2</v>
      </c>
      <c r="AC70" s="79">
        <f t="shared" ca="1" si="1"/>
        <v>5</v>
      </c>
      <c r="AF70" s="255"/>
      <c r="AG70" s="255"/>
      <c r="AH70" s="271"/>
      <c r="AI70" s="255"/>
      <c r="AJ70" s="255"/>
    </row>
    <row r="71" spans="2:36">
      <c r="B71" s="3">
        <v>10203</v>
      </c>
      <c r="C71" s="4" t="s">
        <v>74</v>
      </c>
      <c r="D71" s="250">
        <f>IF(Init!$R$9="Yes",'Staging Table'!E73,'Staging Table'!BS73)*Rates_previous!$E$75*100*12</f>
        <v>2243025.3657600004</v>
      </c>
      <c r="E71" s="250">
        <f>IF(Init!$R$9="Yes",'Staging Table'!F73,'Staging Table'!BT73)*Rates_previous!$E$76*100*12</f>
        <v>-316315.39439999999</v>
      </c>
      <c r="F71" s="251">
        <f>IF(Init!$R$9="Yes",SUMPRODUCT('Staging Table'!L73:AI73,LS_Demand_Rates_Restatement!$C$4:$Z$4)-IF(Init!$R$15="No",('Staging Table'!BH73*Rates_previous!$H$34), 0),SUMPRODUCT('Staging Table'!BZ73:CW73,LS_Demand_Rates_Restatement!$C$4:$Z$4)-IF(Init!$R$15="No", 'Staging Table'!DV73*Rates_previous!$H$34, 0))</f>
        <v>41725.590012471592</v>
      </c>
      <c r="G71" s="251">
        <f>IF(Init!$R$9="Yes",SUMPRODUCT('Staging Table'!AJ73:AU73,LS_Demand_Rates_Restatement!$C$10:$N$10),SUMPRODUCT(LS_Demand_Rates_Restatement!$C$10:$N$10,'Staging Table'!CX73:DI73))*1000</f>
        <v>135623.38000000003</v>
      </c>
      <c r="H71" s="252">
        <f>IF(Init!$R$9="Yes",'Staging Table'!BR73,'Staging Table'!EF73)*IF(Init!$R$3=2018,Rates_previous!$C$88,Rates_previous!$D$88)</f>
        <v>0</v>
      </c>
      <c r="I71" s="250">
        <f>IF(Init!$R$9="Yes",IF('Staging Table'!$F$1=2018,(SUM('Staging Table'!BD73:BG73)*Rates_previous!$C$87),(SUM('Staging Table'!BD73:BG73)*Rates_previous!$D$87)),IF('Staging Table'!$F$1=2018,(SUM('Staging Table'!DR73:DU73)*Rates_previous!$C$87),(SUM('Staging Table'!DR73:DU73)*Rates_previous!$D$87)))</f>
        <v>12324.570379610785</v>
      </c>
      <c r="J71" s="252">
        <f>IF(Init!$R$9="Yes",IF('Staging Table'!D73=1,'Staging Table'!H73*-1,'Staging Table'!H73*SUM(D71:I71)*(-1)),IF('Staging Table'!D73=1,'Staging Table'!BV73*-1,'Staging Table'!BV73*SUM(D71:I71)*(-1)))</f>
        <v>-154543.8266252676</v>
      </c>
      <c r="K71" s="250">
        <f>IF(Init!$R$9="Yes",'Staging Table'!K73,'Staging Table'!BY73)*(-1)*Rates_previous!$H$32</f>
        <v>0</v>
      </c>
      <c r="L71" s="250">
        <f>IF(Init!$R$12="No",0,'Staging Table'!$BI73*-1)</f>
        <v>-73932.85602435912</v>
      </c>
      <c r="M71" s="250">
        <f>IF('Staging Table'!C73=1,"",SUM(D71:L71))</f>
        <v>1887906.8291024559</v>
      </c>
      <c r="N71" s="250">
        <f>IF('Staging Table'!C73=1,"",IF(Init!$R$9="Yes",(RT1SC!$C$3*'Staging Table'!E73*'Staging Table'!$F$2)+SUM('Staging Table'!L73:AI73)-IF(Init!$R$15="No",'Staging Table'!BH73, 0),Z71))</f>
        <v>53558.64</v>
      </c>
      <c r="O71" s="126">
        <f>IF('Staging Table'!C73=1,"",IF(N71=0, 0, M71/N71))</f>
        <v>35.249342199549055</v>
      </c>
      <c r="P71" s="250">
        <f>'Staging Table'!BS73*Rates_current!$E$74*100*12</f>
        <v>2090988.63528</v>
      </c>
      <c r="Q71" s="250">
        <f>'Staging Table'!BT73*Rates_current!$E$75*100*12</f>
        <v>-211537.35240000003</v>
      </c>
      <c r="R71" s="251">
        <f>SUMPRODUCT('Staging Table'!BZ73:CW73, LS_Demand_Rates_Restatement!$C$5:$Z$5)-IF(Init!$R$15="No",('Staging Table'!DV73*Rates_current!$H$34), 0)</f>
        <v>45991.934073737197</v>
      </c>
      <c r="S71" s="251">
        <f>SUMPRODUCT('Staging Table'!CX73:DI73, LS_Demand_Rates_Restatement!$C$11:$N$11)*1000</f>
        <v>148897.03</v>
      </c>
      <c r="T71" s="252">
        <f>'Staging Table'!EF73*IF(Init!$R$18="Yes",IF(Init!$R$6=2020,Rates_current!$C$88,Rates_current!$D$88),Rates_current!$H$33)</f>
        <v>0</v>
      </c>
      <c r="U71" s="252">
        <f>IF(Init!$R$18="Yes",(SUM('Staging Table'!DL73:DU73)*IF('Staging Table'!$BT$1=2020, Rates_current!$C$87, Rates_current!$D$87)),0)</f>
        <v>36501.717905483172</v>
      </c>
      <c r="V71" s="252">
        <f>IF('Staging Table'!D73=1, 'Staging Table'!BV73*-1,SUM(P71:U71)*'Staging Table'!BV73*-1)</f>
        <v>-153066.8607449804</v>
      </c>
      <c r="W71" s="250">
        <f>'Staging Table'!BY73*Rates_current!$H$32*-1</f>
        <v>0</v>
      </c>
      <c r="X71" s="250">
        <f>IF(Init!$R$12="No",0,'Staging Table'!$DW73*-1)</f>
        <v>0</v>
      </c>
      <c r="Y71" s="250">
        <f>IF('Staging Table'!C73=1,"",SUM(P71:X71))</f>
        <v>1957775.1041142398</v>
      </c>
      <c r="Z71" s="250">
        <f>IF('Staging Table'!C73=1,"",(RT1SC!$C$4*'Staging Table'!BS73*'Staging Table'!$BT$2)+SUM('Staging Table'!BZ73:CW73)-IF(Init!$R$15="No",'Staging Table'!DV73, 0))</f>
        <v>54285.119999999995</v>
      </c>
      <c r="AA71" s="126">
        <f>IF('Staging Table'!C73=1,"",IF(Z71=0, 0, Y71/Z71))</f>
        <v>36.064673046946197</v>
      </c>
      <c r="AB71" s="118">
        <f ca="1">IF('Staging Table'!C73=1,"",(AA71/O71-1)+(RAND()/100000000000000))</f>
        <v>2.3130384753896619E-2</v>
      </c>
      <c r="AC71" s="79">
        <f t="shared" ca="1" si="1"/>
        <v>41</v>
      </c>
      <c r="AF71" s="255"/>
      <c r="AG71" s="255"/>
      <c r="AH71" s="271"/>
      <c r="AI71" s="255"/>
      <c r="AJ71" s="255"/>
    </row>
    <row r="72" spans="2:36">
      <c r="B72" s="3">
        <v>10204</v>
      </c>
      <c r="C72" s="4" t="s">
        <v>75</v>
      </c>
      <c r="D72" s="250">
        <f>IF(Init!$R$9="Yes",'Staging Table'!E74,'Staging Table'!BS74)*Rates_previous!$E$75*100*12</f>
        <v>23060053.601280004</v>
      </c>
      <c r="E72" s="250">
        <f>IF(Init!$R$9="Yes",'Staging Table'!F74,'Staging Table'!BT74)*Rates_previous!$E$76*100*12</f>
        <v>-1278698.8740000001</v>
      </c>
      <c r="F72" s="251">
        <f>IF(Init!$R$9="Yes",SUMPRODUCT('Staging Table'!L74:AI74,LS_Demand_Rates_Restatement!$C$4:$Z$4)-IF(Init!$R$15="No",('Staging Table'!BH74*Rates_previous!$H$34), 0),SUMPRODUCT('Staging Table'!BZ74:CW74,LS_Demand_Rates_Restatement!$C$4:$Z$4)-IF(Init!$R$15="No", 'Staging Table'!DV74*Rates_previous!$H$34, 0))</f>
        <v>47668.725000000079</v>
      </c>
      <c r="G72" s="251">
        <f>IF(Init!$R$9="Yes",SUMPRODUCT('Staging Table'!AJ74:AU74,LS_Demand_Rates_Restatement!$C$10:$N$10),SUMPRODUCT(LS_Demand_Rates_Restatement!$C$10:$N$10,'Staging Table'!CX74:DI74))*1000</f>
        <v>0</v>
      </c>
      <c r="H72" s="252">
        <f>IF(Init!$R$9="Yes",'Staging Table'!BR74,'Staging Table'!EF74)*IF(Init!$R$3=2018,Rates_previous!$C$88,Rates_previous!$D$88)</f>
        <v>0</v>
      </c>
      <c r="I72" s="250">
        <f>IF(Init!$R$9="Yes",IF('Staging Table'!$F$1=2018,(SUM('Staging Table'!BD74:BG74)*Rates_previous!$C$87),(SUM('Staging Table'!BD74:BG74)*Rates_previous!$D$87)),IF('Staging Table'!$F$1=2018,(SUM('Staging Table'!DR74:DU74)*Rates_previous!$C$87),(SUM('Staging Table'!DR74:DU74)*Rates_previous!$D$87)))</f>
        <v>49821.83777945795</v>
      </c>
      <c r="J72" s="252">
        <f>IF(Init!$R$9="Yes",IF('Staging Table'!D74=1,'Staging Table'!H74*-1,'Staging Table'!H74*SUM(D72:I72)*(-1)),IF('Staging Table'!D74=1,'Staging Table'!BV74*-1,'Staging Table'!BV74*SUM(D72:I72)*(-1)))</f>
        <v>0</v>
      </c>
      <c r="K72" s="250">
        <f>IF(Init!$R$9="Yes",'Staging Table'!K74,'Staging Table'!BY74)*(-1)*Rates_previous!$H$32</f>
        <v>0</v>
      </c>
      <c r="L72" s="250">
        <f>IF(Init!$R$12="No",0,'Staging Table'!$BI74*-1)</f>
        <v>-810535.73706475971</v>
      </c>
      <c r="M72" s="250">
        <f>IF('Staging Table'!C74=1,"",SUM(D72:L72))</f>
        <v>21068309.552994702</v>
      </c>
      <c r="N72" s="250">
        <f>IF('Staging Table'!C74=1,"",IF(Init!$R$9="Yes",(RT1SC!$C$3*'Staging Table'!E74*'Staging Table'!$F$2)+SUM('Staging Table'!L74:AI74)-IF(Init!$R$15="No",'Staging Table'!BH74, 0),Z72))</f>
        <v>550902.50540915201</v>
      </c>
      <c r="O72" s="126">
        <f>IF('Staging Table'!C74=1,"",IF(N72=0, 0, M72/N72))</f>
        <v>38.243263274592287</v>
      </c>
      <c r="P72" s="250">
        <f>'Staging Table'!BS74*Rates_current!$E$74*100*12</f>
        <v>21209345.966399997</v>
      </c>
      <c r="Q72" s="250">
        <f>'Staging Table'!BT74*Rates_current!$E$75*100*12</f>
        <v>-825832.39860000007</v>
      </c>
      <c r="R72" s="251">
        <f>SUMPRODUCT('Staging Table'!BZ74:CW74, LS_Demand_Rates_Restatement!$C$5:$Z$5)-IF(Init!$R$15="No",('Staging Table'!DV74*Rates_current!$H$34), 0)</f>
        <v>14810.07000000002</v>
      </c>
      <c r="S72" s="251">
        <f>SUMPRODUCT('Staging Table'!CX74:DI74, LS_Demand_Rates_Restatement!$C$11:$N$11)*1000</f>
        <v>0</v>
      </c>
      <c r="T72" s="252">
        <f>'Staging Table'!EF74*IF(Init!$R$18="Yes",IF(Init!$R$6=2020,Rates_current!$C$88,Rates_current!$D$88),Rates_current!$H$33)</f>
        <v>0</v>
      </c>
      <c r="U72" s="252">
        <f>IF(Init!$R$18="Yes",(SUM('Staging Table'!DL74:DU74)*IF('Staging Table'!$BT$1=2020, Rates_current!$C$87, Rates_current!$D$87)),0)</f>
        <v>142501.08034776431</v>
      </c>
      <c r="V72" s="252">
        <f>IF('Staging Table'!D74=1, 'Staging Table'!BV74*-1,SUM(P72:U72)*'Staging Table'!BV74*-1)</f>
        <v>0</v>
      </c>
      <c r="W72" s="250">
        <f>'Staging Table'!BY74*Rates_current!$H$32*-1</f>
        <v>0</v>
      </c>
      <c r="X72" s="250">
        <f>IF(Init!$R$12="No",0,'Staging Table'!$DW74*-1)</f>
        <v>0</v>
      </c>
      <c r="Y72" s="250">
        <f>IF('Staging Table'!C74=1,"",SUM(P72:X72))</f>
        <v>20540824.718147762</v>
      </c>
      <c r="Z72" s="250">
        <f>IF('Staging Table'!C74=1,"",(RT1SC!$C$4*'Staging Table'!BS74*'Staging Table'!$BT$2)+SUM('Staging Table'!BZ74:CW74)-IF(Init!$R$15="No",'Staging Table'!DV74, 0))</f>
        <v>549218.36885299196</v>
      </c>
      <c r="AA72" s="126">
        <f>IF('Staging Table'!C74=1,"",IF(Z72=0, 0, Y72/Z72))</f>
        <v>37.400105100355589</v>
      </c>
      <c r="AB72" s="118">
        <f ca="1">IF('Staging Table'!C74=1,"",(AA72/O72-1)+(RAND()/100000000000000))</f>
        <v>-2.2047233997329614E-2</v>
      </c>
      <c r="AC72" s="79">
        <f t="shared" ca="1" si="1"/>
        <v>116</v>
      </c>
      <c r="AF72" s="255"/>
      <c r="AG72" s="255"/>
      <c r="AH72" s="271"/>
      <c r="AI72" s="255"/>
      <c r="AJ72" s="255"/>
    </row>
    <row r="73" spans="2:36">
      <c r="B73" s="3">
        <v>10209</v>
      </c>
      <c r="C73" s="4" t="s">
        <v>76</v>
      </c>
      <c r="D73" s="250">
        <f>IF(Init!$R$9="Yes",'Staging Table'!E75,'Staging Table'!BS75)*Rates_previous!$E$75*100*12</f>
        <v>37861880.918399997</v>
      </c>
      <c r="E73" s="250">
        <f>IF(Init!$R$9="Yes",'Staging Table'!F75,'Staging Table'!BT75)*Rates_previous!$E$76*100*12</f>
        <v>-5339349.2459999993</v>
      </c>
      <c r="F73" s="251">
        <f>IF(Init!$R$9="Yes",SUMPRODUCT('Staging Table'!L75:AI75,LS_Demand_Rates_Restatement!$C$4:$Z$4)-IF(Init!$R$15="No",('Staging Table'!BH75*Rates_previous!$H$34), 0),SUMPRODUCT('Staging Table'!BZ75:CW75,LS_Demand_Rates_Restatement!$C$4:$Z$4)-IF(Init!$R$15="No", 'Staging Table'!DV75*Rates_previous!$H$34, 0))</f>
        <v>375561.87376145093</v>
      </c>
      <c r="G73" s="251">
        <f>IF(Init!$R$9="Yes",SUMPRODUCT('Staging Table'!AJ75:AU75,LS_Demand_Rates_Restatement!$C$10:$N$10),SUMPRODUCT(LS_Demand_Rates_Restatement!$C$10:$N$10,'Staging Table'!CX75:DI75))*1000</f>
        <v>2778108.49</v>
      </c>
      <c r="H73" s="252">
        <f>IF(Init!$R$9="Yes",'Staging Table'!BR75,'Staging Table'!EF75)*IF(Init!$R$3=2018,Rates_previous!$C$88,Rates_previous!$D$88)</f>
        <v>0</v>
      </c>
      <c r="I73" s="250">
        <f>IF(Init!$R$9="Yes",IF('Staging Table'!$F$1=2018,(SUM('Staging Table'!BD75:BG75)*Rates_previous!$C$87),(SUM('Staging Table'!BD75:BG75)*Rates_previous!$D$87)),IF('Staging Table'!$F$1=2018,(SUM('Staging Table'!DR75:DU75)*Rates_previous!$C$87),(SUM('Staging Table'!DR75:DU75)*Rates_previous!$D$87)))</f>
        <v>208036.62018559276</v>
      </c>
      <c r="J73" s="252">
        <f>IF(Init!$R$9="Yes",IF('Staging Table'!D75=1,'Staging Table'!H75*-1,'Staging Table'!H75*SUM(D73:I73)*(-1)),IF('Staging Table'!D75=1,'Staging Table'!BV75*-1,'Staging Table'!BV75*SUM(D73:I73)*(-1)))</f>
        <v>-2643932.762080322</v>
      </c>
      <c r="K73" s="250">
        <f>IF(Init!$R$9="Yes",'Staging Table'!K75,'Staging Table'!BY75)*(-1)*Rates_previous!$H$32</f>
        <v>-706925.36375999998</v>
      </c>
      <c r="L73" s="250">
        <f>IF(Init!$R$12="No",0,'Staging Table'!$BI75*-1)</f>
        <v>-589496.26286099397</v>
      </c>
      <c r="M73" s="250">
        <f>IF('Staging Table'!C75=1,"",SUM(D73:L73))</f>
        <v>31943884.267645728</v>
      </c>
      <c r="N73" s="250">
        <f>IF('Staging Table'!C75=1,"",IF(Init!$R$9="Yes",(RT1SC!$C$3*'Staging Table'!E75*'Staging Table'!$F$2)+SUM('Staging Table'!L75:AI75)-IF(Init!$R$15="No",'Staging Table'!BH75, 0),Z73))</f>
        <v>904093.32</v>
      </c>
      <c r="O73" s="126">
        <f>IF('Staging Table'!C75=1,"",IF(N73=0, 0, M73/N73))</f>
        <v>35.332507785419466</v>
      </c>
      <c r="P73" s="250">
        <f>'Staging Table'!BS75*Rates_current!$E$74*100*12</f>
        <v>35300584.450800002</v>
      </c>
      <c r="Q73" s="250">
        <f>'Staging Table'!BT75*Rates_current!$E$75*100*12</f>
        <v>-3571225.6140000001</v>
      </c>
      <c r="R73" s="251">
        <f>SUMPRODUCT('Staging Table'!BZ75:CW75, LS_Demand_Rates_Restatement!$C$5:$Z$5)-IF(Init!$R$15="No",('Staging Table'!DV75*Rates_current!$H$34), 0)</f>
        <v>391554.71</v>
      </c>
      <c r="S73" s="251">
        <f>SUMPRODUCT('Staging Table'!CX75:DI75, LS_Demand_Rates_Restatement!$C$11:$N$11)*1000</f>
        <v>3028254.38</v>
      </c>
      <c r="T73" s="252">
        <f>'Staging Table'!EF75*IF(Init!$R$18="Yes",IF(Init!$R$6=2020,Rates_current!$C$88,Rates_current!$D$88),Rates_current!$H$33)</f>
        <v>0</v>
      </c>
      <c r="U73" s="252">
        <f>IF(Init!$R$18="Yes",(SUM('Staging Table'!DL75:DU75)*IF('Staging Table'!$BT$1=2020, Rates_current!$C$87, Rates_current!$D$87)),0)</f>
        <v>616230.979825121</v>
      </c>
      <c r="V73" s="252">
        <f>IF('Staging Table'!D75=1, 'Staging Table'!BV75*-1,SUM(P73:U73)*'Staging Table'!BV75*-1)</f>
        <v>-2645030.0761394617</v>
      </c>
      <c r="W73" s="250">
        <f>'Staging Table'!BY75*Rates_current!$H$32*-1</f>
        <v>-667852.10811000003</v>
      </c>
      <c r="X73" s="250">
        <f>IF(Init!$R$12="No",0,'Staging Table'!$DW75*-1)</f>
        <v>0</v>
      </c>
      <c r="Y73" s="250">
        <f>IF('Staging Table'!C75=1,"",SUM(P73:X73))</f>
        <v>32452516.722375669</v>
      </c>
      <c r="Z73" s="250">
        <f>IF('Staging Table'!C75=1,"",(RT1SC!$C$4*'Staging Table'!BS75*'Staging Table'!$BT$2)+SUM('Staging Table'!BZ75:CW75)-IF(Init!$R$15="No",'Staging Table'!DV75, 0))</f>
        <v>916477.3140490239</v>
      </c>
      <c r="AA73" s="126">
        <f>IF('Staging Table'!C75=1,"",IF(Z73=0, 0, Y73/Z73))</f>
        <v>35.410060047203451</v>
      </c>
      <c r="AB73" s="118">
        <f ca="1">IF('Staging Table'!C75=1,"",(AA73/O73-1)+(RAND()/100000000000000))</f>
        <v>2.1949266170211822E-3</v>
      </c>
      <c r="AC73" s="79">
        <f t="shared" ca="1" si="1"/>
        <v>84</v>
      </c>
      <c r="AF73" s="255"/>
      <c r="AG73" s="255"/>
      <c r="AH73" s="271"/>
      <c r="AI73" s="255"/>
      <c r="AJ73" s="255"/>
    </row>
    <row r="74" spans="2:36">
      <c r="B74" s="3">
        <v>10230</v>
      </c>
      <c r="C74" s="4" t="s">
        <v>77</v>
      </c>
      <c r="D74" s="250">
        <f>IF(Init!$R$9="Yes",'Staging Table'!E76,'Staging Table'!BS76)*Rates_previous!$E$75*100*12</f>
        <v>3502370.4796799999</v>
      </c>
      <c r="E74" s="250">
        <f>IF(Init!$R$9="Yes",'Staging Table'!F76,'Staging Table'!BT76)*Rates_previous!$E$76*100*12</f>
        <v>-493910.46419999993</v>
      </c>
      <c r="F74" s="251">
        <f>IF(Init!$R$9="Yes",SUMPRODUCT('Staging Table'!L76:AI76,LS_Demand_Rates_Restatement!$C$4:$Z$4)-IF(Init!$R$15="No",('Staging Table'!BH76*Rates_previous!$H$34), 0),SUMPRODUCT('Staging Table'!BZ76:CW76,LS_Demand_Rates_Restatement!$C$4:$Z$4)-IF(Init!$R$15="No", 'Staging Table'!DV76*Rates_previous!$H$34, 0))</f>
        <v>73880.836641918751</v>
      </c>
      <c r="G74" s="251">
        <f>IF(Init!$R$9="Yes",SUMPRODUCT('Staging Table'!AJ76:AU76,LS_Demand_Rates_Restatement!$C$10:$N$10),SUMPRODUCT(LS_Demand_Rates_Restatement!$C$10:$N$10,'Staging Table'!CX76:DI76))*1000</f>
        <v>358740.52</v>
      </c>
      <c r="H74" s="252">
        <f>IF(Init!$R$9="Yes",'Staging Table'!BR76,'Staging Table'!EF76)*IF(Init!$R$3=2018,Rates_previous!$C$88,Rates_previous!$D$88)</f>
        <v>0</v>
      </c>
      <c r="I74" s="250">
        <f>IF(Init!$R$9="Yes",IF('Staging Table'!$F$1=2018,(SUM('Staging Table'!BD76:BG76)*Rates_previous!$C$87),(SUM('Staging Table'!BD76:BG76)*Rates_previous!$D$87)),IF('Staging Table'!$F$1=2018,(SUM('Staging Table'!DR76:DU76)*Rates_previous!$C$87),(SUM('Staging Table'!DR76:DU76)*Rates_previous!$D$87)))</f>
        <v>19244.192299921564</v>
      </c>
      <c r="J74" s="252">
        <f>IF(Init!$R$9="Yes",IF('Staging Table'!D76=1,'Staging Table'!H76*-1,'Staging Table'!H76*SUM(D74:I74)*(-1)),IF('Staging Table'!D76=1,'Staging Table'!BV76*-1,'Staging Table'!BV76*SUM(D74:I74)*(-1)))</f>
        <v>-258435.10684395803</v>
      </c>
      <c r="K74" s="250">
        <f>IF(Init!$R$9="Yes",'Staging Table'!K76,'Staging Table'!BY76)*(-1)*Rates_previous!$H$32</f>
        <v>0</v>
      </c>
      <c r="L74" s="250">
        <f>IF(Init!$R$12="No",0,'Staging Table'!$BI76*-1)</f>
        <v>-102591.41358022759</v>
      </c>
      <c r="M74" s="250">
        <f>IF('Staging Table'!C76=1,"",SUM(D74:L74))</f>
        <v>3099299.0439976547</v>
      </c>
      <c r="N74" s="250">
        <f>IF('Staging Table'!C76=1,"",IF(Init!$R$9="Yes",(RT1SC!$C$3*'Staging Table'!E76*'Staging Table'!$F$2)+SUM('Staging Table'!L76:AI76)-IF(Init!$R$15="No",'Staging Table'!BH76, 0),Z74))</f>
        <v>83631.72</v>
      </c>
      <c r="O74" s="126">
        <f>IF('Staging Table'!C76=1,"",IF(N74=0, 0, M74/N74))</f>
        <v>37.05889396986759</v>
      </c>
      <c r="P74" s="250">
        <f>'Staging Table'!BS76*Rates_current!$E$74*100*12</f>
        <v>3265298.1200400004</v>
      </c>
      <c r="Q74" s="250">
        <f>'Staging Table'!BT76*Rates_current!$E$75*100*12</f>
        <v>-330337.76819999999</v>
      </c>
      <c r="R74" s="251">
        <f>SUMPRODUCT('Staging Table'!BZ76:CW76, LS_Demand_Rates_Restatement!$C$5:$Z$5)-IF(Init!$R$15="No",('Staging Table'!DV76*Rates_current!$H$34), 0)</f>
        <v>22484.710000000014</v>
      </c>
      <c r="S74" s="251">
        <f>SUMPRODUCT('Staging Table'!CX76:DI76, LS_Demand_Rates_Restatement!$C$11:$N$11)*1000</f>
        <v>390753.74999999994</v>
      </c>
      <c r="T74" s="252">
        <f>'Staging Table'!EF76*IF(Init!$R$18="Yes",IF(Init!$R$6=2020,Rates_current!$C$88,Rates_current!$D$88),Rates_current!$H$33)</f>
        <v>0</v>
      </c>
      <c r="U74" s="252">
        <f>IF(Init!$R$18="Yes",(SUM('Staging Table'!DL76:DU76)*IF('Staging Table'!$BT$1=2020, Rates_current!$C$87, Rates_current!$D$87)),0)</f>
        <v>57001.261912188376</v>
      </c>
      <c r="V74" s="252">
        <f>IF('Staging Table'!D76=1, 'Staging Table'!BV76*-1,SUM(P74:U74)*'Staging Table'!BV76*-1)</f>
        <v>-298134.11997719586</v>
      </c>
      <c r="W74" s="250">
        <f>'Staging Table'!BY76*Rates_current!$H$32*-1</f>
        <v>0</v>
      </c>
      <c r="X74" s="250">
        <f>IF(Init!$R$12="No",0,'Staging Table'!$DW76*-1)</f>
        <v>0</v>
      </c>
      <c r="Y74" s="250">
        <f>IF('Staging Table'!C76=1,"",SUM(P74:X74))</f>
        <v>3107065.9537749933</v>
      </c>
      <c r="Z74" s="250">
        <f>IF('Staging Table'!C76=1,"",(RT1SC!$C$4*'Staging Table'!BS76*'Staging Table'!$BT$2)+SUM('Staging Table'!BZ76:CW76)-IF(Init!$R$15="No",'Staging Table'!DV76, 0))</f>
        <v>81729.182291251185</v>
      </c>
      <c r="AA74" s="126">
        <f>IF('Staging Table'!C76=1,"",IF(Z74=0, 0, Y74/Z74))</f>
        <v>38.016603943284451</v>
      </c>
      <c r="AB74" s="118">
        <f ca="1">IF('Staging Table'!C76=1,"",(AA74/O74-1)+(RAND()/100000000000000))</f>
        <v>2.584291841509927E-2</v>
      </c>
      <c r="AC74" s="79">
        <f t="shared" ca="1" si="1"/>
        <v>24</v>
      </c>
      <c r="AF74" s="255"/>
      <c r="AG74" s="255"/>
      <c r="AH74" s="271"/>
      <c r="AI74" s="255"/>
      <c r="AJ74" s="255"/>
    </row>
    <row r="75" spans="2:36">
      <c r="B75" s="3">
        <v>10231</v>
      </c>
      <c r="C75" s="4" t="s">
        <v>78</v>
      </c>
      <c r="D75" s="250">
        <f>IF(Init!$R$9="Yes",'Staging Table'!E77,'Staging Table'!BS77)*Rates_previous!$E$75*100*12</f>
        <v>13232677.70016</v>
      </c>
      <c r="E75" s="250">
        <f>IF(Init!$R$9="Yes",'Staging Table'!F77,'Staging Table'!BT77)*Rates_previous!$E$76*100*12</f>
        <v>-1866095.5554000002</v>
      </c>
      <c r="F75" s="251">
        <f>IF(Init!$R$9="Yes",SUMPRODUCT('Staging Table'!L77:AI77,LS_Demand_Rates_Restatement!$C$4:$Z$4)-IF(Init!$R$15="No",('Staging Table'!BH77*Rates_previous!$H$34), 0),SUMPRODUCT('Staging Table'!BZ77:CW77,LS_Demand_Rates_Restatement!$C$4:$Z$4)-IF(Init!$R$15="No", 'Staging Table'!DV77*Rates_previous!$H$34, 0))</f>
        <v>219799.96657770913</v>
      </c>
      <c r="G75" s="251">
        <f>IF(Init!$R$9="Yes",SUMPRODUCT('Staging Table'!AJ77:AU77,LS_Demand_Rates_Restatement!$C$10:$N$10),SUMPRODUCT(LS_Demand_Rates_Restatement!$C$10:$N$10,'Staging Table'!CX77:DI77))*1000</f>
        <v>652865.42000000004</v>
      </c>
      <c r="H75" s="252">
        <f>IF(Init!$R$9="Yes",'Staging Table'!BR77,'Staging Table'!EF77)*IF(Init!$R$3=2018,Rates_previous!$C$88,Rates_previous!$D$88)</f>
        <v>0</v>
      </c>
      <c r="I75" s="250">
        <f>IF(Init!$R$9="Yes",IF('Staging Table'!$F$1=2018,(SUM('Staging Table'!BD77:BG77)*Rates_previous!$C$87),(SUM('Staging Table'!BD77:BG77)*Rates_previous!$D$87)),IF('Staging Table'!$F$1=2018,(SUM('Staging Table'!DR77:DU77)*Rates_previous!$C$87),(SUM('Staging Table'!DR77:DU77)*Rates_previous!$D$87)))</f>
        <v>72708.525777669754</v>
      </c>
      <c r="J75" s="252">
        <f>IF(Init!$R$9="Yes",IF('Staging Table'!D77=1,'Staging Table'!H77*-1,'Staging Table'!H77*SUM(D75:I75)*(-1)),IF('Staging Table'!D77=1,'Staging Table'!BV77*-1,'Staging Table'!BV77*SUM(D75:I75)*(-1)))</f>
        <v>-1041725.6827529835</v>
      </c>
      <c r="K75" s="250">
        <f>IF(Init!$R$9="Yes",'Staging Table'!K77,'Staging Table'!BY77)*(-1)*Rates_previous!$H$32</f>
        <v>-254400.89304</v>
      </c>
      <c r="L75" s="250">
        <f>IF(Init!$R$12="No",0,'Staging Table'!$BI77*-1)</f>
        <v>-425266.0217424545</v>
      </c>
      <c r="M75" s="250">
        <f>IF('Staging Table'!C77=1,"",SUM(D75:L75))</f>
        <v>10590563.459579941</v>
      </c>
      <c r="N75" s="250">
        <f>IF('Staging Table'!C77=1,"",IF(Init!$R$9="Yes",(RT1SC!$C$3*'Staging Table'!E77*'Staging Table'!$F$2)+SUM('Staging Table'!L77:AI77)-IF(Init!$R$15="No",'Staging Table'!BH77, 0),Z75))</f>
        <v>315981.95999999996</v>
      </c>
      <c r="O75" s="126">
        <f>IF('Staging Table'!C77=1,"",IF(N75=0, 0, M75/N75))</f>
        <v>33.516354729807809</v>
      </c>
      <c r="P75" s="250">
        <f>'Staging Table'!BS77*Rates_current!$E$74*100*12</f>
        <v>12337498.413959999</v>
      </c>
      <c r="Q75" s="250">
        <f>'Staging Table'!BT77*Rates_current!$E$75*100*12</f>
        <v>-1248137.7017999999</v>
      </c>
      <c r="R75" s="251">
        <f>SUMPRODUCT('Staging Table'!BZ77:CW77, LS_Demand_Rates_Restatement!$C$5:$Z$5)-IF(Init!$R$15="No",('Staging Table'!DV77*Rates_current!$H$34), 0)</f>
        <v>258328.0929265045</v>
      </c>
      <c r="S75" s="251">
        <f>SUMPRODUCT('Staging Table'!CX77:DI77, LS_Demand_Rates_Restatement!$C$11:$N$11)*1000</f>
        <v>736424.54</v>
      </c>
      <c r="T75" s="252">
        <f>'Staging Table'!EF77*IF(Init!$R$18="Yes",IF(Init!$R$6=2020,Rates_current!$C$88,Rates_current!$D$88),Rates_current!$H$33)</f>
        <v>0</v>
      </c>
      <c r="U75" s="252">
        <f>IF(Init!$R$18="Yes",(SUM('Staging Table'!DL77:DU77)*IF('Staging Table'!$BT$1=2020, Rates_current!$C$87, Rates_current!$D$87)),0)</f>
        <v>215371.75246550768</v>
      </c>
      <c r="V75" s="252">
        <f>IF('Staging Table'!D77=1, 'Staging Table'!BV77*-1,SUM(P75:U75)*'Staging Table'!BV77*-1)</f>
        <v>-1044514.0927334484</v>
      </c>
      <c r="W75" s="250">
        <f>'Staging Table'!BY77*Rates_current!$H$32*-1</f>
        <v>-240339.61918999997</v>
      </c>
      <c r="X75" s="250">
        <f>IF(Init!$R$12="No",0,'Staging Table'!$DW77*-1)</f>
        <v>0</v>
      </c>
      <c r="Y75" s="250">
        <f>IF('Staging Table'!C77=1,"",SUM(P75:X75))</f>
        <v>11014631.385628562</v>
      </c>
      <c r="Z75" s="250">
        <f>IF('Staging Table'!C77=1,"",(RT1SC!$C$4*'Staging Table'!BS77*'Staging Table'!$BT$2)+SUM('Staging Table'!BZ77:CW77)-IF(Init!$R$15="No",'Staging Table'!DV77, 0))</f>
        <v>320308.56000000006</v>
      </c>
      <c r="AA75" s="126">
        <f>IF('Staging Table'!C77=1,"",IF(Z75=0, 0, Y75/Z75))</f>
        <v>34.387564870662715</v>
      </c>
      <c r="AB75" s="118">
        <f ca="1">IF('Staging Table'!C77=1,"",(AA75/O75-1)+(RAND()/100000000000000))</f>
        <v>2.5993582771108453E-2</v>
      </c>
      <c r="AC75" s="79">
        <f t="shared" ca="1" si="1"/>
        <v>23</v>
      </c>
      <c r="AF75" s="255"/>
      <c r="AG75" s="255"/>
      <c r="AH75" s="271"/>
      <c r="AI75" s="255"/>
      <c r="AJ75" s="255"/>
    </row>
    <row r="76" spans="2:36">
      <c r="B76" s="3">
        <v>10234</v>
      </c>
      <c r="C76" s="4" t="s">
        <v>79</v>
      </c>
      <c r="D76" s="250">
        <f>IF(Init!$R$9="Yes",'Staging Table'!E78,'Staging Table'!BS78)*Rates_previous!$E$75*100*12</f>
        <v>18408909.680640001</v>
      </c>
      <c r="E76" s="250">
        <f>IF(Init!$R$9="Yes",'Staging Table'!F78,'Staging Table'!BT78)*Rates_previous!$E$76*100*12</f>
        <v>-2596056.9216</v>
      </c>
      <c r="F76" s="251">
        <f>IF(Init!$R$9="Yes",SUMPRODUCT('Staging Table'!L78:AI78,LS_Demand_Rates_Restatement!$C$4:$Z$4)-IF(Init!$R$15="No",('Staging Table'!BH78*Rates_previous!$H$34), 0),SUMPRODUCT('Staging Table'!BZ78:CW78,LS_Demand_Rates_Restatement!$C$4:$Z$4)-IF(Init!$R$15="No", 'Staging Table'!DV78*Rates_previous!$H$34, 0))</f>
        <v>284980.60698468343</v>
      </c>
      <c r="G76" s="251">
        <f>IF(Init!$R$9="Yes",SUMPRODUCT('Staging Table'!AJ78:AU78,LS_Demand_Rates_Restatement!$C$10:$N$10),SUMPRODUCT(LS_Demand_Rates_Restatement!$C$10:$N$10,'Staging Table'!CX78:DI78))*1000</f>
        <v>1033985.3999999998</v>
      </c>
      <c r="H76" s="252">
        <f>IF(Init!$R$9="Yes",'Staging Table'!BR78,'Staging Table'!EF78)*IF(Init!$R$3=2018,Rates_previous!$C$88,Rates_previous!$D$88)</f>
        <v>0</v>
      </c>
      <c r="I76" s="250">
        <f>IF(Init!$R$9="Yes",IF('Staging Table'!$F$1=2018,(SUM('Staging Table'!BD78:BG78)*Rates_previous!$C$87),(SUM('Staging Table'!BD78:BG78)*Rates_previous!$D$87)),IF('Staging Table'!$F$1=2018,(SUM('Staging Table'!DR78:DU78)*Rates_previous!$C$87),(SUM('Staging Table'!DR78:DU78)*Rates_previous!$D$87)))</f>
        <v>101149.94972162164</v>
      </c>
      <c r="J76" s="252">
        <f>IF(Init!$R$9="Yes",IF('Staging Table'!D78=1,'Staging Table'!H78*-1,'Staging Table'!H78*SUM(D76:I76)*(-1)),IF('Staging Table'!D78=1,'Staging Table'!BV78*-1,'Staging Table'!BV78*SUM(D76:I76)*(-1)))</f>
        <v>-914053.8936519</v>
      </c>
      <c r="K76" s="250">
        <f>IF(Init!$R$9="Yes",'Staging Table'!K78,'Staging Table'!BY78)*(-1)*Rates_previous!$H$32</f>
        <v>0</v>
      </c>
      <c r="L76" s="250">
        <f>IF(Init!$R$12="No",0,'Staging Table'!$BI78*-1)</f>
        <v>-286620.29452448682</v>
      </c>
      <c r="M76" s="250">
        <f>IF('Staging Table'!C78=1,"",SUM(D76:L76))</f>
        <v>16032294.527569922</v>
      </c>
      <c r="N76" s="250">
        <f>IF('Staging Table'!C78=1,"",IF(Init!$R$9="Yes",(RT1SC!$C$3*'Staging Table'!E78*'Staging Table'!$F$2)+SUM('Staging Table'!L78:AI78)-IF(Init!$R$15="No",'Staging Table'!BH78, 0),Z76))</f>
        <v>439585.56</v>
      </c>
      <c r="O76" s="126">
        <f>IF('Staging Table'!C78=1,"",IF(N76=0, 0, M76/N76))</f>
        <v>36.47138574699752</v>
      </c>
      <c r="P76" s="250">
        <f>'Staging Table'!BS78*Rates_current!$E$74*100*12</f>
        <v>17163551.520120002</v>
      </c>
      <c r="Q76" s="250">
        <f>'Staging Table'!BT78*Rates_current!$E$75*100*12</f>
        <v>-1736371.1046000002</v>
      </c>
      <c r="R76" s="251">
        <f>SUMPRODUCT('Staging Table'!BZ78:CW78, LS_Demand_Rates_Restatement!$C$5:$Z$5)-IF(Init!$R$15="No",('Staging Table'!DV78*Rates_current!$H$34), 0)</f>
        <v>309582.94023345795</v>
      </c>
      <c r="S76" s="251">
        <f>SUMPRODUCT('Staging Table'!CX78:DI78, LS_Demand_Rates_Restatement!$C$11:$N$11)*1000</f>
        <v>1145886.1200000001</v>
      </c>
      <c r="T76" s="252">
        <f>'Staging Table'!EF78*IF(Init!$R$18="Yes",IF(Init!$R$6=2020,Rates_current!$C$88,Rates_current!$D$88),Rates_current!$H$33)</f>
        <v>0</v>
      </c>
      <c r="U76" s="252">
        <f>IF(Init!$R$18="Yes",(SUM('Staging Table'!DL78:DU78)*IF('Staging Table'!$BT$1=2020, Rates_current!$C$87, Rates_current!$D$87)),0)</f>
        <v>299618.61354629212</v>
      </c>
      <c r="V76" s="252">
        <f>IF('Staging Table'!D78=1, 'Staging Table'!BV78*-1,SUM(P76:U76)*'Staging Table'!BV78*-1)</f>
        <v>-930851.09196462296</v>
      </c>
      <c r="W76" s="250">
        <f>'Staging Table'!BY78*Rates_current!$H$32*-1</f>
        <v>0</v>
      </c>
      <c r="X76" s="250">
        <f>IF(Init!$R$12="No",0,'Staging Table'!$DW78*-1)</f>
        <v>0</v>
      </c>
      <c r="Y76" s="250">
        <f>IF('Staging Table'!C78=1,"",SUM(P76:X76))</f>
        <v>16251416.99733513</v>
      </c>
      <c r="Z76" s="250">
        <f>IF('Staging Table'!C78=1,"",(RT1SC!$C$4*'Staging Table'!BS78*'Staging Table'!$BT$2)+SUM('Staging Table'!BZ78:CW78)-IF(Init!$R$15="No",'Staging Table'!DV78, 0))</f>
        <v>445603.53600000002</v>
      </c>
      <c r="AA76" s="126">
        <f>IF('Staging Table'!C78=1,"",IF(Z76=0, 0, Y76/Z76))</f>
        <v>36.470574590178138</v>
      </c>
      <c r="AB76" s="118">
        <f ca="1">IF('Staging Table'!C78=1,"",(AA76/O76-1)+(RAND()/100000000000000))</f>
        <v>-2.2240910303822119E-5</v>
      </c>
      <c r="AC76" s="79">
        <f t="shared" ca="1" si="1"/>
        <v>95</v>
      </c>
      <c r="AF76" s="255"/>
      <c r="AG76" s="255"/>
      <c r="AH76" s="271"/>
      <c r="AI76" s="255"/>
      <c r="AJ76" s="255"/>
    </row>
    <row r="77" spans="2:36">
      <c r="B77" s="3">
        <v>10235</v>
      </c>
      <c r="C77" s="4" t="s">
        <v>80</v>
      </c>
      <c r="D77" s="250">
        <f>IF(Init!$R$9="Yes",'Staging Table'!E79,'Staging Table'!BS79)*Rates_previous!$E$75*100*12</f>
        <v>11407990.32288</v>
      </c>
      <c r="E77" s="250">
        <f>IF(Init!$R$9="Yes",'Staging Table'!F79,'Staging Table'!BT79)*Rates_previous!$E$76*100*12</f>
        <v>-1608774.9222000001</v>
      </c>
      <c r="F77" s="251">
        <f>IF(Init!$R$9="Yes",SUMPRODUCT('Staging Table'!L79:AI79,LS_Demand_Rates_Restatement!$C$4:$Z$4)-IF(Init!$R$15="No",('Staging Table'!BH79*Rates_previous!$H$34), 0),SUMPRODUCT('Staging Table'!BZ79:CW79,LS_Demand_Rates_Restatement!$C$4:$Z$4)-IF(Init!$R$15="No", 'Staging Table'!DV79*Rates_previous!$H$34, 0))</f>
        <v>162846.06000000003</v>
      </c>
      <c r="G77" s="251">
        <f>IF(Init!$R$9="Yes",SUMPRODUCT('Staging Table'!AJ79:AU79,LS_Demand_Rates_Restatement!$C$10:$N$10),SUMPRODUCT(LS_Demand_Rates_Restatement!$C$10:$N$10,'Staging Table'!CX79:DI79))*1000</f>
        <v>433887.74</v>
      </c>
      <c r="H77" s="252">
        <f>IF(Init!$R$9="Yes",'Staging Table'!BR79,'Staging Table'!EF79)*IF(Init!$R$3=2018,Rates_previous!$C$88,Rates_previous!$D$88)</f>
        <v>2329.229115823633</v>
      </c>
      <c r="I77" s="250">
        <f>IF(Init!$R$9="Yes",IF('Staging Table'!$F$1=2018,(SUM('Staging Table'!BD79:BG79)*Rates_previous!$C$87),(SUM('Staging Table'!BD79:BG79)*Rates_previous!$D$87)),IF('Staging Table'!$F$1=2018,(SUM('Staging Table'!DR79:DU79)*Rates_previous!$C$87),(SUM('Staging Table'!DR79:DU79)*Rates_previous!$D$87)))</f>
        <v>62682.56336754113</v>
      </c>
      <c r="J77" s="252">
        <f>IF(Init!$R$9="Yes",IF('Staging Table'!D79=1,'Staging Table'!H79*-1,'Staging Table'!H79*SUM(D77:I77)*(-1)),IF('Staging Table'!D79=1,'Staging Table'!BV79*-1,'Staging Table'!BV79*SUM(D77:I77)*(-1)))</f>
        <v>0</v>
      </c>
      <c r="K77" s="250">
        <f>IF(Init!$R$9="Yes",'Staging Table'!K79,'Staging Table'!BY79)*(-1)*Rates_previous!$H$32</f>
        <v>0</v>
      </c>
      <c r="L77" s="250">
        <f>IF(Init!$R$12="No",0,'Staging Table'!$BI79*-1)</f>
        <v>-439571.22445567552</v>
      </c>
      <c r="M77" s="250">
        <f>IF('Staging Table'!C79=1,"",SUM(D77:L77))</f>
        <v>10021389.768707691</v>
      </c>
      <c r="N77" s="250">
        <f>IF('Staging Table'!C79=1,"",IF(Init!$R$9="Yes",(RT1SC!$C$3*'Staging Table'!E79*'Staging Table'!$F$2)+SUM('Staging Table'!L79:AI79)-IF(Init!$R$15="No",'Staging Table'!BH79, 0),Z77))</f>
        <v>272589.16754359199</v>
      </c>
      <c r="O77" s="126">
        <f>IF('Staging Table'!C79=1,"",IF(N77=0, 0, M77/N77))</f>
        <v>36.763712435876926</v>
      </c>
      <c r="P77" s="250">
        <f>'Staging Table'!BS79*Rates_current!$E$74*100*12</f>
        <v>10634381.278200001</v>
      </c>
      <c r="Q77" s="250">
        <f>'Staging Table'!BT79*Rates_current!$E$75*100*12</f>
        <v>-1075839.831</v>
      </c>
      <c r="R77" s="251">
        <f>SUMPRODUCT('Staging Table'!BZ79:CW79, LS_Demand_Rates_Restatement!$C$5:$Z$5)-IF(Init!$R$15="No",('Staging Table'!DV79*Rates_current!$H$34), 0)</f>
        <v>108729.58000000002</v>
      </c>
      <c r="S77" s="251">
        <f>SUMPRODUCT('Staging Table'!CX79:DI79, LS_Demand_Rates_Restatement!$C$11:$N$11)*1000</f>
        <v>498748.99999999994</v>
      </c>
      <c r="T77" s="252">
        <f>'Staging Table'!EF79*IF(Init!$R$18="Yes",IF(Init!$R$6=2020,Rates_current!$C$88,Rates_current!$D$88),Rates_current!$H$33)</f>
        <v>-55551.794834196407</v>
      </c>
      <c r="U77" s="252">
        <f>IF(Init!$R$18="Yes",(SUM('Staging Table'!DL79:DU79)*IF('Staging Table'!$BT$1=2020, Rates_current!$C$87, Rates_current!$D$87)),0)</f>
        <v>185640.9829143947</v>
      </c>
      <c r="V77" s="252">
        <f>IF('Staging Table'!D79=1, 'Staging Table'!BV79*-1,SUM(P77:U77)*'Staging Table'!BV79*-1)</f>
        <v>0</v>
      </c>
      <c r="W77" s="250">
        <f>'Staging Table'!BY79*Rates_current!$H$32*-1</f>
        <v>0</v>
      </c>
      <c r="X77" s="250">
        <f>IF(Init!$R$12="No",0,'Staging Table'!$DW79*-1)</f>
        <v>0</v>
      </c>
      <c r="Y77" s="250">
        <f>IF('Staging Table'!C79=1,"",SUM(P77:X77))</f>
        <v>10296109.215280198</v>
      </c>
      <c r="Z77" s="250">
        <f>IF('Staging Table'!C79=1,"",(RT1SC!$C$4*'Staging Table'!BS79*'Staging Table'!$BT$2)+SUM('Staging Table'!BZ79:CW79)-IF(Init!$R$15="No",'Staging Table'!DV79, 0))</f>
        <v>272589.47584409598</v>
      </c>
      <c r="AA77" s="126">
        <f>IF('Staging Table'!C79=1,"",IF(Z77=0, 0, Y77/Z77))</f>
        <v>37.771484696529235</v>
      </c>
      <c r="AB77" s="118">
        <f ca="1">IF('Staging Table'!C79=1,"",(AA77/O77-1)+(RAND()/100000000000000))</f>
        <v>2.7412146213747657E-2</v>
      </c>
      <c r="AC77" s="79">
        <f t="shared" ca="1" si="1"/>
        <v>19</v>
      </c>
      <c r="AF77" s="255"/>
      <c r="AG77" s="255"/>
      <c r="AH77" s="271"/>
      <c r="AI77" s="255"/>
      <c r="AJ77" s="255"/>
    </row>
    <row r="78" spans="2:36">
      <c r="B78" s="3">
        <v>10236</v>
      </c>
      <c r="C78" s="4" t="s">
        <v>81</v>
      </c>
      <c r="D78" s="250">
        <f>IF(Init!$R$9="Yes",'Staging Table'!E80,'Staging Table'!BS80)*Rates_previous!$E$75*100*12</f>
        <v>10057691.090880001</v>
      </c>
      <c r="E78" s="250">
        <f>IF(Init!$R$9="Yes",'Staging Table'!F80,'Staging Table'!BT80)*Rates_previous!$E$76*100*12</f>
        <v>-1418353.3422000003</v>
      </c>
      <c r="F78" s="251">
        <f>IF(Init!$R$9="Yes",SUMPRODUCT('Staging Table'!L80:AI80,LS_Demand_Rates_Restatement!$C$4:$Z$4)-IF(Init!$R$15="No",('Staging Table'!BH80*Rates_previous!$H$34), 0),SUMPRODUCT('Staging Table'!BZ80:CW80,LS_Demand_Rates_Restatement!$C$4:$Z$4)-IF(Init!$R$15="No", 'Staging Table'!DV80*Rates_previous!$H$34, 0))</f>
        <v>0</v>
      </c>
      <c r="G78" s="251">
        <f>IF(Init!$R$9="Yes",SUMPRODUCT('Staging Table'!AJ80:AU80,LS_Demand_Rates_Restatement!$C$10:$N$10),SUMPRODUCT(LS_Demand_Rates_Restatement!$C$10:$N$10,'Staging Table'!CX80:DI80))*1000</f>
        <v>0</v>
      </c>
      <c r="H78" s="252">
        <f>IF(Init!$R$9="Yes",'Staging Table'!BR80,'Staging Table'!EF80)*IF(Init!$R$3=2018,Rates_previous!$C$88,Rates_previous!$D$88)</f>
        <v>19.16542160002049</v>
      </c>
      <c r="I78" s="250">
        <f>IF(Init!$R$9="Yes",IF('Staging Table'!$F$1=2018,(SUM('Staging Table'!BD80:BG80)*Rates_previous!$C$87),(SUM('Staging Table'!BD80:BG80)*Rates_previous!$D$87)),IF('Staging Table'!$F$1=2018,(SUM('Staging Table'!DR80:DU80)*Rates_previous!$C$87),(SUM('Staging Table'!DR80:DU80)*Rates_previous!$D$87)))</f>
        <v>55263.183198079852</v>
      </c>
      <c r="J78" s="252">
        <f>IF(Init!$R$9="Yes",IF('Staging Table'!D80=1,'Staging Table'!H80*-1,'Staging Table'!H80*SUM(D78:I78)*(-1)),IF('Staging Table'!D80=1,'Staging Table'!BV80*-1,'Staging Table'!BV80*SUM(D78:I78)*(-1)))</f>
        <v>-565150.30632447917</v>
      </c>
      <c r="K78" s="250">
        <f>IF(Init!$R$9="Yes",'Staging Table'!K80,'Staging Table'!BY80)*(-1)*Rates_previous!$H$32</f>
        <v>0</v>
      </c>
      <c r="L78" s="250">
        <f>IF(Init!$R$12="No",0,'Staging Table'!$BI80*-1)</f>
        <v>-310753.25035182608</v>
      </c>
      <c r="M78" s="250" t="str">
        <f>IF('Staging Table'!C80=1,"",SUM(D78:L78))</f>
        <v/>
      </c>
      <c r="N78" s="250" t="str">
        <f>IF('Staging Table'!C80=1,"",IF(Init!$R$9="Yes",(RT1SC!$C$3*'Staging Table'!E80*'Staging Table'!$F$2)+SUM('Staging Table'!L80:AI80)-IF(Init!$R$15="No",'Staging Table'!BH80, 0),Z78))</f>
        <v/>
      </c>
      <c r="O78" s="126" t="str">
        <f>IF('Staging Table'!C80=1,"",IF(N78=0, 0, M78/N78))</f>
        <v/>
      </c>
      <c r="P78" s="250">
        <f>'Staging Table'!BS80*Rates_current!$E$74*100*12</f>
        <v>9283248.0216000006</v>
      </c>
      <c r="Q78" s="250">
        <f>'Staging Table'!BT80*Rates_current!$E$75*100*12</f>
        <v>-939150.82799999998</v>
      </c>
      <c r="R78" s="251">
        <f>SUMPRODUCT('Staging Table'!BZ80:CW80, LS_Demand_Rates_Restatement!$C$5:$Z$5)-IF(Init!$R$15="No",('Staging Table'!DV80*Rates_current!$H$34), 0)</f>
        <v>0</v>
      </c>
      <c r="S78" s="251">
        <f>SUMPRODUCT('Staging Table'!CX80:DI80, LS_Demand_Rates_Restatement!$C$11:$N$11)*1000</f>
        <v>0</v>
      </c>
      <c r="T78" s="252">
        <f>'Staging Table'!EF80*IF(Init!$R$18="Yes",IF(Init!$R$6=2020,Rates_current!$C$88,Rates_current!$D$88),Rates_current!$H$33)</f>
        <v>-35.704775946411537</v>
      </c>
      <c r="U78" s="252">
        <f>IF(Init!$R$18="Yes",(SUM('Staging Table'!DL80:DU80)*IF('Staging Table'!$BT$1=2020, Rates_current!$C$87, Rates_current!$D$87)),0)</f>
        <v>162054.68304025603</v>
      </c>
      <c r="V78" s="252">
        <f>IF('Staging Table'!D80=1, 'Staging Table'!BV80*-1,SUM(P78:U78)*'Staging Table'!BV80*-1)</f>
        <v>-552897.55117118021</v>
      </c>
      <c r="W78" s="250">
        <f>'Staging Table'!BY80*Rates_current!$H$32*-1</f>
        <v>0</v>
      </c>
      <c r="X78" s="250">
        <f>IF(Init!$R$12="No",0,'Staging Table'!$DW80*-1)</f>
        <v>0</v>
      </c>
      <c r="Y78" s="250" t="str">
        <f>IF('Staging Table'!C80=1,"",SUM(P78:X78))</f>
        <v/>
      </c>
      <c r="Z78" s="250" t="str">
        <f>IF('Staging Table'!C80=1,"",(RT1SC!$C$4*'Staging Table'!BS80*'Staging Table'!$BT$2)+SUM('Staging Table'!BZ80:CW80)-IF(Init!$R$15="No",'Staging Table'!DV80, 0))</f>
        <v/>
      </c>
      <c r="AA78" s="126" t="str">
        <f>IF('Staging Table'!C80=1,"",IF(Z78=0, 0, Y78/Z78))</f>
        <v/>
      </c>
      <c r="AB78" s="118" t="str">
        <f ca="1">IF('Staging Table'!C80=1,"",(AA78/O78-1)+(RAND()/100000000000000))</f>
        <v/>
      </c>
      <c r="AC78" s="79" t="str">
        <f t="shared" ca="1" si="1"/>
        <v/>
      </c>
      <c r="AF78" s="255"/>
      <c r="AG78" s="255"/>
      <c r="AH78" s="271"/>
      <c r="AI78" s="255"/>
      <c r="AJ78" s="255"/>
    </row>
    <row r="79" spans="2:36">
      <c r="B79" s="3">
        <v>10237</v>
      </c>
      <c r="C79" s="4" t="s">
        <v>82</v>
      </c>
      <c r="D79" s="250">
        <f>IF(Init!$R$9="Yes",'Staging Table'!E81,'Staging Table'!BS81)*Rates_previous!$E$75*100*12</f>
        <v>40130128.854719996</v>
      </c>
      <c r="E79" s="250">
        <f>IF(Init!$R$9="Yes",'Staging Table'!F81,'Staging Table'!BT81)*Rates_previous!$E$76*100*12</f>
        <v>-2206483.1118000001</v>
      </c>
      <c r="F79" s="251">
        <f>IF(Init!$R$9="Yes",SUMPRODUCT('Staging Table'!L81:AI81,LS_Demand_Rates_Restatement!$C$4:$Z$4)-IF(Init!$R$15="No",('Staging Table'!BH81*Rates_previous!$H$34), 0),SUMPRODUCT('Staging Table'!BZ81:CW81,LS_Demand_Rates_Restatement!$C$4:$Z$4)-IF(Init!$R$15="No", 'Staging Table'!DV81*Rates_previous!$H$34, 0))</f>
        <v>100302.91999999994</v>
      </c>
      <c r="G79" s="251">
        <f>IF(Init!$R$9="Yes",SUMPRODUCT('Staging Table'!AJ81:AU81,LS_Demand_Rates_Restatement!$C$10:$N$10),SUMPRODUCT(LS_Demand_Rates_Restatement!$C$10:$N$10,'Staging Table'!CX81:DI81))*1000</f>
        <v>0</v>
      </c>
      <c r="H79" s="252">
        <f>IF(Init!$R$9="Yes",'Staging Table'!BR81,'Staging Table'!EF81)*IF(Init!$R$3=2018,Rates_previous!$C$88,Rates_previous!$D$88)</f>
        <v>0</v>
      </c>
      <c r="I79" s="250">
        <f>IF(Init!$R$9="Yes",IF('Staging Table'!$F$1=2018,(SUM('Staging Table'!BD81:BG81)*Rates_previous!$C$87),(SUM('Staging Table'!BD81:BG81)*Rates_previous!$D$87)),IF('Staging Table'!$F$1=2018,(SUM('Staging Table'!DR81:DU81)*Rates_previous!$C$87),(SUM('Staging Table'!DR81:DU81)*Rates_previous!$D$87)))</f>
        <v>85971.017801344497</v>
      </c>
      <c r="J79" s="252">
        <f>IF(Init!$R$9="Yes",IF('Staging Table'!D81=1,'Staging Table'!H81*-1,'Staging Table'!H81*SUM(D79:I79)*(-1)),IF('Staging Table'!D81=1,'Staging Table'!BV81*-1,'Staging Table'!BV81*SUM(D79:I79)*(-1)))</f>
        <v>-1800000</v>
      </c>
      <c r="K79" s="250">
        <f>IF(Init!$R$9="Yes",'Staging Table'!K81,'Staging Table'!BY81)*(-1)*Rates_previous!$H$32</f>
        <v>0</v>
      </c>
      <c r="L79" s="250">
        <f>IF(Init!$R$12="No",0,'Staging Table'!$BI81*-1)</f>
        <v>-1340530.64271475</v>
      </c>
      <c r="M79" s="250">
        <f>IF('Staging Table'!C81=1,"",SUM(D79:L79))</f>
        <v>34969389.038006589</v>
      </c>
      <c r="N79" s="250">
        <f>IF('Staging Table'!C81=1,"",IF(Init!$R$9="Yes",(RT1SC!$C$3*'Staging Table'!E81*'Staging Table'!$F$2)+SUM('Staging Table'!L81:AI81)-IF(Init!$R$15="No",'Staging Table'!BH81, 0),Z79))</f>
        <v>958165.49052624789</v>
      </c>
      <c r="O79" s="126">
        <f>IF('Staging Table'!C81=1,"",IF(N79=0, 0, M79/N79))</f>
        <v>36.496189211323554</v>
      </c>
      <c r="P79" s="250">
        <f>'Staging Table'!BS81*Rates_current!$E$74*100*12</f>
        <v>36909348.041639999</v>
      </c>
      <c r="Q79" s="250">
        <f>'Staging Table'!BT81*Rates_current!$E$75*100*12</f>
        <v>-1424619.1938</v>
      </c>
      <c r="R79" s="251">
        <f>SUMPRODUCT('Staging Table'!BZ81:CW81, LS_Demand_Rates_Restatement!$C$5:$Z$5)-IF(Init!$R$15="No",('Staging Table'!DV81*Rates_current!$H$34), 0)</f>
        <v>76470.069999999992</v>
      </c>
      <c r="S79" s="251">
        <f>SUMPRODUCT('Staging Table'!CX81:DI81, LS_Demand_Rates_Restatement!$C$11:$N$11)*1000</f>
        <v>0</v>
      </c>
      <c r="T79" s="252">
        <f>'Staging Table'!EF81*IF(Init!$R$18="Yes",IF(Init!$R$6=2020,Rates_current!$C$88,Rates_current!$D$88),Rates_current!$H$33)</f>
        <v>0</v>
      </c>
      <c r="U79" s="252">
        <f>IF(Init!$R$18="Yes",(SUM('Staging Table'!DL81:DU81)*IF('Staging Table'!$BT$1=2020, Rates_current!$C$87, Rates_current!$D$87)),0)</f>
        <v>245824.42459852045</v>
      </c>
      <c r="V79" s="252">
        <f>IF('Staging Table'!D81=1, 'Staging Table'!BV81*-1,SUM(P79:U79)*'Staging Table'!BV81*-1)</f>
        <v>-1800000</v>
      </c>
      <c r="W79" s="250">
        <f>'Staging Table'!BY81*Rates_current!$H$32*-1</f>
        <v>0</v>
      </c>
      <c r="X79" s="250">
        <f>IF(Init!$R$12="No",0,'Staging Table'!$DW81*-1)</f>
        <v>0</v>
      </c>
      <c r="Y79" s="250">
        <f>IF('Staging Table'!C81=1,"",SUM(P79:X79))</f>
        <v>34007023.342438519</v>
      </c>
      <c r="Z79" s="250">
        <f>IF('Staging Table'!C81=1,"",(RT1SC!$C$4*'Staging Table'!BS81*'Staging Table'!$BT$2)+SUM('Staging Table'!BZ81:CW81)-IF(Init!$R$15="No",'Staging Table'!DV81, 0))</f>
        <v>955757.28689489909</v>
      </c>
      <c r="AA79" s="126">
        <f>IF('Staging Table'!C81=1,"",IF(Z79=0, 0, Y79/Z79))</f>
        <v>35.581233654960499</v>
      </c>
      <c r="AB79" s="118">
        <f ca="1">IF('Staging Table'!C81=1,"",(AA79/O79-1)+(RAND()/100000000000000))</f>
        <v>-2.5069892943208525E-2</v>
      </c>
      <c r="AC79" s="79">
        <f t="shared" ca="1" si="1"/>
        <v>119</v>
      </c>
      <c r="AF79" s="255"/>
      <c r="AG79" s="255"/>
      <c r="AH79" s="271"/>
      <c r="AI79" s="255"/>
      <c r="AJ79" s="255"/>
    </row>
    <row r="80" spans="2:36">
      <c r="B80" s="3">
        <v>10239</v>
      </c>
      <c r="C80" s="4" t="s">
        <v>83</v>
      </c>
      <c r="D80" s="250">
        <f>IF(Init!$R$9="Yes",'Staging Table'!E82,'Staging Table'!BS82)*Rates_previous!$E$75*100*12</f>
        <v>4992540.33024</v>
      </c>
      <c r="E80" s="250">
        <f>IF(Init!$R$9="Yes",'Staging Table'!F82,'Staging Table'!BT82)*Rates_previous!$E$76*100*12</f>
        <v>-704056.84560000012</v>
      </c>
      <c r="F80" s="251">
        <f>IF(Init!$R$9="Yes",SUMPRODUCT('Staging Table'!L82:AI82,LS_Demand_Rates_Restatement!$C$4:$Z$4)-IF(Init!$R$15="No",('Staging Table'!BH82*Rates_previous!$H$34), 0),SUMPRODUCT('Staging Table'!BZ82:CW82,LS_Demand_Rates_Restatement!$C$4:$Z$4)-IF(Init!$R$15="No", 'Staging Table'!DV82*Rates_previous!$H$34, 0))</f>
        <v>0</v>
      </c>
      <c r="G80" s="251">
        <f>IF(Init!$R$9="Yes",SUMPRODUCT('Staging Table'!AJ82:AU82,LS_Demand_Rates_Restatement!$C$10:$N$10),SUMPRODUCT(LS_Demand_Rates_Restatement!$C$10:$N$10,'Staging Table'!CX82:DI82))*1000</f>
        <v>0</v>
      </c>
      <c r="H80" s="252">
        <f>IF(Init!$R$9="Yes",'Staging Table'!BR82,'Staging Table'!EF82)*IF(Init!$R$3=2018,Rates_previous!$C$88,Rates_previous!$D$88)</f>
        <v>13.66977298374899</v>
      </c>
      <c r="I80" s="250">
        <f>IF(Init!$R$9="Yes",IF('Staging Table'!$F$1=2018,(SUM('Staging Table'!BD82:BG82)*Rates_previous!$C$87),(SUM('Staging Table'!BD82:BG82)*Rates_previous!$D$87)),IF('Staging Table'!$F$1=2018,(SUM('Staging Table'!DR82:DU82)*Rates_previous!$C$87),(SUM('Staging Table'!DR82:DU82)*Rates_previous!$D$87)))</f>
        <v>27432.108264294973</v>
      </c>
      <c r="J80" s="252">
        <f>IF(Init!$R$9="Yes",IF('Staging Table'!D82=1,'Staging Table'!H82*-1,'Staging Table'!H82*SUM(D80:I80)*(-1)),IF('Staging Table'!D82=1,'Staging Table'!BV82*-1,'Staging Table'!BV82*SUM(D80:I80)*(-1)))</f>
        <v>-302115.0483874096</v>
      </c>
      <c r="K80" s="250">
        <f>IF(Init!$R$9="Yes",'Staging Table'!K82,'Staging Table'!BY82)*(-1)*Rates_previous!$H$32</f>
        <v>0</v>
      </c>
      <c r="L80" s="250">
        <f>IF(Init!$R$12="No",0,'Staging Table'!$BI82*-1)</f>
        <v>-77732.109326586622</v>
      </c>
      <c r="M80" s="250" t="str">
        <f>IF('Staging Table'!C82=1,"",SUM(D80:L80))</f>
        <v/>
      </c>
      <c r="N80" s="250" t="str">
        <f>IF('Staging Table'!C82=1,"",IF(Init!$R$9="Yes",(RT1SC!$C$3*'Staging Table'!E82*'Staging Table'!$F$2)+SUM('Staging Table'!L82:AI82)-IF(Init!$R$15="No",'Staging Table'!BH82, 0),Z80))</f>
        <v/>
      </c>
      <c r="O80" s="126" t="str">
        <f>IF('Staging Table'!C82=1,"",IF(N80=0, 0, M80/N80))</f>
        <v/>
      </c>
      <c r="P80" s="250">
        <f>'Staging Table'!BS82*Rates_current!$E$74*100*12</f>
        <v>4711735.5870000003</v>
      </c>
      <c r="Q80" s="250">
        <f>'Staging Table'!BT82*Rates_current!$E$75*100*12</f>
        <v>-476668.33500000002</v>
      </c>
      <c r="R80" s="251">
        <f>SUMPRODUCT('Staging Table'!BZ82:CW82, LS_Demand_Rates_Restatement!$C$5:$Z$5)-IF(Init!$R$15="No",('Staging Table'!DV82*Rates_current!$H$34), 0)</f>
        <v>0</v>
      </c>
      <c r="S80" s="251">
        <f>SUMPRODUCT('Staging Table'!CX82:DI82, LS_Demand_Rates_Restatement!$C$11:$N$11)*1000</f>
        <v>0</v>
      </c>
      <c r="T80" s="252">
        <f>'Staging Table'!EF82*IF(Init!$R$18="Yes",IF(Init!$R$6=2020,Rates_current!$C$88,Rates_current!$D$88),Rates_current!$H$33)</f>
        <v>0</v>
      </c>
      <c r="U80" s="252">
        <f>IF(Init!$R$18="Yes",(SUM('Staging Table'!DL82:DU82)*IF('Staging Table'!$BT$1=2020, Rates_current!$C$87, Rates_current!$D$87)),0)</f>
        <v>82251.256817027024</v>
      </c>
      <c r="V80" s="252">
        <f>IF('Staging Table'!D82=1, 'Staging Table'!BV82*-1,SUM(P80:U80)*'Staging Table'!BV82*-1)</f>
        <v>-302429.45673818537</v>
      </c>
      <c r="W80" s="250">
        <f>'Staging Table'!BY82*Rates_current!$H$32*-1</f>
        <v>0</v>
      </c>
      <c r="X80" s="250">
        <f>IF(Init!$R$12="No",0,'Staging Table'!$DW82*-1)</f>
        <v>0</v>
      </c>
      <c r="Y80" s="250" t="str">
        <f>IF('Staging Table'!C82=1,"",SUM(P80:X80))</f>
        <v/>
      </c>
      <c r="Z80" s="250" t="str">
        <f>IF('Staging Table'!C82=1,"",(RT1SC!$C$4*'Staging Table'!BS82*'Staging Table'!$BT$2)+SUM('Staging Table'!BZ82:CW82)-IF(Init!$R$15="No",'Staging Table'!DV82, 0))</f>
        <v/>
      </c>
      <c r="AA80" s="126" t="str">
        <f>IF('Staging Table'!C82=1,"",IF(Z80=0, 0, Y80/Z80))</f>
        <v/>
      </c>
      <c r="AB80" s="118" t="str">
        <f ca="1">IF('Staging Table'!C82=1,"",(AA80/O80-1)+(RAND()/100000000000000))</f>
        <v/>
      </c>
      <c r="AC80" s="79" t="str">
        <f t="shared" ca="1" si="1"/>
        <v/>
      </c>
      <c r="AF80" s="255"/>
      <c r="AG80" s="255"/>
      <c r="AH80" s="271"/>
      <c r="AI80" s="255"/>
      <c r="AJ80" s="255"/>
    </row>
    <row r="81" spans="2:36">
      <c r="B81" s="3">
        <v>10242</v>
      </c>
      <c r="C81" s="4" t="s">
        <v>84</v>
      </c>
      <c r="D81" s="250">
        <f>IF(Init!$R$9="Yes",'Staging Table'!E83,'Staging Table'!BS83)*Rates_previous!$E$75*100*12</f>
        <v>3388231.9785599997</v>
      </c>
      <c r="E81" s="250">
        <f>IF(Init!$R$9="Yes",'Staging Table'!F83,'Staging Table'!BT83)*Rates_previous!$E$76*100*12</f>
        <v>-477814.45139999996</v>
      </c>
      <c r="F81" s="251">
        <f>IF(Init!$R$9="Yes",SUMPRODUCT('Staging Table'!L83:AI83,LS_Demand_Rates_Restatement!$C$4:$Z$4)-IF(Init!$R$15="No",('Staging Table'!BH83*Rates_previous!$H$34), 0),SUMPRODUCT('Staging Table'!BZ83:CW83,LS_Demand_Rates_Restatement!$C$4:$Z$4)-IF(Init!$R$15="No", 'Staging Table'!DV83*Rates_previous!$H$34, 0))</f>
        <v>-55485.647147358046</v>
      </c>
      <c r="G81" s="251">
        <f>IF(Init!$R$9="Yes",SUMPRODUCT('Staging Table'!AJ83:AU83,LS_Demand_Rates_Restatement!$C$10:$N$10),SUMPRODUCT(LS_Demand_Rates_Restatement!$C$10:$N$10,'Staging Table'!CX83:DI83))*1000</f>
        <v>217489.80999999997</v>
      </c>
      <c r="H81" s="252">
        <f>IF(Init!$R$9="Yes",'Staging Table'!BR83,'Staging Table'!EF83)*IF(Init!$R$3=2018,Rates_previous!$C$88,Rates_previous!$D$88)</f>
        <v>15577.55759999994</v>
      </c>
      <c r="I81" s="250">
        <f>IF(Init!$R$9="Yes",IF('Staging Table'!$F$1=2018,(SUM('Staging Table'!BD83:BG83)*Rates_previous!$C$87),(SUM('Staging Table'!BD83:BG83)*Rates_previous!$D$87)),IF('Staging Table'!$F$1=2018,(SUM('Staging Table'!DR83:DU83)*Rates_previous!$C$87),(SUM('Staging Table'!DR83:DU83)*Rates_previous!$D$87)))</f>
        <v>18617.04469314446</v>
      </c>
      <c r="J81" s="252">
        <f>IF(Init!$R$9="Yes",IF('Staging Table'!D83=1,'Staging Table'!H83*-1,'Staging Table'!H83*SUM(D81:I81)*(-1)),IF('Staging Table'!D83=1,'Staging Table'!BV83*-1,'Staging Table'!BV83*SUM(D81:I81)*(-1)))</f>
        <v>-217463.14046140504</v>
      </c>
      <c r="K81" s="250">
        <f>IF(Init!$R$9="Yes",'Staging Table'!K83,'Staging Table'!BY83)*(-1)*Rates_previous!$H$32</f>
        <v>-441692.59343999997</v>
      </c>
      <c r="L81" s="250">
        <f>IF(Init!$R$12="No",0,'Staging Table'!$BI83*-1)</f>
        <v>-103518.26046054739</v>
      </c>
      <c r="M81" s="250">
        <f>IF('Staging Table'!C83=1,"",SUM(D81:L81))</f>
        <v>2343942.2979438342</v>
      </c>
      <c r="N81" s="250">
        <f>IF('Staging Table'!C83=1,"",IF(Init!$R$9="Yes",(RT1SC!$C$3*'Staging Table'!E83*'Staging Table'!$F$2)+SUM('Staging Table'!L83:AI83)-IF(Init!$R$15="No",'Staging Table'!BH83, 0),Z81))</f>
        <v>82107.48</v>
      </c>
      <c r="O81" s="126">
        <f>IF('Staging Table'!C83=1,"",IF(N81=0, 0, M81/N81))</f>
        <v>28.547244391666073</v>
      </c>
      <c r="P81" s="250">
        <f>'Staging Table'!BS83*Rates_current!$E$74*100*12</f>
        <v>3205643.8636800004</v>
      </c>
      <c r="Q81" s="250">
        <f>'Staging Table'!BT83*Rates_current!$E$75*100*12</f>
        <v>-324302.77439999999</v>
      </c>
      <c r="R81" s="251">
        <f>SUMPRODUCT('Staging Table'!BZ83:CW83, LS_Demand_Rates_Restatement!$C$5:$Z$5)-IF(Init!$R$15="No",('Staging Table'!DV83*Rates_current!$H$34), 0)</f>
        <v>-106512.66999999994</v>
      </c>
      <c r="S81" s="251">
        <f>SUMPRODUCT('Staging Table'!CX83:DI83, LS_Demand_Rates_Restatement!$C$11:$N$11)*1000</f>
        <v>233831.99999999997</v>
      </c>
      <c r="T81" s="252">
        <f>'Staging Table'!EF83*IF(Init!$R$18="Yes",IF(Init!$R$6=2020,Rates_current!$C$88,Rates_current!$D$88),Rates_current!$H$33)</f>
        <v>-3935.2977908459002</v>
      </c>
      <c r="U81" s="252">
        <f>IF(Init!$R$18="Yes",(SUM('Staging Table'!DL83:DU83)*IF('Staging Table'!$BT$1=2020, Rates_current!$C$87, Rates_current!$D$87)),0)</f>
        <v>55959.89669347091</v>
      </c>
      <c r="V81" s="252">
        <f>IF('Staging Table'!D83=1, 'Staging Table'!BV83*-1,SUM(P81:U81)*'Staging Table'!BV83*-1)</f>
        <v>-224242.31213115732</v>
      </c>
      <c r="W81" s="250">
        <f>'Staging Table'!BY83*Rates_current!$H$32*-1</f>
        <v>-417279.31234</v>
      </c>
      <c r="X81" s="250">
        <f>IF(Init!$R$12="No",0,'Staging Table'!$DW83*-1)</f>
        <v>0</v>
      </c>
      <c r="Y81" s="250">
        <f>IF('Staging Table'!C83=1,"",SUM(P81:X81))</f>
        <v>2419163.3937114682</v>
      </c>
      <c r="Z81" s="250">
        <f>IF('Staging Table'!C83=1,"",(RT1SC!$C$4*'Staging Table'!BS83*'Staging Table'!$BT$2)+SUM('Staging Table'!BZ83:CW83)-IF(Init!$R$15="No",'Staging Table'!DV83, 0))</f>
        <v>82980.429124710397</v>
      </c>
      <c r="AA81" s="126">
        <f>IF('Staging Table'!C83=1,"",IF(Z81=0, 0, Y81/Z81))</f>
        <v>29.153421104580374</v>
      </c>
      <c r="AB81" s="118">
        <f ca="1">IF('Staging Table'!C83=1,"",(AA81/O81-1)+(RAND()/100000000000000))</f>
        <v>2.1234158526744967E-2</v>
      </c>
      <c r="AC81" s="79">
        <f t="shared" ca="1" si="1"/>
        <v>48</v>
      </c>
      <c r="AF81" s="255"/>
      <c r="AG81" s="255"/>
      <c r="AH81" s="271"/>
      <c r="AI81" s="255"/>
      <c r="AJ81" s="255"/>
    </row>
    <row r="82" spans="2:36">
      <c r="B82" s="3">
        <v>10244</v>
      </c>
      <c r="C82" s="4" t="s">
        <v>85</v>
      </c>
      <c r="D82" s="250">
        <f>IF(Init!$R$9="Yes",'Staging Table'!E84,'Staging Table'!BS84)*Rates_previous!$E$75*100*12</f>
        <v>31056627.56256</v>
      </c>
      <c r="E82" s="250">
        <f>IF(Init!$R$9="Yes",'Staging Table'!F84,'Staging Table'!BT84)*Rates_previous!$E$76*100*12</f>
        <v>-4379660.4114000006</v>
      </c>
      <c r="F82" s="251">
        <f>IF(Init!$R$9="Yes",SUMPRODUCT('Staging Table'!L84:AI84,LS_Demand_Rates_Restatement!$C$4:$Z$4)-IF(Init!$R$15="No",('Staging Table'!BH84*Rates_previous!$H$34), 0),SUMPRODUCT('Staging Table'!BZ84:CW84,LS_Demand_Rates_Restatement!$C$4:$Z$4)-IF(Init!$R$15="No", 'Staging Table'!DV84*Rates_previous!$H$34, 0))</f>
        <v>774074.63729235576</v>
      </c>
      <c r="G82" s="251">
        <f>IF(Init!$R$9="Yes",SUMPRODUCT('Staging Table'!AJ84:AU84,LS_Demand_Rates_Restatement!$C$10:$N$10),SUMPRODUCT(LS_Demand_Rates_Restatement!$C$10:$N$10,'Staging Table'!CX84:DI84))*1000</f>
        <v>1728985.0999999996</v>
      </c>
      <c r="H82" s="252">
        <f>IF(Init!$R$9="Yes",'Staging Table'!BR84,'Staging Table'!EF84)*IF(Init!$R$3=2018,Rates_previous!$C$88,Rates_previous!$D$88)</f>
        <v>0</v>
      </c>
      <c r="I82" s="250">
        <f>IF(Init!$R$9="Yes",IF('Staging Table'!$F$1=2018,(SUM('Staging Table'!BD84:BG84)*Rates_previous!$C$87),(SUM('Staging Table'!BD84:BG84)*Rates_previous!$D$87)),IF('Staging Table'!$F$1=2018,(SUM('Staging Table'!DR84:DU84)*Rates_previous!$C$87),(SUM('Staging Table'!DR84:DU84)*Rates_previous!$D$87)))</f>
        <v>170644.34401455871</v>
      </c>
      <c r="J82" s="252">
        <f>IF(Init!$R$9="Yes",IF('Staging Table'!D84=1,'Staging Table'!H84*-1,'Staging Table'!H84*SUM(D82:I82)*(-1)),IF('Staging Table'!D84=1,'Staging Table'!BV84*-1,'Staging Table'!BV84*SUM(D82:I82)*(-1)))</f>
        <v>-1735390.7223579618</v>
      </c>
      <c r="K82" s="250">
        <f>IF(Init!$R$9="Yes",'Staging Table'!K84,'Staging Table'!BY84)*(-1)*Rates_previous!$H$32</f>
        <v>0</v>
      </c>
      <c r="L82" s="250">
        <f>IF(Init!$R$12="No",0,'Staging Table'!$BI84*-1)</f>
        <v>-483540.84480514302</v>
      </c>
      <c r="M82" s="250">
        <f>IF('Staging Table'!C84=1,"",SUM(D82:L82))</f>
        <v>27131739.665303804</v>
      </c>
      <c r="N82" s="250">
        <f>IF('Staging Table'!C84=1,"",IF(Init!$R$9="Yes",(RT1SC!$C$3*'Staging Table'!E84*'Staging Table'!$F$2)+SUM('Staging Table'!L84:AI84)-IF(Init!$R$15="No",'Staging Table'!BH84, 0),Z82))</f>
        <v>741595.32</v>
      </c>
      <c r="O82" s="126">
        <f>IF('Staging Table'!C84=1,"",IF(N82=0, 0, M82/N82))</f>
        <v>36.585640353425916</v>
      </c>
      <c r="P82" s="250">
        <f>'Staging Table'!BS84*Rates_current!$E$74*100*12</f>
        <v>28955605.637879997</v>
      </c>
      <c r="Q82" s="250">
        <f>'Staging Table'!BT84*Rates_current!$E$75*100*12</f>
        <v>-2929328.2853999999</v>
      </c>
      <c r="R82" s="251">
        <f>SUMPRODUCT('Staging Table'!BZ84:CW84, LS_Demand_Rates_Restatement!$C$5:$Z$5)-IF(Init!$R$15="No",('Staging Table'!DV84*Rates_current!$H$34), 0)</f>
        <v>824019.94999999949</v>
      </c>
      <c r="S82" s="251">
        <f>SUMPRODUCT('Staging Table'!CX84:DI84, LS_Demand_Rates_Restatement!$C$11:$N$11)*1000</f>
        <v>1935006.0499999996</v>
      </c>
      <c r="T82" s="252">
        <f>'Staging Table'!EF84*IF(Init!$R$18="Yes",IF(Init!$R$6=2020,Rates_current!$C$88,Rates_current!$D$88),Rates_current!$H$33)</f>
        <v>0</v>
      </c>
      <c r="U82" s="252">
        <f>IF(Init!$R$18="Yes",(SUM('Staging Table'!DL84:DU84)*IF('Staging Table'!$BT$1=2020, Rates_current!$C$87, Rates_current!$D$87)),0)</f>
        <v>505468.71988846682</v>
      </c>
      <c r="V82" s="252">
        <f>IF('Staging Table'!D84=1, 'Staging Table'!BV84*-1,SUM(P82:U82)*'Staging Table'!BV84*-1)</f>
        <v>-1818376.9884070489</v>
      </c>
      <c r="W82" s="250">
        <f>'Staging Table'!BY84*Rates_current!$H$32*-1</f>
        <v>0</v>
      </c>
      <c r="X82" s="250">
        <f>IF(Init!$R$12="No",0,'Staging Table'!$DW84*-1)</f>
        <v>0</v>
      </c>
      <c r="Y82" s="250">
        <f>IF('Staging Table'!C84=1,"",SUM(P82:X82))</f>
        <v>27472395.083961416</v>
      </c>
      <c r="Z82" s="250">
        <f>IF('Staging Table'!C84=1,"",(RT1SC!$C$4*'Staging Table'!BS84*'Staging Table'!$BT$2)+SUM('Staging Table'!BZ84:CW84)-IF(Init!$R$15="No",'Staging Table'!DV84, 0))</f>
        <v>751750.97824368638</v>
      </c>
      <c r="AA82" s="126">
        <f>IF('Staging Table'!C84=1,"",IF(Z82=0, 0, Y82/Z82))</f>
        <v>36.544541848345965</v>
      </c>
      <c r="AB82" s="118">
        <f ca="1">IF('Staging Table'!C84=1,"",(AA82/O82-1)+(RAND()/100000000000000))</f>
        <v>-1.1233507103566727E-3</v>
      </c>
      <c r="AC82" s="79">
        <f t="shared" ca="1" si="1"/>
        <v>98</v>
      </c>
      <c r="AF82" s="255"/>
      <c r="AG82" s="255"/>
      <c r="AH82" s="271"/>
      <c r="AI82" s="255"/>
      <c r="AJ82" s="255"/>
    </row>
    <row r="83" spans="2:36">
      <c r="B83" s="3">
        <v>10246</v>
      </c>
      <c r="C83" s="4" t="s">
        <v>86</v>
      </c>
      <c r="D83" s="250">
        <f>IF(Init!$R$9="Yes",'Staging Table'!E85,'Staging Table'!BS85)*Rates_previous!$E$75*100*12</f>
        <v>3244030.2115200004</v>
      </c>
      <c r="E83" s="250">
        <f>IF(Init!$R$9="Yes",'Staging Table'!F85,'Staging Table'!BT85)*Rates_previous!$E$76*100*12</f>
        <v>-457478.86379999999</v>
      </c>
      <c r="F83" s="251">
        <f>IF(Init!$R$9="Yes",SUMPRODUCT('Staging Table'!L85:AI85,LS_Demand_Rates_Restatement!$C$4:$Z$4)-IF(Init!$R$15="No",('Staging Table'!BH85*Rates_previous!$H$34), 0),SUMPRODUCT('Staging Table'!BZ85:CW85,LS_Demand_Rates_Restatement!$C$4:$Z$4)-IF(Init!$R$15="No", 'Staging Table'!DV85*Rates_previous!$H$34, 0))</f>
        <v>31380.30999999999</v>
      </c>
      <c r="G83" s="251">
        <f>IF(Init!$R$9="Yes",SUMPRODUCT('Staging Table'!AJ85:AU85,LS_Demand_Rates_Restatement!$C$10:$N$10),SUMPRODUCT(LS_Demand_Rates_Restatement!$C$10:$N$10,'Staging Table'!CX85:DI85))*1000</f>
        <v>122720.89000000001</v>
      </c>
      <c r="H83" s="252">
        <f>IF(Init!$R$9="Yes",'Staging Table'!BR85,'Staging Table'!EF85)*IF(Init!$R$3=2018,Rates_previous!$C$88,Rates_previous!$D$88)</f>
        <v>-15227.067390763325</v>
      </c>
      <c r="I83" s="250">
        <f>IF(Init!$R$9="Yes",IF('Staging Table'!$F$1=2018,(SUM('Staging Table'!BD85:BG85)*Rates_previous!$C$87),(SUM('Staging Table'!BD85:BG85)*Rates_previous!$D$87)),IF('Staging Table'!$F$1=2018,(SUM('Staging Table'!DR85:DU85)*Rates_previous!$C$87),(SUM('Staging Table'!DR85:DU85)*Rates_previous!$D$87)))</f>
        <v>17824.710886368026</v>
      </c>
      <c r="J83" s="252">
        <f>IF(Init!$R$9="Yes",IF('Staging Table'!D85=1,'Staging Table'!H85*-1,'Staging Table'!H85*SUM(D83:I83)*(-1)),IF('Staging Table'!D85=1,'Staging Table'!BV85*-1,'Staging Table'!BV85*SUM(D83:I83)*(-1)))</f>
        <v>-191614.12287369044</v>
      </c>
      <c r="K83" s="250">
        <f>IF(Init!$R$9="Yes",'Staging Table'!K85,'Staging Table'!BY85)*(-1)*Rates_previous!$H$32</f>
        <v>0</v>
      </c>
      <c r="L83" s="250">
        <f>IF(Init!$R$12="No",0,'Staging Table'!$BI85*-1)</f>
        <v>-102600.73460245307</v>
      </c>
      <c r="M83" s="250">
        <f>IF('Staging Table'!C85=1,"",SUM(D83:L83))</f>
        <v>2649035.3337394618</v>
      </c>
      <c r="N83" s="250">
        <f>IF('Staging Table'!C85=1,"",IF(Init!$R$9="Yes",(RT1SC!$C$3*'Staging Table'!E85*'Staging Table'!$F$2)+SUM('Staging Table'!L85:AI85)-IF(Init!$R$15="No",'Staging Table'!BH85, 0),Z83))</f>
        <v>76291.562327367996</v>
      </c>
      <c r="O83" s="126">
        <f>IF('Staging Table'!C85=1,"",IF(N83=0, 0, M83/N83))</f>
        <v>34.722520458716261</v>
      </c>
      <c r="P83" s="250">
        <f>'Staging Table'!BS85*Rates_current!$E$74*100*12</f>
        <v>2972255.49816</v>
      </c>
      <c r="Q83" s="250">
        <f>'Staging Table'!BT85*Rates_current!$E$75*100*12</f>
        <v>-300691.76279999997</v>
      </c>
      <c r="R83" s="251">
        <f>SUMPRODUCT('Staging Table'!BZ85:CW85, LS_Demand_Rates_Restatement!$C$5:$Z$5)-IF(Init!$R$15="No",('Staging Table'!DV85*Rates_current!$H$34), 0)</f>
        <v>49163.729999999989</v>
      </c>
      <c r="S83" s="251">
        <f>SUMPRODUCT('Staging Table'!CX85:DI85, LS_Demand_Rates_Restatement!$C$11:$N$11)*1000</f>
        <v>130750.72</v>
      </c>
      <c r="T83" s="252">
        <f>'Staging Table'!EF85*IF(Init!$R$18="Yes",IF(Init!$R$6=2020,Rates_current!$C$88,Rates_current!$D$88),Rates_current!$H$33)</f>
        <v>-13938.244118529106</v>
      </c>
      <c r="U83" s="252">
        <f>IF(Init!$R$18="Yes",(SUM('Staging Table'!DL85:DU85)*IF('Staging Table'!$BT$1=2020, Rates_current!$C$87, Rates_current!$D$87)),0)</f>
        <v>51885.710857691804</v>
      </c>
      <c r="V83" s="252">
        <f>IF('Staging Table'!D85=1, 'Staging Table'!BV85*-1,SUM(P83:U83)*'Staging Table'!BV85*-1)</f>
        <v>-158918.41086545395</v>
      </c>
      <c r="W83" s="250">
        <f>'Staging Table'!BY85*Rates_current!$H$32*-1</f>
        <v>0</v>
      </c>
      <c r="X83" s="250">
        <f>IF(Init!$R$12="No",0,'Staging Table'!$DW85*-1)</f>
        <v>0</v>
      </c>
      <c r="Y83" s="250">
        <f>IF('Staging Table'!C85=1,"",SUM(P83:X83))</f>
        <v>2730507.2412337088</v>
      </c>
      <c r="Z83" s="250">
        <f>IF('Staging Table'!C85=1,"",(RT1SC!$C$4*'Staging Table'!BS85*'Staging Table'!$BT$2)+SUM('Staging Table'!BZ85:CW85)-IF(Init!$R$15="No",'Staging Table'!DV85, 0))</f>
        <v>76289.163748044797</v>
      </c>
      <c r="AA83" s="126">
        <f>IF('Staging Table'!C85=1,"",IF(Z83=0, 0, Y83/Z83))</f>
        <v>35.791547673160707</v>
      </c>
      <c r="AB83" s="118">
        <f ca="1">IF('Staging Table'!C85=1,"",(AA83/O83-1)+(RAND()/100000000000000))</f>
        <v>3.0787719333783947E-2</v>
      </c>
      <c r="AC83" s="79">
        <f t="shared" ca="1" si="1"/>
        <v>12</v>
      </c>
      <c r="AF83" s="255"/>
      <c r="AG83" s="255"/>
      <c r="AH83" s="271"/>
      <c r="AI83" s="255"/>
      <c r="AJ83" s="255"/>
    </row>
    <row r="84" spans="2:36">
      <c r="B84" s="3">
        <v>10247</v>
      </c>
      <c r="C84" s="4" t="s">
        <v>87</v>
      </c>
      <c r="D84" s="250">
        <f>IF(Init!$R$9="Yes",'Staging Table'!E86,'Staging Table'!BS86)*Rates_previous!$E$75*100*12</f>
        <v>28851563.43936</v>
      </c>
      <c r="E84" s="250">
        <f>IF(Init!$R$9="Yes",'Staging Table'!F86,'Staging Table'!BT86)*Rates_previous!$E$76*100*12</f>
        <v>-4068698.3784000007</v>
      </c>
      <c r="F84" s="251">
        <f>IF(Init!$R$9="Yes",SUMPRODUCT('Staging Table'!L86:AI86,LS_Demand_Rates_Restatement!$C$4:$Z$4)-IF(Init!$R$15="No",('Staging Table'!BH86*Rates_previous!$H$34), 0),SUMPRODUCT('Staging Table'!BZ86:CW86,LS_Demand_Rates_Restatement!$C$4:$Z$4)-IF(Init!$R$15="No", 'Staging Table'!DV86*Rates_previous!$H$34, 0))</f>
        <v>-417847.72999999963</v>
      </c>
      <c r="G84" s="251">
        <f>IF(Init!$R$9="Yes",SUMPRODUCT('Staging Table'!AJ86:AU86,LS_Demand_Rates_Restatement!$C$10:$N$10),SUMPRODUCT(LS_Demand_Rates_Restatement!$C$10:$N$10,'Staging Table'!CX86:DI86))*1000</f>
        <v>1573693.9699999997</v>
      </c>
      <c r="H84" s="252">
        <f>IF(Init!$R$9="Yes",'Staging Table'!BR86,'Staging Table'!EF86)*IF(Init!$R$3=2018,Rates_previous!$C$88,Rates_previous!$D$88)</f>
        <v>-285756.3223517171</v>
      </c>
      <c r="I84" s="250">
        <f>IF(Init!$R$9="Yes",IF('Staging Table'!$F$1=2018,(SUM('Staging Table'!BD86:BG86)*Rates_previous!$C$87),(SUM('Staging Table'!BD86:BG86)*Rates_previous!$D$87)),IF('Staging Table'!$F$1=2018,(SUM('Staging Table'!DR86:DU86)*Rates_previous!$C$87),(SUM('Staging Table'!DR86:DU86)*Rates_previous!$D$87)))</f>
        <v>158528.35620952336</v>
      </c>
      <c r="J84" s="252">
        <f>IF(Init!$R$9="Yes",IF('Staging Table'!D86=1,'Staging Table'!H86*-1,'Staging Table'!H86*SUM(D84:I84)*(-1)),IF('Staging Table'!D86=1,'Staging Table'!BV86*-1,'Staging Table'!BV86*SUM(D84:I84)*(-1)))</f>
        <v>-1322983.0652160875</v>
      </c>
      <c r="K84" s="250">
        <f>IF(Init!$R$9="Yes",'Staging Table'!K86,'Staging Table'!BY86)*(-1)*Rates_previous!$H$32</f>
        <v>0</v>
      </c>
      <c r="L84" s="250">
        <f>IF(Init!$R$12="No",0,'Staging Table'!$BI86*-1)</f>
        <v>-993325.82931685599</v>
      </c>
      <c r="M84" s="250">
        <f>IF('Staging Table'!C86=1,"",SUM(D84:L84))</f>
        <v>23495174.440284863</v>
      </c>
      <c r="N84" s="250">
        <f>IF('Staging Table'!C86=1,"",IF(Init!$R$9="Yes",(RT1SC!$C$3*'Staging Table'!E86*'Staging Table'!$F$2)+SUM('Staging Table'!L86:AI86)-IF(Init!$R$15="No",'Staging Table'!BH86, 0),Z84))</f>
        <v>649622.83501142391</v>
      </c>
      <c r="O84" s="126">
        <f>IF('Staging Table'!C86=1,"",IF(N84=0, 0, M84/N84))</f>
        <v>36.167408493070738</v>
      </c>
      <c r="P84" s="250">
        <f>'Staging Table'!BS86*Rates_current!$E$74*100*12</f>
        <v>26804249.747160003</v>
      </c>
      <c r="Q84" s="250">
        <f>'Staging Table'!BT86*Rates_current!$E$75*100*12</f>
        <v>-2711683.8078000001</v>
      </c>
      <c r="R84" s="251">
        <f>SUMPRODUCT('Staging Table'!BZ86:CW86, LS_Demand_Rates_Restatement!$C$5:$Z$5)-IF(Init!$R$15="No",('Staging Table'!DV86*Rates_current!$H$34), 0)</f>
        <v>-17297.01999999999</v>
      </c>
      <c r="S84" s="251">
        <f>SUMPRODUCT('Staging Table'!CX86:DI86, LS_Demand_Rates_Restatement!$C$11:$N$11)*1000</f>
        <v>1723426.3699999999</v>
      </c>
      <c r="T84" s="252">
        <f>'Staging Table'!EF86*IF(Init!$R$18="Yes",IF(Init!$R$6=2020,Rates_current!$C$88,Rates_current!$D$88),Rates_current!$H$33)</f>
        <v>-459717.28875484236</v>
      </c>
      <c r="U84" s="252">
        <f>IF(Init!$R$18="Yes",(SUM('Staging Table'!DL86:DU86)*IF('Staging Table'!$BT$1=2020, Rates_current!$C$87, Rates_current!$D$87)),0)</f>
        <v>467913.1901680266</v>
      </c>
      <c r="V84" s="252">
        <f>IF('Staging Table'!D86=1, 'Staging Table'!BV86*-1,SUM(P84:U84)*'Staging Table'!BV86*-1)</f>
        <v>-1290344.5595386596</v>
      </c>
      <c r="W84" s="250">
        <f>'Staging Table'!BY86*Rates_current!$H$32*-1</f>
        <v>0</v>
      </c>
      <c r="X84" s="250">
        <f>IF(Init!$R$12="No",0,'Staging Table'!$DW86*-1)</f>
        <v>0</v>
      </c>
      <c r="Y84" s="250">
        <f>IF('Staging Table'!C86=1,"",SUM(P84:X84))</f>
        <v>24516546.63123453</v>
      </c>
      <c r="Z84" s="250">
        <f>IF('Staging Table'!C86=1,"",(RT1SC!$C$4*'Staging Table'!BS86*'Staging Table'!$BT$2)+SUM('Staging Table'!BZ86:CW86)-IF(Init!$R$15="No",'Staging Table'!DV86, 0))</f>
        <v>666927.13894676475</v>
      </c>
      <c r="AA84" s="126">
        <f>IF('Staging Table'!C86=1,"",IF(Z84=0, 0, Y84/Z84))</f>
        <v>36.760457326645813</v>
      </c>
      <c r="AB84" s="118">
        <f ca="1">IF('Staging Table'!C86=1,"",(AA84/O84-1)+(RAND()/100000000000000))</f>
        <v>1.6397327270177869E-2</v>
      </c>
      <c r="AC84" s="79">
        <f t="shared" ca="1" si="1"/>
        <v>61</v>
      </c>
      <c r="AF84" s="255"/>
      <c r="AG84" s="255"/>
      <c r="AH84" s="271"/>
      <c r="AI84" s="255"/>
      <c r="AJ84" s="255"/>
    </row>
    <row r="85" spans="2:36">
      <c r="B85" s="3">
        <v>10256</v>
      </c>
      <c r="C85" s="4" t="s">
        <v>88</v>
      </c>
      <c r="D85" s="250">
        <f>IF(Init!$R$9="Yes",'Staging Table'!E87,'Staging Table'!BS87)*Rates_previous!$E$75*100*12</f>
        <v>16402059.293759998</v>
      </c>
      <c r="E85" s="250">
        <f>IF(Init!$R$9="Yes",'Staging Table'!F87,'Staging Table'!BT87)*Rates_previous!$E$76*100*12</f>
        <v>-2313047.3393999999</v>
      </c>
      <c r="F85" s="251">
        <f>IF(Init!$R$9="Yes",SUMPRODUCT('Staging Table'!L87:AI87,LS_Demand_Rates_Restatement!$C$4:$Z$4)-IF(Init!$R$15="No",('Staging Table'!BH87*Rates_previous!$H$34), 0),SUMPRODUCT('Staging Table'!BZ87:CW87,LS_Demand_Rates_Restatement!$C$4:$Z$4)-IF(Init!$R$15="No", 'Staging Table'!DV87*Rates_previous!$H$34, 0))</f>
        <v>382027.60296207527</v>
      </c>
      <c r="G85" s="251">
        <f>IF(Init!$R$9="Yes",SUMPRODUCT('Staging Table'!AJ87:AU87,LS_Demand_Rates_Restatement!$C$10:$N$10),SUMPRODUCT(LS_Demand_Rates_Restatement!$C$10:$N$10,'Staging Table'!CX87:DI87))*1000</f>
        <v>959177.58</v>
      </c>
      <c r="H85" s="252">
        <f>IF(Init!$R$9="Yes",'Staging Table'!BR87,'Staging Table'!EF87)*IF(Init!$R$3=2018,Rates_previous!$C$88,Rates_previous!$D$88)</f>
        <v>146110.66799999896</v>
      </c>
      <c r="I85" s="250">
        <f>IF(Init!$R$9="Yes",IF('Staging Table'!$F$1=2018,(SUM('Staging Table'!BD87:BG87)*Rates_previous!$C$87),(SUM('Staging Table'!BD87:BG87)*Rates_previous!$D$87)),IF('Staging Table'!$F$1=2018,(SUM('Staging Table'!DR87:DU87)*Rates_previous!$C$87),(SUM('Staging Table'!DR87:DU87)*Rates_previous!$D$87)))</f>
        <v>90123.070930141155</v>
      </c>
      <c r="J85" s="252">
        <f>IF(Init!$R$9="Yes",IF('Staging Table'!D87=1,'Staging Table'!H87*-1,'Staging Table'!H87*SUM(D85:I85)*(-1)),IF('Staging Table'!D87=1,'Staging Table'!BV87*-1,'Staging Table'!BV87*SUM(D85:I85)*(-1)))</f>
        <v>-1018319.3069563939</v>
      </c>
      <c r="K85" s="250">
        <f>IF(Init!$R$9="Yes",'Staging Table'!K87,'Staging Table'!BY87)*(-1)*Rates_previous!$H$32</f>
        <v>-487914.33264000004</v>
      </c>
      <c r="L85" s="250">
        <f>IF(Init!$R$12="No",0,'Staging Table'!$BI87*-1)</f>
        <v>-542621.00665827445</v>
      </c>
      <c r="M85" s="250">
        <f>IF('Staging Table'!C87=1,"",SUM(D85:L85))</f>
        <v>13617596.229997545</v>
      </c>
      <c r="N85" s="250">
        <f>IF('Staging Table'!C87=1,"",IF(Init!$R$9="Yes",(RT1SC!$C$3*'Staging Table'!E87*'Staging Table'!$F$2)+SUM('Staging Table'!L87:AI87)-IF(Init!$R$15="No",'Staging Table'!BH87, 0),Z85))</f>
        <v>402916.19999999995</v>
      </c>
      <c r="O85" s="126">
        <f>IF('Staging Table'!C87=1,"",IF(N85=0, 0, M85/N85))</f>
        <v>33.797589250562638</v>
      </c>
      <c r="P85" s="250">
        <f>'Staging Table'!BS87*Rates_current!$E$74*100*12</f>
        <v>15674809.44108</v>
      </c>
      <c r="Q85" s="250">
        <f>'Staging Table'!BT87*Rates_current!$E$75*100*12</f>
        <v>-1585760.7413999999</v>
      </c>
      <c r="R85" s="251">
        <f>SUMPRODUCT('Staging Table'!BZ87:CW87, LS_Demand_Rates_Restatement!$C$5:$Z$5)-IF(Init!$R$15="No",('Staging Table'!DV87*Rates_current!$H$34), 0)</f>
        <v>158233.11048499035</v>
      </c>
      <c r="S85" s="251">
        <f>SUMPRODUCT('Staging Table'!CX87:DI87, LS_Demand_Rates_Restatement!$C$11:$N$11)*1000</f>
        <v>1075677.8400000001</v>
      </c>
      <c r="T85" s="252">
        <f>'Staging Table'!EF87*IF(Init!$R$18="Yes",IF(Init!$R$6=2020,Rates_current!$C$88,Rates_current!$D$88),Rates_current!$H$33)</f>
        <v>23558.951519999755</v>
      </c>
      <c r="U85" s="252">
        <f>IF(Init!$R$18="Yes",(SUM('Staging Table'!DL87:DU87)*IF('Staging Table'!$BT$1=2020, Rates_current!$C$87, Rates_current!$D$87)),0)</f>
        <v>273630.12059790082</v>
      </c>
      <c r="V85" s="252">
        <f>IF('Staging Table'!D87=1, 'Staging Table'!BV87*-1,SUM(P85:U85)*'Staging Table'!BV87*-1)</f>
        <v>-1015309.666948388</v>
      </c>
      <c r="W85" s="250">
        <f>'Staging Table'!BY87*Rates_current!$H$32*-1</f>
        <v>-460946.27854000003</v>
      </c>
      <c r="X85" s="250">
        <f>IF(Init!$R$12="No",0,'Staging Table'!$DW87*-1)</f>
        <v>0</v>
      </c>
      <c r="Y85" s="250">
        <f>IF('Staging Table'!C87=1,"",SUM(P85:X85))</f>
        <v>14143892.776794504</v>
      </c>
      <c r="Z85" s="250">
        <f>IF('Staging Table'!C87=1,"",(RT1SC!$C$4*'Staging Table'!BS87*'Staging Table'!$BT$2)+SUM('Staging Table'!BZ87:CW87)-IF(Init!$R$15="No",'Staging Table'!DV87, 0))</f>
        <v>408438.43199999997</v>
      </c>
      <c r="AA85" s="126">
        <f>IF('Staging Table'!C87=1,"",IF(Z85=0, 0, Y85/Z85))</f>
        <v>34.629191742648018</v>
      </c>
      <c r="AB85" s="118">
        <f ca="1">IF('Staging Table'!C87=1,"",(AA85/O85-1)+(RAND()/100000000000000))</f>
        <v>2.4605378978967214E-2</v>
      </c>
      <c r="AC85" s="79">
        <f t="shared" ca="1" si="1"/>
        <v>28</v>
      </c>
      <c r="AF85" s="255"/>
      <c r="AG85" s="255"/>
      <c r="AH85" s="271"/>
      <c r="AI85" s="255"/>
      <c r="AJ85" s="255"/>
    </row>
    <row r="86" spans="2:36">
      <c r="B86" s="3">
        <v>10258</v>
      </c>
      <c r="C86" s="4" t="s">
        <v>89</v>
      </c>
      <c r="D86" s="250">
        <f>IF(Init!$R$9="Yes",'Staging Table'!E88,'Staging Table'!BS88)*Rates_previous!$E$75*100*12</f>
        <v>13699422.642240001</v>
      </c>
      <c r="E86" s="250">
        <f>IF(Init!$R$9="Yes",'Staging Table'!F88,'Staging Table'!BT88)*Rates_previous!$E$76*100*12</f>
        <v>-1931916.7505999999</v>
      </c>
      <c r="F86" s="251">
        <f>IF(Init!$R$9="Yes",SUMPRODUCT('Staging Table'!L88:AI88,LS_Demand_Rates_Restatement!$C$4:$Z$4)-IF(Init!$R$15="No",('Staging Table'!BH88*Rates_previous!$H$34), 0),SUMPRODUCT('Staging Table'!BZ88:CW88,LS_Demand_Rates_Restatement!$C$4:$Z$4)-IF(Init!$R$15="No", 'Staging Table'!DV88*Rates_previous!$H$34, 0))</f>
        <v>227806.78000000014</v>
      </c>
      <c r="G86" s="251">
        <f>IF(Init!$R$9="Yes",SUMPRODUCT('Staging Table'!AJ88:AU88,LS_Demand_Rates_Restatement!$C$10:$N$10),SUMPRODUCT(LS_Demand_Rates_Restatement!$C$10:$N$10,'Staging Table'!CX88:DI88))*1000</f>
        <v>870697.28000000014</v>
      </c>
      <c r="H86" s="252">
        <f>IF(Init!$R$9="Yes",'Staging Table'!BR88,'Staging Table'!EF88)*IF(Init!$R$3=2018,Rates_previous!$C$88,Rates_previous!$D$88)</f>
        <v>0</v>
      </c>
      <c r="I86" s="250">
        <f>IF(Init!$R$9="Yes",IF('Staging Table'!$F$1=2018,(SUM('Staging Table'!BD88:BG88)*Rates_previous!$C$87),(SUM('Staging Table'!BD88:BG88)*Rates_previous!$D$87)),IF('Staging Table'!$F$1=2018,(SUM('Staging Table'!DR88:DU88)*Rates_previous!$C$87),(SUM('Staging Table'!DR88:DU88)*Rates_previous!$D$87)))</f>
        <v>75273.111526811859</v>
      </c>
      <c r="J86" s="252">
        <f>IF(Init!$R$9="Yes",IF('Staging Table'!D88=1,'Staging Table'!H88*-1,'Staging Table'!H88*SUM(D86:I86)*(-1)),IF('Staging Table'!D88=1,'Staging Table'!BV88*-1,'Staging Table'!BV88*SUM(D86:I86)*(-1)))</f>
        <v>-880220.77946588525</v>
      </c>
      <c r="K86" s="250">
        <f>IF(Init!$R$9="Yes",'Staging Table'!K88,'Staging Table'!BY88)*(-1)*Rates_previous!$H$32</f>
        <v>-216231.37872000001</v>
      </c>
      <c r="L86" s="250">
        <f>IF(Init!$R$12="No",0,'Staging Table'!$BI88*-1)</f>
        <v>-213295.22609715705</v>
      </c>
      <c r="M86" s="250">
        <f>IF('Staging Table'!C88=1,"",SUM(D86:L86))</f>
        <v>11631535.678883767</v>
      </c>
      <c r="N86" s="250">
        <f>IF('Staging Table'!C88=1,"",IF(Init!$R$9="Yes",(RT1SC!$C$3*'Staging Table'!E88*'Staging Table'!$F$2)+SUM('Staging Table'!L88:AI88)-IF(Init!$R$15="No",'Staging Table'!BH88, 0),Z86))</f>
        <v>322012.83129701595</v>
      </c>
      <c r="O86" s="126">
        <f>IF('Staging Table'!C88=1,"",IF(N86=0, 0, M86/N86))</f>
        <v>36.121342221158734</v>
      </c>
      <c r="P86" s="250">
        <f>'Staging Table'!BS88*Rates_current!$E$74*100*12</f>
        <v>12772665.51912</v>
      </c>
      <c r="Q86" s="250">
        <f>'Staging Table'!BT88*Rates_current!$E$75*100*12</f>
        <v>-1292161.8995999999</v>
      </c>
      <c r="R86" s="251">
        <f>SUMPRODUCT('Staging Table'!BZ88:CW88, LS_Demand_Rates_Restatement!$C$5:$Z$5)-IF(Init!$R$15="No",('Staging Table'!DV88*Rates_current!$H$34), 0)</f>
        <v>372330.85221331072</v>
      </c>
      <c r="S86" s="251">
        <f>SUMPRODUCT('Staging Table'!CX88:DI88, LS_Demand_Rates_Restatement!$C$11:$N$11)*1000</f>
        <v>965438.1100000001</v>
      </c>
      <c r="T86" s="252">
        <f>'Staging Table'!EF88*IF(Init!$R$18="Yes",IF(Init!$R$6=2020,Rates_current!$C$88,Rates_current!$D$88),Rates_current!$H$33)</f>
        <v>0</v>
      </c>
      <c r="U86" s="252">
        <f>IF(Init!$R$18="Yes",(SUM('Staging Table'!DL88:DU88)*IF('Staging Table'!$BT$1=2020, Rates_current!$C$87, Rates_current!$D$87)),0)</f>
        <v>222968.32503710804</v>
      </c>
      <c r="V86" s="252">
        <f>IF('Staging Table'!D88=1, 'Staging Table'!BV88*-1,SUM(P86:U86)*'Staging Table'!BV88*-1)</f>
        <v>-786495.0689777825</v>
      </c>
      <c r="W86" s="250">
        <f>'Staging Table'!BY88*Rates_current!$H$32*-1</f>
        <v>-204279.81442000001</v>
      </c>
      <c r="X86" s="250">
        <f>IF(Init!$R$12="No",0,'Staging Table'!$DW88*-1)</f>
        <v>0</v>
      </c>
      <c r="Y86" s="250">
        <f>IF('Staging Table'!C88=1,"",SUM(P86:X86))</f>
        <v>12050466.023372637</v>
      </c>
      <c r="Z86" s="250">
        <f>IF('Staging Table'!C88=1,"",(RT1SC!$C$4*'Staging Table'!BS88*'Staging Table'!$BT$2)+SUM('Staging Table'!BZ88:CW88)-IF(Init!$R$15="No",'Staging Table'!DV88, 0))</f>
        <v>331604.78399999999</v>
      </c>
      <c r="AA86" s="126">
        <f>IF('Staging Table'!C88=1,"",IF(Z86=0, 0, Y86/Z86))</f>
        <v>36.339843707962423</v>
      </c>
      <c r="AB86" s="118">
        <f ca="1">IF('Staging Table'!C88=1,"",(AA86/O86-1)+(RAND()/100000000000000))</f>
        <v>6.0490965553259522E-3</v>
      </c>
      <c r="AC86" s="79">
        <f t="shared" ca="1" si="1"/>
        <v>76</v>
      </c>
      <c r="AF86" s="255"/>
      <c r="AG86" s="255"/>
      <c r="AH86" s="271"/>
      <c r="AI86" s="255"/>
      <c r="AJ86" s="255"/>
    </row>
    <row r="87" spans="2:36">
      <c r="B87" s="3">
        <v>10259</v>
      </c>
      <c r="C87" s="4" t="s">
        <v>90</v>
      </c>
      <c r="D87" s="250">
        <f>IF(Init!$R$9="Yes",'Staging Table'!E89,'Staging Table'!BS89)*Rates_previous!$E$75*100*12</f>
        <v>9740752.9315200001</v>
      </c>
      <c r="E87" s="250">
        <f>IF(Init!$R$9="Yes",'Staging Table'!F89,'Staging Table'!BT89)*Rates_previous!$E$76*100*12</f>
        <v>-1373658.1638</v>
      </c>
      <c r="F87" s="251">
        <f>IF(Init!$R$9="Yes",SUMPRODUCT('Staging Table'!L89:AI89,LS_Demand_Rates_Restatement!$C$4:$Z$4)-IF(Init!$R$15="No",('Staging Table'!BH89*Rates_previous!$H$34), 0),SUMPRODUCT('Staging Table'!BZ89:CW89,LS_Demand_Rates_Restatement!$C$4:$Z$4)-IF(Init!$R$15="No", 'Staging Table'!DV89*Rates_previous!$H$34, 0))</f>
        <v>124917.39791204338</v>
      </c>
      <c r="G87" s="251">
        <f>IF(Init!$R$9="Yes",SUMPRODUCT('Staging Table'!AJ89:AU89,LS_Demand_Rates_Restatement!$C$10:$N$10),SUMPRODUCT(LS_Demand_Rates_Restatement!$C$10:$N$10,'Staging Table'!CX89:DI89))*1000</f>
        <v>689623.17999999982</v>
      </c>
      <c r="H87" s="252">
        <f>IF(Init!$R$9="Yes",'Staging Table'!BR89,'Staging Table'!EF89)*IF(Init!$R$3=2018,Rates_previous!$C$88,Rates_previous!$D$88)</f>
        <v>0</v>
      </c>
      <c r="I87" s="250">
        <f>IF(Init!$R$9="Yes",IF('Staging Table'!$F$1=2018,(SUM('Staging Table'!BD89:BG89)*Rates_previous!$C$87),(SUM('Staging Table'!BD89:BG89)*Rates_previous!$D$87)),IF('Staging Table'!$F$1=2018,(SUM('Staging Table'!DR89:DU89)*Rates_previous!$C$87),(SUM('Staging Table'!DR89:DU89)*Rates_previous!$D$87)))</f>
        <v>53521.728682832712</v>
      </c>
      <c r="J87" s="252">
        <f>IF(Init!$R$9="Yes",IF('Staging Table'!D89=1,'Staging Table'!H89*-1,'Staging Table'!H89*SUM(D87:I87)*(-1)),IF('Staging Table'!D89=1,'Staging Table'!BV89*-1,'Staging Table'!BV89*SUM(D87:I87)*(-1)))</f>
        <v>-616155.82726267702</v>
      </c>
      <c r="K87" s="250">
        <f>IF(Init!$R$9="Yes",'Staging Table'!K89,'Staging Table'!BY89)*(-1)*Rates_previous!$H$32</f>
        <v>0</v>
      </c>
      <c r="L87" s="250">
        <f>IF(Init!$R$12="No",0,'Staging Table'!$BI89*-1)</f>
        <v>-151660.12124328365</v>
      </c>
      <c r="M87" s="250">
        <f>IF('Staging Table'!C89=1,"",SUM(D87:L87))</f>
        <v>8467341.1258089151</v>
      </c>
      <c r="N87" s="250">
        <f>IF('Staging Table'!C89=1,"",IF(Init!$R$9="Yes",(RT1SC!$C$3*'Staging Table'!E89*'Staging Table'!$F$2)+SUM('Staging Table'!L89:AI89)-IF(Init!$R$15="No",'Staging Table'!BH89, 0),Z87))</f>
        <v>232595.52</v>
      </c>
      <c r="O87" s="126">
        <f>IF('Staging Table'!C89=1,"",IF(N87=0, 0, M87/N87))</f>
        <v>36.403715453371227</v>
      </c>
      <c r="P87" s="250">
        <f>'Staging Table'!BS89*Rates_current!$E$74*100*12</f>
        <v>9081944.6146799996</v>
      </c>
      <c r="Q87" s="250">
        <f>'Staging Table'!BT89*Rates_current!$E$75*100*12</f>
        <v>-918785.72940000007</v>
      </c>
      <c r="R87" s="251">
        <f>SUMPRODUCT('Staging Table'!BZ89:CW89, LS_Demand_Rates_Restatement!$C$5:$Z$5)-IF(Init!$R$15="No",('Staging Table'!DV89*Rates_current!$H$34), 0)</f>
        <v>132695.98952942507</v>
      </c>
      <c r="S87" s="251">
        <f>SUMPRODUCT('Staging Table'!CX89:DI89, LS_Demand_Rates_Restatement!$C$11:$N$11)*1000</f>
        <v>753274.00999999989</v>
      </c>
      <c r="T87" s="252">
        <f>'Staging Table'!EF89*IF(Init!$R$18="Yes",IF(Init!$R$6=2020,Rates_current!$C$88,Rates_current!$D$88),Rates_current!$H$33)</f>
        <v>0</v>
      </c>
      <c r="U87" s="252">
        <f>IF(Init!$R$18="Yes",(SUM('Staging Table'!DL89:DU89)*IF('Staging Table'!$BT$1=2020, Rates_current!$C$87, Rates_current!$D$87)),0)</f>
        <v>158540.59403526125</v>
      </c>
      <c r="V87" s="252">
        <f>IF('Staging Table'!D89=1, 'Staging Table'!BV89*-1,SUM(P87:U87)*'Staging Table'!BV89*-1)</f>
        <v>-600884.2232868732</v>
      </c>
      <c r="W87" s="250">
        <f>'Staging Table'!BY89*Rates_current!$H$32*-1</f>
        <v>0</v>
      </c>
      <c r="X87" s="250">
        <f>IF(Init!$R$12="No",0,'Staging Table'!$DW89*-1)</f>
        <v>0</v>
      </c>
      <c r="Y87" s="250">
        <f>IF('Staging Table'!C89=1,"",SUM(P87:X87))</f>
        <v>8606785.2555578128</v>
      </c>
      <c r="Z87" s="250">
        <f>IF('Staging Table'!C89=1,"",(RT1SC!$C$4*'Staging Table'!BS89*'Staging Table'!$BT$2)+SUM('Staging Table'!BZ89:CW89)-IF(Init!$R$15="No",'Staging Table'!DV89, 0))</f>
        <v>235788.91200000001</v>
      </c>
      <c r="AA87" s="126">
        <f>IF('Staging Table'!C89=1,"",IF(Z87=0, 0, Y87/Z87))</f>
        <v>36.502077992360441</v>
      </c>
      <c r="AB87" s="118">
        <f ca="1">IF('Staging Table'!C89=1,"",(AA87/O87-1)+(RAND()/100000000000000))</f>
        <v>2.7019917545338967E-3</v>
      </c>
      <c r="AC87" s="79">
        <f t="shared" ca="1" si="1"/>
        <v>81</v>
      </c>
      <c r="AF87" s="255"/>
      <c r="AG87" s="255"/>
      <c r="AH87" s="271"/>
      <c r="AI87" s="255"/>
      <c r="AJ87" s="255"/>
    </row>
    <row r="88" spans="2:36">
      <c r="B88" s="3">
        <v>10260</v>
      </c>
      <c r="C88" s="4" t="s">
        <v>91</v>
      </c>
      <c r="D88" s="250">
        <f>IF(Init!$R$9="Yes",'Staging Table'!E90,'Staging Table'!BS90)*Rates_previous!$E$75*100*12</f>
        <v>9488017.6790400017</v>
      </c>
      <c r="E88" s="250">
        <f>IF(Init!$R$9="Yes",'Staging Table'!F90,'Staging Table'!BT90)*Rates_previous!$E$76*100*12</f>
        <v>-1338016.9926000002</v>
      </c>
      <c r="F88" s="251">
        <f>IF(Init!$R$9="Yes",SUMPRODUCT('Staging Table'!L90:AI90,LS_Demand_Rates_Restatement!$C$4:$Z$4)-IF(Init!$R$15="No",('Staging Table'!BH90*Rates_previous!$H$34), 0),SUMPRODUCT('Staging Table'!BZ90:CW90,LS_Demand_Rates_Restatement!$C$4:$Z$4)-IF(Init!$R$15="No", 'Staging Table'!DV90*Rates_previous!$H$34, 0))</f>
        <v>120479.93955007481</v>
      </c>
      <c r="G88" s="251">
        <f>IF(Init!$R$9="Yes",SUMPRODUCT('Staging Table'!AJ90:AU90,LS_Demand_Rates_Restatement!$C$10:$N$10),SUMPRODUCT(LS_Demand_Rates_Restatement!$C$10:$N$10,'Staging Table'!CX90:DI90))*1000</f>
        <v>404099.24000000005</v>
      </c>
      <c r="H88" s="252">
        <f>IF(Init!$R$9="Yes",'Staging Table'!BR90,'Staging Table'!EF90)*IF(Init!$R$3=2018,Rates_previous!$C$88,Rates_previous!$D$88)</f>
        <v>0</v>
      </c>
      <c r="I88" s="250">
        <f>IF(Init!$R$9="Yes",IF('Staging Table'!$F$1=2018,(SUM('Staging Table'!BD90:BG90)*Rates_previous!$C$87),(SUM('Staging Table'!BD90:BG90)*Rates_previous!$D$87)),IF('Staging Table'!$F$1=2018,(SUM('Staging Table'!DR90:DU90)*Rates_previous!$C$87),(SUM('Staging Table'!DR90:DU90)*Rates_previous!$D$87)))</f>
        <v>52133.044696397679</v>
      </c>
      <c r="J88" s="252">
        <f>IF(Init!$R$9="Yes",IF('Staging Table'!D90=1,'Staging Table'!H90*-1,'Staging Table'!H90*SUM(D88:I88)*(-1)),IF('Staging Table'!D90=1,'Staging Table'!BV90*-1,'Staging Table'!BV90*SUM(D88:I88)*(-1)))</f>
        <v>0</v>
      </c>
      <c r="K88" s="250">
        <f>IF(Init!$R$9="Yes",'Staging Table'!K90,'Staging Table'!BY90)*(-1)*Rates_previous!$H$32</f>
        <v>0</v>
      </c>
      <c r="L88" s="250">
        <f>IF(Init!$R$12="No",0,'Staging Table'!$BI90*-1)</f>
        <v>-147725.12162846563</v>
      </c>
      <c r="M88" s="250">
        <f>IF('Staging Table'!C90=1,"",SUM(D88:L88))</f>
        <v>8578987.7890580092</v>
      </c>
      <c r="N88" s="250">
        <f>IF('Staging Table'!C90=1,"",IF(Init!$R$9="Yes",(RT1SC!$C$3*'Staging Table'!E90*'Staging Table'!$F$2)+SUM('Staging Table'!L90:AI90)-IF(Init!$R$15="No",'Staging Table'!BH90, 0),Z88))</f>
        <v>226559.88</v>
      </c>
      <c r="O88" s="126">
        <f>IF('Staging Table'!C90=1,"",IF(N88=0, 0, M88/N88))</f>
        <v>37.866315029201147</v>
      </c>
      <c r="P88" s="250">
        <f>'Staging Table'!BS90*Rates_current!$E$74*100*12</f>
        <v>8846179.5855599996</v>
      </c>
      <c r="Q88" s="250">
        <f>'Staging Table'!BT90*Rates_current!$E$75*100*12</f>
        <v>-894934.27980000002</v>
      </c>
      <c r="R88" s="251">
        <f>SUMPRODUCT('Staging Table'!BZ90:CW90, LS_Demand_Rates_Restatement!$C$5:$Z$5)-IF(Init!$R$15="No",('Staging Table'!DV90*Rates_current!$H$34), 0)</f>
        <v>12299.609999999957</v>
      </c>
      <c r="S88" s="251">
        <f>SUMPRODUCT('Staging Table'!CX90:DI90, LS_Demand_Rates_Restatement!$C$11:$N$11)*1000</f>
        <v>457968.64999999991</v>
      </c>
      <c r="T88" s="252">
        <f>'Staging Table'!EF90*IF(Init!$R$18="Yes",IF(Init!$R$6=2020,Rates_current!$C$88,Rates_current!$D$88),Rates_current!$H$33)</f>
        <v>0</v>
      </c>
      <c r="U88" s="252">
        <f>IF(Init!$R$18="Yes",(SUM('Staging Table'!DL90:DU90)*IF('Staging Table'!$BT$1=2020, Rates_current!$C$87, Rates_current!$D$87)),0)</f>
        <v>154424.91954534999</v>
      </c>
      <c r="V88" s="252">
        <f>IF('Staging Table'!D90=1, 'Staging Table'!BV90*-1,SUM(P88:U88)*'Staging Table'!BV90*-1)</f>
        <v>0</v>
      </c>
      <c r="W88" s="250">
        <f>'Staging Table'!BY90*Rates_current!$H$32*-1</f>
        <v>0</v>
      </c>
      <c r="X88" s="250">
        <f>IF(Init!$R$12="No",0,'Staging Table'!$DW90*-1)</f>
        <v>0</v>
      </c>
      <c r="Y88" s="250">
        <f>IF('Staging Table'!C90=1,"",SUM(P88:X88))</f>
        <v>8575938.4853053503</v>
      </c>
      <c r="Z88" s="250">
        <f>IF('Staging Table'!C90=1,"",(RT1SC!$C$4*'Staging Table'!BS90*'Staging Table'!$BT$2)+SUM('Staging Table'!BZ90:CW90)-IF(Init!$R$15="No",'Staging Table'!DV90, 0))</f>
        <v>223544.90283591679</v>
      </c>
      <c r="AA88" s="126">
        <f>IF('Staging Table'!C90=1,"",IF(Z88=0, 0, Y88/Z88))</f>
        <v>38.363381926896977</v>
      </c>
      <c r="AB88" s="118">
        <f ca="1">IF('Staging Table'!C90=1,"",(AA88/O88-1)+(RAND()/100000000000000))</f>
        <v>1.31268885634327E-2</v>
      </c>
      <c r="AC88" s="79">
        <f t="shared" ca="1" si="1"/>
        <v>67</v>
      </c>
      <c r="AF88" s="255"/>
      <c r="AG88" s="255"/>
      <c r="AH88" s="271"/>
      <c r="AI88" s="255"/>
      <c r="AJ88" s="255"/>
    </row>
    <row r="89" spans="2:36">
      <c r="B89" s="3">
        <v>10273</v>
      </c>
      <c r="C89" s="4" t="s">
        <v>92</v>
      </c>
      <c r="D89" s="250">
        <f>IF(Init!$R$9="Yes",'Staging Table'!E91,'Staging Table'!BS91)*Rates_previous!$E$75*100*12</f>
        <v>2123027.07552</v>
      </c>
      <c r="E89" s="250">
        <f>IF(Init!$R$9="Yes",'Staging Table'!F91,'Staging Table'!BT91)*Rates_previous!$E$76*100*12</f>
        <v>-299393.02379999997</v>
      </c>
      <c r="F89" s="251">
        <f>IF(Init!$R$9="Yes",SUMPRODUCT('Staging Table'!L91:AI91,LS_Demand_Rates_Restatement!$C$4:$Z$4)-IF(Init!$R$15="No",('Staging Table'!BH91*Rates_previous!$H$34), 0),SUMPRODUCT('Staging Table'!BZ91:CW91,LS_Demand_Rates_Restatement!$C$4:$Z$4)-IF(Init!$R$15="No", 'Staging Table'!DV91*Rates_previous!$H$34, 0))</f>
        <v>-17313.007256164634</v>
      </c>
      <c r="G89" s="251">
        <f>IF(Init!$R$9="Yes",SUMPRODUCT('Staging Table'!AJ91:AU91,LS_Demand_Rates_Restatement!$C$10:$N$10),SUMPRODUCT(LS_Demand_Rates_Restatement!$C$10:$N$10,'Staging Table'!CX91:DI91))*1000</f>
        <v>174554.09000000003</v>
      </c>
      <c r="H89" s="252">
        <f>IF(Init!$R$9="Yes",'Staging Table'!BR91,'Staging Table'!EF91)*IF(Init!$R$3=2018,Rates_previous!$C$88,Rates_previous!$D$88)</f>
        <v>0</v>
      </c>
      <c r="I89" s="250">
        <f>IF(Init!$R$9="Yes",IF('Staging Table'!$F$1=2018,(SUM('Staging Table'!BD91:BG91)*Rates_previous!$C$87),(SUM('Staging Table'!BD91:BG91)*Rates_previous!$D$87)),IF('Staging Table'!$F$1=2018,(SUM('Staging Table'!DR91:DU91)*Rates_previous!$C$87),(SUM('Staging Table'!DR91:DU91)*Rates_previous!$D$87)))</f>
        <v>11665.225462664321</v>
      </c>
      <c r="J89" s="252">
        <f>IF(Init!$R$9="Yes",IF('Staging Table'!D91=1,'Staging Table'!H91*-1,'Staging Table'!H91*SUM(D89:I89)*(-1)),IF('Staging Table'!D91=1,'Staging Table'!BV91*-1,'Staging Table'!BV91*SUM(D89:I89)*(-1)))</f>
        <v>-191706.69161732038</v>
      </c>
      <c r="K89" s="250">
        <f>IF(Init!$R$9="Yes",'Staging Table'!K91,'Staging Table'!BY91)*(-1)*Rates_previous!$H$32</f>
        <v>-111979.014</v>
      </c>
      <c r="L89" s="250">
        <f>IF(Init!$R$12="No",0,'Staging Table'!$BI91*-1)</f>
        <v>-68396.315801605931</v>
      </c>
      <c r="M89" s="250">
        <f>IF('Staging Table'!C91=1,"",SUM(D89:L89))</f>
        <v>1620458.3385075736</v>
      </c>
      <c r="N89" s="250">
        <f>IF('Staging Table'!C91=1,"",IF(Init!$R$9="Yes",(RT1SC!$C$3*'Staging Table'!E91*'Staging Table'!$F$2)+SUM('Staging Table'!L91:AI91)-IF(Init!$R$15="No",'Staging Table'!BH91, 0),Z89))</f>
        <v>50694.12</v>
      </c>
      <c r="O89" s="126">
        <f>IF('Staging Table'!C91=1,"",IF(N89=0, 0, M89/N89))</f>
        <v>31.965410160144284</v>
      </c>
      <c r="P89" s="250">
        <f>'Staging Table'!BS91*Rates_current!$E$74*100*12</f>
        <v>1979285.4460799997</v>
      </c>
      <c r="Q89" s="250">
        <f>'Staging Table'!BT91*Rates_current!$E$75*100*12</f>
        <v>-200236.76639999999</v>
      </c>
      <c r="R89" s="251">
        <f>SUMPRODUCT('Staging Table'!BZ91:CW91, LS_Demand_Rates_Restatement!$C$5:$Z$5)-IF(Init!$R$15="No",('Staging Table'!DV91*Rates_current!$H$34), 0)</f>
        <v>-40560.210000000065</v>
      </c>
      <c r="S89" s="251">
        <f>SUMPRODUCT('Staging Table'!CX91:DI91, LS_Demand_Rates_Restatement!$C$11:$N$11)*1000</f>
        <v>190841.52999999997</v>
      </c>
      <c r="T89" s="252">
        <f>'Staging Table'!EF91*IF(Init!$R$18="Yes",IF(Init!$R$6=2020,Rates_current!$C$88,Rates_current!$D$88),Rates_current!$H$33)</f>
        <v>0</v>
      </c>
      <c r="U89" s="252">
        <f>IF(Init!$R$18="Yes",(SUM('Staging Table'!DL91:DU91)*IF('Staging Table'!$BT$1=2020, Rates_current!$C$87, Rates_current!$D$87)),0)</f>
        <v>34551.751161271182</v>
      </c>
      <c r="V89" s="252">
        <f>IF('Staging Table'!D91=1, 'Staging Table'!BV91*-1,SUM(P89:U89)*'Staging Table'!BV91*-1)</f>
        <v>-189475.90048569109</v>
      </c>
      <c r="W89" s="250">
        <f>'Staging Table'!BY91*Rates_current!$H$32*-1</f>
        <v>-105789.69774999999</v>
      </c>
      <c r="X89" s="250">
        <f>IF(Init!$R$12="No",0,'Staging Table'!$DW91*-1)</f>
        <v>0</v>
      </c>
      <c r="Y89" s="250">
        <f>IF('Staging Table'!C91=1,"",SUM(P89:X89))</f>
        <v>1668616.1526055797</v>
      </c>
      <c r="Z89" s="250">
        <f>IF('Staging Table'!C91=1,"",(RT1SC!$C$4*'Staging Table'!BS91*'Staging Table'!$BT$2)+SUM('Staging Table'!BZ91:CW91)-IF(Init!$R$15="No",'Staging Table'!DV91, 0))</f>
        <v>50303.5194061824</v>
      </c>
      <c r="AA89" s="126">
        <f>IF('Staging Table'!C91=1,"",IF(Z89=0, 0, Y89/Z89))</f>
        <v>33.170962435691997</v>
      </c>
      <c r="AB89" s="118">
        <f ca="1">IF('Staging Table'!C91=1,"",(AA89/O89-1)+(RAND()/100000000000000))</f>
        <v>3.7714275196472427E-2</v>
      </c>
      <c r="AC89" s="79">
        <f t="shared" ca="1" si="1"/>
        <v>7</v>
      </c>
      <c r="AF89" s="255"/>
      <c r="AG89" s="255"/>
      <c r="AH89" s="271"/>
      <c r="AI89" s="255"/>
      <c r="AJ89" s="255"/>
    </row>
    <row r="90" spans="2:36">
      <c r="B90" s="3">
        <v>10278</v>
      </c>
      <c r="C90" s="4" t="s">
        <v>93</v>
      </c>
      <c r="D90" s="250">
        <f>IF(Init!$R$9="Yes",'Staging Table'!E92,'Staging Table'!BS92)*Rates_previous!$E$75*100*12</f>
        <v>12193456.838399999</v>
      </c>
      <c r="E90" s="250">
        <f>IF(Init!$R$9="Yes",'Staging Table'!F92,'Staging Table'!BT92)*Rates_previous!$E$76*100*12</f>
        <v>-1719542.7960000001</v>
      </c>
      <c r="F90" s="251">
        <f>IF(Init!$R$9="Yes",SUMPRODUCT('Staging Table'!L92:AI92,LS_Demand_Rates_Restatement!$C$4:$Z$4)-IF(Init!$R$15="No",('Staging Table'!BH92*Rates_previous!$H$34), 0),SUMPRODUCT('Staging Table'!BZ92:CW92,LS_Demand_Rates_Restatement!$C$4:$Z$4)-IF(Init!$R$15="No", 'Staging Table'!DV92*Rates_previous!$H$34, 0))</f>
        <v>0</v>
      </c>
      <c r="G90" s="251">
        <f>IF(Init!$R$9="Yes",SUMPRODUCT('Staging Table'!AJ92:AU92,LS_Demand_Rates_Restatement!$C$10:$N$10),SUMPRODUCT(LS_Demand_Rates_Restatement!$C$10:$N$10,'Staging Table'!CX92:DI92))*1000</f>
        <v>0</v>
      </c>
      <c r="H90" s="252">
        <f>IF(Init!$R$9="Yes",'Staging Table'!BR92,'Staging Table'!EF92)*IF(Init!$R$3=2018,Rates_previous!$C$88,Rates_previous!$D$88)</f>
        <v>3.7472553888510447</v>
      </c>
      <c r="I90" s="250">
        <f>IF(Init!$R$9="Yes",IF('Staging Table'!$F$1=2018,(SUM('Staging Table'!BD92:BG92)*Rates_previous!$C$87),(SUM('Staging Table'!BD92:BG92)*Rates_previous!$D$87)),IF('Staging Table'!$F$1=2018,(SUM('Staging Table'!DR92:DU92)*Rates_previous!$C$87),(SUM('Staging Table'!DR92:DU92)*Rates_previous!$D$87)))</f>
        <v>66998.402813286259</v>
      </c>
      <c r="J90" s="252">
        <f>IF(Init!$R$9="Yes",IF('Staging Table'!D92=1,'Staging Table'!H92*-1,'Staging Table'!H92*SUM(D90:I90)*(-1)),IF('Staging Table'!D92=1,'Staging Table'!BV92*-1,'Staging Table'!BV92*SUM(D90:I90)*(-1)))</f>
        <v>-737864.13347280712</v>
      </c>
      <c r="K90" s="250">
        <f>IF(Init!$R$9="Yes",'Staging Table'!K92,'Staging Table'!BY92)*(-1)*Rates_previous!$H$32</f>
        <v>0</v>
      </c>
      <c r="L90" s="250">
        <f>IF(Init!$R$12="No",0,'Staging Table'!$BI92*-1)</f>
        <v>-324752.59868186503</v>
      </c>
      <c r="M90" s="250" t="str">
        <f>IF('Staging Table'!C92=1,"",SUM(D90:L90))</f>
        <v/>
      </c>
      <c r="N90" s="250" t="str">
        <f>IF('Staging Table'!C92=1,"",IF(Init!$R$9="Yes",(RT1SC!$C$3*'Staging Table'!E92*'Staging Table'!$F$2)+SUM('Staging Table'!L92:AI92)-IF(Init!$R$15="No",'Staging Table'!BH92, 0),Z90))</f>
        <v/>
      </c>
      <c r="O90" s="126" t="str">
        <f>IF('Staging Table'!C92=1,"",IF(N90=0, 0, M90/N90))</f>
        <v/>
      </c>
      <c r="P90" s="250">
        <f>'Staging Table'!BS92*Rates_current!$E$74*100*12</f>
        <v>12062518.43544</v>
      </c>
      <c r="Q90" s="250">
        <f>'Staging Table'!BT92*Rates_current!$E$75*100*12</f>
        <v>-1220319.0252</v>
      </c>
      <c r="R90" s="251">
        <f>SUMPRODUCT('Staging Table'!BZ92:CW92, LS_Demand_Rates_Restatement!$C$5:$Z$5)-IF(Init!$R$15="No",('Staging Table'!DV92*Rates_current!$H$34), 0)</f>
        <v>0</v>
      </c>
      <c r="S90" s="251">
        <f>SUMPRODUCT('Staging Table'!CX92:DI92, LS_Demand_Rates_Restatement!$C$11:$N$11)*1000</f>
        <v>0</v>
      </c>
      <c r="T90" s="252">
        <f>'Staging Table'!EF92*IF(Init!$R$18="Yes",IF(Init!$R$6=2020,Rates_current!$C$88,Rates_current!$D$88),Rates_current!$H$33)</f>
        <v>29.024182185806566</v>
      </c>
      <c r="U90" s="252">
        <f>IF(Init!$R$18="Yes",(SUM('Staging Table'!DL92:DU92)*IF('Staging Table'!$BT$1=2020, Rates_current!$C$87, Rates_current!$D$87)),0)</f>
        <v>210571.51518241563</v>
      </c>
      <c r="V90" s="252">
        <f>IF('Staging Table'!D92=1, 'Staging Table'!BV92*-1,SUM(P90:U90)*'Staging Table'!BV92*-1)</f>
        <v>-718431.99672429904</v>
      </c>
      <c r="W90" s="250">
        <f>'Staging Table'!BY92*Rates_current!$H$32*-1</f>
        <v>0</v>
      </c>
      <c r="X90" s="250">
        <f>IF(Init!$R$12="No",0,'Staging Table'!$DW92*-1)</f>
        <v>0</v>
      </c>
      <c r="Y90" s="250" t="str">
        <f>IF('Staging Table'!C92=1,"",SUM(P90:X90))</f>
        <v/>
      </c>
      <c r="Z90" s="250" t="str">
        <f>IF('Staging Table'!C92=1,"",(RT1SC!$C$4*'Staging Table'!BS92*'Staging Table'!$BT$2)+SUM('Staging Table'!BZ92:CW92)-IF(Init!$R$15="No",'Staging Table'!DV92, 0))</f>
        <v/>
      </c>
      <c r="AA90" s="126" t="str">
        <f>IF('Staging Table'!C92=1,"",IF(Z90=0, 0, Y90/Z90))</f>
        <v/>
      </c>
      <c r="AB90" s="118" t="str">
        <f ca="1">IF('Staging Table'!C92=1,"",(AA90/O90-1)+(RAND()/100000000000000))</f>
        <v/>
      </c>
      <c r="AC90" s="79" t="str">
        <f t="shared" ca="1" si="1"/>
        <v/>
      </c>
      <c r="AF90" s="255"/>
      <c r="AG90" s="255"/>
      <c r="AH90" s="271"/>
      <c r="AI90" s="255"/>
      <c r="AJ90" s="255"/>
    </row>
    <row r="91" spans="2:36">
      <c r="B91" s="3">
        <v>10279</v>
      </c>
      <c r="C91" s="4" t="s">
        <v>94</v>
      </c>
      <c r="D91" s="250">
        <f>IF(Init!$R$9="Yes",'Staging Table'!E93,'Staging Table'!BS93)*Rates_previous!$E$75*100*12</f>
        <v>23377756.080960002</v>
      </c>
      <c r="E91" s="250">
        <f>IF(Init!$R$9="Yes",'Staging Table'!F93,'Staging Table'!BT93)*Rates_previous!$E$76*100*12</f>
        <v>-3296772.4073999999</v>
      </c>
      <c r="F91" s="251">
        <f>IF(Init!$R$9="Yes",SUMPRODUCT('Staging Table'!L93:AI93,LS_Demand_Rates_Restatement!$C$4:$Z$4)-IF(Init!$R$15="No",('Staging Table'!BH93*Rates_previous!$H$34), 0),SUMPRODUCT('Staging Table'!BZ93:CW93,LS_Demand_Rates_Restatement!$C$4:$Z$4)-IF(Init!$R$15="No", 'Staging Table'!DV93*Rates_previous!$H$34, 0))</f>
        <v>161468.73056560336</v>
      </c>
      <c r="G91" s="251">
        <f>IF(Init!$R$9="Yes",SUMPRODUCT('Staging Table'!AJ93:AU93,LS_Demand_Rates_Restatement!$C$10:$N$10),SUMPRODUCT(LS_Demand_Rates_Restatement!$C$10:$N$10,'Staging Table'!CX93:DI93))*1000</f>
        <v>0</v>
      </c>
      <c r="H91" s="252">
        <f>IF(Init!$R$9="Yes",'Staging Table'!BR93,'Staging Table'!EF93)*IF(Init!$R$3=2018,Rates_previous!$C$88,Rates_previous!$D$88)</f>
        <v>0</v>
      </c>
      <c r="I91" s="250">
        <f>IF(Init!$R$9="Yes",IF('Staging Table'!$F$1=2018,(SUM('Staging Table'!BD93:BG93)*Rates_previous!$C$87),(SUM('Staging Table'!BD93:BG93)*Rates_previous!$D$87)),IF('Staging Table'!$F$1=2018,(SUM('Staging Table'!DR93:DU93)*Rates_previous!$C$87),(SUM('Staging Table'!DR93:DU93)*Rates_previous!$D$87)))</f>
        <v>128451.86886218833</v>
      </c>
      <c r="J91" s="252">
        <f>IF(Init!$R$9="Yes",IF('Staging Table'!D93=1,'Staging Table'!H93*-1,'Staging Table'!H93*SUM(D91:I91)*(-1)),IF('Staging Table'!D93=1,'Staging Table'!BV93*-1,'Staging Table'!BV93*SUM(D91:I91)*(-1)))</f>
        <v>0</v>
      </c>
      <c r="K91" s="250">
        <f>IF(Init!$R$9="Yes",'Staging Table'!K93,'Staging Table'!BY93)*(-1)*Rates_previous!$H$32</f>
        <v>0</v>
      </c>
      <c r="L91" s="250">
        <f>IF(Init!$R$12="No",0,'Staging Table'!$BI93*-1)</f>
        <v>-533169.08164215623</v>
      </c>
      <c r="M91" s="250">
        <f>IF('Staging Table'!C93=1,"",SUM(D91:L91))</f>
        <v>19837735.19134564</v>
      </c>
      <c r="N91" s="250">
        <f>IF('Staging Table'!C93=1,"",IF(Init!$R$9="Yes",(RT1SC!$C$3*'Staging Table'!E93*'Staging Table'!$F$2)+SUM('Staging Table'!L93:AI93)-IF(Init!$R$15="No",'Staging Table'!BH93, 0),Z91))</f>
        <v>558231</v>
      </c>
      <c r="O91" s="126">
        <f>IF('Staging Table'!C93=1,"",IF(N91=0, 0, M91/N91))</f>
        <v>35.53678529380425</v>
      </c>
      <c r="P91" s="250">
        <f>'Staging Table'!BS93*Rates_current!$E$74*100*12</f>
        <v>21796381.875599999</v>
      </c>
      <c r="Q91" s="250">
        <f>'Staging Table'!BT93*Rates_current!$E$75*100*12</f>
        <v>-2205056.898</v>
      </c>
      <c r="R91" s="251">
        <f>SUMPRODUCT('Staging Table'!BZ93:CW93, LS_Demand_Rates_Restatement!$C$5:$Z$5)-IF(Init!$R$15="No",('Staging Table'!DV93*Rates_current!$H$34), 0)</f>
        <v>177649.80176056875</v>
      </c>
      <c r="S91" s="251">
        <f>SUMPRODUCT('Staging Table'!CX93:DI93, LS_Demand_Rates_Restatement!$C$11:$N$11)*1000</f>
        <v>0</v>
      </c>
      <c r="T91" s="252">
        <f>'Staging Table'!EF93*IF(Init!$R$18="Yes",IF(Init!$R$6=2020,Rates_current!$C$88,Rates_current!$D$88),Rates_current!$H$33)</f>
        <v>0</v>
      </c>
      <c r="U91" s="252">
        <f>IF(Init!$R$18="Yes",(SUM('Staging Table'!DL93:DU93)*IF('Staging Table'!$BT$1=2020, Rates_current!$C$87, Rates_current!$D$87)),0)</f>
        <v>380492.44704613107</v>
      </c>
      <c r="V91" s="252">
        <f>IF('Staging Table'!D93=1, 'Staging Table'!BV93*-1,SUM(P91:U91)*'Staging Table'!BV93*-1)</f>
        <v>0</v>
      </c>
      <c r="W91" s="250">
        <f>'Staging Table'!BY93*Rates_current!$H$32*-1</f>
        <v>0</v>
      </c>
      <c r="X91" s="250">
        <f>IF(Init!$R$12="No",0,'Staging Table'!$DW93*-1)</f>
        <v>0</v>
      </c>
      <c r="Y91" s="250">
        <f>IF('Staging Table'!C93=1,"",SUM(P91:X91))</f>
        <v>20149467.226406701</v>
      </c>
      <c r="Z91" s="250">
        <f>IF('Staging Table'!C93=1,"",(RT1SC!$C$4*'Staging Table'!BS93*'Staging Table'!$BT$2)+SUM('Staging Table'!BZ93:CW93)-IF(Init!$R$15="No",'Staging Table'!DV93, 0))</f>
        <v>565882.848</v>
      </c>
      <c r="AA91" s="126">
        <f>IF('Staging Table'!C93=1,"",IF(Z91=0, 0, Y91/Z91))</f>
        <v>35.607135465619734</v>
      </c>
      <c r="AB91" s="118">
        <f ca="1">IF('Staging Table'!C93=1,"",(AA91/O91-1)+(RAND()/100000000000000))</f>
        <v>1.9796436631517164E-3</v>
      </c>
      <c r="AC91" s="79">
        <f t="shared" ca="1" si="1"/>
        <v>85</v>
      </c>
      <c r="AF91" s="255"/>
      <c r="AG91" s="255"/>
      <c r="AH91" s="271"/>
      <c r="AI91" s="255"/>
      <c r="AJ91" s="255"/>
    </row>
    <row r="92" spans="2:36">
      <c r="B92" s="3">
        <v>10284</v>
      </c>
      <c r="C92" s="4" t="s">
        <v>95</v>
      </c>
      <c r="D92" s="250">
        <f>IF(Init!$R$9="Yes",'Staging Table'!E94,'Staging Table'!BS94)*Rates_previous!$E$75*100*12</f>
        <v>3587210.0352000003</v>
      </c>
      <c r="E92" s="250">
        <f>IF(Init!$R$9="Yes",'Staging Table'!F94,'Staging Table'!BT94)*Rates_previous!$E$76*100*12</f>
        <v>-505874.68799999997</v>
      </c>
      <c r="F92" s="251">
        <f>IF(Init!$R$9="Yes",SUMPRODUCT('Staging Table'!L94:AI94,LS_Demand_Rates_Restatement!$C$4:$Z$4)-IF(Init!$R$15="No",('Staging Table'!BH94*Rates_previous!$H$34), 0),SUMPRODUCT('Staging Table'!BZ94:CW94,LS_Demand_Rates_Restatement!$C$4:$Z$4)-IF(Init!$R$15="No", 'Staging Table'!DV94*Rates_previous!$H$34, 0))</f>
        <v>73654.160000000062</v>
      </c>
      <c r="G92" s="251">
        <f>IF(Init!$R$9="Yes",SUMPRODUCT('Staging Table'!AJ94:AU94,LS_Demand_Rates_Restatement!$C$10:$N$10),SUMPRODUCT(LS_Demand_Rates_Restatement!$C$10:$N$10,'Staging Table'!CX94:DI94))*1000</f>
        <v>166257.91999999998</v>
      </c>
      <c r="H92" s="252">
        <f>IF(Init!$R$9="Yes",'Staging Table'!BR94,'Staging Table'!EF94)*IF(Init!$R$3=2018,Rates_previous!$C$88,Rates_previous!$D$88)</f>
        <v>4088.7798488062776</v>
      </c>
      <c r="I92" s="250">
        <f>IF(Init!$R$9="Yes",IF('Staging Table'!$F$1=2018,(SUM('Staging Table'!BD94:BG94)*Rates_previous!$C$87),(SUM('Staging Table'!BD94:BG94)*Rates_previous!$D$87)),IF('Staging Table'!$F$1=2018,(SUM('Staging Table'!DR94:DU94)*Rates_previous!$C$87),(SUM('Staging Table'!DR94:DU94)*Rates_previous!$D$87)))</f>
        <v>19710.353355851868</v>
      </c>
      <c r="J92" s="252">
        <f>IF(Init!$R$9="Yes",IF('Staging Table'!D94=1,'Staging Table'!H94*-1,'Staging Table'!H94*SUM(D92:I92)*(-1)),IF('Staging Table'!D94=1,'Staging Table'!BV94*-1,'Staging Table'!BV94*SUM(D92:I92)*(-1)))</f>
        <v>-183977.5608222562</v>
      </c>
      <c r="K92" s="250">
        <f>IF(Init!$R$9="Yes",'Staging Table'!K94,'Staging Table'!BY94)*(-1)*Rates_previous!$H$32</f>
        <v>0</v>
      </c>
      <c r="L92" s="250">
        <f>IF(Init!$R$12="No",0,'Staging Table'!$BI94*-1)</f>
        <v>-55851.607436126746</v>
      </c>
      <c r="M92" s="250">
        <f>IF('Staging Table'!C94=1,"",SUM(D92:L92))</f>
        <v>3105217.3921462754</v>
      </c>
      <c r="N92" s="250">
        <f>IF('Staging Table'!C94=1,"",IF(Init!$R$9="Yes",(RT1SC!$C$3*'Staging Table'!E94*'Staging Table'!$F$2)+SUM('Staging Table'!L94:AI94)-IF(Init!$R$15="No",'Staging Table'!BH94, 0),Z92))</f>
        <v>85970.286151679989</v>
      </c>
      <c r="O92" s="126">
        <f>IF('Staging Table'!C94=1,"",IF(N92=0, 0, M92/N92))</f>
        <v>36.119658676808939</v>
      </c>
      <c r="P92" s="250">
        <f>'Staging Table'!BS94*Rates_current!$E$74*100*12</f>
        <v>3324477.0436800001</v>
      </c>
      <c r="Q92" s="250">
        <f>'Staging Table'!BT94*Rates_current!$E$75*100*12</f>
        <v>-336324.67440000002</v>
      </c>
      <c r="R92" s="251">
        <f>SUMPRODUCT('Staging Table'!BZ94:CW94, LS_Demand_Rates_Restatement!$C$5:$Z$5)-IF(Init!$R$15="No",('Staging Table'!DV94*Rates_current!$H$34), 0)</f>
        <v>66780.740000000005</v>
      </c>
      <c r="S92" s="251">
        <f>SUMPRODUCT('Staging Table'!CX94:DI94, LS_Demand_Rates_Restatement!$C$11:$N$11)*1000</f>
        <v>185351.87</v>
      </c>
      <c r="T92" s="252">
        <f>'Staging Table'!EF94*IF(Init!$R$18="Yes",IF(Init!$R$6=2020,Rates_current!$C$88,Rates_current!$D$88),Rates_current!$H$33)</f>
        <v>-5411.498681597951</v>
      </c>
      <c r="U92" s="252">
        <f>IF(Init!$R$18="Yes",(SUM('Staging Table'!DL94:DU94)*IF('Staging Table'!$BT$1=2020, Rates_current!$C$87, Rates_current!$D$87)),0)</f>
        <v>58034.329400079405</v>
      </c>
      <c r="V92" s="252">
        <f>IF('Staging Table'!D94=1, 'Staging Table'!BV94*-1,SUM(P92:U92)*'Staging Table'!BV94*-1)</f>
        <v>-164645.39049992411</v>
      </c>
      <c r="W92" s="250">
        <f>'Staging Table'!BY94*Rates_current!$H$32*-1</f>
        <v>0</v>
      </c>
      <c r="X92" s="250">
        <f>IF(Init!$R$12="No",0,'Staging Table'!$DW94*-1)</f>
        <v>0</v>
      </c>
      <c r="Y92" s="250">
        <f>IF('Staging Table'!C94=1,"",SUM(P92:X92))</f>
        <v>3128262.4194985577</v>
      </c>
      <c r="Z92" s="250">
        <f>IF('Staging Table'!C94=1,"",(RT1SC!$C$4*'Staging Table'!BS94*'Staging Table'!$BT$2)+SUM('Staging Table'!BZ94:CW94)-IF(Init!$R$15="No",'Staging Table'!DV94, 0))</f>
        <v>85970.594795110403</v>
      </c>
      <c r="AA92" s="126">
        <f>IF('Staging Table'!C94=1,"",IF(Z92=0, 0, Y92/Z92))</f>
        <v>36.387586092128309</v>
      </c>
      <c r="AB92" s="118">
        <f ca="1">IF('Staging Table'!C94=1,"",(AA92/O92-1)+(RAND()/100000000000000))</f>
        <v>7.4177726239568094E-3</v>
      </c>
      <c r="AC92" s="79">
        <f t="shared" ca="1" si="1"/>
        <v>74</v>
      </c>
      <c r="AF92" s="255"/>
      <c r="AG92" s="255"/>
      <c r="AH92" s="271"/>
      <c r="AI92" s="255"/>
      <c r="AJ92" s="255"/>
    </row>
    <row r="93" spans="2:36">
      <c r="B93" s="3">
        <v>10285</v>
      </c>
      <c r="C93" s="4" t="s">
        <v>96</v>
      </c>
      <c r="D93" s="250">
        <f>IF(Init!$R$9="Yes",'Staging Table'!E95,'Staging Table'!BS95)*Rates_previous!$E$75*100*12</f>
        <v>2356654.3199999998</v>
      </c>
      <c r="E93" s="250">
        <f>IF(Init!$R$9="Yes",'Staging Table'!F95,'Staging Table'!BT95)*Rates_previous!$E$76*100*12</f>
        <v>-332339.55000000005</v>
      </c>
      <c r="F93" s="251">
        <f>IF(Init!$R$9="Yes",SUMPRODUCT('Staging Table'!L95:AI95,LS_Demand_Rates_Restatement!$C$4:$Z$4)-IF(Init!$R$15="No",('Staging Table'!BH95*Rates_previous!$H$34), 0),SUMPRODUCT('Staging Table'!BZ95:CW95,LS_Demand_Rates_Restatement!$C$4:$Z$4)-IF(Init!$R$15="No", 'Staging Table'!DV95*Rates_previous!$H$34, 0))</f>
        <v>0</v>
      </c>
      <c r="G93" s="251">
        <f>IF(Init!$R$9="Yes",SUMPRODUCT('Staging Table'!AJ95:AU95,LS_Demand_Rates_Restatement!$C$10:$N$10),SUMPRODUCT(LS_Demand_Rates_Restatement!$C$10:$N$10,'Staging Table'!CX95:DI95))*1000</f>
        <v>0</v>
      </c>
      <c r="H93" s="252">
        <f>IF(Init!$R$9="Yes",'Staging Table'!BR95,'Staging Table'!EF95)*IF(Init!$R$3=2018,Rates_previous!$C$88,Rates_previous!$D$88)</f>
        <v>0</v>
      </c>
      <c r="I93" s="250">
        <f>IF(Init!$R$9="Yes",IF('Staging Table'!$F$1=2018,(SUM('Staging Table'!BD95:BG95)*Rates_previous!$C$87),(SUM('Staging Table'!BD95:BG95)*Rates_previous!$D$87)),IF('Staging Table'!$F$1=2018,(SUM('Staging Table'!DR95:DU95)*Rates_previous!$C$87),(SUM('Staging Table'!DR95:DU95)*Rates_previous!$D$87)))</f>
        <v>12948.918220286207</v>
      </c>
      <c r="J93" s="252">
        <f>IF(Init!$R$9="Yes",IF('Staging Table'!D95=1,'Staging Table'!H95*-1,'Staging Table'!H95*SUM(D93:I93)*(-1)),IF('Staging Table'!D95=1,'Staging Table'!BV95*-1,'Staging Table'!BV95*SUM(D93:I93)*(-1)))</f>
        <v>-147181.50397636808</v>
      </c>
      <c r="K93" s="250">
        <f>IF(Init!$R$9="Yes",'Staging Table'!K95,'Staging Table'!BY95)*(-1)*Rates_previous!$H$32</f>
        <v>0</v>
      </c>
      <c r="L93" s="250">
        <f>IF(Init!$R$12="No",0,'Staging Table'!$BI95*-1)</f>
        <v>-69748.428674868075</v>
      </c>
      <c r="M93" s="250" t="str">
        <f>IF('Staging Table'!C95=1,"",SUM(D93:L93))</f>
        <v/>
      </c>
      <c r="N93" s="250" t="str">
        <f>IF('Staging Table'!C95=1,"",IF(Init!$R$9="Yes",(RT1SC!$C$3*'Staging Table'!E95*'Staging Table'!$F$2)+SUM('Staging Table'!L95:AI95)-IF(Init!$R$15="No",'Staging Table'!BH95, 0),Z93))</f>
        <v/>
      </c>
      <c r="O93" s="126" t="str">
        <f>IF('Staging Table'!C95=1,"",IF(N93=0, 0, M93/N93))</f>
        <v/>
      </c>
      <c r="P93" s="250">
        <f>'Staging Table'!BS95*Rates_current!$E$74*100*12</f>
        <v>2197225.4981999998</v>
      </c>
      <c r="Q93" s="250">
        <f>'Staging Table'!BT95*Rates_current!$E$75*100*12</f>
        <v>-222284.93099999998</v>
      </c>
      <c r="R93" s="251">
        <f>SUMPRODUCT('Staging Table'!BZ95:CW95, LS_Demand_Rates_Restatement!$C$5:$Z$5)-IF(Init!$R$15="No",('Staging Table'!DV95*Rates_current!$H$34), 0)</f>
        <v>0</v>
      </c>
      <c r="S93" s="251">
        <f>SUMPRODUCT('Staging Table'!CX95:DI95, LS_Demand_Rates_Restatement!$C$11:$N$11)*1000</f>
        <v>0</v>
      </c>
      <c r="T93" s="252">
        <f>'Staging Table'!EF95*IF(Init!$R$18="Yes",IF(Init!$R$6=2020,Rates_current!$C$88,Rates_current!$D$88),Rates_current!$H$33)</f>
        <v>0</v>
      </c>
      <c r="U93" s="252">
        <f>IF(Init!$R$18="Yes",(SUM('Staging Table'!DL95:DU95)*IF('Staging Table'!$BT$1=2020, Rates_current!$C$87, Rates_current!$D$87)),0)</f>
        <v>38356.260745191175</v>
      </c>
      <c r="V93" s="252">
        <f>IF('Staging Table'!D95=1, 'Staging Table'!BV95*-1,SUM(P93:U93)*'Staging Table'!BV95*-1)</f>
        <v>-140275.04717930162</v>
      </c>
      <c r="W93" s="250">
        <f>'Staging Table'!BY95*Rates_current!$H$32*-1</f>
        <v>0</v>
      </c>
      <c r="X93" s="250">
        <f>IF(Init!$R$12="No",0,'Staging Table'!$DW95*-1)</f>
        <v>0</v>
      </c>
      <c r="Y93" s="250" t="str">
        <f>IF('Staging Table'!C95=1,"",SUM(P93:X93))</f>
        <v/>
      </c>
      <c r="Z93" s="250" t="str">
        <f>IF('Staging Table'!C95=1,"",(RT1SC!$C$4*'Staging Table'!BS95*'Staging Table'!$BT$2)+SUM('Staging Table'!BZ95:CW95)-IF(Init!$R$15="No",'Staging Table'!DV95, 0))</f>
        <v/>
      </c>
      <c r="AA93" s="126" t="str">
        <f>IF('Staging Table'!C95=1,"",IF(Z93=0, 0, Y93/Z93))</f>
        <v/>
      </c>
      <c r="AB93" s="118" t="str">
        <f ca="1">IF('Staging Table'!C95=1,"",(AA93/O93-1)+(RAND()/100000000000000))</f>
        <v/>
      </c>
      <c r="AC93" s="79" t="str">
        <f t="shared" ca="1" si="1"/>
        <v/>
      </c>
      <c r="AF93" s="255"/>
      <c r="AG93" s="255"/>
      <c r="AH93" s="271"/>
      <c r="AI93" s="255"/>
      <c r="AJ93" s="255"/>
    </row>
    <row r="94" spans="2:36">
      <c r="B94" s="3">
        <v>10286</v>
      </c>
      <c r="C94" s="4" t="s">
        <v>97</v>
      </c>
      <c r="D94" s="250">
        <f>IF(Init!$R$9="Yes",'Staging Table'!E96,'Staging Table'!BS96)*Rates_previous!$E$75*100*12</f>
        <v>16572247.951680001</v>
      </c>
      <c r="E94" s="250">
        <f>IF(Init!$R$9="Yes",'Staging Table'!F96,'Staging Table'!BT96)*Rates_previous!$E$76*100*12</f>
        <v>-2337047.6442</v>
      </c>
      <c r="F94" s="251">
        <f>IF(Init!$R$9="Yes",SUMPRODUCT('Staging Table'!L96:AI96,LS_Demand_Rates_Restatement!$C$4:$Z$4)-IF(Init!$R$15="No",('Staging Table'!BH96*Rates_previous!$H$34), 0),SUMPRODUCT('Staging Table'!BZ96:CW96,LS_Demand_Rates_Restatement!$C$4:$Z$4)-IF(Init!$R$15="No", 'Staging Table'!DV96*Rates_previous!$H$34, 0))</f>
        <v>360204.13999999972</v>
      </c>
      <c r="G94" s="251">
        <f>IF(Init!$R$9="Yes",SUMPRODUCT('Staging Table'!AJ96:AU96,LS_Demand_Rates_Restatement!$C$10:$N$10),SUMPRODUCT(LS_Demand_Rates_Restatement!$C$10:$N$10,'Staging Table'!CX96:DI96))*1000</f>
        <v>0</v>
      </c>
      <c r="H94" s="252">
        <f>IF(Init!$R$9="Yes",'Staging Table'!BR96,'Staging Table'!EF96)*IF(Init!$R$3=2018,Rates_previous!$C$88,Rates_previous!$D$88)</f>
        <v>0</v>
      </c>
      <c r="I94" s="250">
        <f>IF(Init!$R$9="Yes",IF('Staging Table'!$F$1=2018,(SUM('Staging Table'!BD96:BG96)*Rates_previous!$C$87),(SUM('Staging Table'!BD96:BG96)*Rates_previous!$D$87)),IF('Staging Table'!$F$1=2018,(SUM('Staging Table'!DR96:DU96)*Rates_previous!$C$87),(SUM('Staging Table'!DR96:DU96)*Rates_previous!$D$87)))</f>
        <v>91058.192808103442</v>
      </c>
      <c r="J94" s="252">
        <f>IF(Init!$R$9="Yes",IF('Staging Table'!D96=1,'Staging Table'!H96*-1,'Staging Table'!H96*SUM(D94:I94)*(-1)),IF('Staging Table'!D96=1,'Staging Table'!BV96*-1,'Staging Table'!BV96*SUM(D94:I94)*(-1)))</f>
        <v>0</v>
      </c>
      <c r="K94" s="250">
        <f>IF(Init!$R$9="Yes",'Staging Table'!K96,'Staging Table'!BY96)*(-1)*Rates_previous!$H$32</f>
        <v>-651599.85576000006</v>
      </c>
      <c r="L94" s="250">
        <f>IF(Init!$R$12="No",0,'Staging Table'!$BI96*-1)</f>
        <v>-560468.65613070945</v>
      </c>
      <c r="M94" s="250">
        <f>IF('Staging Table'!C96=1,"",SUM(D94:L94))</f>
        <v>13474394.128397394</v>
      </c>
      <c r="N94" s="250">
        <f>IF('Staging Table'!C96=1,"",IF(Init!$R$9="Yes",(RT1SC!$C$3*'Staging Table'!E96*'Staging Table'!$F$2)+SUM('Staging Table'!L96:AI96)-IF(Init!$R$15="No",'Staging Table'!BH96, 0),Z94))</f>
        <v>395918.464439512</v>
      </c>
      <c r="O94" s="126">
        <f>IF('Staging Table'!C96=1,"",IF(N94=0, 0, M94/N94))</f>
        <v>34.033255174073844</v>
      </c>
      <c r="P94" s="250">
        <f>'Staging Table'!BS96*Rates_current!$E$74*100*12</f>
        <v>15451165.39632</v>
      </c>
      <c r="Q94" s="250">
        <f>'Staging Table'!BT96*Rates_current!$E$75*100*12</f>
        <v>-1563135.5256000001</v>
      </c>
      <c r="R94" s="251">
        <f>SUMPRODUCT('Staging Table'!BZ96:CW96, LS_Demand_Rates_Restatement!$C$5:$Z$5)-IF(Init!$R$15="No",('Staging Table'!DV96*Rates_current!$H$34), 0)</f>
        <v>410137.0300000002</v>
      </c>
      <c r="S94" s="251">
        <f>SUMPRODUCT('Staging Table'!CX96:DI96, LS_Demand_Rates_Restatement!$C$11:$N$11)*1000</f>
        <v>0</v>
      </c>
      <c r="T94" s="252">
        <f>'Staging Table'!EF96*IF(Init!$R$18="Yes",IF(Init!$R$6=2020,Rates_current!$C$88,Rates_current!$D$88),Rates_current!$H$33)</f>
        <v>0</v>
      </c>
      <c r="U94" s="252">
        <f>IF(Init!$R$18="Yes",(SUM('Staging Table'!DL96:DU96)*IF('Staging Table'!$BT$1=2020, Rates_current!$C$87, Rates_current!$D$87)),0)</f>
        <v>269726.03824406362</v>
      </c>
      <c r="V94" s="252">
        <f>IF('Staging Table'!D96=1, 'Staging Table'!BV96*-1,SUM(P94:U94)*'Staging Table'!BV96*-1)</f>
        <v>0</v>
      </c>
      <c r="W94" s="250">
        <f>'Staging Table'!BY96*Rates_current!$H$32*-1</f>
        <v>-615584.55761000002</v>
      </c>
      <c r="X94" s="250">
        <f>IF(Init!$R$12="No",0,'Staging Table'!$DW96*-1)</f>
        <v>0</v>
      </c>
      <c r="Y94" s="250">
        <f>IF('Staging Table'!C96=1,"",SUM(P94:X94))</f>
        <v>13952308.381354064</v>
      </c>
      <c r="Z94" s="250">
        <f>IF('Staging Table'!C96=1,"",(RT1SC!$C$4*'Staging Table'!BS96*'Staging Table'!$BT$2)+SUM('Staging Table'!BZ96:CW96)-IF(Init!$R$15="No",'Staging Table'!DV96, 0))</f>
        <v>401148.58112808963</v>
      </c>
      <c r="AA94" s="126">
        <f>IF('Staging Table'!C96=1,"",IF(Z94=0, 0, Y94/Z94))</f>
        <v>34.780899242166313</v>
      </c>
      <c r="AB94" s="118">
        <f ca="1">IF('Staging Table'!C96=1,"",(AA94/O94-1)+(RAND()/100000000000000))</f>
        <v>2.1968044616025376E-2</v>
      </c>
      <c r="AC94" s="79">
        <f t="shared" ca="1" si="1"/>
        <v>47</v>
      </c>
      <c r="AF94" s="255"/>
      <c r="AG94" s="255"/>
      <c r="AH94" s="271"/>
      <c r="AI94" s="255"/>
      <c r="AJ94" s="255"/>
    </row>
    <row r="95" spans="2:36">
      <c r="B95" s="3">
        <v>10288</v>
      </c>
      <c r="C95" s="4" t="s">
        <v>98</v>
      </c>
      <c r="D95" s="250">
        <f>IF(Init!$R$9="Yes",'Staging Table'!E97,'Staging Table'!BS97)*Rates_previous!$E$75*100*12</f>
        <v>8928025.6579200011</v>
      </c>
      <c r="E95" s="250">
        <f>IF(Init!$R$9="Yes",'Staging Table'!F97,'Staging Table'!BT97)*Rates_previous!$E$76*100*12</f>
        <v>-1259045.9298</v>
      </c>
      <c r="F95" s="251">
        <f>IF(Init!$R$9="Yes",SUMPRODUCT('Staging Table'!L97:AI97,LS_Demand_Rates_Restatement!$C$4:$Z$4)-IF(Init!$R$15="No",('Staging Table'!BH97*Rates_previous!$H$34), 0),SUMPRODUCT('Staging Table'!BZ97:CW97,LS_Demand_Rates_Restatement!$C$4:$Z$4)-IF(Init!$R$15="No", 'Staging Table'!DV97*Rates_previous!$H$34, 0))</f>
        <v>0</v>
      </c>
      <c r="G95" s="251">
        <f>IF(Init!$R$9="Yes",SUMPRODUCT('Staging Table'!AJ97:AU97,LS_Demand_Rates_Restatement!$C$10:$N$10),SUMPRODUCT(LS_Demand_Rates_Restatement!$C$10:$N$10,'Staging Table'!CX97:DI97))*1000</f>
        <v>0</v>
      </c>
      <c r="H95" s="252">
        <f>IF(Init!$R$9="Yes",'Staging Table'!BR97,'Staging Table'!EF97)*IF(Init!$R$3=2018,Rates_previous!$C$88,Rates_previous!$D$88)</f>
        <v>0</v>
      </c>
      <c r="I95" s="250">
        <f>IF(Init!$R$9="Yes",IF('Staging Table'!$F$1=2018,(SUM('Staging Table'!BD97:BG97)*Rates_previous!$C$87),(SUM('Staging Table'!BD97:BG97)*Rates_previous!$D$87)),IF('Staging Table'!$F$1=2018,(SUM('Staging Table'!DR97:DU97)*Rates_previous!$C$87),(SUM('Staging Table'!DR97:DU97)*Rates_previous!$D$87)))</f>
        <v>49056.101750647511</v>
      </c>
      <c r="J95" s="252">
        <f>IF(Init!$R$9="Yes",IF('Staging Table'!D97=1,'Staging Table'!H97*-1,'Staging Table'!H97*SUM(D95:I95)*(-1)),IF('Staging Table'!D97=1,'Staging Table'!BV97*-1,'Staging Table'!BV97*SUM(D95:I95)*(-1)))</f>
        <v>-432986.44087724132</v>
      </c>
      <c r="K95" s="250">
        <f>IF(Init!$R$9="Yes",'Staging Table'!K97,'Staging Table'!BY97)*(-1)*Rates_previous!$H$32</f>
        <v>0</v>
      </c>
      <c r="L95" s="250">
        <f>IF(Init!$R$12="No",0,'Staging Table'!$BI97*-1)</f>
        <v>-139006.2414335362</v>
      </c>
      <c r="M95" s="250" t="str">
        <f>IF('Staging Table'!C97=1,"",SUM(D95:L95))</f>
        <v/>
      </c>
      <c r="N95" s="250" t="str">
        <f>IF('Staging Table'!C97=1,"",IF(Init!$R$9="Yes",(RT1SC!$C$3*'Staging Table'!E97*'Staging Table'!$F$2)+SUM('Staging Table'!L97:AI97)-IF(Init!$R$15="No",'Staging Table'!BH97, 0),Z95))</f>
        <v/>
      </c>
      <c r="O95" s="126" t="str">
        <f>IF('Staging Table'!C97=1,"",IF(N95=0, 0, M95/N95))</f>
        <v/>
      </c>
      <c r="P95" s="250">
        <f>'Staging Table'!BS97*Rates_current!$E$74*100*12</f>
        <v>8190933.4310400002</v>
      </c>
      <c r="Q95" s="250">
        <f>'Staging Table'!BT97*Rates_current!$E$75*100*12</f>
        <v>-828645.52320000005</v>
      </c>
      <c r="R95" s="251">
        <f>SUMPRODUCT('Staging Table'!BZ97:CW97, LS_Demand_Rates_Restatement!$C$5:$Z$5)-IF(Init!$R$15="No",('Staging Table'!DV97*Rates_current!$H$34), 0)</f>
        <v>0</v>
      </c>
      <c r="S95" s="251">
        <f>SUMPRODUCT('Staging Table'!CX97:DI97, LS_Demand_Rates_Restatement!$C$11:$N$11)*1000</f>
        <v>0</v>
      </c>
      <c r="T95" s="252">
        <f>'Staging Table'!EF97*IF(Init!$R$18="Yes",IF(Init!$R$6=2020,Rates_current!$C$88,Rates_current!$D$88),Rates_current!$H$33)</f>
        <v>38.77563648619369</v>
      </c>
      <c r="U95" s="252">
        <f>IF(Init!$R$18="Yes",(SUM('Staging Table'!DL97:DU97)*IF('Staging Table'!$BT$1=2020, Rates_current!$C$87, Rates_current!$D$87)),0)</f>
        <v>142986.49760111072</v>
      </c>
      <c r="V95" s="252">
        <f>IF('Staging Table'!D97=1, 'Staging Table'!BV97*-1,SUM(P95:U95)*'Staging Table'!BV97*-1)</f>
        <v>-412792.22495926783</v>
      </c>
      <c r="W95" s="250">
        <f>'Staging Table'!BY97*Rates_current!$H$32*-1</f>
        <v>0</v>
      </c>
      <c r="X95" s="250">
        <f>IF(Init!$R$12="No",0,'Staging Table'!$DW97*-1)</f>
        <v>0</v>
      </c>
      <c r="Y95" s="250" t="str">
        <f>IF('Staging Table'!C97=1,"",SUM(P95:X95))</f>
        <v/>
      </c>
      <c r="Z95" s="250" t="str">
        <f>IF('Staging Table'!C97=1,"",(RT1SC!$C$4*'Staging Table'!BS97*'Staging Table'!$BT$2)+SUM('Staging Table'!BZ97:CW97)-IF(Init!$R$15="No",'Staging Table'!DV97, 0))</f>
        <v/>
      </c>
      <c r="AA95" s="126" t="str">
        <f>IF('Staging Table'!C97=1,"",IF(Z95=0, 0, Y95/Z95))</f>
        <v/>
      </c>
      <c r="AB95" s="118" t="str">
        <f ca="1">IF('Staging Table'!C97=1,"",(AA95/O95-1)+(RAND()/100000000000000))</f>
        <v/>
      </c>
      <c r="AC95" s="79" t="str">
        <f t="shared" ca="1" si="1"/>
        <v/>
      </c>
      <c r="AF95" s="255"/>
      <c r="AG95" s="255"/>
      <c r="AH95" s="271"/>
      <c r="AI95" s="255"/>
      <c r="AJ95" s="255"/>
    </row>
    <row r="96" spans="2:36">
      <c r="B96" s="3">
        <v>10291</v>
      </c>
      <c r="C96" s="4" t="s">
        <v>99</v>
      </c>
      <c r="D96" s="250">
        <f>IF(Init!$R$9="Yes",'Staging Table'!E98,'Staging Table'!BS98)*Rates_previous!$E$75*100*12</f>
        <v>28397302.39584</v>
      </c>
      <c r="E96" s="250">
        <f>IF(Init!$R$9="Yes",'Staging Table'!F98,'Staging Table'!BT98)*Rates_previous!$E$76*100*12</f>
        <v>-4004637.6846000003</v>
      </c>
      <c r="F96" s="251">
        <f>IF(Init!$R$9="Yes",SUMPRODUCT('Staging Table'!L98:AI98,LS_Demand_Rates_Restatement!$C$4:$Z$4)-IF(Init!$R$15="No",('Staging Table'!BH98*Rates_previous!$H$34), 0),SUMPRODUCT('Staging Table'!BZ98:CW98,LS_Demand_Rates_Restatement!$C$4:$Z$4)-IF(Init!$R$15="No", 'Staging Table'!DV98*Rates_previous!$H$34, 0))</f>
        <v>364515.76212881581</v>
      </c>
      <c r="G96" s="251">
        <f>IF(Init!$R$9="Yes",SUMPRODUCT('Staging Table'!AJ98:AU98,LS_Demand_Rates_Restatement!$C$10:$N$10),SUMPRODUCT(LS_Demand_Rates_Restatement!$C$10:$N$10,'Staging Table'!CX98:DI98))*1000</f>
        <v>1856822.0699999998</v>
      </c>
      <c r="H96" s="252">
        <f>IF(Init!$R$9="Yes",'Staging Table'!BR98,'Staging Table'!EF98)*IF(Init!$R$3=2018,Rates_previous!$C$88,Rates_previous!$D$88)</f>
        <v>57193.514400000364</v>
      </c>
      <c r="I96" s="250">
        <f>IF(Init!$R$9="Yes",IF('Staging Table'!$F$1=2018,(SUM('Staging Table'!BD98:BG98)*Rates_previous!$C$87),(SUM('Staging Table'!BD98:BG98)*Rates_previous!$D$87)),IF('Staging Table'!$F$1=2018,(SUM('Staging Table'!DR98:DU98)*Rates_previous!$C$87),(SUM('Staging Table'!DR98:DU98)*Rates_previous!$D$87)))</f>
        <v>156032.36472987253</v>
      </c>
      <c r="J96" s="252">
        <f>IF(Init!$R$9="Yes",IF('Staging Table'!D98=1,'Staging Table'!H98*-1,'Staging Table'!H98*SUM(D96:I96)*(-1)),IF('Staging Table'!D98=1,'Staging Table'!BV98*-1,'Staging Table'!BV98*SUM(D96:I96)*(-1)))</f>
        <v>-1341361.4211249347</v>
      </c>
      <c r="K96" s="250">
        <f>IF(Init!$R$9="Yes",'Staging Table'!K98,'Staging Table'!BY98)*(-1)*Rates_previous!$H$32</f>
        <v>-426424.66775999992</v>
      </c>
      <c r="L96" s="250">
        <f>IF(Init!$R$12="No",0,'Staging Table'!$BI98*-1)</f>
        <v>-977820.46724975016</v>
      </c>
      <c r="M96" s="250">
        <f>IF('Staging Table'!C98=1,"",SUM(D96:L96))</f>
        <v>24081621.866364006</v>
      </c>
      <c r="N96" s="250">
        <f>IF('Staging Table'!C98=1,"",IF(Init!$R$9="Yes",(RT1SC!$C$3*'Staging Table'!E98*'Staging Table'!$F$2)+SUM('Staging Table'!L98:AI98)-IF(Init!$R$15="No",'Staging Table'!BH98, 0),Z96))</f>
        <v>682500.36</v>
      </c>
      <c r="O96" s="126">
        <f>IF('Staging Table'!C98=1,"",IF(N96=0, 0, M96/N96))</f>
        <v>35.284409031467774</v>
      </c>
      <c r="P96" s="250">
        <f>'Staging Table'!BS98*Rates_current!$E$74*100*12</f>
        <v>26648578.28136</v>
      </c>
      <c r="Q96" s="250">
        <f>'Staging Table'!BT98*Rates_current!$E$75*100*12</f>
        <v>-2695935.1188000003</v>
      </c>
      <c r="R96" s="251">
        <f>SUMPRODUCT('Staging Table'!BZ98:CW98, LS_Demand_Rates_Restatement!$C$5:$Z$5)-IF(Init!$R$15="No",('Staging Table'!DV98*Rates_current!$H$34), 0)</f>
        <v>291070.52276890585</v>
      </c>
      <c r="S96" s="251">
        <f>SUMPRODUCT('Staging Table'!CX98:DI98, LS_Demand_Rates_Restatement!$C$11:$N$11)*1000</f>
        <v>2041480.6899999997</v>
      </c>
      <c r="T96" s="252">
        <f>'Staging Table'!EF98*IF(Init!$R$18="Yes",IF(Init!$R$6=2020,Rates_current!$C$88,Rates_current!$D$88),Rates_current!$H$33)</f>
        <v>0</v>
      </c>
      <c r="U96" s="252">
        <f>IF(Init!$R$18="Yes",(SUM('Staging Table'!DL98:DU98)*IF('Staging Table'!$BT$1=2020, Rates_current!$C$87, Rates_current!$D$87)),0)</f>
        <v>465195.68332236953</v>
      </c>
      <c r="V96" s="252">
        <f>IF('Staging Table'!D98=1, 'Staging Table'!BV98*-1,SUM(P96:U96)*'Staging Table'!BV98*-1)</f>
        <v>-1343530.3155787429</v>
      </c>
      <c r="W96" s="250">
        <f>'Staging Table'!BY98*Rates_current!$H$32*-1</f>
        <v>-402855.27710999991</v>
      </c>
      <c r="X96" s="250">
        <f>IF(Init!$R$12="No",0,'Staging Table'!$DW98*-1)</f>
        <v>0</v>
      </c>
      <c r="Y96" s="250">
        <f>IF('Staging Table'!C98=1,"",SUM(P96:X96))</f>
        <v>25004004.465962537</v>
      </c>
      <c r="Z96" s="250">
        <f>IF('Staging Table'!C98=1,"",(RT1SC!$C$4*'Staging Table'!BS98*'Staging Table'!$BT$2)+SUM('Staging Table'!BZ98:CW98)-IF(Init!$R$15="No",'Staging Table'!DV98, 0))</f>
        <v>691854.19200000004</v>
      </c>
      <c r="AA96" s="126">
        <f>IF('Staging Table'!C98=1,"",IF(Z96=0, 0, Y96/Z96))</f>
        <v>36.140569436576506</v>
      </c>
      <c r="AB96" s="118">
        <f ca="1">IF('Staging Table'!C98=1,"",(AA96/O96-1)+(RAND()/100000000000000))</f>
        <v>2.4264552775859496E-2</v>
      </c>
      <c r="AC96" s="79">
        <f t="shared" ca="1" si="1"/>
        <v>31</v>
      </c>
      <c r="AF96" s="255"/>
      <c r="AG96" s="255"/>
      <c r="AH96" s="271"/>
      <c r="AI96" s="255"/>
      <c r="AJ96" s="255"/>
    </row>
    <row r="97" spans="2:36">
      <c r="B97" s="3">
        <v>10294</v>
      </c>
      <c r="C97" s="4" t="s">
        <v>100</v>
      </c>
      <c r="D97" s="250">
        <f>IF(Init!$R$9="Yes",'Staging Table'!E99,'Staging Table'!BS99)*Rates_previous!$E$75*100*12</f>
        <v>12899179.267199999</v>
      </c>
      <c r="E97" s="250">
        <f>IF(Init!$R$9="Yes",'Staging Table'!F99,'Staging Table'!BT99)*Rates_previous!$E$76*100*12</f>
        <v>-806812.64159999997</v>
      </c>
      <c r="F97" s="251">
        <f>IF(Init!$R$9="Yes",SUMPRODUCT('Staging Table'!L99:AI99,LS_Demand_Rates_Restatement!$C$4:$Z$4)-IF(Init!$R$15="No",('Staging Table'!BH99*Rates_previous!$H$34), 0),SUMPRODUCT('Staging Table'!BZ99:CW99,LS_Demand_Rates_Restatement!$C$4:$Z$4)-IF(Init!$R$15="No", 'Staging Table'!DV99*Rates_previous!$H$34, 0))</f>
        <v>60258.279999999941</v>
      </c>
      <c r="G97" s="251">
        <f>IF(Init!$R$9="Yes",SUMPRODUCT('Staging Table'!AJ99:AU99,LS_Demand_Rates_Restatement!$C$10:$N$10),SUMPRODUCT(LS_Demand_Rates_Restatement!$C$10:$N$10,'Staging Table'!CX99:DI99))*1000</f>
        <v>0</v>
      </c>
      <c r="H97" s="252">
        <f>IF(Init!$R$9="Yes",'Staging Table'!BR99,'Staging Table'!EF99)*IF(Init!$R$3=2018,Rates_previous!$C$88,Rates_previous!$D$88)</f>
        <v>0</v>
      </c>
      <c r="I97" s="250">
        <f>IF(Init!$R$9="Yes",IF('Staging Table'!$F$1=2018,(SUM('Staging Table'!BD99:BG99)*Rates_previous!$C$87),(SUM('Staging Table'!BD99:BG99)*Rates_previous!$D$87)),IF('Staging Table'!$F$1=2018,(SUM('Staging Table'!DR99:DU99)*Rates_previous!$C$87),(SUM('Staging Table'!DR99:DU99)*Rates_previous!$D$87)))</f>
        <v>31435.77378970238</v>
      </c>
      <c r="J97" s="252">
        <f>IF(Init!$R$9="Yes",IF('Staging Table'!D99=1,'Staging Table'!H99*-1,'Staging Table'!H99*SUM(D97:I97)*(-1)),IF('Staging Table'!D99=1,'Staging Table'!BV99*-1,'Staging Table'!BV99*SUM(D97:I97)*(-1)))</f>
        <v>0</v>
      </c>
      <c r="K97" s="250">
        <f>IF(Init!$R$9="Yes",'Staging Table'!K99,'Staging Table'!BY99)*(-1)*Rates_previous!$H$32</f>
        <v>0</v>
      </c>
      <c r="L97" s="250">
        <f>IF(Init!$R$12="No",0,'Staging Table'!$BI99*-1)</f>
        <v>-459289.05215150065</v>
      </c>
      <c r="M97" s="250">
        <f>IF('Staging Table'!C99=1,"",SUM(D97:L97))</f>
        <v>11724771.627238199</v>
      </c>
      <c r="N97" s="250">
        <f>IF('Staging Table'!C99=1,"",IF(Init!$R$9="Yes",(RT1SC!$C$3*'Staging Table'!E99*'Staging Table'!$F$2)+SUM('Staging Table'!L99:AI99)-IF(Init!$R$15="No",'Staging Table'!BH99, 0),Z97))</f>
        <v>308061.97641047998</v>
      </c>
      <c r="O97" s="126">
        <f>IF('Staging Table'!C99=1,"",IF(N97=0, 0, M97/N97))</f>
        <v>38.059781878486099</v>
      </c>
      <c r="P97" s="250">
        <f>'Staging Table'!BS99*Rates_current!$E$74*100*12</f>
        <v>11864067.024839999</v>
      </c>
      <c r="Q97" s="250">
        <f>'Staging Table'!BT99*Rates_current!$E$75*100*12</f>
        <v>-523193.08799999999</v>
      </c>
      <c r="R97" s="251">
        <f>SUMPRODUCT('Staging Table'!BZ99:CW99, LS_Demand_Rates_Restatement!$C$5:$Z$5)-IF(Init!$R$15="No",('Staging Table'!DV99*Rates_current!$H$34), 0)</f>
        <v>52278.609999999957</v>
      </c>
      <c r="S97" s="251">
        <f>SUMPRODUCT('Staging Table'!CX99:DI99, LS_Demand_Rates_Restatement!$C$11:$N$11)*1000</f>
        <v>0</v>
      </c>
      <c r="T97" s="252">
        <f>'Staging Table'!EF99*IF(Init!$R$18="Yes",IF(Init!$R$6=2020,Rates_current!$C$88,Rates_current!$D$88),Rates_current!$H$33)</f>
        <v>0</v>
      </c>
      <c r="U97" s="252">
        <f>IF(Init!$R$18="Yes",(SUM('Staging Table'!DL99:DU99)*IF('Staging Table'!$BT$1=2020, Rates_current!$C$87, Rates_current!$D$87)),0)</f>
        <v>90279.311391601921</v>
      </c>
      <c r="V97" s="252">
        <f>IF('Staging Table'!D99=1, 'Staging Table'!BV99*-1,SUM(P97:U97)*'Staging Table'!BV99*-1)</f>
        <v>0</v>
      </c>
      <c r="W97" s="250">
        <f>'Staging Table'!BY99*Rates_current!$H$32*-1</f>
        <v>0</v>
      </c>
      <c r="X97" s="250">
        <f>IF(Init!$R$12="No",0,'Staging Table'!$DW99*-1)</f>
        <v>0</v>
      </c>
      <c r="Y97" s="250">
        <f>IF('Staging Table'!C99=1,"",SUM(P97:X97))</f>
        <v>11483431.8582316</v>
      </c>
      <c r="Z97" s="250">
        <f>IF('Staging Table'!C99=1,"",(RT1SC!$C$4*'Staging Table'!BS99*'Staging Table'!$BT$2)+SUM('Staging Table'!BZ99:CW99)-IF(Init!$R$15="No",'Staging Table'!DV99, 0))</f>
        <v>307287.77020139515</v>
      </c>
      <c r="AA97" s="126">
        <f>IF('Staging Table'!C99=1,"",IF(Z97=0, 0, Y97/Z97))</f>
        <v>37.370286004891788</v>
      </c>
      <c r="AB97" s="118">
        <f ca="1">IF('Staging Table'!C99=1,"",(AA97/O97-1)+(RAND()/100000000000000))</f>
        <v>-1.8116127827414275E-2</v>
      </c>
      <c r="AC97" s="79">
        <f t="shared" ca="1" si="1"/>
        <v>109</v>
      </c>
      <c r="AF97" s="255"/>
      <c r="AG97" s="255"/>
      <c r="AH97" s="271"/>
      <c r="AI97" s="255"/>
      <c r="AJ97" s="255"/>
    </row>
    <row r="98" spans="2:36">
      <c r="B98" s="3">
        <v>10304</v>
      </c>
      <c r="C98" s="4" t="s">
        <v>101</v>
      </c>
      <c r="D98" s="250">
        <f>IF(Init!$R$9="Yes",'Staging Table'!E100,'Staging Table'!BS100)*Rates_previous!$E$75*100*12</f>
        <v>4988463.9551999997</v>
      </c>
      <c r="E98" s="250">
        <f>IF(Init!$R$9="Yes",'Staging Table'!F100,'Staging Table'!BT100)*Rates_previous!$E$76*100*12</f>
        <v>-703481.98800000001</v>
      </c>
      <c r="F98" s="251">
        <f>IF(Init!$R$9="Yes",SUMPRODUCT('Staging Table'!L100:AI100,LS_Demand_Rates_Restatement!$C$4:$Z$4)-IF(Init!$R$15="No",('Staging Table'!BH100*Rates_previous!$H$34), 0),SUMPRODUCT('Staging Table'!BZ100:CW100,LS_Demand_Rates_Restatement!$C$4:$Z$4)-IF(Init!$R$15="No", 'Staging Table'!DV100*Rates_previous!$H$34, 0))</f>
        <v>101523.67</v>
      </c>
      <c r="G98" s="251">
        <f>IF(Init!$R$9="Yes",SUMPRODUCT('Staging Table'!AJ100:AU100,LS_Demand_Rates_Restatement!$C$10:$N$10),SUMPRODUCT(LS_Demand_Rates_Restatement!$C$10:$N$10,'Staging Table'!CX100:DI100))*1000</f>
        <v>248282.59999999998</v>
      </c>
      <c r="H98" s="252">
        <f>IF(Init!$R$9="Yes",'Staging Table'!BR100,'Staging Table'!EF100)*IF(Init!$R$3=2018,Rates_previous!$C$88,Rates_previous!$D$88)</f>
        <v>12656.462852246203</v>
      </c>
      <c r="I98" s="250">
        <f>IF(Init!$R$9="Yes",IF('Staging Table'!$F$1=2018,(SUM('Staging Table'!BD100:BG100)*Rates_previous!$C$87),(SUM('Staging Table'!BD100:BG100)*Rates_previous!$D$87)),IF('Staging Table'!$F$1=2018,(SUM('Staging Table'!DR100:DU100)*Rates_previous!$C$87),(SUM('Staging Table'!DR100:DU100)*Rates_previous!$D$87)))</f>
        <v>27409.710135481506</v>
      </c>
      <c r="J98" s="252">
        <f>IF(Init!$R$9="Yes",IF('Staging Table'!D100=1,'Staging Table'!H100*-1,'Staging Table'!H100*SUM(D98:I98)*(-1)),IF('Staging Table'!D100=1,'Staging Table'!BV100*-1,'Staging Table'!BV100*SUM(D98:I98)*(-1)))</f>
        <v>0</v>
      </c>
      <c r="K98" s="250">
        <f>IF(Init!$R$9="Yes",'Staging Table'!K100,'Staging Table'!BY100)*(-1)*Rates_previous!$H$32</f>
        <v>0</v>
      </c>
      <c r="L98" s="250">
        <f>IF(Init!$R$12="No",0,'Staging Table'!$BI100*-1)</f>
        <v>-77668.641590863757</v>
      </c>
      <c r="M98" s="250">
        <f>IF('Staging Table'!C100=1,"",SUM(D98:L98))</f>
        <v>4597185.7685968634</v>
      </c>
      <c r="N98" s="250">
        <f>IF('Staging Table'!C100=1,"",IF(Init!$R$9="Yes",(RT1SC!$C$3*'Staging Table'!E100*'Staging Table'!$F$2)+SUM('Staging Table'!L100:AI100)-IF(Init!$R$15="No",'Staging Table'!BH100, 0),Z98))</f>
        <v>120093.55417968</v>
      </c>
      <c r="O98" s="126">
        <f>IF('Staging Table'!C100=1,"",IF(N98=0, 0, M98/N98))</f>
        <v>38.280037592348265</v>
      </c>
      <c r="P98" s="250">
        <f>'Staging Table'!BS100*Rates_current!$E$74*100*12</f>
        <v>4625700.3646799996</v>
      </c>
      <c r="Q98" s="250">
        <f>'Staging Table'!BT100*Rates_current!$E$75*100*12</f>
        <v>-467964.47939999995</v>
      </c>
      <c r="R98" s="251">
        <f>SUMPRODUCT('Staging Table'!BZ100:CW100, LS_Demand_Rates_Restatement!$C$5:$Z$5)-IF(Init!$R$15="No",('Staging Table'!DV100*Rates_current!$H$34), 0)</f>
        <v>88502.209999999977</v>
      </c>
      <c r="S98" s="251">
        <f>SUMPRODUCT('Staging Table'!CX100:DI100, LS_Demand_Rates_Restatement!$C$11:$N$11)*1000</f>
        <v>274064.72000000009</v>
      </c>
      <c r="T98" s="252">
        <f>'Staging Table'!EF100*IF(Init!$R$18="Yes",IF(Init!$R$6=2020,Rates_current!$C$88,Rates_current!$D$88),Rates_current!$H$33)</f>
        <v>-42.676239332546245</v>
      </c>
      <c r="U98" s="252">
        <f>IF(Init!$R$18="Yes",(SUM('Staging Table'!DL100:DU100)*IF('Staging Table'!$BT$1=2020, Rates_current!$C$87, Rates_current!$D$87)),0)</f>
        <v>80749.367537442478</v>
      </c>
      <c r="V98" s="252">
        <f>IF('Staging Table'!D100=1, 'Staging Table'!BV100*-1,SUM(P98:U98)*'Staging Table'!BV100*-1)</f>
        <v>0</v>
      </c>
      <c r="W98" s="250">
        <f>'Staging Table'!BY100*Rates_current!$H$32*-1</f>
        <v>0</v>
      </c>
      <c r="X98" s="250">
        <f>IF(Init!$R$12="No",0,'Staging Table'!$DW100*-1)</f>
        <v>0</v>
      </c>
      <c r="Y98" s="250">
        <f>IF('Staging Table'!C100=1,"",SUM(P98:X98))</f>
        <v>4601009.5065781102</v>
      </c>
      <c r="Z98" s="250">
        <f>IF('Staging Table'!C100=1,"",(RT1SC!$C$4*'Staging Table'!BS100*'Staging Table'!$BT$2)+SUM('Staging Table'!BZ100:CW100)-IF(Init!$R$15="No",'Staging Table'!DV100, 0))</f>
        <v>120092.15888599039</v>
      </c>
      <c r="AA98" s="126">
        <f>IF('Staging Table'!C100=1,"",IF(Z98=0, 0, Y98/Z98))</f>
        <v>38.312322380232025</v>
      </c>
      <c r="AB98" s="118">
        <f ca="1">IF('Staging Table'!C100=1,"",(AA98/O98-1)+(RAND()/100000000000000))</f>
        <v>8.433844351879127E-4</v>
      </c>
      <c r="AC98" s="79">
        <f t="shared" ca="1" si="1"/>
        <v>91</v>
      </c>
      <c r="AF98" s="255"/>
      <c r="AG98" s="255"/>
      <c r="AH98" s="271"/>
      <c r="AI98" s="255"/>
      <c r="AJ98" s="255"/>
    </row>
    <row r="99" spans="2:36">
      <c r="B99" s="3">
        <v>10306</v>
      </c>
      <c r="C99" s="4" t="s">
        <v>102</v>
      </c>
      <c r="D99" s="250">
        <f>IF(Init!$R$9="Yes",'Staging Table'!E101,'Staging Table'!BS101)*Rates_previous!$E$75*100*12</f>
        <v>8135935.0329599995</v>
      </c>
      <c r="E99" s="250">
        <f>IF(Init!$R$9="Yes",'Staging Table'!F101,'Staging Table'!BT101)*Rates_previous!$E$76*100*12</f>
        <v>-1147343.9124</v>
      </c>
      <c r="F99" s="251">
        <f>IF(Init!$R$9="Yes",SUMPRODUCT('Staging Table'!L101:AI101,LS_Demand_Rates_Restatement!$C$4:$Z$4)-IF(Init!$R$15="No",('Staging Table'!BH101*Rates_previous!$H$34), 0),SUMPRODUCT('Staging Table'!BZ101:CW101,LS_Demand_Rates_Restatement!$C$4:$Z$4)-IF(Init!$R$15="No", 'Staging Table'!DV101*Rates_previous!$H$34, 0))</f>
        <v>523992.24000000017</v>
      </c>
      <c r="G99" s="251">
        <f>IF(Init!$R$9="Yes",SUMPRODUCT('Staging Table'!AJ101:AU101,LS_Demand_Rates_Restatement!$C$10:$N$10),SUMPRODUCT(LS_Demand_Rates_Restatement!$C$10:$N$10,'Staging Table'!CX101:DI101))*1000</f>
        <v>0</v>
      </c>
      <c r="H99" s="252">
        <f>IF(Init!$R$9="Yes",'Staging Table'!BR101,'Staging Table'!EF101)*IF(Init!$R$3=2018,Rates_previous!$C$88,Rates_previous!$D$88)</f>
        <v>0</v>
      </c>
      <c r="I99" s="250">
        <f>IF(Init!$R$9="Yes",IF('Staging Table'!$F$1=2018,(SUM('Staging Table'!BD101:BG101)*Rates_previous!$C$87),(SUM('Staging Table'!BD101:BG101)*Rates_previous!$D$87)),IF('Staging Table'!$F$1=2018,(SUM('Staging Table'!DR101:DU101)*Rates_previous!$C$87),(SUM('Staging Table'!DR101:DU101)*Rates_previous!$D$87)))</f>
        <v>44703.865345580503</v>
      </c>
      <c r="J99" s="252">
        <f>IF(Init!$R$9="Yes",IF('Staging Table'!D101=1,'Staging Table'!H101*-1,'Staging Table'!H101*SUM(D99:I99)*(-1)),IF('Staging Table'!D101=1,'Staging Table'!BV101*-1,'Staging Table'!BV101*SUM(D99:I99)*(-1)))</f>
        <v>0</v>
      </c>
      <c r="K99" s="250">
        <f>IF(Init!$R$9="Yes",'Staging Table'!K101,'Staging Table'!BY101)*(-1)*Rates_previous!$H$32</f>
        <v>0</v>
      </c>
      <c r="L99" s="250">
        <f>IF(Init!$R$12="No",0,'Staging Table'!$BI101*-1)</f>
        <v>-218511.51253542781</v>
      </c>
      <c r="M99" s="250">
        <f>IF('Staging Table'!C101=1,"",SUM(D99:L99))</f>
        <v>7338775.7133701527</v>
      </c>
      <c r="N99" s="250">
        <f>IF('Staging Table'!C101=1,"",IF(Init!$R$9="Yes",(RT1SC!$C$3*'Staging Table'!E101*'Staging Table'!$F$2)+SUM('Staging Table'!L101:AI101)-IF(Init!$R$15="No",'Staging Table'!BH101, 0),Z99))</f>
        <v>195072.39985566397</v>
      </c>
      <c r="O99" s="126">
        <f>IF('Staging Table'!C101=1,"",IF(N99=0, 0, M99/N99))</f>
        <v>37.620779355768356</v>
      </c>
      <c r="P99" s="250">
        <f>'Staging Table'!BS101*Rates_current!$E$74*100*12</f>
        <v>7483400.6773199998</v>
      </c>
      <c r="Q99" s="250">
        <f>'Staging Table'!BT101*Rates_current!$E$75*100*12</f>
        <v>-757067.13059999992</v>
      </c>
      <c r="R99" s="251">
        <f>SUMPRODUCT('Staging Table'!BZ101:CW101, LS_Demand_Rates_Restatement!$C$5:$Z$5)-IF(Init!$R$15="No",('Staging Table'!DV101*Rates_current!$H$34), 0)</f>
        <v>537718.15000000037</v>
      </c>
      <c r="S99" s="251">
        <f>SUMPRODUCT('Staging Table'!CX101:DI101, LS_Demand_Rates_Restatement!$C$11:$N$11)*1000</f>
        <v>0</v>
      </c>
      <c r="T99" s="252">
        <f>'Staging Table'!EF101*IF(Init!$R$18="Yes",IF(Init!$R$6=2020,Rates_current!$C$88,Rates_current!$D$88),Rates_current!$H$33)</f>
        <v>0</v>
      </c>
      <c r="U99" s="252">
        <f>IF(Init!$R$18="Yes",(SUM('Staging Table'!DL101:DU101)*IF('Staging Table'!$BT$1=2020, Rates_current!$C$87, Rates_current!$D$87)),0)</f>
        <v>130635.32526596369</v>
      </c>
      <c r="V99" s="252">
        <f>IF('Staging Table'!D101=1, 'Staging Table'!BV101*-1,SUM(P99:U99)*'Staging Table'!BV101*-1)</f>
        <v>0</v>
      </c>
      <c r="W99" s="250">
        <f>'Staging Table'!BY101*Rates_current!$H$32*-1</f>
        <v>0</v>
      </c>
      <c r="X99" s="250">
        <f>IF(Init!$R$12="No",0,'Staging Table'!$DW101*-1)</f>
        <v>0</v>
      </c>
      <c r="Y99" s="250">
        <f>IF('Staging Table'!C101=1,"",SUM(P99:X99))</f>
        <v>7394687.0219859639</v>
      </c>
      <c r="Z99" s="250">
        <f>IF('Staging Table'!C101=1,"",(RT1SC!$C$4*'Staging Table'!BS101*'Staging Table'!$BT$2)+SUM('Staging Table'!BZ101:CW101)-IF(Init!$R$15="No",'Staging Table'!DV101, 0))</f>
        <v>194284.22292776959</v>
      </c>
      <c r="AA99" s="126">
        <f>IF('Staging Table'!C101=1,"",IF(Z99=0, 0, Y99/Z99))</f>
        <v>38.061181245453668</v>
      </c>
      <c r="AB99" s="118">
        <f ca="1">IF('Staging Table'!C101=1,"",(AA99/O99-1)+(RAND()/100000000000000))</f>
        <v>1.1706346790982404E-2</v>
      </c>
      <c r="AC99" s="79">
        <f t="shared" ca="1" si="1"/>
        <v>70</v>
      </c>
      <c r="AF99" s="255"/>
      <c r="AG99" s="255"/>
      <c r="AH99" s="271"/>
      <c r="AI99" s="255"/>
      <c r="AJ99" s="255"/>
    </row>
    <row r="100" spans="2:36">
      <c r="B100" s="3">
        <v>10307</v>
      </c>
      <c r="C100" s="4" t="s">
        <v>103</v>
      </c>
      <c r="D100" s="250">
        <f>IF(Init!$R$9="Yes",'Staging Table'!E102,'Staging Table'!BS102)*Rates_previous!$E$75*100*12</f>
        <v>24674807.664000001</v>
      </c>
      <c r="E100" s="250">
        <f>IF(Init!$R$9="Yes",'Staging Table'!F102,'Staging Table'!BT102)*Rates_previous!$E$76*100*12</f>
        <v>-3479684.91</v>
      </c>
      <c r="F100" s="251">
        <f>IF(Init!$R$9="Yes",SUMPRODUCT('Staging Table'!L102:AI102,LS_Demand_Rates_Restatement!$C$4:$Z$4)-IF(Init!$R$15="No",('Staging Table'!BH102*Rates_previous!$H$34), 0),SUMPRODUCT('Staging Table'!BZ102:CW102,LS_Demand_Rates_Restatement!$C$4:$Z$4)-IF(Init!$R$15="No", 'Staging Table'!DV102*Rates_previous!$H$34, 0))</f>
        <v>509847.16000000015</v>
      </c>
      <c r="G100" s="251">
        <f>IF(Init!$R$9="Yes",SUMPRODUCT('Staging Table'!AJ102:AU102,LS_Demand_Rates_Restatement!$C$10:$N$10),SUMPRODUCT(LS_Demand_Rates_Restatement!$C$10:$N$10,'Staging Table'!CX102:DI102))*1000</f>
        <v>1633808.2899999998</v>
      </c>
      <c r="H100" s="252">
        <f>IF(Init!$R$9="Yes",'Staging Table'!BR102,'Staging Table'!EF102)*IF(Init!$R$3=2018,Rates_previous!$C$88,Rates_previous!$D$88)</f>
        <v>50732.869287845802</v>
      </c>
      <c r="I100" s="250">
        <f>IF(Init!$R$9="Yes",IF('Staging Table'!$F$1=2018,(SUM('Staging Table'!BD102:BG102)*Rates_previous!$C$87),(SUM('Staging Table'!BD102:BG102)*Rates_previous!$D$87)),IF('Staging Table'!$F$1=2018,(SUM('Staging Table'!DR102:DU102)*Rates_previous!$C$87),(SUM('Staging Table'!DR102:DU102)*Rates_previous!$D$87)))</f>
        <v>135578.67347402367</v>
      </c>
      <c r="J100" s="252">
        <f>IF(Init!$R$9="Yes",IF('Staging Table'!D102=1,'Staging Table'!H102*-1,'Staging Table'!H102*SUM(D100:I100)*(-1)),IF('Staging Table'!D102=1,'Staging Table'!BV102*-1,'Staging Table'!BV102*SUM(D100:I100)*(-1)))</f>
        <v>0</v>
      </c>
      <c r="K100" s="250">
        <f>IF(Init!$R$9="Yes",'Staging Table'!K102,'Staging Table'!BY102)*(-1)*Rates_previous!$H$32</f>
        <v>0</v>
      </c>
      <c r="L100" s="250">
        <f>IF(Init!$R$12="No",0,'Staging Table'!$BI102*-1)</f>
        <v>-868434.3297716591</v>
      </c>
      <c r="M100" s="250">
        <f>IF('Staging Table'!C102=1,"",SUM(D100:L100))</f>
        <v>22656655.416990209</v>
      </c>
      <c r="N100" s="250">
        <f>IF('Staging Table'!C102=1,"",IF(Init!$R$9="Yes",(RT1SC!$C$3*'Staging Table'!E102*'Staging Table'!$F$2)+SUM('Staging Table'!L102:AI102)-IF(Init!$R$15="No",'Staging Table'!BH102, 0),Z100))</f>
        <v>593114.90154759982</v>
      </c>
      <c r="O100" s="126">
        <f>IF('Staging Table'!C102=1,"",IF(N100=0, 0, M100/N100))</f>
        <v>38.199437171234052</v>
      </c>
      <c r="P100" s="250">
        <f>'Staging Table'!BS102*Rates_current!$E$74*100*12</f>
        <v>22820010.888119999</v>
      </c>
      <c r="Q100" s="250">
        <f>'Staging Table'!BT102*Rates_current!$E$75*100*12</f>
        <v>-2308613.5445999997</v>
      </c>
      <c r="R100" s="251">
        <f>SUMPRODUCT('Staging Table'!BZ102:CW102, LS_Demand_Rates_Restatement!$C$5:$Z$5)-IF(Init!$R$15="No",('Staging Table'!DV102*Rates_current!$H$34), 0)</f>
        <v>482911.36999999994</v>
      </c>
      <c r="S100" s="251">
        <f>SUMPRODUCT('Staging Table'!CX102:DI102, LS_Demand_Rates_Restatement!$C$11:$N$11)*1000</f>
        <v>1798788.1899999997</v>
      </c>
      <c r="T100" s="252">
        <f>'Staging Table'!EF102*IF(Init!$R$18="Yes",IF(Init!$R$6=2020,Rates_current!$C$88,Rates_current!$D$88),Rates_current!$H$33)</f>
        <v>10494.138268050967</v>
      </c>
      <c r="U100" s="252">
        <f>IF(Init!$R$18="Yes",(SUM('Staging Table'!DL102:DU102)*IF('Staging Table'!$BT$1=2020, Rates_current!$C$87, Rates_current!$D$87)),0)</f>
        <v>398361.61038085667</v>
      </c>
      <c r="V100" s="252">
        <f>IF('Staging Table'!D102=1, 'Staging Table'!BV102*-1,SUM(P100:U100)*'Staging Table'!BV102*-1)</f>
        <v>0</v>
      </c>
      <c r="W100" s="250">
        <f>'Staging Table'!BY102*Rates_current!$H$32*-1</f>
        <v>0</v>
      </c>
      <c r="X100" s="250">
        <f>IF(Init!$R$12="No",0,'Staging Table'!$DW102*-1)</f>
        <v>0</v>
      </c>
      <c r="Y100" s="250">
        <f>IF('Staging Table'!C102=1,"",SUM(P100:X100))</f>
        <v>23201952.652168911</v>
      </c>
      <c r="Z100" s="250">
        <f>IF('Staging Table'!C102=1,"",(RT1SC!$C$4*'Staging Table'!BS102*'Staging Table'!$BT$2)+SUM('Staging Table'!BZ102:CW102)-IF(Init!$R$15="No",'Staging Table'!DV102, 0))</f>
        <v>593115.70434959361</v>
      </c>
      <c r="AA100" s="126">
        <f>IF('Staging Table'!C102=1,"",IF(Z100=0, 0, Y100/Z100))</f>
        <v>39.118762969886298</v>
      </c>
      <c r="AB100" s="118">
        <f>IF('Staging Table'!C102=1,"",AA100/O100-1)</f>
        <v>2.4066474972687324E-2</v>
      </c>
      <c r="AC100" s="79">
        <f t="shared" ca="1" si="1"/>
        <v>33</v>
      </c>
      <c r="AF100" s="255"/>
      <c r="AG100" s="255"/>
      <c r="AH100" s="271"/>
      <c r="AI100" s="255"/>
      <c r="AJ100" s="255"/>
    </row>
    <row r="101" spans="2:36">
      <c r="B101" s="3">
        <v>10326</v>
      </c>
      <c r="C101" s="4" t="s">
        <v>104</v>
      </c>
      <c r="D101" s="250">
        <f>IF(Init!$R$9="Yes",'Staging Table'!E103,'Staging Table'!BS103)*Rates_previous!$E$75*100*12</f>
        <v>10512206.907839999</v>
      </c>
      <c r="E101" s="250">
        <f>IF(Init!$R$9="Yes",'Staging Table'!F103,'Staging Table'!BT103)*Rates_previous!$E$76*100*12</f>
        <v>-1482449.9646000001</v>
      </c>
      <c r="F101" s="251">
        <f>IF(Init!$R$9="Yes",SUMPRODUCT('Staging Table'!L103:AI103,LS_Demand_Rates_Restatement!$C$4:$Z$4)-IF(Init!$R$15="No",('Staging Table'!BH103*Rates_previous!$H$34), 0),SUMPRODUCT('Staging Table'!BZ103:CW103,LS_Demand_Rates_Restatement!$C$4:$Z$4)-IF(Init!$R$15="No", 'Staging Table'!DV103*Rates_previous!$H$34, 0))</f>
        <v>280310.63225563435</v>
      </c>
      <c r="G101" s="251">
        <f>IF(Init!$R$9="Yes",SUMPRODUCT('Staging Table'!AJ103:AU103,LS_Demand_Rates_Restatement!$C$10:$N$10),SUMPRODUCT(LS_Demand_Rates_Restatement!$C$10:$N$10,'Staging Table'!CX103:DI103))*1000</f>
        <v>616211.39</v>
      </c>
      <c r="H101" s="252">
        <f>IF(Init!$R$9="Yes",'Staging Table'!BR103,'Staging Table'!EF103)*IF(Init!$R$3=2018,Rates_previous!$C$88,Rates_previous!$D$88)</f>
        <v>149635.51680000004</v>
      </c>
      <c r="I101" s="250">
        <f>IF(Init!$R$9="Yes",IF('Staging Table'!$F$1=2018,(SUM('Staging Table'!BD103:BG103)*Rates_previous!$C$87),(SUM('Staging Table'!BD103:BG103)*Rates_previous!$D$87)),IF('Staging Table'!$F$1=2018,(SUM('Staging Table'!DR103:DU103)*Rates_previous!$C$87),(SUM('Staging Table'!DR103:DU103)*Rates_previous!$D$87)))</f>
        <v>57760.574560781519</v>
      </c>
      <c r="J101" s="252">
        <f>IF(Init!$R$9="Yes",IF('Staging Table'!D103=1,'Staging Table'!H103*-1,'Staging Table'!H103*SUM(D101:I101)*(-1)),IF('Staging Table'!D103=1,'Staging Table'!BV103*-1,'Staging Table'!BV103*SUM(D101:I101)*(-1)))</f>
        <v>0</v>
      </c>
      <c r="K101" s="250">
        <f>IF(Init!$R$9="Yes",'Staging Table'!K103,'Staging Table'!BY103)*(-1)*Rates_previous!$H$32</f>
        <v>0</v>
      </c>
      <c r="L101" s="250">
        <f>IF(Init!$R$12="No",0,'Staging Table'!$BI103*-1)</f>
        <v>-380651.60016817949</v>
      </c>
      <c r="M101" s="250">
        <f>IF('Staging Table'!C103=1,"",SUM(D101:L101))</f>
        <v>9753023.4566882346</v>
      </c>
      <c r="N101" s="250">
        <f>IF('Staging Table'!C103=1,"",IF(Init!$R$9="Yes",(RT1SC!$C$3*'Staging Table'!E103*'Staging Table'!$F$2)+SUM('Staging Table'!L103:AI103)-IF(Init!$R$15="No",'Staging Table'!BH103, 0),Z101))</f>
        <v>262545.96000000002</v>
      </c>
      <c r="O101" s="126">
        <f>IF('Staging Table'!C103=1,"",IF(N101=0, 0, M101/N101))</f>
        <v>37.14787101156778</v>
      </c>
      <c r="P101" s="250">
        <f>'Staging Table'!BS103*Rates_current!$E$74*100*12</f>
        <v>9988166.4453599993</v>
      </c>
      <c r="Q101" s="250">
        <f>'Staging Table'!BT103*Rates_current!$E$75*100*12</f>
        <v>-1010464.7387999999</v>
      </c>
      <c r="R101" s="251">
        <f>SUMPRODUCT('Staging Table'!BZ103:CW103, LS_Demand_Rates_Restatement!$C$5:$Z$5)-IF(Init!$R$15="No",('Staging Table'!DV103*Rates_current!$H$34), 0)</f>
        <v>145140.58899784519</v>
      </c>
      <c r="S101" s="251">
        <f>SUMPRODUCT('Staging Table'!CX103:DI103, LS_Demand_Rates_Restatement!$C$11:$N$11)*1000</f>
        <v>682071.38</v>
      </c>
      <c r="T101" s="252">
        <f>'Staging Table'!EF103*IF(Init!$R$18="Yes",IF(Init!$R$6=2020,Rates_current!$C$88,Rates_current!$D$88),Rates_current!$H$33)</f>
        <v>108315.41615999962</v>
      </c>
      <c r="U101" s="252">
        <f>IF(Init!$R$18="Yes",(SUM('Staging Table'!DL103:DU103)*IF('Staging Table'!$BT$1=2020, Rates_current!$C$87, Rates_current!$D$87)),0)</f>
        <v>174360.21785585763</v>
      </c>
      <c r="V101" s="252">
        <f>IF('Staging Table'!D103=1, 'Staging Table'!BV103*-1,SUM(P101:U101)*'Staging Table'!BV103*-1)</f>
        <v>0</v>
      </c>
      <c r="W101" s="250">
        <f>'Staging Table'!BY103*Rates_current!$H$32*-1</f>
        <v>0</v>
      </c>
      <c r="X101" s="250">
        <f>IF(Init!$R$12="No",0,'Staging Table'!$DW103*-1)</f>
        <v>0</v>
      </c>
      <c r="Y101" s="250">
        <f>IF('Staging Table'!C103=1,"",SUM(P101:X101))</f>
        <v>10087589.309573703</v>
      </c>
      <c r="Z101" s="250">
        <f>IF('Staging Table'!C103=1,"",(RT1SC!$C$4*'Staging Table'!BS103*'Staging Table'!$BT$2)+SUM('Staging Table'!BZ103:CW103)-IF(Init!$R$15="No",'Staging Table'!DV103, 0))</f>
        <v>266137.63199999998</v>
      </c>
      <c r="AA101" s="126">
        <f>IF('Staging Table'!C103=1,"",IF(Z101=0, 0, Y101/Z101))</f>
        <v>37.903656216395973</v>
      </c>
      <c r="AB101" s="118">
        <f>IF('Staging Table'!C103=1,"",AA101/O101-1)</f>
        <v>2.03453168175598E-2</v>
      </c>
      <c r="AC101" s="79">
        <f t="shared" ca="1" si="1"/>
        <v>50</v>
      </c>
      <c r="AF101" s="255"/>
      <c r="AG101" s="255"/>
      <c r="AH101" s="271"/>
      <c r="AI101" s="255"/>
      <c r="AJ101" s="255"/>
    </row>
    <row r="102" spans="2:36">
      <c r="B102" s="3">
        <v>10331</v>
      </c>
      <c r="C102" s="4" t="s">
        <v>105</v>
      </c>
      <c r="D102" s="250">
        <f>IF(Init!$R$9="Yes",'Staging Table'!E104,'Staging Table'!BS104)*Rates_previous!$E$75*100*12</f>
        <v>13212295.824960001</v>
      </c>
      <c r="E102" s="250">
        <f>IF(Init!$R$9="Yes",'Staging Table'!F104,'Staging Table'!BT104)*Rates_previous!$E$76*100*12</f>
        <v>-1863221.2674000002</v>
      </c>
      <c r="F102" s="251">
        <f>IF(Init!$R$9="Yes",SUMPRODUCT('Staging Table'!L104:AI104,LS_Demand_Rates_Restatement!$C$4:$Z$4)-IF(Init!$R$15="No",('Staging Table'!BH104*Rates_previous!$H$34), 0),SUMPRODUCT('Staging Table'!BZ104:CW104,LS_Demand_Rates_Restatement!$C$4:$Z$4)-IF(Init!$R$15="No", 'Staging Table'!DV104*Rates_previous!$H$34, 0))</f>
        <v>0</v>
      </c>
      <c r="G102" s="251">
        <f>IF(Init!$R$9="Yes",SUMPRODUCT('Staging Table'!AJ104:AU104,LS_Demand_Rates_Restatement!$C$10:$N$10),SUMPRODUCT(LS_Demand_Rates_Restatement!$C$10:$N$10,'Staging Table'!CX104:DI104))*1000</f>
        <v>0</v>
      </c>
      <c r="H102" s="252">
        <f>IF(Init!$R$9="Yes",'Staging Table'!BR104,'Staging Table'!EF104)*IF(Init!$R$3=2018,Rates_previous!$C$88,Rates_previous!$D$88)</f>
        <v>0</v>
      </c>
      <c r="I102" s="250">
        <f>IF(Init!$R$9="Yes",IF('Staging Table'!$F$1=2018,(SUM('Staging Table'!BD104:BG104)*Rates_previous!$C$87),(SUM('Staging Table'!BD104:BG104)*Rates_previous!$D$87)),IF('Staging Table'!$F$1=2018,(SUM('Staging Table'!DR104:DU104)*Rates_previous!$C$87),(SUM('Staging Table'!DR104:DU104)*Rates_previous!$D$87)))</f>
        <v>72596.535133602418</v>
      </c>
      <c r="J102" s="252">
        <f>IF(Init!$R$9="Yes",IF('Staging Table'!D104=1,'Staging Table'!H104*-1,'Staging Table'!H104*SUM(D102:I102)*(-1)),IF('Staging Table'!D104=1,'Staging Table'!BV104*-1,'Staging Table'!BV104*SUM(D102:I102)*(-1)))</f>
        <v>-801359.29203580366</v>
      </c>
      <c r="K102" s="250">
        <f>IF(Init!$R$9="Yes",'Staging Table'!K104,'Staging Table'!BY104)*(-1)*Rates_previous!$H$32</f>
        <v>-1565101.4500800001</v>
      </c>
      <c r="L102" s="250">
        <f>IF(Init!$R$12="No",0,'Staging Table'!$BI104*-1)</f>
        <v>-287387.68980703596</v>
      </c>
      <c r="M102" s="250" t="str">
        <f>IF('Staging Table'!C104=1,"",SUM(D102:L102))</f>
        <v/>
      </c>
      <c r="N102" s="250" t="str">
        <f>IF('Staging Table'!C104=1,"",IF(Init!$R$9="Yes",(RT1SC!$C$3*'Staging Table'!E104*'Staging Table'!$F$2)+SUM('Staging Table'!L104:AI104)-IF(Init!$R$15="No",'Staging Table'!BH104, 0),Z102))</f>
        <v/>
      </c>
      <c r="O102" s="126" t="str">
        <f>IF('Staging Table'!C104=1,"",IF(N102=0, 0, M102/N102))</f>
        <v/>
      </c>
      <c r="P102" s="250">
        <f>'Staging Table'!BS104*Rates_current!$E$74*100*12</f>
        <v>12158297.978519998</v>
      </c>
      <c r="Q102" s="250">
        <f>'Staging Table'!BT104*Rates_current!$E$75*100*12</f>
        <v>-1230008.6765999999</v>
      </c>
      <c r="R102" s="251">
        <f>SUMPRODUCT('Staging Table'!BZ104:CW104, LS_Demand_Rates_Restatement!$C$5:$Z$5)-IF(Init!$R$15="No",('Staging Table'!DV104*Rates_current!$H$34), 0)</f>
        <v>0</v>
      </c>
      <c r="S102" s="251">
        <f>SUMPRODUCT('Staging Table'!CX104:DI104, LS_Demand_Rates_Restatement!$C$11:$N$11)*1000</f>
        <v>0</v>
      </c>
      <c r="T102" s="252">
        <f>'Staging Table'!EF104*IF(Init!$R$18="Yes",IF(Init!$R$6=2020,Rates_current!$C$88,Rates_current!$D$88),Rates_current!$H$33)</f>
        <v>41.268368718845885</v>
      </c>
      <c r="U102" s="252">
        <f>IF(Init!$R$18="Yes",(SUM('Staging Table'!DL104:DU104)*IF('Staging Table'!$BT$1=2020, Rates_current!$C$87, Rates_current!$D$87)),0)</f>
        <v>212243.5079439421</v>
      </c>
      <c r="V102" s="252">
        <f>IF('Staging Table'!D104=1, 'Staging Table'!BV104*-1,SUM(P102:U102)*'Staging Table'!BV104*-1)</f>
        <v>-779840.18547628622</v>
      </c>
      <c r="W102" s="250">
        <f>'Staging Table'!BY104*Rates_current!$H$32*-1</f>
        <v>-1478594.99238</v>
      </c>
      <c r="X102" s="250">
        <f>IF(Init!$R$12="No",0,'Staging Table'!$DW104*-1)</f>
        <v>0</v>
      </c>
      <c r="Y102" s="250" t="str">
        <f>IF('Staging Table'!C104=1,"",SUM(P102:X102))</f>
        <v/>
      </c>
      <c r="Z102" s="250" t="str">
        <f>IF('Staging Table'!C104=1,"",(RT1SC!$C$4*'Staging Table'!BS104*'Staging Table'!$BT$2)+SUM('Staging Table'!BZ104:CW104)-IF(Init!$R$15="No",'Staging Table'!DV104, 0))</f>
        <v/>
      </c>
      <c r="AA102" s="126" t="str">
        <f>IF('Staging Table'!C104=1,"",IF(Z102=0, 0, Y102/Z102))</f>
        <v/>
      </c>
      <c r="AB102" s="118" t="str">
        <f>IF('Staging Table'!C104=1,"",AA102/O102-1)</f>
        <v/>
      </c>
      <c r="AC102" s="79" t="str">
        <f t="shared" si="1"/>
        <v/>
      </c>
      <c r="AF102" s="255"/>
      <c r="AG102" s="255"/>
      <c r="AH102" s="271"/>
      <c r="AI102" s="255"/>
      <c r="AJ102" s="255"/>
    </row>
    <row r="103" spans="2:36">
      <c r="B103" s="3">
        <v>10333</v>
      </c>
      <c r="C103" s="4" t="s">
        <v>106</v>
      </c>
      <c r="D103" s="250">
        <f>IF(Init!$R$9="Yes",'Staging Table'!E105,'Staging Table'!BS105)*Rates_previous!$E$75*100*12</f>
        <v>6683216.8780800011</v>
      </c>
      <c r="E103" s="250">
        <f>IF(Init!$R$9="Yes",'Staging Table'!F105,'Staging Table'!BT105)*Rates_previous!$E$76*100*12</f>
        <v>-942479.03519999993</v>
      </c>
      <c r="F103" s="251">
        <f>IF(Init!$R$9="Yes",SUMPRODUCT('Staging Table'!L105:AI105,LS_Demand_Rates_Restatement!$C$4:$Z$4)-IF(Init!$R$15="No",('Staging Table'!BH105*Rates_previous!$H$34), 0),SUMPRODUCT('Staging Table'!BZ105:CW105,LS_Demand_Rates_Restatement!$C$4:$Z$4)-IF(Init!$R$15="No", 'Staging Table'!DV105*Rates_previous!$H$34, 0))</f>
        <v>79474.599868509831</v>
      </c>
      <c r="G103" s="251">
        <f>IF(Init!$R$9="Yes",SUMPRODUCT('Staging Table'!AJ105:AU105,LS_Demand_Rates_Restatement!$C$10:$N$10),SUMPRODUCT(LS_Demand_Rates_Restatement!$C$10:$N$10,'Staging Table'!CX105:DI105))*1000</f>
        <v>389448.82999999996</v>
      </c>
      <c r="H103" s="252">
        <f>IF(Init!$R$9="Yes",'Staging Table'!BR105,'Staging Table'!EF105)*IF(Init!$R$3=2018,Rates_previous!$C$88,Rates_previous!$D$88)</f>
        <v>0</v>
      </c>
      <c r="I103" s="250">
        <f>IF(Init!$R$9="Yes",IF('Staging Table'!$F$1=2018,(SUM('Staging Table'!BD105:BG105)*Rates_previous!$C$87),(SUM('Staging Table'!BD105:BG105)*Rates_previous!$D$87)),IF('Staging Table'!$F$1=2018,(SUM('Staging Table'!DR105:DU105)*Rates_previous!$C$87),(SUM('Staging Table'!DR105:DU105)*Rates_previous!$D$87)))</f>
        <v>36721.732189680835</v>
      </c>
      <c r="J103" s="252">
        <f>IF(Init!$R$9="Yes",IF('Staging Table'!D105=1,'Staging Table'!H105*-1,'Staging Table'!H105*SUM(D103:I103)*(-1)),IF('Staging Table'!D105=1,'Staging Table'!BV105*-1,'Staging Table'!BV105*SUM(D103:I103)*(-1)))</f>
        <v>-417737.48230634996</v>
      </c>
      <c r="K103" s="250">
        <f>IF(Init!$R$9="Yes",'Staging Table'!K105,'Staging Table'!BY105)*(-1)*Rates_previous!$H$32</f>
        <v>0</v>
      </c>
      <c r="L103" s="250">
        <f>IF(Init!$R$12="No",0,'Staging Table'!$BI105*-1)</f>
        <v>-104055.3527176475</v>
      </c>
      <c r="M103" s="250">
        <f>IF('Staging Table'!C105=1,"",SUM(D103:L103))</f>
        <v>5724590.1699141944</v>
      </c>
      <c r="N103" s="250">
        <f>IF('Staging Table'!C105=1,"",IF(Init!$R$9="Yes",(RT1SC!$C$3*'Staging Table'!E105*'Staging Table'!$F$2)+SUM('Staging Table'!L105:AI105)-IF(Init!$R$15="No",'Staging Table'!BH105, 0),Z103))</f>
        <v>159589.68</v>
      </c>
      <c r="O103" s="126">
        <f>IF('Staging Table'!C105=1,"",IF(N103=0, 0, M103/N103))</f>
        <v>35.870678918049052</v>
      </c>
      <c r="P103" s="250">
        <f>'Staging Table'!BS105*Rates_current!$E$74*100*12</f>
        <v>6185742.3517199997</v>
      </c>
      <c r="Q103" s="250">
        <f>'Staging Table'!BT105*Rates_current!$E$75*100*12</f>
        <v>-625787.98259999999</v>
      </c>
      <c r="R103" s="251">
        <f>SUMPRODUCT('Staging Table'!BZ105:CW105, LS_Demand_Rates_Restatement!$C$5:$Z$5)-IF(Init!$R$15="No",('Staging Table'!DV105*Rates_current!$H$34), 0)</f>
        <v>106577.32535714954</v>
      </c>
      <c r="S103" s="251">
        <f>SUMPRODUCT('Staging Table'!CX105:DI105, LS_Demand_Rates_Restatement!$C$11:$N$11)*1000</f>
        <v>429363.23000000004</v>
      </c>
      <c r="T103" s="252">
        <f>'Staging Table'!EF105*IF(Init!$R$18="Yes",IF(Init!$R$6=2020,Rates_current!$C$88,Rates_current!$D$88),Rates_current!$H$33)</f>
        <v>18679.878720000179</v>
      </c>
      <c r="U103" s="252">
        <f>IF(Init!$R$18="Yes",(SUM('Staging Table'!DL105:DU105)*IF('Staging Table'!$BT$1=2020, Rates_current!$C$87, Rates_current!$D$87)),0)</f>
        <v>107982.52010979886</v>
      </c>
      <c r="V103" s="252">
        <f>IF('Staging Table'!D105=1, 'Staging Table'!BV105*-1,SUM(P103:U103)*'Staging Table'!BV105*-1)</f>
        <v>-404466.22601495171</v>
      </c>
      <c r="W103" s="250">
        <f>'Staging Table'!BY105*Rates_current!$H$32*-1</f>
        <v>0</v>
      </c>
      <c r="X103" s="250">
        <f>IF(Init!$R$12="No",0,'Staging Table'!$DW105*-1)</f>
        <v>0</v>
      </c>
      <c r="Y103" s="250">
        <f>IF('Staging Table'!C105=1,"",SUM(P103:X103))</f>
        <v>5818091.0972919967</v>
      </c>
      <c r="Z103" s="250">
        <f>IF('Staging Table'!C105=1,"",(RT1SC!$C$4*'Staging Table'!BS105*'Staging Table'!$BT$2)+SUM('Staging Table'!BZ105:CW105)-IF(Init!$R$15="No",'Staging Table'!DV105, 0))</f>
        <v>161774.92800000001</v>
      </c>
      <c r="AA103" s="126">
        <f>IF('Staging Table'!C105=1,"",IF(Z103=0, 0, Y103/Z103))</f>
        <v>35.964108710912214</v>
      </c>
      <c r="AB103" s="118">
        <f>IF('Staging Table'!C105=1,"",AA103/O103-1)</f>
        <v>2.6046285066589903E-3</v>
      </c>
      <c r="AC103" s="79">
        <f t="shared" ca="1" si="1"/>
        <v>82</v>
      </c>
      <c r="AF103" s="255"/>
      <c r="AG103" s="255"/>
      <c r="AH103" s="271"/>
      <c r="AI103" s="255"/>
      <c r="AJ103" s="255"/>
    </row>
    <row r="104" spans="2:36">
      <c r="B104" s="3">
        <v>10338</v>
      </c>
      <c r="C104" s="4" t="s">
        <v>107</v>
      </c>
      <c r="D104" s="250">
        <f>IF(Init!$R$9="Yes",'Staging Table'!E106,'Staging Table'!BS106)*Rates_previous!$E$75*100*12</f>
        <v>856548.30527999997</v>
      </c>
      <c r="E104" s="250">
        <f>IF(Init!$R$9="Yes",'Staging Table'!F106,'Staging Table'!BT106)*Rates_previous!$E$76*100*12</f>
        <v>-120791.9532</v>
      </c>
      <c r="F104" s="251">
        <f>IF(Init!$R$9="Yes",SUMPRODUCT('Staging Table'!L106:AI106,LS_Demand_Rates_Restatement!$C$4:$Z$4)-IF(Init!$R$15="No",('Staging Table'!BH106*Rates_previous!$H$34), 0),SUMPRODUCT('Staging Table'!BZ106:CW106,LS_Demand_Rates_Restatement!$C$4:$Z$4)-IF(Init!$R$15="No", 'Staging Table'!DV106*Rates_previous!$H$34, 0))</f>
        <v>-5361.1187474409562</v>
      </c>
      <c r="G104" s="251">
        <f>IF(Init!$R$9="Yes",SUMPRODUCT('Staging Table'!AJ106:AU106,LS_Demand_Rates_Restatement!$C$10:$N$10),SUMPRODUCT(LS_Demand_Rates_Restatement!$C$10:$N$10,'Staging Table'!CX106:DI106))*1000</f>
        <v>31057.9</v>
      </c>
      <c r="H104" s="252">
        <f>IF(Init!$R$9="Yes",'Staging Table'!BR106,'Staging Table'!EF106)*IF(Init!$R$3=2018,Rates_previous!$C$88,Rates_previous!$D$88)</f>
        <v>0</v>
      </c>
      <c r="I104" s="250">
        <f>IF(Init!$R$9="Yes",IF('Staging Table'!$F$1=2018,(SUM('Staging Table'!BD106:BG106)*Rates_previous!$C$87),(SUM('Staging Table'!BD106:BG106)*Rates_previous!$D$87)),IF('Staging Table'!$F$1=2018,(SUM('Staging Table'!DR106:DU106)*Rates_previous!$C$87),(SUM('Staging Table'!DR106:DU106)*Rates_previous!$D$87)))</f>
        <v>4706.4068169299699</v>
      </c>
      <c r="J104" s="252">
        <f>IF(Init!$R$9="Yes",IF('Staging Table'!D106=1,'Staging Table'!H106*-1,'Staging Table'!H106*SUM(D104:I104)*(-1)),IF('Staging Table'!D106=1,'Staging Table'!BV106*-1,'Staging Table'!BV106*SUM(D104:I104)*(-1)))</f>
        <v>-31460.119653572328</v>
      </c>
      <c r="K104" s="250">
        <f>IF(Init!$R$9="Yes",'Staging Table'!K106,'Staging Table'!BY106)*(-1)*Rates_previous!$H$32</f>
        <v>-48865.2696</v>
      </c>
      <c r="L104" s="250">
        <f>IF(Init!$R$12="No",0,'Staging Table'!$BI106*-1)</f>
        <v>-13336.157968768332</v>
      </c>
      <c r="M104" s="250">
        <f>IF('Staging Table'!C106=1,"",SUM(D104:L104))</f>
        <v>672497.99292714824</v>
      </c>
      <c r="N104" s="250">
        <f>IF('Staging Table'!C106=1,"",IF(Init!$R$9="Yes",(RT1SC!$C$3*'Staging Table'!E106*'Staging Table'!$F$2)+SUM('Staging Table'!L106:AI106)-IF(Init!$R$15="No",'Staging Table'!BH106, 0),Z104))</f>
        <v>20454.599999999999</v>
      </c>
      <c r="O104" s="126">
        <f>IF('Staging Table'!C106=1,"",IF(N104=0, 0, M104/N104))</f>
        <v>32.877591980637526</v>
      </c>
      <c r="P104" s="250">
        <f>'Staging Table'!BS106*Rates_current!$E$74*100*12</f>
        <v>798558.96959999995</v>
      </c>
      <c r="Q104" s="250">
        <f>'Staging Table'!BT106*Rates_current!$E$75*100*12</f>
        <v>-80787.167999999991</v>
      </c>
      <c r="R104" s="251">
        <f>SUMPRODUCT('Staging Table'!BZ106:CW106, LS_Demand_Rates_Restatement!$C$5:$Z$5)-IF(Init!$R$15="No",('Staging Table'!DV106*Rates_current!$H$34), 0)</f>
        <v>-7948.5018559949021</v>
      </c>
      <c r="S104" s="251">
        <f>SUMPRODUCT('Staging Table'!CX106:DI106, LS_Demand_Rates_Restatement!$C$11:$N$11)*1000</f>
        <v>32417.269999999993</v>
      </c>
      <c r="T104" s="252">
        <f>'Staging Table'!EF106*IF(Init!$R$18="Yes",IF(Init!$R$6=2020,Rates_current!$C$88,Rates_current!$D$88),Rates_current!$H$33)</f>
        <v>0</v>
      </c>
      <c r="U104" s="252">
        <f>IF(Init!$R$18="Yes",(SUM('Staging Table'!DL106:DU106)*IF('Staging Table'!$BT$1=2020, Rates_current!$C$87, Rates_current!$D$87)),0)</f>
        <v>13940.187788409121</v>
      </c>
      <c r="V104" s="252">
        <f>IF('Staging Table'!D106=1, 'Staging Table'!BV106*-1,SUM(P104:U104)*'Staging Table'!BV106*-1)</f>
        <v>-27284.967801739087</v>
      </c>
      <c r="W104" s="250">
        <f>'Staging Table'!BY106*Rates_current!$H$32*-1</f>
        <v>-46164.383099999999</v>
      </c>
      <c r="X104" s="250">
        <f>IF(Init!$R$12="No",0,'Staging Table'!$DW106*-1)</f>
        <v>0</v>
      </c>
      <c r="Y104" s="250">
        <f>IF('Staging Table'!C106=1,"",SUM(P104:X104))</f>
        <v>682731.40663067508</v>
      </c>
      <c r="Z104" s="250">
        <f>IF('Staging Table'!C106=1,"",(RT1SC!$C$4*'Staging Table'!BS106*'Staging Table'!$BT$2)+SUM('Staging Table'!BZ106:CW106)-IF(Init!$R$15="No",'Staging Table'!DV106, 0))</f>
        <v>20730.239999999998</v>
      </c>
      <c r="AA104" s="126">
        <f>IF('Staging Table'!C106=1,"",IF(Z104=0, 0, Y104/Z104))</f>
        <v>32.934081160212095</v>
      </c>
      <c r="AB104" s="118">
        <f>IF('Staging Table'!C106=1,"",AA104/O104-1)</f>
        <v>1.7181665739947061E-3</v>
      </c>
      <c r="AC104" s="79">
        <f t="shared" ca="1" si="1"/>
        <v>87</v>
      </c>
      <c r="AF104" s="255"/>
      <c r="AG104" s="255"/>
      <c r="AH104" s="271"/>
      <c r="AI104" s="255"/>
      <c r="AJ104" s="255"/>
    </row>
    <row r="105" spans="2:36">
      <c r="B105" s="3">
        <v>10342</v>
      </c>
      <c r="C105" s="4" t="s">
        <v>108</v>
      </c>
      <c r="D105" s="250">
        <f>IF(Init!$R$9="Yes",'Staging Table'!E107,'Staging Table'!BS107)*Rates_previous!$E$75*100*12</f>
        <v>13716492.462719999</v>
      </c>
      <c r="E105" s="250">
        <f>IF(Init!$R$9="Yes",'Staging Table'!F107,'Staging Table'!BT107)*Rates_previous!$E$76*100*12</f>
        <v>-1934323.9668000001</v>
      </c>
      <c r="F105" s="251">
        <f>IF(Init!$R$9="Yes",SUMPRODUCT('Staging Table'!L107:AI107,LS_Demand_Rates_Restatement!$C$4:$Z$4)-IF(Init!$R$15="No",('Staging Table'!BH107*Rates_previous!$H$34), 0),SUMPRODUCT('Staging Table'!BZ107:CW107,LS_Demand_Rates_Restatement!$C$4:$Z$4)-IF(Init!$R$15="No", 'Staging Table'!DV107*Rates_previous!$H$34, 0))</f>
        <v>310039.3899999999</v>
      </c>
      <c r="G105" s="251">
        <f>IF(Init!$R$9="Yes",SUMPRODUCT('Staging Table'!AJ107:AU107,LS_Demand_Rates_Restatement!$C$10:$N$10),SUMPRODUCT(LS_Demand_Rates_Restatement!$C$10:$N$10,'Staging Table'!CX107:DI107))*1000</f>
        <v>678160.21</v>
      </c>
      <c r="H105" s="252">
        <f>IF(Init!$R$9="Yes",'Staging Table'!BR107,'Staging Table'!EF107)*IF(Init!$R$3=2018,Rates_previous!$C$88,Rates_previous!$D$88)</f>
        <v>64757.715815854535</v>
      </c>
      <c r="I105" s="250">
        <f>IF(Init!$R$9="Yes",IF('Staging Table'!$F$1=2018,(SUM('Staging Table'!BD107:BG107)*Rates_previous!$C$87),(SUM('Staging Table'!BD107:BG107)*Rates_previous!$D$87)),IF('Staging Table'!$F$1=2018,(SUM('Staging Table'!DR107:DU107)*Rates_previous!$C$87),(SUM('Staging Table'!DR107:DU107)*Rates_previous!$D$87)))</f>
        <v>75366.903691218235</v>
      </c>
      <c r="J105" s="252">
        <f>IF(Init!$R$9="Yes",IF('Staging Table'!D107=1,'Staging Table'!H107*-1,'Staging Table'!H107*SUM(D105:I105)*(-1)),IF('Staging Table'!D107=1,'Staging Table'!BV107*-1,'Staging Table'!BV107*SUM(D105:I105)*(-1)))</f>
        <v>0</v>
      </c>
      <c r="K105" s="250">
        <f>IF(Init!$R$9="Yes",'Staging Table'!K107,'Staging Table'!BY107)*(-1)*Rates_previous!$H$32</f>
        <v>0</v>
      </c>
      <c r="L105" s="250">
        <f>IF(Init!$R$12="No",0,'Staging Table'!$BI107*-1)</f>
        <v>-556029.91397967096</v>
      </c>
      <c r="M105" s="250">
        <f>IF('Staging Table'!C107=1,"",SUM(D105:L105))</f>
        <v>12354462.801447403</v>
      </c>
      <c r="N105" s="250">
        <f>IF('Staging Table'!C107=1,"",IF(Init!$R$9="Yes",(RT1SC!$C$3*'Staging Table'!E107*'Staging Table'!$F$2)+SUM('Staging Table'!L107:AI107)-IF(Init!$R$15="No",'Staging Table'!BH107, 0),Z105))</f>
        <v>332525.43819844798</v>
      </c>
      <c r="O105" s="126">
        <f>IF('Staging Table'!C107=1,"",IF(N105=0, 0, M105/N105))</f>
        <v>37.153436646475086</v>
      </c>
      <c r="P105" s="250">
        <f>'Staging Table'!BS107*Rates_current!$E$74*100*12</f>
        <v>12837548.435399998</v>
      </c>
      <c r="Q105" s="250">
        <f>'Staging Table'!BT107*Rates_current!$E$75*100*12</f>
        <v>-1298725.8570000001</v>
      </c>
      <c r="R105" s="251">
        <f>SUMPRODUCT('Staging Table'!BZ107:CW107, LS_Demand_Rates_Restatement!$C$5:$Z$5)-IF(Init!$R$15="No",('Staging Table'!DV107*Rates_current!$H$34), 0)</f>
        <v>205450.33999999988</v>
      </c>
      <c r="S105" s="251">
        <f>SUMPRODUCT('Staging Table'!CX107:DI107, LS_Demand_Rates_Restatement!$C$11:$N$11)*1000</f>
        <v>746397.55000000016</v>
      </c>
      <c r="T105" s="252">
        <f>'Staging Table'!EF107*IF(Init!$R$18="Yes",IF(Init!$R$6=2020,Rates_current!$C$88,Rates_current!$D$88),Rates_current!$H$33)</f>
        <v>-12154.271625538711</v>
      </c>
      <c r="U105" s="252">
        <f>IF(Init!$R$18="Yes",(SUM('Staging Table'!DL107:DU107)*IF('Staging Table'!$BT$1=2020, Rates_current!$C$87, Rates_current!$D$87)),0)</f>
        <v>224100.96529491633</v>
      </c>
      <c r="V105" s="252">
        <f>IF('Staging Table'!D107=1, 'Staging Table'!BV107*-1,SUM(P105:U105)*'Staging Table'!BV107*-1)</f>
        <v>0</v>
      </c>
      <c r="W105" s="250">
        <f>'Staging Table'!BY107*Rates_current!$H$32*-1</f>
        <v>0</v>
      </c>
      <c r="X105" s="250">
        <f>IF(Init!$R$12="No",0,'Staging Table'!$DW107*-1)</f>
        <v>0</v>
      </c>
      <c r="Y105" s="250">
        <f>IF('Staging Table'!C107=1,"",SUM(P105:X105))</f>
        <v>12702617.162069375</v>
      </c>
      <c r="Z105" s="250">
        <f>IF('Staging Table'!C107=1,"",(RT1SC!$C$4*'Staging Table'!BS107*'Staging Table'!$BT$2)+SUM('Staging Table'!BZ107:CW107)-IF(Init!$R$15="No",'Staging Table'!DV107, 0))</f>
        <v>332525.44737331197</v>
      </c>
      <c r="AA105" s="126">
        <f>IF('Staging Table'!C107=1,"",IF(Z105=0, 0, Y105/Z105))</f>
        <v>38.200436274606965</v>
      </c>
      <c r="AB105" s="118">
        <f>IF('Staging Table'!C107=1,"",AA105/O105-1)</f>
        <v>2.8180424817611405E-2</v>
      </c>
      <c r="AC105" s="79">
        <f t="shared" ca="1" si="1"/>
        <v>18</v>
      </c>
      <c r="AF105" s="255"/>
      <c r="AG105" s="255"/>
      <c r="AH105" s="271"/>
      <c r="AI105" s="255"/>
      <c r="AJ105" s="255"/>
    </row>
    <row r="106" spans="2:36">
      <c r="B106" s="3">
        <v>10343</v>
      </c>
      <c r="C106" s="4" t="s">
        <v>109</v>
      </c>
      <c r="D106" s="250">
        <f>IF(Init!$R$9="Yes",'Staging Table'!E108,'Staging Table'!BS108)*Rates_previous!$E$75*100*12</f>
        <v>4169367.3456000006</v>
      </c>
      <c r="E106" s="250">
        <f>IF(Init!$R$9="Yes",'Staging Table'!F108,'Staging Table'!BT108)*Rates_previous!$E$76*100*12</f>
        <v>-587971.53899999987</v>
      </c>
      <c r="F106" s="251">
        <f>IF(Init!$R$9="Yes",SUMPRODUCT('Staging Table'!L108:AI108,LS_Demand_Rates_Restatement!$C$4:$Z$4)-IF(Init!$R$15="No",('Staging Table'!BH108*Rates_previous!$H$34), 0),SUMPRODUCT('Staging Table'!BZ108:CW108,LS_Demand_Rates_Restatement!$C$4:$Z$4)-IF(Init!$R$15="No", 'Staging Table'!DV108*Rates_previous!$H$34, 0))</f>
        <v>142016.15000000002</v>
      </c>
      <c r="G106" s="251">
        <f>IF(Init!$R$9="Yes",SUMPRODUCT('Staging Table'!AJ108:AU108,LS_Demand_Rates_Restatement!$C$10:$N$10),SUMPRODUCT(LS_Demand_Rates_Restatement!$C$10:$N$10,'Staging Table'!CX108:DI108))*1000</f>
        <v>0</v>
      </c>
      <c r="H106" s="252">
        <f>IF(Init!$R$9="Yes",'Staging Table'!BR108,'Staging Table'!EF108)*IF(Init!$R$3=2018,Rates_previous!$C$88,Rates_previous!$D$88)</f>
        <v>84630.983616599027</v>
      </c>
      <c r="I106" s="250">
        <f>IF(Init!$R$9="Yes",IF('Staging Table'!$F$1=2018,(SUM('Staging Table'!BD108:BG108)*Rates_previous!$C$87),(SUM('Staging Table'!BD108:BG108)*Rates_previous!$D$87)),IF('Staging Table'!$F$1=2018,(SUM('Staging Table'!DR108:DU108)*Rates_previous!$C$87),(SUM('Staging Table'!DR108:DU108)*Rates_previous!$D$87)))</f>
        <v>22909.086127025272</v>
      </c>
      <c r="J106" s="252">
        <f>IF(Init!$R$9="Yes",IF('Staging Table'!D108=1,'Staging Table'!H108*-1,'Staging Table'!H108*SUM(D106:I106)*(-1)),IF('Staging Table'!D108=1,'Staging Table'!BV108*-1,'Staging Table'!BV108*SUM(D106:I106)*(-1)))</f>
        <v>-229857.12158061747</v>
      </c>
      <c r="K106" s="250">
        <f>IF(Init!$R$9="Yes",'Staging Table'!K108,'Staging Table'!BY108)*(-1)*Rates_previous!$H$32</f>
        <v>-123546.57335999999</v>
      </c>
      <c r="L106" s="250">
        <f>IF(Init!$R$12="No",0,'Staging Table'!$BI108*-1)</f>
        <v>-191610.45666428225</v>
      </c>
      <c r="M106" s="250">
        <f>IF('Staging Table'!C108=1,"",SUM(D106:L106))</f>
        <v>3285937.8747387249</v>
      </c>
      <c r="N106" s="250">
        <f>IF('Staging Table'!C108=1,"",IF(Init!$R$9="Yes",(RT1SC!$C$3*'Staging Table'!E108*'Staging Table'!$F$2)+SUM('Staging Table'!L108:AI108)-IF(Init!$R$15="No",'Staging Table'!BH108, 0),Z106))</f>
        <v>106077.50659604</v>
      </c>
      <c r="O106" s="126">
        <f>IF('Staging Table'!C108=1,"",IF(N106=0, 0, M106/N106))</f>
        <v>30.9767638793783</v>
      </c>
      <c r="P106" s="250">
        <f>'Staging Table'!BS108*Rates_current!$E$74*100*12</f>
        <v>4085722.3947600005</v>
      </c>
      <c r="Q106" s="250">
        <f>'Staging Table'!BT108*Rates_current!$E$75*100*12</f>
        <v>-413336.96580000001</v>
      </c>
      <c r="R106" s="251">
        <f>SUMPRODUCT('Staging Table'!BZ108:CW108, LS_Demand_Rates_Restatement!$C$5:$Z$5)-IF(Init!$R$15="No",('Staging Table'!DV108*Rates_current!$H$34), 0)</f>
        <v>-14863.999999999993</v>
      </c>
      <c r="S106" s="251">
        <f>SUMPRODUCT('Staging Table'!CX108:DI108, LS_Demand_Rates_Restatement!$C$11:$N$11)*1000</f>
        <v>0</v>
      </c>
      <c r="T106" s="252">
        <f>'Staging Table'!EF108*IF(Init!$R$18="Yes",IF(Init!$R$6=2020,Rates_current!$C$88,Rates_current!$D$88),Rates_current!$H$33)</f>
        <v>-6.6323952752334296</v>
      </c>
      <c r="U106" s="252">
        <f>IF(Init!$R$18="Yes",(SUM('Staging Table'!DL108:DU108)*IF('Staging Table'!$BT$1=2020, Rates_current!$C$87, Rates_current!$D$87)),0)</f>
        <v>71323.14531861346</v>
      </c>
      <c r="V106" s="252">
        <f>IF('Staging Table'!D108=1, 'Staging Table'!BV108*-1,SUM(P106:U106)*'Staging Table'!BV108*-1)</f>
        <v>-261018.65593183372</v>
      </c>
      <c r="W106" s="250">
        <f>'Staging Table'!BY108*Rates_current!$H$32*-1</f>
        <v>-116717.89370999999</v>
      </c>
      <c r="X106" s="250">
        <f>IF(Init!$R$12="No",0,'Staging Table'!$DW108*-1)</f>
        <v>0</v>
      </c>
      <c r="Y106" s="250">
        <f>IF('Staging Table'!C108=1,"",SUM(P106:X106))</f>
        <v>3351101.392241505</v>
      </c>
      <c r="Z106" s="250">
        <f>IF('Staging Table'!C108=1,"",(RT1SC!$C$4*'Staging Table'!BS108*'Staging Table'!$BT$2)+SUM('Staging Table'!BZ108:CW108)-IF(Init!$R$15="No",'Staging Table'!DV108, 0))</f>
        <v>106075.1660796928</v>
      </c>
      <c r="AA106" s="126">
        <f>IF('Staging Table'!C108=1,"",IF(Z106=0, 0, Y106/Z106))</f>
        <v>31.591761918372757</v>
      </c>
      <c r="AB106" s="118">
        <f>IF('Staging Table'!C108=1,"",AA106/O106-1)</f>
        <v>1.985352767607429E-2</v>
      </c>
      <c r="AC106" s="79">
        <f t="shared" ca="1" si="1"/>
        <v>52</v>
      </c>
      <c r="AF106" s="255"/>
      <c r="AG106" s="255"/>
      <c r="AH106" s="271"/>
      <c r="AI106" s="255"/>
      <c r="AJ106" s="255"/>
    </row>
    <row r="107" spans="2:36">
      <c r="B107" s="3">
        <v>10349</v>
      </c>
      <c r="C107" s="4" t="s">
        <v>110</v>
      </c>
      <c r="D107" s="250">
        <f>IF(Init!$R$9="Yes",'Staging Table'!E109,'Staging Table'!BS109)*Rates_previous!$E$75*100*12</f>
        <v>186219767.08512002</v>
      </c>
      <c r="E107" s="250">
        <f>IF(Init!$R$9="Yes",'Staging Table'!F109,'Staging Table'!BT109)*Rates_previous!$E$76*100*12</f>
        <v>-26261040.097800002</v>
      </c>
      <c r="F107" s="251">
        <f>IF(Init!$R$9="Yes",SUMPRODUCT('Staging Table'!L109:AI109,LS_Demand_Rates_Restatement!$C$4:$Z$4)-IF(Init!$R$15="No",('Staging Table'!BH109*Rates_previous!$H$34), 0),SUMPRODUCT('Staging Table'!BZ109:CW109,LS_Demand_Rates_Restatement!$C$4:$Z$4)-IF(Init!$R$15="No", 'Staging Table'!DV109*Rates_previous!$H$34, 0))</f>
        <v>9308427.0700000003</v>
      </c>
      <c r="G107" s="251">
        <f>IF(Init!$R$9="Yes",SUMPRODUCT('Staging Table'!AJ109:AU109,LS_Demand_Rates_Restatement!$C$10:$N$10),SUMPRODUCT(LS_Demand_Rates_Restatement!$C$10:$N$10,'Staging Table'!CX109:DI109))*1000</f>
        <v>0</v>
      </c>
      <c r="H107" s="252">
        <f>IF(Init!$R$9="Yes",'Staging Table'!BR109,'Staging Table'!EF109)*IF(Init!$R$3=2018,Rates_previous!$C$88,Rates_previous!$D$88)</f>
        <v>0</v>
      </c>
      <c r="I107" s="250">
        <f>IF(Init!$R$9="Yes",IF('Staging Table'!$F$1=2018,(SUM('Staging Table'!BD109:BG109)*Rates_previous!$C$87),(SUM('Staging Table'!BD109:BG109)*Rates_previous!$D$87)),IF('Staging Table'!$F$1=2018,(SUM('Staging Table'!DR109:DU109)*Rates_previous!$C$87),(SUM('Staging Table'!DR109:DU109)*Rates_previous!$D$87)))</f>
        <v>1023206.7191704059</v>
      </c>
      <c r="J107" s="252">
        <f>IF(Init!$R$9="Yes",IF('Staging Table'!D109=1,'Staging Table'!H109*-1,'Staging Table'!H109*SUM(D107:I107)*(-1)),IF('Staging Table'!D109=1,'Staging Table'!BV109*-1,'Staging Table'!BV109*SUM(D107:I107)*(-1)))</f>
        <v>0</v>
      </c>
      <c r="K107" s="250">
        <f>IF(Init!$R$9="Yes",'Staging Table'!K109,'Staging Table'!BY109)*(-1)*Rates_previous!$H$32</f>
        <v>0</v>
      </c>
      <c r="L107" s="250">
        <f>IF(Init!$R$12="No",0,'Staging Table'!$BI109*-1)</f>
        <v>-5724612.0342393331</v>
      </c>
      <c r="M107" s="250">
        <f>IF('Staging Table'!C109=1,"",SUM(D107:L107))</f>
        <v>164565748.74225107</v>
      </c>
      <c r="N107" s="250">
        <f>IF('Staging Table'!C109=1,"",IF(Init!$R$9="Yes",(RT1SC!$C$3*'Staging Table'!E109*'Staging Table'!$F$2)+SUM('Staging Table'!L109:AI109)-IF(Init!$R$15="No",'Staging Table'!BH109, 0),Z107))</f>
        <v>4446190.3614236079</v>
      </c>
      <c r="O107" s="126">
        <f>IF('Staging Table'!C109=1,"",IF(N107=0, 0, M107/N107))</f>
        <v>37.012753698102891</v>
      </c>
      <c r="P107" s="250">
        <f>'Staging Table'!BS109*Rates_current!$E$74*100*12</f>
        <v>171276638.99760002</v>
      </c>
      <c r="Q107" s="250">
        <f>'Staging Table'!BT109*Rates_current!$E$75*100*12</f>
        <v>-17327404.908</v>
      </c>
      <c r="R107" s="251">
        <f>SUMPRODUCT('Staging Table'!BZ109:CW109, LS_Demand_Rates_Restatement!$C$5:$Z$5)-IF(Init!$R$15="No",('Staging Table'!DV109*Rates_current!$H$34), 0)</f>
        <v>10843419.67</v>
      </c>
      <c r="S107" s="251">
        <f>SUMPRODUCT('Staging Table'!CX109:DI109, LS_Demand_Rates_Restatement!$C$11:$N$11)*1000</f>
        <v>0</v>
      </c>
      <c r="T107" s="252">
        <f>'Staging Table'!EF109*IF(Init!$R$18="Yes",IF(Init!$R$6=2020,Rates_current!$C$88,Rates_current!$D$88),Rates_current!$H$33)</f>
        <v>0</v>
      </c>
      <c r="U107" s="252">
        <f>IF(Init!$R$18="Yes",(SUM('Staging Table'!DL109:DU109)*IF('Staging Table'!$BT$1=2020, Rates_current!$C$87, Rates_current!$D$87)),0)</f>
        <v>2989921.3486889638</v>
      </c>
      <c r="V107" s="252">
        <f>IF('Staging Table'!D109=1, 'Staging Table'!BV109*-1,SUM(P107:U107)*'Staging Table'!BV109*-1)</f>
        <v>0</v>
      </c>
      <c r="W107" s="250">
        <f>'Staging Table'!BY109*Rates_current!$H$32*-1</f>
        <v>0</v>
      </c>
      <c r="X107" s="250">
        <f>IF(Init!$R$12="No",0,'Staging Table'!$DW109*-1)</f>
        <v>0</v>
      </c>
      <c r="Y107" s="250">
        <f>IF('Staging Table'!C109=1,"",SUM(P107:X107))</f>
        <v>167782575.10828897</v>
      </c>
      <c r="Z107" s="250">
        <f>IF('Staging Table'!C109=1,"",(RT1SC!$C$4*'Staging Table'!BS109*'Staging Table'!$BT$2)+SUM('Staging Table'!BZ109:CW109)-IF(Init!$R$15="No",'Staging Table'!DV109, 0))</f>
        <v>4446714.9840609282</v>
      </c>
      <c r="AA107" s="126">
        <f>IF('Staging Table'!C109=1,"",IF(Z107=0, 0, Y107/Z107))</f>
        <v>37.731803299671533</v>
      </c>
      <c r="AB107" s="118">
        <f>IF('Staging Table'!C109=1,"",AA107/O107-1)</f>
        <v>1.9427076608069305E-2</v>
      </c>
      <c r="AC107" s="79">
        <f t="shared" ca="1" si="1"/>
        <v>53</v>
      </c>
      <c r="AF107" s="255"/>
      <c r="AG107" s="255"/>
      <c r="AH107" s="271"/>
      <c r="AI107" s="255"/>
      <c r="AJ107" s="255"/>
    </row>
    <row r="108" spans="2:36">
      <c r="B108" s="3">
        <v>10352</v>
      </c>
      <c r="C108" s="4" t="s">
        <v>111</v>
      </c>
      <c r="D108" s="250">
        <f>IF(Init!$R$9="Yes",'Staging Table'!E110,'Staging Table'!BS110)*Rates_previous!$E$75*100*12</f>
        <v>5593805.6486399993</v>
      </c>
      <c r="E108" s="250">
        <f>IF(Init!$R$9="Yes",'Staging Table'!F110,'Staging Table'!BT110)*Rates_previous!$E$76*100*12</f>
        <v>-788848.34159999993</v>
      </c>
      <c r="F108" s="251">
        <f>IF(Init!$R$9="Yes",SUMPRODUCT('Staging Table'!L110:AI110,LS_Demand_Rates_Restatement!$C$4:$Z$4)-IF(Init!$R$15="No",('Staging Table'!BH110*Rates_previous!$H$34), 0),SUMPRODUCT('Staging Table'!BZ110:CW110,LS_Demand_Rates_Restatement!$C$4:$Z$4)-IF(Init!$R$15="No", 'Staging Table'!DV110*Rates_previous!$H$34, 0))</f>
        <v>124584.81000000007</v>
      </c>
      <c r="G108" s="251">
        <f>IF(Init!$R$9="Yes",SUMPRODUCT('Staging Table'!AJ110:AU110,LS_Demand_Rates_Restatement!$C$10:$N$10),SUMPRODUCT(LS_Demand_Rates_Restatement!$C$10:$N$10,'Staging Table'!CX110:DI110))*1000</f>
        <v>283728.50999999995</v>
      </c>
      <c r="H108" s="252">
        <f>IF(Init!$R$9="Yes",'Staging Table'!BR110,'Staging Table'!EF110)*IF(Init!$R$3=2018,Rates_previous!$C$88,Rates_previous!$D$88)</f>
        <v>12161.091381732605</v>
      </c>
      <c r="I108" s="250">
        <f>IF(Init!$R$9="Yes",IF('Staging Table'!$F$1=2018,(SUM('Staging Table'!BD110:BG110)*Rates_previous!$C$87),(SUM('Staging Table'!BD110:BG110)*Rates_previous!$D$87)),IF('Staging Table'!$F$1=2018,(SUM('Staging Table'!DR110:DU110)*Rates_previous!$C$87),(SUM('Staging Table'!DR110:DU110)*Rates_previous!$D$87)))</f>
        <v>30735.8322642815</v>
      </c>
      <c r="J108" s="252">
        <f>IF(Init!$R$9="Yes",IF('Staging Table'!D110=1,'Staging Table'!H110*-1,'Staging Table'!H110*SUM(D108:I108)*(-1)),IF('Staging Table'!D110=1,'Staging Table'!BV110*-1,'Staging Table'!BV110*SUM(D108:I108)*(-1)))</f>
        <v>-236527.5397808706</v>
      </c>
      <c r="K108" s="250">
        <f>IF(Init!$R$9="Yes",'Staging Table'!K110,'Staging Table'!BY110)*(-1)*Rates_previous!$H$32</f>
        <v>0</v>
      </c>
      <c r="L108" s="250">
        <f>IF(Init!$R$12="No",0,'Staging Table'!$BI110*-1)</f>
        <v>-197551.89390883379</v>
      </c>
      <c r="M108" s="250">
        <f>IF('Staging Table'!C110=1,"",SUM(D108:L108))</f>
        <v>4822088.1169963088</v>
      </c>
      <c r="N108" s="250">
        <f>IF('Staging Table'!C110=1,"",IF(Init!$R$9="Yes",(RT1SC!$C$3*'Staging Table'!E110*'Staging Table'!$F$2)+SUM('Staging Table'!L110:AI110)-IF(Init!$R$15="No",'Staging Table'!BH110, 0),Z108))</f>
        <v>134509.38996777599</v>
      </c>
      <c r="O108" s="126">
        <f>IF('Staging Table'!C110=1,"",IF(N108=0, 0, M108/N108))</f>
        <v>35.849453470508799</v>
      </c>
      <c r="P108" s="250">
        <f>'Staging Table'!BS110*Rates_current!$E$74*100*12</f>
        <v>5183027.9788800003</v>
      </c>
      <c r="Q108" s="250">
        <f>'Staging Table'!BT110*Rates_current!$E$75*100*12</f>
        <v>-524347.19040000008</v>
      </c>
      <c r="R108" s="251">
        <f>SUMPRODUCT('Staging Table'!BZ110:CW110, LS_Demand_Rates_Restatement!$C$5:$Z$5)-IF(Init!$R$15="No",('Staging Table'!DV110*Rates_current!$H$34), 0)</f>
        <v>112635.88</v>
      </c>
      <c r="S108" s="251">
        <f>SUMPRODUCT('Staging Table'!CX110:DI110, LS_Demand_Rates_Restatement!$C$11:$N$11)*1000</f>
        <v>317366.93</v>
      </c>
      <c r="T108" s="252">
        <f>'Staging Table'!EF110*IF(Init!$R$18="Yes",IF(Init!$R$6=2020,Rates_current!$C$88,Rates_current!$D$88),Rates_current!$H$33)</f>
        <v>-865.07560175931337</v>
      </c>
      <c r="U108" s="252">
        <f>IF(Init!$R$18="Yes",(SUM('Staging Table'!DL110:DU110)*IF('Staging Table'!$BT$1=2020, Rates_current!$C$87, Rates_current!$D$87)),0)</f>
        <v>90478.456931436347</v>
      </c>
      <c r="V108" s="252">
        <f>IF('Staging Table'!D110=1, 'Staging Table'!BV110*-1,SUM(P108:U108)*'Staging Table'!BV110*-1)</f>
        <v>-233023.36409143548</v>
      </c>
      <c r="W108" s="250">
        <f>'Staging Table'!BY110*Rates_current!$H$32*-1</f>
        <v>0</v>
      </c>
      <c r="X108" s="250">
        <f>IF(Init!$R$12="No",0,'Staging Table'!$DW110*-1)</f>
        <v>0</v>
      </c>
      <c r="Y108" s="250">
        <f>IF('Staging Table'!C110=1,"",SUM(P108:X108))</f>
        <v>4945273.6157182418</v>
      </c>
      <c r="Z108" s="250">
        <f>IF('Staging Table'!C110=1,"",(RT1SC!$C$4*'Staging Table'!BS110*'Staging Table'!$BT$2)+SUM('Staging Table'!BZ110:CW110)-IF(Init!$R$15="No",'Staging Table'!DV110, 0))</f>
        <v>134507.58588016641</v>
      </c>
      <c r="AA108" s="126">
        <f>IF('Staging Table'!C110=1,"",IF(Z108=0, 0, Y108/Z108))</f>
        <v>36.765759963337793</v>
      </c>
      <c r="AB108" s="118">
        <f>IF('Staging Table'!C110=1,"",AA108/O108-1)</f>
        <v>2.5559845524082636E-2</v>
      </c>
      <c r="AC108" s="79">
        <f t="shared" ca="1" si="1"/>
        <v>25</v>
      </c>
      <c r="AF108" s="255"/>
      <c r="AG108" s="255"/>
      <c r="AH108" s="271"/>
      <c r="AI108" s="255"/>
      <c r="AJ108" s="255"/>
    </row>
    <row r="109" spans="2:36">
      <c r="B109" s="3">
        <v>10354</v>
      </c>
      <c r="C109" s="4" t="s">
        <v>112</v>
      </c>
      <c r="D109" s="250">
        <f>IF(Init!$R$9="Yes",'Staging Table'!E111,'Staging Table'!BS111)*Rates_previous!$E$75*100*12</f>
        <v>266792377.03200004</v>
      </c>
      <c r="E109" s="250">
        <f>IF(Init!$R$9="Yes",'Staging Table'!F111,'Staging Table'!BT111)*Rates_previous!$E$76*100*12</f>
        <v>-18080960.1642</v>
      </c>
      <c r="F109" s="251">
        <f>IF(Init!$R$9="Yes",SUMPRODUCT('Staging Table'!L111:AI111,LS_Demand_Rates_Restatement!$C$4:$Z$4)-IF(Init!$R$15="No",('Staging Table'!BH111*Rates_previous!$H$34), 0),SUMPRODUCT('Staging Table'!BZ111:CW111,LS_Demand_Rates_Restatement!$C$4:$Z$4)-IF(Init!$R$15="No", 'Staging Table'!DV111*Rates_previous!$H$34, 0))</f>
        <v>773024.13500000059</v>
      </c>
      <c r="G109" s="251">
        <f>IF(Init!$R$9="Yes",SUMPRODUCT('Staging Table'!AJ111:AU111,LS_Demand_Rates_Restatement!$C$10:$N$10),SUMPRODUCT(LS_Demand_Rates_Restatement!$C$10:$N$10,'Staging Table'!CX111:DI111))*1000</f>
        <v>0</v>
      </c>
      <c r="H109" s="252">
        <f>IF(Init!$R$9="Yes",'Staging Table'!BR111,'Staging Table'!EF111)*IF(Init!$R$3=2018,Rates_previous!$C$88,Rates_previous!$D$88)</f>
        <v>0</v>
      </c>
      <c r="I109" s="250">
        <f>IF(Init!$R$9="Yes",IF('Staging Table'!$F$1=2018,(SUM('Staging Table'!BD111:BG111)*Rates_previous!$C$87),(SUM('Staging Table'!BD111:BG111)*Rates_previous!$D$87)),IF('Staging Table'!$F$1=2018,(SUM('Staging Table'!DR111:DU111)*Rates_previous!$C$87),(SUM('Staging Table'!DR111:DU111)*Rates_previous!$D$87)))</f>
        <v>704486.9456869592</v>
      </c>
      <c r="J109" s="252">
        <f>IF(Init!$R$9="Yes",IF('Staging Table'!D111=1,'Staging Table'!H111*-1,'Staging Table'!H111*SUM(D109:I109)*(-1)),IF('Staging Table'!D111=1,'Staging Table'!BV111*-1,'Staging Table'!BV111*SUM(D109:I109)*(-1)))</f>
        <v>0</v>
      </c>
      <c r="K109" s="250">
        <f>IF(Init!$R$9="Yes",'Staging Table'!K111,'Staging Table'!BY111)*(-1)*Rates_previous!$H$32</f>
        <v>0</v>
      </c>
      <c r="L109" s="250">
        <f>IF(Init!$R$12="No",0,'Staging Table'!$BI111*-1)</f>
        <v>-8816685.9150738344</v>
      </c>
      <c r="M109" s="250">
        <f>IF('Staging Table'!C111=1,"",SUM(D109:L109))</f>
        <v>241372242.03341314</v>
      </c>
      <c r="N109" s="250">
        <f>IF('Staging Table'!C111=1,"",IF(Init!$R$9="Yes",(RT1SC!$C$3*'Staging Table'!E111*'Staging Table'!$F$2)+SUM('Staging Table'!L111:AI111)-IF(Init!$R$15="No",'Staging Table'!BH111, 0),Z109))</f>
        <v>6370574.4404038005</v>
      </c>
      <c r="O109" s="126">
        <f>IF('Staging Table'!C111=1,"",IF(N109=0, 0, M109/N109))</f>
        <v>37.888614957949336</v>
      </c>
      <c r="P109" s="250">
        <f>'Staging Table'!BS111*Rates_current!$E$74*100*12</f>
        <v>245383624.37555999</v>
      </c>
      <c r="Q109" s="250">
        <f>'Staging Table'!BT111*Rates_current!$E$75*100*12</f>
        <v>-11753426.929200001</v>
      </c>
      <c r="R109" s="251">
        <f>SUMPRODUCT('Staging Table'!BZ111:CW111, LS_Demand_Rates_Restatement!$C$5:$Z$5)-IF(Init!$R$15="No",('Staging Table'!DV111*Rates_current!$H$34), 0)</f>
        <v>628531.11999999976</v>
      </c>
      <c r="S109" s="251">
        <f>SUMPRODUCT('Staging Table'!CX111:DI111, LS_Demand_Rates_Restatement!$C$11:$N$11)*1000</f>
        <v>0</v>
      </c>
      <c r="T109" s="252">
        <f>'Staging Table'!EF111*IF(Init!$R$18="Yes",IF(Init!$R$6=2020,Rates_current!$C$88,Rates_current!$D$88),Rates_current!$H$33)</f>
        <v>0</v>
      </c>
      <c r="U109" s="252">
        <f>IF(Init!$R$18="Yes",(SUM('Staging Table'!DL111:DU111)*IF('Staging Table'!$BT$1=2020, Rates_current!$C$87, Rates_current!$D$87)),0)</f>
        <v>2028106.4754045194</v>
      </c>
      <c r="V109" s="252">
        <f>IF('Staging Table'!D111=1, 'Staging Table'!BV111*-1,SUM(P109:U109)*'Staging Table'!BV111*-1)</f>
        <v>0</v>
      </c>
      <c r="W109" s="250">
        <f>'Staging Table'!BY111*Rates_current!$H$32*-1</f>
        <v>0</v>
      </c>
      <c r="X109" s="250">
        <f>IF(Init!$R$12="No",0,'Staging Table'!$DW111*-1)</f>
        <v>0</v>
      </c>
      <c r="Y109" s="250">
        <f>IF('Staging Table'!C111=1,"",SUM(P109:X109))</f>
        <v>236286835.04176453</v>
      </c>
      <c r="Z109" s="250">
        <f>IF('Staging Table'!C111=1,"",(RT1SC!$C$4*'Staging Table'!BS111*'Staging Table'!$BT$2)+SUM('Staging Table'!BZ111:CW111)-IF(Init!$R$15="No",'Staging Table'!DV111, 0))</f>
        <v>6356576.1697671162</v>
      </c>
      <c r="AA109" s="126">
        <f>IF('Staging Table'!C111=1,"",IF(Z109=0, 0, Y109/Z109))</f>
        <v>37.172029207418639</v>
      </c>
      <c r="AB109" s="118">
        <f>IF('Staging Table'!C111=1,"",AA109/O109-1)</f>
        <v>-1.8912957133059627E-2</v>
      </c>
      <c r="AC109" s="79">
        <f t="shared" ca="1" si="1"/>
        <v>111</v>
      </c>
      <c r="AF109" s="255"/>
      <c r="AG109" s="255"/>
      <c r="AH109" s="271"/>
      <c r="AI109" s="255"/>
      <c r="AJ109" s="255"/>
    </row>
    <row r="110" spans="2:36">
      <c r="B110" s="3">
        <v>10360</v>
      </c>
      <c r="C110" s="4" t="s">
        <v>113</v>
      </c>
      <c r="D110" s="250">
        <f>IF(Init!$R$9="Yes",'Staging Table'!E112,'Staging Table'!BS112)*Rates_previous!$E$75*100*12</f>
        <v>2442258.1958400002</v>
      </c>
      <c r="E110" s="250">
        <f>IF(Init!$R$9="Yes",'Staging Table'!F112,'Staging Table'!BT112)*Rates_previous!$E$76*100*12</f>
        <v>-344411.55959999998</v>
      </c>
      <c r="F110" s="251">
        <f>IF(Init!$R$9="Yes",SUMPRODUCT('Staging Table'!L112:AI112,LS_Demand_Rates_Restatement!$C$4:$Z$4)-IF(Init!$R$15="No",('Staging Table'!BH112*Rates_previous!$H$34), 0),SUMPRODUCT('Staging Table'!BZ112:CW112,LS_Demand_Rates_Restatement!$C$4:$Z$4)-IF(Init!$R$15="No", 'Staging Table'!DV112*Rates_previous!$H$34, 0))</f>
        <v>-66531.944889282895</v>
      </c>
      <c r="G110" s="251">
        <f>IF(Init!$R$9="Yes",SUMPRODUCT('Staging Table'!AJ112:AU112,LS_Demand_Rates_Restatement!$C$10:$N$10),SUMPRODUCT(LS_Demand_Rates_Restatement!$C$10:$N$10,'Staging Table'!CX112:DI112))*1000</f>
        <v>139746.08999999997</v>
      </c>
      <c r="H110" s="252">
        <f>IF(Init!$R$9="Yes",'Staging Table'!BR112,'Staging Table'!EF112)*IF(Init!$R$3=2018,Rates_previous!$C$88,Rates_previous!$D$88)</f>
        <v>0</v>
      </c>
      <c r="I110" s="250">
        <f>IF(Init!$R$9="Yes",IF('Staging Table'!$F$1=2018,(SUM('Staging Table'!BD112:BG112)*Rates_previous!$C$87),(SUM('Staging Table'!BD112:BG112)*Rates_previous!$D$87)),IF('Staging Table'!$F$1=2018,(SUM('Staging Table'!DR112:DU112)*Rates_previous!$C$87),(SUM('Staging Table'!DR112:DU112)*Rates_previous!$D$87)))</f>
        <v>13419.278925369035</v>
      </c>
      <c r="J110" s="252">
        <f>IF(Init!$R$9="Yes",IF('Staging Table'!D112=1,'Staging Table'!H112*-1,'Staging Table'!H112*SUM(D110:I110)*(-1)),IF('Staging Table'!D112=1,'Staging Table'!BV112*-1,'Staging Table'!BV112*SUM(D110:I110)*(-1)))</f>
        <v>-102849.6901979187</v>
      </c>
      <c r="K110" s="250">
        <f>IF(Init!$R$9="Yes",'Staging Table'!K112,'Staging Table'!BY112)*(-1)*Rates_previous!$H$32</f>
        <v>-235309.83840000001</v>
      </c>
      <c r="L110" s="250">
        <f>IF(Init!$R$12="No",0,'Staging Table'!$BI112*-1)</f>
        <v>-38025.107164965273</v>
      </c>
      <c r="M110" s="250">
        <f>IF('Staging Table'!C112=1,"",SUM(D110:L110))</f>
        <v>1808295.4245132024</v>
      </c>
      <c r="N110" s="250">
        <f>IF('Staging Table'!C112=1,"",IF(Init!$R$9="Yes",(RT1SC!$C$3*'Staging Table'!E112*'Staging Table'!$F$2)+SUM('Staging Table'!L112:AI112)-IF(Init!$R$15="No",'Staging Table'!BH112, 0),Z110))</f>
        <v>58315.32</v>
      </c>
      <c r="O110" s="126">
        <f>IF('Staging Table'!C112=1,"",IF(N110=0, 0, M110/N110))</f>
        <v>31.008925690765349</v>
      </c>
      <c r="P110" s="250">
        <f>'Staging Table'!BS112*Rates_current!$E$74*100*12</f>
        <v>2276606.0624400005</v>
      </c>
      <c r="Q110" s="250">
        <f>'Staging Table'!BT112*Rates_current!$E$75*100*12</f>
        <v>-230315.56019999998</v>
      </c>
      <c r="R110" s="251">
        <f>SUMPRODUCT('Staging Table'!BZ112:CW112, LS_Demand_Rates_Restatement!$C$5:$Z$5)-IF(Init!$R$15="No",('Staging Table'!DV112*Rates_current!$H$34), 0)</f>
        <v>-81866.398014456776</v>
      </c>
      <c r="S110" s="251">
        <f>SUMPRODUCT('Staging Table'!CX112:DI112, LS_Demand_Rates_Restatement!$C$11:$N$11)*1000</f>
        <v>151909.53</v>
      </c>
      <c r="T110" s="252">
        <f>'Staging Table'!EF112*IF(Init!$R$18="Yes",IF(Init!$R$6=2020,Rates_current!$C$88,Rates_current!$D$88),Rates_current!$H$33)</f>
        <v>0</v>
      </c>
      <c r="U110" s="252">
        <f>IF(Init!$R$18="Yes",(SUM('Staging Table'!DL112:DU112)*IF('Staging Table'!$BT$1=2020, Rates_current!$C$87, Rates_current!$D$87)),0)</f>
        <v>39741.981793205654</v>
      </c>
      <c r="V110" s="252">
        <f>IF('Staging Table'!D112=1, 'Staging Table'!BV112*-1,SUM(P110:U110)*'Staging Table'!BV112*-1)</f>
        <v>-103050.49649786254</v>
      </c>
      <c r="W110" s="250">
        <f>'Staging Table'!BY112*Rates_current!$H$32*-1</f>
        <v>-222303.76739999998</v>
      </c>
      <c r="X110" s="250">
        <f>IF(Init!$R$12="No",0,'Staging Table'!$DW112*-1)</f>
        <v>0</v>
      </c>
      <c r="Y110" s="250">
        <f>IF('Staging Table'!C112=1,"",SUM(P110:X110))</f>
        <v>1830721.3521208868</v>
      </c>
      <c r="Z110" s="250">
        <f>IF('Staging Table'!C112=1,"",(RT1SC!$C$4*'Staging Table'!BS112*'Staging Table'!$BT$2)+SUM('Staging Table'!BZ112:CW112)-IF(Init!$R$15="No",'Staging Table'!DV112, 0))</f>
        <v>59107.536</v>
      </c>
      <c r="AA110" s="126">
        <f>IF('Staging Table'!C112=1,"",IF(Z110=0, 0, Y110/Z110))</f>
        <v>30.972723209454827</v>
      </c>
      <c r="AB110" s="118">
        <f>IF('Staging Table'!C112=1,"",AA110/O110-1)</f>
        <v>-1.1674858288077683E-3</v>
      </c>
      <c r="AC110" s="79">
        <f t="shared" ca="1" si="1"/>
        <v>99</v>
      </c>
      <c r="AF110" s="255"/>
      <c r="AG110" s="255"/>
      <c r="AH110" s="271"/>
      <c r="AI110" s="255"/>
      <c r="AJ110" s="255"/>
    </row>
    <row r="111" spans="2:36">
      <c r="B111" s="3">
        <v>10363</v>
      </c>
      <c r="C111" s="4" t="s">
        <v>114</v>
      </c>
      <c r="D111" s="250">
        <f>IF(Init!$R$9="Yes",'Staging Table'!E113,'Staging Table'!BS113)*Rates_previous!$E$75*100*12</f>
        <v>34626513.003839999</v>
      </c>
      <c r="E111" s="250">
        <f>IF(Init!$R$9="Yes",'Staging Table'!F113,'Staging Table'!BT113)*Rates_previous!$E$76*100*12</f>
        <v>-4883091.9545999998</v>
      </c>
      <c r="F111" s="251">
        <f>IF(Init!$R$9="Yes",SUMPRODUCT('Staging Table'!L113:AI113,LS_Demand_Rates_Restatement!$C$4:$Z$4)-IF(Init!$R$15="No",('Staging Table'!BH113*Rates_previous!$H$34), 0),SUMPRODUCT('Staging Table'!BZ113:CW113,LS_Demand_Rates_Restatement!$C$4:$Z$4)-IF(Init!$R$15="No", 'Staging Table'!DV113*Rates_previous!$H$34, 0))</f>
        <v>576242.0299999998</v>
      </c>
      <c r="G111" s="251">
        <f>IF(Init!$R$9="Yes",SUMPRODUCT('Staging Table'!AJ113:AU113,LS_Demand_Rates_Restatement!$C$10:$N$10),SUMPRODUCT(LS_Demand_Rates_Restatement!$C$10:$N$10,'Staging Table'!CX113:DI113))*1000</f>
        <v>1795314.74</v>
      </c>
      <c r="H111" s="252">
        <f>IF(Init!$R$9="Yes",'Staging Table'!BR113,'Staging Table'!EF113)*IF(Init!$R$3=2018,Rates_previous!$C$88,Rates_previous!$D$88)</f>
        <v>73971.009170277539</v>
      </c>
      <c r="I111" s="250">
        <f>IF(Init!$R$9="Yes",IF('Staging Table'!$F$1=2018,(SUM('Staging Table'!BD113:BG113)*Rates_previous!$C$87),(SUM('Staging Table'!BD113:BG113)*Rates_previous!$D$87)),IF('Staging Table'!$F$1=2018,(SUM('Staging Table'!DR113:DU113)*Rates_previous!$C$87),(SUM('Staging Table'!DR113:DU113)*Rates_previous!$D$87)))</f>
        <v>190259.50532295337</v>
      </c>
      <c r="J111" s="252">
        <f>IF(Init!$R$9="Yes",IF('Staging Table'!D113=1,'Staging Table'!H113*-1,'Staging Table'!H113*SUM(D111:I111)*(-1)),IF('Staging Table'!D113=1,'Staging Table'!BV113*-1,'Staging Table'!BV113*SUM(D111:I111)*(-1)))</f>
        <v>0</v>
      </c>
      <c r="K111" s="250">
        <f>IF(Init!$R$9="Yes",'Staging Table'!K113,'Staging Table'!BY113)*(-1)*Rates_previous!$H$32</f>
        <v>0</v>
      </c>
      <c r="L111" s="250">
        <f>IF(Init!$R$12="No",0,'Staging Table'!$BI113*-1)</f>
        <v>-1029859.1874471301</v>
      </c>
      <c r="M111" s="250">
        <f>IF('Staging Table'!C113=1,"",SUM(D111:L111))</f>
        <v>31349349.1462861</v>
      </c>
      <c r="N111" s="250">
        <f>IF('Staging Table'!C113=1,"",IF(Init!$R$9="Yes",(RT1SC!$C$3*'Staging Table'!E113*'Staging Table'!$F$2)+SUM('Staging Table'!L113:AI113)-IF(Init!$R$15="No",'Staging Table'!BH113, 0),Z111))</f>
        <v>832537.7250824559</v>
      </c>
      <c r="O111" s="126">
        <f>IF('Staging Table'!C113=1,"",IF(N111=0, 0, M111/N111))</f>
        <v>37.655169491786346</v>
      </c>
      <c r="P111" s="250">
        <f>'Staging Table'!BS113*Rates_current!$E$74*100*12</f>
        <v>32081631.270960003</v>
      </c>
      <c r="Q111" s="250">
        <f>'Staging Table'!BT113*Rates_current!$E$75*100*12</f>
        <v>-3245576.3867999995</v>
      </c>
      <c r="R111" s="251">
        <f>SUMPRODUCT('Staging Table'!BZ113:CW113, LS_Demand_Rates_Restatement!$C$5:$Z$5)-IF(Init!$R$15="No",('Staging Table'!DV113*Rates_current!$H$34), 0)</f>
        <v>490028.1100000001</v>
      </c>
      <c r="S111" s="251">
        <f>SUMPRODUCT('Staging Table'!CX113:DI113, LS_Demand_Rates_Restatement!$C$11:$N$11)*1000</f>
        <v>2018931.69</v>
      </c>
      <c r="T111" s="252">
        <f>'Staging Table'!EF113*IF(Init!$R$18="Yes",IF(Init!$R$6=2020,Rates_current!$C$88,Rates_current!$D$88),Rates_current!$H$33)</f>
        <v>-5876.9408003407643</v>
      </c>
      <c r="U111" s="252">
        <f>IF(Init!$R$18="Yes",(SUM('Staging Table'!DL113:DU113)*IF('Staging Table'!$BT$1=2020, Rates_current!$C$87, Rates_current!$D$87)),0)</f>
        <v>560038.74666851002</v>
      </c>
      <c r="V111" s="252">
        <f>IF('Staging Table'!D113=1, 'Staging Table'!BV113*-1,SUM(P111:U111)*'Staging Table'!BV113*-1)</f>
        <v>0</v>
      </c>
      <c r="W111" s="250">
        <f>'Staging Table'!BY113*Rates_current!$H$32*-1</f>
        <v>0</v>
      </c>
      <c r="X111" s="250">
        <f>IF(Init!$R$12="No",0,'Staging Table'!$DW113*-1)</f>
        <v>0</v>
      </c>
      <c r="Y111" s="250">
        <f>IF('Staging Table'!C113=1,"",SUM(P111:X111))</f>
        <v>31899176.490028176</v>
      </c>
      <c r="Z111" s="250">
        <f>IF('Staging Table'!C113=1,"",(RT1SC!$C$4*'Staging Table'!BS113*'Staging Table'!$BT$2)+SUM('Staging Table'!BZ113:CW113)-IF(Init!$R$15="No",'Staging Table'!DV113, 0))</f>
        <v>832537.34636922868</v>
      </c>
      <c r="AA111" s="126">
        <f>IF('Staging Table'!C113=1,"",IF(Z111=0, 0, Y111/Z111))</f>
        <v>38.31561025957982</v>
      </c>
      <c r="AB111" s="118">
        <f>IF('Staging Table'!C113=1,"",AA111/O111-1)</f>
        <v>1.7539179260301463E-2</v>
      </c>
      <c r="AC111" s="79">
        <f t="shared" ca="1" si="1"/>
        <v>59</v>
      </c>
      <c r="AF111" s="255"/>
      <c r="AG111" s="255"/>
      <c r="AH111" s="271"/>
      <c r="AI111" s="255"/>
      <c r="AJ111" s="255"/>
    </row>
    <row r="112" spans="2:36">
      <c r="B112" s="3">
        <v>10369</v>
      </c>
      <c r="C112" s="4" t="s">
        <v>115</v>
      </c>
      <c r="D112" s="250">
        <f>IF(Init!$R$9="Yes",'Staging Table'!E114,'Staging Table'!BS114)*Rates_previous!$E$75*100*12</f>
        <v>5931380.4566400005</v>
      </c>
      <c r="E112" s="250">
        <f>IF(Init!$R$9="Yes",'Staging Table'!F114,'Staging Table'!BT114)*Rates_previous!$E$76*100*12</f>
        <v>-836453.73660000006</v>
      </c>
      <c r="F112" s="251">
        <f>IF(Init!$R$9="Yes",SUMPRODUCT('Staging Table'!L114:AI114,LS_Demand_Rates_Restatement!$C$4:$Z$4)-IF(Init!$R$15="No",('Staging Table'!BH114*Rates_previous!$H$34), 0),SUMPRODUCT('Staging Table'!BZ114:CW114,LS_Demand_Rates_Restatement!$C$4:$Z$4)-IF(Init!$R$15="No", 'Staging Table'!DV114*Rates_previous!$H$34, 0))</f>
        <v>-93785.940705048532</v>
      </c>
      <c r="G112" s="251">
        <f>IF(Init!$R$9="Yes",SUMPRODUCT('Staging Table'!AJ114:AU114,LS_Demand_Rates_Restatement!$C$10:$N$10),SUMPRODUCT(LS_Demand_Rates_Restatement!$C$10:$N$10,'Staging Table'!CX114:DI114))*1000</f>
        <v>255655.6</v>
      </c>
      <c r="H112" s="252">
        <f>IF(Init!$R$9="Yes",'Staging Table'!BR114,'Staging Table'!EF114)*IF(Init!$R$3=2018,Rates_previous!$C$88,Rates_previous!$D$88)</f>
        <v>0</v>
      </c>
      <c r="I112" s="250">
        <f>IF(Init!$R$9="Yes",IF('Staging Table'!$F$1=2018,(SUM('Staging Table'!BD114:BG114)*Rates_previous!$C$87),(SUM('Staging Table'!BD114:BG114)*Rates_previous!$D$87)),IF('Staging Table'!$F$1=2018,(SUM('Staging Table'!DR114:DU114)*Rates_previous!$C$87),(SUM('Staging Table'!DR114:DU114)*Rates_previous!$D$87)))</f>
        <v>32590.677306646827</v>
      </c>
      <c r="J112" s="252">
        <f>IF(Init!$R$9="Yes",IF('Staging Table'!D114=1,'Staging Table'!H114*-1,'Staging Table'!H114*SUM(D112:I112)*(-1)),IF('Staging Table'!D114=1,'Staging Table'!BV114*-1,'Staging Table'!BV114*SUM(D112:I112)*(-1)))</f>
        <v>-386447.90774529177</v>
      </c>
      <c r="K112" s="250">
        <f>IF(Init!$R$9="Yes",'Staging Table'!K114,'Staging Table'!BY114)*(-1)*Rates_previous!$H$32</f>
        <v>-543440.19576000003</v>
      </c>
      <c r="L112" s="250">
        <f>IF(Init!$R$12="No",0,'Staging Table'!$BI114*-1)</f>
        <v>-174129.32770838495</v>
      </c>
      <c r="M112" s="250">
        <f>IF('Staging Table'!C114=1,"",SUM(D112:L112))</f>
        <v>4185369.6254279213</v>
      </c>
      <c r="N112" s="250">
        <f>IF('Staging Table'!C114=1,"",IF(Init!$R$9="Yes",(RT1SC!$C$3*'Staging Table'!E114*'Staging Table'!$F$2)+SUM('Staging Table'!L114:AI114)-IF(Init!$R$15="No",'Staging Table'!BH114, 0),Z112))</f>
        <v>141631.67999999999</v>
      </c>
      <c r="O112" s="126">
        <f>IF('Staging Table'!C114=1,"",IF(N112=0, 0, M112/N112))</f>
        <v>29.551083665941981</v>
      </c>
      <c r="P112" s="250">
        <f>'Staging Table'!BS114*Rates_current!$E$74*100*12</f>
        <v>5530258.5308399983</v>
      </c>
      <c r="Q112" s="250">
        <f>'Staging Table'!BT114*Rates_current!$E$75*100*12</f>
        <v>-559475.18220000004</v>
      </c>
      <c r="R112" s="251">
        <f>SUMPRODUCT('Staging Table'!BZ114:CW114, LS_Demand_Rates_Restatement!$C$5:$Z$5)-IF(Init!$R$15="No",('Staging Table'!DV114*Rates_current!$H$34), 0)</f>
        <v>-255390.22999999986</v>
      </c>
      <c r="S112" s="251">
        <f>SUMPRODUCT('Staging Table'!CX114:DI114, LS_Demand_Rates_Restatement!$C$11:$N$11)*1000</f>
        <v>289017.43999999994</v>
      </c>
      <c r="T112" s="252">
        <f>'Staging Table'!EF114*IF(Init!$R$18="Yes",IF(Init!$R$6=2020,Rates_current!$C$88,Rates_current!$D$88),Rates_current!$H$33)</f>
        <v>0</v>
      </c>
      <c r="U112" s="252">
        <f>IF(Init!$R$18="Yes",(SUM('Staging Table'!DL114:DU114)*IF('Staging Table'!$BT$1=2020, Rates_current!$C$87, Rates_current!$D$87)),0)</f>
        <v>96539.949300146385</v>
      </c>
      <c r="V112" s="252">
        <f>IF('Staging Table'!D114=1, 'Staging Table'!BV114*-1,SUM(P112:U112)*'Staging Table'!BV114*-1)</f>
        <v>-393527.10959646484</v>
      </c>
      <c r="W112" s="250">
        <f>'Staging Table'!BY114*Rates_current!$H$32*-1</f>
        <v>-513403.11011000001</v>
      </c>
      <c r="X112" s="250">
        <f>IF(Init!$R$12="No",0,'Staging Table'!$DW114*-1)</f>
        <v>0</v>
      </c>
      <c r="Y112" s="250">
        <f>IF('Staging Table'!C114=1,"",SUM(P112:X112))</f>
        <v>4194020.2882336816</v>
      </c>
      <c r="Z112" s="250">
        <f>IF('Staging Table'!C114=1,"",(RT1SC!$C$4*'Staging Table'!BS114*'Staging Table'!$BT$2)+SUM('Staging Table'!BZ114:CW114)-IF(Init!$R$15="No",'Staging Table'!DV114, 0))</f>
        <v>135701.43996907517</v>
      </c>
      <c r="AA112" s="126">
        <f>IF('Staging Table'!C114=1,"",IF(Z112=0, 0, Y112/Z112))</f>
        <v>30.906232750289544</v>
      </c>
      <c r="AB112" s="118">
        <f>IF('Staging Table'!C114=1,"",AA112/O112-1)</f>
        <v>4.585784736921128E-2</v>
      </c>
      <c r="AC112" s="79">
        <f t="shared" ca="1" si="1"/>
        <v>3</v>
      </c>
      <c r="AF112" s="255"/>
      <c r="AG112" s="255"/>
      <c r="AH112" s="271"/>
      <c r="AI112" s="255"/>
      <c r="AJ112" s="255"/>
    </row>
    <row r="113" spans="2:36">
      <c r="B113" s="3">
        <v>10370</v>
      </c>
      <c r="C113" s="4" t="s">
        <v>116</v>
      </c>
      <c r="D113" s="250">
        <f>IF(Init!$R$9="Yes",'Staging Table'!E115,'Staging Table'!BS115)*Rates_previous!$E$75*100*12</f>
        <v>141113403.40031999</v>
      </c>
      <c r="E113" s="250">
        <f>IF(Init!$R$9="Yes",'Staging Table'!F115,'Staging Table'!BT115)*Rates_previous!$E$76*100*12</f>
        <v>-9255530.7173999995</v>
      </c>
      <c r="F113" s="251">
        <f>IF(Init!$R$9="Yes",SUMPRODUCT('Staging Table'!L115:AI115,LS_Demand_Rates_Restatement!$C$4:$Z$4)-IF(Init!$R$15="No",('Staging Table'!BH115*Rates_previous!$H$34), 0),SUMPRODUCT('Staging Table'!BZ115:CW115,LS_Demand_Rates_Restatement!$C$4:$Z$4)-IF(Init!$R$15="No", 'Staging Table'!DV115*Rates_previous!$H$34, 0))</f>
        <v>297769.37500000029</v>
      </c>
      <c r="G113" s="251">
        <f>IF(Init!$R$9="Yes",SUMPRODUCT('Staging Table'!AJ115:AU115,LS_Demand_Rates_Restatement!$C$10:$N$10),SUMPRODUCT(LS_Demand_Rates_Restatement!$C$10:$N$10,'Staging Table'!CX115:DI115))*1000</f>
        <v>0</v>
      </c>
      <c r="H113" s="252">
        <f>IF(Init!$R$9="Yes",'Staging Table'!BR115,'Staging Table'!EF115)*IF(Init!$R$3=2018,Rates_previous!$C$88,Rates_previous!$D$88)</f>
        <v>0</v>
      </c>
      <c r="I113" s="250">
        <f>IF(Init!$R$9="Yes",IF('Staging Table'!$F$1=2018,(SUM('Staging Table'!BD115:BG115)*Rates_previous!$C$87),(SUM('Staging Table'!BD115:BG115)*Rates_previous!$D$87)),IF('Staging Table'!$F$1=2018,(SUM('Staging Table'!DR115:DU115)*Rates_previous!$C$87),(SUM('Staging Table'!DR115:DU115)*Rates_previous!$D$87)))</f>
        <v>360622.47284429282</v>
      </c>
      <c r="J113" s="252">
        <f>IF(Init!$R$9="Yes",IF('Staging Table'!D115=1,'Staging Table'!H115*-1,'Staging Table'!H115*SUM(D113:I113)*(-1)),IF('Staging Table'!D115=1,'Staging Table'!BV115*-1,'Staging Table'!BV115*SUM(D113:I113)*(-1)))</f>
        <v>0</v>
      </c>
      <c r="K113" s="250">
        <f>IF(Init!$R$9="Yes",'Staging Table'!K115,'Staging Table'!BY115)*(-1)*Rates_previous!$H$32</f>
        <v>0</v>
      </c>
      <c r="L113" s="250">
        <f>IF(Init!$R$12="No",0,'Staging Table'!$BI115*-1)</f>
        <v>-5125709.8285247767</v>
      </c>
      <c r="M113" s="250">
        <f>IF('Staging Table'!C115=1,"",SUM(D113:L113))</f>
        <v>127390554.7022395</v>
      </c>
      <c r="N113" s="250">
        <f>IF('Staging Table'!C115=1,"",IF(Init!$R$9="Yes",(RT1SC!$C$3*'Staging Table'!E115*'Staging Table'!$F$2)+SUM('Staging Table'!L115:AI115)-IF(Init!$R$15="No",'Staging Table'!BH115, 0),Z113))</f>
        <v>3369856.3336022878</v>
      </c>
      <c r="O113" s="126">
        <f>IF('Staging Table'!C115=1,"",IF(N113=0, 0, M113/N113))</f>
        <v>37.80296312100117</v>
      </c>
      <c r="P113" s="250">
        <f>'Staging Table'!BS115*Rates_current!$E$74*100*12</f>
        <v>129789599.19599998</v>
      </c>
      <c r="Q113" s="250">
        <f>'Staging Table'!BT115*Rates_current!$E$75*100*12</f>
        <v>-6010685.5182000007</v>
      </c>
      <c r="R113" s="251">
        <f>SUMPRODUCT('Staging Table'!BZ115:CW115, LS_Demand_Rates_Restatement!$C$5:$Z$5)-IF(Init!$R$15="No",('Staging Table'!DV115*Rates_current!$H$34), 0)</f>
        <v>199302.8</v>
      </c>
      <c r="S113" s="251">
        <f>SUMPRODUCT('Staging Table'!CX115:DI115, LS_Demand_Rates_Restatement!$C$11:$N$11)*1000</f>
        <v>0</v>
      </c>
      <c r="T113" s="252">
        <f>'Staging Table'!EF115*IF(Init!$R$18="Yes",IF(Init!$R$6=2020,Rates_current!$C$88,Rates_current!$D$88),Rates_current!$H$33)</f>
        <v>0</v>
      </c>
      <c r="U113" s="252">
        <f>IF(Init!$R$18="Yes",(SUM('Staging Table'!DL115:DU115)*IF('Staging Table'!$BT$1=2020, Rates_current!$C$87, Rates_current!$D$87)),0)</f>
        <v>1037170.7157847048</v>
      </c>
      <c r="V113" s="252">
        <f>IF('Staging Table'!D115=1, 'Staging Table'!BV115*-1,SUM(P113:U113)*'Staging Table'!BV115*-1)</f>
        <v>0</v>
      </c>
      <c r="W113" s="250">
        <f>'Staging Table'!BY115*Rates_current!$H$32*-1</f>
        <v>0</v>
      </c>
      <c r="X113" s="250">
        <f>IF(Init!$R$12="No",0,'Staging Table'!$DW115*-1)</f>
        <v>0</v>
      </c>
      <c r="Y113" s="250">
        <f>IF('Staging Table'!C115=1,"",SUM(P113:X113))</f>
        <v>125015387.19358468</v>
      </c>
      <c r="Z113" s="250">
        <f>IF('Staging Table'!C115=1,"",(RT1SC!$C$4*'Staging Table'!BS115*'Staging Table'!$BT$2)+SUM('Staging Table'!BZ115:CW115)-IF(Init!$R$15="No",'Staging Table'!DV115, 0))</f>
        <v>3361933.9452108801</v>
      </c>
      <c r="AA113" s="126">
        <f>IF('Staging Table'!C115=1,"",IF(Z113=0, 0, Y113/Z113))</f>
        <v>37.185557250959903</v>
      </c>
      <c r="AB113" s="118">
        <f>IF('Staging Table'!C115=1,"",AA113/O113-1)</f>
        <v>-1.6332208352690558E-2</v>
      </c>
      <c r="AC113" s="79">
        <f t="shared" ca="1" si="1"/>
        <v>107</v>
      </c>
      <c r="AF113" s="255"/>
      <c r="AG113" s="255"/>
      <c r="AH113" s="271"/>
      <c r="AI113" s="255"/>
      <c r="AJ113" s="255"/>
    </row>
    <row r="114" spans="2:36">
      <c r="B114" s="3">
        <v>10371</v>
      </c>
      <c r="C114" s="4" t="s">
        <v>117</v>
      </c>
      <c r="D114" s="250">
        <f>IF(Init!$R$9="Yes",'Staging Table'!E116,'Staging Table'!BS116)*Rates_previous!$E$75*100*12</f>
        <v>3982108.8672000002</v>
      </c>
      <c r="E114" s="250">
        <f>IF(Init!$R$9="Yes",'Staging Table'!F116,'Staging Table'!BT116)*Rates_previous!$E$76*100*12</f>
        <v>-561564.01799999992</v>
      </c>
      <c r="F114" s="251">
        <f>IF(Init!$R$9="Yes",SUMPRODUCT('Staging Table'!L116:AI116,LS_Demand_Rates_Restatement!$C$4:$Z$4)-IF(Init!$R$15="No",('Staging Table'!BH116*Rates_previous!$H$34), 0),SUMPRODUCT('Staging Table'!BZ116:CW116,LS_Demand_Rates_Restatement!$C$4:$Z$4)-IF(Init!$R$15="No", 'Staging Table'!DV116*Rates_previous!$H$34, 0))</f>
        <v>-38830.060000000027</v>
      </c>
      <c r="G114" s="251">
        <f>IF(Init!$R$9="Yes",SUMPRODUCT('Staging Table'!AJ116:AU116,LS_Demand_Rates_Restatement!$C$10:$N$10),SUMPRODUCT(LS_Demand_Rates_Restatement!$C$10:$N$10,'Staging Table'!CX116:DI116))*1000</f>
        <v>65667.98</v>
      </c>
      <c r="H114" s="252">
        <f>IF(Init!$R$9="Yes",'Staging Table'!BR116,'Staging Table'!EF116)*IF(Init!$R$3=2018,Rates_previous!$C$88,Rates_previous!$D$88)</f>
        <v>0</v>
      </c>
      <c r="I114" s="250">
        <f>IF(Init!$R$9="Yes",IF('Staging Table'!$F$1=2018,(SUM('Staging Table'!BD116:BG116)*Rates_previous!$C$87),(SUM('Staging Table'!BD116:BG116)*Rates_previous!$D$87)),IF('Staging Table'!$F$1=2018,(SUM('Staging Table'!DR116:DU116)*Rates_previous!$C$87),(SUM('Staging Table'!DR116:DU116)*Rates_previous!$D$87)))</f>
        <v>21880.172084656584</v>
      </c>
      <c r="J114" s="252">
        <f>IF(Init!$R$9="Yes",IF('Staging Table'!D116=1,'Staging Table'!H116*-1,'Staging Table'!H116*SUM(D114:I114)*(-1)),IF('Staging Table'!D116=1,'Staging Table'!BV116*-1,'Staging Table'!BV116*SUM(D114:I114)*(-1)))</f>
        <v>0</v>
      </c>
      <c r="K114" s="250">
        <f>IF(Init!$R$9="Yes",'Staging Table'!K116,'Staging Table'!BY116)*(-1)*Rates_previous!$H$32</f>
        <v>0</v>
      </c>
      <c r="L114" s="250">
        <f>IF(Init!$R$12="No",0,'Staging Table'!$BI116*-1)</f>
        <v>-121409.34421493355</v>
      </c>
      <c r="M114" s="250">
        <f>IF('Staging Table'!C116=1,"",SUM(D114:L114))</f>
        <v>3347853.5970697231</v>
      </c>
      <c r="N114" s="250">
        <f>IF('Staging Table'!C116=1,"",IF(Init!$R$9="Yes",(RT1SC!$C$3*'Staging Table'!E116*'Staging Table'!$F$2)+SUM('Staging Table'!L116:AI116)-IF(Init!$R$15="No",'Staging Table'!BH116, 0),Z114))</f>
        <v>91277.99805047999</v>
      </c>
      <c r="O114" s="126">
        <f>IF('Staging Table'!C116=1,"",IF(N114=0, 0, M114/N114))</f>
        <v>36.677552844862355</v>
      </c>
      <c r="P114" s="250">
        <f>'Staging Table'!BS116*Rates_current!$E$74*100*12</f>
        <v>3712823.8759199996</v>
      </c>
      <c r="Q114" s="250">
        <f>'Staging Table'!BT116*Rates_current!$E$75*100*12</f>
        <v>-375612.24359999999</v>
      </c>
      <c r="R114" s="251">
        <f>SUMPRODUCT('Staging Table'!BZ116:CW116, LS_Demand_Rates_Restatement!$C$5:$Z$5)-IF(Init!$R$15="No",('Staging Table'!DV116*Rates_current!$H$34), 0)</f>
        <v>55427.718032871584</v>
      </c>
      <c r="S114" s="251">
        <f>SUMPRODUCT('Staging Table'!CX116:DI116, LS_Demand_Rates_Restatement!$C$11:$N$11)*1000</f>
        <v>64814.11</v>
      </c>
      <c r="T114" s="252">
        <f>'Staging Table'!EF116*IF(Init!$R$18="Yes",IF(Init!$R$6=2020,Rates_current!$C$88,Rates_current!$D$88),Rates_current!$H$33)</f>
        <v>0</v>
      </c>
      <c r="U114" s="252">
        <f>IF(Init!$R$18="Yes",(SUM('Staging Table'!DL116:DU116)*IF('Staging Table'!$BT$1=2020, Rates_current!$C$87, Rates_current!$D$87)),0)</f>
        <v>64813.575485275978</v>
      </c>
      <c r="V114" s="252">
        <f>IF('Staging Table'!D116=1, 'Staging Table'!BV116*-1,SUM(P114:U114)*'Staging Table'!BV116*-1)</f>
        <v>0</v>
      </c>
      <c r="W114" s="250">
        <f>'Staging Table'!BY116*Rates_current!$H$32*-1</f>
        <v>0</v>
      </c>
      <c r="X114" s="250">
        <f>IF(Init!$R$12="No",0,'Staging Table'!$DW116*-1)</f>
        <v>0</v>
      </c>
      <c r="Y114" s="250">
        <f>IF('Staging Table'!C116=1,"",SUM(P114:X114))</f>
        <v>3522267.0358381467</v>
      </c>
      <c r="Z114" s="250">
        <f>IF('Staging Table'!C116=1,"",(RT1SC!$C$4*'Staging Table'!BS116*'Staging Table'!$BT$2)+SUM('Staging Table'!BZ116:CW116)-IF(Init!$R$15="No",'Staging Table'!DV116, 0))</f>
        <v>96395.615999999995</v>
      </c>
      <c r="AA114" s="126">
        <f>IF('Staging Table'!C116=1,"",IF(Z114=0, 0, Y114/Z114))</f>
        <v>36.539701513377402</v>
      </c>
      <c r="AB114" s="118">
        <f>IF('Staging Table'!C116=1,"",AA114/O114-1)</f>
        <v>-3.7584658951493877E-3</v>
      </c>
      <c r="AC114" s="79">
        <f t="shared" ca="1" si="1"/>
        <v>102</v>
      </c>
      <c r="AF114" s="255"/>
      <c r="AG114" s="255"/>
      <c r="AH114" s="271"/>
      <c r="AI114" s="255"/>
      <c r="AJ114" s="255"/>
    </row>
    <row r="115" spans="2:36">
      <c r="B115" s="3">
        <v>10376</v>
      </c>
      <c r="C115" s="4" t="s">
        <v>118</v>
      </c>
      <c r="D115" s="250">
        <f>IF(Init!$R$9="Yes",'Staging Table'!E117,'Staging Table'!BS117)*Rates_previous!$E$75*100*12</f>
        <v>19899843.851519998</v>
      </c>
      <c r="E115" s="250">
        <f>IF(Init!$R$9="Yes",'Staging Table'!F117,'Staging Table'!BT117)*Rates_previous!$E$76*100*12</f>
        <v>-2806311.0887999996</v>
      </c>
      <c r="F115" s="251">
        <f>IF(Init!$R$9="Yes",SUMPRODUCT('Staging Table'!L117:AI117,LS_Demand_Rates_Restatement!$C$4:$Z$4)-IF(Init!$R$15="No",('Staging Table'!BH117*Rates_previous!$H$34), 0),SUMPRODUCT('Staging Table'!BZ117:CW117,LS_Demand_Rates_Restatement!$C$4:$Z$4)-IF(Init!$R$15="No", 'Staging Table'!DV117*Rates_previous!$H$34, 0))</f>
        <v>441255.74750710576</v>
      </c>
      <c r="G115" s="251">
        <f>IF(Init!$R$9="Yes",SUMPRODUCT('Staging Table'!AJ117:AU117,LS_Demand_Rates_Restatement!$C$10:$N$10),SUMPRODUCT(LS_Demand_Rates_Restatement!$C$10:$N$10,'Staging Table'!CX117:DI117))*1000</f>
        <v>787574.33000000007</v>
      </c>
      <c r="H115" s="252">
        <f>IF(Init!$R$9="Yes",'Staging Table'!BR117,'Staging Table'!EF117)*IF(Init!$R$3=2018,Rates_previous!$C$88,Rates_previous!$D$88)</f>
        <v>100628.74800000121</v>
      </c>
      <c r="I115" s="250">
        <f>IF(Init!$R$9="Yes",IF('Staging Table'!$F$1=2018,(SUM('Staging Table'!BD117:BG117)*Rates_previous!$C$87),(SUM('Staging Table'!BD117:BG117)*Rates_previous!$D$87)),IF('Staging Table'!$F$1=2018,(SUM('Staging Table'!DR117:DU117)*Rates_previous!$C$87),(SUM('Staging Table'!DR117:DU117)*Rates_previous!$D$87)))</f>
        <v>109342.06533514756</v>
      </c>
      <c r="J115" s="252">
        <f>IF(Init!$R$9="Yes",IF('Staging Table'!D117=1,'Staging Table'!H117*-1,'Staging Table'!H117*SUM(D115:I115)*(-1)),IF('Staging Table'!D117=1,'Staging Table'!BV117*-1,'Staging Table'!BV117*SUM(D115:I115)*(-1)))</f>
        <v>0</v>
      </c>
      <c r="K115" s="250">
        <f>IF(Init!$R$9="Yes",'Staging Table'!K117,'Staging Table'!BY117)*(-1)*Rates_previous!$H$32</f>
        <v>0</v>
      </c>
      <c r="L115" s="250">
        <f>IF(Init!$R$12="No",0,'Staging Table'!$BI117*-1)</f>
        <v>-597358.67315951898</v>
      </c>
      <c r="M115" s="250">
        <f>IF('Staging Table'!C117=1,"",SUM(D115:L115))</f>
        <v>17934974.980402734</v>
      </c>
      <c r="N115" s="250">
        <f>IF('Staging Table'!C117=1,"",IF(Init!$R$9="Yes",(RT1SC!$C$3*'Staging Table'!E117*'Staging Table'!$F$2)+SUM('Staging Table'!L117:AI117)-IF(Init!$R$15="No",'Staging Table'!BH117, 0),Z115))</f>
        <v>482938.80000000005</v>
      </c>
      <c r="O115" s="126">
        <f>IF('Staging Table'!C117=1,"",IF(N115=0, 0, M115/N115))</f>
        <v>37.137158953479677</v>
      </c>
      <c r="P115" s="250">
        <f>'Staging Table'!BS117*Rates_current!$E$74*100*12</f>
        <v>18441721.2042</v>
      </c>
      <c r="Q115" s="250">
        <f>'Staging Table'!BT117*Rates_current!$E$75*100*12</f>
        <v>-1865678.6609999998</v>
      </c>
      <c r="R115" s="251">
        <f>SUMPRODUCT('Staging Table'!BZ117:CW117, LS_Demand_Rates_Restatement!$C$5:$Z$5)-IF(Init!$R$15="No",('Staging Table'!DV117*Rates_current!$H$34), 0)</f>
        <v>428986.71999999991</v>
      </c>
      <c r="S115" s="251">
        <f>SUMPRODUCT('Staging Table'!CX117:DI117, LS_Demand_Rates_Restatement!$C$11:$N$11)*1000</f>
        <v>872072.55999999994</v>
      </c>
      <c r="T115" s="252">
        <f>'Staging Table'!EF117*IF(Init!$R$18="Yes",IF(Init!$R$6=2020,Rates_current!$C$88,Rates_current!$D$88),Rates_current!$H$33)</f>
        <v>111064.16981939694</v>
      </c>
      <c r="U115" s="252">
        <f>IF(Init!$R$18="Yes",(SUM('Staging Table'!DL117:DU117)*IF('Staging Table'!$BT$1=2020, Rates_current!$C$87, Rates_current!$D$87)),0)</f>
        <v>321931.2117385731</v>
      </c>
      <c r="V115" s="252">
        <f>IF('Staging Table'!D117=1, 'Staging Table'!BV117*-1,SUM(P115:U115)*'Staging Table'!BV117*-1)</f>
        <v>0</v>
      </c>
      <c r="W115" s="250">
        <f>'Staging Table'!BY117*Rates_current!$H$32*-1</f>
        <v>0</v>
      </c>
      <c r="X115" s="250">
        <f>IF(Init!$R$12="No",0,'Staging Table'!$DW117*-1)</f>
        <v>0</v>
      </c>
      <c r="Y115" s="250">
        <f>IF('Staging Table'!C117=1,"",SUM(P115:X115))</f>
        <v>18310097.204757966</v>
      </c>
      <c r="Z115" s="250">
        <f>IF('Staging Table'!C117=1,"",(RT1SC!$C$4*'Staging Table'!BS117*'Staging Table'!$BT$2)+SUM('Staging Table'!BZ117:CW117)-IF(Init!$R$15="No",'Staging Table'!DV117, 0))</f>
        <v>485787.86038937594</v>
      </c>
      <c r="AA115" s="126">
        <f>IF('Staging Table'!C117=1,"",IF(Z115=0, 0, Y115/Z115))</f>
        <v>37.691549537861619</v>
      </c>
      <c r="AB115" s="118">
        <f>IF('Staging Table'!C117=1,"",AA115/O115-1)</f>
        <v>1.4928190524116536E-2</v>
      </c>
      <c r="AC115" s="79">
        <f t="shared" ca="1" si="1"/>
        <v>65</v>
      </c>
      <c r="AF115" s="255"/>
      <c r="AG115" s="255"/>
      <c r="AH115" s="271"/>
      <c r="AI115" s="255"/>
      <c r="AJ115" s="255"/>
    </row>
    <row r="116" spans="2:36">
      <c r="B116" s="3">
        <v>10378</v>
      </c>
      <c r="C116" s="4" t="s">
        <v>119</v>
      </c>
      <c r="D116" s="250">
        <f>IF(Init!$R$9="Yes",'Staging Table'!E118,'Staging Table'!BS118)*Rates_previous!$E$75*100*12</f>
        <v>690690.79583999992</v>
      </c>
      <c r="E116" s="250">
        <f>IF(Init!$R$9="Yes",'Staging Table'!F118,'Staging Table'!BT118)*Rates_previous!$E$76*100*12</f>
        <v>-97402.434599999993</v>
      </c>
      <c r="F116" s="251">
        <f>IF(Init!$R$9="Yes",SUMPRODUCT('Staging Table'!L118:AI118,LS_Demand_Rates_Restatement!$C$4:$Z$4)-IF(Init!$R$15="No",('Staging Table'!BH118*Rates_previous!$H$34), 0),SUMPRODUCT('Staging Table'!BZ118:CW118,LS_Demand_Rates_Restatement!$C$4:$Z$4)-IF(Init!$R$15="No", 'Staging Table'!DV118*Rates_previous!$H$34, 0))</f>
        <v>20994.92</v>
      </c>
      <c r="G116" s="251">
        <f>IF(Init!$R$9="Yes",SUMPRODUCT('Staging Table'!AJ118:AU118,LS_Demand_Rates_Restatement!$C$10:$N$10),SUMPRODUCT(LS_Demand_Rates_Restatement!$C$10:$N$10,'Staging Table'!CX118:DI118))*1000</f>
        <v>10418.73</v>
      </c>
      <c r="H116" s="252">
        <f>IF(Init!$R$9="Yes",'Staging Table'!BR118,'Staging Table'!EF118)*IF(Init!$R$3=2018,Rates_previous!$C$88,Rates_previous!$D$88)</f>
        <v>2813.9380324228305</v>
      </c>
      <c r="I116" s="250">
        <f>IF(Init!$R$9="Yes",IF('Staging Table'!$F$1=2018,(SUM('Staging Table'!BD118:BG118)*Rates_previous!$C$87),(SUM('Staging Table'!BD118:BG118)*Rates_previous!$D$87)),IF('Staging Table'!$F$1=2018,(SUM('Staging Table'!DR118:DU118)*Rates_previous!$C$87),(SUM('Staging Table'!DR118:DU118)*Rates_previous!$D$87)))</f>
        <v>3795.0829508319889</v>
      </c>
      <c r="J116" s="252">
        <f>IF(Init!$R$9="Yes",IF('Staging Table'!D118=1,'Staging Table'!H118*-1,'Staging Table'!H118*SUM(D116:I116)*(-1)),IF('Staging Table'!D118=1,'Staging Table'!BV118*-1,'Staging Table'!BV118*SUM(D116:I116)*(-1)))</f>
        <v>0</v>
      </c>
      <c r="K116" s="250">
        <f>IF(Init!$R$9="Yes",'Staging Table'!K118,'Staging Table'!BY118)*(-1)*Rates_previous!$H$32</f>
        <v>0</v>
      </c>
      <c r="L116" s="250">
        <f>IF(Init!$R$12="No",0,'Staging Table'!$BI118*-1)</f>
        <v>-10753.814471544005</v>
      </c>
      <c r="M116" s="250">
        <f>IF('Staging Table'!C118=1,"",SUM(D116:L116))</f>
        <v>620557.21775171068</v>
      </c>
      <c r="N116" s="250">
        <f>IF('Staging Table'!C118=1,"",IF(Init!$R$9="Yes",(RT1SC!$C$3*'Staging Table'!E118*'Staging Table'!$F$2)+SUM('Staging Table'!L118:AI118)-IF(Init!$R$15="No",'Staging Table'!BH118, 0),Z116))</f>
        <v>16711.870295255998</v>
      </c>
      <c r="O116" s="126">
        <f>IF('Staging Table'!C118=1,"",IF(N116=0, 0, M116/N116))</f>
        <v>37.132721041274976</v>
      </c>
      <c r="P116" s="250">
        <f>'Staging Table'!BS118*Rates_current!$E$74*100*12</f>
        <v>643838.16924000008</v>
      </c>
      <c r="Q116" s="250">
        <f>'Staging Table'!BT118*Rates_current!$E$75*100*12</f>
        <v>-65134.654200000004</v>
      </c>
      <c r="R116" s="251">
        <f>SUMPRODUCT('Staging Table'!BZ118:CW118, LS_Demand_Rates_Restatement!$C$5:$Z$5)-IF(Init!$R$15="No",('Staging Table'!DV118*Rates_current!$H$34), 0)</f>
        <v>16939.91</v>
      </c>
      <c r="S116" s="251">
        <f>SUMPRODUCT('Staging Table'!CX118:DI118, LS_Demand_Rates_Restatement!$C$11:$N$11)*1000</f>
        <v>11188.45</v>
      </c>
      <c r="T116" s="252">
        <f>'Staging Table'!EF118*IF(Init!$R$18="Yes",IF(Init!$R$6=2020,Rates_current!$C$88,Rates_current!$D$88),Rates_current!$H$33)</f>
        <v>-55.932192654315259</v>
      </c>
      <c r="U116" s="252">
        <f>IF(Init!$R$18="Yes",(SUM('Staging Table'!DL118:DU118)*IF('Staging Table'!$BT$1=2020, Rates_current!$C$87, Rates_current!$D$87)),0)</f>
        <v>11239.276404404856</v>
      </c>
      <c r="V116" s="252">
        <f>IF('Staging Table'!D118=1, 'Staging Table'!BV118*-1,SUM(P116:U116)*'Staging Table'!BV118*-1)</f>
        <v>0</v>
      </c>
      <c r="W116" s="250">
        <f>'Staging Table'!BY118*Rates_current!$H$32*-1</f>
        <v>0</v>
      </c>
      <c r="X116" s="250">
        <f>IF(Init!$R$12="No",0,'Staging Table'!$DW118*-1)</f>
        <v>0</v>
      </c>
      <c r="Y116" s="250">
        <f>IF('Staging Table'!C118=1,"",SUM(P116:X116))</f>
        <v>618015.21925175062</v>
      </c>
      <c r="Z116" s="250">
        <f>IF('Staging Table'!C118=1,"",(RT1SC!$C$4*'Staging Table'!BS118*'Staging Table'!$BT$2)+SUM('Staging Table'!BZ118:CW118)-IF(Init!$R$15="No",'Staging Table'!DV118, 0))</f>
        <v>16712.427602227202</v>
      </c>
      <c r="AA116" s="126">
        <f>IF('Staging Table'!C118=1,"",IF(Z116=0, 0, Y116/Z116))</f>
        <v>36.979380492238604</v>
      </c>
      <c r="AB116" s="118">
        <f>IF('Staging Table'!C118=1,"",AA116/O116-1)</f>
        <v>-4.1295263243953384E-3</v>
      </c>
      <c r="AC116" s="79">
        <f t="shared" ca="1" si="1"/>
        <v>104</v>
      </c>
      <c r="AF116" s="255"/>
      <c r="AG116" s="255"/>
      <c r="AH116" s="271"/>
      <c r="AI116" s="255"/>
      <c r="AJ116" s="255"/>
    </row>
    <row r="117" spans="2:36">
      <c r="B117" s="3">
        <v>10379</v>
      </c>
      <c r="C117" s="4" t="s">
        <v>120</v>
      </c>
      <c r="D117" s="250">
        <f>IF(Init!$R$9="Yes",'Staging Table'!E119,'Staging Table'!BS119)*Rates_previous!$E$75*100*12</f>
        <v>1724561.41536</v>
      </c>
      <c r="E117" s="250">
        <f>IF(Init!$R$9="Yes",'Staging Table'!F119,'Staging Table'!BT119)*Rates_previous!$E$76*100*12</f>
        <v>-243200.69340000002</v>
      </c>
      <c r="F117" s="251">
        <f>IF(Init!$R$9="Yes",SUMPRODUCT('Staging Table'!L119:AI119,LS_Demand_Rates_Restatement!$C$4:$Z$4)-IF(Init!$R$15="No",('Staging Table'!BH119*Rates_previous!$H$34), 0),SUMPRODUCT('Staging Table'!BZ119:CW119,LS_Demand_Rates_Restatement!$C$4:$Z$4)-IF(Init!$R$15="No", 'Staging Table'!DV119*Rates_previous!$H$34, 0))</f>
        <v>16529.270000000004</v>
      </c>
      <c r="G117" s="251">
        <f>IF(Init!$R$9="Yes",SUMPRODUCT('Staging Table'!AJ119:AU119,LS_Demand_Rates_Restatement!$C$10:$N$10),SUMPRODUCT(LS_Demand_Rates_Restatement!$C$10:$N$10,'Staging Table'!CX119:DI119))*1000</f>
        <v>98920.629999999976</v>
      </c>
      <c r="H117" s="252">
        <f>IF(Init!$R$9="Yes",'Staging Table'!BR119,'Staging Table'!EF119)*IF(Init!$R$3=2018,Rates_previous!$C$88,Rates_previous!$D$88)</f>
        <v>-7026.0166955843597</v>
      </c>
      <c r="I117" s="250">
        <f>IF(Init!$R$9="Yes",IF('Staging Table'!$F$1=2018,(SUM('Staging Table'!BD119:BG119)*Rates_previous!$C$87),(SUM('Staging Table'!BD119:BG119)*Rates_previous!$D$87)),IF('Staging Table'!$F$1=2018,(SUM('Staging Table'!DR119:DU119)*Rates_previous!$C$87),(SUM('Staging Table'!DR119:DU119)*Rates_previous!$D$87)))</f>
        <v>9475.8083711478193</v>
      </c>
      <c r="J117" s="252">
        <f>IF(Init!$R$9="Yes",IF('Staging Table'!D119=1,'Staging Table'!H119*-1,'Staging Table'!H119*SUM(D117:I117)*(-1)),IF('Staging Table'!D119=1,'Staging Table'!BV119*-1,'Staging Table'!BV119*SUM(D117:I117)*(-1)))</f>
        <v>0</v>
      </c>
      <c r="K117" s="250">
        <f>IF(Init!$R$9="Yes",'Staging Table'!K119,'Staging Table'!BY119)*(-1)*Rates_previous!$H$32</f>
        <v>0</v>
      </c>
      <c r="L117" s="250">
        <f>IF(Init!$R$12="No",0,'Staging Table'!$BI119*-1)</f>
        <v>-62377.837502015303</v>
      </c>
      <c r="M117" s="250">
        <f>IF('Staging Table'!C119=1,"",SUM(D117:L117))</f>
        <v>1536882.576133548</v>
      </c>
      <c r="N117" s="250">
        <f>IF('Staging Table'!C119=1,"",IF(Init!$R$9="Yes",(RT1SC!$C$3*'Staging Table'!E119*'Staging Table'!$F$2)+SUM('Staging Table'!L119:AI119)-IF(Init!$R$15="No",'Staging Table'!BH119, 0),Z117))</f>
        <v>40639.464414824004</v>
      </c>
      <c r="O117" s="126">
        <f>IF('Staging Table'!C119=1,"",IF(N117=0, 0, M117/N117))</f>
        <v>37.817490910951605</v>
      </c>
      <c r="P117" s="250">
        <f>'Staging Table'!BS119*Rates_current!$E$74*100*12</f>
        <v>1605673.9281600004</v>
      </c>
      <c r="Q117" s="250">
        <f>'Staging Table'!BT119*Rates_current!$E$75*100*12</f>
        <v>-162439.91280000002</v>
      </c>
      <c r="R117" s="251">
        <f>SUMPRODUCT('Staging Table'!BZ119:CW119, LS_Demand_Rates_Restatement!$C$5:$Z$5)-IF(Init!$R$15="No",('Staging Table'!DV119*Rates_current!$H$34), 0)</f>
        <v>12243.979999999992</v>
      </c>
      <c r="S117" s="251">
        <f>SUMPRODUCT('Staging Table'!CX119:DI119, LS_Demand_Rates_Restatement!$C$11:$N$11)*1000</f>
        <v>108849.17000000001</v>
      </c>
      <c r="T117" s="252">
        <f>'Staging Table'!EF119*IF(Init!$R$18="Yes",IF(Init!$R$6=2020,Rates_current!$C$88,Rates_current!$D$88),Rates_current!$H$33)</f>
        <v>-16696.913674880998</v>
      </c>
      <c r="U117" s="252">
        <f>IF(Init!$R$18="Yes",(SUM('Staging Table'!DL119:DU119)*IF('Staging Table'!$BT$1=2020, Rates_current!$C$87, Rates_current!$D$87)),0)</f>
        <v>28029.734731694058</v>
      </c>
      <c r="V117" s="252">
        <f>IF('Staging Table'!D119=1, 'Staging Table'!BV119*-1,SUM(P117:U117)*'Staging Table'!BV119*-1)</f>
        <v>0</v>
      </c>
      <c r="W117" s="250">
        <f>'Staging Table'!BY119*Rates_current!$H$32*-1</f>
        <v>0</v>
      </c>
      <c r="X117" s="250">
        <f>IF(Init!$R$12="No",0,'Staging Table'!$DW119*-1)</f>
        <v>0</v>
      </c>
      <c r="Y117" s="250">
        <f>IF('Staging Table'!C119=1,"",SUM(P117:X117))</f>
        <v>1575659.9864168132</v>
      </c>
      <c r="Z117" s="250">
        <f>IF('Staging Table'!C119=1,"",(RT1SC!$C$4*'Staging Table'!BS119*'Staging Table'!$BT$2)+SUM('Staging Table'!BZ119:CW119)-IF(Init!$R$15="No",'Staging Table'!DV119, 0))</f>
        <v>40636.758538444803</v>
      </c>
      <c r="AA117" s="126">
        <f>IF('Staging Table'!C119=1,"",IF(Z117=0, 0, Y117/Z117))</f>
        <v>38.774253732027979</v>
      </c>
      <c r="AB117" s="118">
        <f>IF('Staging Table'!C119=1,"",AA117/O117-1)</f>
        <v>2.5299479104239131E-2</v>
      </c>
      <c r="AC117" s="79">
        <f t="shared" ca="1" si="1"/>
        <v>27</v>
      </c>
      <c r="AF117" s="255"/>
      <c r="AG117" s="255"/>
      <c r="AH117" s="271"/>
      <c r="AI117" s="255"/>
      <c r="AJ117" s="255"/>
    </row>
    <row r="118" spans="2:36">
      <c r="B118" s="3">
        <v>10388</v>
      </c>
      <c r="C118" s="4" t="s">
        <v>121</v>
      </c>
      <c r="D118" s="250">
        <f>IF(Init!$R$9="Yes",'Staging Table'!E120,'Staging Table'!BS120)*Rates_previous!$E$75*100*12</f>
        <v>40869481.377599999</v>
      </c>
      <c r="E118" s="250">
        <f>IF(Init!$R$9="Yes",'Staging Table'!F120,'Staging Table'!BT120)*Rates_previous!$E$76*100*12</f>
        <v>-5763486.3690000009</v>
      </c>
      <c r="F118" s="251">
        <f>IF(Init!$R$9="Yes",SUMPRODUCT('Staging Table'!L120:AI120,LS_Demand_Rates_Restatement!$C$4:$Z$4)-IF(Init!$R$15="No",('Staging Table'!BH120*Rates_previous!$H$34), 0),SUMPRODUCT('Staging Table'!BZ120:CW120,LS_Demand_Rates_Restatement!$C$4:$Z$4)-IF(Init!$R$15="No", 'Staging Table'!DV120*Rates_previous!$H$34, 0))</f>
        <v>0</v>
      </c>
      <c r="G118" s="251">
        <f>IF(Init!$R$9="Yes",SUMPRODUCT('Staging Table'!AJ120:AU120,LS_Demand_Rates_Restatement!$C$10:$N$10),SUMPRODUCT(LS_Demand_Rates_Restatement!$C$10:$N$10,'Staging Table'!CX120:DI120))*1000</f>
        <v>0</v>
      </c>
      <c r="H118" s="252">
        <f>IF(Init!$R$9="Yes",'Staging Table'!BR120,'Staging Table'!EF120)*IF(Init!$R$3=2018,Rates_previous!$C$88,Rates_previous!$D$88)</f>
        <v>0</v>
      </c>
      <c r="I118" s="250">
        <f>IF(Init!$R$9="Yes",IF('Staging Table'!$F$1=2018,(SUM('Staging Table'!BD120:BG120)*Rates_previous!$C$87),(SUM('Staging Table'!BD120:BG120)*Rates_previous!$D$87)),IF('Staging Table'!$F$1=2018,(SUM('Staging Table'!DR120:DU120)*Rates_previous!$C$87),(SUM('Staging Table'!DR120:DU120)*Rates_previous!$D$87)))</f>
        <v>224562.23960077966</v>
      </c>
      <c r="J118" s="252">
        <f>IF(Init!$R$9="Yes",IF('Staging Table'!D120=1,'Staging Table'!H120*-1,'Staging Table'!H120*SUM(D118:I118)*(-1)),IF('Staging Table'!D120=1,'Staging Table'!BV120*-1,'Staging Table'!BV120*SUM(D118:I118)*(-1)))</f>
        <v>-3157481.3021045285</v>
      </c>
      <c r="K118" s="250">
        <f>IF(Init!$R$9="Yes",'Staging Table'!K120,'Staging Table'!BY120)*(-1)*Rates_previous!$H$32</f>
        <v>-2690363.7415200002</v>
      </c>
      <c r="L118" s="250">
        <f>IF(Init!$R$12="No",0,'Staging Table'!$BI120*-1)</f>
        <v>-1194203.9412840679</v>
      </c>
      <c r="M118" s="250" t="str">
        <f>IF('Staging Table'!C120=1,"",SUM(D118:L118))</f>
        <v/>
      </c>
      <c r="N118" s="250" t="str">
        <f>IF('Staging Table'!C120=1,"",IF(Init!$R$9="Yes",(RT1SC!$C$3*'Staging Table'!E120*'Staging Table'!$F$2)+SUM('Staging Table'!L120:AI120)-IF(Init!$R$15="No",'Staging Table'!BH120, 0),Z118))</f>
        <v/>
      </c>
      <c r="O118" s="126" t="str">
        <f>IF('Staging Table'!C120=1,"",IF(N118=0, 0, M118/N118))</f>
        <v/>
      </c>
      <c r="P118" s="250">
        <f>'Staging Table'!BS120*Rates_current!$E$74*100*12</f>
        <v>38105047.498799995</v>
      </c>
      <c r="Q118" s="250">
        <f>'Staging Table'!BT120*Rates_current!$E$75*100*12</f>
        <v>-3854942.453999999</v>
      </c>
      <c r="R118" s="251">
        <f>SUMPRODUCT('Staging Table'!BZ120:CW120, LS_Demand_Rates_Restatement!$C$5:$Z$5)-IF(Init!$R$15="No",('Staging Table'!DV120*Rates_current!$H$34), 0)</f>
        <v>0</v>
      </c>
      <c r="S118" s="251">
        <f>SUMPRODUCT('Staging Table'!CX120:DI120, LS_Demand_Rates_Restatement!$C$11:$N$11)*1000</f>
        <v>0</v>
      </c>
      <c r="T118" s="252">
        <f>'Staging Table'!EF120*IF(Init!$R$18="Yes",IF(Init!$R$6=2020,Rates_current!$C$88,Rates_current!$D$88),Rates_current!$H$33)</f>
        <v>0</v>
      </c>
      <c r="U118" s="252">
        <f>IF(Init!$R$18="Yes",(SUM('Staging Table'!DL120:DU120)*IF('Staging Table'!$BT$1=2020, Rates_current!$C$87, Rates_current!$D$87)),0)</f>
        <v>665187.59170108149</v>
      </c>
      <c r="V118" s="252">
        <f>IF('Staging Table'!D120=1, 'Staging Table'!BV120*-1,SUM(P118:U118)*'Staging Table'!BV120*-1)</f>
        <v>-3754609.0106076165</v>
      </c>
      <c r="W118" s="250">
        <f>'Staging Table'!BY120*Rates_current!$H$32*-1</f>
        <v>-2541661.6639700001</v>
      </c>
      <c r="X118" s="250">
        <f>IF(Init!$R$12="No",0,'Staging Table'!$DW120*-1)</f>
        <v>0</v>
      </c>
      <c r="Y118" s="250" t="str">
        <f>IF('Staging Table'!C120=1,"",SUM(P118:X118))</f>
        <v/>
      </c>
      <c r="Z118" s="250" t="str">
        <f>IF('Staging Table'!C120=1,"",(RT1SC!$C$4*'Staging Table'!BS120*'Staging Table'!$BT$2)+SUM('Staging Table'!BZ120:CW120)-IF(Init!$R$15="No",'Staging Table'!DV120, 0))</f>
        <v/>
      </c>
      <c r="AA118" s="126" t="str">
        <f>IF('Staging Table'!C120=1,"",IF(Z118=0, 0, Y118/Z118))</f>
        <v/>
      </c>
      <c r="AB118" s="118" t="str">
        <f>IF('Staging Table'!C120=1,"",AA118/O118-1)</f>
        <v/>
      </c>
      <c r="AC118" s="79" t="str">
        <f t="shared" si="1"/>
        <v/>
      </c>
      <c r="AF118" s="255"/>
      <c r="AG118" s="255"/>
      <c r="AH118" s="271"/>
      <c r="AI118" s="255"/>
      <c r="AJ118" s="255"/>
    </row>
    <row r="119" spans="2:36">
      <c r="B119" s="3">
        <v>10391</v>
      </c>
      <c r="C119" s="4" t="s">
        <v>122</v>
      </c>
      <c r="D119" s="250">
        <f>IF(Init!$R$9="Yes",'Staging Table'!E121,'Staging Table'!BS121)*Rates_previous!$E$75*100*12</f>
        <v>10820737.543679999</v>
      </c>
      <c r="E119" s="250">
        <f>IF(Init!$R$9="Yes",'Staging Table'!F121,'Staging Table'!BT121)*Rates_previous!$E$76*100*12</f>
        <v>-1525959.4991999997</v>
      </c>
      <c r="F119" s="251">
        <f>IF(Init!$R$9="Yes",SUMPRODUCT('Staging Table'!L121:AI121,LS_Demand_Rates_Restatement!$C$4:$Z$4)-IF(Init!$R$15="No",('Staging Table'!BH121*Rates_previous!$H$34), 0),SUMPRODUCT('Staging Table'!BZ121:CW121,LS_Demand_Rates_Restatement!$C$4:$Z$4)-IF(Init!$R$15="No", 'Staging Table'!DV121*Rates_previous!$H$34, 0))</f>
        <v>-88103.13187022788</v>
      </c>
      <c r="G119" s="251">
        <f>IF(Init!$R$9="Yes",SUMPRODUCT('Staging Table'!AJ121:AU121,LS_Demand_Rates_Restatement!$C$10:$N$10),SUMPRODUCT(LS_Demand_Rates_Restatement!$C$10:$N$10,'Staging Table'!CX121:DI121))*1000</f>
        <v>302703.29000000004</v>
      </c>
      <c r="H119" s="252">
        <f>IF(Init!$R$9="Yes",'Staging Table'!BR121,'Staging Table'!EF121)*IF(Init!$R$3=2018,Rates_previous!$C$88,Rates_previous!$D$88)</f>
        <v>0</v>
      </c>
      <c r="I119" s="250">
        <f>IF(Init!$R$9="Yes",IF('Staging Table'!$F$1=2018,(SUM('Staging Table'!BD121:BG121)*Rates_previous!$C$87),(SUM('Staging Table'!BD121:BG121)*Rates_previous!$D$87)),IF('Staging Table'!$F$1=2018,(SUM('Staging Table'!DR121:DU121)*Rates_previous!$C$87),(SUM('Staging Table'!DR121:DU121)*Rates_previous!$D$87)))</f>
        <v>59455.832935350882</v>
      </c>
      <c r="J119" s="252">
        <f>IF(Init!$R$9="Yes",IF('Staging Table'!D121=1,'Staging Table'!H121*-1,'Staging Table'!H121*SUM(D119:I119)*(-1)),IF('Staging Table'!D121=1,'Staging Table'!BV121*-1,'Staging Table'!BV121*SUM(D119:I119)*(-1)))</f>
        <v>-398209.89903942082</v>
      </c>
      <c r="K119" s="250">
        <f>IF(Init!$R$9="Yes",'Staging Table'!K121,'Staging Table'!BY121)*(-1)*Rates_previous!$H$32</f>
        <v>-520616.99927999999</v>
      </c>
      <c r="L119" s="250">
        <f>IF(Init!$R$12="No",0,'Staging Table'!$BI121*-1)</f>
        <v>-312630.8585849707</v>
      </c>
      <c r="M119" s="250">
        <f>IF('Staging Table'!C121=1,"",SUM(D119:L119))</f>
        <v>8337376.2786407284</v>
      </c>
      <c r="N119" s="250">
        <f>IF('Staging Table'!C121=1,"",IF(Init!$R$9="Yes",(RT1SC!$C$3*'Staging Table'!E121*'Staging Table'!$F$2)+SUM('Staging Table'!L121:AI121)-IF(Init!$R$15="No",'Staging Table'!BH121, 0),Z119))</f>
        <v>258384.96</v>
      </c>
      <c r="O119" s="126">
        <f>IF('Staging Table'!C121=1,"",IF(N119=0, 0, M119/N119))</f>
        <v>32.267266169984232</v>
      </c>
      <c r="P119" s="250">
        <f>'Staging Table'!BS121*Rates_current!$E$74*100*12</f>
        <v>10088461.64928</v>
      </c>
      <c r="Q119" s="250">
        <f>'Staging Table'!BT121*Rates_current!$E$75*100*12</f>
        <v>-1020611.2224000001</v>
      </c>
      <c r="R119" s="251">
        <f>SUMPRODUCT('Staging Table'!BZ121:CW121, LS_Demand_Rates_Restatement!$C$5:$Z$5)-IF(Init!$R$15="No",('Staging Table'!DV121*Rates_current!$H$34), 0)</f>
        <v>-126117.66999999988</v>
      </c>
      <c r="S119" s="251">
        <f>SUMPRODUCT('Staging Table'!CX121:DI121, LS_Demand_Rates_Restatement!$C$11:$N$11)*1000</f>
        <v>319269.20999999996</v>
      </c>
      <c r="T119" s="252">
        <f>'Staging Table'!EF121*IF(Init!$R$18="Yes",IF(Init!$R$6=2020,Rates_current!$C$88,Rates_current!$D$88),Rates_current!$H$33)</f>
        <v>0</v>
      </c>
      <c r="U119" s="252">
        <f>IF(Init!$R$18="Yes",(SUM('Staging Table'!DL121:DU121)*IF('Staging Table'!$BT$1=2020, Rates_current!$C$87, Rates_current!$D$87)),0)</f>
        <v>176111.03906023523</v>
      </c>
      <c r="V119" s="252">
        <f>IF('Staging Table'!D121=1, 'Staging Table'!BV121*-1,SUM(P119:U119)*'Staging Table'!BV121*-1)</f>
        <v>-339872.9063524346</v>
      </c>
      <c r="W119" s="250">
        <f>'Staging Table'!BY121*Rates_current!$H$32*-1</f>
        <v>-491841.39982999995</v>
      </c>
      <c r="X119" s="250">
        <f>IF(Init!$R$12="No",0,'Staging Table'!$DW121*-1)</f>
        <v>0</v>
      </c>
      <c r="Y119" s="250">
        <f>IF('Staging Table'!C121=1,"",SUM(P119:X119))</f>
        <v>8605398.6997578014</v>
      </c>
      <c r="Z119" s="250">
        <f>IF('Staging Table'!C121=1,"",(RT1SC!$C$4*'Staging Table'!BS121*'Staging Table'!$BT$2)+SUM('Staging Table'!BZ121:CW121)-IF(Init!$R$15="No",'Staging Table'!DV121, 0))</f>
        <v>261916.2247542784</v>
      </c>
      <c r="AA119" s="126">
        <f>IF('Staging Table'!C121=1,"",IF(Z119=0, 0, Y119/Z119))</f>
        <v>32.855538857247645</v>
      </c>
      <c r="AB119" s="118">
        <f>IF('Staging Table'!C121=1,"",AA119/O119-1)</f>
        <v>1.8231252817154875E-2</v>
      </c>
      <c r="AC119" s="79">
        <f t="shared" ca="1" si="1"/>
        <v>56</v>
      </c>
      <c r="AF119" s="255"/>
      <c r="AG119" s="255"/>
      <c r="AH119" s="271"/>
      <c r="AI119" s="255"/>
      <c r="AJ119" s="255"/>
    </row>
    <row r="120" spans="2:36">
      <c r="B120" s="3">
        <v>10406</v>
      </c>
      <c r="C120" s="4" t="s">
        <v>123</v>
      </c>
      <c r="D120" s="250">
        <f>IF(Init!$R$9="Yes",'Staging Table'!E122,'Staging Table'!BS122)*Rates_previous!$E$75*100*12</f>
        <v>165347.96256000001</v>
      </c>
      <c r="E120" s="250">
        <f>IF(Init!$R$9="Yes",'Staging Table'!F122,'Staging Table'!BT122)*Rates_previous!$E$76*100*12</f>
        <v>-23317.661399999997</v>
      </c>
      <c r="F120" s="251">
        <f>IF(Init!$R$9="Yes",SUMPRODUCT('Staging Table'!L122:AI122,LS_Demand_Rates_Restatement!$C$4:$Z$4)-IF(Init!$R$15="No",('Staging Table'!BH122*Rates_previous!$H$34), 0),SUMPRODUCT('Staging Table'!BZ122:CW122,LS_Demand_Rates_Restatement!$C$4:$Z$4)-IF(Init!$R$15="No", 'Staging Table'!DV122*Rates_previous!$H$34, 0))</f>
        <v>3613.993604554089</v>
      </c>
      <c r="G120" s="251">
        <f>IF(Init!$R$9="Yes",SUMPRODUCT('Staging Table'!AJ122:AU122,LS_Demand_Rates_Restatement!$C$10:$N$10),SUMPRODUCT(LS_Demand_Rates_Restatement!$C$10:$N$10,'Staging Table'!CX122:DI122))*1000</f>
        <v>9233.1899999999987</v>
      </c>
      <c r="H120" s="252">
        <f>IF(Init!$R$9="Yes",'Staging Table'!BR122,'Staging Table'!EF122)*IF(Init!$R$3=2018,Rates_previous!$C$88,Rates_previous!$D$88)</f>
        <v>0</v>
      </c>
      <c r="I120" s="250">
        <f>IF(Init!$R$9="Yes",IF('Staging Table'!$F$1=2018,(SUM('Staging Table'!BD122:BG122)*Rates_previous!$C$87),(SUM('Staging Table'!BD122:BG122)*Rates_previous!$D$87)),IF('Staging Table'!$F$1=2018,(SUM('Staging Table'!DR122:DU122)*Rates_previous!$C$87),(SUM('Staging Table'!DR122:DU122)*Rates_previous!$D$87)))</f>
        <v>908.52409999629708</v>
      </c>
      <c r="J120" s="252">
        <f>IF(Init!$R$9="Yes",IF('Staging Table'!D122=1,'Staging Table'!H122*-1,'Staging Table'!H122*SUM(D120:I120)*(-1)),IF('Staging Table'!D122=1,'Staging Table'!BV122*-1,'Staging Table'!BV122*SUM(D120:I120)*(-1)))</f>
        <v>0</v>
      </c>
      <c r="K120" s="250">
        <f>IF(Init!$R$9="Yes",'Staging Table'!K122,'Staging Table'!BY122)*(-1)*Rates_previous!$H$32</f>
        <v>0</v>
      </c>
      <c r="L120" s="250">
        <f>IF(Init!$R$12="No",0,'Staging Table'!$BI122*-1)</f>
        <v>-5878.7207440806742</v>
      </c>
      <c r="M120" s="250">
        <f>IF('Staging Table'!C122=1,"",SUM(D120:L120))</f>
        <v>149907.28812046975</v>
      </c>
      <c r="N120" s="250">
        <f>IF('Staging Table'!C122=1,"",IF(Init!$R$9="Yes",(RT1SC!$C$3*'Staging Table'!E122*'Staging Table'!$F$2)+SUM('Staging Table'!L122:AI122)-IF(Init!$R$15="No",'Staging Table'!BH122, 0),Z120))</f>
        <v>3950.76</v>
      </c>
      <c r="O120" s="126">
        <f>IF('Staging Table'!C122=1,"",IF(N120=0, 0, M120/N120))</f>
        <v>37.943911581688013</v>
      </c>
      <c r="P120" s="250">
        <f>'Staging Table'!BS122*Rates_current!$E$74*100*12</f>
        <v>154245.46764000002</v>
      </c>
      <c r="Q120" s="250">
        <f>'Staging Table'!BT122*Rates_current!$E$75*100*12</f>
        <v>-15604.426200000002</v>
      </c>
      <c r="R120" s="251">
        <f>SUMPRODUCT('Staging Table'!BZ122:CW122, LS_Demand_Rates_Restatement!$C$5:$Z$5)-IF(Init!$R$15="No",('Staging Table'!DV122*Rates_current!$H$34), 0)</f>
        <v>3842.3895661485985</v>
      </c>
      <c r="S120" s="251">
        <f>SUMPRODUCT('Staging Table'!CX122:DI122, LS_Demand_Rates_Restatement!$C$11:$N$11)*1000</f>
        <v>10182.320000000002</v>
      </c>
      <c r="T120" s="252">
        <f>'Staging Table'!EF122*IF(Init!$R$18="Yes",IF(Init!$R$6=2020,Rates_current!$C$88,Rates_current!$D$88),Rates_current!$H$33)</f>
        <v>0</v>
      </c>
      <c r="U120" s="252">
        <f>IF(Init!$R$18="Yes",(SUM('Staging Table'!DL122:DU122)*IF('Staging Table'!$BT$1=2020, Rates_current!$C$87, Rates_current!$D$87)),0)</f>
        <v>2692.6136531778343</v>
      </c>
      <c r="V120" s="252">
        <f>IF('Staging Table'!D122=1, 'Staging Table'!BV122*-1,SUM(P120:U120)*'Staging Table'!BV122*-1)</f>
        <v>0</v>
      </c>
      <c r="W120" s="250">
        <f>'Staging Table'!BY122*Rates_current!$H$32*-1</f>
        <v>0</v>
      </c>
      <c r="X120" s="250">
        <f>IF(Init!$R$12="No",0,'Staging Table'!$DW122*-1)</f>
        <v>0</v>
      </c>
      <c r="Y120" s="250">
        <f>IF('Staging Table'!C122=1,"",SUM(P120:X120))</f>
        <v>155358.36465932644</v>
      </c>
      <c r="Z120" s="250">
        <f>IF('Staging Table'!C122=1,"",(RT1SC!$C$4*'Staging Table'!BS122*'Staging Table'!$BT$2)+SUM('Staging Table'!BZ122:CW122)-IF(Init!$R$15="No",'Staging Table'!DV122, 0))</f>
        <v>4005.5040000000004</v>
      </c>
      <c r="AA120" s="126">
        <f>IF('Staging Table'!C122=1,"",IF(Z120=0, 0, Y120/Z120))</f>
        <v>38.786221324289386</v>
      </c>
      <c r="AB120" s="118">
        <f>IF('Staging Table'!C122=1,"",AA120/O120-1)</f>
        <v>2.219881154814507E-2</v>
      </c>
      <c r="AC120" s="79">
        <f t="shared" ca="1" si="1"/>
        <v>45</v>
      </c>
      <c r="AF120" s="255"/>
      <c r="AG120" s="255"/>
      <c r="AH120" s="271"/>
      <c r="AI120" s="255"/>
      <c r="AJ120" s="255"/>
    </row>
    <row r="121" spans="2:36">
      <c r="B121" s="3">
        <v>10408</v>
      </c>
      <c r="C121" s="4" t="s">
        <v>124</v>
      </c>
      <c r="D121" s="250">
        <f>IF(Init!$R$9="Yes",'Staging Table'!E123,'Staging Table'!BS123)*Rates_previous!$E$75*100*12</f>
        <v>529419.20832000009</v>
      </c>
      <c r="E121" s="250">
        <f>IF(Init!$R$9="Yes",'Staging Table'!F123,'Staging Table'!BT123)*Rates_previous!$E$76*100*12</f>
        <v>-74659.630799999999</v>
      </c>
      <c r="F121" s="251">
        <f>IF(Init!$R$9="Yes",SUMPRODUCT('Staging Table'!L123:AI123,LS_Demand_Rates_Restatement!$C$4:$Z$4)-IF(Init!$R$15="No",('Staging Table'!BH123*Rates_previous!$H$34), 0),SUMPRODUCT('Staging Table'!BZ123:CW123,LS_Demand_Rates_Restatement!$C$4:$Z$4)-IF(Init!$R$15="No", 'Staging Table'!DV123*Rates_previous!$H$34, 0))</f>
        <v>10615.296874365718</v>
      </c>
      <c r="G121" s="251">
        <f>IF(Init!$R$9="Yes",SUMPRODUCT('Staging Table'!AJ123:AU123,LS_Demand_Rates_Restatement!$C$10:$N$10),SUMPRODUCT(LS_Demand_Rates_Restatement!$C$10:$N$10,'Staging Table'!CX123:DI123))*1000</f>
        <v>24749.62</v>
      </c>
      <c r="H121" s="252">
        <f>IF(Init!$R$9="Yes",'Staging Table'!BR123,'Staging Table'!EF123)*IF(Init!$R$3=2018,Rates_previous!$C$88,Rates_previous!$D$88)</f>
        <v>6822.2879999999814</v>
      </c>
      <c r="I121" s="250">
        <f>IF(Init!$R$9="Yes",IF('Staging Table'!$F$1=2018,(SUM('Staging Table'!BD123:BG123)*Rates_previous!$C$87),(SUM('Staging Table'!BD123:BG123)*Rates_previous!$D$87)),IF('Staging Table'!$F$1=2018,(SUM('Staging Table'!DR123:DU123)*Rates_previous!$C$87),(SUM('Staging Table'!DR123:DU123)*Rates_previous!$D$87)))</f>
        <v>2908.956979649161</v>
      </c>
      <c r="J121" s="252">
        <f>IF(Init!$R$9="Yes",IF('Staging Table'!D123=1,'Staging Table'!H123*-1,'Staging Table'!H123*SUM(D121:I121)*(-1)),IF('Staging Table'!D123=1,'Staging Table'!BV123*-1,'Staging Table'!BV123*SUM(D121:I121)*(-1)))</f>
        <v>0</v>
      </c>
      <c r="K121" s="250">
        <f>IF(Init!$R$9="Yes",'Staging Table'!K123,'Staging Table'!BY123)*(-1)*Rates_previous!$H$32</f>
        <v>0</v>
      </c>
      <c r="L121" s="250">
        <f>IF(Init!$R$12="No",0,'Staging Table'!$BI123*-1)</f>
        <v>-19025.561523599932</v>
      </c>
      <c r="M121" s="250">
        <f>IF('Staging Table'!C123=1,"",SUM(D121:L121))</f>
        <v>480830.177850415</v>
      </c>
      <c r="N121" s="250">
        <f>IF('Staging Table'!C123=1,"",IF(Init!$R$9="Yes",(RT1SC!$C$3*'Staging Table'!E123*'Staging Table'!$F$2)+SUM('Staging Table'!L123:AI123)-IF(Init!$R$15="No",'Staging Table'!BH123, 0),Z121))</f>
        <v>13166.279999999999</v>
      </c>
      <c r="O121" s="126">
        <f>IF('Staging Table'!C123=1,"",IF(N121=0, 0, M121/N121))</f>
        <v>36.519820165636389</v>
      </c>
      <c r="P121" s="250">
        <f>'Staging Table'!BS123*Rates_current!$E$74*100*12</f>
        <v>502664.35140000004</v>
      </c>
      <c r="Q121" s="250">
        <f>'Staging Table'!BT123*Rates_current!$E$75*100*12</f>
        <v>-50852.637000000002</v>
      </c>
      <c r="R121" s="251">
        <f>SUMPRODUCT('Staging Table'!BZ123:CW123, LS_Demand_Rates_Restatement!$C$5:$Z$5)-IF(Init!$R$15="No",('Staging Table'!DV123*Rates_current!$H$34), 0)</f>
        <v>3840.1368256460773</v>
      </c>
      <c r="S121" s="251">
        <f>SUMPRODUCT('Staging Table'!CX123:DI123, LS_Demand_Rates_Restatement!$C$11:$N$11)*1000</f>
        <v>27032.11</v>
      </c>
      <c r="T121" s="252">
        <f>'Staging Table'!EF123*IF(Init!$R$18="Yes",IF(Init!$R$6=2020,Rates_current!$C$88,Rates_current!$D$88),Rates_current!$H$33)</f>
        <v>4600.2686399999902</v>
      </c>
      <c r="U121" s="252">
        <f>IF(Init!$R$18="Yes",(SUM('Staging Table'!DL123:DU123)*IF('Staging Table'!$BT$1=2020, Rates_current!$C$87, Rates_current!$D$87)),0)</f>
        <v>8774.8503489539562</v>
      </c>
      <c r="V121" s="252">
        <f>IF('Staging Table'!D123=1, 'Staging Table'!BV123*-1,SUM(P121:U121)*'Staging Table'!BV123*-1)</f>
        <v>0</v>
      </c>
      <c r="W121" s="250">
        <f>'Staging Table'!BY123*Rates_current!$H$32*-1</f>
        <v>0</v>
      </c>
      <c r="X121" s="250">
        <f>IF(Init!$R$12="No",0,'Staging Table'!$DW123*-1)</f>
        <v>0</v>
      </c>
      <c r="Y121" s="250">
        <f>IF('Staging Table'!C123=1,"",SUM(P121:X121))</f>
        <v>496059.08021460008</v>
      </c>
      <c r="Z121" s="250">
        <f>IF('Staging Table'!C123=1,"",(RT1SC!$C$4*'Staging Table'!BS123*'Staging Table'!$BT$2)+SUM('Staging Table'!BZ123:CW123)-IF(Init!$R$15="No",'Staging Table'!DV123, 0))</f>
        <v>13342.895999999999</v>
      </c>
      <c r="AA121" s="126">
        <f>IF('Staging Table'!C123=1,"",IF(Z121=0, 0, Y121/Z121))</f>
        <v>37.177767121515458</v>
      </c>
      <c r="AB121" s="118">
        <f>IF('Staging Table'!C123=1,"",AA121/O121-1)</f>
        <v>1.8016160892768252E-2</v>
      </c>
      <c r="AC121" s="79">
        <f t="shared" ca="1" si="1"/>
        <v>58</v>
      </c>
      <c r="AF121" s="255"/>
      <c r="AG121" s="255"/>
      <c r="AH121" s="271"/>
      <c r="AI121" s="255"/>
      <c r="AJ121" s="255"/>
    </row>
    <row r="122" spans="2:36">
      <c r="B122" s="3">
        <v>10409</v>
      </c>
      <c r="C122" s="4" t="s">
        <v>125</v>
      </c>
      <c r="D122" s="250">
        <f>IF(Init!$R$9="Yes",'Staging Table'!E124,'Staging Table'!BS124)*Rates_previous!$E$75*100*12</f>
        <v>7139006.5622399999</v>
      </c>
      <c r="E122" s="250">
        <f>IF(Init!$R$9="Yes",'Staging Table'!F124,'Staging Table'!BT124)*Rates_previous!$E$76*100*12</f>
        <v>-1006755.3006</v>
      </c>
      <c r="F122" s="251">
        <f>IF(Init!$R$9="Yes",SUMPRODUCT('Staging Table'!L124:AI124,LS_Demand_Rates_Restatement!$C$4:$Z$4)-IF(Init!$R$15="No",('Staging Table'!BH124*Rates_previous!$H$34), 0),SUMPRODUCT('Staging Table'!BZ124:CW124,LS_Demand_Rates_Restatement!$C$4:$Z$4)-IF(Init!$R$15="No", 'Staging Table'!DV124*Rates_previous!$H$34, 0))</f>
        <v>87270.090000000055</v>
      </c>
      <c r="G122" s="251">
        <f>IF(Init!$R$9="Yes",SUMPRODUCT('Staging Table'!AJ124:AU124,LS_Demand_Rates_Restatement!$C$10:$N$10),SUMPRODUCT(LS_Demand_Rates_Restatement!$C$10:$N$10,'Staging Table'!CX124:DI124))*1000</f>
        <v>79749.41</v>
      </c>
      <c r="H122" s="252">
        <f>IF(Init!$R$9="Yes",'Staging Table'!BR124,'Staging Table'!EF124)*IF(Init!$R$3=2018,Rates_previous!$C$88,Rates_previous!$D$88)</f>
        <v>20967.114173707585</v>
      </c>
      <c r="I122" s="250">
        <f>IF(Init!$R$9="Yes",IF('Staging Table'!$F$1=2018,(SUM('Staging Table'!BD124:BG124)*Rates_previous!$C$87),(SUM('Staging Table'!BD124:BG124)*Rates_previous!$D$87)),IF('Staging Table'!$F$1=2018,(SUM('Staging Table'!DR124:DU124)*Rates_previous!$C$87),(SUM('Staging Table'!DR124:DU124)*Rates_previous!$D$87)))</f>
        <v>39226.122967636737</v>
      </c>
      <c r="J122" s="252">
        <f>IF(Init!$R$9="Yes",IF('Staging Table'!D124=1,'Staging Table'!H124*-1,'Staging Table'!H124*SUM(D122:I122)*(-1)),IF('Staging Table'!D124=1,'Staging Table'!BV124*-1,'Staging Table'!BV124*SUM(D122:I122)*(-1)))</f>
        <v>0</v>
      </c>
      <c r="K122" s="250">
        <f>IF(Init!$R$9="Yes",'Staging Table'!K124,'Staging Table'!BY124)*(-1)*Rates_previous!$H$32</f>
        <v>0</v>
      </c>
      <c r="L122" s="250">
        <f>IF(Init!$R$12="No",0,'Staging Table'!$BI124*-1)</f>
        <v>-262699.15804798278</v>
      </c>
      <c r="M122" s="250">
        <f>IF('Staging Table'!C124=1,"",SUM(D122:L122))</f>
        <v>6096764.8407333624</v>
      </c>
      <c r="N122" s="250">
        <f>IF('Staging Table'!C124=1,"",IF(Init!$R$9="Yes",(RT1SC!$C$3*'Staging Table'!E124*'Staging Table'!$F$2)+SUM('Staging Table'!L124:AI124)-IF(Init!$R$15="No",'Staging Table'!BH124, 0),Z122))</f>
        <v>172084.940075016</v>
      </c>
      <c r="O122" s="126">
        <f>IF('Staging Table'!C124=1,"",IF(N122=0, 0, M122/N122))</f>
        <v>35.42881113289539</v>
      </c>
      <c r="P122" s="250">
        <f>'Staging Table'!BS124*Rates_current!$E$74*100*12</f>
        <v>6601896.1480800007</v>
      </c>
      <c r="Q122" s="250">
        <f>'Staging Table'!BT124*Rates_current!$E$75*100*12</f>
        <v>-667888.6764</v>
      </c>
      <c r="R122" s="251">
        <f>SUMPRODUCT('Staging Table'!BZ124:CW124, LS_Demand_Rates_Restatement!$C$5:$Z$5)-IF(Init!$R$15="No",('Staging Table'!DV124*Rates_current!$H$34), 0)</f>
        <v>71281.72</v>
      </c>
      <c r="S122" s="251">
        <f>SUMPRODUCT('Staging Table'!CX124:DI124, LS_Demand_Rates_Restatement!$C$11:$N$11)*1000</f>
        <v>90874.349999999991</v>
      </c>
      <c r="T122" s="252">
        <f>'Staging Table'!EF124*IF(Init!$R$18="Yes",IF(Init!$R$6=2020,Rates_current!$C$88,Rates_current!$D$88),Rates_current!$H$33)</f>
        <v>10780.046397861448</v>
      </c>
      <c r="U122" s="252">
        <f>IF(Init!$R$18="Yes",(SUM('Staging Table'!DL124:DU124)*IF('Staging Table'!$BT$1=2020, Rates_current!$C$87, Rates_current!$D$87)),0)</f>
        <v>115247.18344834184</v>
      </c>
      <c r="V122" s="252">
        <f>IF('Staging Table'!D124=1, 'Staging Table'!BV124*-1,SUM(P122:U122)*'Staging Table'!BV124*-1)</f>
        <v>0</v>
      </c>
      <c r="W122" s="250">
        <f>'Staging Table'!BY124*Rates_current!$H$32*-1</f>
        <v>0</v>
      </c>
      <c r="X122" s="250">
        <f>IF(Init!$R$12="No",0,'Staging Table'!$DW124*-1)</f>
        <v>0</v>
      </c>
      <c r="Y122" s="250">
        <f>IF('Staging Table'!C124=1,"",SUM(P122:X122))</f>
        <v>6222190.7715262026</v>
      </c>
      <c r="Z122" s="250">
        <f>IF('Staging Table'!C124=1,"",(RT1SC!$C$4*'Staging Table'!BS124*'Staging Table'!$BT$2)+SUM('Staging Table'!BZ124:CW124)-IF(Init!$R$15="No",'Staging Table'!DV124, 0))</f>
        <v>172081.46398474238</v>
      </c>
      <c r="AA122" s="126">
        <f>IF('Staging Table'!C124=1,"",IF(Z122=0, 0, Y122/Z122))</f>
        <v>36.158402116324936</v>
      </c>
      <c r="AB122" s="118">
        <f>IF('Staging Table'!C124=1,"",AA122/O122-1)</f>
        <v>2.0593154556973747E-2</v>
      </c>
      <c r="AC122" s="79">
        <f t="shared" ca="1" si="1"/>
        <v>49</v>
      </c>
      <c r="AF122" s="255"/>
      <c r="AG122" s="255"/>
      <c r="AH122" s="271"/>
      <c r="AI122" s="255"/>
      <c r="AJ122" s="255"/>
    </row>
    <row r="123" spans="2:36">
      <c r="B123" s="3">
        <v>10426</v>
      </c>
      <c r="C123" s="4" t="s">
        <v>126</v>
      </c>
      <c r="D123" s="250">
        <f>IF(Init!$R$9="Yes",'Staging Table'!E125,'Staging Table'!BS125)*Rates_previous!$E$75*100*12</f>
        <v>6644491.3151999991</v>
      </c>
      <c r="E123" s="250">
        <f>IF(Init!$R$9="Yes",'Staging Table'!F125,'Staging Table'!BT125)*Rates_previous!$E$76*100*12</f>
        <v>-937017.88800000004</v>
      </c>
      <c r="F123" s="251">
        <f>IF(Init!$R$9="Yes",SUMPRODUCT('Staging Table'!L125:AI125,LS_Demand_Rates_Restatement!$C$4:$Z$4)-IF(Init!$R$15="No",('Staging Table'!BH125*Rates_previous!$H$34), 0),SUMPRODUCT('Staging Table'!BZ125:CW125,LS_Demand_Rates_Restatement!$C$4:$Z$4)-IF(Init!$R$15="No", 'Staging Table'!DV125*Rates_previous!$H$34, 0))</f>
        <v>2591685.0999999996</v>
      </c>
      <c r="G123" s="251">
        <f>IF(Init!$R$9="Yes",SUMPRODUCT('Staging Table'!AJ125:AU125,LS_Demand_Rates_Restatement!$C$10:$N$10),SUMPRODUCT(LS_Demand_Rates_Restatement!$C$10:$N$10,'Staging Table'!CX125:DI125))*1000</f>
        <v>0</v>
      </c>
      <c r="H123" s="252">
        <f>IF(Init!$R$9="Yes",'Staging Table'!BR125,'Staging Table'!EF125)*IF(Init!$R$3=2018,Rates_previous!$C$88,Rates_previous!$D$88)</f>
        <v>1410814.2072017665</v>
      </c>
      <c r="I123" s="250">
        <f>IF(Init!$R$9="Yes",IF('Staging Table'!$F$1=2018,(SUM('Staging Table'!BD125:BG125)*Rates_previous!$C$87),(SUM('Staging Table'!BD125:BG125)*Rates_previous!$D$87)),IF('Staging Table'!$F$1=2018,(SUM('Staging Table'!DR125:DU125)*Rates_previous!$C$87),(SUM('Staging Table'!DR125:DU125)*Rates_previous!$D$87)))</f>
        <v>36508.949965952896</v>
      </c>
      <c r="J123" s="252">
        <f>IF(Init!$R$9="Yes",IF('Staging Table'!D125=1,'Staging Table'!H125*-1,'Staging Table'!H125*SUM(D123:I123)*(-1)),IF('Staging Table'!D125=1,'Staging Table'!BV125*-1,'Staging Table'!BV125*SUM(D123:I123)*(-1)))</f>
        <v>0</v>
      </c>
      <c r="K123" s="250">
        <f>IF(Init!$R$9="Yes",'Staging Table'!K125,'Staging Table'!BY125)*(-1)*Rates_previous!$H$32</f>
        <v>0</v>
      </c>
      <c r="L123" s="250">
        <f>IF(Init!$R$12="No",0,'Staging Table'!$BI125*-1)</f>
        <v>-296839.31229325075</v>
      </c>
      <c r="M123" s="250">
        <f>IF('Staging Table'!C125=1,"",SUM(D123:L123))</f>
        <v>9449642.3720744662</v>
      </c>
      <c r="N123" s="250">
        <f>IF('Staging Table'!C125=1,"",IF(Init!$R$9="Yes",(RT1SC!$C$3*'Staging Table'!E125*'Staging Table'!$F$2)+SUM('Staging Table'!L125:AI125)-IF(Init!$R$15="No",'Staging Table'!BH125, 0),Z123))</f>
        <v>267352.50730368</v>
      </c>
      <c r="O123" s="126">
        <f>IF('Staging Table'!C125=1,"",IF(N123=0, 0, M123/N123))</f>
        <v>35.345254351180699</v>
      </c>
      <c r="P123" s="250">
        <f>'Staging Table'!BS125*Rates_current!$E$74*100*12</f>
        <v>10346329.649879999</v>
      </c>
      <c r="Q123" s="250">
        <f>'Staging Table'!BT125*Rates_current!$E$75*100*12</f>
        <v>-1046698.7453999999</v>
      </c>
      <c r="R123" s="251">
        <f>SUMPRODUCT('Staging Table'!BZ125:CW125, LS_Demand_Rates_Restatement!$C$5:$Z$5)-IF(Init!$R$15="No",('Staging Table'!DV125*Rates_current!$H$34), 0)</f>
        <v>56747.220000000023</v>
      </c>
      <c r="S123" s="251">
        <f>SUMPRODUCT('Staging Table'!CX125:DI125, LS_Demand_Rates_Restatement!$C$11:$N$11)*1000</f>
        <v>0</v>
      </c>
      <c r="T123" s="252">
        <f>'Staging Table'!EF125*IF(Init!$R$18="Yes",IF(Init!$R$6=2020,Rates_current!$C$88,Rates_current!$D$88),Rates_current!$H$33)</f>
        <v>-20054.692708932744</v>
      </c>
      <c r="U123" s="252">
        <f>IF(Init!$R$18="Yes",(SUM('Staging Table'!DL125:DU125)*IF('Staging Table'!$BT$1=2020, Rates_current!$C$87, Rates_current!$D$87)),0)</f>
        <v>180612.55803357571</v>
      </c>
      <c r="V123" s="252">
        <f>IF('Staging Table'!D125=1, 'Staging Table'!BV125*-1,SUM(P123:U123)*'Staging Table'!BV125*-1)</f>
        <v>0</v>
      </c>
      <c r="W123" s="250">
        <f>'Staging Table'!BY125*Rates_current!$H$32*-1</f>
        <v>0</v>
      </c>
      <c r="X123" s="250">
        <f>IF(Init!$R$12="No",0,'Staging Table'!$DW125*-1)</f>
        <v>0</v>
      </c>
      <c r="Y123" s="250">
        <f>IF('Staging Table'!C125=1,"",SUM(P123:X123))</f>
        <v>9516935.9898046441</v>
      </c>
      <c r="Z123" s="250">
        <f>IF('Staging Table'!C125=1,"",(RT1SC!$C$4*'Staging Table'!BS125*'Staging Table'!$BT$2)+SUM('Staging Table'!BZ125:CW125)-IF(Init!$R$15="No",'Staging Table'!DV125, 0))</f>
        <v>267351.03425904643</v>
      </c>
      <c r="AA123" s="126">
        <f>IF('Staging Table'!C125=1,"",IF(Z123=0, 0, Y123/Z123))</f>
        <v>35.597154191606116</v>
      </c>
      <c r="AB123" s="118">
        <f>IF('Staging Table'!C125=1,"",AA123/O123-1)</f>
        <v>7.1268362627301407E-3</v>
      </c>
      <c r="AC123" s="79">
        <f t="shared" ca="1" si="1"/>
        <v>75</v>
      </c>
      <c r="AF123" s="255"/>
      <c r="AG123" s="255"/>
      <c r="AH123" s="271"/>
      <c r="AI123" s="255"/>
      <c r="AJ123" s="255"/>
    </row>
    <row r="124" spans="2:36">
      <c r="B124" s="3">
        <v>10434</v>
      </c>
      <c r="C124" s="4" t="s">
        <v>127</v>
      </c>
      <c r="D124" s="250">
        <f>IF(Init!$R$9="Yes",'Staging Table'!E126,'Staging Table'!BS126)*Rates_previous!$E$75*100*12</f>
        <v>9802662.87744</v>
      </c>
      <c r="E124" s="250">
        <f>IF(Init!$R$9="Yes",'Staging Table'!F126,'Staging Table'!BT126)*Rates_previous!$E$76*100*12</f>
        <v>-1382388.8136000002</v>
      </c>
      <c r="F124" s="251">
        <f>IF(Init!$R$9="Yes",SUMPRODUCT('Staging Table'!L126:AI126,LS_Demand_Rates_Restatement!$C$4:$Z$4)-IF(Init!$R$15="No",('Staging Table'!BH126*Rates_previous!$H$34), 0),SUMPRODUCT('Staging Table'!BZ126:CW126,LS_Demand_Rates_Restatement!$C$4:$Z$4)-IF(Init!$R$15="No", 'Staging Table'!DV126*Rates_previous!$H$34, 0))</f>
        <v>-5118.0099999999384</v>
      </c>
      <c r="G124" s="251">
        <f>IF(Init!$R$9="Yes",SUMPRODUCT('Staging Table'!AJ126:AU126,LS_Demand_Rates_Restatement!$C$10:$N$10),SUMPRODUCT(LS_Demand_Rates_Restatement!$C$10:$N$10,'Staging Table'!CX126:DI126))*1000</f>
        <v>533892.98</v>
      </c>
      <c r="H124" s="252">
        <f>IF(Init!$R$9="Yes",'Staging Table'!BR126,'Staging Table'!EF126)*IF(Init!$R$3=2018,Rates_previous!$C$88,Rates_previous!$D$88)</f>
        <v>0</v>
      </c>
      <c r="I124" s="250">
        <f>IF(Init!$R$9="Yes",IF('Staging Table'!$F$1=2018,(SUM('Staging Table'!BD126:BG126)*Rates_previous!$C$87),(SUM('Staging Table'!BD126:BG126)*Rates_previous!$D$87)),IF('Staging Table'!$F$1=2018,(SUM('Staging Table'!DR126:DU126)*Rates_previous!$C$87),(SUM('Staging Table'!DR126:DU126)*Rates_previous!$D$87)))</f>
        <v>53861.90026418725</v>
      </c>
      <c r="J124" s="252">
        <f>IF(Init!$R$9="Yes",IF('Staging Table'!D126=1,'Staging Table'!H126*-1,'Staging Table'!H126*SUM(D124:I124)*(-1)),IF('Staging Table'!D126=1,'Staging Table'!BV126*-1,'Staging Table'!BV126*SUM(D124:I124)*(-1)))</f>
        <v>0</v>
      </c>
      <c r="K124" s="250">
        <f>IF(Init!$R$9="Yes",'Staging Table'!K126,'Staging Table'!BY126)*(-1)*Rates_previous!$H$32</f>
        <v>0</v>
      </c>
      <c r="L124" s="250">
        <f>IF(Init!$R$12="No",0,'Staging Table'!$BI126*-1)</f>
        <v>-343118.60597261786</v>
      </c>
      <c r="M124" s="250">
        <f>IF('Staging Table'!C126=1,"",SUM(D124:L124))</f>
        <v>8659792.3281315695</v>
      </c>
      <c r="N124" s="250">
        <f>IF('Staging Table'!C126=1,"",IF(Init!$R$9="Yes",(RT1SC!$C$3*'Staging Table'!E126*'Staging Table'!$F$2)+SUM('Staging Table'!L126:AI126)-IF(Init!$R$15="No",'Staging Table'!BH126, 0),Z124))</f>
        <v>228699.86775369599</v>
      </c>
      <c r="O124" s="126">
        <f>IF('Staging Table'!C126=1,"",IF(N124=0, 0, M124/N124))</f>
        <v>37.865314104413685</v>
      </c>
      <c r="P124" s="250">
        <f>'Staging Table'!BS126*Rates_current!$E$74*100*12</f>
        <v>9139459.8738000002</v>
      </c>
      <c r="Q124" s="250">
        <f>'Staging Table'!BT126*Rates_current!$E$75*100*12</f>
        <v>-924604.32900000014</v>
      </c>
      <c r="R124" s="251">
        <f>SUMPRODUCT('Staging Table'!BZ126:CW126, LS_Demand_Rates_Restatement!$C$5:$Z$5)-IF(Init!$R$15="No",('Staging Table'!DV126*Rates_current!$H$34), 0)</f>
        <v>125109.95157646338</v>
      </c>
      <c r="S124" s="251">
        <f>SUMPRODUCT('Staging Table'!CX126:DI126, LS_Demand_Rates_Restatement!$C$11:$N$11)*1000</f>
        <v>591646.53</v>
      </c>
      <c r="T124" s="252">
        <f>'Staging Table'!EF126*IF(Init!$R$18="Yes",IF(Init!$R$6=2020,Rates_current!$C$88,Rates_current!$D$88),Rates_current!$H$33)</f>
        <v>0</v>
      </c>
      <c r="U124" s="252">
        <f>IF(Init!$R$18="Yes",(SUM('Staging Table'!DL126:DU126)*IF('Staging Table'!$BT$1=2020, Rates_current!$C$87, Rates_current!$D$87)),0)</f>
        <v>159544.61946525975</v>
      </c>
      <c r="V124" s="252">
        <f>IF('Staging Table'!D126=1, 'Staging Table'!BV126*-1,SUM(P124:U124)*'Staging Table'!BV126*-1)</f>
        <v>0</v>
      </c>
      <c r="W124" s="250">
        <f>'Staging Table'!BY126*Rates_current!$H$32*-1</f>
        <v>0</v>
      </c>
      <c r="X124" s="250">
        <f>IF(Init!$R$12="No",0,'Staging Table'!$DW126*-1)</f>
        <v>0</v>
      </c>
      <c r="Y124" s="250">
        <f>IF('Staging Table'!C126=1,"",SUM(P124:X124))</f>
        <v>9091156.6458417233</v>
      </c>
      <c r="Z124" s="250">
        <f>IF('Staging Table'!C126=1,"",(RT1SC!$C$4*'Staging Table'!BS126*'Staging Table'!$BT$2)+SUM('Staging Table'!BZ126:CW126)-IF(Init!$R$15="No",'Staging Table'!DV126, 0))</f>
        <v>237282.19200000001</v>
      </c>
      <c r="AA124" s="126">
        <f>IF('Staging Table'!C126=1,"",IF(Z124=0, 0, Y124/Z124))</f>
        <v>38.31369126024309</v>
      </c>
      <c r="AB124" s="118">
        <f>IF('Staging Table'!C126=1,"",AA124/O124-1)</f>
        <v>1.1841368979351508E-2</v>
      </c>
      <c r="AC124" s="79">
        <f t="shared" ca="1" si="1"/>
        <v>69</v>
      </c>
      <c r="AF124" s="255"/>
      <c r="AG124" s="255"/>
      <c r="AH124" s="271"/>
      <c r="AI124" s="255"/>
      <c r="AJ124" s="255"/>
    </row>
    <row r="125" spans="2:36">
      <c r="B125" s="3">
        <v>10436</v>
      </c>
      <c r="C125" s="4" t="s">
        <v>128</v>
      </c>
      <c r="D125" s="250">
        <f>IF(Init!$R$9="Yes",'Staging Table'!E127,'Staging Table'!BS127)*Rates_previous!$E$75*100*12</f>
        <v>6913277.2944000009</v>
      </c>
      <c r="E125" s="250">
        <f>IF(Init!$R$9="Yes",'Staging Table'!F127,'Staging Table'!BT127)*Rates_previous!$E$76*100*12</f>
        <v>-974922.5610000001</v>
      </c>
      <c r="F125" s="251">
        <f>IF(Init!$R$9="Yes",SUMPRODUCT('Staging Table'!L127:AI127,LS_Demand_Rates_Restatement!$C$4:$Z$4)-IF(Init!$R$15="No",('Staging Table'!BH127*Rates_previous!$H$34), 0),SUMPRODUCT('Staging Table'!BZ127:CW127,LS_Demand_Rates_Restatement!$C$4:$Z$4)-IF(Init!$R$15="No", 'Staging Table'!DV127*Rates_previous!$H$34, 0))</f>
        <v>-71155.464937481025</v>
      </c>
      <c r="G125" s="251">
        <f>IF(Init!$R$9="Yes",SUMPRODUCT('Staging Table'!AJ127:AU127,LS_Demand_Rates_Restatement!$C$10:$N$10),SUMPRODUCT(LS_Demand_Rates_Restatement!$C$10:$N$10,'Staging Table'!CX127:DI127))*1000</f>
        <v>403927.25</v>
      </c>
      <c r="H125" s="252">
        <f>IF(Init!$R$9="Yes",'Staging Table'!BR127,'Staging Table'!EF127)*IF(Init!$R$3=2018,Rates_previous!$C$88,Rates_previous!$D$88)</f>
        <v>0</v>
      </c>
      <c r="I125" s="250">
        <f>IF(Init!$R$9="Yes",IF('Staging Table'!$F$1=2018,(SUM('Staging Table'!BD127:BG127)*Rates_previous!$C$87),(SUM('Staging Table'!BD127:BG127)*Rates_previous!$D$87)),IF('Staging Table'!$F$1=2018,(SUM('Staging Table'!DR127:DU127)*Rates_previous!$C$87),(SUM('Staging Table'!DR127:DU127)*Rates_previous!$D$87)))</f>
        <v>37985.826584590941</v>
      </c>
      <c r="J125" s="252">
        <f>IF(Init!$R$9="Yes",IF('Staging Table'!D127=1,'Staging Table'!H127*-1,'Staging Table'!H127*SUM(D125:I125)*(-1)),IF('Staging Table'!D127=1,'Staging Table'!BV127*-1,'Staging Table'!BV127*SUM(D125:I125)*(-1)))</f>
        <v>-471939.89983532456</v>
      </c>
      <c r="K125" s="250">
        <f>IF(Init!$R$9="Yes",'Staging Table'!K127,'Staging Table'!BY127)*(-1)*Rates_previous!$H$32</f>
        <v>-457031.9140799999</v>
      </c>
      <c r="L125" s="250">
        <f>IF(Init!$R$12="No",0,'Staging Table'!$BI127*-1)</f>
        <v>-107637.31305250706</v>
      </c>
      <c r="M125" s="250">
        <f>IF('Staging Table'!C127=1,"",SUM(D125:L125))</f>
        <v>5272503.2180792792</v>
      </c>
      <c r="N125" s="250">
        <f>IF('Staging Table'!C127=1,"",IF(Init!$R$9="Yes",(RT1SC!$C$3*'Staging Table'!E127*'Staging Table'!$F$2)+SUM('Staging Table'!L127:AI127)-IF(Init!$R$15="No",'Staging Table'!BH127, 0),Z125))</f>
        <v>165082.19999999998</v>
      </c>
      <c r="O125" s="126">
        <f>IF('Staging Table'!C127=1,"",IF(N125=0, 0, M125/N125))</f>
        <v>31.938653701484956</v>
      </c>
      <c r="P125" s="250">
        <f>'Staging Table'!BS127*Rates_current!$E$74*100*12</f>
        <v>6445749.3495599991</v>
      </c>
      <c r="Q125" s="250">
        <f>'Staging Table'!BT127*Rates_current!$E$75*100*12</f>
        <v>-652091.89980000001</v>
      </c>
      <c r="R125" s="251">
        <f>SUMPRODUCT('Staging Table'!BZ127:CW127, LS_Demand_Rates_Restatement!$C$5:$Z$5)-IF(Init!$R$15="No",('Staging Table'!DV127*Rates_current!$H$34), 0)</f>
        <v>-146122.18999999997</v>
      </c>
      <c r="S125" s="251">
        <f>SUMPRODUCT('Staging Table'!CX127:DI127, LS_Demand_Rates_Restatement!$C$11:$N$11)*1000</f>
        <v>438897.51</v>
      </c>
      <c r="T125" s="252">
        <f>'Staging Table'!EF127*IF(Init!$R$18="Yes",IF(Init!$R$6=2020,Rates_current!$C$88,Rates_current!$D$88),Rates_current!$H$33)</f>
        <v>0</v>
      </c>
      <c r="U125" s="252">
        <f>IF(Init!$R$18="Yes",(SUM('Staging Table'!DL127:DU127)*IF('Staging Table'!$BT$1=2020, Rates_current!$C$87, Rates_current!$D$87)),0)</f>
        <v>112521.37887185825</v>
      </c>
      <c r="V125" s="252">
        <f>IF('Staging Table'!D127=1, 'Staging Table'!BV127*-1,SUM(P125:U125)*'Staging Table'!BV127*-1)</f>
        <v>-480437.54338141478</v>
      </c>
      <c r="W125" s="250">
        <f>'Staging Table'!BY127*Rates_current!$H$32*-1</f>
        <v>-431770.7963799999</v>
      </c>
      <c r="X125" s="250">
        <f>IF(Init!$R$12="No",0,'Staging Table'!$DW127*-1)</f>
        <v>0</v>
      </c>
      <c r="Y125" s="250">
        <f>IF('Staging Table'!C127=1,"",SUM(P125:X125))</f>
        <v>5286745.8088704422</v>
      </c>
      <c r="Z125" s="250">
        <f>IF('Staging Table'!C127=1,"",(RT1SC!$C$4*'Staging Table'!BS127*'Staging Table'!$BT$2)+SUM('Staging Table'!BZ127:CW127)-IF(Init!$R$15="No",'Staging Table'!DV127, 0))</f>
        <v>164673.55629383677</v>
      </c>
      <c r="AA125" s="126">
        <f>IF('Staging Table'!C127=1,"",IF(Z125=0, 0, Y125/Z125))</f>
        <v>32.104400535547974</v>
      </c>
      <c r="AB125" s="118">
        <f>IF('Staging Table'!C127=1,"",AA125/O125-1)</f>
        <v>5.1895372801926687E-3</v>
      </c>
      <c r="AC125" s="79">
        <f t="shared" ca="1" si="1"/>
        <v>79</v>
      </c>
      <c r="AF125" s="255"/>
      <c r="AG125" s="255"/>
      <c r="AH125" s="271"/>
      <c r="AI125" s="255"/>
      <c r="AJ125" s="255"/>
    </row>
    <row r="126" spans="2:36">
      <c r="B126" s="3">
        <v>10440</v>
      </c>
      <c r="C126" s="4" t="s">
        <v>129</v>
      </c>
      <c r="D126" s="250">
        <f>IF(Init!$R$9="Yes",'Staging Table'!E128,'Staging Table'!BS128)*Rates_previous!$E$75*100*12</f>
        <v>1801248.2208</v>
      </c>
      <c r="E126" s="250">
        <f>IF(Init!$R$9="Yes",'Staging Table'!F128,'Staging Table'!BT128)*Rates_previous!$E$76*100*12</f>
        <v>-254015.20199999999</v>
      </c>
      <c r="F126" s="251">
        <f>IF(Init!$R$9="Yes",SUMPRODUCT('Staging Table'!L128:AI128,LS_Demand_Rates_Restatement!$C$4:$Z$4)-IF(Init!$R$15="No",('Staging Table'!BH128*Rates_previous!$H$34), 0),SUMPRODUCT('Staging Table'!BZ128:CW128,LS_Demand_Rates_Restatement!$C$4:$Z$4)-IF(Init!$R$15="No", 'Staging Table'!DV128*Rates_previous!$H$34, 0))</f>
        <v>37207.859612014596</v>
      </c>
      <c r="G126" s="251">
        <f>IF(Init!$R$9="Yes",SUMPRODUCT('Staging Table'!AJ128:AU128,LS_Demand_Rates_Restatement!$C$10:$N$10),SUMPRODUCT(LS_Demand_Rates_Restatement!$C$10:$N$10,'Staging Table'!CX128:DI128))*1000</f>
        <v>85599.29</v>
      </c>
      <c r="H126" s="252">
        <f>IF(Init!$R$9="Yes",'Staging Table'!BR128,'Staging Table'!EF128)*IF(Init!$R$3=2018,Rates_previous!$C$88,Rates_previous!$D$88)</f>
        <v>1705.572000000019</v>
      </c>
      <c r="I126" s="250">
        <f>IF(Init!$R$9="Yes",IF('Staging Table'!$F$1=2018,(SUM('Staging Table'!BD128:BG128)*Rates_previous!$C$87),(SUM('Staging Table'!BD128:BG128)*Rates_previous!$D$87)),IF('Staging Table'!$F$1=2018,(SUM('Staging Table'!DR128:DU128)*Rates_previous!$C$87),(SUM('Staging Table'!DR128:DU128)*Rates_previous!$D$87)))</f>
        <v>9897.1731694511855</v>
      </c>
      <c r="J126" s="252">
        <f>IF(Init!$R$9="Yes",IF('Staging Table'!D128=1,'Staging Table'!H128*-1,'Staging Table'!H128*SUM(D126:I126)*(-1)),IF('Staging Table'!D128=1,'Staging Table'!BV128*-1,'Staging Table'!BV128*SUM(D126:I126)*(-1)))</f>
        <v>-92490.360246980621</v>
      </c>
      <c r="K126" s="250">
        <f>IF(Init!$R$9="Yes",'Staging Table'!K128,'Staging Table'!BY128)*(-1)*Rates_previous!$H$32</f>
        <v>0</v>
      </c>
      <c r="L126" s="250">
        <f>IF(Init!$R$12="No",0,'Staging Table'!$BI128*-1)</f>
        <v>-60562.174017080499</v>
      </c>
      <c r="M126" s="250">
        <f>IF('Staging Table'!C128=1,"",SUM(D126:L126))</f>
        <v>1528590.3793174047</v>
      </c>
      <c r="N126" s="250">
        <f>IF('Staging Table'!C128=1,"",IF(Init!$R$9="Yes",(RT1SC!$C$3*'Staging Table'!E128*'Staging Table'!$F$2)+SUM('Staging Table'!L128:AI128)-IF(Init!$R$15="No",'Staging Table'!BH128, 0),Z126))</f>
        <v>43143</v>
      </c>
      <c r="O126" s="126">
        <f>IF('Staging Table'!C128=1,"",IF(N126=0, 0, M126/N126))</f>
        <v>35.430785511378545</v>
      </c>
      <c r="P126" s="250">
        <f>'Staging Table'!BS128*Rates_current!$E$74*100*12</f>
        <v>1666278.8499599998</v>
      </c>
      <c r="Q126" s="250">
        <f>'Staging Table'!BT128*Rates_current!$E$75*100*12</f>
        <v>-168571.08179999999</v>
      </c>
      <c r="R126" s="251">
        <f>SUMPRODUCT('Staging Table'!BZ128:CW128, LS_Demand_Rates_Restatement!$C$5:$Z$5)-IF(Init!$R$15="No",('Staging Table'!DV128*Rates_current!$H$34), 0)</f>
        <v>38151.269999999982</v>
      </c>
      <c r="S126" s="251">
        <f>SUMPRODUCT('Staging Table'!CX128:DI128, LS_Demand_Rates_Restatement!$C$11:$N$11)*1000</f>
        <v>96807.65</v>
      </c>
      <c r="T126" s="252">
        <f>'Staging Table'!EF128*IF(Init!$R$18="Yes",IF(Init!$R$6=2020,Rates_current!$C$88,Rates_current!$D$88),Rates_current!$H$33)</f>
        <v>-15.980608364544823</v>
      </c>
      <c r="U126" s="252">
        <f>IF(Init!$R$18="Yes",(SUM('Staging Table'!DL128:DU128)*IF('Staging Table'!$BT$1=2020, Rates_current!$C$87, Rates_current!$D$87)),0)</f>
        <v>29087.69541206439</v>
      </c>
      <c r="V126" s="252">
        <f>IF('Staging Table'!D128=1, 'Staging Table'!BV128*-1,SUM(P126:U126)*'Staging Table'!BV128*-1)</f>
        <v>-91395.612163003476</v>
      </c>
      <c r="W126" s="250">
        <f>'Staging Table'!BY128*Rates_current!$H$32*-1</f>
        <v>0</v>
      </c>
      <c r="X126" s="250">
        <f>IF(Init!$R$12="No",0,'Staging Table'!$DW128*-1)</f>
        <v>0</v>
      </c>
      <c r="Y126" s="250">
        <f>IF('Staging Table'!C128=1,"",SUM(P126:X126))</f>
        <v>1570342.790800696</v>
      </c>
      <c r="Z126" s="250">
        <f>IF('Staging Table'!C128=1,"",(RT1SC!$C$4*'Staging Table'!BS128*'Staging Table'!$BT$2)+SUM('Staging Table'!BZ128:CW128)-IF(Init!$R$15="No",'Staging Table'!DV128, 0))</f>
        <v>43260.193030348797</v>
      </c>
      <c r="AA126" s="126">
        <f>IF('Staging Table'!C128=1,"",IF(Z126=0, 0, Y126/Z126))</f>
        <v>36.299948770432813</v>
      </c>
      <c r="AB126" s="118">
        <f>IF('Staging Table'!C128=1,"",AA126/O126-1)</f>
        <v>2.453130085911126E-2</v>
      </c>
      <c r="AC126" s="79">
        <f t="shared" ca="1" si="1"/>
        <v>30</v>
      </c>
      <c r="AF126" s="255"/>
      <c r="AG126" s="255"/>
      <c r="AH126" s="271"/>
      <c r="AI126" s="255"/>
      <c r="AJ126" s="255"/>
    </row>
    <row r="127" spans="2:36">
      <c r="B127" s="3">
        <v>10442</v>
      </c>
      <c r="C127" s="4" t="s">
        <v>130</v>
      </c>
      <c r="D127" s="250">
        <f>IF(Init!$R$9="Yes",'Staging Table'!E129,'Staging Table'!BS129)*Rates_previous!$E$75*100*12</f>
        <v>4787447.7110400004</v>
      </c>
      <c r="E127" s="250">
        <f>IF(Init!$R$9="Yes",'Staging Table'!F129,'Staging Table'!BT129)*Rates_previous!$E$76*100*12</f>
        <v>-675134.32260000007</v>
      </c>
      <c r="F127" s="251">
        <f>IF(Init!$R$9="Yes",SUMPRODUCT('Staging Table'!L129:AI129,LS_Demand_Rates_Restatement!$C$4:$Z$4)-IF(Init!$R$15="No",('Staging Table'!BH129*Rates_previous!$H$34), 0),SUMPRODUCT('Staging Table'!BZ129:CW129,LS_Demand_Rates_Restatement!$C$4:$Z$4)-IF(Init!$R$15="No", 'Staging Table'!DV129*Rates_previous!$H$34, 0))</f>
        <v>-50682.569999999978</v>
      </c>
      <c r="G127" s="251">
        <f>IF(Init!$R$9="Yes",SUMPRODUCT('Staging Table'!AJ129:AU129,LS_Demand_Rates_Restatement!$C$10:$N$10),SUMPRODUCT(LS_Demand_Rates_Restatement!$C$10:$N$10,'Staging Table'!CX129:DI129))*1000</f>
        <v>354647.13999999996</v>
      </c>
      <c r="H127" s="252">
        <f>IF(Init!$R$9="Yes",'Staging Table'!BR129,'Staging Table'!EF129)*IF(Init!$R$3=2018,Rates_previous!$C$88,Rates_previous!$D$88)</f>
        <v>-50407.484226610861</v>
      </c>
      <c r="I127" s="250">
        <f>IF(Init!$R$9="Yes",IF('Staging Table'!$F$1=2018,(SUM('Staging Table'!BD129:BG129)*Rates_previous!$C$87),(SUM('Staging Table'!BD129:BG129)*Rates_previous!$D$87)),IF('Staging Table'!$F$1=2018,(SUM('Staging Table'!DR129:DU129)*Rates_previous!$C$87),(SUM('Staging Table'!DR129:DU129)*Rates_previous!$D$87)))</f>
        <v>26305.202408367364</v>
      </c>
      <c r="J127" s="252">
        <f>IF(Init!$R$9="Yes",IF('Staging Table'!D129=1,'Staging Table'!H129*-1,'Staging Table'!H129*SUM(D127:I127)*(-1)),IF('Staging Table'!D129=1,'Staging Table'!BV129*-1,'Staging Table'!BV129*SUM(D127:I127)*(-1)))</f>
        <v>-307452.29736352304</v>
      </c>
      <c r="K127" s="250">
        <f>IF(Init!$R$9="Yes",'Staging Table'!K129,'Staging Table'!BY129)*(-1)*Rates_previous!$H$32</f>
        <v>-114463.9608</v>
      </c>
      <c r="L127" s="250">
        <f>IF(Init!$R$12="No",0,'Staging Table'!$BI129*-1)</f>
        <v>-74538.88887302966</v>
      </c>
      <c r="M127" s="250">
        <f>IF('Staging Table'!C129=1,"",SUM(D127:L127))</f>
        <v>3895720.529585205</v>
      </c>
      <c r="N127" s="250">
        <f>IF('Staging Table'!C129=1,"",IF(Init!$R$9="Yes",(RT1SC!$C$3*'Staging Table'!E129*'Staging Table'!$F$2)+SUM('Staging Table'!L129:AI129)-IF(Init!$R$15="No",'Staging Table'!BH129, 0),Z127))</f>
        <v>110434.52663893599</v>
      </c>
      <c r="O127" s="126">
        <f>IF('Staging Table'!C129=1,"",IF(N127=0, 0, M127/N127))</f>
        <v>35.276291284538253</v>
      </c>
      <c r="P127" s="250">
        <f>'Staging Table'!BS129*Rates_current!$E$74*100*12</f>
        <v>4253514.8449200001</v>
      </c>
      <c r="Q127" s="250">
        <f>'Staging Table'!BT129*Rates_current!$E$75*100*12</f>
        <v>-430311.88859999995</v>
      </c>
      <c r="R127" s="251">
        <f>SUMPRODUCT('Staging Table'!BZ129:CW129, LS_Demand_Rates_Restatement!$C$5:$Z$5)-IF(Init!$R$15="No",('Staging Table'!DV129*Rates_current!$H$34), 0)</f>
        <v>43038.350000000006</v>
      </c>
      <c r="S127" s="251">
        <f>SUMPRODUCT('Staging Table'!CX129:DI129, LS_Demand_Rates_Restatement!$C$11:$N$11)*1000</f>
        <v>389235.14</v>
      </c>
      <c r="T127" s="252">
        <f>'Staging Table'!EF129*IF(Init!$R$18="Yes",IF(Init!$R$6=2020,Rates_current!$C$88,Rates_current!$D$88),Rates_current!$H$33)</f>
        <v>63.035739943103977</v>
      </c>
      <c r="U127" s="252">
        <f>IF(Init!$R$18="Yes",(SUM('Staging Table'!DL129:DU129)*IF('Staging Table'!$BT$1=2020, Rates_current!$C$87, Rates_current!$D$87)),0)</f>
        <v>74252.244300344668</v>
      </c>
      <c r="V127" s="252">
        <f>IF('Staging Table'!D129=1, 'Staging Table'!BV129*-1,SUM(P127:U127)*'Staging Table'!BV129*-1)</f>
        <v>-303085.42084522021</v>
      </c>
      <c r="W127" s="250">
        <f>'Staging Table'!BY129*Rates_current!$H$32*-1</f>
        <v>-108137.29629999999</v>
      </c>
      <c r="X127" s="250">
        <f>IF(Init!$R$12="No",0,'Staging Table'!$DW129*-1)</f>
        <v>0</v>
      </c>
      <c r="Y127" s="250">
        <f>IF('Staging Table'!C129=1,"",SUM(P127:X127))</f>
        <v>3918569.0092150681</v>
      </c>
      <c r="Z127" s="250">
        <f>IF('Staging Table'!C129=1,"",(RT1SC!$C$4*'Staging Table'!BS129*'Staging Table'!$BT$2)+SUM('Staging Table'!BZ129:CW129)-IF(Init!$R$15="No",'Staging Table'!DV129, 0))</f>
        <v>110436.4200062976</v>
      </c>
      <c r="AA127" s="126">
        <f>IF('Staging Table'!C129=1,"",IF(Z127=0, 0, Y127/Z127))</f>
        <v>35.482579107432251</v>
      </c>
      <c r="AB127" s="118">
        <f>IF('Staging Table'!C129=1,"",AA127/O127-1)</f>
        <v>5.8477752445709186E-3</v>
      </c>
      <c r="AC127" s="79">
        <f t="shared" ca="1" si="1"/>
        <v>78</v>
      </c>
      <c r="AF127" s="255"/>
      <c r="AG127" s="255"/>
      <c r="AH127" s="271"/>
      <c r="AI127" s="255"/>
      <c r="AJ127" s="255"/>
    </row>
    <row r="128" spans="2:36">
      <c r="B128" s="3">
        <v>10446</v>
      </c>
      <c r="C128" s="4" t="s">
        <v>131</v>
      </c>
      <c r="D128" s="250">
        <f>IF(Init!$R$9="Yes",'Staging Table'!E130,'Staging Table'!BS130)*Rates_previous!$E$75*100*12</f>
        <v>34569953.300160006</v>
      </c>
      <c r="E128" s="250">
        <f>IF(Init!$R$9="Yes",'Staging Table'!F130,'Staging Table'!BT130)*Rates_previous!$E$76*100*12</f>
        <v>-4875115.805399999</v>
      </c>
      <c r="F128" s="251">
        <f>IF(Init!$R$9="Yes",SUMPRODUCT('Staging Table'!L130:AI130,LS_Demand_Rates_Restatement!$C$4:$Z$4)-IF(Init!$R$15="No",('Staging Table'!BH130*Rates_previous!$H$34), 0),SUMPRODUCT('Staging Table'!BZ130:CW130,LS_Demand_Rates_Restatement!$C$4:$Z$4)-IF(Init!$R$15="No", 'Staging Table'!DV130*Rates_previous!$H$34, 0))</f>
        <v>-779116.79</v>
      </c>
      <c r="G128" s="251">
        <f>IF(Init!$R$9="Yes",SUMPRODUCT('Staging Table'!AJ130:AU130,LS_Demand_Rates_Restatement!$C$10:$N$10),SUMPRODUCT(LS_Demand_Rates_Restatement!$C$10:$N$10,'Staging Table'!CX130:DI130))*1000</f>
        <v>888463.40000000014</v>
      </c>
      <c r="H128" s="252">
        <f>IF(Init!$R$9="Yes",'Staging Table'!BR130,'Staging Table'!EF130)*IF(Init!$R$3=2018,Rates_previous!$C$88,Rates_previous!$D$88)</f>
        <v>-215459.34245495131</v>
      </c>
      <c r="I128" s="250">
        <f>IF(Init!$R$9="Yes",IF('Staging Table'!$F$1=2018,(SUM('Staging Table'!BD130:BG130)*Rates_previous!$C$87),(SUM('Staging Table'!BD130:BG130)*Rates_previous!$D$87)),IF('Staging Table'!$F$1=2018,(SUM('Staging Table'!DR130:DU130)*Rates_previous!$C$87),(SUM('Staging Table'!DR130:DU130)*Rates_previous!$D$87)))</f>
        <v>189948.73128566649</v>
      </c>
      <c r="J128" s="252">
        <f>IF(Init!$R$9="Yes",IF('Staging Table'!D130=1,'Staging Table'!H130*-1,'Staging Table'!H130*SUM(D128:I128)*(-1)),IF('Staging Table'!D130=1,'Staging Table'!BV130*-1,'Staging Table'!BV130*SUM(D128:I128)*(-1)))</f>
        <v>-1831486.689478358</v>
      </c>
      <c r="K128" s="250">
        <f>IF(Init!$R$9="Yes",'Staging Table'!K130,'Staging Table'!BY130)*(-1)*Rates_previous!$H$32</f>
        <v>-84334.958400000003</v>
      </c>
      <c r="L128" s="250">
        <f>IF(Init!$R$12="No",0,'Staging Table'!$BI130*-1)</f>
        <v>-926750.88589619799</v>
      </c>
      <c r="M128" s="250">
        <f>IF('Staging Table'!C130=1,"",SUM(D128:L128))</f>
        <v>26936100.959816165</v>
      </c>
      <c r="N128" s="250">
        <f>IF('Staging Table'!C130=1,"",IF(Init!$R$9="Yes",(RT1SC!$C$3*'Staging Table'!E130*'Staging Table'!$F$2)+SUM('Staging Table'!L130:AI130)-IF(Init!$R$15="No",'Staging Table'!BH130, 0),Z128))</f>
        <v>788208.14699114393</v>
      </c>
      <c r="O128" s="126">
        <f>IF('Staging Table'!C130=1,"",IF(N128=0, 0, M128/N128))</f>
        <v>34.173842357047867</v>
      </c>
      <c r="P128" s="250">
        <f>'Staging Table'!BS130*Rates_current!$E$74*100*12</f>
        <v>31493644.696319997</v>
      </c>
      <c r="Q128" s="250">
        <f>'Staging Table'!BT130*Rates_current!$E$75*100*12</f>
        <v>-3186092.0255999998</v>
      </c>
      <c r="R128" s="251">
        <f>SUMPRODUCT('Staging Table'!BZ130:CW130, LS_Demand_Rates_Restatement!$C$5:$Z$5)-IF(Init!$R$15="No",('Staging Table'!DV130*Rates_current!$H$34), 0)</f>
        <v>-75855.170000000042</v>
      </c>
      <c r="S128" s="251">
        <f>SUMPRODUCT('Staging Table'!CX130:DI130, LS_Demand_Rates_Restatement!$C$11:$N$11)*1000</f>
        <v>1034172.2</v>
      </c>
      <c r="T128" s="252">
        <f>'Staging Table'!EF130*IF(Init!$R$18="Yes",IF(Init!$R$6=2020,Rates_current!$C$88,Rates_current!$D$88),Rates_current!$H$33)</f>
        <v>-138864.48958873938</v>
      </c>
      <c r="U128" s="252">
        <f>IF(Init!$R$18="Yes",(SUM('Staging Table'!DL130:DU130)*IF('Staging Table'!$BT$1=2020, Rates_current!$C$87, Rates_current!$D$87)),0)</f>
        <v>549774.45363621111</v>
      </c>
      <c r="V128" s="252">
        <f>IF('Staging Table'!D130=1, 'Staging Table'!BV130*-1,SUM(P128:U128)*'Staging Table'!BV130*-1)</f>
        <v>-1928990.6782098853</v>
      </c>
      <c r="W128" s="250">
        <f>'Staging Table'!BY130*Rates_current!$H$32*-1</f>
        <v>-79673.587400000004</v>
      </c>
      <c r="X128" s="250">
        <f>IF(Init!$R$12="No",0,'Staging Table'!$DW130*-1)</f>
        <v>0</v>
      </c>
      <c r="Y128" s="250">
        <f>IF('Staging Table'!C130=1,"",SUM(P128:X128))</f>
        <v>27668115.399157576</v>
      </c>
      <c r="Z128" s="250">
        <f>IF('Staging Table'!C130=1,"",(RT1SC!$C$4*'Staging Table'!BS130*'Staging Table'!$BT$2)+SUM('Staging Table'!BZ130:CW130)-IF(Init!$R$15="No",'Staging Table'!DV130, 0))</f>
        <v>808890.94663208956</v>
      </c>
      <c r="AA128" s="126">
        <f>IF('Staging Table'!C130=1,"",IF(Z128=0, 0, Y128/Z128))</f>
        <v>34.20500070418263</v>
      </c>
      <c r="AB128" s="118">
        <f>IF('Staging Table'!C130=1,"",AA128/O128-1)</f>
        <v>9.1176013540472667E-4</v>
      </c>
      <c r="AC128" s="79">
        <f t="shared" ca="1" si="1"/>
        <v>90</v>
      </c>
      <c r="AF128" s="255"/>
      <c r="AG128" s="255"/>
      <c r="AH128" s="271"/>
      <c r="AI128" s="255"/>
      <c r="AJ128" s="255"/>
    </row>
    <row r="129" spans="1:36">
      <c r="B129" s="3">
        <v>10448</v>
      </c>
      <c r="C129" s="4" t="s">
        <v>132</v>
      </c>
      <c r="D129" s="250">
        <f>IF(Init!$R$9="Yes",'Staging Table'!E131,'Staging Table'!BS131)*Rates_previous!$E$75*100*12</f>
        <v>2990530.6387200002</v>
      </c>
      <c r="E129" s="250">
        <f>IF(Init!$R$9="Yes",'Staging Table'!F131,'Staging Table'!BT131)*Rates_previous!$E$76*100*12</f>
        <v>-421729.9068</v>
      </c>
      <c r="F129" s="251">
        <f>IF(Init!$R$9="Yes",SUMPRODUCT('Staging Table'!L131:AI131,LS_Demand_Rates_Restatement!$C$4:$Z$4)-IF(Init!$R$15="No",('Staging Table'!BH131*Rates_previous!$H$34), 0),SUMPRODUCT('Staging Table'!BZ131:CW131,LS_Demand_Rates_Restatement!$C$4:$Z$4)-IF(Init!$R$15="No", 'Staging Table'!DV131*Rates_previous!$H$34, 0))</f>
        <v>0</v>
      </c>
      <c r="G129" s="251">
        <f>IF(Init!$R$9="Yes",SUMPRODUCT('Staging Table'!AJ131:AU131,LS_Demand_Rates_Restatement!$C$10:$N$10),SUMPRODUCT(LS_Demand_Rates_Restatement!$C$10:$N$10,'Staging Table'!CX131:DI131))*1000</f>
        <v>0</v>
      </c>
      <c r="H129" s="252">
        <f>IF(Init!$R$9="Yes",'Staging Table'!BR131,'Staging Table'!EF131)*IF(Init!$R$3=2018,Rates_previous!$C$88,Rates_previous!$D$88)</f>
        <v>-15.891974113008182</v>
      </c>
      <c r="I129" s="250">
        <f>IF(Init!$R$9="Yes",IF('Staging Table'!$F$1=2018,(SUM('Staging Table'!BD131:BG131)*Rates_previous!$C$87),(SUM('Staging Table'!BD131:BG131)*Rates_previous!$D$87)),IF('Staging Table'!$F$1=2018,(SUM('Staging Table'!DR131:DU131)*Rates_previous!$C$87),(SUM('Staging Table'!DR131:DU131)*Rates_previous!$D$87)))</f>
        <v>16431.827250780483</v>
      </c>
      <c r="J129" s="252">
        <f>IF(Init!$R$9="Yes",IF('Staging Table'!D131=1,'Staging Table'!H131*-1,'Staging Table'!H131*SUM(D129:I129)*(-1)),IF('Staging Table'!D131=1,'Staging Table'!BV131*-1,'Staging Table'!BV131*SUM(D129:I129)*(-1)))</f>
        <v>-180965.16670376676</v>
      </c>
      <c r="K129" s="250">
        <f>IF(Init!$R$9="Yes",'Staging Table'!K131,'Staging Table'!BY131)*(-1)*Rates_previous!$H$32</f>
        <v>0</v>
      </c>
      <c r="L129" s="250">
        <f>IF(Init!$R$12="No",0,'Staging Table'!$BI131*-1)</f>
        <v>-95520.794317990891</v>
      </c>
      <c r="M129" s="250" t="str">
        <f>IF('Staging Table'!C131=1,"",SUM(D129:L129))</f>
        <v/>
      </c>
      <c r="N129" s="250" t="str">
        <f>IF('Staging Table'!C131=1,"",IF(Init!$R$9="Yes",(RT1SC!$C$3*'Staging Table'!E131*'Staging Table'!$F$2)+SUM('Staging Table'!L131:AI131)-IF(Init!$R$15="No",'Staging Table'!BH131, 0),Z129))</f>
        <v/>
      </c>
      <c r="O129" s="126" t="str">
        <f>IF('Staging Table'!C131=1,"",IF(N129=0, 0, M129/N129))</f>
        <v/>
      </c>
      <c r="P129" s="250">
        <f>'Staging Table'!BS131*Rates_current!$E$74*100*12</f>
        <v>2752651.7815200002</v>
      </c>
      <c r="Q129" s="250">
        <f>'Staging Table'!BT131*Rates_current!$E$75*100*12</f>
        <v>-278475.2916</v>
      </c>
      <c r="R129" s="251">
        <f>SUMPRODUCT('Staging Table'!BZ131:CW131, LS_Demand_Rates_Restatement!$C$5:$Z$5)-IF(Init!$R$15="No",('Staging Table'!DV131*Rates_current!$H$34), 0)</f>
        <v>0</v>
      </c>
      <c r="S129" s="251">
        <f>SUMPRODUCT('Staging Table'!CX131:DI131, LS_Demand_Rates_Restatement!$C$11:$N$11)*1000</f>
        <v>0</v>
      </c>
      <c r="T129" s="252">
        <f>'Staging Table'!EF131*IF(Init!$R$18="Yes",IF(Init!$R$6=2020,Rates_current!$C$88,Rates_current!$D$88),Rates_current!$H$33)</f>
        <v>-29.302540259319066</v>
      </c>
      <c r="U129" s="252">
        <f>IF(Init!$R$18="Yes",(SUM('Staging Table'!DL131:DU131)*IF('Staging Table'!$BT$1=2020, Rates_current!$C$87, Rates_current!$D$87)),0)</f>
        <v>48052.159215879299</v>
      </c>
      <c r="V129" s="252">
        <f>IF('Staging Table'!D131=1, 'Staging Table'!BV131*-1,SUM(P129:U129)*'Staging Table'!BV131*-1)</f>
        <v>-176553.9542616934</v>
      </c>
      <c r="W129" s="250">
        <f>'Staging Table'!BY131*Rates_current!$H$32*-1</f>
        <v>0</v>
      </c>
      <c r="X129" s="250">
        <f>IF(Init!$R$12="No",0,'Staging Table'!$DW131*-1)</f>
        <v>0</v>
      </c>
      <c r="Y129" s="250" t="str">
        <f>IF('Staging Table'!C131=1,"",SUM(P129:X129))</f>
        <v/>
      </c>
      <c r="Z129" s="250" t="str">
        <f>IF('Staging Table'!C131=1,"",(RT1SC!$C$4*'Staging Table'!BS131*'Staging Table'!$BT$2)+SUM('Staging Table'!BZ131:CW131)-IF(Init!$R$15="No",'Staging Table'!DV131, 0))</f>
        <v/>
      </c>
      <c r="AA129" s="126" t="str">
        <f>IF('Staging Table'!C131=1,"",IF(Z129=0, 0, Y129/Z129))</f>
        <v/>
      </c>
      <c r="AB129" s="118" t="str">
        <f>IF('Staging Table'!C131=1,"",AA129/O129-1)</f>
        <v/>
      </c>
      <c r="AC129" s="79" t="str">
        <f t="shared" si="1"/>
        <v/>
      </c>
      <c r="AF129" s="255"/>
      <c r="AG129" s="255"/>
      <c r="AH129" s="271"/>
      <c r="AI129" s="255"/>
      <c r="AJ129" s="255"/>
    </row>
    <row r="130" spans="1:36">
      <c r="B130" s="3">
        <v>10451</v>
      </c>
      <c r="C130" s="4" t="s">
        <v>133</v>
      </c>
      <c r="D130" s="250">
        <f>IF(Init!$R$9="Yes",'Staging Table'!E132,'Staging Table'!BS132)*Rates_previous!$E$75*100*12</f>
        <v>9605977.7817600016</v>
      </c>
      <c r="E130" s="250">
        <f>IF(Init!$R$9="Yes",'Staging Table'!F132,'Staging Table'!BT132)*Rates_previous!$E$76*100*12</f>
        <v>-1354651.9344000001</v>
      </c>
      <c r="F130" s="251">
        <f>IF(Init!$R$9="Yes",SUMPRODUCT('Staging Table'!L132:AI132,LS_Demand_Rates_Restatement!$C$4:$Z$4)-IF(Init!$R$15="No",('Staging Table'!BH132*Rates_previous!$H$34), 0),SUMPRODUCT('Staging Table'!BZ132:CW132,LS_Demand_Rates_Restatement!$C$4:$Z$4)-IF(Init!$R$15="No", 'Staging Table'!DV132*Rates_previous!$H$34, 0))</f>
        <v>14002.799086760613</v>
      </c>
      <c r="G130" s="251">
        <f>IF(Init!$R$9="Yes",SUMPRODUCT('Staging Table'!AJ132:AU132,LS_Demand_Rates_Restatement!$C$10:$N$10),SUMPRODUCT(LS_Demand_Rates_Restatement!$C$10:$N$10,'Staging Table'!CX132:DI132))*1000</f>
        <v>162656.89999999997</v>
      </c>
      <c r="H130" s="252">
        <f>IF(Init!$R$9="Yes",'Staging Table'!BR132,'Staging Table'!EF132)*IF(Init!$R$3=2018,Rates_previous!$C$88,Rates_previous!$D$88)</f>
        <v>24673.941600000544</v>
      </c>
      <c r="I130" s="250">
        <f>IF(Init!$R$9="Yes",IF('Staging Table'!$F$1=2018,(SUM('Staging Table'!BD132:BG132)*Rates_previous!$C$87),(SUM('Staging Table'!BD132:BG132)*Rates_previous!$D$87)),IF('Staging Table'!$F$1=2018,(SUM('Staging Table'!DR132:DU132)*Rates_previous!$C$87),(SUM('Staging Table'!DR132:DU132)*Rates_previous!$D$87)))</f>
        <v>52781.190548937418</v>
      </c>
      <c r="J130" s="252">
        <f>IF(Init!$R$9="Yes",IF('Staging Table'!D132=1,'Staging Table'!H132*-1,'Staging Table'!H132*SUM(D130:I130)*(-1)),IF('Staging Table'!D132=1,'Staging Table'!BV132*-1,'Staging Table'!BV132*SUM(D130:I130)*(-1)))</f>
        <v>0</v>
      </c>
      <c r="K130" s="250">
        <f>IF(Init!$R$9="Yes",'Staging Table'!K132,'Staging Table'!BY132)*(-1)*Rates_previous!$H$32</f>
        <v>0</v>
      </c>
      <c r="L130" s="250">
        <f>IF(Init!$R$12="No",0,'Staging Table'!$BI132*-1)</f>
        <v>-329541.98011314787</v>
      </c>
      <c r="M130" s="250">
        <f>IF('Staging Table'!C132=1,"",SUM(D130:L130))</f>
        <v>8175898.6984825535</v>
      </c>
      <c r="N130" s="250">
        <f>IF('Staging Table'!C132=1,"",IF(Init!$R$9="Yes",(RT1SC!$C$3*'Staging Table'!E132*'Staging Table'!$F$2)+SUM('Staging Table'!L132:AI132)-IF(Init!$R$15="No",'Staging Table'!BH132, 0),Z130))</f>
        <v>231281.52000000002</v>
      </c>
      <c r="O130" s="126">
        <f>IF('Staging Table'!C132=1,"",IF(N130=0, 0, M130/N130))</f>
        <v>35.350419257373233</v>
      </c>
      <c r="P130" s="250">
        <f>'Staging Table'!BS132*Rates_current!$E$74*100*12</f>
        <v>8913439.1654399987</v>
      </c>
      <c r="Q130" s="250">
        <f>'Staging Table'!BT132*Rates_current!$E$75*100*12</f>
        <v>-901738.67519999994</v>
      </c>
      <c r="R130" s="251">
        <f>SUMPRODUCT('Staging Table'!BZ132:CW132, LS_Demand_Rates_Restatement!$C$5:$Z$5)-IF(Init!$R$15="No",('Staging Table'!DV132*Rates_current!$H$34), 0)</f>
        <v>-28089.719999999994</v>
      </c>
      <c r="S130" s="251">
        <f>SUMPRODUCT('Staging Table'!CX132:DI132, LS_Demand_Rates_Restatement!$C$11:$N$11)*1000</f>
        <v>197045.75999999998</v>
      </c>
      <c r="T130" s="252">
        <f>'Staging Table'!EF132*IF(Init!$R$18="Yes",IF(Init!$R$6=2020,Rates_current!$C$88,Rates_current!$D$88),Rates_current!$H$33)</f>
        <v>-69.405772885802435</v>
      </c>
      <c r="U130" s="252">
        <f>IF(Init!$R$18="Yes",(SUM('Staging Table'!DL132:DU132)*IF('Staging Table'!$BT$1=2020, Rates_current!$C$87, Rates_current!$D$87)),0)</f>
        <v>155599.0484572904</v>
      </c>
      <c r="V130" s="252">
        <f>IF('Staging Table'!D132=1, 'Staging Table'!BV132*-1,SUM(P130:U130)*'Staging Table'!BV132*-1)</f>
        <v>0</v>
      </c>
      <c r="W130" s="250">
        <f>'Staging Table'!BY132*Rates_current!$H$32*-1</f>
        <v>0</v>
      </c>
      <c r="X130" s="250">
        <f>IF(Init!$R$12="No",0,'Staging Table'!$DW132*-1)</f>
        <v>0</v>
      </c>
      <c r="Y130" s="250">
        <f>IF('Staging Table'!C132=1,"",SUM(P130:X130))</f>
        <v>8336186.1729244022</v>
      </c>
      <c r="Z130" s="250">
        <f>IF('Staging Table'!C132=1,"",(RT1SC!$C$4*'Staging Table'!BS132*'Staging Table'!$BT$2)+SUM('Staging Table'!BZ132:CW132)-IF(Init!$R$15="No",'Staging Table'!DV132, 0))</f>
        <v>231410.10660536319</v>
      </c>
      <c r="AA130" s="126">
        <f>IF('Staging Table'!C132=1,"",IF(Z130=0, 0, Y130/Z130))</f>
        <v>36.023431712689082</v>
      </c>
      <c r="AB130" s="118">
        <f>IF('Staging Table'!C132=1,"",AA130/O130-1)</f>
        <v>1.9038316078117568E-2</v>
      </c>
      <c r="AC130" s="79">
        <f t="shared" ca="1" si="1"/>
        <v>55</v>
      </c>
      <c r="AF130" s="255"/>
      <c r="AG130" s="255"/>
      <c r="AH130" s="271"/>
      <c r="AI130" s="255"/>
      <c r="AJ130" s="255"/>
    </row>
    <row r="131" spans="1:36">
      <c r="B131" s="3">
        <v>10482</v>
      </c>
      <c r="C131" s="4" t="s">
        <v>134</v>
      </c>
      <c r="D131" s="250">
        <f>IF(Init!$R$9="Yes",'Staging Table'!E133,'Staging Table'!BS133)*Rates_previous!$E$75*100*12</f>
        <v>994635.50976000004</v>
      </c>
      <c r="E131" s="250">
        <f>IF(Init!$R$9="Yes",'Staging Table'!F133,'Staging Table'!BT133)*Rates_previous!$E$76*100*12</f>
        <v>-140265.25440000001</v>
      </c>
      <c r="F131" s="251">
        <f>IF(Init!$R$9="Yes",SUMPRODUCT('Staging Table'!L133:AI133,LS_Demand_Rates_Restatement!$C$4:$Z$4)-IF(Init!$R$15="No",('Staging Table'!BH133*Rates_previous!$H$34), 0),SUMPRODUCT('Staging Table'!BZ133:CW133,LS_Demand_Rates_Restatement!$C$4:$Z$4)-IF(Init!$R$15="No", 'Staging Table'!DV133*Rates_previous!$H$34, 0))</f>
        <v>9331.59</v>
      </c>
      <c r="G131" s="251">
        <f>IF(Init!$R$9="Yes",SUMPRODUCT('Staging Table'!AJ133:AU133,LS_Demand_Rates_Restatement!$C$10:$N$10),SUMPRODUCT(LS_Demand_Rates_Restatement!$C$10:$N$10,'Staging Table'!CX133:DI133))*1000</f>
        <v>44092.54</v>
      </c>
      <c r="H131" s="252">
        <f>IF(Init!$R$9="Yes",'Staging Table'!BR133,'Staging Table'!EF133)*IF(Init!$R$3=2018,Rates_previous!$C$88,Rates_previous!$D$88)</f>
        <v>5611.859059896331</v>
      </c>
      <c r="I131" s="250">
        <f>IF(Init!$R$9="Yes",IF('Staging Table'!$F$1=2018,(SUM('Staging Table'!BD133:BG133)*Rates_previous!$C$87),(SUM('Staging Table'!BD133:BG133)*Rates_previous!$D$87)),IF('Staging Table'!$F$1=2018,(SUM('Staging Table'!DR133:DU133)*Rates_previous!$C$87),(SUM('Staging Table'!DR133:DU133)*Rates_previous!$D$87)))</f>
        <v>5465.1434304861996</v>
      </c>
      <c r="J131" s="252">
        <f>IF(Init!$R$9="Yes",IF('Staging Table'!D133=1,'Staging Table'!H133*-1,'Staging Table'!H133*SUM(D131:I131)*(-1)),IF('Staging Table'!D133=1,'Staging Table'!BV133*-1,'Staging Table'!BV133*SUM(D131:I131)*(-1)))</f>
        <v>0</v>
      </c>
      <c r="K131" s="250">
        <f>IF(Init!$R$9="Yes",'Staging Table'!K133,'Staging Table'!BY133)*(-1)*Rates_previous!$H$32</f>
        <v>0</v>
      </c>
      <c r="L131" s="250">
        <f>IF(Init!$R$12="No",0,'Staging Table'!$BI133*-1)</f>
        <v>-31167.066926376116</v>
      </c>
      <c r="M131" s="250">
        <f>IF('Staging Table'!C133=1,"",SUM(D131:L131))</f>
        <v>887704.32092400652</v>
      </c>
      <c r="N131" s="250">
        <f>IF('Staging Table'!C133=1,"",IF(Init!$R$9="Yes",(RT1SC!$C$3*'Staging Table'!E133*'Staging Table'!$F$2)+SUM('Staging Table'!L133:AI133)-IF(Init!$R$15="No",'Staging Table'!BH133, 0),Z131))</f>
        <v>24180.706614783998</v>
      </c>
      <c r="O131" s="126">
        <f>IF('Staging Table'!C133=1,"",IF(N131=0, 0, M131/N131))</f>
        <v>36.711264689894023</v>
      </c>
      <c r="P131" s="250">
        <f>'Staging Table'!BS133*Rates_current!$E$74*100*12</f>
        <v>913114.15512000001</v>
      </c>
      <c r="Q131" s="250">
        <f>'Staging Table'!BT133*Rates_current!$E$75*100*12</f>
        <v>-92376.279599999994</v>
      </c>
      <c r="R131" s="251">
        <f>SUMPRODUCT('Staging Table'!BZ133:CW133, LS_Demand_Rates_Restatement!$C$5:$Z$5)-IF(Init!$R$15="No",('Staging Table'!DV133*Rates_current!$H$34), 0)</f>
        <v>8762.5300000000025</v>
      </c>
      <c r="S131" s="251">
        <f>SUMPRODUCT('Staging Table'!CX133:DI133, LS_Demand_Rates_Restatement!$C$11:$N$11)*1000</f>
        <v>49161.069999999992</v>
      </c>
      <c r="T131" s="252">
        <f>'Staging Table'!EF133*IF(Init!$R$18="Yes",IF(Init!$R$6=2020,Rates_current!$C$88,Rates_current!$D$88),Rates_current!$H$33)</f>
        <v>7481.070570181656</v>
      </c>
      <c r="U131" s="252">
        <f>IF(Init!$R$18="Yes",(SUM('Staging Table'!DL133:DU133)*IF('Staging Table'!$BT$1=2020, Rates_current!$C$87, Rates_current!$D$87)),0)</f>
        <v>15939.940917579714</v>
      </c>
      <c r="V131" s="252">
        <f>IF('Staging Table'!D133=1, 'Staging Table'!BV133*-1,SUM(P131:U131)*'Staging Table'!BV133*-1)</f>
        <v>0</v>
      </c>
      <c r="W131" s="250">
        <f>'Staging Table'!BY133*Rates_current!$H$32*-1</f>
        <v>0</v>
      </c>
      <c r="X131" s="250">
        <f>IF(Init!$R$12="No",0,'Staging Table'!$DW133*-1)</f>
        <v>0</v>
      </c>
      <c r="Y131" s="250">
        <f>IF('Staging Table'!C133=1,"",SUM(P131:X131))</f>
        <v>902082.48700776137</v>
      </c>
      <c r="Z131" s="250">
        <f>IF('Staging Table'!C133=1,"",(RT1SC!$C$4*'Staging Table'!BS133*'Staging Table'!$BT$2)+SUM('Staging Table'!BZ133:CW133)-IF(Init!$R$15="No",'Staging Table'!DV133, 0))</f>
        <v>24179.413011353601</v>
      </c>
      <c r="AA131" s="126">
        <f>IF('Staging Table'!C133=1,"",IF(Z131=0, 0, Y131/Z131))</f>
        <v>37.307873709927641</v>
      </c>
      <c r="AB131" s="118">
        <f>IF('Staging Table'!C133=1,"",AA131/O131-1)</f>
        <v>1.6251388370116748E-2</v>
      </c>
      <c r="AC131" s="79">
        <f t="shared" ca="1" si="1"/>
        <v>62</v>
      </c>
      <c r="AF131" s="255"/>
      <c r="AG131" s="255"/>
      <c r="AH131" s="271"/>
      <c r="AI131" s="255"/>
      <c r="AJ131" s="255"/>
    </row>
    <row r="132" spans="1:36">
      <c r="B132" s="3">
        <v>10502</v>
      </c>
      <c r="C132" s="4" t="s">
        <v>135</v>
      </c>
      <c r="D132" s="250">
        <f>IF(Init!$R$9="Yes",'Staging Table'!E134,'Staging Table'!BS134)*Rates_previous!$E$75*100*12</f>
        <v>6091632.9503999986</v>
      </c>
      <c r="E132" s="250">
        <f>IF(Init!$R$9="Yes",'Staging Table'!F134,'Staging Table'!BT134)*Rates_previous!$E$76*100*12</f>
        <v>-859052.82599999988</v>
      </c>
      <c r="F132" s="251">
        <f>IF(Init!$R$9="Yes",SUMPRODUCT('Staging Table'!L134:AI134,LS_Demand_Rates_Restatement!$C$4:$Z$4)-IF(Init!$R$15="No",('Staging Table'!BH134*Rates_previous!$H$34), 0),SUMPRODUCT('Staging Table'!BZ134:CW134,LS_Demand_Rates_Restatement!$C$4:$Z$4)-IF(Init!$R$15="No", 'Staging Table'!DV134*Rates_previous!$H$34, 0))</f>
        <v>199512.28999999992</v>
      </c>
      <c r="G132" s="251">
        <f>IF(Init!$R$9="Yes",SUMPRODUCT('Staging Table'!AJ134:AU134,LS_Demand_Rates_Restatement!$C$10:$N$10),SUMPRODUCT(LS_Demand_Rates_Restatement!$C$10:$N$10,'Staging Table'!CX134:DI134))*1000</f>
        <v>319324.89</v>
      </c>
      <c r="H132" s="252">
        <f>IF(Init!$R$9="Yes",'Staging Table'!BR134,'Staging Table'!EF134)*IF(Init!$R$3=2018,Rates_previous!$C$88,Rates_previous!$D$88)</f>
        <v>143079.9761767727</v>
      </c>
      <c r="I132" s="250">
        <f>IF(Init!$R$9="Yes",IF('Staging Table'!$F$1=2018,(SUM('Staging Table'!BD134:BG134)*Rates_previous!$C$87),(SUM('Staging Table'!BD134:BG134)*Rates_previous!$D$87)),IF('Staging Table'!$F$1=2018,(SUM('Staging Table'!DR134:DU134)*Rates_previous!$C$87),(SUM('Staging Table'!DR134:DU134)*Rates_previous!$D$87)))</f>
        <v>33471.203745626284</v>
      </c>
      <c r="J132" s="252">
        <f>IF(Init!$R$9="Yes",IF('Staging Table'!D134=1,'Staging Table'!H134*-1,'Staging Table'!H134*SUM(D132:I132)*(-1)),IF('Staging Table'!D134=1,'Staging Table'!BV134*-1,'Staging Table'!BV134*SUM(D132:I132)*(-1)))</f>
        <v>-414957.79390256782</v>
      </c>
      <c r="K132" s="250">
        <f>IF(Init!$R$9="Yes",'Staging Table'!K134,'Staging Table'!BY134)*(-1)*Rates_previous!$H$32</f>
        <v>-84550.836720000007</v>
      </c>
      <c r="L132" s="250">
        <f>IF(Init!$R$12="No",0,'Staging Table'!$BI134*-1)</f>
        <v>-102741.50983559954</v>
      </c>
      <c r="M132" s="250">
        <f>IF('Staging Table'!C134=1,"",SUM(D132:L132))</f>
        <v>5325718.3438642295</v>
      </c>
      <c r="N132" s="250">
        <f>IF('Staging Table'!C134=1,"",IF(Init!$R$9="Yes",(RT1SC!$C$3*'Staging Table'!E134*'Staging Table'!$F$2)+SUM('Staging Table'!L134:AI134)-IF(Init!$R$15="No",'Staging Table'!BH134, 0),Z132))</f>
        <v>156482.91064536001</v>
      </c>
      <c r="O132" s="126">
        <f>IF('Staging Table'!C134=1,"",IF(N132=0, 0, M132/N132))</f>
        <v>34.033865563339369</v>
      </c>
      <c r="P132" s="250">
        <f>'Staging Table'!BS134*Rates_current!$E$74*100*12</f>
        <v>6295781.8763999995</v>
      </c>
      <c r="Q132" s="250">
        <f>'Staging Table'!BT134*Rates_current!$E$75*100*12</f>
        <v>-636920.2620000001</v>
      </c>
      <c r="R132" s="251">
        <f>SUMPRODUCT('Staging Table'!BZ134:CW134, LS_Demand_Rates_Restatement!$C$5:$Z$5)-IF(Init!$R$15="No",('Staging Table'!DV134*Rates_current!$H$34), 0)</f>
        <v>-197312.97000000003</v>
      </c>
      <c r="S132" s="251">
        <f>SUMPRODUCT('Staging Table'!CX134:DI134, LS_Demand_Rates_Restatement!$C$11:$N$11)*1000</f>
        <v>355041.8</v>
      </c>
      <c r="T132" s="252">
        <f>'Staging Table'!EF134*IF(Init!$R$18="Yes",IF(Init!$R$6=2020,Rates_current!$C$88,Rates_current!$D$88),Rates_current!$H$33)</f>
        <v>-110591.59919364104</v>
      </c>
      <c r="U132" s="252">
        <f>IF(Init!$R$18="Yes",(SUM('Staging Table'!DL134:DU134)*IF('Staging Table'!$BT$1=2020, Rates_current!$C$87, Rates_current!$D$87)),0)</f>
        <v>109903.44479611835</v>
      </c>
      <c r="V132" s="252">
        <f>IF('Staging Table'!D134=1, 'Staging Table'!BV134*-1,SUM(P132:U132)*'Staging Table'!BV134*-1)</f>
        <v>-408928.88499511214</v>
      </c>
      <c r="W132" s="250">
        <f>'Staging Table'!BY134*Rates_current!$H$32*-1</f>
        <v>-79877.53366999999</v>
      </c>
      <c r="X132" s="250">
        <f>IF(Init!$R$12="No",0,'Staging Table'!$DW134*-1)</f>
        <v>0</v>
      </c>
      <c r="Y132" s="250">
        <f>IF('Staging Table'!C134=1,"",SUM(P132:X132))</f>
        <v>5327095.8713373644</v>
      </c>
      <c r="Z132" s="250">
        <f>IF('Staging Table'!C134=1,"",(RT1SC!$C$4*'Staging Table'!BS134*'Staging Table'!$BT$2)+SUM('Staging Table'!BZ134:CW134)-IF(Init!$R$15="No",'Staging Table'!DV134, 0))</f>
        <v>156484.07721779199</v>
      </c>
      <c r="AA132" s="126">
        <f>IF('Staging Table'!C134=1,"",IF(Z132=0, 0, Y132/Z132))</f>
        <v>34.042414832553213</v>
      </c>
      <c r="AB132" s="118">
        <f>IF('Staging Table'!C134=1,"",AA132/O132-1)</f>
        <v>2.5119888888114339E-4</v>
      </c>
      <c r="AC132" s="79">
        <f t="shared" ref="AC132:AC138" ca="1" si="2">IF(AB132="","",RANK(AB132,$AB$4:$AB$138))</f>
        <v>93</v>
      </c>
      <c r="AF132" s="255"/>
      <c r="AG132" s="255"/>
      <c r="AH132" s="271"/>
      <c r="AI132" s="255"/>
      <c r="AJ132" s="255"/>
    </row>
    <row r="133" spans="1:36" s="112" customFormat="1">
      <c r="A133" s="113"/>
      <c r="B133" s="24">
        <v>13927</v>
      </c>
      <c r="C133" s="25" t="s">
        <v>269</v>
      </c>
      <c r="D133" s="250">
        <f>IF(Init!$R$9="Yes",'Staging Table'!E135,'Staging Table'!BS135)*Rates_previous!$E$75*100*12</f>
        <v>1470297.5222400001</v>
      </c>
      <c r="E133" s="250">
        <f>IF(Init!$R$9="Yes",'Staging Table'!F135,'Staging Table'!BT135)*Rates_previous!$E$76*100*12</f>
        <v>-207343.95059999998</v>
      </c>
      <c r="F133" s="251">
        <f>IF(Init!$R$9="Yes",SUMPRODUCT('Staging Table'!L135:AI135,LS_Demand_Rates_Restatement!$C$4:$Z$4)-IF(Init!$R$15="No",('Staging Table'!BH135*Rates_previous!$H$34), 0),SUMPRODUCT('Staging Table'!BZ135:CW135,LS_Demand_Rates_Restatement!$C$4:$Z$4)-IF(Init!$R$15="No", 'Staging Table'!DV135*Rates_previous!$H$34, 0))</f>
        <v>-204383.18000000002</v>
      </c>
      <c r="G133" s="251">
        <f>IF(Init!$R$9="Yes",SUMPRODUCT('Staging Table'!AJ135:AU135,LS_Demand_Rates_Restatement!$C$10:$N$10),SUMPRODUCT(LS_Demand_Rates_Restatement!$C$10:$N$10,'Staging Table'!CX135:DI135))*1000</f>
        <v>31746.43</v>
      </c>
      <c r="H133" s="252">
        <f>IF(Init!$R$9="Yes",'Staging Table'!BR135,'Staging Table'!EF135)*IF(Init!$R$3=2018,Rates_previous!$C$88,Rates_previous!$D$88)</f>
        <v>-113291.17037657239</v>
      </c>
      <c r="I133" s="250">
        <f>IF(Init!$R$9="Yes",IF('Staging Table'!$F$1=2018,(SUM('Staging Table'!BD135:BG135)*Rates_previous!$C$87),(SUM('Staging Table'!BD135:BG135)*Rates_previous!$D$87)),IF('Staging Table'!$F$1=2018,(SUM('Staging Table'!DR135:DU135)*Rates_previous!$C$87),(SUM('Staging Table'!DR135:DU135)*Rates_previous!$D$87)))</f>
        <v>8078.7250864077496</v>
      </c>
      <c r="J133" s="252">
        <f>IF(Init!$R$9="Yes",IF('Staging Table'!D135=1,'Staging Table'!H135*-1,'Staging Table'!H135*SUM(D133:I133)*(-1)),IF('Staging Table'!D135=1,'Staging Table'!BV135*-1,'Staging Table'!BV135*SUM(D133:I133)*(-1)))</f>
        <v>0</v>
      </c>
      <c r="K133" s="250">
        <f>IF(Init!$R$9="Yes",'Staging Table'!K135,'Staging Table'!BY135)*(-1)*Rates_previous!$H$32</f>
        <v>0</v>
      </c>
      <c r="L133" s="250">
        <f>IF(Init!$R$12="No",0,'Staging Table'!$BI135*-1)</f>
        <v>0</v>
      </c>
      <c r="M133" s="250">
        <f>IF('Staging Table'!C135=1,"",SUM(D133:L133))</f>
        <v>985104.37634983554</v>
      </c>
      <c r="N133" s="250">
        <f>IF('Staging Table'!C135=1,"",IF(Init!$R$9="Yes",(RT1SC!$C$3*'Staging Table'!E135*'Staging Table'!$F$2)+SUM('Staging Table'!L135:AI135)-IF(Init!$R$15="No",'Staging Table'!BH135, 0),Z133))</f>
        <v>26381.946689015997</v>
      </c>
      <c r="O133" s="126">
        <f>IF('Staging Table'!C135=1,"",IF(N133=0, 0, M133/N133))</f>
        <v>37.340094268327036</v>
      </c>
      <c r="P133" s="250">
        <f>'Staging Table'!BS135*Rates_current!$E$74*100*12</f>
        <v>1021490.0152799999</v>
      </c>
      <c r="Q133" s="250">
        <f>'Staging Table'!BT135*Rates_current!$E$75*100*12</f>
        <v>-103340.2524</v>
      </c>
      <c r="R133" s="251">
        <f>SUMPRODUCT('Staging Table'!BZ135:CW135, LS_Demand_Rates_Restatement!$C$5:$Z$5)-IF(Init!$R$15="No",('Staging Table'!DV135*Rates_current!$H$34), 0)</f>
        <v>-5459.0799999999981</v>
      </c>
      <c r="S133" s="251">
        <f>SUMPRODUCT('Staging Table'!CX135:DI135, LS_Demand_Rates_Restatement!$C$11:$N$11)*1000</f>
        <v>33998.909999999996</v>
      </c>
      <c r="T133" s="252">
        <f>'Staging Table'!EF135*IF(Init!$R$18="Yes",IF(Init!$R$6=2020,Rates_current!$C$88,Rates_current!$D$88),Rates_current!$H$33)</f>
        <v>-2187.0748092242143</v>
      </c>
      <c r="U133" s="252">
        <f>IF(Init!$R$18="Yes",(SUM('Staging Table'!DL135:DU135)*IF('Staging Table'!$BT$1=2020, Rates_current!$C$87, Rates_current!$D$87)),0)</f>
        <v>17831.823546006668</v>
      </c>
      <c r="V133" s="252">
        <f>IF('Staging Table'!D135=1, 'Staging Table'!BV135*-1,SUM(P133:U133)*'Staging Table'!BV135*-1)</f>
        <v>0</v>
      </c>
      <c r="W133" s="250">
        <f>'Staging Table'!BY135*Rates_current!$H$32*-1</f>
        <v>0</v>
      </c>
      <c r="X133" s="250">
        <f>IF(Init!$R$12="No",0,'Staging Table'!$DW135*-1)</f>
        <v>0</v>
      </c>
      <c r="Y133" s="250">
        <f>IF('Staging Table'!C135=1,"",SUM(P133:X133))</f>
        <v>962334.34161678248</v>
      </c>
      <c r="Z133" s="250">
        <f>IF('Staging Table'!C135=1,"",(RT1SC!$C$4*'Staging Table'!BS135*'Staging Table'!$BT$2)+SUM('Staging Table'!BZ135:CW135)-IF(Init!$R$15="No",'Staging Table'!DV135, 0))</f>
        <v>26381.084102758399</v>
      </c>
      <c r="AA133" s="126">
        <f>IF('Staging Table'!C135=1,"",IF(Z133=0, 0, Y133/Z133))</f>
        <v>36.478195432315879</v>
      </c>
      <c r="AB133" s="118">
        <f>IF('Staging Table'!C135=1,"",AA133/O133-1)</f>
        <v>-2.3082395824111424E-2</v>
      </c>
      <c r="AC133" s="79">
        <f t="shared" ca="1" si="2"/>
        <v>118</v>
      </c>
      <c r="AD133"/>
      <c r="AE133"/>
      <c r="AF133" s="255"/>
      <c r="AG133" s="255"/>
      <c r="AH133" s="271"/>
      <c r="AI133" s="255"/>
      <c r="AJ133" s="255"/>
    </row>
    <row r="134" spans="1:36">
      <c r="B134" s="3">
        <v>10597</v>
      </c>
      <c r="C134" s="4" t="s">
        <v>136</v>
      </c>
      <c r="D134" s="250">
        <f>IF(Init!$R$9="Yes",'Staging Table'!E136,'Staging Table'!BS136)*Rates_previous!$E$75*100*12</f>
        <v>4563247.0838399995</v>
      </c>
      <c r="E134" s="250">
        <f>IF(Init!$R$9="Yes",'Staging Table'!F136,'Staging Table'!BT136)*Rates_previous!$E$76*100*12</f>
        <v>-643517.15460000001</v>
      </c>
      <c r="F134" s="251">
        <f>IF(Init!$R$9="Yes",SUMPRODUCT('Staging Table'!L136:AI136,LS_Demand_Rates_Restatement!$C$4:$Z$4)-IF(Init!$R$15="No",('Staging Table'!BH136*Rates_previous!$H$34), 0),SUMPRODUCT('Staging Table'!BZ136:CW136,LS_Demand_Rates_Restatement!$C$4:$Z$4)-IF(Init!$R$15="No", 'Staging Table'!DV136*Rates_previous!$H$34, 0))</f>
        <v>31464.930000000018</v>
      </c>
      <c r="G134" s="251">
        <f>IF(Init!$R$9="Yes",SUMPRODUCT('Staging Table'!AJ136:AU136,LS_Demand_Rates_Restatement!$C$10:$N$10),SUMPRODUCT(LS_Demand_Rates_Restatement!$C$10:$N$10,'Staging Table'!CX136:DI136))*1000</f>
        <v>200116.44</v>
      </c>
      <c r="H134" s="252">
        <f>IF(Init!$R$9="Yes",'Staging Table'!BR136,'Staging Table'!EF136)*IF(Init!$R$3=2018,Rates_previous!$C$88,Rates_previous!$D$88)</f>
        <v>-12185.056067161382</v>
      </c>
      <c r="I134" s="250">
        <f>IF(Init!$R$9="Yes",IF('Staging Table'!$F$1=2018,(SUM('Staging Table'!BD136:BG136)*Rates_previous!$C$87),(SUM('Staging Table'!BD136:BG136)*Rates_previous!$D$87)),IF('Staging Table'!$F$1=2018,(SUM('Staging Table'!DR136:DU136)*Rates_previous!$C$87),(SUM('Staging Table'!DR136:DU136)*Rates_previous!$D$87)))</f>
        <v>25073.305323626621</v>
      </c>
      <c r="J134" s="252">
        <f>IF(Init!$R$9="Yes",IF('Staging Table'!D136=1,'Staging Table'!H136*-1,'Staging Table'!H136*SUM(D134:I134)*(-1)),IF('Staging Table'!D136=1,'Staging Table'!BV136*-1,'Staging Table'!BV136*SUM(D134:I134)*(-1)))</f>
        <v>0</v>
      </c>
      <c r="K134" s="250">
        <f>IF(Init!$R$9="Yes",'Staging Table'!K136,'Staging Table'!BY136)*(-1)*Rates_previous!$H$32</f>
        <v>0</v>
      </c>
      <c r="L134" s="250">
        <f>IF(Init!$R$12="No",0,'Staging Table'!$BI136*-1)</f>
        <v>-171214.66523174982</v>
      </c>
      <c r="M134" s="250">
        <f>IF('Staging Table'!C136=1,"",SUM(D134:L134))</f>
        <v>3992984.8832647153</v>
      </c>
      <c r="N134" s="250">
        <f>IF('Staging Table'!C136=1,"",IF(Init!$R$9="Yes",(RT1SC!$C$3*'Staging Table'!E136*'Staging Table'!$F$2)+SUM('Staging Table'!L136:AI136)-IF(Init!$R$15="No",'Staging Table'!BH136, 0),Z134))</f>
        <v>108026.88375445598</v>
      </c>
      <c r="O134" s="126">
        <f>IF('Staging Table'!C136=1,"",IF(N134=0, 0, M134/N134))</f>
        <v>36.96288131703151</v>
      </c>
      <c r="P134" s="250">
        <f>'Staging Table'!BS136*Rates_current!$E$74*100*12</f>
        <v>4160824.9645199999</v>
      </c>
      <c r="Q134" s="250">
        <f>'Staging Table'!BT136*Rates_current!$E$75*100*12</f>
        <v>-420934.80660000001</v>
      </c>
      <c r="R134" s="251">
        <f>SUMPRODUCT('Staging Table'!BZ136:CW136, LS_Demand_Rates_Restatement!$C$5:$Z$5)-IF(Init!$R$15="No",('Staging Table'!DV136*Rates_current!$H$34), 0)</f>
        <v>57812.540000000015</v>
      </c>
      <c r="S134" s="251">
        <f>SUMPRODUCT('Staging Table'!CX136:DI136, LS_Demand_Rates_Restatement!$C$11:$N$11)*1000</f>
        <v>223938.67</v>
      </c>
      <c r="T134" s="252">
        <f>'Staging Table'!EF136*IF(Init!$R$18="Yes",IF(Init!$R$6=2020,Rates_current!$C$88,Rates_current!$D$88),Rates_current!$H$33)</f>
        <v>-10.17610767052858</v>
      </c>
      <c r="U134" s="252">
        <f>IF(Init!$R$18="Yes",(SUM('Staging Table'!DL136:DU136)*IF('Staging Table'!$BT$1=2020, Rates_current!$C$87, Rates_current!$D$87)),0)</f>
        <v>72634.186789190033</v>
      </c>
      <c r="V134" s="252">
        <f>IF('Staging Table'!D136=1, 'Staging Table'!BV136*-1,SUM(P134:U134)*'Staging Table'!BV136*-1)</f>
        <v>0</v>
      </c>
      <c r="W134" s="250">
        <f>'Staging Table'!BY136*Rates_current!$H$32*-1</f>
        <v>0</v>
      </c>
      <c r="X134" s="250">
        <f>IF(Init!$R$12="No",0,'Staging Table'!$DW136*-1)</f>
        <v>0</v>
      </c>
      <c r="Y134" s="250">
        <f>IF('Staging Table'!C136=1,"",SUM(P134:X134))</f>
        <v>4094265.3786015194</v>
      </c>
      <c r="Z134" s="250">
        <f>IF('Staging Table'!C136=1,"",(RT1SC!$C$4*'Staging Table'!BS136*'Staging Table'!$BT$2)+SUM('Staging Table'!BZ136:CW136)-IF(Init!$R$15="No",'Staging Table'!DV136, 0))</f>
        <v>108024.9907833856</v>
      </c>
      <c r="AA134" s="126">
        <f>IF('Staging Table'!C136=1,"",IF(Z134=0, 0, Y134/Z134))</f>
        <v>37.901094449630108</v>
      </c>
      <c r="AB134" s="118">
        <f>IF('Staging Table'!C136=1,"",AA134/O134-1)</f>
        <v>2.5382575685902964E-2</v>
      </c>
      <c r="AC134" s="79">
        <f t="shared" ca="1" si="2"/>
        <v>26</v>
      </c>
      <c r="AF134" s="255"/>
      <c r="AG134" s="255"/>
      <c r="AH134" s="271"/>
      <c r="AI134" s="255"/>
      <c r="AJ134" s="255"/>
    </row>
    <row r="135" spans="1:36">
      <c r="B135" s="3">
        <v>10706</v>
      </c>
      <c r="C135" s="4" t="s">
        <v>137</v>
      </c>
      <c r="D135" s="250">
        <f>IF(Init!$R$9="Yes",'Staging Table'!E137,'Staging Table'!BS137)*Rates_previous!$E$75*100*12</f>
        <v>6236853.8112000003</v>
      </c>
      <c r="E135" s="250">
        <f>IF(Init!$R$9="Yes",'Staging Table'!F137,'Staging Table'!BT137)*Rates_previous!$E$76*100*12</f>
        <v>-879532.12800000003</v>
      </c>
      <c r="F135" s="251">
        <f>IF(Init!$R$9="Yes",SUMPRODUCT('Staging Table'!L137:AI137,LS_Demand_Rates_Restatement!$C$4:$Z$4)-IF(Init!$R$15="No",('Staging Table'!BH137*Rates_previous!$H$34), 0),SUMPRODUCT('Staging Table'!BZ137:CW137,LS_Demand_Rates_Restatement!$C$4:$Z$4)-IF(Init!$R$15="No", 'Staging Table'!DV137*Rates_previous!$H$34, 0))</f>
        <v>-24388.049428837883</v>
      </c>
      <c r="G135" s="251">
        <f>IF(Init!$R$9="Yes",SUMPRODUCT('Staging Table'!AJ137:AU137,LS_Demand_Rates_Restatement!$C$10:$N$10),SUMPRODUCT(LS_Demand_Rates_Restatement!$C$10:$N$10,'Staging Table'!CX137:DI137))*1000</f>
        <v>196056.17</v>
      </c>
      <c r="H135" s="252">
        <f>IF(Init!$R$9="Yes",'Staging Table'!BR137,'Staging Table'!EF137)*IF(Init!$R$3=2018,Rates_previous!$C$88,Rates_previous!$D$88)</f>
        <v>0</v>
      </c>
      <c r="I135" s="250">
        <f>IF(Init!$R$9="Yes",IF('Staging Table'!$F$1=2018,(SUM('Staging Table'!BD137:BG137)*Rates_previous!$C$87),(SUM('Staging Table'!BD137:BG137)*Rates_previous!$D$87)),IF('Staging Table'!$F$1=2018,(SUM('Staging Table'!DR137:DU137)*Rates_previous!$C$87),(SUM('Staging Table'!DR137:DU137)*Rates_previous!$D$87)))</f>
        <v>34269.137084606089</v>
      </c>
      <c r="J135" s="252">
        <f>IF(Init!$R$9="Yes",IF('Staging Table'!D137=1,'Staging Table'!H137*-1,'Staging Table'!H137*SUM(D135:I135)*(-1)),IF('Staging Table'!D137=1,'Staging Table'!BV137*-1,'Staging Table'!BV137*SUM(D135:I135)*(-1)))</f>
        <v>0</v>
      </c>
      <c r="K135" s="250">
        <f>IF(Init!$R$9="Yes",'Staging Table'!K137,'Staging Table'!BY137)*(-1)*Rates_previous!$H$32</f>
        <v>0</v>
      </c>
      <c r="L135" s="250">
        <f>IF(Init!$R$12="No",0,'Staging Table'!$BI137*-1)</f>
        <v>-97105.635655993086</v>
      </c>
      <c r="M135" s="250">
        <f>IF('Staging Table'!C137=1,"",SUM(D135:L135))</f>
        <v>5466153.3051997749</v>
      </c>
      <c r="N135" s="250">
        <f>IF('Staging Table'!C137=1,"",IF(Init!$R$9="Yes",(RT1SC!$C$3*'Staging Table'!E137*'Staging Table'!$F$2)+SUM('Staging Table'!L137:AI137)-IF(Init!$R$15="No",'Staging Table'!BH137, 0),Z135))</f>
        <v>148928.76</v>
      </c>
      <c r="O135" s="126">
        <f>IF('Staging Table'!C137=1,"",IF(N135=0, 0, M135/N135))</f>
        <v>36.703141187771756</v>
      </c>
      <c r="P135" s="250">
        <f>'Staging Table'!BS137*Rates_current!$E$74*100*12</f>
        <v>5814982.8301200001</v>
      </c>
      <c r="Q135" s="250">
        <f>'Staging Table'!BT137*Rates_current!$E$75*100*12</f>
        <v>-588279.65460000001</v>
      </c>
      <c r="R135" s="251">
        <f>SUMPRODUCT('Staging Table'!BZ137:CW137, LS_Demand_Rates_Restatement!$C$5:$Z$5)-IF(Init!$R$15="No",('Staging Table'!DV137*Rates_current!$H$34), 0)</f>
        <v>-556058.43000000005</v>
      </c>
      <c r="S135" s="251">
        <f>SUMPRODUCT('Staging Table'!CX137:DI137, LS_Demand_Rates_Restatement!$C$11:$N$11)*1000</f>
        <v>226410.48</v>
      </c>
      <c r="T135" s="252">
        <f>'Staging Table'!EF137*IF(Init!$R$18="Yes",IF(Init!$R$6=2020,Rates_current!$C$88,Rates_current!$D$88),Rates_current!$H$33)</f>
        <v>0</v>
      </c>
      <c r="U135" s="252">
        <f>IF(Init!$R$18="Yes",(SUM('Staging Table'!DL137:DU137)*IF('Staging Table'!$BT$1=2020, Rates_current!$C$87, Rates_current!$D$87)),0)</f>
        <v>101510.29006518034</v>
      </c>
      <c r="V135" s="252">
        <f>IF('Staging Table'!D137=1, 'Staging Table'!BV137*-1,SUM(P135:U135)*'Staging Table'!BV137*-1)</f>
        <v>0</v>
      </c>
      <c r="W135" s="250">
        <f>'Staging Table'!BY137*Rates_current!$H$32*-1</f>
        <v>0</v>
      </c>
      <c r="X135" s="250">
        <f>IF(Init!$R$12="No",0,'Staging Table'!$DW137*-1)</f>
        <v>0</v>
      </c>
      <c r="Y135" s="250">
        <f>IF('Staging Table'!C137=1,"",SUM(P135:X135))</f>
        <v>4998565.5155851813</v>
      </c>
      <c r="Z135" s="250">
        <f>IF('Staging Table'!C137=1,"",(RT1SC!$C$4*'Staging Table'!BS137*'Staging Table'!$BT$2)+SUM('Staging Table'!BZ137:CW137)-IF(Init!$R$15="No",'Staging Table'!DV137, 0))</f>
        <v>123113.49691535358</v>
      </c>
      <c r="AA135" s="126">
        <f>IF('Staging Table'!C137=1,"",IF(Z135=0, 0, Y135/Z135))</f>
        <v>40.601279638916715</v>
      </c>
      <c r="AB135" s="118">
        <f>IF('Staging Table'!C137=1,"",AA135/O135-1)</f>
        <v>0.10620721619444629</v>
      </c>
      <c r="AC135" s="79">
        <f t="shared" ca="1" si="2"/>
        <v>1</v>
      </c>
      <c r="AF135" s="255"/>
      <c r="AG135" s="255"/>
      <c r="AH135" s="271"/>
      <c r="AI135" s="255"/>
      <c r="AJ135" s="255"/>
    </row>
    <row r="136" spans="1:36">
      <c r="B136" s="3">
        <v>11680</v>
      </c>
      <c r="C136" s="4" t="s">
        <v>138</v>
      </c>
      <c r="D136" s="250">
        <f>IF(Init!$R$9="Yes",'Staging Table'!E138,'Staging Table'!BS138)*Rates_previous!$E$75*100*12</f>
        <v>2284298.66304</v>
      </c>
      <c r="E136" s="250">
        <f>IF(Init!$R$9="Yes",'Staging Table'!F138,'Staging Table'!BT138)*Rates_previous!$E$76*100*12</f>
        <v>-322135.82760000002</v>
      </c>
      <c r="F136" s="251">
        <f>IF(Init!$R$9="Yes",SUMPRODUCT('Staging Table'!L138:AI138,LS_Demand_Rates_Restatement!$C$4:$Z$4)-IF(Init!$R$15="No",('Staging Table'!BH138*Rates_previous!$H$34), 0),SUMPRODUCT('Staging Table'!BZ138:CW138,LS_Demand_Rates_Restatement!$C$4:$Z$4)-IF(Init!$R$15="No", 'Staging Table'!DV138*Rates_previous!$H$34, 0))</f>
        <v>34682.492884486899</v>
      </c>
      <c r="G136" s="251">
        <f>IF(Init!$R$9="Yes",SUMPRODUCT('Staging Table'!AJ138:AU138,LS_Demand_Rates_Restatement!$C$10:$N$10),SUMPRODUCT(LS_Demand_Rates_Restatement!$C$10:$N$10,'Staging Table'!CX138:DI138))*1000</f>
        <v>71239.600000000006</v>
      </c>
      <c r="H136" s="252">
        <f>IF(Init!$R$9="Yes",'Staging Table'!BR138,'Staging Table'!EF138)*IF(Init!$R$3=2018,Rates_previous!$C$88,Rates_previous!$D$88)</f>
        <v>0</v>
      </c>
      <c r="I136" s="250">
        <f>IF(Init!$R$9="Yes",IF('Staging Table'!$F$1=2018,(SUM('Staging Table'!BD138:BG138)*Rates_previous!$C$87),(SUM('Staging Table'!BD138:BG138)*Rates_previous!$D$87)),IF('Staging Table'!$F$1=2018,(SUM('Staging Table'!DR138:DU138)*Rates_previous!$C$87),(SUM('Staging Table'!DR138:DU138)*Rates_previous!$D$87)))</f>
        <v>12551.351433847149</v>
      </c>
      <c r="J136" s="252">
        <f>IF(Init!$R$9="Yes",IF('Staging Table'!D138=1,'Staging Table'!H138*-1,'Staging Table'!H138*SUM(D136:I136)*(-1)),IF('Staging Table'!D138=1,'Staging Table'!BV138*-1,'Staging Table'!BV138*SUM(D136:I136)*(-1)))</f>
        <v>0</v>
      </c>
      <c r="K136" s="250">
        <f>IF(Init!$R$9="Yes",'Staging Table'!K138,'Staging Table'!BY138)*(-1)*Rates_previous!$H$32</f>
        <v>0</v>
      </c>
      <c r="L136" s="250">
        <f>IF(Init!$R$12="No",0,'Staging Table'!$BI138*-1)</f>
        <v>-35565.732405704002</v>
      </c>
      <c r="M136" s="250">
        <f>IF('Staging Table'!C138=1,"",SUM(D136:L136))</f>
        <v>2045070.5473526302</v>
      </c>
      <c r="N136" s="250">
        <f>IF('Staging Table'!C138=1,"",IF(Init!$R$9="Yes",(RT1SC!$C$3*'Staging Table'!E138*'Staging Table'!$F$2)+SUM('Staging Table'!L138:AI138)-IF(Init!$R$15="No",'Staging Table'!BH138, 0),Z136))</f>
        <v>54548.520000000004</v>
      </c>
      <c r="O136" s="126">
        <f>IF('Staging Table'!C138=1,"",IF(N136=0, 0, M136/N136))</f>
        <v>37.49085304885687</v>
      </c>
      <c r="P136" s="250">
        <f>'Staging Table'!BS138*Rates_current!$E$74*100*12</f>
        <v>2129728.25196</v>
      </c>
      <c r="Q136" s="250">
        <f>'Staging Table'!BT138*Rates_current!$E$75*100*12</f>
        <v>-215456.49180000002</v>
      </c>
      <c r="R136" s="251">
        <f>SUMPRODUCT('Staging Table'!BZ138:CW138, LS_Demand_Rates_Restatement!$C$5:$Z$5)-IF(Init!$R$15="No",('Staging Table'!DV138*Rates_current!$H$34), 0)</f>
        <v>38787.100869056449</v>
      </c>
      <c r="S136" s="251">
        <f>SUMPRODUCT('Staging Table'!CX138:DI138, LS_Demand_Rates_Restatement!$C$11:$N$11)*1000</f>
        <v>78440.36</v>
      </c>
      <c r="T136" s="252">
        <f>'Staging Table'!EF138*IF(Init!$R$18="Yes",IF(Init!$R$6=2020,Rates_current!$C$88,Rates_current!$D$88),Rates_current!$H$33)</f>
        <v>0</v>
      </c>
      <c r="U136" s="252">
        <f>IF(Init!$R$18="Yes",(SUM('Staging Table'!DL138:DU138)*IF('Staging Table'!$BT$1=2020, Rates_current!$C$87, Rates_current!$D$87)),0)</f>
        <v>37177.982967837546</v>
      </c>
      <c r="V136" s="252">
        <f>IF('Staging Table'!D138=1, 'Staging Table'!BV138*-1,SUM(P136:U136)*'Staging Table'!BV138*-1)</f>
        <v>0</v>
      </c>
      <c r="W136" s="250">
        <f>'Staging Table'!BY138*Rates_current!$H$32*-1</f>
        <v>0</v>
      </c>
      <c r="X136" s="250">
        <f>IF(Init!$R$12="No",0,'Staging Table'!$DW138*-1)</f>
        <v>0</v>
      </c>
      <c r="Y136" s="250">
        <f>IF('Staging Table'!C138=1,"",SUM(P136:X136))</f>
        <v>2068677.2039968942</v>
      </c>
      <c r="Z136" s="250">
        <f>IF('Staging Table'!C138=1,"",(RT1SC!$C$4*'Staging Table'!BS138*'Staging Table'!$BT$2)+SUM('Staging Table'!BZ138:CW138)-IF(Init!$R$15="No",'Staging Table'!DV138, 0))</f>
        <v>55295.28</v>
      </c>
      <c r="AA136" s="126">
        <f>IF('Staging Table'!C138=1,"",IF(Z136=0, 0, Y136/Z136))</f>
        <v>37.411460869660019</v>
      </c>
      <c r="AB136" s="118">
        <f>IF('Staging Table'!C138=1,"",AA136/O136-1)</f>
        <v>-2.1176413108923153E-3</v>
      </c>
      <c r="AC136" s="79">
        <f t="shared" ca="1" si="2"/>
        <v>100</v>
      </c>
      <c r="AF136" s="255"/>
      <c r="AG136" s="255"/>
      <c r="AH136" s="271"/>
      <c r="AI136" s="255"/>
      <c r="AJ136" s="255"/>
    </row>
    <row r="137" spans="1:36">
      <c r="B137" s="3">
        <v>12026</v>
      </c>
      <c r="C137" s="4" t="s">
        <v>139</v>
      </c>
      <c r="D137" s="250">
        <f>IF(Init!$R$9="Yes",'Staging Table'!E139,'Staging Table'!BS139)*Rates_previous!$E$75*100*12</f>
        <v>16075439.743679998</v>
      </c>
      <c r="E137" s="250">
        <f>IF(Init!$R$9="Yes",'Staging Table'!F139,'Staging Table'!BT139)*Rates_previous!$E$76*100*12</f>
        <v>-2266986.8742</v>
      </c>
      <c r="F137" s="251">
        <f>IF(Init!$R$9="Yes",SUMPRODUCT('Staging Table'!L139:AI139,LS_Demand_Rates_Restatement!$C$4:$Z$4)-IF(Init!$R$15="No",('Staging Table'!BH139*Rates_previous!$H$34), 0),SUMPRODUCT('Staging Table'!BZ139:CW139,LS_Demand_Rates_Restatement!$C$4:$Z$4)-IF(Init!$R$15="No", 'Staging Table'!DV139*Rates_previous!$H$34, 0))</f>
        <v>414069.9704168709</v>
      </c>
      <c r="G137" s="251">
        <f>IF(Init!$R$9="Yes",SUMPRODUCT('Staging Table'!AJ139:AU139,LS_Demand_Rates_Restatement!$C$10:$N$10),SUMPRODUCT(LS_Demand_Rates_Restatement!$C$10:$N$10,'Staging Table'!CX139:DI139))*1000</f>
        <v>656003.78999999992</v>
      </c>
      <c r="H137" s="252">
        <f>IF(Init!$R$9="Yes",'Staging Table'!BR139,'Staging Table'!EF139)*IF(Init!$R$3=2018,Rates_previous!$C$88,Rates_previous!$D$88)</f>
        <v>71406.614399999613</v>
      </c>
      <c r="I137" s="250">
        <f>IF(Init!$R$9="Yes",IF('Staging Table'!$F$1=2018,(SUM('Staging Table'!BD139:BG139)*Rates_previous!$C$87),(SUM('Staging Table'!BD139:BG139)*Rates_previous!$D$87)),IF('Staging Table'!$F$1=2018,(SUM('Staging Table'!DR139:DU139)*Rates_previous!$C$87),(SUM('Staging Table'!DR139:DU139)*Rates_previous!$D$87)))</f>
        <v>88328.420858962025</v>
      </c>
      <c r="J137" s="252">
        <f>IF(Init!$R$9="Yes",IF('Staging Table'!D139=1,'Staging Table'!H139*-1,'Staging Table'!H139*SUM(D137:I137)*(-1)),IF('Staging Table'!D139=1,'Staging Table'!BV139*-1,'Staging Table'!BV139*SUM(D137:I137)*(-1)))</f>
        <v>0</v>
      </c>
      <c r="K137" s="250">
        <f>IF(Init!$R$9="Yes",'Staging Table'!K139,'Staging Table'!BY139)*(-1)*Rates_previous!$H$32</f>
        <v>0</v>
      </c>
      <c r="L137" s="250">
        <f>IF(Init!$R$12="No",0,'Staging Table'!$BI139*-1)</f>
        <v>0</v>
      </c>
      <c r="M137" s="250">
        <f>IF('Staging Table'!C139=1,"",SUM(D137:L137))</f>
        <v>15038261.66515583</v>
      </c>
      <c r="N137" s="250">
        <f>IF('Staging Table'!C139=1,"",IF(Init!$R$9="Yes",(RT1SC!$C$3*'Staging Table'!E139*'Staging Table'!$F$2)+SUM('Staging Table'!L139:AI139)-IF(Init!$R$15="No",'Staging Table'!BH139, 0),Z137))</f>
        <v>389364.47999999998</v>
      </c>
      <c r="O137" s="126">
        <f>IF('Staging Table'!C139=1,"",IF(N137=0, 0, M137/N137))</f>
        <v>38.622582278578236</v>
      </c>
      <c r="P137" s="250">
        <f>'Staging Table'!BS139*Rates_current!$E$74*100*12</f>
        <v>15050935.246080004</v>
      </c>
      <c r="Q137" s="250">
        <f>'Staging Table'!BT139*Rates_current!$E$75*100*12</f>
        <v>-1522645.7664000001</v>
      </c>
      <c r="R137" s="251">
        <f>SUMPRODUCT('Staging Table'!BZ139:CW139, LS_Demand_Rates_Restatement!$C$5:$Z$5)-IF(Init!$R$15="No",('Staging Table'!DV139*Rates_current!$H$34), 0)</f>
        <v>386219.98748748639</v>
      </c>
      <c r="S137" s="251">
        <f>SUMPRODUCT('Staging Table'!CX139:DI139, LS_Demand_Rates_Restatement!$C$11:$N$11)*1000</f>
        <v>723876.25</v>
      </c>
      <c r="T137" s="252">
        <f>'Staging Table'!EF139*IF(Init!$R$18="Yes",IF(Init!$R$6=2020,Rates_current!$C$88,Rates_current!$D$88),Rates_current!$H$33)</f>
        <v>62591.533920000045</v>
      </c>
      <c r="U137" s="252">
        <f>IF(Init!$R$18="Yes",(SUM('Staging Table'!DL139:DU139)*IF('Staging Table'!$BT$1=2020, Rates_current!$C$87, Rates_current!$D$87)),0)</f>
        <v>262739.34888820624</v>
      </c>
      <c r="V137" s="252">
        <f>IF('Staging Table'!D139=1, 'Staging Table'!BV139*-1,SUM(P137:U137)*'Staging Table'!BV139*-1)</f>
        <v>0</v>
      </c>
      <c r="W137" s="250">
        <f>'Staging Table'!BY139*Rates_current!$H$32*-1</f>
        <v>0</v>
      </c>
      <c r="X137" s="250">
        <f>IF(Init!$R$12="No",0,'Staging Table'!$DW139*-1)</f>
        <v>0</v>
      </c>
      <c r="Y137" s="250">
        <f>IF('Staging Table'!C139=1,"",SUM(P137:X137))</f>
        <v>14963716.599975694</v>
      </c>
      <c r="Z137" s="250">
        <f>IF('Staging Table'!C139=1,"",(RT1SC!$C$4*'Staging Table'!BS139*'Staging Table'!$BT$2)+SUM('Staging Table'!BZ139:CW139)-IF(Init!$R$15="No",'Staging Table'!DV139, 0))</f>
        <v>394700.25599999999</v>
      </c>
      <c r="AA137" s="126">
        <f>IF('Staging Table'!C139=1,"",IF(Z137=0, 0, Y137/Z137))</f>
        <v>37.911595881953758</v>
      </c>
      <c r="AB137" s="118">
        <f>IF('Staging Table'!C139=1,"",AA137/O137-1)</f>
        <v>-1.8408567078613491E-2</v>
      </c>
      <c r="AC137" s="79">
        <f t="shared" ca="1" si="2"/>
        <v>110</v>
      </c>
      <c r="AF137" s="255"/>
      <c r="AG137" s="255"/>
      <c r="AH137" s="271"/>
      <c r="AI137" s="255"/>
      <c r="AJ137" s="255"/>
    </row>
    <row r="138" spans="1:36">
      <c r="B138" s="3">
        <v>10298</v>
      </c>
      <c r="C138" s="4" t="s">
        <v>140</v>
      </c>
      <c r="D138" s="250">
        <f>IF(Init!$R$9="Yes",'Staging Table'!E140,'Staging Table'!BS140)*Rates_previous!$E$75*100*12</f>
        <v>189467618.89824003</v>
      </c>
      <c r="E138" s="250">
        <f>IF(Init!$R$9="Yes",'Staging Table'!F140,'Staging Table'!BT140)*Rates_previous!$E$76*100*12</f>
        <v>-26719057.890600003</v>
      </c>
      <c r="F138" s="251">
        <f>IF(Init!$R$9="Yes",SUMPRODUCT('Staging Table'!L140:AI140,LS_Demand_Rates_Restatement!$C$4:$Z$4)-IF(Init!$R$15="No",('Staging Table'!BH140*Rates_previous!$H$34), 0),SUMPRODUCT('Staging Table'!BZ140:CW140,LS_Demand_Rates_Restatement!$C$4:$Z$4)-IF(Init!$R$15="No", 'Staging Table'!DV140*Rates_previous!$H$34, 0))</f>
        <v>1893307.7103499938</v>
      </c>
      <c r="G138" s="251">
        <f>IF(Init!$R$9="Yes",SUMPRODUCT('Staging Table'!AJ140:AU140,LS_Demand_Rates_Restatement!$C$10:$N$10),SUMPRODUCT(LS_Demand_Rates_Restatement!$C$10:$N$10,'Staging Table'!CX140:DI140))*1000</f>
        <v>11438142.120000001</v>
      </c>
      <c r="H138" s="252">
        <f>IF(Init!$R$9="Yes",'Staging Table'!BR140,'Staging Table'!EF140)*IF(Init!$R$3=2018,Rates_previous!$C$88,Rates_previous!$D$88)</f>
        <v>0</v>
      </c>
      <c r="I138" s="250">
        <f>IF(Init!$R$9="Yes",IF('Staging Table'!$F$1=2018,(SUM('Staging Table'!BD140:BG140)*Rates_previous!$C$87),(SUM('Staging Table'!BD140:BG140)*Rates_previous!$D$87)),IF('Staging Table'!$F$1=2018,(SUM('Staging Table'!DR140:DU140)*Rates_previous!$C$87),(SUM('Staging Table'!DR140:DU140)*Rates_previous!$D$87)))</f>
        <v>1041052.4283025365</v>
      </c>
      <c r="J138" s="252">
        <f>IF(Init!$R$9="Yes",IF('Staging Table'!D140=1,'Staging Table'!H140*-1,'Staging Table'!H140*SUM(D138:I138)*(-1)),IF('Staging Table'!D140=1,'Staging Table'!BV140*-1,'Staging Table'!BV140*SUM(D138:I138)*(-1)))</f>
        <v>-12873405.375355588</v>
      </c>
      <c r="K138" s="250">
        <f>IF(Init!$R$9="Yes",'Staging Table'!K140,'Staging Table'!BY140)*(-1)*Rates_previous!$H$32</f>
        <v>-5259715.7188799996</v>
      </c>
      <c r="L138" s="250">
        <f>IF(Init!$R$12="No",0,'Staging Table'!$BI140*-1)</f>
        <v>-5322915.4195733145</v>
      </c>
      <c r="M138" s="250">
        <f>IF('Staging Table'!C140=1,"",SUM(D138:L138))</f>
        <v>153665026.75248367</v>
      </c>
      <c r="N138" s="250">
        <f>IF('Staging Table'!C140=1,"",IF(Init!$R$9="Yes",(RT1SC!$C$3*'Staging Table'!E140*'Staging Table'!$F$2)+SUM('Staging Table'!L140:AI140)-IF(Init!$R$15="No",'Staging Table'!BH140, 0),Z138))</f>
        <v>4569680.28</v>
      </c>
      <c r="O138" s="126">
        <f>IF('Staging Table'!C140=1,"",IF(N138=0, 0, M138/N138))</f>
        <v>33.627084902422027</v>
      </c>
      <c r="P138" s="250">
        <f>'Staging Table'!BS140*Rates_current!$E$74*100*12</f>
        <v>176770059.24264002</v>
      </c>
      <c r="Q138" s="250">
        <f>'Staging Table'!BT140*Rates_current!$E$75*100*12</f>
        <v>-17883153.301199999</v>
      </c>
      <c r="R138" s="251">
        <f>SUMPRODUCT('Staging Table'!BZ140:CW140, LS_Demand_Rates_Restatement!$C$5:$Z$5)-IF(Init!$R$15="No",('Staging Table'!DV140*Rates_current!$H$34), 0)</f>
        <v>1667418.2563738353</v>
      </c>
      <c r="S138" s="251">
        <f>SUMPRODUCT('Staging Table'!CX140:DI140, LS_Demand_Rates_Restatement!$C$11:$N$11)*1000</f>
        <v>12120795.35</v>
      </c>
      <c r="T138" s="252">
        <f>'Staging Table'!EF140*IF(Init!$R$18="Yes",IF(Init!$R$6=2020,Rates_current!$C$88,Rates_current!$D$88),Rates_current!$H$33)</f>
        <v>0</v>
      </c>
      <c r="U138" s="252">
        <f>IF(Init!$R$18="Yes",(SUM('Staging Table'!DL140:DU140)*IF('Staging Table'!$BT$1=2020, Rates_current!$C$87, Rates_current!$D$87)),0)</f>
        <v>3085818.2238500607</v>
      </c>
      <c r="V138" s="252">
        <f>IF('Staging Table'!D140=1, 'Staging Table'!BV140*-1,SUM(P138:U138)*'Staging Table'!BV140*-1)</f>
        <v>-13490667.345362173</v>
      </c>
      <c r="W138" s="250">
        <f>'Staging Table'!BY140*Rates_current!$H$32*-1</f>
        <v>-4969000.1391799999</v>
      </c>
      <c r="X138" s="250">
        <f>IF(Init!$R$12="No",0,'Staging Table'!$DW140*-1)</f>
        <v>0</v>
      </c>
      <c r="Y138" s="250">
        <f>IF('Staging Table'!C140=1,"",SUM(P138:X138))</f>
        <v>157301270.28712171</v>
      </c>
      <c r="Z138" s="250">
        <f>IF('Staging Table'!C140=1,"",(RT1SC!$C$4*'Staging Table'!BS140*'Staging Table'!$BT$2)+SUM('Staging Table'!BZ140:CW140)-IF(Init!$R$15="No",'Staging Table'!DV140, 0))</f>
        <v>4632295.1040000003</v>
      </c>
      <c r="AA138" s="126">
        <f>IF('Staging Table'!C140=1,"",IF(Z138=0, 0, Y138/Z138))</f>
        <v>33.957523593713105</v>
      </c>
      <c r="AB138" s="118">
        <f>IF('Staging Table'!C140=1,"",AA138/O138-1)</f>
        <v>9.8265636837071568E-3</v>
      </c>
      <c r="AC138" s="79">
        <f t="shared" ca="1" si="2"/>
        <v>71</v>
      </c>
      <c r="AF138" s="255"/>
      <c r="AG138" s="255"/>
      <c r="AH138" s="271"/>
      <c r="AI138" s="255"/>
      <c r="AJ138" s="255"/>
    </row>
    <row r="139" spans="1:36">
      <c r="B139" s="2"/>
      <c r="C139" s="2"/>
      <c r="D139" s="2"/>
      <c r="E139" s="2"/>
      <c r="F139" s="2"/>
      <c r="G139" s="2"/>
      <c r="H139" s="2"/>
      <c r="I139" s="302"/>
      <c r="J139" s="239"/>
      <c r="K139" s="2"/>
      <c r="L139" s="250"/>
      <c r="M139" s="2"/>
      <c r="P139" s="2"/>
      <c r="Q139" s="2"/>
      <c r="R139" s="113"/>
      <c r="S139" s="2"/>
      <c r="T139" s="2"/>
      <c r="U139" s="302"/>
      <c r="V139" s="2"/>
      <c r="W139" s="2"/>
      <c r="X139" s="250"/>
      <c r="Y139" s="2"/>
      <c r="AF139" s="255"/>
      <c r="AG139" s="255"/>
      <c r="AH139" s="271"/>
      <c r="AI139" s="255"/>
      <c r="AJ139" s="255"/>
    </row>
    <row r="140" spans="1:36">
      <c r="A140" s="18"/>
      <c r="B140" s="2"/>
      <c r="C140" s="2"/>
      <c r="D140" s="2"/>
      <c r="E140" s="2"/>
      <c r="F140" s="2"/>
      <c r="G140" s="2"/>
      <c r="H140" s="2"/>
      <c r="I140" s="302"/>
      <c r="J140" s="239"/>
      <c r="K140" s="2"/>
      <c r="L140" s="239"/>
      <c r="M140" s="2"/>
      <c r="P140" s="2"/>
      <c r="Q140" s="2"/>
      <c r="R140" s="113"/>
      <c r="S140" s="2"/>
      <c r="T140" s="2"/>
      <c r="U140" s="302"/>
      <c r="V140" s="2"/>
      <c r="W140" s="2"/>
      <c r="X140" s="239"/>
      <c r="Y140" s="304"/>
      <c r="AF140" s="255"/>
      <c r="AG140" s="255"/>
      <c r="AH140" s="271"/>
      <c r="AI140" s="255"/>
      <c r="AJ140" s="255"/>
    </row>
    <row r="141" spans="1:36">
      <c r="A141" s="18"/>
      <c r="D141" s="2"/>
      <c r="E141" s="427"/>
      <c r="F141" s="2"/>
      <c r="G141" s="2"/>
      <c r="H141" s="2"/>
      <c r="I141" s="302"/>
      <c r="J141" s="239"/>
      <c r="K141" s="2"/>
      <c r="L141" s="239"/>
      <c r="M141" s="2"/>
      <c r="P141" s="2"/>
      <c r="Q141" s="2"/>
      <c r="R141" s="113"/>
      <c r="S141" s="2"/>
      <c r="T141" s="2"/>
      <c r="U141" s="302"/>
      <c r="V141" s="2"/>
      <c r="W141" s="2"/>
      <c r="X141" s="239"/>
      <c r="Y141" s="2"/>
      <c r="AF141" s="255"/>
      <c r="AG141" s="255"/>
      <c r="AH141" s="271"/>
      <c r="AI141" s="255"/>
      <c r="AJ141" s="255"/>
    </row>
    <row r="142" spans="1:36">
      <c r="A142" s="18"/>
      <c r="B142" s="2"/>
      <c r="C142" s="2"/>
      <c r="D142" s="2"/>
      <c r="E142" s="427"/>
      <c r="F142" s="2"/>
      <c r="G142" s="2"/>
      <c r="H142" s="2"/>
      <c r="I142" s="302"/>
      <c r="J142" s="239"/>
      <c r="K142" s="2"/>
      <c r="L142" s="239"/>
      <c r="M142" s="2"/>
      <c r="P142" s="2"/>
      <c r="Q142" s="2"/>
      <c r="R142" s="113"/>
      <c r="S142" s="2"/>
      <c r="T142" s="2"/>
      <c r="U142" s="302"/>
      <c r="V142" s="2"/>
      <c r="W142" s="2"/>
      <c r="X142" s="239"/>
      <c r="Y142" s="2"/>
    </row>
    <row r="143" spans="1:36">
      <c r="B143" s="2"/>
      <c r="C143" s="2"/>
      <c r="D143" s="2"/>
      <c r="E143" s="2"/>
      <c r="F143" s="2"/>
      <c r="G143" s="2"/>
      <c r="H143" s="2"/>
      <c r="I143" s="302"/>
      <c r="J143" s="239"/>
      <c r="K143" s="2"/>
      <c r="L143" s="239"/>
      <c r="M143" s="2"/>
      <c r="P143" s="2"/>
      <c r="Q143" s="2"/>
      <c r="R143" s="113"/>
      <c r="S143" s="2"/>
      <c r="T143" s="127"/>
      <c r="U143" s="127"/>
      <c r="V143" s="2"/>
      <c r="W143" s="2"/>
      <c r="X143" s="239"/>
      <c r="Y143" s="2"/>
    </row>
    <row r="144" spans="1:36">
      <c r="B144" s="3"/>
      <c r="C144" s="4"/>
      <c r="G144" s="64"/>
    </row>
    <row r="145" spans="2:3">
      <c r="B145" s="3"/>
      <c r="C145" s="4"/>
    </row>
    <row r="146" spans="2:3">
      <c r="B146" s="3"/>
      <c r="C146" s="4"/>
    </row>
    <row r="147" spans="2:3">
      <c r="B147" s="3"/>
      <c r="C147" s="4"/>
    </row>
    <row r="148" spans="2:3">
      <c r="B148" s="3"/>
      <c r="C148" s="4"/>
    </row>
    <row r="149" spans="2:3">
      <c r="B149" s="3"/>
      <c r="C149" s="4"/>
    </row>
    <row r="150" spans="2:3">
      <c r="B150" s="3"/>
      <c r="C150" s="4"/>
    </row>
    <row r="151" spans="2:3">
      <c r="B151" s="3"/>
      <c r="C151" s="4"/>
    </row>
    <row r="152" spans="2:3">
      <c r="B152" s="3"/>
      <c r="C152" s="4"/>
    </row>
    <row r="153" spans="2:3">
      <c r="B153" s="3"/>
      <c r="C153" s="4"/>
    </row>
    <row r="154" spans="2:3">
      <c r="B154" s="3"/>
      <c r="C154" s="4"/>
    </row>
    <row r="155" spans="2:3">
      <c r="B155" s="3"/>
      <c r="C155" s="4"/>
    </row>
    <row r="156" spans="2:3">
      <c r="B156" s="3"/>
      <c r="C156" s="4"/>
    </row>
    <row r="157" spans="2:3">
      <c r="B157" s="3"/>
      <c r="C157" s="4"/>
    </row>
    <row r="158" spans="2:3">
      <c r="B158" s="3"/>
      <c r="C158" s="4"/>
    </row>
    <row r="159" spans="2:3">
      <c r="B159" s="3"/>
      <c r="C159" s="4"/>
    </row>
    <row r="160" spans="2:3">
      <c r="B160" s="3"/>
      <c r="C160" s="4"/>
    </row>
    <row r="161" spans="2:3">
      <c r="B161" s="3"/>
      <c r="C161" s="4"/>
    </row>
    <row r="162" spans="2:3">
      <c r="B162" s="3"/>
      <c r="C162" s="4"/>
    </row>
    <row r="163" spans="2:3">
      <c r="B163" s="3"/>
      <c r="C163" s="4"/>
    </row>
    <row r="164" spans="2:3">
      <c r="B164" s="3"/>
      <c r="C164" s="4"/>
    </row>
    <row r="165" spans="2:3">
      <c r="B165" s="3"/>
      <c r="C165" s="4"/>
    </row>
    <row r="166" spans="2:3">
      <c r="B166" s="3"/>
      <c r="C166" s="4"/>
    </row>
    <row r="167" spans="2:3">
      <c r="B167" s="3"/>
      <c r="C167" s="4"/>
    </row>
    <row r="168" spans="2:3">
      <c r="B168" s="21"/>
      <c r="C168" s="21"/>
    </row>
    <row r="169" spans="2:3">
      <c r="B169" s="21"/>
      <c r="C169" s="21"/>
    </row>
    <row r="170" spans="2:3">
      <c r="B170" s="21"/>
      <c r="C170" s="21"/>
    </row>
  </sheetData>
  <conditionalFormatting sqref="B2">
    <cfRule type="expression" dxfId="2" priority="2" stopIfTrue="1">
      <formula>A1 &gt; 30</formula>
    </cfRule>
  </conditionalFormatting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K170"/>
  <sheetViews>
    <sheetView topLeftCell="B1" zoomScale="85" zoomScaleNormal="85" workbookViewId="0">
      <pane xSplit="2" ySplit="3" topLeftCell="D4" activePane="bottomRight" state="frozen"/>
      <selection activeCell="B1" sqref="B1"/>
      <selection pane="topRight" activeCell="D1" sqref="D1"/>
      <selection pane="bottomLeft" activeCell="B4" sqref="B4"/>
      <selection pane="bottomRight" activeCell="B1" sqref="B1"/>
    </sheetView>
  </sheetViews>
  <sheetFormatPr defaultRowHeight="15"/>
  <cols>
    <col min="1" max="1" width="9.5703125" style="302" customWidth="1"/>
    <col min="2" max="2" width="9.140625" style="184"/>
    <col min="3" max="3" width="28.42578125" style="184" bestFit="1" customWidth="1"/>
    <col min="4" max="20" width="12.7109375" style="295" customWidth="1"/>
    <col min="21" max="21" width="13.5703125" style="295" customWidth="1"/>
    <col min="22" max="27" width="12.7109375" style="295" customWidth="1"/>
    <col min="28" max="28" width="15" style="295" bestFit="1" customWidth="1"/>
    <col min="29" max="29" width="8.42578125" style="79" bestFit="1" customWidth="1"/>
    <col min="30" max="30" width="13.5703125" style="295" bestFit="1" customWidth="1"/>
    <col min="31" max="31" width="10.85546875" bestFit="1" customWidth="1"/>
    <col min="32" max="32" width="9.85546875" style="295" bestFit="1" customWidth="1"/>
    <col min="33" max="34" width="9.140625" style="295"/>
    <col min="35" max="35" width="9.85546875" style="295" bestFit="1" customWidth="1"/>
    <col min="36" max="16384" width="9.140625" style="295"/>
  </cols>
  <sheetData>
    <row r="1" spans="1:37" ht="15.75">
      <c r="B1" s="67" t="s">
        <v>219</v>
      </c>
      <c r="C1" s="68"/>
    </row>
    <row r="2" spans="1:37">
      <c r="A2" s="69" t="s">
        <v>0</v>
      </c>
      <c r="B2" s="70"/>
      <c r="C2" s="68"/>
      <c r="D2" s="296" t="s">
        <v>149</v>
      </c>
      <c r="P2" s="296" t="s">
        <v>150</v>
      </c>
    </row>
    <row r="3" spans="1:37" s="83" customFormat="1">
      <c r="A3" s="81" t="s">
        <v>1</v>
      </c>
      <c r="B3" s="82" t="s">
        <v>2</v>
      </c>
      <c r="C3" s="71" t="s">
        <v>3</v>
      </c>
      <c r="D3" s="248" t="s">
        <v>163</v>
      </c>
      <c r="E3" s="248" t="s">
        <v>298</v>
      </c>
      <c r="F3" s="248" t="s">
        <v>213</v>
      </c>
      <c r="G3" s="248" t="s">
        <v>208</v>
      </c>
      <c r="H3" s="249" t="s">
        <v>279</v>
      </c>
      <c r="I3" s="248" t="s">
        <v>369</v>
      </c>
      <c r="J3" s="249" t="s">
        <v>299</v>
      </c>
      <c r="K3" s="248" t="s">
        <v>220</v>
      </c>
      <c r="L3" s="248" t="s">
        <v>307</v>
      </c>
      <c r="M3" s="248" t="s">
        <v>183</v>
      </c>
      <c r="N3" s="248" t="s">
        <v>222</v>
      </c>
      <c r="O3" s="248" t="s">
        <v>227</v>
      </c>
      <c r="P3" s="253" t="s">
        <v>163</v>
      </c>
      <c r="Q3" s="253" t="s">
        <v>298</v>
      </c>
      <c r="R3" s="254" t="s">
        <v>213</v>
      </c>
      <c r="S3" s="254" t="s">
        <v>208</v>
      </c>
      <c r="T3" s="253" t="s">
        <v>279</v>
      </c>
      <c r="U3" s="254" t="s">
        <v>369</v>
      </c>
      <c r="V3" s="253" t="s">
        <v>299</v>
      </c>
      <c r="W3" s="254" t="s">
        <v>220</v>
      </c>
      <c r="X3" s="254" t="s">
        <v>307</v>
      </c>
      <c r="Y3" s="253" t="s">
        <v>183</v>
      </c>
      <c r="Z3" s="254" t="s">
        <v>222</v>
      </c>
      <c r="AA3" s="254" t="s">
        <v>227</v>
      </c>
      <c r="AB3" s="258" t="s">
        <v>228</v>
      </c>
      <c r="AC3" s="259" t="s">
        <v>230</v>
      </c>
      <c r="AD3" s="295"/>
      <c r="AE3"/>
      <c r="AF3" s="295"/>
      <c r="AG3" s="295"/>
      <c r="AH3" s="295"/>
      <c r="AI3" s="295"/>
      <c r="AJ3" s="295"/>
      <c r="AK3" s="295"/>
    </row>
    <row r="4" spans="1:37">
      <c r="B4" s="166">
        <v>10005</v>
      </c>
      <c r="C4" s="167" t="s">
        <v>7</v>
      </c>
      <c r="D4" s="250">
        <f>IF(Init!$R$9="Yes",'Staging Table'!F6,'Staging Table'!BT6)*Rates_previous!$E$75*100*12</f>
        <v>194901.68160000001</v>
      </c>
      <c r="E4" s="250">
        <f>IF(Init!$R$9="Yes",'Staging Table'!F6,'Staging Table'!BT6)*Rates_previous!$E$76*100*12</f>
        <v>-27485.379000000001</v>
      </c>
      <c r="F4" s="251">
        <f>IF(Init!$R$9="Yes",SUMPRODUCT('Staging Table'!L6:AI6,LS_Demand_Rates_Restatement!$C$4:$Z$4)-IF(Init!$R$15="No",('Staging Table'!BH6*Rates_previous!$H$34), 0),SUMPRODUCT('Staging Table'!BZ6:CW6,LS_Demand_Rates_Restatement!$C$4:$Z$4)-IF(Init!$R$15="No", 'Staging Table'!DV6*Rates_previous!$H$34, 0))</f>
        <v>5183.2583178488239</v>
      </c>
      <c r="G4" s="251">
        <f>IF(Init!$R$9="Yes",SUMPRODUCT('Staging Table'!AJ6:AU6,LS_Demand_Rates_Restatement!$C$10:$N$10),SUMPRODUCT(LS_Demand_Rates_Restatement!$C$10:$N$10,'Staging Table'!CX6:DI6))*1000</f>
        <v>7911.3</v>
      </c>
      <c r="H4" s="252">
        <f>IF(Init!$R$9="Yes",'Staging Table'!BR6,'Staging Table'!EF6)*IF(Init!$R$3=2018,Rates_previous!$C$88,Rates_previous!$D$88)</f>
        <v>909.63839999999914</v>
      </c>
      <c r="I4" s="250">
        <f>IF(Init!$R$9="Yes",IF('Staging Table'!$F$1=2018,(SUM('Staging Table'!BD6:BG6)*Rates_previous!$C$87),(SUM('Staging Table'!BD6:BG6)*Rates_previous!$D$87)),IF('Staging Table'!$F$1=2018,(SUM('Staging Table'!DR6:DU6)*Rates_previous!$C$87),(SUM('Staging Table'!DR6:DU6)*Rates_previous!$D$87)))</f>
        <v>1070.9105338939403</v>
      </c>
      <c r="J4" s="252">
        <f>IF(Init!$R$9="Yes",IF('Staging Table'!D6=1,'Staging Table'!H6*-1*'Staging Table'!BT6/'Staging Table'!BS6,'Staging Table'!H6*SUM(D4:I4)*(-1)),IF('Staging Table'!D6=1,'Staging Table'!BV6*-1*'Staging Table'!BT6/'Staging Table'!BS6,'Staging Table'!BV6*SUM(D4:I4)*(-1)))</f>
        <v>-8212.1134433284224</v>
      </c>
      <c r="K4" s="250">
        <f>IF(Init!$R$9="Yes",'Staging Table'!K6,'Staging Table'!BY6)*(-1)*Rates_previous!$H$32</f>
        <v>0</v>
      </c>
      <c r="L4" s="250">
        <f>IF(Init!$R$12="No",0,'Staging Table'!$BI6*-1)*('Staging Table'!$F6/'Staging Table'!$E6)</f>
        <v>-6212.6606158474387</v>
      </c>
      <c r="M4" s="250">
        <f>IF('Staging Table'!C6=1,"",SUM(D4:L4))</f>
        <v>168066.63579256687</v>
      </c>
      <c r="N4" s="250">
        <f>IF('Staging Table'!C6=1,"",IF(Init!$R$9="Yes",(RT1SC!$C$3*'Staging Table'!F6*'Staging Table'!$F$2)+SUM('Staging Table'!L6:AI6)-IF(Init!$R$15="No",'Staging Table'!BH6, 0),Z4))</f>
        <v>4721.6400000000003</v>
      </c>
      <c r="O4" s="126">
        <f>IF('Staging Table'!C6=1,"",IF(N4=0, 0, M4/N4))</f>
        <v>35.594970347711147</v>
      </c>
      <c r="P4" s="250">
        <f>'Staging Table'!BT6*Rates_current!$E$74*100*12</f>
        <v>183953.76264</v>
      </c>
      <c r="Q4" s="250">
        <f>'Staging Table'!BT6*Rates_current!$E$75*100*12</f>
        <v>-18609.9012</v>
      </c>
      <c r="R4" s="251">
        <f>SUMPRODUCT('Staging Table'!BZ6:CW6, LS_Demand_Rates_Restatement!$C$5:$Z$5)-IF(Init!$R$15="No",('Staging Table'!DV6*Rates_current!$H$34), 0)</f>
        <v>4227.7826231726394</v>
      </c>
      <c r="S4" s="251">
        <f>SUMPRODUCT('Staging Table'!CX6:DI6, LS_Demand_Rates_Restatement!$C$11:$N$11)*1000</f>
        <v>8793.64</v>
      </c>
      <c r="T4" s="252">
        <f>'Staging Table'!EF6*IF(Init!$R$18="Yes",IF(Init!$R$6=2020,Rates_current!$C$88,Rates_current!$D$88),Rates_current!$H$33)</f>
        <v>139.40208000000888</v>
      </c>
      <c r="U4" s="252">
        <f>IF(Init!$R$18="Yes",(SUM('Staging Table'!DL6:DU6)*IF('Staging Table'!$BT$1=2020, Rates_current!$C$87, Rates_current!$D$87)),0)</f>
        <v>3211.2218298299586</v>
      </c>
      <c r="V4" s="252">
        <f>IF('Staging Table'!D6=1, 'Staging Table'!BV6*-1*'Staging Table'!BT6/'Staging Table'!BS6,SUM(P4:U4)*'Staging Table'!BV6*-1)</f>
        <v>-6360.0567790550922</v>
      </c>
      <c r="W4" s="250">
        <f>'Staging Table'!BY6*Rates_current!$H$32*-1</f>
        <v>0</v>
      </c>
      <c r="X4" s="250">
        <f>IF(Init!$R$12="No",0,'Staging Table'!$DW6*-1)</f>
        <v>0</v>
      </c>
      <c r="Y4" s="250">
        <f>IF('Staging Table'!C6=1,"", SUM(P4:X4))</f>
        <v>175355.85119394751</v>
      </c>
      <c r="Z4" s="250">
        <f>IF('Staging Table'!C6=1,"", (RT1SC!$C$4*'Staging Table'!BT6*'Staging Table'!$BT$2)+SUM('Staging Table'!BZ6:CW6)-IF(Init!$R$15="No",'Staging Table'!DV6, 0))</f>
        <v>4787.2800000000007</v>
      </c>
      <c r="AA4" s="126">
        <f>IF('Staging Table'!C6=1,"",IF(Z4=0, 0, Y4/Z4))</f>
        <v>36.629537272511214</v>
      </c>
      <c r="AB4" s="118">
        <f ca="1">IF('Staging Table'!C6=1,"",(AA4/O4-1)+(RAND()/100000000000000))</f>
        <v>2.9064975042651198E-2</v>
      </c>
      <c r="AC4" s="79">
        <f t="shared" ref="AC4:AC67" ca="1" si="0">IF(AB4="","",RANK(AB4,$AB$4:$AB$138))</f>
        <v>18</v>
      </c>
      <c r="AF4" s="255"/>
      <c r="AG4" s="255"/>
      <c r="AI4" s="255"/>
      <c r="AJ4" s="255"/>
    </row>
    <row r="5" spans="1:37">
      <c r="B5" s="166">
        <v>10015</v>
      </c>
      <c r="C5" s="167" t="s">
        <v>8</v>
      </c>
      <c r="D5" s="250">
        <f>IF(Init!$R$9="Yes",'Staging Table'!F7,'Staging Table'!BT7)*Rates_previous!$E$75*100*12</f>
        <v>206876.03328000003</v>
      </c>
      <c r="E5" s="250">
        <f>IF(Init!$R$9="Yes",'Staging Table'!F7,'Staging Table'!BT7)*Rates_previous!$E$76*100*12</f>
        <v>-29174.0232</v>
      </c>
      <c r="F5" s="251">
        <f>IF(Init!$R$9="Yes",SUMPRODUCT('Staging Table'!L7:AI7,LS_Demand_Rates_Restatement!$C$4:$Z$4)-IF(Init!$R$15="No",('Staging Table'!BH7*Rates_previous!$H$34), 0),SUMPRODUCT('Staging Table'!BZ7:CW7,LS_Demand_Rates_Restatement!$C$4:$Z$4)-IF(Init!$R$15="No", 'Staging Table'!DV7*Rates_previous!$H$34, 0))</f>
        <v>-8542.1366069369433</v>
      </c>
      <c r="G5" s="251">
        <f>IF(Init!$R$9="Yes",SUMPRODUCT('Staging Table'!AJ7:AU7,LS_Demand_Rates_Restatement!$C$10:$N$10),SUMPRODUCT(LS_Demand_Rates_Restatement!$C$10:$N$10,'Staging Table'!CX7:DI7))*1000</f>
        <v>39740.410000000003</v>
      </c>
      <c r="H5" s="252">
        <f>IF(Init!$R$9="Yes",'Staging Table'!BR7,'Staging Table'!EF7)*IF(Init!$R$3=2018,Rates_previous!$C$88,Rates_previous!$D$88)</f>
        <v>0</v>
      </c>
      <c r="I5" s="250">
        <f>IF(Init!$R$9="Yes",IF('Staging Table'!$F$1=2018,(SUM('Staging Table'!BD7:BG7)*Rates_previous!$C$87),(SUM('Staging Table'!BD7:BG7)*Rates_previous!$D$87)),IF('Staging Table'!$F$1=2018,(SUM('Staging Table'!DR7:DU7)*Rates_previous!$C$87),(SUM('Staging Table'!DR7:DU7)*Rates_previous!$D$87)))</f>
        <v>1136.7050372835026</v>
      </c>
      <c r="J5" s="252">
        <f>IF(Init!$R$9="Yes",IF('Staging Table'!D7=1,'Staging Table'!H7*-1*'Staging Table'!BT7/'Staging Table'!BS7,'Staging Table'!H7*SUM(D5:I5)*(-1)),IF('Staging Table'!D7=1,'Staging Table'!BV7*-1*'Staging Table'!BT7/'Staging Table'!BS7,'Staging Table'!BV7*SUM(D5:I5)*(-1)))</f>
        <v>0</v>
      </c>
      <c r="K5" s="250">
        <f>IF(Init!$R$9="Yes",'Staging Table'!K7,'Staging Table'!BY7)*(-1)*Rates_previous!$H$32</f>
        <v>0</v>
      </c>
      <c r="L5" s="250">
        <f>IF(Init!$R$12="No",0,'Staging Table'!$BI7*-1)*('Staging Table'!$F7/'Staging Table'!$E7)</f>
        <v>-3220.9875879357182</v>
      </c>
      <c r="M5" s="250">
        <f>IF('Staging Table'!C7=1,"",SUM(D5:L5))</f>
        <v>206816.00092241087</v>
      </c>
      <c r="N5" s="250">
        <f>IF('Staging Table'!C7=1,"",IF(Init!$R$9="Yes",(RT1SC!$C$3*'Staging Table'!F7*'Staging Table'!$F$2)+SUM('Staging Table'!L7:AI7)-IF(Init!$R$15="No",'Staging Table'!BH7, 0),Z5))</f>
        <v>4940.6399999999994</v>
      </c>
      <c r="O5" s="126">
        <f>IF('Staging Table'!C7=1,"",IF(N5=0, 0, M5/N5))</f>
        <v>41.860164052108814</v>
      </c>
      <c r="P5" s="250">
        <f>'Staging Table'!BT7*Rates_current!$E$74*100*12</f>
        <v>192747.41796000002</v>
      </c>
      <c r="Q5" s="250">
        <f>'Staging Table'!BT7*Rates_current!$E$75*100*12</f>
        <v>-19499.521800000002</v>
      </c>
      <c r="R5" s="251">
        <f>SUMPRODUCT('Staging Table'!BZ7:CW7, LS_Demand_Rates_Restatement!$C$5:$Z$5)-IF(Init!$R$15="No",('Staging Table'!DV7*Rates_current!$H$34), 0)</f>
        <v>-9241.8128969083118</v>
      </c>
      <c r="S5" s="251">
        <f>SUMPRODUCT('Staging Table'!CX7:DI7, LS_Demand_Rates_Restatement!$C$11:$N$11)*1000</f>
        <v>41360.060000000005</v>
      </c>
      <c r="T5" s="252">
        <f>'Staging Table'!EF7*IF(Init!$R$18="Yes",IF(Init!$R$6=2020,Rates_current!$C$88,Rates_current!$D$88),Rates_current!$H$33)</f>
        <v>0</v>
      </c>
      <c r="U5" s="252">
        <f>IF(Init!$R$18="Yes",(SUM('Staging Table'!DL7:DU7)*IF('Staging Table'!$BT$1=2020, Rates_current!$C$87, Rates_current!$D$87)),0)</f>
        <v>3364.7298501189875</v>
      </c>
      <c r="V5" s="252">
        <f>IF('Staging Table'!D7=1, 'Staging Table'!BV7*-1*'Staging Table'!BT7/'Staging Table'!BS7,SUM(P5:U5)*'Staging Table'!BV7*-1)</f>
        <v>0</v>
      </c>
      <c r="W5" s="250">
        <f>'Staging Table'!BY7*Rates_current!$H$32*-1</f>
        <v>0</v>
      </c>
      <c r="X5" s="250">
        <f>IF(Init!$R$12="No",0,'Staging Table'!$DW7*-1)</f>
        <v>0</v>
      </c>
      <c r="Y5" s="250">
        <f>IF('Staging Table'!C7=1,"", SUM(P5:X5))</f>
        <v>208730.87311321066</v>
      </c>
      <c r="Z5" s="250">
        <f>IF('Staging Table'!C7=1,"", (RT1SC!$C$4*'Staging Table'!BT7*'Staging Table'!$BT$2)+SUM('Staging Table'!BZ7:CW7)-IF(Init!$R$15="No",'Staging Table'!DV7, 0))</f>
        <v>5006.8799999999992</v>
      </c>
      <c r="AA5" s="126">
        <f>IF('Staging Table'!C7=1,"",IF(Z5=0, 0, Y5/Z5))</f>
        <v>41.688810818955254</v>
      </c>
      <c r="AB5" s="118">
        <f ca="1">IF('Staging Table'!C7=1,"",(AA5/O5-1)+(RAND()/100000000000000))</f>
        <v>-4.0934677881310473E-3</v>
      </c>
      <c r="AC5" s="79">
        <f t="shared" ca="1" si="0"/>
        <v>116</v>
      </c>
      <c r="AF5" s="255"/>
      <c r="AG5" s="255"/>
      <c r="AI5" s="255"/>
      <c r="AJ5" s="255"/>
    </row>
    <row r="6" spans="1:37">
      <c r="B6" s="166">
        <v>10024</v>
      </c>
      <c r="C6" s="167" t="s">
        <v>9</v>
      </c>
      <c r="D6" s="250">
        <f>IF(Init!$R$9="Yes",'Staging Table'!F8,'Staging Table'!BT8)*Rates_previous!$E$75*100*12</f>
        <v>37785194.112959996</v>
      </c>
      <c r="E6" s="250">
        <f>IF(Init!$R$9="Yes",'Staging Table'!F8,'Staging Table'!BT8)*Rates_previous!$E$76*100*12</f>
        <v>-5328534.7373999991</v>
      </c>
      <c r="F6" s="251">
        <f>IF(Init!$R$9="Yes",SUMPRODUCT('Staging Table'!L8:AI8,LS_Demand_Rates_Restatement!$C$4:$Z$4)-IF(Init!$R$15="No",('Staging Table'!BH8*Rates_previous!$H$34), 0),SUMPRODUCT('Staging Table'!BZ8:CW8,LS_Demand_Rates_Restatement!$C$4:$Z$4)-IF(Init!$R$15="No", 'Staging Table'!DV8*Rates_previous!$H$34, 0))</f>
        <v>-395677.83000000025</v>
      </c>
      <c r="G6" s="251">
        <f>IF(Init!$R$9="Yes",SUMPRODUCT('Staging Table'!AJ8:AU8,LS_Demand_Rates_Restatement!$C$10:$N$10),SUMPRODUCT(LS_Demand_Rates_Restatement!$C$10:$N$10,'Staging Table'!CX8:DI8))*1000</f>
        <v>0</v>
      </c>
      <c r="H6" s="252">
        <f>IF(Init!$R$9="Yes",'Staging Table'!BR8,'Staging Table'!EF8)*IF(Init!$R$3=2018,Rates_previous!$C$88,Rates_previous!$D$88)</f>
        <v>0</v>
      </c>
      <c r="I6" s="250">
        <f>IF(Init!$R$9="Yes",IF('Staging Table'!$F$1=2018,(SUM('Staging Table'!BD8:BG8)*Rates_previous!$C$87),(SUM('Staging Table'!BD8:BG8)*Rates_previous!$D$87)),IF('Staging Table'!$F$1=2018,(SUM('Staging Table'!DR8:DU8)*Rates_previous!$C$87),(SUM('Staging Table'!DR8:DU8)*Rates_previous!$D$87)))</f>
        <v>207615.25538728939</v>
      </c>
      <c r="J6" s="252">
        <f>IF(Init!$R$9="Yes",IF('Staging Table'!D8=1,'Staging Table'!H8*-1*'Staging Table'!BT8/'Staging Table'!BS8,'Staging Table'!H8*SUM(D6:I6)*(-1)),IF('Staging Table'!D8=1,'Staging Table'!BV8*-1*'Staging Table'!BT8/'Staging Table'!BS8,'Staging Table'!BV8*SUM(D6:I6)*(-1)))</f>
        <v>0</v>
      </c>
      <c r="K6" s="250">
        <f>IF(Init!$R$9="Yes",'Staging Table'!K8,'Staging Table'!BY8)*(-1)*Rates_previous!$H$32</f>
        <v>-3671932.9920000001</v>
      </c>
      <c r="L6" s="250">
        <f>IF(Init!$R$12="No",0,'Staging Table'!$BI8*-1)*('Staging Table'!$F8/'Staging Table'!$E8)</f>
        <v>-1147168.5848148728</v>
      </c>
      <c r="M6" s="250">
        <f>IF('Staging Table'!C8=1,"",SUM(D6:L6))</f>
        <v>27449495.224132411</v>
      </c>
      <c r="N6" s="250">
        <f>IF('Staging Table'!C8=1,"",IF(Init!$R$9="Yes",(RT1SC!$C$3*'Staging Table'!F8*'Staging Table'!$F$2)+SUM('Staging Table'!L8:AI8)-IF(Init!$R$15="No",'Staging Table'!BH8, 0),Z6))</f>
        <v>902634.25290266389</v>
      </c>
      <c r="O6" s="126">
        <f>IF('Staging Table'!C8=1,"",IF(N6=0, 0, M6/N6))</f>
        <v>30.410429402453047</v>
      </c>
      <c r="P6" s="250">
        <f>'Staging Table'!BT8*Rates_current!$E$74*100*12</f>
        <v>35229284.542799994</v>
      </c>
      <c r="Q6" s="250">
        <f>'Staging Table'!BT8*Rates_current!$E$75*100*12</f>
        <v>-3564012.4739999995</v>
      </c>
      <c r="R6" s="251">
        <f>SUMPRODUCT('Staging Table'!BZ8:CW8, LS_Demand_Rates_Restatement!$C$5:$Z$5)-IF(Init!$R$15="No",('Staging Table'!DV8*Rates_current!$H$34), 0)</f>
        <v>-534163.71999999974</v>
      </c>
      <c r="S6" s="251">
        <f>SUMPRODUCT('Staging Table'!CX8:DI8, LS_Demand_Rates_Restatement!$C$11:$N$11)*1000</f>
        <v>0</v>
      </c>
      <c r="T6" s="252">
        <f>'Staging Table'!EF8*IF(Init!$R$18="Yes",IF(Init!$R$6=2020,Rates_current!$C$88,Rates_current!$D$88),Rates_current!$H$33)</f>
        <v>0</v>
      </c>
      <c r="U6" s="252">
        <f>IF(Init!$R$18="Yes",(SUM('Staging Table'!DL8:DU8)*IF('Staging Table'!$BT$1=2020, Rates_current!$C$87, Rates_current!$D$87)),0)</f>
        <v>614986.32020115596</v>
      </c>
      <c r="V6" s="252">
        <f>IF('Staging Table'!D8=1, 'Staging Table'!BV8*-1*'Staging Table'!BT8/'Staging Table'!BS8,SUM(P6:U6)*'Staging Table'!BV8*-1)</f>
        <v>0</v>
      </c>
      <c r="W6" s="250">
        <f>'Staging Table'!BY8*Rates_current!$H$32*-1</f>
        <v>-3468977.5120000001</v>
      </c>
      <c r="X6" s="250">
        <f>IF(Init!$R$12="No",0,'Staging Table'!$DW8*-1)</f>
        <v>0</v>
      </c>
      <c r="Y6" s="250">
        <f>IF('Staging Table'!C8=1,"", SUM(P6:X6))</f>
        <v>28277117.157001153</v>
      </c>
      <c r="Z6" s="250">
        <f>IF('Staging Table'!C8=1,"", (RT1SC!$C$4*'Staging Table'!BT8*'Staging Table'!$BT$2)+SUM('Staging Table'!BZ8:CW8)-IF(Init!$R$15="No",'Staging Table'!DV8, 0))</f>
        <v>911075.21464678389</v>
      </c>
      <c r="AA6" s="126">
        <f>IF('Staging Table'!C8=1,"",IF(Z6=0, 0, Y6/Z6))</f>
        <v>31.037083110601301</v>
      </c>
      <c r="AB6" s="118">
        <f ca="1">IF('Staging Table'!C8=1,"",(AA6/O6-1)+(RAND()/100000000000000))</f>
        <v>2.060653928477401E-2</v>
      </c>
      <c r="AC6" s="79">
        <f t="shared" ca="1" si="0"/>
        <v>53</v>
      </c>
      <c r="AF6" s="255"/>
      <c r="AG6" s="255"/>
      <c r="AI6" s="255"/>
      <c r="AJ6" s="255"/>
    </row>
    <row r="7" spans="1:37">
      <c r="B7" s="166">
        <v>10025</v>
      </c>
      <c r="C7" s="167" t="s">
        <v>10</v>
      </c>
      <c r="D7" s="250">
        <f>IF(Init!$R$9="Yes",'Staging Table'!F9,'Staging Table'!BT9)*Rates_previous!$E$75*100*12</f>
        <v>21534979.789439999</v>
      </c>
      <c r="E7" s="250">
        <f>IF(Init!$R$9="Yes",'Staging Table'!F9,'Staging Table'!BT9)*Rates_previous!$E$76*100*12</f>
        <v>-3036900.8435999993</v>
      </c>
      <c r="F7" s="251">
        <f>IF(Init!$R$9="Yes",SUMPRODUCT('Staging Table'!L9:AI9,LS_Demand_Rates_Restatement!$C$4:$Z$4)-IF(Init!$R$15="No",('Staging Table'!BH9*Rates_previous!$H$34), 0),SUMPRODUCT('Staging Table'!BZ9:CW9,LS_Demand_Rates_Restatement!$C$4:$Z$4)-IF(Init!$R$15="No", 'Staging Table'!DV9*Rates_previous!$H$34, 0))</f>
        <v>-49928.416834916396</v>
      </c>
      <c r="G7" s="251">
        <f>IF(Init!$R$9="Yes",SUMPRODUCT('Staging Table'!AJ9:AU9,LS_Demand_Rates_Restatement!$C$10:$N$10),SUMPRODUCT(LS_Demand_Rates_Restatement!$C$10:$N$10,'Staging Table'!CX9:DI9))*1000</f>
        <v>950873.38</v>
      </c>
      <c r="H7" s="252">
        <f>IF(Init!$R$9="Yes",'Staging Table'!BR9,'Staging Table'!EF9)*IF(Init!$R$3=2018,Rates_previous!$C$88,Rates_previous!$D$88)</f>
        <v>0</v>
      </c>
      <c r="I7" s="250">
        <f>IF(Init!$R$9="Yes",IF('Staging Table'!$F$1=2018,(SUM('Staging Table'!BD9:BG9)*Rates_previous!$C$87),(SUM('Staging Table'!BD9:BG9)*Rates_previous!$D$87)),IF('Staging Table'!$F$1=2018,(SUM('Staging Table'!DR9:DU9)*Rates_previous!$C$87),(SUM('Staging Table'!DR9:DU9)*Rates_previous!$D$87)))</f>
        <v>118326.5147554499</v>
      </c>
      <c r="J7" s="252">
        <f>IF(Init!$R$9="Yes",IF('Staging Table'!D9=1,'Staging Table'!H9*-1*'Staging Table'!BT9/'Staging Table'!BS9,'Staging Table'!H9*SUM(D7:I7)*(-1)),IF('Staging Table'!D9=1,'Staging Table'!BV9*-1*'Staging Table'!BT9/'Staging Table'!BS9,'Staging Table'!BV9*SUM(D7:I7)*(-1)))</f>
        <v>-1290914.639993327</v>
      </c>
      <c r="K7" s="250">
        <f>IF(Init!$R$9="Yes",'Staging Table'!K9,'Staging Table'!BY9)*(-1)*Rates_previous!$H$32</f>
        <v>-974914.07831999997</v>
      </c>
      <c r="L7" s="250">
        <f>IF(Init!$R$12="No",0,'Staging Table'!$BI9*-1)*('Staging Table'!$F9/'Staging Table'!$E9)</f>
        <v>-701205.67308877385</v>
      </c>
      <c r="M7" s="250">
        <f>IF('Staging Table'!C9=1,"",SUM(D7:L7))</f>
        <v>16550316.03235843</v>
      </c>
      <c r="N7" s="250">
        <f>IF('Staging Table'!C9=1,"",IF(Init!$R$9="Yes",(RT1SC!$C$3*'Staging Table'!F9*'Staging Table'!$F$2)+SUM('Staging Table'!L9:AI9)-IF(Init!$R$15="No",'Staging Table'!BH9, 0),Z7))</f>
        <v>514229.51999999996</v>
      </c>
      <c r="O7" s="126">
        <f>IF('Staging Table'!C9=1,"",IF(N7=0, 0, M7/N7))</f>
        <v>32.184686776360934</v>
      </c>
      <c r="P7" s="250">
        <f>'Staging Table'!BT9*Rates_current!$E$74*100*12</f>
        <v>20078054.092799999</v>
      </c>
      <c r="Q7" s="250">
        <f>'Staging Table'!BT9*Rates_current!$E$75*100*12</f>
        <v>-2031220.2240000002</v>
      </c>
      <c r="R7" s="251">
        <f>SUMPRODUCT('Staging Table'!BZ9:CW9, LS_Demand_Rates_Restatement!$C$5:$Z$5)-IF(Init!$R$15="No",('Staging Table'!DV9*Rates_current!$H$34), 0)</f>
        <v>-43507.100459300738</v>
      </c>
      <c r="S7" s="251">
        <f>SUMPRODUCT('Staging Table'!CX9:DI9, LS_Demand_Rates_Restatement!$C$11:$N$11)*1000</f>
        <v>1053965.96</v>
      </c>
      <c r="T7" s="252">
        <f>'Staging Table'!EF9*IF(Init!$R$18="Yes",IF(Init!$R$6=2020,Rates_current!$C$88,Rates_current!$D$88),Rates_current!$H$33)</f>
        <v>0</v>
      </c>
      <c r="U7" s="252">
        <f>IF(Init!$R$18="Yes",(SUM('Staging Table'!DL9:DU9)*IF('Staging Table'!$BT$1=2020, Rates_current!$C$87, Rates_current!$D$87)),0)</f>
        <v>350496.15010857227</v>
      </c>
      <c r="V7" s="252">
        <f>IF('Staging Table'!D9=1, 'Staging Table'!BV9*-1*'Staging Table'!BT9/'Staging Table'!BS9,SUM(P7:U7)*'Staging Table'!BV9*-1)</f>
        <v>-1305063.1776791066</v>
      </c>
      <c r="W7" s="250">
        <f>'Staging Table'!BY9*Rates_current!$H$32*-1</f>
        <v>-921028.52127000003</v>
      </c>
      <c r="X7" s="250">
        <f>IF(Init!$R$12="No",0,'Staging Table'!$DW9*-1)</f>
        <v>0</v>
      </c>
      <c r="Y7" s="250">
        <f>IF('Staging Table'!C9=1,"", SUM(P7:X7))</f>
        <v>17181697.179500166</v>
      </c>
      <c r="Z7" s="250">
        <f>IF('Staging Table'!C9=1,"", (RT1SC!$C$4*'Staging Table'!BT9*'Staging Table'!$BT$2)+SUM('Staging Table'!BZ9:CW9)-IF(Init!$R$15="No",'Staging Table'!DV9, 0))</f>
        <v>521268.91200000001</v>
      </c>
      <c r="AA7" s="126">
        <f>IF('Staging Table'!C9=1,"",IF(Z7=0, 0, Y7/Z7))</f>
        <v>32.961292691669605</v>
      </c>
      <c r="AB7" s="118">
        <f ca="1">IF('Staging Table'!C9=1,"",(AA7/O7-1)+(RAND()/100000000000000))</f>
        <v>2.4129671377734328E-2</v>
      </c>
      <c r="AC7" s="79">
        <f t="shared" ca="1" si="0"/>
        <v>33</v>
      </c>
      <c r="AF7" s="255"/>
      <c r="AG7" s="255"/>
      <c r="AI7" s="255"/>
      <c r="AJ7" s="255"/>
    </row>
    <row r="8" spans="1:37">
      <c r="B8" s="166">
        <v>10027</v>
      </c>
      <c r="C8" s="167" t="s">
        <v>11</v>
      </c>
      <c r="D8" s="250">
        <f>IF(Init!$R$9="Yes",'Staging Table'!F10,'Staging Table'!BT10)*Rates_previous!$E$75*100*12</f>
        <v>22088857.248</v>
      </c>
      <c r="E8" s="250">
        <f>IF(Init!$R$9="Yes",'Staging Table'!F10,'Staging Table'!BT10)*Rates_previous!$E$76*100*12</f>
        <v>-3115009.62</v>
      </c>
      <c r="F8" s="251">
        <f>IF(Init!$R$9="Yes",SUMPRODUCT('Staging Table'!L10:AI10,LS_Demand_Rates_Restatement!$C$4:$Z$4)-IF(Init!$R$15="No",('Staging Table'!BH10*Rates_previous!$H$34), 0),SUMPRODUCT('Staging Table'!BZ10:CW10,LS_Demand_Rates_Restatement!$C$4:$Z$4)-IF(Init!$R$15="No", 'Staging Table'!DV10*Rates_previous!$H$34, 0))</f>
        <v>-599082.90237713535</v>
      </c>
      <c r="G8" s="251">
        <f>IF(Init!$R$9="Yes",SUMPRODUCT('Staging Table'!AJ10:AU10,LS_Demand_Rates_Restatement!$C$10:$N$10),SUMPRODUCT(LS_Demand_Rates_Restatement!$C$10:$N$10,'Staging Table'!CX10:DI10))*1000</f>
        <v>1391769.5</v>
      </c>
      <c r="H8" s="252">
        <f>IF(Init!$R$9="Yes",'Staging Table'!BR10,'Staging Table'!EF10)*IF(Init!$R$3=2018,Rates_previous!$C$88,Rates_previous!$D$88)</f>
        <v>0</v>
      </c>
      <c r="I8" s="250">
        <f>IF(Init!$R$9="Yes",IF('Staging Table'!$F$1=2018,(SUM('Staging Table'!BD10:BG10)*Rates_previous!$C$87),(SUM('Staging Table'!BD10:BG10)*Rates_previous!$D$87)),IF('Staging Table'!$F$1=2018,(SUM('Staging Table'!DR10:DU10)*Rates_previous!$C$87),(SUM('Staging Table'!DR10:DU10)*Rates_previous!$D$87)))</f>
        <v>121369.8605079799</v>
      </c>
      <c r="J8" s="252">
        <f>IF(Init!$R$9="Yes",IF('Staging Table'!D10=1,'Staging Table'!H10*-1*'Staging Table'!BT10/'Staging Table'!BS10,'Staging Table'!H10*SUM(D8:I8)*(-1)),IF('Staging Table'!D10=1,'Staging Table'!BV10*-1*'Staging Table'!BT10/'Staging Table'!BS10,'Staging Table'!BV10*SUM(D8:I8)*(-1)))</f>
        <v>-1473747.390123328</v>
      </c>
      <c r="K8" s="250">
        <f>IF(Init!$R$9="Yes",'Staging Table'!K10,'Staging Table'!BY10)*(-1)*Rates_previous!$H$32</f>
        <v>-2465713.7903999998</v>
      </c>
      <c r="L8" s="250">
        <f>IF(Init!$R$12="No",0,'Staging Table'!$BI10*-1)*('Staging Table'!$F10/'Staging Table'!$E10)</f>
        <v>-524473.06420202751</v>
      </c>
      <c r="M8" s="250">
        <f>IF('Staging Table'!C10=1,"",SUM(D8:L8))</f>
        <v>15423969.841405489</v>
      </c>
      <c r="N8" s="250">
        <f>IF('Staging Table'!C10=1,"",IF(Init!$R$9="Yes",(RT1SC!$C$3*'Staging Table'!F10*'Staging Table'!$F$2)+SUM('Staging Table'!L10:AI10)-IF(Init!$R$15="No",'Staging Table'!BH10, 0),Z8))</f>
        <v>527457.12</v>
      </c>
      <c r="O8" s="126">
        <f>IF('Staging Table'!C10=1,"",IF(N8=0, 0, M8/N8))</f>
        <v>29.242130320291228</v>
      </c>
      <c r="P8" s="250">
        <f>'Staging Table'!BT10*Rates_current!$E$74*100*12</f>
        <v>20594740.759440001</v>
      </c>
      <c r="Q8" s="250">
        <f>'Staging Table'!BT10*Rates_current!$E$75*100*12</f>
        <v>-2083491.4452000002</v>
      </c>
      <c r="R8" s="251">
        <f>SUMPRODUCT('Staging Table'!BZ10:CW10, LS_Demand_Rates_Restatement!$C$5:$Z$5)-IF(Init!$R$15="No",('Staging Table'!DV10*Rates_current!$H$34), 0)</f>
        <v>-674552.42000000016</v>
      </c>
      <c r="S8" s="251">
        <f>SUMPRODUCT('Staging Table'!CX10:DI10, LS_Demand_Rates_Restatement!$C$11:$N$11)*1000</f>
        <v>1529968.9000000001</v>
      </c>
      <c r="T8" s="252">
        <f>'Staging Table'!EF10*IF(Init!$R$18="Yes",IF(Init!$R$6=2020,Rates_current!$C$88,Rates_current!$D$88),Rates_current!$H$33)</f>
        <v>0</v>
      </c>
      <c r="U8" s="252">
        <f>IF(Init!$R$18="Yes",(SUM('Staging Table'!DL10:DU10)*IF('Staging Table'!$BT$1=2020, Rates_current!$C$87, Rates_current!$D$87)),0)</f>
        <v>359515.78351690591</v>
      </c>
      <c r="V8" s="252">
        <f>IF('Staging Table'!D10=1, 'Staging Table'!BV10*-1*'Staging Table'!BT10/'Staging Table'!BS10,SUM(P8:U8)*'Staging Table'!BV10*-1)</f>
        <v>-1479035.5601915305</v>
      </c>
      <c r="W8" s="250">
        <f>'Staging Table'!BY10*Rates_current!$H$32*-1</f>
        <v>-2329428.5893999999</v>
      </c>
      <c r="X8" s="250">
        <f>IF(Init!$R$12="No",0,'Staging Table'!$DW10*-1)</f>
        <v>0</v>
      </c>
      <c r="Y8" s="250">
        <f>IF('Staging Table'!C10=1,"", SUM(P8:X8))</f>
        <v>15917717.428165372</v>
      </c>
      <c r="Z8" s="250">
        <f>IF('Staging Table'!C10=1,"", (RT1SC!$C$4*'Staging Table'!BT10*'Staging Table'!$BT$2)+SUM('Staging Table'!BZ10:CW10)-IF(Init!$R$15="No",'Staging Table'!DV10, 0))</f>
        <v>534679.89200568316</v>
      </c>
      <c r="AA8" s="126">
        <f>IF('Staging Table'!C10=1,"",IF(Z8=0, 0, Y8/Z8))</f>
        <v>29.770555553258362</v>
      </c>
      <c r="AB8" s="118">
        <f ca="1">IF('Staging Table'!C10=1,"",(AA8/O8-1)+(RAND()/100000000000000))</f>
        <v>1.8070681827188954E-2</v>
      </c>
      <c r="AC8" s="79">
        <f t="shared" ca="1" si="0"/>
        <v>66</v>
      </c>
      <c r="AF8" s="255"/>
      <c r="AG8" s="255"/>
      <c r="AI8" s="255"/>
      <c r="AJ8" s="255"/>
    </row>
    <row r="9" spans="1:37">
      <c r="B9" s="166">
        <v>10029</v>
      </c>
      <c r="C9" s="167" t="s">
        <v>12</v>
      </c>
      <c r="D9" s="250">
        <f>IF(Init!$R$9="Yes",'Staging Table'!F11,'Staging Table'!BT11)*Rates_previous!$E$75*100*12</f>
        <v>6358635.5155199999</v>
      </c>
      <c r="E9" s="250">
        <f>IF(Init!$R$9="Yes",'Staging Table'!F11,'Staging Table'!BT11)*Rates_previous!$E$76*100*12</f>
        <v>-896705.99879999994</v>
      </c>
      <c r="F9" s="251">
        <f>IF(Init!$R$9="Yes",SUMPRODUCT('Staging Table'!L11:AI11,LS_Demand_Rates_Restatement!$C$4:$Z$4)-IF(Init!$R$15="No",('Staging Table'!BH11*Rates_previous!$H$34), 0),SUMPRODUCT('Staging Table'!BZ11:CW11,LS_Demand_Rates_Restatement!$C$4:$Z$4)-IF(Init!$R$15="No", 'Staging Table'!DV11*Rates_previous!$H$34, 0))</f>
        <v>0</v>
      </c>
      <c r="G9" s="251">
        <f>IF(Init!$R$9="Yes",SUMPRODUCT('Staging Table'!AJ11:AU11,LS_Demand_Rates_Restatement!$C$10:$N$10),SUMPRODUCT(LS_Demand_Rates_Restatement!$C$10:$N$10,'Staging Table'!CX11:DI11))*1000</f>
        <v>0</v>
      </c>
      <c r="H9" s="252">
        <f>IF(Init!$R$9="Yes",'Staging Table'!BR11,'Staging Table'!EF11)*IF(Init!$R$3=2018,Rates_previous!$C$88,Rates_previous!$D$88)</f>
        <v>0</v>
      </c>
      <c r="I9" s="250">
        <f>IF(Init!$R$9="Yes",IF('Staging Table'!$F$1=2018,(SUM('Staging Table'!BD11:BG11)*Rates_previous!$C$87),(SUM('Staging Table'!BD11:BG11)*Rates_previous!$D$87)),IF('Staging Table'!$F$1=2018,(SUM('Staging Table'!DR11:DU11)*Rates_previous!$C$87),(SUM('Staging Table'!DR11:DU11)*Rates_previous!$D$87)))</f>
        <v>34938.281182908438</v>
      </c>
      <c r="J9" s="252">
        <f>IF(Init!$R$9="Yes",IF('Staging Table'!D11=1,'Staging Table'!H11*-1*'Staging Table'!BT11/'Staging Table'!BS11,'Staging Table'!H11*SUM(D9:I9)*(-1)),IF('Staging Table'!D11=1,'Staging Table'!BV11*-1*'Staging Table'!BT11/'Staging Table'!BS11,'Staging Table'!BV11*SUM(D9:I9)*(-1)))</f>
        <v>-349264.93332417309</v>
      </c>
      <c r="K9" s="250">
        <f>IF(Init!$R$9="Yes",'Staging Table'!K11,'Staging Table'!BY11)*(-1)*Rates_previous!$H$32</f>
        <v>0</v>
      </c>
      <c r="L9" s="250">
        <f>IF(Init!$R$12="No",0,'Staging Table'!$BI11*-1)*('Staging Table'!$F11/'Staging Table'!$E11)</f>
        <v>-201878.73449378833</v>
      </c>
      <c r="M9" s="250" t="str">
        <f>IF('Staging Table'!C11=1,"",SUM(D9:L9))</f>
        <v/>
      </c>
      <c r="N9" s="250" t="str">
        <f>IF('Staging Table'!C11=1,"",IF(Init!$R$9="Yes",(RT1SC!$C$3*'Staging Table'!F11*'Staging Table'!$F$2)+SUM('Staging Table'!L11:AI11)-IF(Init!$R$15="No",'Staging Table'!BH11, 0),Z9))</f>
        <v/>
      </c>
      <c r="O9" s="126" t="str">
        <f>IF('Staging Table'!C11=1,"",IF(N9=0, 0, M9/N9))</f>
        <v/>
      </c>
      <c r="P9" s="250">
        <f>'Staging Table'!BT11*Rates_current!$E$74*100*12</f>
        <v>5928587.3502000002</v>
      </c>
      <c r="Q9" s="250">
        <f>'Staging Table'!BT11*Rates_current!$E$75*100*12</f>
        <v>-599772.59100000001</v>
      </c>
      <c r="R9" s="251">
        <f>SUMPRODUCT('Staging Table'!BZ11:CW11, LS_Demand_Rates_Restatement!$C$5:$Z$5)-IF(Init!$R$15="No",('Staging Table'!DV11*Rates_current!$H$34), 0)</f>
        <v>0</v>
      </c>
      <c r="S9" s="251">
        <f>SUMPRODUCT('Staging Table'!CX11:DI11, LS_Demand_Rates_Restatement!$C$11:$N$11)*1000</f>
        <v>0</v>
      </c>
      <c r="T9" s="252">
        <f>'Staging Table'!EF11*IF(Init!$R$18="Yes",IF(Init!$R$6=2020,Rates_current!$C$88,Rates_current!$D$88),Rates_current!$H$33)</f>
        <v>0</v>
      </c>
      <c r="U9" s="252">
        <f>IF(Init!$R$18="Yes",(SUM('Staging Table'!DL11:DU11)*IF('Staging Table'!$BT$1=2020, Rates_current!$C$87, Rates_current!$D$87)),0)</f>
        <v>103493.44773269809</v>
      </c>
      <c r="V9" s="252">
        <f>IF('Staging Table'!D11=1, 'Staging Table'!BV11*-1*'Staging Table'!BT11/'Staging Table'!BS11,SUM(P9:U9)*'Staging Table'!BV11*-1)</f>
        <v>-393700.56175841967</v>
      </c>
      <c r="W9" s="250">
        <f>'Staging Table'!BY11*Rates_current!$H$32*-1</f>
        <v>0</v>
      </c>
      <c r="X9" s="250">
        <f>IF(Init!$R$12="No",0,'Staging Table'!$DW11*-1)</f>
        <v>0</v>
      </c>
      <c r="Y9" s="250" t="str">
        <f>IF('Staging Table'!C11=1,"", SUM(P9:X9))</f>
        <v/>
      </c>
      <c r="Z9" s="250" t="str">
        <f>IF('Staging Table'!C11=1,"", (RT1SC!$C$4*'Staging Table'!BT11*'Staging Table'!$BT$2)+SUM('Staging Table'!BZ11:CW11)-IF(Init!$R$15="No",'Staging Table'!DV11, 0))</f>
        <v/>
      </c>
      <c r="AA9" s="126" t="str">
        <f>IF('Staging Table'!C11=1,"",IF(Z9=0, 0, Y9/Z9))</f>
        <v/>
      </c>
      <c r="AB9" s="118" t="str">
        <f ca="1">IF('Staging Table'!C11=1,"",(AA9/O9-1)+(RAND()/100000000000000))</f>
        <v/>
      </c>
      <c r="AC9" s="79" t="str">
        <f t="shared" ca="1" si="0"/>
        <v/>
      </c>
      <c r="AF9" s="255"/>
      <c r="AG9" s="255"/>
      <c r="AI9" s="255"/>
      <c r="AJ9" s="255"/>
    </row>
    <row r="10" spans="1:37">
      <c r="B10" s="166">
        <v>10044</v>
      </c>
      <c r="C10" s="167" t="s">
        <v>13</v>
      </c>
      <c r="D10" s="250">
        <f>IF(Init!$R$9="Yes",'Staging Table'!F12,'Staging Table'!BT12)*Rates_previous!$E$75*100*12</f>
        <v>7330850.9625599999</v>
      </c>
      <c r="E10" s="250">
        <f>IF(Init!$R$9="Yes",'Staging Table'!F12,'Staging Table'!BT12)*Rates_previous!$E$76*100*12</f>
        <v>-1033809.5364</v>
      </c>
      <c r="F10" s="251">
        <f>IF(Init!$R$9="Yes",SUMPRODUCT('Staging Table'!L12:AI12,LS_Demand_Rates_Restatement!$C$4:$Z$4)-IF(Init!$R$15="No",('Staging Table'!BH12*Rates_previous!$H$34), 0),SUMPRODUCT('Staging Table'!BZ12:CW12,LS_Demand_Rates_Restatement!$C$4:$Z$4)-IF(Init!$R$15="No", 'Staging Table'!DV12*Rates_previous!$H$34, 0))</f>
        <v>103932.13359605469</v>
      </c>
      <c r="G10" s="251">
        <f>IF(Init!$R$9="Yes",SUMPRODUCT('Staging Table'!AJ12:AU12,LS_Demand_Rates_Restatement!$C$10:$N$10),SUMPRODUCT(LS_Demand_Rates_Restatement!$C$10:$N$10,'Staging Table'!CX12:DI12))*1000</f>
        <v>249745.65</v>
      </c>
      <c r="H10" s="252">
        <f>IF(Init!$R$9="Yes",'Staging Table'!BR12,'Staging Table'!EF12)*IF(Init!$R$3=2018,Rates_previous!$C$88,Rates_previous!$D$88)</f>
        <v>0</v>
      </c>
      <c r="I10" s="250">
        <f>IF(Init!$R$9="Yes",IF('Staging Table'!$F$1=2018,(SUM('Staging Table'!BD12:BG12)*Rates_previous!$C$87),(SUM('Staging Table'!BD12:BG12)*Rates_previous!$D$87)),IF('Staging Table'!$F$1=2018,(SUM('Staging Table'!DR12:DU12)*Rates_previous!$C$87),(SUM('Staging Table'!DR12:DU12)*Rates_previous!$D$87)))</f>
        <v>40280.234904920573</v>
      </c>
      <c r="J10" s="252">
        <f>IF(Init!$R$9="Yes",IF('Staging Table'!D12=1,'Staging Table'!H12*-1*'Staging Table'!BT12/'Staging Table'!BS12,'Staging Table'!H12*SUM(D10:I10)*(-1)),IF('Staging Table'!D12=1,'Staging Table'!BV12*-1*'Staging Table'!BT12/'Staging Table'!BS12,'Staging Table'!BV12*SUM(D10:I10)*(-1)))</f>
        <v>0</v>
      </c>
      <c r="K10" s="250">
        <f>IF(Init!$R$9="Yes",'Staging Table'!K12,'Staging Table'!BY12)*(-1)*Rates_previous!$H$32</f>
        <v>0</v>
      </c>
      <c r="L10" s="250">
        <f>IF(Init!$R$12="No",0,'Staging Table'!$BI12*-1)*('Staging Table'!$F12/'Staging Table'!$E12)</f>
        <v>-260931.86102272948</v>
      </c>
      <c r="M10" s="250">
        <f>IF('Staging Table'!C12=1,"",SUM(D10:L10))</f>
        <v>6430067.5836382462</v>
      </c>
      <c r="N10" s="250">
        <f>IF('Staging Table'!C12=1,"",IF(Init!$R$9="Yes",(RT1SC!$C$3*'Staging Table'!F12*'Staging Table'!$F$2)+SUM('Staging Table'!L12:AI12)-IF(Init!$R$15="No",'Staging Table'!BH12, 0),Z10))</f>
        <v>175051.08000000002</v>
      </c>
      <c r="O10" s="126">
        <f>IF('Staging Table'!C12=1,"",IF(N10=0, 0, M10/N10))</f>
        <v>36.732521636760225</v>
      </c>
      <c r="P10" s="250">
        <f>'Staging Table'!BT12*Rates_current!$E$74*100*12</f>
        <v>6835046.8472399991</v>
      </c>
      <c r="Q10" s="250">
        <f>'Staging Table'!BT12*Rates_current!$E$75*100*12</f>
        <v>-691475.64419999986</v>
      </c>
      <c r="R10" s="251">
        <f>SUMPRODUCT('Staging Table'!BZ12:CW12, LS_Demand_Rates_Restatement!$C$5:$Z$5)-IF(Init!$R$15="No",('Staging Table'!DV12*Rates_current!$H$34), 0)</f>
        <v>117062.10076090645</v>
      </c>
      <c r="S10" s="251">
        <f>SUMPRODUCT('Staging Table'!CX12:DI12, LS_Demand_Rates_Restatement!$C$11:$N$11)*1000</f>
        <v>287275.39999999997</v>
      </c>
      <c r="T10" s="252">
        <f>'Staging Table'!EF12*IF(Init!$R$18="Yes",IF(Init!$R$6=2020,Rates_current!$C$88,Rates_current!$D$88),Rates_current!$H$33)</f>
        <v>0</v>
      </c>
      <c r="U10" s="252">
        <f>IF(Init!$R$18="Yes",(SUM('Staging Table'!DL12:DU12)*IF('Staging Table'!$BT$1=2020, Rates_current!$C$87, Rates_current!$D$87)),0)</f>
        <v>119317.2204187077</v>
      </c>
      <c r="V10" s="252">
        <f>IF('Staging Table'!D12=1, 'Staging Table'!BV12*-1*'Staging Table'!BT12/'Staging Table'!BS12,SUM(P10:U10)*'Staging Table'!BV12*-1)</f>
        <v>0</v>
      </c>
      <c r="W10" s="250">
        <f>'Staging Table'!BY12*Rates_current!$H$32*-1</f>
        <v>0</v>
      </c>
      <c r="X10" s="250">
        <f>IF(Init!$R$12="No",0,'Staging Table'!$DW12*-1)</f>
        <v>0</v>
      </c>
      <c r="Y10" s="250">
        <f>IF('Staging Table'!C12=1,"", SUM(P10:X10))</f>
        <v>6667225.924219613</v>
      </c>
      <c r="Z10" s="250">
        <f>IF('Staging Table'!C12=1,"", (RT1SC!$C$4*'Staging Table'!BT12*'Staging Table'!$BT$2)+SUM('Staging Table'!BZ12:CW12)-IF(Init!$R$15="No",'Staging Table'!DV12, 0))</f>
        <v>177454.36800000002</v>
      </c>
      <c r="AA10" s="126">
        <f>IF('Staging Table'!C12=1,"",IF(Z10=0, 0, Y10/Z10))</f>
        <v>37.571495136257298</v>
      </c>
      <c r="AB10" s="118">
        <f ca="1">IF('Staging Table'!C12=1,"",(AA10/O10-1)+(RAND()/100000000000000))</f>
        <v>2.2840073649008457E-2</v>
      </c>
      <c r="AC10" s="79">
        <f t="shared" ca="1" si="0"/>
        <v>45</v>
      </c>
      <c r="AF10" s="255"/>
      <c r="AG10" s="255"/>
      <c r="AI10" s="255"/>
      <c r="AJ10" s="255"/>
    </row>
    <row r="11" spans="1:37">
      <c r="B11" s="166">
        <v>10046</v>
      </c>
      <c r="C11" s="167" t="s">
        <v>14</v>
      </c>
      <c r="D11" s="250">
        <f>IF(Init!$R$9="Yes",'Staging Table'!F13,'Staging Table'!BT13)*Rates_previous!$E$75*100*12</f>
        <v>29545311.516479999</v>
      </c>
      <c r="E11" s="250">
        <f>IF(Init!$R$9="Yes",'Staging Table'!F13,'Staging Table'!BT13)*Rates_previous!$E$76*100*12</f>
        <v>-4166531.9562000004</v>
      </c>
      <c r="F11" s="251">
        <f>IF(Init!$R$9="Yes",SUMPRODUCT('Staging Table'!L13:AI13,LS_Demand_Rates_Restatement!$C$4:$Z$4)-IF(Init!$R$15="No",('Staging Table'!BH13*Rates_previous!$H$34), 0),SUMPRODUCT('Staging Table'!BZ13:CW13,LS_Demand_Rates_Restatement!$C$4:$Z$4)-IF(Init!$R$15="No", 'Staging Table'!DV13*Rates_previous!$H$34, 0))</f>
        <v>0</v>
      </c>
      <c r="G11" s="251">
        <f>IF(Init!$R$9="Yes",SUMPRODUCT('Staging Table'!AJ13:AU13,LS_Demand_Rates_Restatement!$C$10:$N$10),SUMPRODUCT(LS_Demand_Rates_Restatement!$C$10:$N$10,'Staging Table'!CX13:DI13))*1000</f>
        <v>0</v>
      </c>
      <c r="H11" s="252">
        <f>IF(Init!$R$9="Yes",'Staging Table'!BR13,'Staging Table'!EF13)*IF(Init!$R$3=2018,Rates_previous!$C$88,Rates_previous!$D$88)</f>
        <v>0</v>
      </c>
      <c r="I11" s="250">
        <f>IF(Init!$R$9="Yes",IF('Staging Table'!$F$1=2018,(SUM('Staging Table'!BD13:BG13)*Rates_previous!$C$87),(SUM('Staging Table'!BD13:BG13)*Rates_previous!$D$87)),IF('Staging Table'!$F$1=2018,(SUM('Staging Table'!DR13:DU13)*Rates_previous!$C$87),(SUM('Staging Table'!DR13:DU13)*Rates_previous!$D$87)))</f>
        <v>162340.23775696542</v>
      </c>
      <c r="J11" s="252">
        <f>IF(Init!$R$9="Yes",IF('Staging Table'!D13=1,'Staging Table'!H13*-1*'Staging Table'!BT13/'Staging Table'!BS13,'Staging Table'!H13*SUM(D11:I11)*(-1)),IF('Staging Table'!D13=1,'Staging Table'!BV13*-1*'Staging Table'!BT13/'Staging Table'!BS13,'Staging Table'!BV13*SUM(D11:I11)*(-1)))</f>
        <v>-1833831.9686032154</v>
      </c>
      <c r="K11" s="250">
        <f>IF(Init!$R$9="Yes",'Staging Table'!K13,'Staging Table'!BY13)*(-1)*Rates_previous!$H$32</f>
        <v>-483164.97432000004</v>
      </c>
      <c r="L11" s="250">
        <f>IF(Init!$R$12="No",0,'Staging Table'!$BI13*-1)*('Staging Table'!$F13/'Staging Table'!$E13)</f>
        <v>-860546.92159758043</v>
      </c>
      <c r="M11" s="250" t="str">
        <f>IF('Staging Table'!C13=1,"",SUM(D11:L11))</f>
        <v/>
      </c>
      <c r="N11" s="250" t="str">
        <f>IF('Staging Table'!C13=1,"",IF(Init!$R$9="Yes",(RT1SC!$C$3*'Staging Table'!F13*'Staging Table'!$F$2)+SUM('Staging Table'!L13:AI13)-IF(Init!$R$15="No",'Staging Table'!BH13, 0),Z11))</f>
        <v/>
      </c>
      <c r="O11" s="126" t="str">
        <f>IF('Staging Table'!C13=1,"",IF(N11=0, 0, M11/N11))</f>
        <v/>
      </c>
      <c r="P11" s="250">
        <f>'Staging Table'!BT13*Rates_current!$E$74*100*12</f>
        <v>27546957.122160003</v>
      </c>
      <c r="Q11" s="250">
        <f>'Staging Table'!BT13*Rates_current!$E$75*100*12</f>
        <v>-2786820.6827999996</v>
      </c>
      <c r="R11" s="251">
        <f>SUMPRODUCT('Staging Table'!BZ13:CW13, LS_Demand_Rates_Restatement!$C$5:$Z$5)-IF(Init!$R$15="No",('Staging Table'!DV13*Rates_current!$H$34), 0)</f>
        <v>0</v>
      </c>
      <c r="S11" s="251">
        <f>SUMPRODUCT('Staging Table'!CX13:DI13, LS_Demand_Rates_Restatement!$C$11:$N$11)*1000</f>
        <v>0</v>
      </c>
      <c r="T11" s="252">
        <f>'Staging Table'!EF13*IF(Init!$R$18="Yes",IF(Init!$R$6=2020,Rates_current!$C$88,Rates_current!$D$88),Rates_current!$H$33)</f>
        <v>0</v>
      </c>
      <c r="U11" s="252">
        <f>IF(Init!$R$18="Yes",(SUM('Staging Table'!DL13:DU13)*IF('Staging Table'!$BT$1=2020, Rates_current!$C$87, Rates_current!$D$87)),0)</f>
        <v>480878.39458432968</v>
      </c>
      <c r="V11" s="252">
        <f>IF('Staging Table'!D13=1, 'Staging Table'!BV13*-1*'Staging Table'!BT13/'Staging Table'!BS13,SUM(P11:U11)*'Staging Table'!BV13*-1)</f>
        <v>-1825574.0665754077</v>
      </c>
      <c r="W11" s="250">
        <f>'Staging Table'!BY13*Rates_current!$H$32*-1</f>
        <v>-456459.42726999999</v>
      </c>
      <c r="X11" s="250">
        <f>IF(Init!$R$12="No",0,'Staging Table'!$DW13*-1)</f>
        <v>0</v>
      </c>
      <c r="Y11" s="250" t="str">
        <f>IF('Staging Table'!C13=1,"", SUM(P11:X11))</f>
        <v/>
      </c>
      <c r="Z11" s="250" t="str">
        <f>IF('Staging Table'!C13=1,"", (RT1SC!$C$4*'Staging Table'!BT13*'Staging Table'!$BT$2)+SUM('Staging Table'!BZ13:CW13)-IF(Init!$R$15="No",'Staging Table'!DV13, 0))</f>
        <v/>
      </c>
      <c r="AA11" s="126" t="str">
        <f>IF('Staging Table'!C13=1,"",IF(Z11=0, 0, Y11/Z11))</f>
        <v/>
      </c>
      <c r="AB11" s="118" t="str">
        <f ca="1">IF('Staging Table'!C13=1,"",(AA11/O11-1)+(RAND()/100000000000000))</f>
        <v/>
      </c>
      <c r="AC11" s="79" t="str">
        <f t="shared" ca="1" si="0"/>
        <v/>
      </c>
      <c r="AF11" s="255"/>
      <c r="AG11" s="255"/>
      <c r="AI11" s="255"/>
      <c r="AJ11" s="255"/>
    </row>
    <row r="12" spans="1:37">
      <c r="B12" s="166">
        <v>10047</v>
      </c>
      <c r="C12" s="167" t="s">
        <v>15</v>
      </c>
      <c r="D12" s="250">
        <f>IF(Init!$R$9="Yes",'Staging Table'!F14,'Staging Table'!BT14)*Rates_previous!$E$75*100*12</f>
        <v>56078436.651839986</v>
      </c>
      <c r="E12" s="250">
        <f>IF(Init!$R$9="Yes",'Staging Table'!F14,'Staging Table'!BT14)*Rates_previous!$E$76*100*12</f>
        <v>-7908280.074599999</v>
      </c>
      <c r="F12" s="251">
        <f>IF(Init!$R$9="Yes",SUMPRODUCT('Staging Table'!L14:AI14,LS_Demand_Rates_Restatement!$C$4:$Z$4)-IF(Init!$R$15="No",('Staging Table'!BH14*Rates_previous!$H$34), 0),SUMPRODUCT('Staging Table'!BZ14:CW14,LS_Demand_Rates_Restatement!$C$4:$Z$4)-IF(Init!$R$15="No", 'Staging Table'!DV14*Rates_previous!$H$34, 0))</f>
        <v>436243.28000000026</v>
      </c>
      <c r="G12" s="251">
        <f>IF(Init!$R$9="Yes",SUMPRODUCT('Staging Table'!AJ14:AU14,LS_Demand_Rates_Restatement!$C$10:$N$10),SUMPRODUCT(LS_Demand_Rates_Restatement!$C$10:$N$10,'Staging Table'!CX14:DI14))*1000</f>
        <v>1482492.4000000001</v>
      </c>
      <c r="H12" s="252">
        <f>IF(Init!$R$9="Yes",'Staging Table'!BR14,'Staging Table'!EF14)*IF(Init!$R$3=2018,Rates_previous!$C$88,Rates_previous!$D$88)</f>
        <v>23576.484750209976</v>
      </c>
      <c r="I12" s="250">
        <f>IF(Init!$R$9="Yes",IF('Staging Table'!$F$1=2018,(SUM('Staging Table'!BD14:BG14)*Rates_previous!$C$87),(SUM('Staging Table'!BD14:BG14)*Rates_previous!$D$87)),IF('Staging Table'!$F$1=2018,(SUM('Staging Table'!DR14:DU14)*Rates_previous!$C$87),(SUM('Staging Table'!DR14:DU14)*Rates_previous!$D$87)))</f>
        <v>308129.65820382885</v>
      </c>
      <c r="J12" s="252">
        <f>IF(Init!$R$9="Yes",IF('Staging Table'!D14=1,'Staging Table'!H14*-1*'Staging Table'!BT14/'Staging Table'!BS14,'Staging Table'!H14*SUM(D12:I12)*(-1)),IF('Staging Table'!D14=1,'Staging Table'!BV14*-1*'Staging Table'!BT14/'Staging Table'!BS14,'Staging Table'!BV14*SUM(D12:I12)*(-1)))</f>
        <v>0</v>
      </c>
      <c r="K12" s="250">
        <f>IF(Init!$R$9="Yes",'Staging Table'!K14,'Staging Table'!BY14)*(-1)*Rates_previous!$H$32</f>
        <v>0</v>
      </c>
      <c r="L12" s="250">
        <f>IF(Init!$R$12="No",0,'Staging Table'!$BI14*-1)*('Staging Table'!$F14/'Staging Table'!$E14)</f>
        <v>-1356406.4002414742</v>
      </c>
      <c r="M12" s="250">
        <f>IF('Staging Table'!C14=1,"",SUM(D12:L12))</f>
        <v>49064191.999952555</v>
      </c>
      <c r="N12" s="250">
        <f>IF('Staging Table'!C14=1,"",IF(Init!$R$9="Yes",(RT1SC!$C$3*'Staging Table'!F14*'Staging Table'!$F$2)+SUM('Staging Table'!L14:AI14)-IF(Init!$R$15="No",'Staging Table'!BH14, 0),Z12))</f>
        <v>1340905.0101656558</v>
      </c>
      <c r="O12" s="126">
        <f>IF('Staging Table'!C14=1,"",IF(N12=0, 0, M12/N12))</f>
        <v>36.590356235518243</v>
      </c>
      <c r="P12" s="250">
        <f>'Staging Table'!BT14*Rates_current!$E$74*100*12</f>
        <v>52172044.014480002</v>
      </c>
      <c r="Q12" s="250">
        <f>'Staging Table'!BT14*Rates_current!$E$75*100*12</f>
        <v>-5278046.8883999996</v>
      </c>
      <c r="R12" s="251">
        <f>SUMPRODUCT('Staging Table'!BZ14:CW14, LS_Demand_Rates_Restatement!$C$5:$Z$5)-IF(Init!$R$15="No",('Staging Table'!DV14*Rates_current!$H$34), 0)</f>
        <v>196588.12000000002</v>
      </c>
      <c r="S12" s="251">
        <f>SUMPRODUCT('Staging Table'!CX14:DI14, LS_Demand_Rates_Restatement!$C$11:$N$11)*1000</f>
        <v>1721282.2299999997</v>
      </c>
      <c r="T12" s="252">
        <f>'Staging Table'!EF14*IF(Init!$R$18="Yes",IF(Init!$R$6=2020,Rates_current!$C$88,Rates_current!$D$88),Rates_current!$H$33)</f>
        <v>-215733.42714931833</v>
      </c>
      <c r="U12" s="252">
        <f>IF(Init!$R$18="Yes",(SUM('Staging Table'!DL14:DU14)*IF('Staging Table'!$BT$1=2020, Rates_current!$C$87, Rates_current!$D$87)),0)</f>
        <v>910750.63777856936</v>
      </c>
      <c r="V12" s="252">
        <f>IF('Staging Table'!D14=1, 'Staging Table'!BV14*-1*'Staging Table'!BT14/'Staging Table'!BS14,SUM(P12:U12)*'Staging Table'!BV14*-1)</f>
        <v>0</v>
      </c>
      <c r="W12" s="250">
        <f>'Staging Table'!BY14*Rates_current!$H$32*-1</f>
        <v>0</v>
      </c>
      <c r="X12" s="250">
        <f>IF(Init!$R$12="No",0,'Staging Table'!$DW14*-1)</f>
        <v>0</v>
      </c>
      <c r="Y12" s="250">
        <f>IF('Staging Table'!C14=1,"", SUM(P12:X12))</f>
        <v>49506884.686709255</v>
      </c>
      <c r="Z12" s="250">
        <f>IF('Staging Table'!C14=1,"", (RT1SC!$C$4*'Staging Table'!BT14*'Staging Table'!$BT$2)+SUM('Staging Table'!BZ14:CW14)-IF(Init!$R$15="No",'Staging Table'!DV14, 0))</f>
        <v>1340907.7952697342</v>
      </c>
      <c r="AA12" s="126">
        <f>IF('Staging Table'!C14=1,"",IF(Z12=0, 0, Y12/Z12))</f>
        <v>36.920424253891781</v>
      </c>
      <c r="AB12" s="118">
        <f ca="1">IF('Staging Table'!C14=1,"",(AA12/O12-1)+(RAND()/100000000000000))</f>
        <v>9.0206287211075636E-3</v>
      </c>
      <c r="AC12" s="79">
        <f t="shared" ca="1" si="0"/>
        <v>85</v>
      </c>
      <c r="AF12" s="255"/>
      <c r="AG12" s="255"/>
      <c r="AI12" s="255"/>
      <c r="AJ12" s="255"/>
    </row>
    <row r="13" spans="1:37">
      <c r="B13" s="166">
        <v>10055</v>
      </c>
      <c r="C13" s="167" t="s">
        <v>16</v>
      </c>
      <c r="D13" s="250">
        <f>IF(Init!$R$9="Yes",'Staging Table'!F15,'Staging Table'!BT15)*Rates_previous!$E$75*100*12</f>
        <v>143437.44672000001</v>
      </c>
      <c r="E13" s="250">
        <f>IF(Init!$R$9="Yes",'Staging Table'!F15,'Staging Table'!BT15)*Rates_previous!$E$76*100*12</f>
        <v>-20227.801800000001</v>
      </c>
      <c r="F13" s="251">
        <f>IF(Init!$R$9="Yes",SUMPRODUCT('Staging Table'!L15:AI15,LS_Demand_Rates_Restatement!$C$4:$Z$4)-IF(Init!$R$15="No",('Staging Table'!BH15*Rates_previous!$H$34), 0),SUMPRODUCT('Staging Table'!BZ15:CW15,LS_Demand_Rates_Restatement!$C$4:$Z$4)-IF(Init!$R$15="No", 'Staging Table'!DV15*Rates_previous!$H$34, 0))</f>
        <v>2036.6799999999996</v>
      </c>
      <c r="G13" s="251">
        <f>IF(Init!$R$9="Yes",SUMPRODUCT('Staging Table'!AJ15:AU15,LS_Demand_Rates_Restatement!$C$10:$N$10),SUMPRODUCT(LS_Demand_Rates_Restatement!$C$10:$N$10,'Staging Table'!CX15:DI15))*1000</f>
        <v>12248.48</v>
      </c>
      <c r="H13" s="252">
        <f>IF(Init!$R$9="Yes",'Staging Table'!BR15,'Staging Table'!EF15)*IF(Init!$R$3=2018,Rates_previous!$C$88,Rates_previous!$D$88)</f>
        <v>-441.90787655696539</v>
      </c>
      <c r="I13" s="250">
        <f>IF(Init!$R$9="Yes",IF('Staging Table'!$F$1=2018,(SUM('Staging Table'!BD15:BG15)*Rates_previous!$C$87),(SUM('Staging Table'!BD15:BG15)*Rates_previous!$D$87)),IF('Staging Table'!$F$1=2018,(SUM('Staging Table'!DR15:DU15)*Rates_previous!$C$87),(SUM('Staging Table'!DR15:DU15)*Rates_previous!$D$87)))</f>
        <v>788.13415762390639</v>
      </c>
      <c r="J13" s="252">
        <f>IF(Init!$R$9="Yes",IF('Staging Table'!D15=1,'Staging Table'!H15*-1*'Staging Table'!BT15/'Staging Table'!BS15,'Staging Table'!H15*SUM(D13:I13)*(-1)),IF('Staging Table'!D15=1,'Staging Table'!BV15*-1*'Staging Table'!BT15/'Staging Table'!BS15,'Staging Table'!BV15*SUM(D13:I13)*(-1)))</f>
        <v>0</v>
      </c>
      <c r="K13" s="250">
        <f>IF(Init!$R$9="Yes",'Staging Table'!K15,'Staging Table'!BY15)*(-1)*Rates_previous!$H$32</f>
        <v>0</v>
      </c>
      <c r="L13" s="250">
        <f>IF(Init!$R$12="No",0,'Staging Table'!$BI15*-1)*('Staging Table'!$F15/'Staging Table'!$E15)</f>
        <v>-2233.2709507485338</v>
      </c>
      <c r="M13" s="250">
        <f>IF('Staging Table'!C15=1,"",SUM(D13:L13))</f>
        <v>135607.76025031839</v>
      </c>
      <c r="N13" s="250">
        <f>IF('Staging Table'!C15=1,"",IF(Init!$R$9="Yes",(RT1SC!$C$3*'Staging Table'!F15*'Staging Table'!$F$2)+SUM('Staging Table'!L15:AI15)-IF(Init!$R$15="No",'Staging Table'!BH15, 0),Z13))</f>
        <v>3391.1147090479999</v>
      </c>
      <c r="O13" s="126">
        <f>IF('Staging Table'!C15=1,"",IF(N13=0, 0, M13/N13))</f>
        <v>39.98913982133859</v>
      </c>
      <c r="P13" s="250">
        <f>'Staging Table'!BT15*Rates_current!$E$74*100*12</f>
        <v>130241.16528</v>
      </c>
      <c r="Q13" s="250">
        <f>'Staging Table'!BT15*Rates_current!$E$75*100*12</f>
        <v>-13176.002399999999</v>
      </c>
      <c r="R13" s="251">
        <f>SUMPRODUCT('Staging Table'!BZ15:CW15, LS_Demand_Rates_Restatement!$C$5:$Z$5)-IF(Init!$R$15="No",('Staging Table'!DV15*Rates_current!$H$34), 0)</f>
        <v>3219.3199999999993</v>
      </c>
      <c r="S13" s="251">
        <f>SUMPRODUCT('Staging Table'!CX15:DI15, LS_Demand_Rates_Restatement!$C$11:$N$11)*1000</f>
        <v>13348.699999999997</v>
      </c>
      <c r="T13" s="252">
        <f>'Staging Table'!EF15*IF(Init!$R$18="Yes",IF(Init!$R$6=2020,Rates_current!$C$88,Rates_current!$D$88),Rates_current!$H$33)</f>
        <v>119.04999141580456</v>
      </c>
      <c r="U13" s="252">
        <f>IF(Init!$R$18="Yes",(SUM('Staging Table'!DL15:DU15)*IF('Staging Table'!$BT$1=2020, Rates_current!$C$87, Rates_current!$D$87)),0)</f>
        <v>2273.5782464429162</v>
      </c>
      <c r="V13" s="252">
        <f>IF('Staging Table'!D15=1, 'Staging Table'!BV15*-1*'Staging Table'!BT15/'Staging Table'!BS15,SUM(P13:U13)*'Staging Table'!BV15*-1)</f>
        <v>0</v>
      </c>
      <c r="W13" s="250">
        <f>'Staging Table'!BY15*Rates_current!$H$32*-1</f>
        <v>0</v>
      </c>
      <c r="X13" s="250">
        <f>IF(Init!$R$12="No",0,'Staging Table'!$DW15*-1)</f>
        <v>0</v>
      </c>
      <c r="Y13" s="250">
        <f>IF('Staging Table'!C15=1,"", SUM(P13:X13))</f>
        <v>136025.81111785871</v>
      </c>
      <c r="Z13" s="250">
        <f>IF('Staging Table'!C15=1,"", (RT1SC!$C$4*'Staging Table'!BT15*'Staging Table'!$BT$2)+SUM('Staging Table'!BZ15:CW15)-IF(Init!$R$15="No",'Staging Table'!DV15, 0))</f>
        <v>3389.3415747583999</v>
      </c>
      <c r="AA13" s="126">
        <f>IF('Staging Table'!C15=1,"",IF(Z13=0, 0, Y13/Z13))</f>
        <v>40.133402939051649</v>
      </c>
      <c r="AB13" s="118">
        <f ca="1">IF('Staging Table'!C15=1,"",(AA13/O13-1)+(RAND()/100000000000000))</f>
        <v>3.6075574107837347E-3</v>
      </c>
      <c r="AC13" s="79">
        <f t="shared" ca="1" si="0"/>
        <v>93</v>
      </c>
      <c r="AF13" s="255"/>
      <c r="AG13" s="255"/>
      <c r="AI13" s="255"/>
      <c r="AJ13" s="255"/>
    </row>
    <row r="14" spans="1:37">
      <c r="B14" s="166">
        <v>10057</v>
      </c>
      <c r="C14" s="167" t="s">
        <v>17</v>
      </c>
      <c r="D14" s="250">
        <f>IF(Init!$R$9="Yes",'Staging Table'!F16,'Staging Table'!BT16)*Rates_previous!$E$75*100*12</f>
        <v>7605241.95744</v>
      </c>
      <c r="E14" s="250">
        <f>IF(Init!$R$9="Yes",'Staging Table'!F16,'Staging Table'!BT16)*Rates_previous!$E$76*100*12</f>
        <v>-1072504.6386000002</v>
      </c>
      <c r="F14" s="251">
        <f>IF(Init!$R$9="Yes",SUMPRODUCT('Staging Table'!L16:AI16,LS_Demand_Rates_Restatement!$C$4:$Z$4)-IF(Init!$R$15="No",('Staging Table'!BH16*Rates_previous!$H$34), 0),SUMPRODUCT('Staging Table'!BZ16:CW16,LS_Demand_Rates_Restatement!$C$4:$Z$4)-IF(Init!$R$15="No", 'Staging Table'!DV16*Rates_previous!$H$34, 0))</f>
        <v>-31221.819999999992</v>
      </c>
      <c r="G14" s="251">
        <f>IF(Init!$R$9="Yes",SUMPRODUCT('Staging Table'!AJ16:AU16,LS_Demand_Rates_Restatement!$C$10:$N$10),SUMPRODUCT(LS_Demand_Rates_Restatement!$C$10:$N$10,'Staging Table'!CX16:DI16))*1000</f>
        <v>289620.79000000004</v>
      </c>
      <c r="H14" s="252">
        <f>IF(Init!$R$9="Yes",'Staging Table'!BR16,'Staging Table'!EF16)*IF(Init!$R$3=2018,Rates_previous!$C$88,Rates_previous!$D$88)</f>
        <v>-79482.721066966129</v>
      </c>
      <c r="I14" s="250">
        <f>IF(Init!$R$9="Yes",IF('Staging Table'!$F$1=2018,(SUM('Staging Table'!BD16:BG16)*Rates_previous!$C$87),(SUM('Staging Table'!BD16:BG16)*Rates_previous!$D$87)),IF('Staging Table'!$F$1=2018,(SUM('Staging Table'!DR16:DU16)*Rates_previous!$C$87),(SUM('Staging Table'!DR16:DU16)*Rates_previous!$D$87)))</f>
        <v>41787.908950677134</v>
      </c>
      <c r="J14" s="252">
        <f>IF(Init!$R$9="Yes",IF('Staging Table'!D16=1,'Staging Table'!H16*-1*'Staging Table'!BT16/'Staging Table'!BS16,'Staging Table'!H16*SUM(D14:I14)*(-1)),IF('Staging Table'!D16=1,'Staging Table'!BV16*-1*'Staging Table'!BT16/'Staging Table'!BS16,'Staging Table'!BV16*SUM(D14:I14)*(-1)))</f>
        <v>0</v>
      </c>
      <c r="K14" s="250">
        <f>IF(Init!$R$9="Yes",'Staging Table'!K16,'Staging Table'!BY16)*(-1)*Rates_previous!$H$32</f>
        <v>0</v>
      </c>
      <c r="L14" s="250">
        <f>IF(Init!$R$12="No",0,'Staging Table'!$BI16*-1)*('Staging Table'!$F16/'Staging Table'!$E16)</f>
        <v>-279929.27915920061</v>
      </c>
      <c r="M14" s="250">
        <f>IF('Staging Table'!C16=1,"",SUM(D14:L14))</f>
        <v>6473512.1975645106</v>
      </c>
      <c r="N14" s="250">
        <f>IF('Staging Table'!C16=1,"",IF(Init!$R$9="Yes",(RT1SC!$C$3*'Staging Table'!F16*'Staging Table'!$F$2)+SUM('Staging Table'!L16:AI16)-IF(Init!$R$15="No",'Staging Table'!BH16, 0),Z14))</f>
        <v>175480.08380069601</v>
      </c>
      <c r="O14" s="126">
        <f>IF('Staging Table'!C16=1,"",IF(N14=0, 0, M14/N14))</f>
        <v>36.890295795145015</v>
      </c>
      <c r="P14" s="250">
        <f>'Staging Table'!BT16*Rates_current!$E$74*100*12</f>
        <v>6763746.9392400011</v>
      </c>
      <c r="Q14" s="250">
        <f>'Staging Table'!BT16*Rates_current!$E$75*100*12</f>
        <v>-684262.50420000008</v>
      </c>
      <c r="R14" s="251">
        <f>SUMPRODUCT('Staging Table'!BZ16:CW16, LS_Demand_Rates_Restatement!$C$5:$Z$5)-IF(Init!$R$15="No",('Staging Table'!DV16*Rates_current!$H$34), 0)</f>
        <v>123675.69999999997</v>
      </c>
      <c r="S14" s="251">
        <f>SUMPRODUCT('Staging Table'!CX16:DI16, LS_Demand_Rates_Restatement!$C$11:$N$11)*1000</f>
        <v>331270.03999999998</v>
      </c>
      <c r="T14" s="252">
        <f>'Staging Table'!EF16*IF(Init!$R$18="Yes",IF(Init!$R$6=2020,Rates_current!$C$88,Rates_current!$D$88),Rates_current!$H$33)</f>
        <v>-1943.8269863822677</v>
      </c>
      <c r="U14" s="252">
        <f>IF(Init!$R$18="Yes",(SUM('Staging Table'!DL16:DU16)*IF('Staging Table'!$BT$1=2020, Rates_current!$C$87, Rates_current!$D$87)),0)</f>
        <v>118072.56079474262</v>
      </c>
      <c r="V14" s="252">
        <f>IF('Staging Table'!D16=1, 'Staging Table'!BV16*-1*'Staging Table'!BT16/'Staging Table'!BS16,SUM(P14:U14)*'Staging Table'!BV16*-1)</f>
        <v>0</v>
      </c>
      <c r="W14" s="250">
        <f>'Staging Table'!BY16*Rates_current!$H$32*-1</f>
        <v>0</v>
      </c>
      <c r="X14" s="250">
        <f>IF(Init!$R$12="No",0,'Staging Table'!$DW16*-1)</f>
        <v>0</v>
      </c>
      <c r="Y14" s="250">
        <f>IF('Staging Table'!C16=1,"", SUM(P14:X14))</f>
        <v>6650558.9088483611</v>
      </c>
      <c r="Z14" s="250">
        <f>IF('Staging Table'!C16=1,"", (RT1SC!$C$4*'Staging Table'!BT16*'Staging Table'!$BT$2)+SUM('Staging Table'!BZ16:CW16)-IF(Init!$R$15="No",'Staging Table'!DV16, 0))</f>
        <v>175478.45962782719</v>
      </c>
      <c r="AA14" s="126">
        <f>IF('Staging Table'!C16=1,"",IF(Z14=0, 0, Y14/Z14))</f>
        <v>37.899574243776428</v>
      </c>
      <c r="AB14" s="118">
        <f ca="1">IF('Staging Table'!C16=1,"",(AA14/O14-1)+(RAND()/100000000000000))</f>
        <v>2.7358914502510566E-2</v>
      </c>
      <c r="AC14" s="79">
        <f t="shared" ca="1" si="0"/>
        <v>21</v>
      </c>
      <c r="AF14" s="255"/>
      <c r="AG14" s="255"/>
      <c r="AI14" s="255"/>
      <c r="AJ14" s="255"/>
    </row>
    <row r="15" spans="1:37">
      <c r="B15" s="166">
        <v>10059</v>
      </c>
      <c r="C15" s="167" t="s">
        <v>18</v>
      </c>
      <c r="D15" s="250">
        <f>IF(Init!$R$9="Yes",'Staging Table'!F17,'Staging Table'!BT17)*Rates_previous!$E$75*100*12</f>
        <v>2738814.48</v>
      </c>
      <c r="E15" s="250">
        <f>IF(Init!$R$9="Yes",'Staging Table'!F17,'Staging Table'!BT17)*Rates_previous!$E$76*100*12</f>
        <v>-386232.44999999995</v>
      </c>
      <c r="F15" s="251">
        <f>IF(Init!$R$9="Yes",SUMPRODUCT('Staging Table'!L17:AI17,LS_Demand_Rates_Restatement!$C$4:$Z$4)-IF(Init!$R$15="No",('Staging Table'!BH17*Rates_previous!$H$34), 0),SUMPRODUCT('Staging Table'!BZ17:CW17,LS_Demand_Rates_Restatement!$C$4:$Z$4)-IF(Init!$R$15="No", 'Staging Table'!DV17*Rates_previous!$H$34, 0))</f>
        <v>48319.969109640348</v>
      </c>
      <c r="G15" s="251">
        <f>IF(Init!$R$9="Yes",SUMPRODUCT('Staging Table'!AJ17:AU17,LS_Demand_Rates_Restatement!$C$10:$N$10),SUMPRODUCT(LS_Demand_Rates_Restatement!$C$10:$N$10,'Staging Table'!CX17:DI17))*1000</f>
        <v>134194.93</v>
      </c>
      <c r="H15" s="252">
        <f>IF(Init!$R$9="Yes",'Staging Table'!BR17,'Staging Table'!EF17)*IF(Init!$R$3=2018,Rates_previous!$C$88,Rates_previous!$D$88)</f>
        <v>5685.24</v>
      </c>
      <c r="I15" s="250">
        <f>IF(Init!$R$9="Yes",IF('Staging Table'!$F$1=2018,(SUM('Staging Table'!BD17:BG17)*Rates_previous!$C$87),(SUM('Staging Table'!BD17:BG17)*Rates_previous!$D$87)),IF('Staging Table'!$F$1=2018,(SUM('Staging Table'!DR17:DU17)*Rates_previous!$C$87),(SUM('Staging Table'!DR17:DU17)*Rates_previous!$D$87)))</f>
        <v>15048.742796548833</v>
      </c>
      <c r="J15" s="252">
        <f>IF(Init!$R$9="Yes",IF('Staging Table'!D17=1,'Staging Table'!H17*-1*'Staging Table'!BT17/'Staging Table'!BS17,'Staging Table'!H17*SUM(D15:I15)*(-1)),IF('Staging Table'!D17=1,'Staging Table'!BV17*-1*'Staging Table'!BT17/'Staging Table'!BS17,'Staging Table'!BV17*SUM(D15:I15)*(-1)))</f>
        <v>0</v>
      </c>
      <c r="K15" s="250">
        <f>IF(Init!$R$9="Yes",'Staging Table'!K17,'Staging Table'!BY17)*(-1)*Rates_previous!$H$32</f>
        <v>0</v>
      </c>
      <c r="L15" s="250">
        <f>IF(Init!$R$12="No",0,'Staging Table'!$BI17*-1)*('Staging Table'!$F17/'Staging Table'!$E17)</f>
        <v>-98196.636354647344</v>
      </c>
      <c r="M15" s="250">
        <f>IF('Staging Table'!C17=1,"",SUM(D15:L15))</f>
        <v>2457634.2755515426</v>
      </c>
      <c r="N15" s="250">
        <f>IF('Staging Table'!C17=1,"",IF(Init!$R$9="Yes",(RT1SC!$C$3*'Staging Table'!F17*'Staging Table'!$F$2)+SUM('Staging Table'!L17:AI17)-IF(Init!$R$15="No",'Staging Table'!BH17, 0),Z15))</f>
        <v>65840.160000000003</v>
      </c>
      <c r="O15" s="126">
        <f>IF('Staging Table'!C17=1,"",IF(N15=0, 0, M15/N15))</f>
        <v>37.327282855198753</v>
      </c>
      <c r="P15" s="250">
        <f>'Staging Table'!BT17*Rates_current!$E$74*100*12</f>
        <v>2525442.7413599994</v>
      </c>
      <c r="Q15" s="250">
        <f>'Staging Table'!BT17*Rates_current!$E$75*100*12</f>
        <v>-255489.41879999998</v>
      </c>
      <c r="R15" s="251">
        <f>SUMPRODUCT('Staging Table'!BZ17:CW17, LS_Demand_Rates_Restatement!$C$5:$Z$5)-IF(Init!$R$15="No",('Staging Table'!DV17*Rates_current!$H$34), 0)</f>
        <v>65420.563825416313</v>
      </c>
      <c r="S15" s="251">
        <f>SUMPRODUCT('Staging Table'!CX17:DI17, LS_Demand_Rates_Restatement!$C$11:$N$11)*1000</f>
        <v>148987.84999999998</v>
      </c>
      <c r="T15" s="252">
        <f>'Staging Table'!EF17*IF(Init!$R$18="Yes",IF(Init!$R$6=2020,Rates_current!$C$88,Rates_current!$D$88),Rates_current!$H$33)</f>
        <v>18819.280799999942</v>
      </c>
      <c r="U15" s="252">
        <f>IF(Init!$R$18="Yes",(SUM('Staging Table'!DL17:DU17)*IF('Staging Table'!$BT$1=2020, Rates_current!$C$87, Rates_current!$D$87)),0)</f>
        <v>44085.843880843837</v>
      </c>
      <c r="V15" s="252">
        <f>IF('Staging Table'!D17=1, 'Staging Table'!BV17*-1*'Staging Table'!BT17/'Staging Table'!BS17,SUM(P15:U15)*'Staging Table'!BV17*-1)</f>
        <v>0</v>
      </c>
      <c r="W15" s="250">
        <f>'Staging Table'!BY17*Rates_current!$H$32*-1</f>
        <v>0</v>
      </c>
      <c r="X15" s="250">
        <f>IF(Init!$R$12="No",0,'Staging Table'!$DW17*-1)</f>
        <v>0</v>
      </c>
      <c r="Y15" s="250">
        <f>IF('Staging Table'!C17=1,"", SUM(P15:X15))</f>
        <v>2547266.8610662594</v>
      </c>
      <c r="Z15" s="250">
        <f>IF('Staging Table'!C17=1,"", (RT1SC!$C$4*'Staging Table'!BT17*'Staging Table'!$BT$2)+SUM('Staging Table'!BZ17:CW17)-IF(Init!$R$15="No",'Staging Table'!DV17, 0))</f>
        <v>66749.615999999995</v>
      </c>
      <c r="AA15" s="126">
        <f>IF('Staging Table'!C17=1,"",IF(Z15=0, 0, Y15/Z15))</f>
        <v>38.161520825322199</v>
      </c>
      <c r="AB15" s="118">
        <f ca="1">IF('Staging Table'!C17=1,"",(AA15/O15-1)+(RAND()/100000000000000))</f>
        <v>2.2349281981221127E-2</v>
      </c>
      <c r="AC15" s="79">
        <f t="shared" ca="1" si="0"/>
        <v>46</v>
      </c>
      <c r="AF15" s="255"/>
      <c r="AG15" s="255"/>
      <c r="AI15" s="255"/>
      <c r="AJ15" s="255"/>
    </row>
    <row r="16" spans="1:37">
      <c r="B16" s="166">
        <v>10061</v>
      </c>
      <c r="C16" s="167" t="s">
        <v>19</v>
      </c>
      <c r="D16" s="250">
        <f>IF(Init!$R$9="Yes",'Staging Table'!F18,'Staging Table'!BT18)*Rates_previous!$E$75*100*12</f>
        <v>3157152.4684800003</v>
      </c>
      <c r="E16" s="250">
        <f>IF(Init!$R$9="Yes",'Staging Table'!F18,'Staging Table'!BT18)*Rates_previous!$E$76*100*12</f>
        <v>-445227.21120000002</v>
      </c>
      <c r="F16" s="251">
        <f>IF(Init!$R$9="Yes",SUMPRODUCT('Staging Table'!L18:AI18,LS_Demand_Rates_Restatement!$C$4:$Z$4)-IF(Init!$R$15="No",('Staging Table'!BH18*Rates_previous!$H$34), 0),SUMPRODUCT('Staging Table'!BZ18:CW18,LS_Demand_Rates_Restatement!$C$4:$Z$4)-IF(Init!$R$15="No", 'Staging Table'!DV18*Rates_previous!$H$34, 0))</f>
        <v>36691.117992656946</v>
      </c>
      <c r="G16" s="251">
        <f>IF(Init!$R$9="Yes",SUMPRODUCT('Staging Table'!AJ18:AU18,LS_Demand_Rates_Restatement!$C$10:$N$10),SUMPRODUCT(LS_Demand_Rates_Restatement!$C$10:$N$10,'Staging Table'!CX18:DI18))*1000</f>
        <v>125565.41000000002</v>
      </c>
      <c r="H16" s="252">
        <f>IF(Init!$R$9="Yes",'Staging Table'!BR18,'Staging Table'!EF18)*IF(Init!$R$3=2018,Rates_previous!$C$88,Rates_previous!$D$88)</f>
        <v>0</v>
      </c>
      <c r="I16" s="250">
        <f>IF(Init!$R$9="Yes",IF('Staging Table'!$F$1=2018,(SUM('Staging Table'!BD18:BG18)*Rates_previous!$C$87),(SUM('Staging Table'!BD18:BG18)*Rates_previous!$D$87)),IF('Staging Table'!$F$1=2018,(SUM('Staging Table'!DR18:DU18)*Rates_previous!$C$87),(SUM('Staging Table'!DR18:DU18)*Rates_previous!$D$87)))</f>
        <v>17347.350766030988</v>
      </c>
      <c r="J16" s="252">
        <f>IF(Init!$R$9="Yes",IF('Staging Table'!D18=1,'Staging Table'!H18*-1*'Staging Table'!BT18/'Staging Table'!BS18,'Staging Table'!H18*SUM(D16:I16)*(-1)),IF('Staging Table'!D18=1,'Staging Table'!BV18*-1*'Staging Table'!BT18/'Staging Table'!BS18,'Staging Table'!BV18*SUM(D16:I16)*(-1)))</f>
        <v>0</v>
      </c>
      <c r="K16" s="250">
        <f>IF(Init!$R$9="Yes",'Staging Table'!K18,'Staging Table'!BY18)*(-1)*Rates_previous!$H$32</f>
        <v>0</v>
      </c>
      <c r="L16" s="250">
        <f>IF(Init!$R$12="No",0,'Staging Table'!$BI18*-1)*('Staging Table'!$F18/'Staging Table'!$E18)</f>
        <v>-109661.91720420276</v>
      </c>
      <c r="M16" s="250">
        <f>IF('Staging Table'!C18=1,"",SUM(D16:L16))</f>
        <v>2781867.2188344859</v>
      </c>
      <c r="N16" s="250">
        <f>IF('Staging Table'!C18=1,"",IF(Init!$R$9="Yes",(RT1SC!$C$3*'Staging Table'!F18*'Staging Table'!$F$2)+SUM('Staging Table'!L18:AI18)-IF(Init!$R$15="No",'Staging Table'!BH18, 0),Z16))</f>
        <v>75388.56</v>
      </c>
      <c r="O16" s="126">
        <f>IF('Staging Table'!C18=1,"",IF(N16=0, 0, M16/N16))</f>
        <v>36.900389380490701</v>
      </c>
      <c r="P16" s="250">
        <f>'Staging Table'!BT18*Rates_current!$E$74*100*12</f>
        <v>2943497.8686000006</v>
      </c>
      <c r="Q16" s="250">
        <f>'Staging Table'!BT18*Rates_current!$E$75*100*12</f>
        <v>-297782.46299999999</v>
      </c>
      <c r="R16" s="251">
        <f>SUMPRODUCT('Staging Table'!BZ18:CW18, LS_Demand_Rates_Restatement!$C$5:$Z$5)-IF(Init!$R$15="No",('Staging Table'!DV18*Rates_current!$H$34), 0)</f>
        <v>41057.154589137877</v>
      </c>
      <c r="S16" s="251">
        <f>SUMPRODUCT('Staging Table'!CX18:DI18, LS_Demand_Rates_Restatement!$C$11:$N$11)*1000</f>
        <v>143878.65</v>
      </c>
      <c r="T16" s="252">
        <f>'Staging Table'!EF18*IF(Init!$R$18="Yes",IF(Init!$R$6=2020,Rates_current!$C$88,Rates_current!$D$88),Rates_current!$H$33)</f>
        <v>0</v>
      </c>
      <c r="U16" s="252">
        <f>IF(Init!$R$18="Yes",(SUM('Staging Table'!DL18:DU18)*IF('Staging Table'!$BT$1=2020, Rates_current!$C$87, Rates_current!$D$87)),0)</f>
        <v>51383.698142692549</v>
      </c>
      <c r="V16" s="252">
        <f>IF('Staging Table'!D18=1, 'Staging Table'!BV18*-1*'Staging Table'!BT18/'Staging Table'!BS18,SUM(P16:U16)*'Staging Table'!BV18*-1)</f>
        <v>0</v>
      </c>
      <c r="W16" s="250">
        <f>'Staging Table'!BY18*Rates_current!$H$32*-1</f>
        <v>0</v>
      </c>
      <c r="X16" s="250">
        <f>IF(Init!$R$12="No",0,'Staging Table'!$DW18*-1)</f>
        <v>0</v>
      </c>
      <c r="Y16" s="250">
        <f>IF('Staging Table'!C18=1,"", SUM(P16:X16))</f>
        <v>2882034.908331831</v>
      </c>
      <c r="Z16" s="250">
        <f>IF('Staging Table'!C18=1,"", (RT1SC!$C$4*'Staging Table'!BT18*'Staging Table'!$BT$2)+SUM('Staging Table'!BZ18:CW18)-IF(Init!$R$15="No",'Staging Table'!DV18, 0))</f>
        <v>76420.799999999988</v>
      </c>
      <c r="AA16" s="126">
        <f>IF('Staging Table'!C18=1,"",IF(Z16=0, 0, Y16/Z16))</f>
        <v>37.712702671678805</v>
      </c>
      <c r="AB16" s="118">
        <f ca="1">IF('Staging Table'!C18=1,"",(AA16/O16-1)+(RAND()/100000000000000))</f>
        <v>2.2013678034998641E-2</v>
      </c>
      <c r="AC16" s="79">
        <f t="shared" ca="1" si="0"/>
        <v>48</v>
      </c>
      <c r="AF16" s="255"/>
      <c r="AG16" s="255"/>
      <c r="AI16" s="255"/>
      <c r="AJ16" s="255"/>
    </row>
    <row r="17" spans="2:36">
      <c r="B17" s="166">
        <v>10062</v>
      </c>
      <c r="C17" s="167" t="s">
        <v>20</v>
      </c>
      <c r="D17" s="250">
        <f>IF(Init!$R$9="Yes",'Staging Table'!F19,'Staging Table'!BT19)*Rates_previous!$E$75*100*12</f>
        <v>1920227.4172800002</v>
      </c>
      <c r="E17" s="250">
        <f>IF(Init!$R$9="Yes",'Staging Table'!F19,'Staging Table'!BT19)*Rates_previous!$E$76*100*12</f>
        <v>-270793.85820000002</v>
      </c>
      <c r="F17" s="251">
        <f>IF(Init!$R$9="Yes",SUMPRODUCT('Staging Table'!L19:AI19,LS_Demand_Rates_Restatement!$C$4:$Z$4)-IF(Init!$R$15="No",('Staging Table'!BH19*Rates_previous!$H$34), 0),SUMPRODUCT('Staging Table'!BZ19:CW19,LS_Demand_Rates_Restatement!$C$4:$Z$4)-IF(Init!$R$15="No", 'Staging Table'!DV19*Rates_previous!$H$34, 0))</f>
        <v>110216.70281467505</v>
      </c>
      <c r="G17" s="251">
        <f>IF(Init!$R$9="Yes",SUMPRODUCT('Staging Table'!AJ19:AU19,LS_Demand_Rates_Restatement!$C$10:$N$10),SUMPRODUCT(LS_Demand_Rates_Restatement!$C$10:$N$10,'Staging Table'!CX19:DI19))*1000</f>
        <v>64893.460000000006</v>
      </c>
      <c r="H17" s="252">
        <f>IF(Init!$R$9="Yes",'Staging Table'!BR19,'Staging Table'!EF19)*IF(Init!$R$3=2018,Rates_previous!$C$88,Rates_previous!$D$88)</f>
        <v>0</v>
      </c>
      <c r="I17" s="250">
        <f>IF(Init!$R$9="Yes",IF('Staging Table'!$F$1=2018,(SUM('Staging Table'!BD19:BG19)*Rates_previous!$C$87),(SUM('Staging Table'!BD19:BG19)*Rates_previous!$D$87)),IF('Staging Table'!$F$1=2018,(SUM('Staging Table'!DR19:DU19)*Rates_previous!$C$87),(SUM('Staging Table'!DR19:DU19)*Rates_previous!$D$87)))</f>
        <v>10550.918554194286</v>
      </c>
      <c r="J17" s="252">
        <f>IF(Init!$R$9="Yes",IF('Staging Table'!D19=1,'Staging Table'!H19*-1*'Staging Table'!BT19/'Staging Table'!BS19,'Staging Table'!H19*SUM(D17:I17)*(-1)),IF('Staging Table'!D19=1,'Staging Table'!BV19*-1*'Staging Table'!BT19/'Staging Table'!BS19,'Staging Table'!BV19*SUM(D17:I17)*(-1)))</f>
        <v>0</v>
      </c>
      <c r="K17" s="250">
        <f>IF(Init!$R$9="Yes",'Staging Table'!K19,'Staging Table'!BY19)*(-1)*Rates_previous!$H$32</f>
        <v>0</v>
      </c>
      <c r="L17" s="250">
        <f>IF(Init!$R$12="No",0,'Staging Table'!$BI19*-1)*('Staging Table'!$F19/'Staging Table'!$E19)</f>
        <v>-75485.934594487466</v>
      </c>
      <c r="M17" s="250">
        <f>IF('Staging Table'!C19=1,"",SUM(D17:L17))</f>
        <v>1759608.7058543817</v>
      </c>
      <c r="N17" s="250">
        <f>IF('Staging Table'!C19=1,"",IF(Init!$R$9="Yes",(RT1SC!$C$3*'Staging Table'!F19*'Staging Table'!$F$2)+SUM('Staging Table'!L19:AI19)-IF(Init!$R$15="No",'Staging Table'!BH19, 0),Z17))</f>
        <v>45849.84</v>
      </c>
      <c r="O17" s="126">
        <f>IF('Staging Table'!C19=1,"",IF(N17=0, 0, M17/N17))</f>
        <v>38.377641140173701</v>
      </c>
      <c r="P17" s="250">
        <f>'Staging Table'!BT19*Rates_current!$E$74*100*12</f>
        <v>1790103.0235199998</v>
      </c>
      <c r="Q17" s="250">
        <f>'Staging Table'!BT19*Rates_current!$E$75*100*12</f>
        <v>-181097.90159999998</v>
      </c>
      <c r="R17" s="251">
        <f>SUMPRODUCT('Staging Table'!BZ19:CW19, LS_Demand_Rates_Restatement!$C$5:$Z$5)-IF(Init!$R$15="No",('Staging Table'!DV19*Rates_current!$H$34), 0)</f>
        <v>123956.02264947818</v>
      </c>
      <c r="S17" s="251">
        <f>SUMPRODUCT('Staging Table'!CX19:DI19, LS_Demand_Rates_Restatement!$C$11:$N$11)*1000</f>
        <v>77653.76999999999</v>
      </c>
      <c r="T17" s="252">
        <f>'Staging Table'!EF19*IF(Init!$R$18="Yes",IF(Init!$R$6=2020,Rates_current!$C$88,Rates_current!$D$88),Rates_current!$H$33)</f>
        <v>0</v>
      </c>
      <c r="U17" s="252">
        <f>IF(Init!$R$18="Yes",(SUM('Staging Table'!DL19:DU19)*IF('Staging Table'!$BT$1=2020, Rates_current!$C$87, Rates_current!$D$87)),0)</f>
        <v>31249.254292350455</v>
      </c>
      <c r="V17" s="252">
        <f>IF('Staging Table'!D19=1, 'Staging Table'!BV19*-1*'Staging Table'!BT19/'Staging Table'!BS19,SUM(P17:U17)*'Staging Table'!BV19*-1)</f>
        <v>0</v>
      </c>
      <c r="W17" s="250">
        <f>'Staging Table'!BY19*Rates_current!$H$32*-1</f>
        <v>0</v>
      </c>
      <c r="X17" s="250">
        <f>IF(Init!$R$12="No",0,'Staging Table'!$DW19*-1)</f>
        <v>0</v>
      </c>
      <c r="Y17" s="250">
        <f>IF('Staging Table'!C19=1,"", SUM(P17:X17))</f>
        <v>1841864.1688618285</v>
      </c>
      <c r="Z17" s="250">
        <f>IF('Staging Table'!C19=1,"", (RT1SC!$C$4*'Staging Table'!BT19*'Staging Table'!$BT$2)+SUM('Staging Table'!BZ19:CW19)-IF(Init!$R$15="No",'Staging Table'!DV19, 0))</f>
        <v>46476.144</v>
      </c>
      <c r="AA17" s="126">
        <f>IF('Staging Table'!C19=1,"",IF(Z17=0, 0, Y17/Z17))</f>
        <v>39.630313755414576</v>
      </c>
      <c r="AB17" s="118">
        <f ca="1">IF('Staging Table'!C19=1,"",(AA17/O17-1)+(RAND()/100000000000000))</f>
        <v>3.2640688120083888E-2</v>
      </c>
      <c r="AC17" s="79">
        <f t="shared" ca="1" si="0"/>
        <v>9</v>
      </c>
      <c r="AF17" s="255"/>
      <c r="AG17" s="255"/>
      <c r="AI17" s="255"/>
      <c r="AJ17" s="255"/>
    </row>
    <row r="18" spans="2:36">
      <c r="B18" s="166">
        <v>10064</v>
      </c>
      <c r="C18" s="167" t="s">
        <v>21</v>
      </c>
      <c r="D18" s="250">
        <f>IF(Init!$R$9="Yes",'Staging Table'!F20,'Staging Table'!BT20)*Rates_previous!$E$75*100*12</f>
        <v>5076615.565440001</v>
      </c>
      <c r="E18" s="250">
        <f>IF(Init!$R$9="Yes",'Staging Table'!F20,'Staging Table'!BT20)*Rates_previous!$E$76*100*12</f>
        <v>-715913.28359999997</v>
      </c>
      <c r="F18" s="251">
        <f>IF(Init!$R$9="Yes",SUMPRODUCT('Staging Table'!L20:AI20,LS_Demand_Rates_Restatement!$C$4:$Z$4)-IF(Init!$R$15="No",('Staging Table'!BH20*Rates_previous!$H$34), 0),SUMPRODUCT('Staging Table'!BZ20:CW20,LS_Demand_Rates_Restatement!$C$4:$Z$4)-IF(Init!$R$15="No", 'Staging Table'!DV20*Rates_previous!$H$34, 0))</f>
        <v>43676.350000000006</v>
      </c>
      <c r="G18" s="251">
        <f>IF(Init!$R$9="Yes",SUMPRODUCT('Staging Table'!AJ20:AU20,LS_Demand_Rates_Restatement!$C$10:$N$10),SUMPRODUCT(LS_Demand_Rates_Restatement!$C$10:$N$10,'Staging Table'!CX20:DI20))*1000</f>
        <v>208325.64999999997</v>
      </c>
      <c r="H18" s="252">
        <f>IF(Init!$R$9="Yes",'Staging Table'!BR20,'Staging Table'!EF20)*IF(Init!$R$3=2018,Rates_previous!$C$88,Rates_previous!$D$88)</f>
        <v>-12536.223886809625</v>
      </c>
      <c r="I18" s="250">
        <f>IF(Init!$R$9="Yes",IF('Staging Table'!$F$1=2018,(SUM('Staging Table'!BD20:BG20)*Rates_previous!$C$87),(SUM('Staging Table'!BD20:BG20)*Rates_previous!$D$87)),IF('Staging Table'!$F$1=2018,(SUM('Staging Table'!DR20:DU20)*Rates_previous!$C$87),(SUM('Staging Table'!DR20:DU20)*Rates_previous!$D$87)))</f>
        <v>27894.069671072753</v>
      </c>
      <c r="J18" s="252">
        <f>IF(Init!$R$9="Yes",IF('Staging Table'!D20=1,'Staging Table'!H20*-1*'Staging Table'!BT20/'Staging Table'!BS20,'Staging Table'!H20*SUM(D18:I18)*(-1)),IF('Staging Table'!D20=1,'Staging Table'!BV20*-1*'Staging Table'!BT20/'Staging Table'!BS20,'Staging Table'!BV20*SUM(D18:I18)*(-1)))</f>
        <v>0</v>
      </c>
      <c r="K18" s="250">
        <f>IF(Init!$R$9="Yes",'Staging Table'!K20,'Staging Table'!BY20)*(-1)*Rates_previous!$H$32</f>
        <v>0</v>
      </c>
      <c r="L18" s="250">
        <f>IF(Init!$R$12="No",0,'Staging Table'!$BI20*-1)*('Staging Table'!$F20/'Staging Table'!$E20)</f>
        <v>-184426.84071116755</v>
      </c>
      <c r="M18" s="250">
        <f>IF('Staging Table'!C20=1,"",SUM(D18:L18))</f>
        <v>4443635.2869130969</v>
      </c>
      <c r="N18" s="250">
        <f>IF('Staging Table'!C20=1,"",IF(Init!$R$9="Yes",(RT1SC!$C$3*'Staging Table'!F20*'Staging Table'!$F$2)+SUM('Staging Table'!L20:AI20)-IF(Init!$R$15="No",'Staging Table'!BH20, 0),Z18))</f>
        <v>120202.50922289601</v>
      </c>
      <c r="O18" s="126">
        <f>IF('Staging Table'!C20=1,"",IF(N18=0, 0, M18/N18))</f>
        <v>36.967907871815704</v>
      </c>
      <c r="P18" s="250">
        <f>'Staging Table'!BT20*Rates_current!$E$74*100*12</f>
        <v>4703892.59712</v>
      </c>
      <c r="Q18" s="250">
        <f>'Staging Table'!BT20*Rates_current!$E$75*100*12</f>
        <v>-475874.88959999999</v>
      </c>
      <c r="R18" s="251">
        <f>SUMPRODUCT('Staging Table'!BZ20:CW20, LS_Demand_Rates_Restatement!$C$5:$Z$5)-IF(Init!$R$15="No",('Staging Table'!DV20*Rates_current!$H$34), 0)</f>
        <v>37305.49</v>
      </c>
      <c r="S18" s="251">
        <f>SUMPRODUCT('Staging Table'!CX20:DI20, LS_Demand_Rates_Restatement!$C$11:$N$11)*1000</f>
        <v>233159.46</v>
      </c>
      <c r="T18" s="252">
        <f>'Staging Table'!EF20*IF(Init!$R$18="Yes",IF(Init!$R$6=2020,Rates_current!$C$88,Rates_current!$D$88),Rates_current!$H$33)</f>
        <v>-29672.997612807278</v>
      </c>
      <c r="U18" s="252">
        <f>IF(Init!$R$18="Yes",(SUM('Staging Table'!DL20:DU20)*IF('Staging Table'!$BT$1=2020, Rates_current!$C$87, Rates_current!$D$87)),0)</f>
        <v>82114.344258390862</v>
      </c>
      <c r="V18" s="252">
        <f>IF('Staging Table'!D20=1, 'Staging Table'!BV20*-1*'Staging Table'!BT20/'Staging Table'!BS20,SUM(P18:U18)*'Staging Table'!BV20*-1)</f>
        <v>0</v>
      </c>
      <c r="W18" s="250">
        <f>'Staging Table'!BY20*Rates_current!$H$32*-1</f>
        <v>0</v>
      </c>
      <c r="X18" s="250">
        <f>IF(Init!$R$12="No",0,'Staging Table'!$DW20*-1)</f>
        <v>0</v>
      </c>
      <c r="Y18" s="250">
        <f>IF('Staging Table'!C20=1,"", SUM(P18:X18))</f>
        <v>4550924.0041655842</v>
      </c>
      <c r="Z18" s="250">
        <f>IF('Staging Table'!C20=1,"", (RT1SC!$C$4*'Staging Table'!BT20*'Staging Table'!$BT$2)+SUM('Staging Table'!BZ20:CW20)-IF(Init!$R$15="No",'Staging Table'!DV20, 0))</f>
        <v>120254.1978971136</v>
      </c>
      <c r="AA18" s="126">
        <f>IF('Staging Table'!C20=1,"",IF(Z18=0, 0, Y18/Z18))</f>
        <v>37.844200732678274</v>
      </c>
      <c r="AB18" s="118">
        <f ca="1">IF('Staging Table'!C20=1,"",(AA18/O18-1)+(RAND()/100000000000000))</f>
        <v>2.3704150743427306E-2</v>
      </c>
      <c r="AC18" s="79">
        <f t="shared" ca="1" si="0"/>
        <v>36</v>
      </c>
      <c r="AF18" s="255"/>
      <c r="AG18" s="255"/>
      <c r="AI18" s="255"/>
      <c r="AJ18" s="255"/>
    </row>
    <row r="19" spans="2:36">
      <c r="B19" s="166">
        <v>10065</v>
      </c>
      <c r="C19" s="167" t="s">
        <v>22</v>
      </c>
      <c r="D19" s="250">
        <f>IF(Init!$R$9="Yes",'Staging Table'!F21,'Staging Table'!BT21)*Rates_previous!$E$75*100*12</f>
        <v>858076.94592000009</v>
      </c>
      <c r="E19" s="250">
        <f>IF(Init!$R$9="Yes",'Staging Table'!F21,'Staging Table'!BT21)*Rates_previous!$E$76*100*12</f>
        <v>-121007.5248</v>
      </c>
      <c r="F19" s="251">
        <f>IF(Init!$R$9="Yes",SUMPRODUCT('Staging Table'!L21:AI21,LS_Demand_Rates_Restatement!$C$4:$Z$4)-IF(Init!$R$15="No",('Staging Table'!BH21*Rates_previous!$H$34), 0),SUMPRODUCT('Staging Table'!BZ21:CW21,LS_Demand_Rates_Restatement!$C$4:$Z$4)-IF(Init!$R$15="No", 'Staging Table'!DV21*Rates_previous!$H$34, 0))</f>
        <v>13641.571951522608</v>
      </c>
      <c r="G19" s="251">
        <f>IF(Init!$R$9="Yes",SUMPRODUCT('Staging Table'!AJ21:AU21,LS_Demand_Rates_Restatement!$C$10:$N$10),SUMPRODUCT(LS_Demand_Rates_Restatement!$C$10:$N$10,'Staging Table'!CX21:DI21))*1000</f>
        <v>57659.420000000006</v>
      </c>
      <c r="H19" s="252">
        <f>IF(Init!$R$9="Yes",'Staging Table'!BR21,'Staging Table'!EF21)*IF(Init!$R$3=2018,Rates_previous!$C$88,Rates_previous!$D$88)</f>
        <v>0</v>
      </c>
      <c r="I19" s="250">
        <f>IF(Init!$R$9="Yes",IF('Staging Table'!$F$1=2018,(SUM('Staging Table'!BD21:BG21)*Rates_previous!$C$87),(SUM('Staging Table'!BD21:BG21)*Rates_previous!$D$87)),IF('Staging Table'!$F$1=2018,(SUM('Staging Table'!DR21:DU21)*Rates_previous!$C$87),(SUM('Staging Table'!DR21:DU21)*Rates_previous!$D$87)))</f>
        <v>4714.8061152350201</v>
      </c>
      <c r="J19" s="252">
        <f>IF(Init!$R$9="Yes",IF('Staging Table'!D21=1,'Staging Table'!H21*-1*'Staging Table'!BT21/'Staging Table'!BS21,'Staging Table'!H21*SUM(D19:I19)*(-1)),IF('Staging Table'!D21=1,'Staging Table'!BV21*-1*'Staging Table'!BT21/'Staging Table'!BS21,'Staging Table'!BV21*SUM(D19:I19)*(-1)))</f>
        <v>-49212.714667975779</v>
      </c>
      <c r="K19" s="250">
        <f>IF(Init!$R$9="Yes",'Staging Table'!K21,'Staging Table'!BY21)*(-1)*Rates_previous!$H$32</f>
        <v>0</v>
      </c>
      <c r="L19" s="250">
        <f>IF(Init!$R$12="No",0,'Staging Table'!$BI21*-1)*('Staging Table'!$F21/'Staging Table'!$E21)</f>
        <v>-31272.967452342367</v>
      </c>
      <c r="M19" s="250">
        <f>IF('Staging Table'!C21=1,"",SUM(D19:L19))</f>
        <v>732599.53706643952</v>
      </c>
      <c r="N19" s="250">
        <f>IF('Staging Table'!C21=1,"",IF(Init!$R$9="Yes",(RT1SC!$C$3*'Staging Table'!F21*'Staging Table'!$F$2)+SUM('Staging Table'!L21:AI21)-IF(Init!$R$15="No",'Staging Table'!BH21, 0),Z19))</f>
        <v>20489.64</v>
      </c>
      <c r="O19" s="126">
        <f>IF('Staging Table'!C21=1,"",IF(N19=0, 0, M19/N19))</f>
        <v>35.754631953828351</v>
      </c>
      <c r="P19" s="250">
        <f>'Staging Table'!BT21*Rates_current!$E$74*100*12</f>
        <v>800222.63411999994</v>
      </c>
      <c r="Q19" s="250">
        <f>'Staging Table'!BT21*Rates_current!$E$75*100*12</f>
        <v>-80955.474600000001</v>
      </c>
      <c r="R19" s="251">
        <f>SUMPRODUCT('Staging Table'!BZ21:CW21, LS_Demand_Rates_Restatement!$C$5:$Z$5)-IF(Init!$R$15="No",('Staging Table'!DV21*Rates_current!$H$34), 0)</f>
        <v>14821.813272638479</v>
      </c>
      <c r="S19" s="251">
        <f>SUMPRODUCT('Staging Table'!CX21:DI21, LS_Demand_Rates_Restatement!$C$11:$N$11)*1000</f>
        <v>65181.939999999995</v>
      </c>
      <c r="T19" s="252">
        <f>'Staging Table'!EF21*IF(Init!$R$18="Yes",IF(Init!$R$6=2020,Rates_current!$C$88,Rates_current!$D$88),Rates_current!$H$33)</f>
        <v>0</v>
      </c>
      <c r="U19" s="252">
        <f>IF(Init!$R$18="Yes",(SUM('Staging Table'!DL21:DU21)*IF('Staging Table'!$BT$1=2020, Rates_current!$C$87, Rates_current!$D$87)),0)</f>
        <v>13969.22984630164</v>
      </c>
      <c r="V19" s="252">
        <f>IF('Staging Table'!D21=1, 'Staging Table'!BV21*-1*'Staging Table'!BT21/'Staging Table'!BS21,SUM(P19:U19)*'Staging Table'!BV21*-1)</f>
        <v>-46638.346292172042</v>
      </c>
      <c r="W19" s="250">
        <f>'Staging Table'!BY21*Rates_current!$H$32*-1</f>
        <v>0</v>
      </c>
      <c r="X19" s="250">
        <f>IF(Init!$R$12="No",0,'Staging Table'!$DW21*-1)</f>
        <v>0</v>
      </c>
      <c r="Y19" s="250">
        <f>IF('Staging Table'!C21=1,"", SUM(P19:X19))</f>
        <v>766601.79634676792</v>
      </c>
      <c r="Z19" s="250">
        <f>IF('Staging Table'!C21=1,"", (RT1SC!$C$4*'Staging Table'!BT21*'Staging Table'!$BT$2)+SUM('Staging Table'!BZ21:CW21)-IF(Init!$R$15="No",'Staging Table'!DV21, 0))</f>
        <v>20774.160000000003</v>
      </c>
      <c r="AA19" s="126">
        <f>IF('Staging Table'!C21=1,"",IF(Z19=0, 0, Y19/Z19))</f>
        <v>36.90169885794505</v>
      </c>
      <c r="AB19" s="118">
        <f ca="1">IF('Staging Table'!C21=1,"",(AA19/O19-1)+(RAND()/100000000000000))</f>
        <v>3.2081630866684578E-2</v>
      </c>
      <c r="AC19" s="79">
        <f t="shared" ca="1" si="0"/>
        <v>11</v>
      </c>
      <c r="AF19" s="255"/>
      <c r="AG19" s="255"/>
      <c r="AI19" s="255"/>
      <c r="AJ19" s="255"/>
    </row>
    <row r="20" spans="2:36">
      <c r="B20" s="166">
        <v>10066</v>
      </c>
      <c r="C20" s="167" t="s">
        <v>23</v>
      </c>
      <c r="D20" s="250">
        <f>IF(Init!$R$9="Yes",'Staging Table'!F22,'Staging Table'!BT22)*Rates_previous!$E$75*100*12</f>
        <v>8797072.1097600013</v>
      </c>
      <c r="E20" s="250">
        <f>IF(Init!$R$9="Yes",'Staging Table'!F22,'Staging Table'!BT22)*Rates_previous!$E$76*100*12</f>
        <v>-1240578.6294</v>
      </c>
      <c r="F20" s="251">
        <f>IF(Init!$R$9="Yes",SUMPRODUCT('Staging Table'!L22:AI22,LS_Demand_Rates_Restatement!$C$4:$Z$4)-IF(Init!$R$15="No",('Staging Table'!BH22*Rates_previous!$H$34), 0),SUMPRODUCT('Staging Table'!BZ22:CW22,LS_Demand_Rates_Restatement!$C$4:$Z$4)-IF(Init!$R$15="No", 'Staging Table'!DV22*Rates_previous!$H$34, 0))</f>
        <v>200317.67361856403</v>
      </c>
      <c r="G20" s="251">
        <f>IF(Init!$R$9="Yes",SUMPRODUCT('Staging Table'!AJ22:AU22,LS_Demand_Rates_Restatement!$C$10:$N$10),SUMPRODUCT(LS_Demand_Rates_Restatement!$C$10:$N$10,'Staging Table'!CX22:DI22))*1000</f>
        <v>580323.92000000004</v>
      </c>
      <c r="H20" s="252">
        <f>IF(Init!$R$9="Yes",'Staging Table'!BR22,'Staging Table'!EF22)*IF(Init!$R$3=2018,Rates_previous!$C$88,Rates_previous!$D$88)</f>
        <v>0</v>
      </c>
      <c r="I20" s="250">
        <f>IF(Init!$R$9="Yes",IF('Staging Table'!$F$1=2018,(SUM('Staging Table'!BD22:BG22)*Rates_previous!$C$87),(SUM('Staging Table'!BD22:BG22)*Rates_previous!$D$87)),IF('Staging Table'!$F$1=2018,(SUM('Staging Table'!DR22:DU22)*Rates_previous!$C$87),(SUM('Staging Table'!DR22:DU22)*Rates_previous!$D$87)))</f>
        <v>48336.561862514849</v>
      </c>
      <c r="J20" s="252">
        <f>IF(Init!$R$9="Yes",IF('Staging Table'!D22=1,'Staging Table'!H22*-1*'Staging Table'!BT22/'Staging Table'!BS22,'Staging Table'!H22*SUM(D20:I20)*(-1)),IF('Staging Table'!D22=1,'Staging Table'!BV22*-1*'Staging Table'!BT22/'Staging Table'!BS22,'Staging Table'!BV22*SUM(D20:I20)*(-1)))</f>
        <v>0</v>
      </c>
      <c r="K20" s="250">
        <f>IF(Init!$R$9="Yes",'Staging Table'!K22,'Staging Table'!BY22)*(-1)*Rates_previous!$H$32</f>
        <v>0</v>
      </c>
      <c r="L20" s="250">
        <f>IF(Init!$R$12="No",0,'Staging Table'!$BI22*-1)*('Staging Table'!$F22/'Staging Table'!$E22)</f>
        <v>-301197.82043856161</v>
      </c>
      <c r="M20" s="250">
        <f>IF('Staging Table'!C22=1,"",SUM(D20:L20))</f>
        <v>8084273.815402519</v>
      </c>
      <c r="N20" s="250">
        <f>IF('Staging Table'!C22=1,"",IF(Init!$R$9="Yes",(RT1SC!$C$3*'Staging Table'!F22*'Staging Table'!$F$2)+SUM('Staging Table'!L22:AI22)-IF(Init!$R$15="No",'Staging Table'!BH22, 0),Z20))</f>
        <v>210064.80000000002</v>
      </c>
      <c r="O20" s="126">
        <f>IF('Staging Table'!C22=1,"",IF(N20=0, 0, M20/N20))</f>
        <v>38.484666709522578</v>
      </c>
      <c r="P20" s="250">
        <f>'Staging Table'!BT22*Rates_current!$E$74*100*12</f>
        <v>8202103.7499600006</v>
      </c>
      <c r="Q20" s="250">
        <f>'Staging Table'!BT22*Rates_current!$E$75*100*12</f>
        <v>-829775.58179999981</v>
      </c>
      <c r="R20" s="251">
        <f>SUMPRODUCT('Staging Table'!BZ22:CW22, LS_Demand_Rates_Restatement!$C$5:$Z$5)-IF(Init!$R$15="No",('Staging Table'!DV22*Rates_current!$H$34), 0)</f>
        <v>39580.639999999912</v>
      </c>
      <c r="S20" s="251">
        <f>SUMPRODUCT('Staging Table'!CX22:DI22, LS_Demand_Rates_Restatement!$C$11:$N$11)*1000</f>
        <v>652834.92000000016</v>
      </c>
      <c r="T20" s="252">
        <f>'Staging Table'!EF22*IF(Init!$R$18="Yes",IF(Init!$R$6=2020,Rates_current!$C$88,Rates_current!$D$88),Rates_current!$H$33)</f>
        <v>0</v>
      </c>
      <c r="U20" s="252">
        <f>IF(Init!$R$18="Yes",(SUM('Staging Table'!DL22:DU22)*IF('Staging Table'!$BT$1=2020, Rates_current!$C$87, Rates_current!$D$87)),0)</f>
        <v>143181.49427553191</v>
      </c>
      <c r="V20" s="252">
        <f>IF('Staging Table'!D22=1, 'Staging Table'!BV22*-1*'Staging Table'!BT22/'Staging Table'!BS22,SUM(P20:U20)*'Staging Table'!BV22*-1)</f>
        <v>0</v>
      </c>
      <c r="W20" s="250">
        <f>'Staging Table'!BY22*Rates_current!$H$32*-1</f>
        <v>0</v>
      </c>
      <c r="X20" s="250">
        <f>IF(Init!$R$12="No",0,'Staging Table'!$DW22*-1)</f>
        <v>0</v>
      </c>
      <c r="Y20" s="250">
        <f>IF('Staging Table'!C22=1,"", SUM(P20:X20))</f>
        <v>8207925.2224355321</v>
      </c>
      <c r="Z20" s="250">
        <f>IF('Staging Table'!C22=1,"", (RT1SC!$C$4*'Staging Table'!BT22*'Staging Table'!$BT$2)+SUM('Staging Table'!BZ22:CW22)-IF(Init!$R$15="No",'Staging Table'!DV22, 0))</f>
        <v>204013.30490234878</v>
      </c>
      <c r="AA20" s="126">
        <f>IF('Staging Table'!C22=1,"",IF(Z20=0, 0, Y20/Z20))</f>
        <v>40.23230360570976</v>
      </c>
      <c r="AB20" s="118">
        <f ca="1">IF('Staging Table'!C22=1,"",(AA20/O20-1)+(RAND()/100000000000000))</f>
        <v>4.5411251950768956E-2</v>
      </c>
      <c r="AC20" s="79">
        <f t="shared" ca="1" si="0"/>
        <v>4</v>
      </c>
      <c r="AF20" s="255"/>
      <c r="AG20" s="255"/>
      <c r="AI20" s="255"/>
      <c r="AJ20" s="255"/>
    </row>
    <row r="21" spans="2:36">
      <c r="B21" s="166">
        <v>10067</v>
      </c>
      <c r="C21" s="167" t="s">
        <v>24</v>
      </c>
      <c r="D21" s="250">
        <f>IF(Init!$R$9="Yes",'Staging Table'!F23,'Staging Table'!BT23)*Rates_previous!$E$75*100*12</f>
        <v>5709218.0169600006</v>
      </c>
      <c r="E21" s="250">
        <f>IF(Init!$R$9="Yes",'Staging Table'!F23,'Staging Table'!BT23)*Rates_previous!$E$76*100*12</f>
        <v>-805123.99739999999</v>
      </c>
      <c r="F21" s="251">
        <f>IF(Init!$R$9="Yes",SUMPRODUCT('Staging Table'!L23:AI23,LS_Demand_Rates_Restatement!$C$4:$Z$4)-IF(Init!$R$15="No",('Staging Table'!BH23*Rates_previous!$H$34), 0),SUMPRODUCT('Staging Table'!BZ23:CW23,LS_Demand_Rates_Restatement!$C$4:$Z$4)-IF(Init!$R$15="No", 'Staging Table'!DV23*Rates_previous!$H$34, 0))</f>
        <v>-130198.98999999999</v>
      </c>
      <c r="G21" s="251">
        <f>IF(Init!$R$9="Yes",SUMPRODUCT('Staging Table'!AJ23:AU23,LS_Demand_Rates_Restatement!$C$10:$N$10),SUMPRODUCT(LS_Demand_Rates_Restatement!$C$10:$N$10,'Staging Table'!CX23:DI23))*1000</f>
        <v>499435.73</v>
      </c>
      <c r="H21" s="252">
        <f>IF(Init!$R$9="Yes",'Staging Table'!BR23,'Staging Table'!EF23)*IF(Init!$R$3=2018,Rates_previous!$C$88,Rates_previous!$D$88)</f>
        <v>0</v>
      </c>
      <c r="I21" s="250">
        <f>IF(Init!$R$9="Yes",IF('Staging Table'!$F$1=2018,(SUM('Staging Table'!BD23:BG23)*Rates_previous!$C$87),(SUM('Staging Table'!BD23:BG23)*Rates_previous!$D$87)),IF('Staging Table'!$F$1=2018,(SUM('Staging Table'!DR23:DU23)*Rates_previous!$C$87),(SUM('Staging Table'!DR23:DU23)*Rates_previous!$D$87)))</f>
        <v>31369.97928631282</v>
      </c>
      <c r="J21" s="252">
        <f>IF(Init!$R$9="Yes",IF('Staging Table'!D23=1,'Staging Table'!H23*-1*'Staging Table'!BT23/'Staging Table'!BS23,'Staging Table'!H23*SUM(D21:I21)*(-1)),IF('Staging Table'!D23=1,'Staging Table'!BV23*-1*'Staging Table'!BT23/'Staging Table'!BS23,'Staging Table'!BV23*SUM(D21:I21)*(-1)))</f>
        <v>0</v>
      </c>
      <c r="K21" s="250">
        <f>IF(Init!$R$9="Yes",'Staging Table'!K23,'Staging Table'!BY23)*(-1)*Rates_previous!$H$32</f>
        <v>0</v>
      </c>
      <c r="L21" s="250">
        <f>IF(Init!$R$12="No",0,'Staging Table'!$BI23*-1)*('Staging Table'!$F23/'Staging Table'!$E23)</f>
        <v>-197496.66232530522</v>
      </c>
      <c r="M21" s="250">
        <f>IF('Staging Table'!C23=1,"",SUM(D21:L21))</f>
        <v>5107204.0765210083</v>
      </c>
      <c r="N21" s="250">
        <f>IF('Staging Table'!C23=1,"",IF(Init!$R$9="Yes",(RT1SC!$C$3*'Staging Table'!F23*'Staging Table'!$F$2)+SUM('Staging Table'!L23:AI23)-IF(Init!$R$15="No",'Staging Table'!BH23, 0),Z21))</f>
        <v>127619.29931626399</v>
      </c>
      <c r="O21" s="126">
        <f>IF('Staging Table'!C23=1,"",IF(N21=0, 0, M21/N21))</f>
        <v>40.019057492741922</v>
      </c>
      <c r="P21" s="250">
        <f>'Staging Table'!BT23*Rates_current!$E$74*100*12</f>
        <v>5323013.4649200002</v>
      </c>
      <c r="Q21" s="250">
        <f>'Staging Table'!BT23*Rates_current!$E$75*100*12</f>
        <v>-538508.98860000004</v>
      </c>
      <c r="R21" s="251">
        <f>SUMPRODUCT('Staging Table'!BZ23:CW23, LS_Demand_Rates_Restatement!$C$5:$Z$5)-IF(Init!$R$15="No",('Staging Table'!DV23*Rates_current!$H$34), 0)</f>
        <v>-33661.509999999958</v>
      </c>
      <c r="S21" s="251">
        <f>SUMPRODUCT('Staging Table'!CX23:DI23, LS_Demand_Rates_Restatement!$C$11:$N$11)*1000</f>
        <v>546225.38</v>
      </c>
      <c r="T21" s="252">
        <f>'Staging Table'!EF23*IF(Init!$R$18="Yes",IF(Init!$R$6=2020,Rates_current!$C$88,Rates_current!$D$88),Rates_current!$H$33)</f>
        <v>0</v>
      </c>
      <c r="U21" s="252">
        <f>IF(Init!$R$18="Yes",(SUM('Staging Table'!DL23:DU23)*IF('Staging Table'!$BT$1=2020, Rates_current!$C$87, Rates_current!$D$87)),0)</f>
        <v>92922.138659821139</v>
      </c>
      <c r="V21" s="252">
        <f>IF('Staging Table'!D23=1, 'Staging Table'!BV23*-1*'Staging Table'!BT23/'Staging Table'!BS23,SUM(P21:U21)*'Staging Table'!BV23*-1)</f>
        <v>0</v>
      </c>
      <c r="W21" s="250">
        <f>'Staging Table'!BY23*Rates_current!$H$32*-1</f>
        <v>0</v>
      </c>
      <c r="X21" s="250">
        <f>IF(Init!$R$12="No",0,'Staging Table'!$DW23*-1)</f>
        <v>0</v>
      </c>
      <c r="Y21" s="250">
        <f>IF('Staging Table'!C23=1,"", SUM(P21:X21))</f>
        <v>5389990.4849798214</v>
      </c>
      <c r="Z21" s="250">
        <f>IF('Staging Table'!C23=1,"", (RT1SC!$C$4*'Staging Table'!BT23*'Staging Table'!$BT$2)+SUM('Staging Table'!BZ23:CW23)-IF(Init!$R$15="No",'Staging Table'!DV23, 0))</f>
        <v>132599.91103989759</v>
      </c>
      <c r="AA21" s="126">
        <f>IF('Staging Table'!C23=1,"",IF(Z21=0, 0, Y21/Z21))</f>
        <v>40.648522632553224</v>
      </c>
      <c r="AB21" s="118">
        <f ca="1">IF('Staging Table'!C23=1,"",(AA21/O21-1)+(RAND()/100000000000000))</f>
        <v>1.5729134548604664E-2</v>
      </c>
      <c r="AC21" s="79">
        <f t="shared" ca="1" si="0"/>
        <v>74</v>
      </c>
      <c r="AF21" s="255"/>
      <c r="AG21" s="255"/>
      <c r="AI21" s="255"/>
      <c r="AJ21" s="255"/>
    </row>
    <row r="22" spans="2:36">
      <c r="B22" s="166">
        <v>10068</v>
      </c>
      <c r="C22" s="167" t="s">
        <v>25</v>
      </c>
      <c r="D22" s="250">
        <f>IF(Init!$R$9="Yes",'Staging Table'!F24,'Staging Table'!BT24)*Rates_previous!$E$75*100*12</f>
        <v>966610.43136000016</v>
      </c>
      <c r="E22" s="250">
        <f>IF(Init!$R$9="Yes",'Staging Table'!F24,'Staging Table'!BT24)*Rates_previous!$E$76*100*12</f>
        <v>-136313.1084</v>
      </c>
      <c r="F22" s="251">
        <f>IF(Init!$R$9="Yes",SUMPRODUCT('Staging Table'!L24:AI24,LS_Demand_Rates_Restatement!$C$4:$Z$4)-IF(Init!$R$15="No",('Staging Table'!BH24*Rates_previous!$H$34), 0),SUMPRODUCT('Staging Table'!BZ24:CW24,LS_Demand_Rates_Restatement!$C$4:$Z$4)-IF(Init!$R$15="No", 'Staging Table'!DV24*Rates_previous!$H$34, 0))</f>
        <v>5823.03999999999</v>
      </c>
      <c r="G22" s="251">
        <f>IF(Init!$R$9="Yes",SUMPRODUCT('Staging Table'!AJ24:AU24,LS_Demand_Rates_Restatement!$C$10:$N$10),SUMPRODUCT(LS_Demand_Rates_Restatement!$C$10:$N$10,'Staging Table'!CX24:DI24))*1000</f>
        <v>33934.230000000003</v>
      </c>
      <c r="H22" s="252">
        <f>IF(Init!$R$9="Yes",'Staging Table'!BR24,'Staging Table'!EF24)*IF(Init!$R$3=2018,Rates_previous!$C$88,Rates_previous!$D$88)</f>
        <v>-5375.0017201725068</v>
      </c>
      <c r="I22" s="250">
        <f>IF(Init!$R$9="Yes",IF('Staging Table'!$F$1=2018,(SUM('Staging Table'!BD24:BG24)*Rates_previous!$C$87),(SUM('Staging Table'!BD24:BG24)*Rates_previous!$D$87)),IF('Staging Table'!$F$1=2018,(SUM('Staging Table'!DR24:DU24)*Rates_previous!$C$87),(SUM('Staging Table'!DR24:DU24)*Rates_previous!$D$87)))</f>
        <v>5311.156294893608</v>
      </c>
      <c r="J22" s="252">
        <f>IF(Init!$R$9="Yes",IF('Staging Table'!D24=1,'Staging Table'!H24*-1*'Staging Table'!BT24/'Staging Table'!BS24,'Staging Table'!H24*SUM(D22:I22)*(-1)),IF('Staging Table'!D24=1,'Staging Table'!BV24*-1*'Staging Table'!BT24/'Staging Table'!BS24,'Staging Table'!BV24*SUM(D22:I22)*(-1)))</f>
        <v>0</v>
      </c>
      <c r="K22" s="250">
        <f>IF(Init!$R$9="Yes",'Staging Table'!K24,'Staging Table'!BY24)*(-1)*Rates_previous!$H$32</f>
        <v>0</v>
      </c>
      <c r="L22" s="250">
        <f>IF(Init!$R$12="No",0,'Staging Table'!$BI24*-1)*('Staging Table'!$F24/'Staging Table'!$E24)</f>
        <v>-15049.786833285856</v>
      </c>
      <c r="M22" s="250">
        <f>IF('Staging Table'!C24=1,"",SUM(D22:L22))</f>
        <v>854940.96070143546</v>
      </c>
      <c r="N22" s="250">
        <f>IF('Staging Table'!C24=1,"",IF(Init!$R$9="Yes",(RT1SC!$C$3*'Staging Table'!F24*'Staging Table'!$F$2)+SUM('Staging Table'!L24:AI24)-IF(Init!$R$15="No",'Staging Table'!BH24, 0),Z22))</f>
        <v>22668.501254223997</v>
      </c>
      <c r="O22" s="126">
        <f>IF('Staging Table'!C24=1,"",IF(N22=0, 0, M22/N22))</f>
        <v>37.714931001101263</v>
      </c>
      <c r="P22" s="250">
        <f>'Staging Table'!BT24*Rates_current!$E$74*100*12</f>
        <v>864392.55132000009</v>
      </c>
      <c r="Q22" s="250">
        <f>'Staging Table'!BT24*Rates_current!$E$75*100*12</f>
        <v>-87447.300599999988</v>
      </c>
      <c r="R22" s="251">
        <f>SUMPRODUCT('Staging Table'!BZ24:CW24, LS_Demand_Rates_Restatement!$C$5:$Z$5)-IF(Init!$R$15="No",('Staging Table'!DV24*Rates_current!$H$34), 0)</f>
        <v>21491.510000000013</v>
      </c>
      <c r="S22" s="251">
        <f>SUMPRODUCT('Staging Table'!CX24:DI24, LS_Demand_Rates_Restatement!$C$11:$N$11)*1000</f>
        <v>37356.559999999998</v>
      </c>
      <c r="T22" s="252">
        <f>'Staging Table'!EF24*IF(Init!$R$18="Yes",IF(Init!$R$6=2020,Rates_current!$C$88,Rates_current!$D$88),Rates_current!$H$33)</f>
        <v>3624.3126225898814</v>
      </c>
      <c r="U22" s="252">
        <f>IF(Init!$R$18="Yes",(SUM('Staging Table'!DL24:DU24)*IF('Staging Table'!$BT$1=2020, Rates_current!$C$87, Rates_current!$D$87)),0)</f>
        <v>15089.423507870231</v>
      </c>
      <c r="V22" s="252">
        <f>IF('Staging Table'!D24=1, 'Staging Table'!BV24*-1*'Staging Table'!BT24/'Staging Table'!BS24,SUM(P22:U22)*'Staging Table'!BV24*-1)</f>
        <v>0</v>
      </c>
      <c r="W22" s="250">
        <f>'Staging Table'!BY24*Rates_current!$H$32*-1</f>
        <v>0</v>
      </c>
      <c r="X22" s="250">
        <f>IF(Init!$R$12="No",0,'Staging Table'!$DW24*-1)</f>
        <v>0</v>
      </c>
      <c r="Y22" s="250">
        <f>IF('Staging Table'!C24=1,"", SUM(P22:X22))</f>
        <v>854507.05685046024</v>
      </c>
      <c r="Z22" s="250">
        <f>IF('Staging Table'!C24=1,"", (RT1SC!$C$4*'Staging Table'!BT24*'Staging Table'!$BT$2)+SUM('Staging Table'!BZ24:CW24)-IF(Init!$R$15="No",'Staging Table'!DV24, 0))</f>
        <v>22671.495086489598</v>
      </c>
      <c r="AA22" s="126">
        <f>IF('Staging Table'!C24=1,"",IF(Z22=0, 0, Y22/Z22))</f>
        <v>37.690811902373312</v>
      </c>
      <c r="AB22" s="118">
        <f ca="1">IF('Staging Table'!C24=1,"",(AA22/O22-1)+(RAND()/100000000000000))</f>
        <v>-6.3951061522599236E-4</v>
      </c>
      <c r="AC22" s="79">
        <f t="shared" ca="1" si="0"/>
        <v>109</v>
      </c>
      <c r="AF22" s="255"/>
      <c r="AG22" s="255"/>
      <c r="AI22" s="255"/>
      <c r="AJ22" s="255"/>
    </row>
    <row r="23" spans="2:36">
      <c r="B23" s="166">
        <v>10070</v>
      </c>
      <c r="C23" s="167" t="s">
        <v>26</v>
      </c>
      <c r="D23" s="250">
        <f>IF(Init!$R$9="Yes",'Staging Table'!F25,'Staging Table'!BT25)*Rates_previous!$E$75*100*12</f>
        <v>129424.90752000001</v>
      </c>
      <c r="E23" s="250">
        <f>IF(Init!$R$9="Yes",'Staging Table'!F25,'Staging Table'!BT25)*Rates_previous!$E$76*100*12</f>
        <v>-18251.728800000004</v>
      </c>
      <c r="F23" s="251">
        <f>IF(Init!$R$9="Yes",SUMPRODUCT('Staging Table'!L25:AI25,LS_Demand_Rates_Restatement!$C$4:$Z$4)-IF(Init!$R$15="No",('Staging Table'!BH25*Rates_previous!$H$34), 0),SUMPRODUCT('Staging Table'!BZ25:CW25,LS_Demand_Rates_Restatement!$C$4:$Z$4)-IF(Init!$R$15="No", 'Staging Table'!DV25*Rates_previous!$H$34, 0))</f>
        <v>1978.7479789113604</v>
      </c>
      <c r="G23" s="251">
        <f>IF(Init!$R$9="Yes",SUMPRODUCT('Staging Table'!AJ25:AU25,LS_Demand_Rates_Restatement!$C$10:$N$10),SUMPRODUCT(LS_Demand_Rates_Restatement!$C$10:$N$10,'Staging Table'!CX25:DI25))*1000</f>
        <v>6885.17</v>
      </c>
      <c r="H23" s="252">
        <f>IF(Init!$R$9="Yes",'Staging Table'!BR25,'Staging Table'!EF25)*IF(Init!$R$3=2018,Rates_previous!$C$88,Rates_previous!$D$88)</f>
        <v>0</v>
      </c>
      <c r="I23" s="250">
        <f>IF(Init!$R$9="Yes",IF('Staging Table'!$F$1=2018,(SUM('Staging Table'!BD25:BG25)*Rates_previous!$C$87),(SUM('Staging Table'!BD25:BG25)*Rates_previous!$D$87)),IF('Staging Table'!$F$1=2018,(SUM('Staging Table'!DR25:DU25)*Rates_previous!$C$87),(SUM('Staging Table'!DR25:DU25)*Rates_previous!$D$87)))</f>
        <v>711.14058982761003</v>
      </c>
      <c r="J23" s="252">
        <f>IF(Init!$R$9="Yes",IF('Staging Table'!D25=1,'Staging Table'!H25*-1*'Staging Table'!BT25/'Staging Table'!BS25,'Staging Table'!H25*SUM(D23:I23)*(-1)),IF('Staging Table'!D25=1,'Staging Table'!BV25*-1*'Staging Table'!BT25/'Staging Table'!BS25,'Staging Table'!BV25*SUM(D23:I23)*(-1)))</f>
        <v>0</v>
      </c>
      <c r="K23" s="250">
        <f>IF(Init!$R$9="Yes",'Staging Table'!K25,'Staging Table'!BY25)*(-1)*Rates_previous!$H$32</f>
        <v>0</v>
      </c>
      <c r="L23" s="250">
        <f>IF(Init!$R$12="No",0,'Staging Table'!$BI25*-1)*('Staging Table'!$F25/'Staging Table'!$E25)</f>
        <v>-2015.1006092011639</v>
      </c>
      <c r="M23" s="250">
        <f>IF('Staging Table'!C25=1,"",SUM(D23:L23))</f>
        <v>118733.1366795378</v>
      </c>
      <c r="N23" s="250">
        <f>IF('Staging Table'!C25=1,"",IF(Init!$R$9="Yes",(RT1SC!$C$3*'Staging Table'!F25*'Staging Table'!$F$2)+SUM('Staging Table'!L25:AI25)-IF(Init!$R$15="No",'Staging Table'!BH25, 0),Z23))</f>
        <v>3092.2799999999997</v>
      </c>
      <c r="O23" s="126">
        <f>IF('Staging Table'!C25=1,"",IF(N23=0, 0, M23/N23))</f>
        <v>38.396631831379374</v>
      </c>
      <c r="P23" s="250">
        <f>'Staging Table'!BT25*Rates_current!$E$74*100*12</f>
        <v>120734.51088</v>
      </c>
      <c r="Q23" s="250">
        <f>'Staging Table'!BT25*Rates_current!$E$75*100*12</f>
        <v>-12214.250400000001</v>
      </c>
      <c r="R23" s="251">
        <f>SUMPRODUCT('Staging Table'!BZ25:CW25, LS_Demand_Rates_Restatement!$C$5:$Z$5)-IF(Init!$R$15="No",('Staging Table'!DV25*Rates_current!$H$34), 0)</f>
        <v>2136.9374151055358</v>
      </c>
      <c r="S23" s="251">
        <f>SUMPRODUCT('Staging Table'!CX25:DI25, LS_Demand_Rates_Restatement!$C$11:$N$11)*1000</f>
        <v>7730.01</v>
      </c>
      <c r="T23" s="252">
        <f>'Staging Table'!EF25*IF(Init!$R$18="Yes",IF(Init!$R$6=2020,Rates_current!$C$88,Rates_current!$D$88),Rates_current!$H$33)</f>
        <v>0</v>
      </c>
      <c r="U23" s="252">
        <f>IF(Init!$R$18="Yes",(SUM('Staging Table'!DL25:DU25)*IF('Staging Table'!$BT$1=2020, Rates_current!$C$87, Rates_current!$D$87)),0)</f>
        <v>2107.6236299142361</v>
      </c>
      <c r="V23" s="252">
        <f>IF('Staging Table'!D25=1, 'Staging Table'!BV25*-1*'Staging Table'!BT25/'Staging Table'!BS25,SUM(P23:U23)*'Staging Table'!BV25*-1)</f>
        <v>0</v>
      </c>
      <c r="W23" s="250">
        <f>'Staging Table'!BY25*Rates_current!$H$32*-1</f>
        <v>0</v>
      </c>
      <c r="X23" s="250">
        <f>IF(Init!$R$12="No",0,'Staging Table'!$DW25*-1)</f>
        <v>0</v>
      </c>
      <c r="Y23" s="250">
        <f>IF('Staging Table'!C25=1,"", SUM(P23:X23))</f>
        <v>120494.83152501976</v>
      </c>
      <c r="Z23" s="250">
        <f>IF('Staging Table'!C25=1,"", (RT1SC!$C$4*'Staging Table'!BT25*'Staging Table'!$BT$2)+SUM('Staging Table'!BZ25:CW25)-IF(Init!$R$15="No",'Staging Table'!DV25, 0))</f>
        <v>3135.8879999999999</v>
      </c>
      <c r="AA23" s="126">
        <f>IF('Staging Table'!C25=1,"",IF(Z23=0, 0, Y23/Z23))</f>
        <v>38.42446908978247</v>
      </c>
      <c r="AB23" s="118">
        <f ca="1">IF('Staging Table'!C25=1,"",(AA23/O23-1)+(RAND()/100000000000000))</f>
        <v>7.2499219529364393E-4</v>
      </c>
      <c r="AC23" s="79">
        <f t="shared" ca="1" si="0"/>
        <v>105</v>
      </c>
      <c r="AF23" s="255"/>
      <c r="AG23" s="255"/>
      <c r="AI23" s="255"/>
      <c r="AJ23" s="255"/>
    </row>
    <row r="24" spans="2:36">
      <c r="B24" s="166">
        <v>10071</v>
      </c>
      <c r="C24" s="167" t="s">
        <v>27</v>
      </c>
      <c r="D24" s="250">
        <f>IF(Init!$R$9="Yes",'Staging Table'!F26,'Staging Table'!BT26)*Rates_previous!$E$75*100*12</f>
        <v>684831.00671999983</v>
      </c>
      <c r="E24" s="250">
        <f>IF(Init!$R$9="Yes",'Staging Table'!F26,'Staging Table'!BT26)*Rates_previous!$E$76*100*12</f>
        <v>-96576.07680000001</v>
      </c>
      <c r="F24" s="251">
        <f>IF(Init!$R$9="Yes",SUMPRODUCT('Staging Table'!L26:AI26,LS_Demand_Rates_Restatement!$C$4:$Z$4)-IF(Init!$R$15="No",('Staging Table'!BH26*Rates_previous!$H$34), 0),SUMPRODUCT('Staging Table'!BZ26:CW26,LS_Demand_Rates_Restatement!$C$4:$Z$4)-IF(Init!$R$15="No", 'Staging Table'!DV26*Rates_previous!$H$34, 0))</f>
        <v>14150.244735656972</v>
      </c>
      <c r="G24" s="251">
        <f>IF(Init!$R$9="Yes",SUMPRODUCT('Staging Table'!AJ26:AU26,LS_Demand_Rates_Restatement!$C$10:$N$10),SUMPRODUCT(LS_Demand_Rates_Restatement!$C$10:$N$10,'Staging Table'!CX26:DI26))*1000</f>
        <v>21991.75</v>
      </c>
      <c r="H24" s="252">
        <f>IF(Init!$R$9="Yes",'Staging Table'!BR26,'Staging Table'!EF26)*IF(Init!$R$3=2018,Rates_previous!$C$88,Rates_previous!$D$88)</f>
        <v>1932.981600000001</v>
      </c>
      <c r="I24" s="250">
        <f>IF(Init!$R$9="Yes",IF('Staging Table'!$F$1=2018,(SUM('Staging Table'!BD26:BG26)*Rates_previous!$C$87),(SUM('Staging Table'!BD26:BG26)*Rates_previous!$D$87)),IF('Staging Table'!$F$1=2018,(SUM('Staging Table'!DR26:DU26)*Rates_previous!$C$87),(SUM('Staging Table'!DR26:DU26)*Rates_previous!$D$87)))</f>
        <v>3762.8856406626292</v>
      </c>
      <c r="J24" s="252">
        <f>IF(Init!$R$9="Yes",IF('Staging Table'!D26=1,'Staging Table'!H26*-1*'Staging Table'!BT26/'Staging Table'!BS26,'Staging Table'!H26*SUM(D24:I24)*(-1)),IF('Staging Table'!D26=1,'Staging Table'!BV26*-1*'Staging Table'!BT26/'Staging Table'!BS26,'Staging Table'!BV26*SUM(D24:I24)*(-1)))</f>
        <v>0</v>
      </c>
      <c r="K24" s="250">
        <f>IF(Init!$R$9="Yes",'Staging Table'!K26,'Staging Table'!BY26)*(-1)*Rates_previous!$H$32</f>
        <v>0</v>
      </c>
      <c r="L24" s="250">
        <f>IF(Init!$R$12="No",0,'Staging Table'!$BI26*-1)*('Staging Table'!$F26/'Staging Table'!$E26)</f>
        <v>-29750.927364200797</v>
      </c>
      <c r="M24" s="250">
        <f>IF('Staging Table'!C26=1,"",SUM(D24:L24))</f>
        <v>600341.86453211866</v>
      </c>
      <c r="N24" s="250">
        <f>IF('Staging Table'!C26=1,"",IF(Init!$R$9="Yes",(RT1SC!$C$3*'Staging Table'!F26*'Staging Table'!$F$2)+SUM('Staging Table'!L26:AI26)-IF(Init!$R$15="No",'Staging Table'!BH26, 0),Z24))</f>
        <v>16503.84</v>
      </c>
      <c r="O24" s="126">
        <f>IF('Staging Table'!C26=1,"",IF(N24=0, 0, M24/N24))</f>
        <v>36.37588976457107</v>
      </c>
      <c r="P24" s="250">
        <f>'Staging Table'!BT26*Rates_current!$E$74*100*12</f>
        <v>630053.52035999997</v>
      </c>
      <c r="Q24" s="250">
        <f>'Staging Table'!BT26*Rates_current!$E$75*100*12</f>
        <v>-63740.113799999992</v>
      </c>
      <c r="R24" s="251">
        <f>SUMPRODUCT('Staging Table'!BZ26:CW26, LS_Demand_Rates_Restatement!$C$5:$Z$5)-IF(Init!$R$15="No",('Staging Table'!DV26*Rates_current!$H$34), 0)</f>
        <v>14823.86</v>
      </c>
      <c r="S24" s="251">
        <f>SUMPRODUCT('Staging Table'!CX26:DI26, LS_Demand_Rates_Restatement!$C$11:$N$11)*1000</f>
        <v>25436.079999999998</v>
      </c>
      <c r="T24" s="252">
        <f>'Staging Table'!EF26*IF(Init!$R$18="Yes",IF(Init!$R$6=2020,Rates_current!$C$88,Rates_current!$D$88),Rates_current!$H$33)</f>
        <v>2471.5999013928631</v>
      </c>
      <c r="U24" s="252">
        <f>IF(Init!$R$18="Yes",(SUM('Staging Table'!DL26:DU26)*IF('Staging Table'!$BT$1=2020, Rates_current!$C$87, Rates_current!$D$87)),0)</f>
        <v>10998.642210438267</v>
      </c>
      <c r="V24" s="252">
        <f>IF('Staging Table'!D26=1, 'Staging Table'!BV26*-1*'Staging Table'!BT26/'Staging Table'!BS26,SUM(P24:U24)*'Staging Table'!BV26*-1)</f>
        <v>0</v>
      </c>
      <c r="W24" s="250">
        <f>'Staging Table'!BY26*Rates_current!$H$32*-1</f>
        <v>0</v>
      </c>
      <c r="X24" s="250">
        <f>IF(Init!$R$12="No",0,'Staging Table'!$DW26*-1)</f>
        <v>0</v>
      </c>
      <c r="Y24" s="250">
        <f>IF('Staging Table'!C26=1,"", SUM(P24:X24))</f>
        <v>620043.58867183106</v>
      </c>
      <c r="Z24" s="250">
        <f>IF('Staging Table'!C26=1,"", (RT1SC!$C$4*'Staging Table'!BT26*'Staging Table'!$BT$2)+SUM('Staging Table'!BZ26:CW26)-IF(Init!$R$15="No",'Staging Table'!DV26, 0))</f>
        <v>16511.548384460799</v>
      </c>
      <c r="AA24" s="126">
        <f>IF('Staging Table'!C26=1,"",IF(Z24=0, 0, Y24/Z24))</f>
        <v>37.552116508671041</v>
      </c>
      <c r="AB24" s="118">
        <f ca="1">IF('Staging Table'!C26=1,"",(AA24/O24-1)+(RAND()/100000000000000))</f>
        <v>3.2335339471080311E-2</v>
      </c>
      <c r="AC24" s="79">
        <f t="shared" ca="1" si="0"/>
        <v>10</v>
      </c>
      <c r="AF24" s="255"/>
      <c r="AG24" s="255"/>
      <c r="AI24" s="255"/>
      <c r="AJ24" s="255"/>
    </row>
    <row r="25" spans="2:36">
      <c r="B25" s="166">
        <v>10072</v>
      </c>
      <c r="C25" s="167" t="s">
        <v>28</v>
      </c>
      <c r="D25" s="250">
        <f>IF(Init!$R$9="Yes",'Staging Table'!F27,'Staging Table'!BT27)*Rates_previous!$E$75*100*12</f>
        <v>8656691.9443199988</v>
      </c>
      <c r="E25" s="250">
        <f>IF(Init!$R$9="Yes",'Staging Table'!F27,'Staging Table'!BT27)*Rates_previous!$E$76*100*12</f>
        <v>-1220781.9708</v>
      </c>
      <c r="F25" s="251">
        <f>IF(Init!$R$9="Yes",SUMPRODUCT('Staging Table'!L27:AI27,LS_Demand_Rates_Restatement!$C$4:$Z$4)-IF(Init!$R$15="No",('Staging Table'!BH27*Rates_previous!$H$34), 0),SUMPRODUCT('Staging Table'!BZ27:CW27,LS_Demand_Rates_Restatement!$C$4:$Z$4)-IF(Init!$R$15="No", 'Staging Table'!DV27*Rates_previous!$H$34, 0))</f>
        <v>120411.84423041434</v>
      </c>
      <c r="G25" s="251">
        <f>IF(Init!$R$9="Yes",SUMPRODUCT('Staging Table'!AJ27:AU27,LS_Demand_Rates_Restatement!$C$10:$N$10),SUMPRODUCT(LS_Demand_Rates_Restatement!$C$10:$N$10,'Staging Table'!CX27:DI27))*1000</f>
        <v>437511.39999999997</v>
      </c>
      <c r="H25" s="252">
        <f>IF(Init!$R$9="Yes",'Staging Table'!BR27,'Staging Table'!EF27)*IF(Init!$R$3=2018,Rates_previous!$C$88,Rates_previous!$D$88)</f>
        <v>0</v>
      </c>
      <c r="I25" s="250">
        <f>IF(Init!$R$9="Yes",IF('Staging Table'!$F$1=2018,(SUM('Staging Table'!BD27:BG27)*Rates_previous!$C$87),(SUM('Staging Table'!BD27:BG27)*Rates_previous!$D$87)),IF('Staging Table'!$F$1=2018,(SUM('Staging Table'!DR27:DU27)*Rates_previous!$C$87),(SUM('Staging Table'!DR27:DU27)*Rates_previous!$D$87)))</f>
        <v>47565.226301501047</v>
      </c>
      <c r="J25" s="252">
        <f>IF(Init!$R$9="Yes",IF('Staging Table'!D27=1,'Staging Table'!H27*-1*'Staging Table'!BT27/'Staging Table'!BS27,'Staging Table'!H27*SUM(D25:I25)*(-1)),IF('Staging Table'!D27=1,'Staging Table'!BV27*-1*'Staging Table'!BT27/'Staging Table'!BS27,'Staging Table'!BV27*SUM(D25:I25)*(-1)))</f>
        <v>0</v>
      </c>
      <c r="K25" s="250">
        <f>IF(Init!$R$9="Yes",'Staging Table'!K27,'Staging Table'!BY27)*(-1)*Rates_previous!$H$32</f>
        <v>0</v>
      </c>
      <c r="L25" s="250">
        <f>IF(Init!$R$12="No",0,'Staging Table'!$BI27*-1)*('Staging Table'!$F27/'Staging Table'!$E27)</f>
        <v>-309960.83067431522</v>
      </c>
      <c r="M25" s="250">
        <f>IF('Staging Table'!C27=1,"",SUM(D25:L25))</f>
        <v>7731437.6133776</v>
      </c>
      <c r="N25" s="250">
        <f>IF('Staging Table'!C27=1,"",IF(Init!$R$9="Yes",(RT1SC!$C$3*'Staging Table'!F27*'Staging Table'!$F$2)+SUM('Staging Table'!L27:AI27)-IF(Init!$R$15="No",'Staging Table'!BH27, 0),Z25))</f>
        <v>206709.72</v>
      </c>
      <c r="O25" s="126">
        <f>IF('Staging Table'!C27=1,"",IF(N25=0, 0, M25/N25))</f>
        <v>37.402390237757565</v>
      </c>
      <c r="P25" s="250">
        <f>'Staging Table'!BT27*Rates_current!$E$74*100*12</f>
        <v>8071149.5855999999</v>
      </c>
      <c r="Q25" s="250">
        <f>'Staging Table'!BT27*Rates_current!$E$75*100*12</f>
        <v>-816527.44800000009</v>
      </c>
      <c r="R25" s="251">
        <f>SUMPRODUCT('Staging Table'!BZ27:CW27, LS_Demand_Rates_Restatement!$C$5:$Z$5)-IF(Init!$R$15="No",('Staging Table'!DV27*Rates_current!$H$34), 0)</f>
        <v>131631.75125548083</v>
      </c>
      <c r="S25" s="251">
        <f>SUMPRODUCT('Staging Table'!CX27:DI27, LS_Demand_Rates_Restatement!$C$11:$N$11)*1000</f>
        <v>490077.04000000004</v>
      </c>
      <c r="T25" s="252">
        <f>'Staging Table'!EF27*IF(Init!$R$18="Yes",IF(Init!$R$6=2020,Rates_current!$C$88,Rates_current!$D$88),Rates_current!$H$33)</f>
        <v>0</v>
      </c>
      <c r="U25" s="252">
        <f>IF(Init!$R$18="Yes",(SUM('Staging Table'!DL27:DU27)*IF('Staging Table'!$BT$1=2020, Rates_current!$C$87, Rates_current!$D$87)),0)</f>
        <v>140895.46943284935</v>
      </c>
      <c r="V25" s="252">
        <f>IF('Staging Table'!D27=1, 'Staging Table'!BV27*-1*'Staging Table'!BT27/'Staging Table'!BS27,SUM(P25:U25)*'Staging Table'!BV27*-1)</f>
        <v>0</v>
      </c>
      <c r="W25" s="250">
        <f>'Staging Table'!BY27*Rates_current!$H$32*-1</f>
        <v>0</v>
      </c>
      <c r="X25" s="250">
        <f>IF(Init!$R$12="No",0,'Staging Table'!$DW27*-1)</f>
        <v>0</v>
      </c>
      <c r="Y25" s="250">
        <f>IF('Staging Table'!C27=1,"", SUM(P25:X25))</f>
        <v>8017226.3982883301</v>
      </c>
      <c r="Z25" s="250">
        <f>IF('Staging Table'!C27=1,"", (RT1SC!$C$4*'Staging Table'!BT27*'Staging Table'!$BT$2)+SUM('Staging Table'!BZ27:CW27)-IF(Init!$R$15="No",'Staging Table'!DV27, 0))</f>
        <v>209542.32</v>
      </c>
      <c r="AA25" s="126">
        <f>IF('Staging Table'!C27=1,"",IF(Z25=0, 0, Y25/Z25))</f>
        <v>38.260654927788956</v>
      </c>
      <c r="AB25" s="118">
        <f ca="1">IF('Staging Table'!C27=1,"",(AA25/O25-1)+(RAND()/100000000000000))</f>
        <v>2.2946787212685577E-2</v>
      </c>
      <c r="AC25" s="79">
        <f t="shared" ca="1" si="0"/>
        <v>44</v>
      </c>
      <c r="AF25" s="255"/>
      <c r="AG25" s="255"/>
      <c r="AI25" s="255"/>
      <c r="AJ25" s="255"/>
    </row>
    <row r="26" spans="2:36">
      <c r="B26" s="166">
        <v>10074</v>
      </c>
      <c r="C26" s="167" t="s">
        <v>29</v>
      </c>
      <c r="D26" s="250">
        <f>IF(Init!$R$9="Yes",'Staging Table'!F28,'Staging Table'!BT28)*Rates_previous!$E$75*100*12</f>
        <v>9631455.1257600002</v>
      </c>
      <c r="E26" s="250">
        <f>IF(Init!$R$9="Yes",'Staging Table'!F28,'Staging Table'!BT28)*Rates_previous!$E$76*100*12</f>
        <v>-1358244.7944</v>
      </c>
      <c r="F26" s="251">
        <f>IF(Init!$R$9="Yes",SUMPRODUCT('Staging Table'!L28:AI28,LS_Demand_Rates_Restatement!$C$4:$Z$4)-IF(Init!$R$15="No",('Staging Table'!BH28*Rates_previous!$H$34), 0),SUMPRODUCT('Staging Table'!BZ28:CW28,LS_Demand_Rates_Restatement!$C$4:$Z$4)-IF(Init!$R$15="No", 'Staging Table'!DV28*Rates_previous!$H$34, 0))</f>
        <v>150996.47033615177</v>
      </c>
      <c r="G26" s="251">
        <f>IF(Init!$R$9="Yes",SUMPRODUCT('Staging Table'!AJ28:AU28,LS_Demand_Rates_Restatement!$C$10:$N$10),SUMPRODUCT(LS_Demand_Rates_Restatement!$C$10:$N$10,'Staging Table'!CX28:DI28))*1000</f>
        <v>510730.38999999996</v>
      </c>
      <c r="H26" s="252">
        <f>IF(Init!$R$9="Yes",'Staging Table'!BR28,'Staging Table'!EF28)*IF(Init!$R$3=2018,Rates_previous!$C$88,Rates_previous!$D$88)</f>
        <v>0</v>
      </c>
      <c r="I26" s="250">
        <f>IF(Init!$R$9="Yes",IF('Staging Table'!$F$1=2018,(SUM('Staging Table'!BD28:BG28)*Rates_previous!$C$87),(SUM('Staging Table'!BD28:BG28)*Rates_previous!$D$87)),IF('Staging Table'!$F$1=2018,(SUM('Staging Table'!DR28:DU28)*Rates_previous!$C$87),(SUM('Staging Table'!DR28:DU28)*Rates_previous!$D$87)))</f>
        <v>52921.178854021593</v>
      </c>
      <c r="J26" s="252">
        <f>IF(Init!$R$9="Yes",IF('Staging Table'!D28=1,'Staging Table'!H28*-1*'Staging Table'!BT28/'Staging Table'!BS28,'Staging Table'!H28*SUM(D26:I26)*(-1)),IF('Staging Table'!D28=1,'Staging Table'!BV28*-1*'Staging Table'!BT28/'Staging Table'!BS28,'Staging Table'!BV28*SUM(D26:I26)*(-1)))</f>
        <v>0</v>
      </c>
      <c r="K26" s="250">
        <f>IF(Init!$R$9="Yes",'Staging Table'!K28,'Staging Table'!BY28)*(-1)*Rates_previous!$H$32</f>
        <v>0</v>
      </c>
      <c r="L26" s="250">
        <f>IF(Init!$R$12="No",0,'Staging Table'!$BI28*-1)*('Staging Table'!$F28/'Staging Table'!$E28)</f>
        <v>-319099.34177259984</v>
      </c>
      <c r="M26" s="250">
        <f>IF('Staging Table'!C28=1,"",SUM(D26:L26))</f>
        <v>8668759.0287775751</v>
      </c>
      <c r="N26" s="250">
        <f>IF('Staging Table'!C28=1,"",IF(Init!$R$9="Yes",(RT1SC!$C$3*'Staging Table'!F28*'Staging Table'!$F$2)+SUM('Staging Table'!L28:AI28)-IF(Init!$R$15="No",'Staging Table'!BH28, 0),Z26))</f>
        <v>229985.04</v>
      </c>
      <c r="O26" s="126">
        <f>IF('Staging Table'!C28=1,"",IF(N26=0, 0, M26/N26))</f>
        <v>37.692708311712686</v>
      </c>
      <c r="P26" s="250">
        <f>'Staging Table'!BT28*Rates_current!$E$74*100*12</f>
        <v>8979748.0798799992</v>
      </c>
      <c r="Q26" s="250">
        <f>'Staging Table'!BT28*Rates_current!$E$75*100*12</f>
        <v>-908446.89539999992</v>
      </c>
      <c r="R26" s="251">
        <f>SUMPRODUCT('Staging Table'!BZ28:CW28, LS_Demand_Rates_Restatement!$C$5:$Z$5)-IF(Init!$R$15="No",('Staging Table'!DV28*Rates_current!$H$34), 0)</f>
        <v>16286.909999999978</v>
      </c>
      <c r="S26" s="251">
        <f>SUMPRODUCT('Staging Table'!CX28:DI28, LS_Demand_Rates_Restatement!$C$11:$N$11)*1000</f>
        <v>574943.91000000015</v>
      </c>
      <c r="T26" s="252">
        <f>'Staging Table'!EF28*IF(Init!$R$18="Yes",IF(Init!$R$6=2020,Rates_current!$C$88,Rates_current!$D$88),Rates_current!$H$33)</f>
        <v>0</v>
      </c>
      <c r="U26" s="252">
        <f>IF(Init!$R$18="Yes",(SUM('Staging Table'!DL28:DU28)*IF('Staging Table'!$BT$1=2020, Rates_current!$C$87, Rates_current!$D$87)),0)</f>
        <v>156756.5819075779</v>
      </c>
      <c r="V26" s="252">
        <f>IF('Staging Table'!D28=1, 'Staging Table'!BV28*-1*'Staging Table'!BT28/'Staging Table'!BS28,SUM(P26:U26)*'Staging Table'!BV28*-1)</f>
        <v>0</v>
      </c>
      <c r="W26" s="250">
        <f>'Staging Table'!BY28*Rates_current!$H$32*-1</f>
        <v>0</v>
      </c>
      <c r="X26" s="250">
        <f>IF(Init!$R$12="No",0,'Staging Table'!$DW28*-1)</f>
        <v>0</v>
      </c>
      <c r="Y26" s="250">
        <f>IF('Staging Table'!C28=1,"", SUM(P26:X26))</f>
        <v>8819288.5863875784</v>
      </c>
      <c r="Z26" s="250">
        <f>IF('Staging Table'!C28=1,"", (RT1SC!$C$4*'Staging Table'!BT28*'Staging Table'!$BT$2)+SUM('Staging Table'!BZ28:CW28)-IF(Init!$R$15="No",'Staging Table'!DV28, 0))</f>
        <v>224987.6290494464</v>
      </c>
      <c r="AA26" s="126">
        <f>IF('Staging Table'!C28=1,"",IF(Z26=0, 0, Y26/Z26))</f>
        <v>39.198993400874187</v>
      </c>
      <c r="AB26" s="118">
        <f ca="1">IF('Staging Table'!C28=1,"",(AA26/O26-1)+(RAND()/100000000000000))</f>
        <v>3.9962240885026458E-2</v>
      </c>
      <c r="AC26" s="79">
        <f t="shared" ca="1" si="0"/>
        <v>6</v>
      </c>
      <c r="AF26" s="255"/>
      <c r="AG26" s="255"/>
      <c r="AI26" s="255"/>
      <c r="AJ26" s="255"/>
    </row>
    <row r="27" spans="2:36">
      <c r="B27" s="166">
        <v>10076</v>
      </c>
      <c r="C27" s="167" t="s">
        <v>30</v>
      </c>
      <c r="D27" s="250">
        <f>IF(Init!$R$9="Yes",'Staging Table'!F29,'Staging Table'!BT29)*Rates_previous!$E$75*100*12</f>
        <v>1738828.7279999997</v>
      </c>
      <c r="E27" s="250">
        <f>IF(Init!$R$9="Yes",'Staging Table'!F29,'Staging Table'!BT29)*Rates_previous!$E$76*100*12</f>
        <v>-245212.69500000001</v>
      </c>
      <c r="F27" s="251">
        <f>IF(Init!$R$9="Yes",SUMPRODUCT('Staging Table'!L29:AI29,LS_Demand_Rates_Restatement!$C$4:$Z$4)-IF(Init!$R$15="No",('Staging Table'!BH29*Rates_previous!$H$34), 0),SUMPRODUCT('Staging Table'!BZ29:CW29,LS_Demand_Rates_Restatement!$C$4:$Z$4)-IF(Init!$R$15="No", 'Staging Table'!DV29*Rates_previous!$H$34, 0))</f>
        <v>20932.12707100407</v>
      </c>
      <c r="G27" s="251">
        <f>IF(Init!$R$9="Yes",SUMPRODUCT('Staging Table'!AJ29:AU29,LS_Demand_Rates_Restatement!$C$10:$N$10),SUMPRODUCT(LS_Demand_Rates_Restatement!$C$10:$N$10,'Staging Table'!CX29:DI29))*1000</f>
        <v>48269.36</v>
      </c>
      <c r="H27" s="252">
        <f>IF(Init!$R$9="Yes",'Staging Table'!BR29,'Staging Table'!EF29)*IF(Init!$R$3=2018,Rates_previous!$C$88,Rates_previous!$D$88)</f>
        <v>0</v>
      </c>
      <c r="I27" s="250">
        <f>IF(Init!$R$9="Yes",IF('Staging Table'!$F$1=2018,(SUM('Staging Table'!BD29:BG29)*Rates_previous!$C$87),(SUM('Staging Table'!BD29:BG29)*Rates_previous!$D$87)),IF('Staging Table'!$F$1=2018,(SUM('Staging Table'!DR29:DU29)*Rates_previous!$C$87),(SUM('Staging Table'!DR29:DU29)*Rates_previous!$D$87)))</f>
        <v>9554.2018219949568</v>
      </c>
      <c r="J27" s="252">
        <f>IF(Init!$R$9="Yes",IF('Staging Table'!D29=1,'Staging Table'!H29*-1*'Staging Table'!BT29/'Staging Table'!BS29,'Staging Table'!H29*SUM(D27:I27)*(-1)),IF('Staging Table'!D29=1,'Staging Table'!BV29*-1*'Staging Table'!BT29/'Staging Table'!BS29,'Staging Table'!BV29*SUM(D27:I27)*(-1)))</f>
        <v>0</v>
      </c>
      <c r="K27" s="250">
        <f>IF(Init!$R$9="Yes",'Staging Table'!K29,'Staging Table'!BY29)*(-1)*Rates_previous!$H$32</f>
        <v>0</v>
      </c>
      <c r="L27" s="250">
        <f>IF(Init!$R$12="No",0,'Staging Table'!$BI29*-1)*('Staging Table'!$F29/'Staging Table'!$E29)</f>
        <v>-77630.668152548416</v>
      </c>
      <c r="M27" s="250">
        <f>IF('Staging Table'!C29=1,"",SUM(D27:L27))</f>
        <v>1494741.0537404504</v>
      </c>
      <c r="N27" s="250">
        <f>IF('Staging Table'!C29=1,"",IF(Init!$R$9="Yes",(RT1SC!$C$3*'Staging Table'!F29*'Staging Table'!$F$2)+SUM('Staging Table'!L29:AI29)-IF(Init!$R$15="No",'Staging Table'!BH29, 0),Z27))</f>
        <v>41522.400000000001</v>
      </c>
      <c r="O27" s="126">
        <f>IF('Staging Table'!C29=1,"",IF(N27=0, 0, M27/N27))</f>
        <v>35.998426240786912</v>
      </c>
      <c r="P27" s="250">
        <f>'Staging Table'!BT29*Rates_current!$E$74*100*12</f>
        <v>1621359.9079200001</v>
      </c>
      <c r="Q27" s="250">
        <f>'Staging Table'!BT29*Rates_current!$E$75*100*12</f>
        <v>-164026.80359999998</v>
      </c>
      <c r="R27" s="251">
        <f>SUMPRODUCT('Staging Table'!BZ29:CW29, LS_Demand_Rates_Restatement!$C$5:$Z$5)-IF(Init!$R$15="No",('Staging Table'!DV29*Rates_current!$H$34), 0)</f>
        <v>21025.505442381811</v>
      </c>
      <c r="S27" s="251">
        <f>SUMPRODUCT('Staging Table'!CX29:DI29, LS_Demand_Rates_Restatement!$C$11:$N$11)*1000</f>
        <v>54391.17</v>
      </c>
      <c r="T27" s="252">
        <f>'Staging Table'!EF29*IF(Init!$R$18="Yes",IF(Init!$R$6=2020,Rates_current!$C$88,Rates_current!$D$88),Rates_current!$H$33)</f>
        <v>0</v>
      </c>
      <c r="U27" s="252">
        <f>IF(Init!$R$18="Yes",(SUM('Staging Table'!DL29:DU29)*IF('Staging Table'!$BT$1=2020, Rates_current!$C$87, Rates_current!$D$87)),0)</f>
        <v>28303.559848966375</v>
      </c>
      <c r="V27" s="252">
        <f>IF('Staging Table'!D29=1, 'Staging Table'!BV29*-1*'Staging Table'!BT29/'Staging Table'!BS29,SUM(P27:U27)*'Staging Table'!BV29*-1)</f>
        <v>0</v>
      </c>
      <c r="W27" s="250">
        <f>'Staging Table'!BY29*Rates_current!$H$32*-1</f>
        <v>0</v>
      </c>
      <c r="X27" s="250">
        <f>IF(Init!$R$12="No",0,'Staging Table'!$DW29*-1)</f>
        <v>0</v>
      </c>
      <c r="Y27" s="250">
        <f>IF('Staging Table'!C29=1,"", SUM(P27:X27))</f>
        <v>1561053.3396113482</v>
      </c>
      <c r="Z27" s="250">
        <f>IF('Staging Table'!C29=1,"", (RT1SC!$C$4*'Staging Table'!BT29*'Staging Table'!$BT$2)+SUM('Staging Table'!BZ29:CW29)-IF(Init!$R$15="No",'Staging Table'!DV29, 0))</f>
        <v>42092.928</v>
      </c>
      <c r="AA27" s="126">
        <f>IF('Staging Table'!C29=1,"",IF(Z27=0, 0, Y27/Z27))</f>
        <v>37.085881495612476</v>
      </c>
      <c r="AB27" s="118">
        <f ca="1">IF('Staging Table'!C29=1,"",(AA27/O27-1)+(RAND()/100000000000000))</f>
        <v>3.0208410988634176E-2</v>
      </c>
      <c r="AC27" s="79">
        <f t="shared" ca="1" si="0"/>
        <v>15</v>
      </c>
      <c r="AF27" s="255"/>
      <c r="AG27" s="255"/>
      <c r="AI27" s="255"/>
      <c r="AJ27" s="255"/>
    </row>
    <row r="28" spans="2:36">
      <c r="B28" s="166">
        <v>10078</v>
      </c>
      <c r="C28" s="167" t="s">
        <v>31</v>
      </c>
      <c r="D28" s="250">
        <f>IF(Init!$R$9="Yes",'Staging Table'!F30,'Staging Table'!BT30)*Rates_previous!$E$75*100*12</f>
        <v>1341891.7084799998</v>
      </c>
      <c r="E28" s="250">
        <f>IF(Init!$R$9="Yes",'Staging Table'!F30,'Staging Table'!BT30)*Rates_previous!$E$76*100*12</f>
        <v>-189235.9362</v>
      </c>
      <c r="F28" s="251">
        <f>IF(Init!$R$9="Yes",SUMPRODUCT('Staging Table'!L30:AI30,LS_Demand_Rates_Restatement!$C$4:$Z$4)-IF(Init!$R$15="No",('Staging Table'!BH30*Rates_previous!$H$34), 0),SUMPRODUCT('Staging Table'!BZ30:CW30,LS_Demand_Rates_Restatement!$C$4:$Z$4)-IF(Init!$R$15="No", 'Staging Table'!DV30*Rates_previous!$H$34, 0))</f>
        <v>27845.927573476722</v>
      </c>
      <c r="G28" s="251">
        <f>IF(Init!$R$9="Yes",SUMPRODUCT('Staging Table'!AJ30:AU30,LS_Demand_Rates_Restatement!$C$10:$N$10),SUMPRODUCT(LS_Demand_Rates_Restatement!$C$10:$N$10,'Staging Table'!CX30:DI30))*1000</f>
        <v>99877.529999999984</v>
      </c>
      <c r="H28" s="252">
        <f>IF(Init!$R$9="Yes",'Staging Table'!BR30,'Staging Table'!EF30)*IF(Init!$R$3=2018,Rates_previous!$C$88,Rates_previous!$D$88)</f>
        <v>0</v>
      </c>
      <c r="I28" s="250">
        <f>IF(Init!$R$9="Yes",IF('Staging Table'!$F$1=2018,(SUM('Staging Table'!BD30:BG30)*Rates_previous!$C$87),(SUM('Staging Table'!BD30:BG30)*Rates_previous!$D$87)),IF('Staging Table'!$F$1=2018,(SUM('Staging Table'!DR30:DU30)*Rates_previous!$C$87),(SUM('Staging Table'!DR30:DU30)*Rates_previous!$D$87)))</f>
        <v>7373.1840287835075</v>
      </c>
      <c r="J28" s="252">
        <f>IF(Init!$R$9="Yes",IF('Staging Table'!D30=1,'Staging Table'!H30*-1*'Staging Table'!BT30/'Staging Table'!BS30,'Staging Table'!H30*SUM(D28:I28)*(-1)),IF('Staging Table'!D30=1,'Staging Table'!BV30*-1*'Staging Table'!BT30/'Staging Table'!BS30,'Staging Table'!BV30*SUM(D28:I28)*(-1)))</f>
        <v>0</v>
      </c>
      <c r="K28" s="250">
        <f>IF(Init!$R$9="Yes",'Staging Table'!K30,'Staging Table'!BY30)*(-1)*Rates_previous!$H$32</f>
        <v>0</v>
      </c>
      <c r="L28" s="250">
        <f>IF(Init!$R$12="No",0,'Staging Table'!$BI30*-1)*('Staging Table'!$F30/'Staging Table'!$E30)</f>
        <v>-56468.631515895497</v>
      </c>
      <c r="M28" s="250">
        <f>IF('Staging Table'!C30=1,"",SUM(D28:L28))</f>
        <v>1231283.7823663645</v>
      </c>
      <c r="N28" s="250">
        <f>IF('Staging Table'!C30=1,"",IF(Init!$R$9="Yes",(RT1SC!$C$3*'Staging Table'!F30*'Staging Table'!$F$2)+SUM('Staging Table'!L30:AI30)-IF(Init!$R$15="No",'Staging Table'!BH30, 0),Z28))</f>
        <v>32044.079999999998</v>
      </c>
      <c r="O28" s="126">
        <f>IF('Staging Table'!C30=1,"",IF(N28=0, 0, M28/N28))</f>
        <v>38.424688190965838</v>
      </c>
      <c r="P28" s="250">
        <f>'Staging Table'!BT30*Rates_current!$E$74*100*12</f>
        <v>1251075.7190399999</v>
      </c>
      <c r="Q28" s="250">
        <f>'Staging Table'!BT30*Rates_current!$E$75*100*12</f>
        <v>-126566.5632</v>
      </c>
      <c r="R28" s="251">
        <f>SUMPRODUCT('Staging Table'!BZ30:CW30, LS_Demand_Rates_Restatement!$C$5:$Z$5)-IF(Init!$R$15="No",('Staging Table'!DV30*Rates_current!$H$34), 0)</f>
        <v>30498.436652274668</v>
      </c>
      <c r="S28" s="251">
        <f>SUMPRODUCT('Staging Table'!CX30:DI30, LS_Demand_Rates_Restatement!$C$11:$N$11)*1000</f>
        <v>109640.47999999998</v>
      </c>
      <c r="T28" s="252">
        <f>'Staging Table'!EF30*IF(Init!$R$18="Yes",IF(Init!$R$6=2020,Rates_current!$C$88,Rates_current!$D$88),Rates_current!$H$33)</f>
        <v>0</v>
      </c>
      <c r="U28" s="252">
        <f>IF(Init!$R$18="Yes",(SUM('Staging Table'!DL30:DU30)*IF('Staging Table'!$BT$1=2020, Rates_current!$C$87, Rates_current!$D$87)),0)</f>
        <v>21839.627535174292</v>
      </c>
      <c r="V28" s="252">
        <f>IF('Staging Table'!D30=1, 'Staging Table'!BV30*-1*'Staging Table'!BT30/'Staging Table'!BS30,SUM(P28:U28)*'Staging Table'!BV30*-1)</f>
        <v>0</v>
      </c>
      <c r="W28" s="250">
        <f>'Staging Table'!BY30*Rates_current!$H$32*-1</f>
        <v>0</v>
      </c>
      <c r="X28" s="250">
        <f>IF(Init!$R$12="No",0,'Staging Table'!$DW30*-1)</f>
        <v>0</v>
      </c>
      <c r="Y28" s="250">
        <f>IF('Staging Table'!C30=1,"", SUM(P28:X28))</f>
        <v>1286487.7000274488</v>
      </c>
      <c r="Z28" s="250">
        <f>IF('Staging Table'!C30=1,"", (RT1SC!$C$4*'Staging Table'!BT30*'Staging Table'!$BT$2)+SUM('Staging Table'!BZ30:CW30)-IF(Init!$R$15="No",'Staging Table'!DV30, 0))</f>
        <v>32483.232</v>
      </c>
      <c r="AA28" s="126">
        <f>IF('Staging Table'!C30=1,"",IF(Z28=0, 0, Y28/Z28))</f>
        <v>39.604670496687298</v>
      </c>
      <c r="AB28" s="118">
        <f ca="1">IF('Staging Table'!C30=1,"",(AA28/O28-1)+(RAND()/100000000000000))</f>
        <v>3.0708962421697381E-2</v>
      </c>
      <c r="AC28" s="79">
        <f t="shared" ca="1" si="0"/>
        <v>13</v>
      </c>
      <c r="AF28" s="255"/>
      <c r="AG28" s="255"/>
      <c r="AI28" s="255"/>
      <c r="AJ28" s="255"/>
    </row>
    <row r="29" spans="2:36">
      <c r="B29" s="166">
        <v>10079</v>
      </c>
      <c r="C29" s="167" t="s">
        <v>32</v>
      </c>
      <c r="D29" s="250">
        <f>IF(Init!$R$9="Yes",'Staging Table'!F31,'Staging Table'!BT31)*Rates_previous!$E$75*100*12</f>
        <v>31829355.406079996</v>
      </c>
      <c r="E29" s="250">
        <f>IF(Init!$R$9="Yes",'Staging Table'!F31,'Staging Table'!BT31)*Rates_previous!$E$76*100*12</f>
        <v>-4488631.8552000001</v>
      </c>
      <c r="F29" s="251">
        <f>IF(Init!$R$9="Yes",SUMPRODUCT('Staging Table'!L31:AI31,LS_Demand_Rates_Restatement!$C$4:$Z$4)-IF(Init!$R$15="No",('Staging Table'!BH31*Rates_previous!$H$34), 0),SUMPRODUCT('Staging Table'!BZ31:CW31,LS_Demand_Rates_Restatement!$C$4:$Z$4)-IF(Init!$R$15="No", 'Staging Table'!DV31*Rates_previous!$H$34, 0))</f>
        <v>83358.770000000019</v>
      </c>
      <c r="G29" s="251">
        <f>IF(Init!$R$9="Yes",SUMPRODUCT('Staging Table'!AJ31:AU31,LS_Demand_Rates_Restatement!$C$10:$N$10),SUMPRODUCT(LS_Demand_Rates_Restatement!$C$10:$N$10,'Staging Table'!CX31:DI31))*1000</f>
        <v>2014589.0500000003</v>
      </c>
      <c r="H29" s="252">
        <f>IF(Init!$R$9="Yes",'Staging Table'!BR31,'Staging Table'!EF31)*IF(Init!$R$3=2018,Rates_previous!$C$88,Rates_previous!$D$88)</f>
        <v>-42972.283553134213</v>
      </c>
      <c r="I29" s="250">
        <f>IF(Init!$R$9="Yes",IF('Staging Table'!$F$1=2018,(SUM('Staging Table'!BD31:BG31)*Rates_previous!$C$87),(SUM('Staging Table'!BD31:BG31)*Rates_previous!$D$87)),IF('Staging Table'!$F$1=2018,(SUM('Staging Table'!DR31:DU31)*Rates_previous!$C$87),(SUM('Staging Table'!DR31:DU31)*Rates_previous!$D$87)))</f>
        <v>174890.18930776176</v>
      </c>
      <c r="J29" s="252">
        <f>IF(Init!$R$9="Yes",IF('Staging Table'!D31=1,'Staging Table'!H31*-1*'Staging Table'!BT31/'Staging Table'!BS31,'Staging Table'!H31*SUM(D29:I29)*(-1)),IF('Staging Table'!D31=1,'Staging Table'!BV31*-1*'Staging Table'!BT31/'Staging Table'!BS31,'Staging Table'!BV31*SUM(D29:I29)*(-1)))</f>
        <v>0</v>
      </c>
      <c r="K29" s="250">
        <f>IF(Init!$R$9="Yes",'Staging Table'!K31,'Staging Table'!BY31)*(-1)*Rates_previous!$H$32</f>
        <v>0</v>
      </c>
      <c r="L29" s="250">
        <f>IF(Init!$R$12="No",0,'Staging Table'!$BI31*-1)*('Staging Table'!$F31/'Staging Table'!$E31)</f>
        <v>-1089139.938739561</v>
      </c>
      <c r="M29" s="250">
        <f>IF('Staging Table'!C31=1,"",SUM(D29:L29))</f>
        <v>28481449.337895062</v>
      </c>
      <c r="N29" s="250">
        <f>IF('Staging Table'!C31=1,"",IF(Init!$R$9="Yes",(RT1SC!$C$3*'Staging Table'!F31*'Staging Table'!$F$2)+SUM('Staging Table'!L31:AI31)-IF(Init!$R$15="No",'Staging Table'!BH31, 0),Z29))</f>
        <v>751231.94641347195</v>
      </c>
      <c r="O29" s="126">
        <f>IF('Staging Table'!C31=1,"",IF(N29=0, 0, M29/N29))</f>
        <v>37.912990087643458</v>
      </c>
      <c r="P29" s="250">
        <f>'Staging Table'!BT31*Rates_current!$E$74*100*12</f>
        <v>29303549.188919999</v>
      </c>
      <c r="Q29" s="250">
        <f>'Staging Table'!BT31*Rates_current!$E$75*100*12</f>
        <v>-2964528.4086000002</v>
      </c>
      <c r="R29" s="251">
        <f>SUMPRODUCT('Staging Table'!BZ31:CW31, LS_Demand_Rates_Restatement!$C$5:$Z$5)-IF(Init!$R$15="No",('Staging Table'!DV31*Rates_current!$H$34), 0)</f>
        <v>251527.87</v>
      </c>
      <c r="S29" s="251">
        <f>SUMPRODUCT('Staging Table'!CX31:DI31, LS_Demand_Rates_Restatement!$C$11:$N$11)*1000</f>
        <v>2206879.1100000003</v>
      </c>
      <c r="T29" s="252">
        <f>'Staging Table'!EF31*IF(Init!$R$18="Yes",IF(Init!$R$6=2020,Rates_current!$C$88,Rates_current!$D$88),Rates_current!$H$33)</f>
        <v>-64240.120206578307</v>
      </c>
      <c r="U29" s="252">
        <f>IF(Init!$R$18="Yes",(SUM('Staging Table'!DL31:DU31)*IF('Staging Table'!$BT$1=2020, Rates_current!$C$87, Rates_current!$D$87)),0)</f>
        <v>511542.65885341645</v>
      </c>
      <c r="V29" s="252">
        <f>IF('Staging Table'!D31=1, 'Staging Table'!BV31*-1*'Staging Table'!BT31/'Staging Table'!BS31,SUM(P29:U29)*'Staging Table'!BV31*-1)</f>
        <v>0</v>
      </c>
      <c r="W29" s="250">
        <f>'Staging Table'!BY31*Rates_current!$H$32*-1</f>
        <v>0</v>
      </c>
      <c r="X29" s="250">
        <f>IF(Init!$R$12="No",0,'Staging Table'!$DW31*-1)</f>
        <v>0</v>
      </c>
      <c r="Y29" s="250">
        <f>IF('Staging Table'!C31=1,"", SUM(P29:X29))</f>
        <v>29244730.298966836</v>
      </c>
      <c r="Z29" s="250">
        <f>IF('Staging Table'!C31=1,"", (RT1SC!$C$4*'Staging Table'!BT31*'Staging Table'!$BT$2)+SUM('Staging Table'!BZ31:CW31)-IF(Init!$R$15="No",'Staging Table'!DV31, 0))</f>
        <v>756734.34332661761</v>
      </c>
      <c r="AA29" s="126">
        <f>IF('Staging Table'!C31=1,"",IF(Z29=0, 0, Y29/Z29))</f>
        <v>38.645966787243303</v>
      </c>
      <c r="AB29" s="118">
        <f ca="1">IF('Staging Table'!C31=1,"",(AA29/O29-1)+(RAND()/100000000000000))</f>
        <v>1.9333128247223254E-2</v>
      </c>
      <c r="AC29" s="79">
        <f t="shared" ca="1" si="0"/>
        <v>61</v>
      </c>
      <c r="AF29" s="255"/>
      <c r="AG29" s="255"/>
      <c r="AI29" s="255"/>
      <c r="AJ29" s="255"/>
    </row>
    <row r="30" spans="2:36">
      <c r="B30" s="166">
        <v>10080</v>
      </c>
      <c r="C30" s="167" t="s">
        <v>33</v>
      </c>
      <c r="D30" s="250">
        <f>IF(Init!$R$9="Yes",'Staging Table'!F32,'Staging Table'!BT32)*Rates_previous!$E$75*100*12</f>
        <v>2684547.73728</v>
      </c>
      <c r="E30" s="250">
        <f>IF(Init!$R$9="Yes",'Staging Table'!F32,'Staging Table'!BT32)*Rates_previous!$E$76*100*12</f>
        <v>-378579.65820000001</v>
      </c>
      <c r="F30" s="251">
        <f>IF(Init!$R$9="Yes",SUMPRODUCT('Staging Table'!L32:AI32,LS_Demand_Rates_Restatement!$C$4:$Z$4)-IF(Init!$R$15="No",('Staging Table'!BH32*Rates_previous!$H$34), 0),SUMPRODUCT('Staging Table'!BZ32:CW32,LS_Demand_Rates_Restatement!$C$4:$Z$4)-IF(Init!$R$15="No", 'Staging Table'!DV32*Rates_previous!$H$34, 0))</f>
        <v>-52015.64</v>
      </c>
      <c r="G30" s="251">
        <f>IF(Init!$R$9="Yes",SUMPRODUCT('Staging Table'!AJ32:AU32,LS_Demand_Rates_Restatement!$C$10:$N$10),SUMPRODUCT(LS_Demand_Rates_Restatement!$C$10:$N$10,'Staging Table'!CX32:DI32))*1000</f>
        <v>90656.97</v>
      </c>
      <c r="H30" s="252">
        <f>IF(Init!$R$9="Yes",'Staging Table'!BR32,'Staging Table'!EF32)*IF(Init!$R$3=2018,Rates_previous!$C$88,Rates_previous!$D$88)</f>
        <v>-50477.794061954941</v>
      </c>
      <c r="I30" s="250">
        <f>IF(Init!$R$9="Yes",IF('Staging Table'!$F$1=2018,(SUM('Staging Table'!BD32:BG32)*Rates_previous!$C$87),(SUM('Staging Table'!BD32:BG32)*Rates_previous!$D$87)),IF('Staging Table'!$F$1=2018,(SUM('Staging Table'!DR32:DU32)*Rates_previous!$C$87),(SUM('Staging Table'!DR32:DU32)*Rates_previous!$D$87)))</f>
        <v>14750.567706719541</v>
      </c>
      <c r="J30" s="252">
        <f>IF(Init!$R$9="Yes",IF('Staging Table'!D32=1,'Staging Table'!H32*-1*'Staging Table'!BT32/'Staging Table'!BS32,'Staging Table'!H32*SUM(D30:I30)*(-1)),IF('Staging Table'!D32=1,'Staging Table'!BV32*-1*'Staging Table'!BT32/'Staging Table'!BS32,'Staging Table'!BV32*SUM(D30:I30)*(-1)))</f>
        <v>0</v>
      </c>
      <c r="K30" s="250">
        <f>IF(Init!$R$9="Yes",'Staging Table'!K32,'Staging Table'!BY32)*(-1)*Rates_previous!$H$32</f>
        <v>0</v>
      </c>
      <c r="L30" s="250">
        <f>IF(Init!$R$12="No",0,'Staging Table'!$BI32*-1)*('Staging Table'!$F32/'Staging Table'!$E32)</f>
        <v>-95504.502766492631</v>
      </c>
      <c r="M30" s="250">
        <f>IF('Staging Table'!C32=1,"",SUM(D30:L30))</f>
        <v>2213377.6799582718</v>
      </c>
      <c r="N30" s="250">
        <f>IF('Staging Table'!C32=1,"",IF(Init!$R$9="Yes",(RT1SC!$C$3*'Staging Table'!F32*'Staging Table'!$F$2)+SUM('Staging Table'!L32:AI32)-IF(Init!$R$15="No",'Staging Table'!BH32, 0),Z30))</f>
        <v>60216.789856552001</v>
      </c>
      <c r="O30" s="126">
        <f>IF('Staging Table'!C32=1,"",IF(N30=0, 0, M30/N30))</f>
        <v>36.756819571932745</v>
      </c>
      <c r="P30" s="250">
        <f>'Staging Table'!BT32*Rates_current!$E$74*100*12</f>
        <v>2330793.9925199999</v>
      </c>
      <c r="Q30" s="250">
        <f>'Staging Table'!BT32*Rates_current!$E$75*100*12</f>
        <v>-235797.5466</v>
      </c>
      <c r="R30" s="251">
        <f>SUMPRODUCT('Staging Table'!BZ32:CW32, LS_Demand_Rates_Restatement!$C$5:$Z$5)-IF(Init!$R$15="No",('Staging Table'!DV32*Rates_current!$H$34), 0)</f>
        <v>36808.42000000002</v>
      </c>
      <c r="S30" s="251">
        <f>SUMPRODUCT('Staging Table'!CX32:DI32, LS_Demand_Rates_Restatement!$C$11:$N$11)*1000</f>
        <v>103300.94</v>
      </c>
      <c r="T30" s="252">
        <f>'Staging Table'!EF32*IF(Init!$R$18="Yes",IF(Init!$R$6=2020,Rates_current!$C$88,Rates_current!$D$88),Rates_current!$H$33)</f>
        <v>-4721.9049020898901</v>
      </c>
      <c r="U30" s="252">
        <f>IF(Init!$R$18="Yes",(SUM('Staging Table'!DL32:DU32)*IF('Staging Table'!$BT$1=2020, Rates_current!$C$87, Rates_current!$D$87)),0)</f>
        <v>40687.923107419119</v>
      </c>
      <c r="V30" s="252">
        <f>IF('Staging Table'!D32=1, 'Staging Table'!BV32*-1*'Staging Table'!BT32/'Staging Table'!BS32,SUM(P30:U30)*'Staging Table'!BV32*-1)</f>
        <v>0</v>
      </c>
      <c r="W30" s="250">
        <f>'Staging Table'!BY32*Rates_current!$H$32*-1</f>
        <v>0</v>
      </c>
      <c r="X30" s="250">
        <f>IF(Init!$R$12="No",0,'Staging Table'!$DW32*-1)</f>
        <v>0</v>
      </c>
      <c r="Y30" s="250">
        <f>IF('Staging Table'!C32=1,"", SUM(P30:X30))</f>
        <v>2271071.824125329</v>
      </c>
      <c r="Z30" s="250">
        <f>IF('Staging Table'!C32=1,"", (RT1SC!$C$4*'Staging Table'!BT32*'Staging Table'!$BT$2)+SUM('Staging Table'!BZ32:CW32)-IF(Init!$R$15="No",'Staging Table'!DV32, 0))</f>
        <v>60215.439459225592</v>
      </c>
      <c r="AA30" s="126">
        <f>IF('Staging Table'!C32=1,"",IF(Z30=0, 0, Y30/Z30))</f>
        <v>37.715772641054414</v>
      </c>
      <c r="AB30" s="118">
        <f ca="1">IF('Staging Table'!C32=1,"",(AA30/O30-1)+(RAND()/100000000000000))</f>
        <v>2.6089119795719581E-2</v>
      </c>
      <c r="AC30" s="79">
        <f t="shared" ca="1" si="0"/>
        <v>23</v>
      </c>
      <c r="AF30" s="255"/>
      <c r="AG30" s="255"/>
      <c r="AI30" s="255"/>
      <c r="AJ30" s="255"/>
    </row>
    <row r="31" spans="2:36">
      <c r="B31" s="166">
        <v>10081</v>
      </c>
      <c r="C31" s="167" t="s">
        <v>34</v>
      </c>
      <c r="D31" s="250">
        <f>IF(Init!$R$9="Yes",'Staging Table'!F33,'Staging Table'!BT33)*Rates_previous!$E$75*100*12</f>
        <v>3556637.2224000003</v>
      </c>
      <c r="E31" s="250">
        <f>IF(Init!$R$9="Yes",'Staging Table'!F33,'Staging Table'!BT33)*Rates_previous!$E$76*100*12</f>
        <v>-501563.25600000011</v>
      </c>
      <c r="F31" s="251">
        <f>IF(Init!$R$9="Yes",SUMPRODUCT('Staging Table'!L33:AI33,LS_Demand_Rates_Restatement!$C$4:$Z$4)-IF(Init!$R$15="No",('Staging Table'!BH33*Rates_previous!$H$34), 0),SUMPRODUCT('Staging Table'!BZ33:CW33,LS_Demand_Rates_Restatement!$C$4:$Z$4)-IF(Init!$R$15="No", 'Staging Table'!DV33*Rates_previous!$H$34, 0))</f>
        <v>46076.14999999998</v>
      </c>
      <c r="G31" s="251">
        <f>IF(Init!$R$9="Yes",SUMPRODUCT('Staging Table'!AJ33:AU33,LS_Demand_Rates_Restatement!$C$10:$N$10),SUMPRODUCT(LS_Demand_Rates_Restatement!$C$10:$N$10,'Staging Table'!CX33:DI33))*1000</f>
        <v>281130.33</v>
      </c>
      <c r="H31" s="252">
        <f>IF(Init!$R$9="Yes",'Staging Table'!BR33,'Staging Table'!EF33)*IF(Init!$R$3=2018,Rates_previous!$C$88,Rates_previous!$D$88)</f>
        <v>-22610.589656723179</v>
      </c>
      <c r="I31" s="250">
        <f>IF(Init!$R$9="Yes",IF('Staging Table'!$F$1=2018,(SUM('Staging Table'!BD33:BG33)*Rates_previous!$C$87),(SUM('Staging Table'!BD33:BG33)*Rates_previous!$D$87)),IF('Staging Table'!$F$1=2018,(SUM('Staging Table'!DR33:DU33)*Rates_previous!$C$87),(SUM('Staging Table'!DR33:DU33)*Rates_previous!$D$87)))</f>
        <v>19542.36738975086</v>
      </c>
      <c r="J31" s="252">
        <f>IF(Init!$R$9="Yes",IF('Staging Table'!D33=1,'Staging Table'!H33*-1*'Staging Table'!BT33/'Staging Table'!BS33,'Staging Table'!H33*SUM(D31:I31)*(-1)),IF('Staging Table'!D33=1,'Staging Table'!BV33*-1*'Staging Table'!BT33/'Staging Table'!BS33,'Staging Table'!BV33*SUM(D31:I31)*(-1)))</f>
        <v>0</v>
      </c>
      <c r="K31" s="250">
        <f>IF(Init!$R$9="Yes",'Staging Table'!K33,'Staging Table'!BY33)*(-1)*Rates_previous!$H$32</f>
        <v>0</v>
      </c>
      <c r="L31" s="250">
        <f>IF(Init!$R$12="No",0,'Staging Table'!$BI33*-1)*('Staging Table'!$F33/'Staging Table'!$E33)</f>
        <v>-132336.57605235174</v>
      </c>
      <c r="M31" s="250">
        <f>IF('Staging Table'!C33=1,"",SUM(D31:L31))</f>
        <v>3246875.6480806759</v>
      </c>
      <c r="N31" s="250">
        <f>IF('Staging Table'!C33=1,"",IF(Init!$R$9="Yes",(RT1SC!$C$3*'Staging Table'!F33*'Staging Table'!$F$2)+SUM('Staging Table'!L33:AI33)-IF(Init!$R$15="No",'Staging Table'!BH33, 0),Z31))</f>
        <v>83186.243940159999</v>
      </c>
      <c r="O31" s="126">
        <f>IF('Staging Table'!C33=1,"",IF(N31=0, 0, M31/N31))</f>
        <v>39.03140103808888</v>
      </c>
      <c r="P31" s="250">
        <f>'Staging Table'!BT33*Rates_current!$E$74*100*12</f>
        <v>3518650.4598000003</v>
      </c>
      <c r="Q31" s="250">
        <f>'Staging Table'!BT33*Rates_current!$E$75*100*12</f>
        <v>-355968.45899999997</v>
      </c>
      <c r="R31" s="251">
        <f>SUMPRODUCT('Staging Table'!BZ33:CW33, LS_Demand_Rates_Restatement!$C$5:$Z$5)-IF(Init!$R$15="No",('Staging Table'!DV33*Rates_current!$H$34), 0)</f>
        <v>-60388.01999999999</v>
      </c>
      <c r="S31" s="251">
        <f>SUMPRODUCT('Staging Table'!CX33:DI33, LS_Demand_Rates_Restatement!$C$11:$N$11)*1000</f>
        <v>309848.99999999994</v>
      </c>
      <c r="T31" s="252">
        <f>'Staging Table'!EF33*IF(Init!$R$18="Yes",IF(Init!$R$6=2020,Rates_current!$C$88,Rates_current!$D$88),Rates_current!$H$33)</f>
        <v>-129607.82220636668</v>
      </c>
      <c r="U31" s="252">
        <f>IF(Init!$R$18="Yes",(SUM('Staging Table'!DL33:DU33)*IF('Staging Table'!$BT$1=2020, Rates_current!$C$87, Rates_current!$D$87)),0)</f>
        <v>61423.952442677692</v>
      </c>
      <c r="V31" s="252">
        <f>IF('Staging Table'!D33=1, 'Staging Table'!BV33*-1*'Staging Table'!BT33/'Staging Table'!BS33,SUM(P31:U31)*'Staging Table'!BV33*-1)</f>
        <v>0</v>
      </c>
      <c r="W31" s="250">
        <f>'Staging Table'!BY33*Rates_current!$H$32*-1</f>
        <v>0</v>
      </c>
      <c r="X31" s="250">
        <f>IF(Init!$R$12="No",0,'Staging Table'!$DW33*-1)</f>
        <v>0</v>
      </c>
      <c r="Y31" s="250">
        <f>IF('Staging Table'!C33=1,"", SUM(P31:X31))</f>
        <v>3343959.1110363114</v>
      </c>
      <c r="Z31" s="250">
        <f>IF('Staging Table'!C33=1,"", (RT1SC!$C$4*'Staging Table'!BT33*'Staging Table'!$BT$2)+SUM('Staging Table'!BZ33:CW33)-IF(Init!$R$15="No",'Staging Table'!DV33, 0))</f>
        <v>83186.755500544008</v>
      </c>
      <c r="AA31" s="126">
        <f>IF('Staging Table'!C33=1,"",IF(Z31=0, 0, Y31/Z31))</f>
        <v>40.198215339873947</v>
      </c>
      <c r="AB31" s="118">
        <f ca="1">IF('Staging Table'!C33=1,"",(AA31/O31-1)+(RAND()/100000000000000))</f>
        <v>2.9894245934101484E-2</v>
      </c>
      <c r="AC31" s="79">
        <f t="shared" ca="1" si="0"/>
        <v>17</v>
      </c>
      <c r="AF31" s="255"/>
      <c r="AG31" s="255"/>
      <c r="AI31" s="255"/>
      <c r="AJ31" s="255"/>
    </row>
    <row r="32" spans="2:36">
      <c r="B32" s="166">
        <v>10082</v>
      </c>
      <c r="C32" s="167" t="s">
        <v>35</v>
      </c>
      <c r="D32" s="250">
        <f>IF(Init!$R$9="Yes",'Staging Table'!F34,'Staging Table'!BT34)*Rates_previous!$E$75*100*12</f>
        <v>36942.148800000003</v>
      </c>
      <c r="E32" s="250">
        <f>IF(Init!$R$9="Yes",'Staging Table'!F34,'Staging Table'!BT34)*Rates_previous!$E$76*100*12</f>
        <v>-5209.6470000000008</v>
      </c>
      <c r="F32" s="251">
        <f>IF(Init!$R$9="Yes",SUMPRODUCT('Staging Table'!L34:AI34,LS_Demand_Rates_Restatement!$C$4:$Z$4)-IF(Init!$R$15="No",('Staging Table'!BH34*Rates_previous!$H$34), 0),SUMPRODUCT('Staging Table'!BZ34:CW34,LS_Demand_Rates_Restatement!$C$4:$Z$4)-IF(Init!$R$15="No", 'Staging Table'!DV34*Rates_previous!$H$34, 0))</f>
        <v>-620.38999999999987</v>
      </c>
      <c r="G32" s="251">
        <f>IF(Init!$R$9="Yes",SUMPRODUCT('Staging Table'!AJ34:AU34,LS_Demand_Rates_Restatement!$C$10:$N$10),SUMPRODUCT(LS_Demand_Rates_Restatement!$C$10:$N$10,'Staging Table'!CX34:DI34))*1000</f>
        <v>1852.46</v>
      </c>
      <c r="H32" s="252">
        <f>IF(Init!$R$9="Yes",'Staging Table'!BR34,'Staging Table'!EF34)*IF(Init!$R$3=2018,Rates_previous!$C$88,Rates_previous!$D$88)</f>
        <v>-786.92108081840138</v>
      </c>
      <c r="I32" s="250">
        <f>IF(Init!$R$9="Yes",IF('Staging Table'!$F$1=2018,(SUM('Staging Table'!BD34:BG34)*Rates_previous!$C$87),(SUM('Staging Table'!BD34:BG34)*Rates_previous!$D$87)),IF('Staging Table'!$F$1=2018,(SUM('Staging Table'!DR34:DU34)*Rates_previous!$C$87),(SUM('Staging Table'!DR34:DU34)*Rates_previous!$D$87)))</f>
        <v>202.98304237205406</v>
      </c>
      <c r="J32" s="252">
        <f>IF(Init!$R$9="Yes",IF('Staging Table'!D34=1,'Staging Table'!H34*-1*'Staging Table'!BT34/'Staging Table'!BS34,'Staging Table'!H34*SUM(D32:I32)*(-1)),IF('Staging Table'!D34=1,'Staging Table'!BV34*-1*'Staging Table'!BT34/'Staging Table'!BS34,'Staging Table'!BV34*SUM(D32:I32)*(-1)))</f>
        <v>0</v>
      </c>
      <c r="K32" s="250">
        <f>IF(Init!$R$9="Yes",'Staging Table'!K34,'Staging Table'!BY34)*(-1)*Rates_previous!$H$32</f>
        <v>0</v>
      </c>
      <c r="L32" s="250">
        <f>IF(Init!$R$12="No",0,'Staging Table'!$BI34*-1)*('Staging Table'!$F34/'Staging Table'!$E34)</f>
        <v>-575.17635498852121</v>
      </c>
      <c r="M32" s="250">
        <f>IF('Staging Table'!C34=1,"",SUM(D32:L32))</f>
        <v>31805.457406565136</v>
      </c>
      <c r="N32" s="250">
        <f>IF('Staging Table'!C34=1,"",IF(Init!$R$9="Yes",(RT1SC!$C$3*'Staging Table'!F34*'Staging Table'!$F$2)+SUM('Staging Table'!L34:AI34)-IF(Init!$R$15="No",'Staging Table'!BH34, 0),Z32))</f>
        <v>824.13433892</v>
      </c>
      <c r="O32" s="126">
        <f>IF('Staging Table'!C34=1,"",IF(N32=0, 0, M32/N32))</f>
        <v>38.592564227144209</v>
      </c>
      <c r="P32" s="250">
        <f>'Staging Table'!BT34*Rates_current!$E$74*100*12</f>
        <v>31847.292240000002</v>
      </c>
      <c r="Q32" s="250">
        <f>'Staging Table'!BT34*Rates_current!$E$75*100*12</f>
        <v>-3221.8692000000001</v>
      </c>
      <c r="R32" s="251">
        <f>SUMPRODUCT('Staging Table'!BZ34:CW34, LS_Demand_Rates_Restatement!$C$5:$Z$5)-IF(Init!$R$15="No",('Staging Table'!DV34*Rates_current!$H$34), 0)</f>
        <v>713.80000000000018</v>
      </c>
      <c r="S32" s="251">
        <f>SUMPRODUCT('Staging Table'!CX34:DI34, LS_Demand_Rates_Restatement!$C$11:$N$11)*1000</f>
        <v>2117.5300000000002</v>
      </c>
      <c r="T32" s="252">
        <f>'Staging Table'!EF34*IF(Init!$R$18="Yes",IF(Init!$R$6=2020,Rates_current!$C$88,Rates_current!$D$88),Rates_current!$H$33)</f>
        <v>-29.702297281537351</v>
      </c>
      <c r="U32" s="252">
        <f>IF(Init!$R$18="Yes",(SUM('Staging Table'!DL34:DU34)*IF('Staging Table'!$BT$1=2020, Rates_current!$C$87, Rates_current!$D$87)),0)</f>
        <v>555.94796537107811</v>
      </c>
      <c r="V32" s="252">
        <f>IF('Staging Table'!D34=1, 'Staging Table'!BV34*-1*'Staging Table'!BT34/'Staging Table'!BS34,SUM(P32:U32)*'Staging Table'!BV34*-1)</f>
        <v>0</v>
      </c>
      <c r="W32" s="250">
        <f>'Staging Table'!BY34*Rates_current!$H$32*-1</f>
        <v>0</v>
      </c>
      <c r="X32" s="250">
        <f>IF(Init!$R$12="No",0,'Staging Table'!$DW34*-1)</f>
        <v>0</v>
      </c>
      <c r="Y32" s="250">
        <f>IF('Staging Table'!C34=1,"", SUM(P32:X32))</f>
        <v>31982.998708089541</v>
      </c>
      <c r="Z32" s="250">
        <f>IF('Staging Table'!C34=1,"", (RT1SC!$C$4*'Staging Table'!BT34*'Staging Table'!$BT$2)+SUM('Staging Table'!BZ34:CW34)-IF(Init!$R$15="No",'Staging Table'!DV34, 0))</f>
        <v>823.82439966719994</v>
      </c>
      <c r="AA32" s="126">
        <f>IF('Staging Table'!C34=1,"",IF(Z32=0, 0, Y32/Z32))</f>
        <v>38.822592194416309</v>
      </c>
      <c r="AB32" s="118">
        <f ca="1">IF('Staging Table'!C34=1,"",(AA32/O32-1)+(RAND()/100000000000000))</f>
        <v>5.9604219589658195E-3</v>
      </c>
      <c r="AC32" s="79">
        <f t="shared" ca="1" si="0"/>
        <v>90</v>
      </c>
      <c r="AF32" s="255"/>
      <c r="AG32" s="255"/>
      <c r="AI32" s="255"/>
      <c r="AJ32" s="255"/>
    </row>
    <row r="33" spans="2:36">
      <c r="B33" s="166">
        <v>10083</v>
      </c>
      <c r="C33" s="167" t="s">
        <v>36</v>
      </c>
      <c r="D33" s="250">
        <f>IF(Init!$R$9="Yes",'Staging Table'!F35,'Staging Table'!BT35)*Rates_previous!$E$75*100*12</f>
        <v>3018810.4905600003</v>
      </c>
      <c r="E33" s="250">
        <f>IF(Init!$R$9="Yes",'Staging Table'!F35,'Staging Table'!BT35)*Rates_previous!$E$76*100*12</f>
        <v>-425717.98139999999</v>
      </c>
      <c r="F33" s="251">
        <f>IF(Init!$R$9="Yes",SUMPRODUCT('Staging Table'!L35:AI35,LS_Demand_Rates_Restatement!$C$4:$Z$4)-IF(Init!$R$15="No",('Staging Table'!BH35*Rates_previous!$H$34), 0),SUMPRODUCT('Staging Table'!BZ35:CW35,LS_Demand_Rates_Restatement!$C$4:$Z$4)-IF(Init!$R$15="No", 'Staging Table'!DV35*Rates_previous!$H$34, 0))</f>
        <v>48412.932736457951</v>
      </c>
      <c r="G33" s="251">
        <f>IF(Init!$R$9="Yes",SUMPRODUCT('Staging Table'!AJ35:AU35,LS_Demand_Rates_Restatement!$C$10:$N$10),SUMPRODUCT(LS_Demand_Rates_Restatement!$C$10:$N$10,'Staging Table'!CX35:DI35))*1000</f>
        <v>138063.65</v>
      </c>
      <c r="H33" s="252">
        <f>IF(Init!$R$9="Yes",'Staging Table'!BR35,'Staging Table'!EF35)*IF(Init!$R$3=2018,Rates_previous!$C$88,Rates_previous!$D$88)</f>
        <v>0</v>
      </c>
      <c r="I33" s="250">
        <f>IF(Init!$R$9="Yes",IF('Staging Table'!$F$1=2018,(SUM('Staging Table'!BD35:BG35)*Rates_previous!$C$87),(SUM('Staging Table'!BD35:BG35)*Rates_previous!$D$87)),IF('Staging Table'!$F$1=2018,(SUM('Staging Table'!DR35:DU35)*Rates_previous!$C$87),(SUM('Staging Table'!DR35:DU35)*Rates_previous!$D$87)))</f>
        <v>16587.214269423916</v>
      </c>
      <c r="J33" s="252">
        <f>IF(Init!$R$9="Yes",IF('Staging Table'!D35=1,'Staging Table'!H35*-1*'Staging Table'!BT35/'Staging Table'!BS35,'Staging Table'!H35*SUM(D33:I33)*(-1)),IF('Staging Table'!D35=1,'Staging Table'!BV35*-1*'Staging Table'!BT35/'Staging Table'!BS35,'Staging Table'!BV35*SUM(D33:I33)*(-1)))</f>
        <v>0</v>
      </c>
      <c r="K33" s="250">
        <f>IF(Init!$R$9="Yes",'Staging Table'!K35,'Staging Table'!BY35)*(-1)*Rates_previous!$H$32</f>
        <v>0</v>
      </c>
      <c r="L33" s="250">
        <f>IF(Init!$R$12="No",0,'Staging Table'!$BI35*-1)*('Staging Table'!$F35/'Staging Table'!$E35)</f>
        <v>-106604.71104336144</v>
      </c>
      <c r="M33" s="250">
        <f>IF('Staging Table'!C35=1,"",SUM(D33:L33))</f>
        <v>2689551.5951225203</v>
      </c>
      <c r="N33" s="250">
        <f>IF('Staging Table'!C35=1,"",IF(Init!$R$9="Yes",(RT1SC!$C$3*'Staging Table'!F35*'Staging Table'!$F$2)+SUM('Staging Table'!L35:AI35)-IF(Init!$R$15="No",'Staging Table'!BH35, 0),Z33))</f>
        <v>72086.039999999994</v>
      </c>
      <c r="O33" s="126">
        <f>IF('Staging Table'!C35=1,"",IF(N33=0, 0, M33/N33))</f>
        <v>37.31029746012571</v>
      </c>
      <c r="P33" s="250">
        <f>'Staging Table'!BT35*Rates_current!$E$74*100*12</f>
        <v>2814682.7014799993</v>
      </c>
      <c r="Q33" s="250">
        <f>'Staging Table'!BT35*Rates_current!$E$75*100*12</f>
        <v>-284750.72339999996</v>
      </c>
      <c r="R33" s="251">
        <f>SUMPRODUCT('Staging Table'!BZ35:CW35, LS_Demand_Rates_Restatement!$C$5:$Z$5)-IF(Init!$R$15="No",('Staging Table'!DV35*Rates_current!$H$34), 0)</f>
        <v>53635.800789242261</v>
      </c>
      <c r="S33" s="251">
        <f>SUMPRODUCT('Staging Table'!CX35:DI35, LS_Demand_Rates_Restatement!$C$11:$N$11)*1000</f>
        <v>158266.59999999998</v>
      </c>
      <c r="T33" s="252">
        <f>'Staging Table'!EF35*IF(Init!$R$18="Yes",IF(Init!$R$6=2020,Rates_current!$C$88,Rates_current!$D$88),Rates_current!$H$33)</f>
        <v>0</v>
      </c>
      <c r="U33" s="252">
        <f>IF(Init!$R$18="Yes",(SUM('Staging Table'!DL35:DU35)*IF('Staging Table'!$BT$1=2020, Rates_current!$C$87, Rates_current!$D$87)),0)</f>
        <v>49135.013088728934</v>
      </c>
      <c r="V33" s="252">
        <f>IF('Staging Table'!D35=1, 'Staging Table'!BV35*-1*'Staging Table'!BT35/'Staging Table'!BS35,SUM(P33:U33)*'Staging Table'!BV35*-1)</f>
        <v>0</v>
      </c>
      <c r="W33" s="250">
        <f>'Staging Table'!BY35*Rates_current!$H$32*-1</f>
        <v>0</v>
      </c>
      <c r="X33" s="250">
        <f>IF(Init!$R$12="No",0,'Staging Table'!$DW35*-1)</f>
        <v>0</v>
      </c>
      <c r="Y33" s="250">
        <f>IF('Staging Table'!C35=1,"", SUM(P33:X33))</f>
        <v>2790969.3919579703</v>
      </c>
      <c r="Z33" s="250">
        <f>IF('Staging Table'!C35=1,"", (RT1SC!$C$4*'Staging Table'!BT35*'Staging Table'!$BT$2)+SUM('Staging Table'!BZ35:CW35)-IF(Init!$R$15="No",'Staging Table'!DV35, 0))</f>
        <v>73074.096000000005</v>
      </c>
      <c r="AA33" s="126">
        <f>IF('Staging Table'!C35=1,"",IF(Z33=0, 0, Y33/Z33))</f>
        <v>38.193690305220748</v>
      </c>
      <c r="AB33" s="118">
        <f ca="1">IF('Staging Table'!C35=1,"",(AA33/O33-1)+(RAND()/100000000000000))</f>
        <v>2.3676917774226841E-2</v>
      </c>
      <c r="AC33" s="79">
        <f t="shared" ca="1" si="0"/>
        <v>38</v>
      </c>
      <c r="AF33" s="255"/>
      <c r="AG33" s="255"/>
      <c r="AI33" s="255"/>
      <c r="AJ33" s="255"/>
    </row>
    <row r="34" spans="2:36">
      <c r="B34" s="166">
        <v>10086</v>
      </c>
      <c r="C34" s="167" t="s">
        <v>37</v>
      </c>
      <c r="D34" s="250">
        <f>IF(Init!$R$9="Yes",'Staging Table'!F36,'Staging Table'!BT36)*Rates_previous!$E$75*100*12</f>
        <v>1424183.5296</v>
      </c>
      <c r="E34" s="250">
        <f>IF(Init!$R$9="Yes",'Staging Table'!F36,'Staging Table'!BT36)*Rates_previous!$E$76*100*12</f>
        <v>-200840.87400000004</v>
      </c>
      <c r="F34" s="251">
        <f>IF(Init!$R$9="Yes",SUMPRODUCT('Staging Table'!L36:AI36,LS_Demand_Rates_Restatement!$C$4:$Z$4)-IF(Init!$R$15="No",('Staging Table'!BH36*Rates_previous!$H$34), 0),SUMPRODUCT('Staging Table'!BZ36:CW36,LS_Demand_Rates_Restatement!$C$4:$Z$4)-IF(Init!$R$15="No", 'Staging Table'!DV36*Rates_previous!$H$34, 0))</f>
        <v>18376.469999999983</v>
      </c>
      <c r="G34" s="251">
        <f>IF(Init!$R$9="Yes",SUMPRODUCT('Staging Table'!AJ36:AU36,LS_Demand_Rates_Restatement!$C$10:$N$10),SUMPRODUCT(LS_Demand_Rates_Restatement!$C$10:$N$10,'Staging Table'!CX36:DI36))*1000</f>
        <v>79072.74000000002</v>
      </c>
      <c r="H34" s="252">
        <f>IF(Init!$R$9="Yes",'Staging Table'!BR36,'Staging Table'!EF36)*IF(Init!$R$3=2018,Rates_previous!$C$88,Rates_previous!$D$88)</f>
        <v>-538.93366741280943</v>
      </c>
      <c r="I34" s="250">
        <f>IF(Init!$R$9="Yes",IF('Staging Table'!$F$1=2018,(SUM('Staging Table'!BD36:BG36)*Rates_previous!$C$87),(SUM('Staging Table'!BD36:BG36)*Rates_previous!$D$87)),IF('Staging Table'!$F$1=2018,(SUM('Staging Table'!DR36:DU36)*Rates_previous!$C$87),(SUM('Staging Table'!DR36:DU36)*Rates_previous!$D$87)))</f>
        <v>7825.3462542053949</v>
      </c>
      <c r="J34" s="252">
        <f>IF(Init!$R$9="Yes",IF('Staging Table'!D36=1,'Staging Table'!H36*-1*'Staging Table'!BT36/'Staging Table'!BS36,'Staging Table'!H36*SUM(D34:I34)*(-1)),IF('Staging Table'!D36=1,'Staging Table'!BV36*-1*'Staging Table'!BT36/'Staging Table'!BS36,'Staging Table'!BV36*SUM(D34:I34)*(-1)))</f>
        <v>0</v>
      </c>
      <c r="K34" s="250">
        <f>IF(Init!$R$9="Yes",'Staging Table'!K36,'Staging Table'!BY36)*(-1)*Rates_previous!$H$32</f>
        <v>0</v>
      </c>
      <c r="L34" s="250">
        <f>IF(Init!$R$12="No",0,'Staging Table'!$BI36*-1)*('Staging Table'!$F36/'Staging Table'!$E36)</f>
        <v>-50427.790581798938</v>
      </c>
      <c r="M34" s="250">
        <f>IF('Staging Table'!C36=1,"",SUM(D34:L34))</f>
        <v>1277650.4876049936</v>
      </c>
      <c r="N34" s="250">
        <f>IF('Staging Table'!C36=1,"",IF(Init!$R$9="Yes",(RT1SC!$C$3*'Staging Table'!F36*'Staging Table'!$F$2)+SUM('Staging Table'!L36:AI36)-IF(Init!$R$15="No",'Staging Table'!BH36, 0),Z34))</f>
        <v>33964.799686639999</v>
      </c>
      <c r="O34" s="126">
        <f>IF('Staging Table'!C36=1,"",IF(N34=0, 0, M34/N34))</f>
        <v>37.616900420218158</v>
      </c>
      <c r="P34" s="250">
        <f>'Staging Table'!BT36*Rates_current!$E$74*100*12</f>
        <v>1310492.30904</v>
      </c>
      <c r="Q34" s="250">
        <f>'Staging Table'!BT36*Rates_current!$E$75*100*12</f>
        <v>-132577.51319999999</v>
      </c>
      <c r="R34" s="251">
        <f>SUMPRODUCT('Staging Table'!BZ36:CW36, LS_Demand_Rates_Restatement!$C$5:$Z$5)-IF(Init!$R$15="No",('Staging Table'!DV36*Rates_current!$H$34), 0)</f>
        <v>20036.309999999994</v>
      </c>
      <c r="S34" s="251">
        <f>SUMPRODUCT('Staging Table'!CX36:DI36, LS_Demand_Rates_Restatement!$C$11:$N$11)*1000</f>
        <v>88349.209999999992</v>
      </c>
      <c r="T34" s="252">
        <f>'Staging Table'!EF36*IF(Init!$R$18="Yes",IF(Init!$R$6=2020,Rates_current!$C$88,Rates_current!$D$88),Rates_current!$H$33)</f>
        <v>-924.03054097314191</v>
      </c>
      <c r="U34" s="252">
        <f>IF(Init!$R$18="Yes",(SUM('Staging Table'!DL36:DU36)*IF('Staging Table'!$BT$1=2020, Rates_current!$C$87, Rates_current!$D$87)),0)</f>
        <v>22876.843888478536</v>
      </c>
      <c r="V34" s="252">
        <f>IF('Staging Table'!D36=1, 'Staging Table'!BV36*-1*'Staging Table'!BT36/'Staging Table'!BS36,SUM(P34:U34)*'Staging Table'!BV36*-1)</f>
        <v>0</v>
      </c>
      <c r="W34" s="250">
        <f>'Staging Table'!BY36*Rates_current!$H$32*-1</f>
        <v>0</v>
      </c>
      <c r="X34" s="250">
        <f>IF(Init!$R$12="No",0,'Staging Table'!$DW36*-1)</f>
        <v>0</v>
      </c>
      <c r="Y34" s="250">
        <f>IF('Staging Table'!C36=1,"", SUM(P34:X34))</f>
        <v>1308253.1291875055</v>
      </c>
      <c r="Z34" s="250">
        <f>IF('Staging Table'!C36=1,"", (RT1SC!$C$4*'Staging Table'!BT36*'Staging Table'!$BT$2)+SUM('Staging Table'!BZ36:CW36)-IF(Init!$R$15="No",'Staging Table'!DV36, 0))</f>
        <v>33962.207013171195</v>
      </c>
      <c r="AA34" s="126">
        <f>IF('Staging Table'!C36=1,"",IF(Z34=0, 0, Y34/Z34))</f>
        <v>38.520851388725703</v>
      </c>
      <c r="AB34" s="118">
        <f ca="1">IF('Staging Table'!C36=1,"",(AA34/O34-1)+(RAND()/100000000000000))</f>
        <v>2.4030447974436545E-2</v>
      </c>
      <c r="AC34" s="79">
        <f t="shared" ca="1" si="0"/>
        <v>35</v>
      </c>
      <c r="AF34" s="255"/>
      <c r="AG34" s="255"/>
      <c r="AI34" s="255"/>
      <c r="AJ34" s="255"/>
    </row>
    <row r="35" spans="2:36">
      <c r="B35" s="166">
        <v>10087</v>
      </c>
      <c r="C35" s="167" t="s">
        <v>38</v>
      </c>
      <c r="D35" s="250">
        <f>IF(Init!$R$9="Yes",'Staging Table'!F37,'Staging Table'!BT37)*Rates_previous!$E$75*100*12</f>
        <v>11306080.946880002</v>
      </c>
      <c r="E35" s="250">
        <f>IF(Init!$R$9="Yes",'Staging Table'!F37,'Staging Table'!BT37)*Rates_previous!$E$76*100*12</f>
        <v>-1594403.4822</v>
      </c>
      <c r="F35" s="251">
        <f>IF(Init!$R$9="Yes",SUMPRODUCT('Staging Table'!L37:AI37,LS_Demand_Rates_Restatement!$C$4:$Z$4)-IF(Init!$R$15="No",('Staging Table'!BH37*Rates_previous!$H$34), 0),SUMPRODUCT('Staging Table'!BZ37:CW37,LS_Demand_Rates_Restatement!$C$4:$Z$4)-IF(Init!$R$15="No", 'Staging Table'!DV37*Rates_previous!$H$34, 0))</f>
        <v>407866.86000000016</v>
      </c>
      <c r="G35" s="251">
        <f>IF(Init!$R$9="Yes",SUMPRODUCT('Staging Table'!AJ37:AU37,LS_Demand_Rates_Restatement!$C$10:$N$10),SUMPRODUCT(LS_Demand_Rates_Restatement!$C$10:$N$10,'Staging Table'!CX37:DI37))*1000</f>
        <v>18431.14</v>
      </c>
      <c r="H35" s="252">
        <f>IF(Init!$R$9="Yes",'Staging Table'!BR37,'Staging Table'!EF37)*IF(Init!$R$3=2018,Rates_previous!$C$88,Rates_previous!$D$88)</f>
        <v>154880.65049739214</v>
      </c>
      <c r="I35" s="250">
        <f>IF(Init!$R$9="Yes",IF('Staging Table'!$F$1=2018,(SUM('Staging Table'!BD37:BG37)*Rates_previous!$C$87),(SUM('Staging Table'!BD37:BG37)*Rates_previous!$D$87)),IF('Staging Table'!$F$1=2018,(SUM('Staging Table'!DR37:DU37)*Rates_previous!$C$87),(SUM('Staging Table'!DR37:DU37)*Rates_previous!$D$87)))</f>
        <v>62122.610147204439</v>
      </c>
      <c r="J35" s="252">
        <f>IF(Init!$R$9="Yes",IF('Staging Table'!D37=1,'Staging Table'!H37*-1*'Staging Table'!BT37/'Staging Table'!BS37,'Staging Table'!H37*SUM(D35:I35)*(-1)),IF('Staging Table'!D37=1,'Staging Table'!BV37*-1*'Staging Table'!BT37/'Staging Table'!BS37,'Staging Table'!BV37*SUM(D35:I35)*(-1)))</f>
        <v>0</v>
      </c>
      <c r="K35" s="250">
        <f>IF(Init!$R$9="Yes",'Staging Table'!K37,'Staging Table'!BY37)*(-1)*Rates_previous!$H$32</f>
        <v>0</v>
      </c>
      <c r="L35" s="250">
        <f>IF(Init!$R$12="No",0,'Staging Table'!$BI37*-1)*('Staging Table'!$F37/'Staging Table'!$E37)</f>
        <v>-693203.97036166384</v>
      </c>
      <c r="M35" s="250">
        <f>IF('Staging Table'!C37=1,"",SUM(D35:L35))</f>
        <v>9661774.7549629342</v>
      </c>
      <c r="N35" s="250">
        <f>IF('Staging Table'!C37=1,"",IF(Init!$R$9="Yes",(RT1SC!$C$3*'Staging Table'!F37*'Staging Table'!$F$2)+SUM('Staging Table'!L37:AI37)-IF(Init!$R$15="No",'Staging Table'!BH37, 0),Z35))</f>
        <v>281906.693505192</v>
      </c>
      <c r="O35" s="126">
        <f>IF('Staging Table'!C37=1,"",IF(N35=0, 0, M35/N35))</f>
        <v>34.272952638440948</v>
      </c>
      <c r="P35" s="250">
        <f>'Staging Table'!BT37*Rates_current!$E$74*100*12</f>
        <v>10376513.2776</v>
      </c>
      <c r="Q35" s="250">
        <f>'Staging Table'!BT37*Rates_current!$E$75*100*12</f>
        <v>-1049752.308</v>
      </c>
      <c r="R35" s="251">
        <f>SUMPRODUCT('Staging Table'!BZ37:CW37, LS_Demand_Rates_Restatement!$C$5:$Z$5)-IF(Init!$R$15="No",('Staging Table'!DV37*Rates_current!$H$34), 0)</f>
        <v>388376.87999999983</v>
      </c>
      <c r="S35" s="251">
        <f>SUMPRODUCT('Staging Table'!CX37:DI37, LS_Demand_Rates_Restatement!$C$11:$N$11)*1000</f>
        <v>28440.82</v>
      </c>
      <c r="T35" s="252">
        <f>'Staging Table'!EF37*IF(Init!$R$18="Yes",IF(Init!$R$6=2020,Rates_current!$C$88,Rates_current!$D$88),Rates_current!$H$33)</f>
        <v>198536.40328513543</v>
      </c>
      <c r="U35" s="252">
        <f>IF(Init!$R$18="Yes",(SUM('Staging Table'!DL37:DU37)*IF('Staging Table'!$BT$1=2020, Rates_current!$C$87, Rates_current!$D$87)),0)</f>
        <v>181139.46394105424</v>
      </c>
      <c r="V35" s="252">
        <f>IF('Staging Table'!D37=1, 'Staging Table'!BV37*-1*'Staging Table'!BT37/'Staging Table'!BS37,SUM(P35:U35)*'Staging Table'!BV37*-1)</f>
        <v>0</v>
      </c>
      <c r="W35" s="250">
        <f>'Staging Table'!BY37*Rates_current!$H$32*-1</f>
        <v>0</v>
      </c>
      <c r="X35" s="250">
        <f>IF(Init!$R$12="No",0,'Staging Table'!$DW37*-1)</f>
        <v>0</v>
      </c>
      <c r="Y35" s="250">
        <f>IF('Staging Table'!C37=1,"", SUM(P35:X35))</f>
        <v>10123254.536826188</v>
      </c>
      <c r="Z35" s="250">
        <f>IF('Staging Table'!C37=1,"", (RT1SC!$C$4*'Staging Table'!BT37*'Staging Table'!$BT$2)+SUM('Staging Table'!BZ37:CW37)-IF(Init!$R$15="No",'Staging Table'!DV37, 0))</f>
        <v>281906.66633932799</v>
      </c>
      <c r="AA35" s="126">
        <f>IF('Staging Table'!C37=1,"",IF(Z35=0, 0, Y35/Z35))</f>
        <v>35.909950865230471</v>
      </c>
      <c r="AB35" s="118">
        <f ca="1">IF('Staging Table'!C37=1,"",(AA35/O35-1)+(RAND()/100000000000000))</f>
        <v>4.7763559914399192E-2</v>
      </c>
      <c r="AC35" s="79">
        <f t="shared" ca="1" si="0"/>
        <v>2</v>
      </c>
      <c r="AF35" s="255"/>
      <c r="AG35" s="255"/>
      <c r="AI35" s="255"/>
      <c r="AJ35" s="255"/>
    </row>
    <row r="36" spans="2:36">
      <c r="B36" s="166">
        <v>10089</v>
      </c>
      <c r="C36" s="167" t="s">
        <v>39</v>
      </c>
      <c r="D36" s="250">
        <f>IF(Init!$R$9="Yes",'Staging Table'!F38,'Staging Table'!BT38)*Rates_previous!$E$75*100*12</f>
        <v>37488637.8288</v>
      </c>
      <c r="E36" s="250">
        <f>IF(Init!$R$9="Yes",'Staging Table'!F38,'Staging Table'!BT38)*Rates_previous!$E$76*100*12</f>
        <v>-5286713.8470000001</v>
      </c>
      <c r="F36" s="251">
        <f>IF(Init!$R$9="Yes",SUMPRODUCT('Staging Table'!L38:AI38,LS_Demand_Rates_Restatement!$C$4:$Z$4)-IF(Init!$R$15="No",('Staging Table'!BH38*Rates_previous!$H$34), 0),SUMPRODUCT('Staging Table'!BZ38:CW38,LS_Demand_Rates_Restatement!$C$4:$Z$4)-IF(Init!$R$15="No", 'Staging Table'!DV38*Rates_previous!$H$34, 0))</f>
        <v>-308991.40000000008</v>
      </c>
      <c r="G36" s="251">
        <f>IF(Init!$R$9="Yes",SUMPRODUCT('Staging Table'!AJ38:AU38,LS_Demand_Rates_Restatement!$C$10:$N$10),SUMPRODUCT(LS_Demand_Rates_Restatement!$C$10:$N$10,'Staging Table'!CX38:DI38))*1000</f>
        <v>1351416.64</v>
      </c>
      <c r="H36" s="252">
        <f>IF(Init!$R$9="Yes",'Staging Table'!BR38,'Staging Table'!EF38)*IF(Init!$R$3=2018,Rates_previous!$C$88,Rates_previous!$D$88)</f>
        <v>0</v>
      </c>
      <c r="I36" s="250">
        <f>IF(Init!$R$9="Yes",IF('Staging Table'!$F$1=2018,(SUM('Staging Table'!BD38:BG38)*Rates_previous!$C$87),(SUM('Staging Table'!BD38:BG38)*Rates_previous!$D$87)),IF('Staging Table'!$F$1=2018,(SUM('Staging Table'!DR38:DU38)*Rates_previous!$C$87),(SUM('Staging Table'!DR38:DU38)*Rates_previous!$D$87)))</f>
        <v>205985.79151610957</v>
      </c>
      <c r="J36" s="252">
        <f>IF(Init!$R$9="Yes",IF('Staging Table'!D38=1,'Staging Table'!H38*-1*'Staging Table'!BT38/'Staging Table'!BS38,'Staging Table'!H38*SUM(D36:I36)*(-1)),IF('Staging Table'!D38=1,'Staging Table'!BV38*-1*'Staging Table'!BT38/'Staging Table'!BS38,'Staging Table'!BV38*SUM(D36:I36)*(-1)))</f>
        <v>0</v>
      </c>
      <c r="K36" s="250">
        <f>IF(Init!$R$9="Yes",'Staging Table'!K38,'Staging Table'!BY38)*(-1)*Rates_previous!$H$32</f>
        <v>0</v>
      </c>
      <c r="L36" s="250">
        <f>IF(Init!$R$12="No",0,'Staging Table'!$BI38*-1)*('Staging Table'!$F38/'Staging Table'!$E38)</f>
        <v>-1207342.0876217578</v>
      </c>
      <c r="M36" s="250">
        <f>IF('Staging Table'!C38=1,"",SUM(D36:L36))</f>
        <v>32242992.925694354</v>
      </c>
      <c r="N36" s="250">
        <f>IF('Staging Table'!C38=1,"",IF(Init!$R$9="Yes",(RT1SC!$C$3*'Staging Table'!F38*'Staging Table'!$F$2)+SUM('Staging Table'!L38:AI38)-IF(Init!$R$15="No",'Staging Table'!BH38, 0),Z36))</f>
        <v>864910.84345091996</v>
      </c>
      <c r="O36" s="126">
        <f>IF('Staging Table'!C38=1,"",IF(N36=0, 0, M36/N36))</f>
        <v>37.27897871767636</v>
      </c>
      <c r="P36" s="250">
        <f>'Staging Table'!BT38*Rates_current!$E$74*100*12</f>
        <v>34952640.89976</v>
      </c>
      <c r="Q36" s="250">
        <f>'Staging Table'!BT38*Rates_current!$E$75*100*12</f>
        <v>-3536025.4908000003</v>
      </c>
      <c r="R36" s="251">
        <f>SUMPRODUCT('Staging Table'!BZ38:CW38, LS_Demand_Rates_Restatement!$C$5:$Z$5)-IF(Init!$R$15="No",('Staging Table'!DV38*Rates_current!$H$34), 0)</f>
        <v>85865.809999999983</v>
      </c>
      <c r="S36" s="251">
        <f>SUMPRODUCT('Staging Table'!CX38:DI38, LS_Demand_Rates_Restatement!$C$11:$N$11)*1000</f>
        <v>1546108.52</v>
      </c>
      <c r="T36" s="252">
        <f>'Staging Table'!EF38*IF(Init!$R$18="Yes",IF(Init!$R$6=2020,Rates_current!$C$88,Rates_current!$D$88),Rates_current!$H$33)</f>
        <v>0</v>
      </c>
      <c r="U36" s="252">
        <f>IF(Init!$R$18="Yes",(SUM('Staging Table'!DL38:DU38)*IF('Staging Table'!$BT$1=2020, Rates_current!$C$87, Rates_current!$D$87)),0)</f>
        <v>610157.04086017143</v>
      </c>
      <c r="V36" s="252">
        <f>IF('Staging Table'!D38=1, 'Staging Table'!BV38*-1*'Staging Table'!BT38/'Staging Table'!BS38,SUM(P36:U36)*'Staging Table'!BV38*-1)</f>
        <v>0</v>
      </c>
      <c r="W36" s="250">
        <f>'Staging Table'!BY38*Rates_current!$H$32*-1</f>
        <v>0</v>
      </c>
      <c r="X36" s="250">
        <f>IF(Init!$R$12="No",0,'Staging Table'!$DW38*-1)</f>
        <v>0</v>
      </c>
      <c r="Y36" s="250">
        <f>IF('Staging Table'!C38=1,"", SUM(P36:X36))</f>
        <v>33658746.779820167</v>
      </c>
      <c r="Z36" s="250">
        <f>IF('Staging Table'!C38=1,"", (RT1SC!$C$4*'Staging Table'!BT38*'Staging Table'!$BT$2)+SUM('Staging Table'!BZ38:CW38)-IF(Init!$R$15="No",'Staging Table'!DV38, 0))</f>
        <v>890534.94896609278</v>
      </c>
      <c r="AA36" s="126">
        <f>IF('Staging Table'!C38=1,"",IF(Z36=0, 0, Y36/Z36))</f>
        <v>37.796098647108487</v>
      </c>
      <c r="AB36" s="118">
        <f ca="1">IF('Staging Table'!C38=1,"",(AA36/O36-1)+(RAND()/100000000000000))</f>
        <v>1.3871622754169756E-2</v>
      </c>
      <c r="AC36" s="79">
        <f t="shared" ca="1" si="0"/>
        <v>78</v>
      </c>
      <c r="AF36" s="255"/>
      <c r="AG36" s="255"/>
      <c r="AI36" s="255"/>
      <c r="AJ36" s="255"/>
    </row>
    <row r="37" spans="2:36">
      <c r="B37" s="166">
        <v>10091</v>
      </c>
      <c r="C37" s="167" t="s">
        <v>40</v>
      </c>
      <c r="D37" s="250">
        <f>IF(Init!$R$9="Yes",'Staging Table'!F39,'Staging Table'!BT39)*Rates_previous!$E$75*100*12</f>
        <v>3400970.65056</v>
      </c>
      <c r="E37" s="250">
        <f>IF(Init!$R$9="Yes",'Staging Table'!F39,'Staging Table'!BT39)*Rates_previous!$E$76*100*12</f>
        <v>-479610.88139999995</v>
      </c>
      <c r="F37" s="251">
        <f>IF(Init!$R$9="Yes",SUMPRODUCT('Staging Table'!L39:AI39,LS_Demand_Rates_Restatement!$C$4:$Z$4)-IF(Init!$R$15="No",('Staging Table'!BH39*Rates_previous!$H$34), 0),SUMPRODUCT('Staging Table'!BZ39:CW39,LS_Demand_Rates_Restatement!$C$4:$Z$4)-IF(Init!$R$15="No", 'Staging Table'!DV39*Rates_previous!$H$34, 0))</f>
        <v>49998.529077338215</v>
      </c>
      <c r="G37" s="251">
        <f>IF(Init!$R$9="Yes",SUMPRODUCT('Staging Table'!AJ39:AU39,LS_Demand_Rates_Restatement!$C$10:$N$10),SUMPRODUCT(LS_Demand_Rates_Restatement!$C$10:$N$10,'Staging Table'!CX39:DI39))*1000</f>
        <v>210080.75</v>
      </c>
      <c r="H37" s="252">
        <f>IF(Init!$R$9="Yes",'Staging Table'!BR39,'Staging Table'!EF39)*IF(Init!$R$3=2018,Rates_previous!$C$88,Rates_previous!$D$88)</f>
        <v>0</v>
      </c>
      <c r="I37" s="250">
        <f>IF(Init!$R$9="Yes",IF('Staging Table'!$F$1=2018,(SUM('Staging Table'!BD39:BG39)*Rates_previous!$C$87),(SUM('Staging Table'!BD39:BG39)*Rates_previous!$D$87)),IF('Staging Table'!$F$1=2018,(SUM('Staging Table'!DR39:DU39)*Rates_previous!$C$87),(SUM('Staging Table'!DR39:DU39)*Rates_previous!$D$87)))</f>
        <v>18687.038845686548</v>
      </c>
      <c r="J37" s="252">
        <f>IF(Init!$R$9="Yes",IF('Staging Table'!D39=1,'Staging Table'!H39*-1*'Staging Table'!BT39/'Staging Table'!BS39,'Staging Table'!H39*SUM(D37:I37)*(-1)),IF('Staging Table'!D39=1,'Staging Table'!BV39*-1*'Staging Table'!BT39/'Staging Table'!BS39,'Staging Table'!BV39*SUM(D37:I37)*(-1)))</f>
        <v>0</v>
      </c>
      <c r="K37" s="250">
        <f>IF(Init!$R$9="Yes",'Staging Table'!K39,'Staging Table'!BY39)*(-1)*Rates_previous!$H$32</f>
        <v>0</v>
      </c>
      <c r="L37" s="250">
        <f>IF(Init!$R$12="No",0,'Staging Table'!$BI39*-1)*('Staging Table'!$F39/'Staging Table'!$E39)</f>
        <v>-125894.70843970538</v>
      </c>
      <c r="M37" s="250">
        <f>IF('Staging Table'!C39=1,"",SUM(D37:L37))</f>
        <v>3074231.3786433195</v>
      </c>
      <c r="N37" s="250">
        <f>IF('Staging Table'!C39=1,"",IF(Init!$R$9="Yes",(RT1SC!$C$3*'Staging Table'!F39*'Staging Table'!$F$2)+SUM('Staging Table'!L39:AI39)-IF(Init!$R$15="No",'Staging Table'!BH39, 0),Z37))</f>
        <v>81213.960000000006</v>
      </c>
      <c r="O37" s="126">
        <f>IF('Staging Table'!C39=1,"",IF(N37=0, 0, M37/N37))</f>
        <v>37.853484532010498</v>
      </c>
      <c r="P37" s="250">
        <f>'Staging Table'!BT39*Rates_current!$E$74*100*12</f>
        <v>3171182.2414800003</v>
      </c>
      <c r="Q37" s="250">
        <f>'Staging Table'!BT39*Rates_current!$E$75*100*12</f>
        <v>-320816.42339999997</v>
      </c>
      <c r="R37" s="251">
        <f>SUMPRODUCT('Staging Table'!BZ39:CW39, LS_Demand_Rates_Restatement!$C$5:$Z$5)-IF(Init!$R$15="No",('Staging Table'!DV39*Rates_current!$H$34), 0)</f>
        <v>53146.8997135299</v>
      </c>
      <c r="S37" s="251">
        <f>SUMPRODUCT('Staging Table'!CX39:DI39, LS_Demand_Rates_Restatement!$C$11:$N$11)*1000</f>
        <v>231275.08000000002</v>
      </c>
      <c r="T37" s="252">
        <f>'Staging Table'!EF39*IF(Init!$R$18="Yes",IF(Init!$R$6=2020,Rates_current!$C$88,Rates_current!$D$88),Rates_current!$H$33)</f>
        <v>0</v>
      </c>
      <c r="U37" s="252">
        <f>IF(Init!$R$18="Yes",(SUM('Staging Table'!DL39:DU39)*IF('Staging Table'!$BT$1=2020, Rates_current!$C$87, Rates_current!$D$87)),0)</f>
        <v>55358.311208554434</v>
      </c>
      <c r="V37" s="252">
        <f>IF('Staging Table'!D39=1, 'Staging Table'!BV39*-1*'Staging Table'!BT39/'Staging Table'!BS39,SUM(P37:U37)*'Staging Table'!BV39*-1)</f>
        <v>0</v>
      </c>
      <c r="W37" s="250">
        <f>'Staging Table'!BY39*Rates_current!$H$32*-1</f>
        <v>0</v>
      </c>
      <c r="X37" s="250">
        <f>IF(Init!$R$12="No",0,'Staging Table'!$DW39*-1)</f>
        <v>0</v>
      </c>
      <c r="Y37" s="250">
        <f>IF('Staging Table'!C39=1,"", SUM(P37:X37))</f>
        <v>3190146.1090020849</v>
      </c>
      <c r="Z37" s="250">
        <f>IF('Staging Table'!C39=1,"", (RT1SC!$C$4*'Staging Table'!BT39*'Staging Table'!$BT$2)+SUM('Staging Table'!BZ39:CW39)-IF(Init!$R$15="No",'Staging Table'!DV39, 0))</f>
        <v>82332.432000000001</v>
      </c>
      <c r="AA37" s="126">
        <f>IF('Staging Table'!C39=1,"",IF(Z37=0, 0, Y37/Z37))</f>
        <v>38.747138053714785</v>
      </c>
      <c r="AB37" s="118">
        <f ca="1">IF('Staging Table'!C39=1,"",(AA37/O37-1)+(RAND()/100000000000000))</f>
        <v>2.3608223463518582E-2</v>
      </c>
      <c r="AC37" s="79">
        <f t="shared" ca="1" si="0"/>
        <v>40</v>
      </c>
      <c r="AF37" s="255"/>
      <c r="AG37" s="255"/>
      <c r="AI37" s="255"/>
      <c r="AJ37" s="255"/>
    </row>
    <row r="38" spans="2:36">
      <c r="B38" s="166">
        <v>10094</v>
      </c>
      <c r="C38" s="167" t="s">
        <v>41</v>
      </c>
      <c r="D38" s="250">
        <f>IF(Init!$R$9="Yes",'Staging Table'!F40,'Staging Table'!BT40)*Rates_previous!$E$75*100*12</f>
        <v>1096035.3388799999</v>
      </c>
      <c r="E38" s="250">
        <f>IF(Init!$R$9="Yes",'Staging Table'!F40,'Staging Table'!BT40)*Rates_previous!$E$76*100*12</f>
        <v>-154564.83720000001</v>
      </c>
      <c r="F38" s="251">
        <f>IF(Init!$R$9="Yes",SUMPRODUCT('Staging Table'!L40:AI40,LS_Demand_Rates_Restatement!$C$4:$Z$4)-IF(Init!$R$15="No",('Staging Table'!BH40*Rates_previous!$H$34), 0),SUMPRODUCT('Staging Table'!BZ40:CW40,LS_Demand_Rates_Restatement!$C$4:$Z$4)-IF(Init!$R$15="No", 'Staging Table'!DV40*Rates_previous!$H$34, 0))</f>
        <v>14688.497156843945</v>
      </c>
      <c r="G38" s="251">
        <f>IF(Init!$R$9="Yes",SUMPRODUCT('Staging Table'!AJ40:AU40,LS_Demand_Rates_Restatement!$C$10:$N$10),SUMPRODUCT(LS_Demand_Rates_Restatement!$C$10:$N$10,'Staging Table'!CX40:DI40))*1000</f>
        <v>51294.409999999996</v>
      </c>
      <c r="H38" s="252">
        <f>IF(Init!$R$9="Yes",'Staging Table'!BR40,'Staging Table'!EF40)*IF(Init!$R$3=2018,Rates_previous!$C$88,Rates_previous!$D$88)</f>
        <v>0</v>
      </c>
      <c r="I38" s="250">
        <f>IF(Init!$R$9="Yes",IF('Staging Table'!$F$1=2018,(SUM('Staging Table'!BD40:BG40)*Rates_previous!$C$87),(SUM('Staging Table'!BD40:BG40)*Rates_previous!$D$87)),IF('Staging Table'!$F$1=2018,(SUM('Staging Table'!DR40:DU40)*Rates_previous!$C$87),(SUM('Staging Table'!DR40:DU40)*Rates_previous!$D$87)))</f>
        <v>6022.2968847212169</v>
      </c>
      <c r="J38" s="252">
        <f>IF(Init!$R$9="Yes",IF('Staging Table'!D40=1,'Staging Table'!H40*-1*'Staging Table'!BT40/'Staging Table'!BS40,'Staging Table'!H40*SUM(D38:I38)*(-1)),IF('Staging Table'!D40=1,'Staging Table'!BV40*-1*'Staging Table'!BT40/'Staging Table'!BS40,'Staging Table'!BV40*SUM(D38:I38)*(-1)))</f>
        <v>0</v>
      </c>
      <c r="K38" s="250">
        <f>IF(Init!$R$9="Yes",'Staging Table'!K40,'Staging Table'!BY40)*(-1)*Rates_previous!$H$32</f>
        <v>0</v>
      </c>
      <c r="L38" s="250">
        <f>IF(Init!$R$12="No",0,'Staging Table'!$BI40*-1)*('Staging Table'!$F40/'Staging Table'!$E40)</f>
        <v>-17064.887442487019</v>
      </c>
      <c r="M38" s="250">
        <f>IF('Staging Table'!C40=1,"",SUM(D38:L38))</f>
        <v>996410.81827907811</v>
      </c>
      <c r="N38" s="250">
        <f>IF('Staging Table'!C40=1,"",IF(Init!$R$9="Yes",(RT1SC!$C$3*'Staging Table'!F40*'Staging Table'!$F$2)+SUM('Staging Table'!L40:AI40)-IF(Init!$R$15="No",'Staging Table'!BH40, 0),Z38))</f>
        <v>26174.880000000001</v>
      </c>
      <c r="O38" s="126">
        <f>IF('Staging Table'!C40=1,"",IF(N38=0, 0, M38/N38))</f>
        <v>38.067445515665327</v>
      </c>
      <c r="P38" s="250">
        <f>'Staging Table'!BT40*Rates_current!$E$74*100*12</f>
        <v>1022203.0143599999</v>
      </c>
      <c r="Q38" s="250">
        <f>'Staging Table'!BT40*Rates_current!$E$75*100*12</f>
        <v>-103412.38380000001</v>
      </c>
      <c r="R38" s="251">
        <f>SUMPRODUCT('Staging Table'!BZ40:CW40, LS_Demand_Rates_Restatement!$C$5:$Z$5)-IF(Init!$R$15="No",('Staging Table'!DV40*Rates_current!$H$34), 0)</f>
        <v>16479.985076001827</v>
      </c>
      <c r="S38" s="251">
        <f>SUMPRODUCT('Staging Table'!CX40:DI40, LS_Demand_Rates_Restatement!$C$11:$N$11)*1000</f>
        <v>57264.13</v>
      </c>
      <c r="T38" s="252">
        <f>'Staging Table'!EF40*IF(Init!$R$18="Yes",IF(Init!$R$6=2020,Rates_current!$C$88,Rates_current!$D$88),Rates_current!$H$33)</f>
        <v>0</v>
      </c>
      <c r="U38" s="252">
        <f>IF(Init!$R$18="Yes",(SUM('Staging Table'!DL40:DU40)*IF('Staging Table'!$BT$1=2020, Rates_current!$C$87, Rates_current!$D$87)),0)</f>
        <v>17844.270142246318</v>
      </c>
      <c r="V38" s="252">
        <f>IF('Staging Table'!D40=1, 'Staging Table'!BV40*-1*'Staging Table'!BT40/'Staging Table'!BS40,SUM(P38:U38)*'Staging Table'!BV40*-1)</f>
        <v>0</v>
      </c>
      <c r="W38" s="250">
        <f>'Staging Table'!BY40*Rates_current!$H$32*-1</f>
        <v>0</v>
      </c>
      <c r="X38" s="250">
        <f>IF(Init!$R$12="No",0,'Staging Table'!$DW40*-1)</f>
        <v>0</v>
      </c>
      <c r="Y38" s="250">
        <f>IF('Staging Table'!C40=1,"", SUM(P38:X38))</f>
        <v>1010379.0157782481</v>
      </c>
      <c r="Z38" s="250">
        <f>IF('Staging Table'!C40=1,"", (RT1SC!$C$4*'Staging Table'!BT40*'Staging Table'!$BT$2)+SUM('Staging Table'!BZ40:CW40)-IF(Init!$R$15="No",'Staging Table'!DV40, 0))</f>
        <v>26536.464</v>
      </c>
      <c r="AA38" s="126">
        <f>IF('Staging Table'!C40=1,"",IF(Z38=0, 0, Y38/Z38))</f>
        <v>38.07511866608332</v>
      </c>
      <c r="AB38" s="118">
        <f ca="1">IF('Staging Table'!C40=1,"",(AA38/O38-1)+(RAND()/100000000000000))</f>
        <v>2.0156725291366998E-4</v>
      </c>
      <c r="AC38" s="79">
        <f t="shared" ca="1" si="0"/>
        <v>107</v>
      </c>
      <c r="AF38" s="255"/>
      <c r="AG38" s="255"/>
      <c r="AI38" s="255"/>
      <c r="AJ38" s="255"/>
    </row>
    <row r="39" spans="2:36">
      <c r="B39" s="166">
        <v>10095</v>
      </c>
      <c r="C39" s="167" t="s">
        <v>42</v>
      </c>
      <c r="D39" s="250">
        <f>IF(Init!$R$9="Yes",'Staging Table'!F41,'Staging Table'!BT41)*Rates_previous!$E$75*100*12</f>
        <v>1314885.7238400001</v>
      </c>
      <c r="E39" s="250">
        <f>IF(Init!$R$9="Yes",'Staging Table'!F41,'Staging Table'!BT41)*Rates_previous!$E$76*100*12</f>
        <v>-185427.50459999999</v>
      </c>
      <c r="F39" s="251">
        <f>IF(Init!$R$9="Yes",SUMPRODUCT('Staging Table'!L41:AI41,LS_Demand_Rates_Restatement!$C$4:$Z$4)-IF(Init!$R$15="No",('Staging Table'!BH41*Rates_previous!$H$34), 0),SUMPRODUCT('Staging Table'!BZ41:CW41,LS_Demand_Rates_Restatement!$C$4:$Z$4)-IF(Init!$R$15="No", 'Staging Table'!DV41*Rates_previous!$H$34, 0))</f>
        <v>9677.809225121091</v>
      </c>
      <c r="G39" s="251">
        <f>IF(Init!$R$9="Yes",SUMPRODUCT('Staging Table'!AJ41:AU41,LS_Demand_Rates_Restatement!$C$10:$N$10),SUMPRODUCT(LS_Demand_Rates_Restatement!$C$10:$N$10,'Staging Table'!CX41:DI41))*1000</f>
        <v>34449.210000000006</v>
      </c>
      <c r="H39" s="252">
        <f>IF(Init!$R$9="Yes",'Staging Table'!BR41,'Staging Table'!EF41)*IF(Init!$R$3=2018,Rates_previous!$C$88,Rates_previous!$D$88)</f>
        <v>0</v>
      </c>
      <c r="I39" s="250">
        <f>IF(Init!$R$9="Yes",IF('Staging Table'!$F$1=2018,(SUM('Staging Table'!BD41:BG41)*Rates_previous!$C$87),(SUM('Staging Table'!BD41:BG41)*Rates_previous!$D$87)),IF('Staging Table'!$F$1=2018,(SUM('Staging Table'!DR41:DU41)*Rates_previous!$C$87),(SUM('Staging Table'!DR41:DU41)*Rates_previous!$D$87)))</f>
        <v>7224.7964253942828</v>
      </c>
      <c r="J39" s="252">
        <f>IF(Init!$R$9="Yes",IF('Staging Table'!D41=1,'Staging Table'!H41*-1*'Staging Table'!BT41/'Staging Table'!BS41,'Staging Table'!H41*SUM(D39:I39)*(-1)),IF('Staging Table'!D41=1,'Staging Table'!BV41*-1*'Staging Table'!BT41/'Staging Table'!BS41,'Staging Table'!BV41*SUM(D39:I39)*(-1)))</f>
        <v>0</v>
      </c>
      <c r="K39" s="250">
        <f>IF(Init!$R$9="Yes",'Staging Table'!K41,'Staging Table'!BY41)*(-1)*Rates_previous!$H$32</f>
        <v>0</v>
      </c>
      <c r="L39" s="250">
        <f>IF(Init!$R$12="No",0,'Staging Table'!$BI41*-1)*('Staging Table'!$F41/'Staging Table'!$E41)</f>
        <v>-43901.029034336563</v>
      </c>
      <c r="M39" s="250">
        <f>IF('Staging Table'!C41=1,"",SUM(D39:L39))</f>
        <v>1136909.0058561787</v>
      </c>
      <c r="N39" s="250">
        <f>IF('Staging Table'!C41=1,"",IF(Init!$R$9="Yes",(RT1SC!$C$3*'Staging Table'!F41*'Staging Table'!$F$2)+SUM('Staging Table'!L41:AI41)-IF(Init!$R$15="No",'Staging Table'!BH41, 0),Z39))</f>
        <v>31395.84</v>
      </c>
      <c r="O39" s="126">
        <f>IF('Staging Table'!C41=1,"",IF(N39=0, 0, M39/N39))</f>
        <v>36.212090705525917</v>
      </c>
      <c r="P39" s="250">
        <f>'Staging Table'!BT41*Rates_current!$E$74*100*12</f>
        <v>1225883.0848799997</v>
      </c>
      <c r="Q39" s="250">
        <f>'Staging Table'!BT41*Rates_current!$E$75*100*12</f>
        <v>-124017.9204</v>
      </c>
      <c r="R39" s="251">
        <f>SUMPRODUCT('Staging Table'!BZ41:CW41, LS_Demand_Rates_Restatement!$C$5:$Z$5)-IF(Init!$R$15="No",('Staging Table'!DV41*Rates_current!$H$34), 0)</f>
        <v>10375.590304398385</v>
      </c>
      <c r="S39" s="251">
        <f>SUMPRODUCT('Staging Table'!CX41:DI41, LS_Demand_Rates_Restatement!$C$11:$N$11)*1000</f>
        <v>41673.61</v>
      </c>
      <c r="T39" s="252">
        <f>'Staging Table'!EF41*IF(Init!$R$18="Yes",IF(Init!$R$6=2020,Rates_current!$C$88,Rates_current!$D$88),Rates_current!$H$33)</f>
        <v>0</v>
      </c>
      <c r="U39" s="252">
        <f>IF(Init!$R$18="Yes",(SUM('Staging Table'!DL41:DU41)*IF('Staging Table'!$BT$1=2020, Rates_current!$C$87, Rates_current!$D$87)),0)</f>
        <v>21399.847801373289</v>
      </c>
      <c r="V39" s="252">
        <f>IF('Staging Table'!D41=1, 'Staging Table'!BV41*-1*'Staging Table'!BT41/'Staging Table'!BS41,SUM(P39:U39)*'Staging Table'!BV41*-1)</f>
        <v>0</v>
      </c>
      <c r="W39" s="250">
        <f>'Staging Table'!BY41*Rates_current!$H$32*-1</f>
        <v>0</v>
      </c>
      <c r="X39" s="250">
        <f>IF(Init!$R$12="No",0,'Staging Table'!$DW41*-1)</f>
        <v>0</v>
      </c>
      <c r="Y39" s="250">
        <f>IF('Staging Table'!C41=1,"", SUM(P39:X39))</f>
        <v>1175314.2125857717</v>
      </c>
      <c r="Z39" s="250">
        <f>IF('Staging Table'!C41=1,"", (RT1SC!$C$4*'Staging Table'!BT41*'Staging Table'!$BT$2)+SUM('Staging Table'!BZ41:CW41)-IF(Init!$R$15="No",'Staging Table'!DV41, 0))</f>
        <v>31824.432000000001</v>
      </c>
      <c r="AA39" s="126">
        <f>IF('Staging Table'!C41=1,"",IF(Z39=0, 0, Y39/Z39))</f>
        <v>36.931192128920685</v>
      </c>
      <c r="AB39" s="118">
        <f ca="1">IF('Staging Table'!C41=1,"",(AA39/O39-1)+(RAND()/100000000000000))</f>
        <v>1.9858047668185625E-2</v>
      </c>
      <c r="AC39" s="79">
        <f t="shared" ca="1" si="0"/>
        <v>57</v>
      </c>
      <c r="AF39" s="255"/>
      <c r="AG39" s="255"/>
      <c r="AI39" s="255"/>
      <c r="AJ39" s="255"/>
    </row>
    <row r="40" spans="2:36">
      <c r="B40" s="166">
        <v>10097</v>
      </c>
      <c r="C40" s="167" t="s">
        <v>43</v>
      </c>
      <c r="D40" s="250">
        <f>IF(Init!$R$9="Yes",'Staging Table'!F42,'Staging Table'!BT42)*Rates_previous!$E$75*100*12</f>
        <v>735530.92128000013</v>
      </c>
      <c r="E40" s="250">
        <f>IF(Init!$R$9="Yes",'Staging Table'!F42,'Staging Table'!BT42)*Rates_previous!$E$76*100*12</f>
        <v>-103725.8682</v>
      </c>
      <c r="F40" s="251">
        <f>IF(Init!$R$9="Yes",SUMPRODUCT('Staging Table'!L42:AI42,LS_Demand_Rates_Restatement!$C$4:$Z$4)-IF(Init!$R$15="No",('Staging Table'!BH42*Rates_previous!$H$34), 0),SUMPRODUCT('Staging Table'!BZ42:CW42,LS_Demand_Rates_Restatement!$C$4:$Z$4)-IF(Init!$R$15="No", 'Staging Table'!DV42*Rates_previous!$H$34, 0))</f>
        <v>13405.271917946997</v>
      </c>
      <c r="G40" s="251">
        <f>IF(Init!$R$9="Yes",SUMPRODUCT('Staging Table'!AJ42:AU42,LS_Demand_Rates_Restatement!$C$10:$N$10),SUMPRODUCT(LS_Demand_Rates_Restatement!$C$10:$N$10,'Staging Table'!CX42:DI42))*1000</f>
        <v>37175.69</v>
      </c>
      <c r="H40" s="252">
        <f>IF(Init!$R$9="Yes",'Staging Table'!BR42,'Staging Table'!EF42)*IF(Init!$R$3=2018,Rates_previous!$C$88,Rates_previous!$D$88)</f>
        <v>0</v>
      </c>
      <c r="I40" s="250">
        <f>IF(Init!$R$9="Yes",IF('Staging Table'!$F$1=2018,(SUM('Staging Table'!BD42:BG42)*Rates_previous!$C$87),(SUM('Staging Table'!BD42:BG42)*Rates_previous!$D$87)),IF('Staging Table'!$F$1=2018,(SUM('Staging Table'!DR42:DU42)*Rates_previous!$C$87),(SUM('Staging Table'!DR42:DU42)*Rates_previous!$D$87)))</f>
        <v>4041.4623677801378</v>
      </c>
      <c r="J40" s="252">
        <f>IF(Init!$R$9="Yes",IF('Staging Table'!D42=1,'Staging Table'!H42*-1*'Staging Table'!BT42/'Staging Table'!BS42,'Staging Table'!H42*SUM(D40:I40)*(-1)),IF('Staging Table'!D42=1,'Staging Table'!BV42*-1*'Staging Table'!BT42/'Staging Table'!BS42,'Staging Table'!BV42*SUM(D40:I40)*(-1)))</f>
        <v>0</v>
      </c>
      <c r="K40" s="250">
        <f>IF(Init!$R$9="Yes",'Staging Table'!K42,'Staging Table'!BY42)*(-1)*Rates_previous!$H$32</f>
        <v>0</v>
      </c>
      <c r="L40" s="250">
        <f>IF(Init!$R$12="No",0,'Staging Table'!$BI42*-1)*('Staging Table'!$F42/'Staging Table'!$E42)</f>
        <v>-11451.95956449559</v>
      </c>
      <c r="M40" s="250">
        <f>IF('Staging Table'!C42=1,"",SUM(D40:L40))</f>
        <v>674975.51780123159</v>
      </c>
      <c r="N40" s="250">
        <f>IF('Staging Table'!C42=1,"",IF(Init!$R$9="Yes",(RT1SC!$C$3*'Staging Table'!F42*'Staging Table'!$F$2)+SUM('Staging Table'!L42:AI42)-IF(Init!$R$15="No",'Staging Table'!BH42, 0),Z40))</f>
        <v>17563.8</v>
      </c>
      <c r="O40" s="126">
        <f>IF('Staging Table'!C42=1,"",IF(N40=0, 0, M40/N40))</f>
        <v>38.429925061844912</v>
      </c>
      <c r="P40" s="250">
        <f>'Staging Table'!BT42*Rates_current!$E$74*100*12</f>
        <v>680438.78868</v>
      </c>
      <c r="Q40" s="250">
        <f>'Staging Table'!BT42*Rates_current!$E$75*100*12</f>
        <v>-68837.399399999995</v>
      </c>
      <c r="R40" s="251">
        <f>SUMPRODUCT('Staging Table'!BZ42:CW42, LS_Demand_Rates_Restatement!$C$5:$Z$5)-IF(Init!$R$15="No",('Staging Table'!DV42*Rates_current!$H$34), 0)</f>
        <v>14554.219999999994</v>
      </c>
      <c r="S40" s="251">
        <f>SUMPRODUCT('Staging Table'!CX42:DI42, LS_Demand_Rates_Restatement!$C$11:$N$11)*1000</f>
        <v>41458.859999999993</v>
      </c>
      <c r="T40" s="252">
        <f>'Staging Table'!EF42*IF(Init!$R$18="Yes",IF(Init!$R$6=2020,Rates_current!$C$88,Rates_current!$D$88),Rates_current!$H$33)</f>
        <v>0.54955763405250757</v>
      </c>
      <c r="U40" s="252">
        <f>IF(Init!$R$18="Yes",(SUM('Staging Table'!DL42:DU42)*IF('Staging Table'!$BT$1=2020, Rates_current!$C$87, Rates_current!$D$87)),0)</f>
        <v>11878.201678040274</v>
      </c>
      <c r="V40" s="252">
        <f>IF('Staging Table'!D42=1, 'Staging Table'!BV42*-1*'Staging Table'!BT42/'Staging Table'!BS42,SUM(P40:U40)*'Staging Table'!BV42*-1)</f>
        <v>0</v>
      </c>
      <c r="W40" s="250">
        <f>'Staging Table'!BY42*Rates_current!$H$32*-1</f>
        <v>0</v>
      </c>
      <c r="X40" s="250">
        <f>IF(Init!$R$12="No",0,'Staging Table'!$DW42*-1)</f>
        <v>0</v>
      </c>
      <c r="Y40" s="250">
        <f>IF('Staging Table'!C42=1,"", SUM(P40:X40))</f>
        <v>679493.22051567433</v>
      </c>
      <c r="Z40" s="250">
        <f>IF('Staging Table'!C42=1,"", (RT1SC!$C$4*'Staging Table'!BT42*'Staging Table'!$BT$2)+SUM('Staging Table'!BZ42:CW42)-IF(Init!$R$15="No",'Staging Table'!DV42, 0))</f>
        <v>17664.6586287104</v>
      </c>
      <c r="AA40" s="126">
        <f>IF('Staging Table'!C42=1,"",IF(Z40=0, 0, Y40/Z40))</f>
        <v>38.466252577974693</v>
      </c>
      <c r="AB40" s="118">
        <f ca="1">IF('Staging Table'!C42=1,"",(AA40/O40-1)+(RAND()/100000000000000))</f>
        <v>9.4529240094381811E-4</v>
      </c>
      <c r="AC40" s="79">
        <f t="shared" ca="1" si="0"/>
        <v>102</v>
      </c>
      <c r="AF40" s="255"/>
      <c r="AG40" s="255"/>
      <c r="AI40" s="255"/>
      <c r="AJ40" s="255"/>
    </row>
    <row r="41" spans="2:36">
      <c r="B41" s="166">
        <v>10101</v>
      </c>
      <c r="C41" s="167" t="s">
        <v>44</v>
      </c>
      <c r="D41" s="250">
        <f>IF(Init!$R$9="Yes",'Staging Table'!F43,'Staging Table'!BT43)*Rates_previous!$E$75*100*12</f>
        <v>27443430.636480004</v>
      </c>
      <c r="E41" s="250">
        <f>IF(Init!$R$9="Yes",'Staging Table'!F43,'Staging Table'!BT43)*Rates_previous!$E$76*100*12</f>
        <v>-3870121.0061999997</v>
      </c>
      <c r="F41" s="251">
        <f>IF(Init!$R$9="Yes",SUMPRODUCT('Staging Table'!L43:AI43,LS_Demand_Rates_Restatement!$C$4:$Z$4)-IF(Init!$R$15="No",('Staging Table'!BH43*Rates_previous!$H$34), 0),SUMPRODUCT('Staging Table'!BZ43:CW43,LS_Demand_Rates_Restatement!$C$4:$Z$4)-IF(Init!$R$15="No", 'Staging Table'!DV43*Rates_previous!$H$34, 0))</f>
        <v>556339.18237558135</v>
      </c>
      <c r="G41" s="251">
        <f>IF(Init!$R$9="Yes",SUMPRODUCT('Staging Table'!AJ43:AU43,LS_Demand_Rates_Restatement!$C$10:$N$10),SUMPRODUCT(LS_Demand_Rates_Restatement!$C$10:$N$10,'Staging Table'!CX43:DI43))*1000</f>
        <v>2161101.65</v>
      </c>
      <c r="H41" s="252">
        <f>IF(Init!$R$9="Yes",'Staging Table'!BR43,'Staging Table'!EF43)*IF(Init!$R$3=2018,Rates_previous!$C$88,Rates_previous!$D$88)</f>
        <v>0</v>
      </c>
      <c r="I41" s="250">
        <f>IF(Init!$R$9="Yes",IF('Staging Table'!$F$1=2018,(SUM('Staging Table'!BD43:BG43)*Rates_previous!$C$87),(SUM('Staging Table'!BD43:BG43)*Rates_previous!$D$87)),IF('Staging Table'!$F$1=2018,(SUM('Staging Table'!DR43:DU43)*Rates_previous!$C$87),(SUM('Staging Table'!DR43:DU43)*Rates_previous!$D$87)))</f>
        <v>150791.20258752099</v>
      </c>
      <c r="J41" s="252">
        <f>IF(Init!$R$9="Yes",IF('Staging Table'!D43=1,'Staging Table'!H43*-1*'Staging Table'!BT43/'Staging Table'!BS43,'Staging Table'!H43*SUM(D41:I41)*(-1)),IF('Staging Table'!D43=1,'Staging Table'!BV43*-1*'Staging Table'!BT43/'Staging Table'!BS43,'Staging Table'!BV43*SUM(D41:I41)*(-1)))</f>
        <v>-1490189.7610156045</v>
      </c>
      <c r="K41" s="250">
        <f>IF(Init!$R$9="Yes",'Staging Table'!K43,'Staging Table'!BY43)*(-1)*Rates_previous!$H$32</f>
        <v>0</v>
      </c>
      <c r="L41" s="250">
        <f>IF(Init!$R$12="No",0,'Staging Table'!$BI43*-1)*('Staging Table'!$F43/'Staging Table'!$E43)</f>
        <v>-947867.86706278101</v>
      </c>
      <c r="M41" s="250">
        <f>IF('Staging Table'!C43=1,"",SUM(D41:L41))</f>
        <v>24003484.037164718</v>
      </c>
      <c r="N41" s="250">
        <f>IF('Staging Table'!C43=1,"",IF(Init!$R$9="Yes",(RT1SC!$C$3*'Staging Table'!F43*'Staging Table'!$F$2)+SUM('Staging Table'!L43:AI43)-IF(Init!$R$15="No",'Staging Table'!BH43, 0),Z41))</f>
        <v>655318.08000000007</v>
      </c>
      <c r="O41" s="126">
        <f>IF('Staging Table'!C43=1,"",IF(N41=0, 0, M41/N41))</f>
        <v>36.628752921275598</v>
      </c>
      <c r="P41" s="250">
        <f>'Staging Table'!BT43*Rates_current!$E$74*100*12</f>
        <v>25586922.651240002</v>
      </c>
      <c r="Q41" s="250">
        <f>'Staging Table'!BT43*Rates_current!$E$75*100*12</f>
        <v>-2588531.4642000003</v>
      </c>
      <c r="R41" s="251">
        <f>SUMPRODUCT('Staging Table'!BZ43:CW43, LS_Demand_Rates_Restatement!$C$5:$Z$5)-IF(Init!$R$15="No",('Staging Table'!DV43*Rates_current!$H$34), 0)</f>
        <v>610943.92296245554</v>
      </c>
      <c r="S41" s="251">
        <f>SUMPRODUCT('Staging Table'!CX43:DI43, LS_Demand_Rates_Restatement!$C$11:$N$11)*1000</f>
        <v>2370512.6099999994</v>
      </c>
      <c r="T41" s="252">
        <f>'Staging Table'!EF43*IF(Init!$R$18="Yes",IF(Init!$R$6=2020,Rates_current!$C$88,Rates_current!$D$88),Rates_current!$H$33)</f>
        <v>0</v>
      </c>
      <c r="U41" s="252">
        <f>IF(Init!$R$18="Yes",(SUM('Staging Table'!DL43:DU43)*IF('Staging Table'!$BT$1=2020, Rates_current!$C$87, Rates_current!$D$87)),0)</f>
        <v>446662.70152152918</v>
      </c>
      <c r="V41" s="252">
        <f>IF('Staging Table'!D43=1, 'Staging Table'!BV43*-1*'Staging Table'!BT43/'Staging Table'!BS43,SUM(P41:U41)*'Staging Table'!BV43*-1)</f>
        <v>-1351813.7861495118</v>
      </c>
      <c r="W41" s="250">
        <f>'Staging Table'!BY43*Rates_current!$H$32*-1</f>
        <v>0</v>
      </c>
      <c r="X41" s="250">
        <f>IF(Init!$R$12="No",0,'Staging Table'!$DW43*-1)</f>
        <v>0</v>
      </c>
      <c r="Y41" s="250">
        <f>IF('Staging Table'!C43=1,"", SUM(P41:X41))</f>
        <v>25074696.635374475</v>
      </c>
      <c r="Z41" s="250">
        <f>IF('Staging Table'!C43=1,"", (RT1SC!$C$4*'Staging Table'!BT43*'Staging Table'!$BT$2)+SUM('Staging Table'!BZ43:CW43)-IF(Init!$R$15="No",'Staging Table'!DV43, 0))</f>
        <v>664290</v>
      </c>
      <c r="AA41" s="126">
        <f>IF('Staging Table'!C43=1,"",IF(Z41=0, 0, Y41/Z41))</f>
        <v>37.74661162349949</v>
      </c>
      <c r="AB41" s="118">
        <f ca="1">IF('Staging Table'!C43=1,"",(AA41/O41-1)+(RAND()/100000000000000))</f>
        <v>3.0518612103087411E-2</v>
      </c>
      <c r="AC41" s="79">
        <f t="shared" ca="1" si="0"/>
        <v>14</v>
      </c>
      <c r="AF41" s="255"/>
      <c r="AG41" s="255"/>
      <c r="AI41" s="255"/>
      <c r="AJ41" s="255"/>
    </row>
    <row r="42" spans="2:36">
      <c r="B42" s="166">
        <v>10103</v>
      </c>
      <c r="C42" s="167" t="s">
        <v>45</v>
      </c>
      <c r="D42" s="250">
        <f>IF(Init!$R$9="Yes",'Staging Table'!F44,'Staging Table'!BT44)*Rates_previous!$E$75*100*12</f>
        <v>56150027.988479987</v>
      </c>
      <c r="E42" s="250">
        <f>IF(Init!$R$9="Yes",'Staging Table'!F44,'Staging Table'!BT44)*Rates_previous!$E$76*100*12</f>
        <v>-7918376.0111999996</v>
      </c>
      <c r="F42" s="251">
        <f>IF(Init!$R$9="Yes",SUMPRODUCT('Staging Table'!L44:AI44,LS_Demand_Rates_Restatement!$C$4:$Z$4)-IF(Init!$R$15="No",('Staging Table'!BH44*Rates_previous!$H$34), 0),SUMPRODUCT('Staging Table'!BZ44:CW44,LS_Demand_Rates_Restatement!$C$4:$Z$4)-IF(Init!$R$15="No", 'Staging Table'!DV44*Rates_previous!$H$34, 0))</f>
        <v>389124.06000000017</v>
      </c>
      <c r="G42" s="251">
        <f>IF(Init!$R$9="Yes",SUMPRODUCT('Staging Table'!AJ44:AU44,LS_Demand_Rates_Restatement!$C$10:$N$10),SUMPRODUCT(LS_Demand_Rates_Restatement!$C$10:$N$10,'Staging Table'!CX44:DI44))*1000</f>
        <v>0</v>
      </c>
      <c r="H42" s="252">
        <f>IF(Init!$R$9="Yes",'Staging Table'!BR44,'Staging Table'!EF44)*IF(Init!$R$3=2018,Rates_previous!$C$88,Rates_previous!$D$88)</f>
        <v>0</v>
      </c>
      <c r="I42" s="250">
        <f>IF(Init!$R$9="Yes",IF('Staging Table'!$F$1=2018,(SUM('Staging Table'!BD44:BG44)*Rates_previous!$C$87),(SUM('Staging Table'!BD44:BG44)*Rates_previous!$D$87)),IF('Staging Table'!$F$1=2018,(SUM('Staging Table'!DR44:DU44)*Rates_previous!$C$87),(SUM('Staging Table'!DR44:DU44)*Rates_previous!$D$87)))</f>
        <v>308523.02534111537</v>
      </c>
      <c r="J42" s="252">
        <f>IF(Init!$R$9="Yes",IF('Staging Table'!D44=1,'Staging Table'!H44*-1*'Staging Table'!BT44/'Staging Table'!BS44,'Staging Table'!H44*SUM(D42:I42)*(-1)),IF('Staging Table'!D44=1,'Staging Table'!BV44*-1*'Staging Table'!BT44/'Staging Table'!BS44,'Staging Table'!BV44*SUM(D42:I42)*(-1)))</f>
        <v>0</v>
      </c>
      <c r="K42" s="250">
        <f>IF(Init!$R$9="Yes",'Staging Table'!K44,'Staging Table'!BY44)*(-1)*Rates_previous!$H$32</f>
        <v>0</v>
      </c>
      <c r="L42" s="250">
        <f>IF(Init!$R$12="No",0,'Staging Table'!$BI44*-1)*('Staging Table'!$F44/'Staging Table'!$E44)</f>
        <v>-2047988.3809839957</v>
      </c>
      <c r="M42" s="250">
        <f>IF('Staging Table'!C44=1,"",SUM(D42:L42))</f>
        <v>46881310.681637116</v>
      </c>
      <c r="N42" s="250">
        <f>IF('Staging Table'!C44=1,"",IF(Init!$R$9="Yes",(RT1SC!$C$3*'Staging Table'!F44*'Staging Table'!$F$2)+SUM('Staging Table'!L44:AI44)-IF(Init!$R$15="No",'Staging Table'!BH44, 0),Z42))</f>
        <v>1342193.5256776318</v>
      </c>
      <c r="O42" s="126">
        <f>IF('Staging Table'!C44=1,"",IF(N42=0, 0, M42/N42))</f>
        <v>34.928875594127305</v>
      </c>
      <c r="P42" s="250">
        <f>'Staging Table'!BT44*Rates_current!$E$74*100*12</f>
        <v>50943071.26692</v>
      </c>
      <c r="Q42" s="250">
        <f>'Staging Table'!BT44*Rates_current!$E$75*100*12</f>
        <v>-5153716.3986000009</v>
      </c>
      <c r="R42" s="251">
        <f>SUMPRODUCT('Staging Table'!BZ44:CW44, LS_Demand_Rates_Restatement!$C$5:$Z$5)-IF(Init!$R$15="No",('Staging Table'!DV44*Rates_current!$H$34), 0)</f>
        <v>265151.97000000015</v>
      </c>
      <c r="S42" s="251">
        <f>SUMPRODUCT('Staging Table'!CX44:DI44, LS_Demand_Rates_Restatement!$C$11:$N$11)*1000</f>
        <v>0</v>
      </c>
      <c r="T42" s="252">
        <f>'Staging Table'!EF44*IF(Init!$R$18="Yes",IF(Init!$R$6=2020,Rates_current!$C$88,Rates_current!$D$88),Rates_current!$H$33)</f>
        <v>0</v>
      </c>
      <c r="U42" s="252">
        <f>IF(Init!$R$18="Yes",(SUM('Staging Table'!DL44:DU44)*IF('Staging Table'!$BT$1=2020, Rates_current!$C$87, Rates_current!$D$87)),0)</f>
        <v>889296.85472682456</v>
      </c>
      <c r="V42" s="252">
        <f>IF('Staging Table'!D44=1, 'Staging Table'!BV44*-1*'Staging Table'!BT44/'Staging Table'!BS44,SUM(P42:U42)*'Staging Table'!BV44*-1)</f>
        <v>0</v>
      </c>
      <c r="W42" s="250">
        <f>'Staging Table'!BY44*Rates_current!$H$32*-1</f>
        <v>0</v>
      </c>
      <c r="X42" s="250">
        <f>IF(Init!$R$12="No",0,'Staging Table'!$DW44*-1)</f>
        <v>0</v>
      </c>
      <c r="Y42" s="250">
        <f>IF('Staging Table'!C44=1,"", SUM(P42:X42))</f>
        <v>46943803.693046823</v>
      </c>
      <c r="Z42" s="250">
        <f>IF('Staging Table'!C44=1,"", (RT1SC!$C$4*'Staging Table'!BT44*'Staging Table'!$BT$2)+SUM('Staging Table'!BZ44:CW44)-IF(Init!$R$15="No",'Staging Table'!DV44, 0))</f>
        <v>1316931.0119064576</v>
      </c>
      <c r="AA42" s="126">
        <f>IF('Staging Table'!C44=1,"",IF(Z42=0, 0, Y42/Z42))</f>
        <v>35.646365123628257</v>
      </c>
      <c r="AB42" s="118">
        <f ca="1">IF('Staging Table'!C44=1,"",(AA42/O42-1)+(RAND()/100000000000000))</f>
        <v>2.0541443642166313E-2</v>
      </c>
      <c r="AC42" s="79">
        <f t="shared" ca="1" si="0"/>
        <v>55</v>
      </c>
      <c r="AF42" s="255"/>
      <c r="AG42" s="255"/>
      <c r="AI42" s="255"/>
      <c r="AJ42" s="255"/>
    </row>
    <row r="43" spans="2:36">
      <c r="B43" s="166">
        <v>10105</v>
      </c>
      <c r="C43" s="167" t="s">
        <v>46</v>
      </c>
      <c r="D43" s="250">
        <f>IF(Init!$R$9="Yes",'Staging Table'!F45,'Staging Table'!BT45)*Rates_previous!$E$75*100*12</f>
        <v>13633436.321280001</v>
      </c>
      <c r="E43" s="250">
        <f>IF(Init!$R$9="Yes",'Staging Table'!F45,'Staging Table'!BT45)*Rates_previous!$E$76*100*12</f>
        <v>-1922611.2431999999</v>
      </c>
      <c r="F43" s="251">
        <f>IF(Init!$R$9="Yes",SUMPRODUCT('Staging Table'!L45:AI45,LS_Demand_Rates_Restatement!$C$4:$Z$4)-IF(Init!$R$15="No",('Staging Table'!BH45*Rates_previous!$H$34), 0),SUMPRODUCT('Staging Table'!BZ45:CW45,LS_Demand_Rates_Restatement!$C$4:$Z$4)-IF(Init!$R$15="No", 'Staging Table'!DV45*Rates_previous!$H$34, 0))</f>
        <v>19083.225000000042</v>
      </c>
      <c r="G43" s="251">
        <f>IF(Init!$R$9="Yes",SUMPRODUCT('Staging Table'!AJ45:AU45,LS_Demand_Rates_Restatement!$C$10:$N$10),SUMPRODUCT(LS_Demand_Rates_Restatement!$C$10:$N$10,'Staging Table'!CX45:DI45))*1000</f>
        <v>0</v>
      </c>
      <c r="H43" s="252">
        <f>IF(Init!$R$9="Yes",'Staging Table'!BR45,'Staging Table'!EF45)*IF(Init!$R$3=2018,Rates_previous!$C$88,Rates_previous!$D$88)</f>
        <v>0</v>
      </c>
      <c r="I43" s="250">
        <f>IF(Init!$R$9="Yes",IF('Staging Table'!$F$1=2018,(SUM('Staging Table'!BD45:BG45)*Rates_previous!$C$87),(SUM('Staging Table'!BD45:BG45)*Rates_previous!$D$87)),IF('Staging Table'!$F$1=2018,(SUM('Staging Table'!DR45:DU45)*Rates_previous!$C$87),(SUM('Staging Table'!DR45:DU45)*Rates_previous!$D$87)))</f>
        <v>74910.541816643818</v>
      </c>
      <c r="J43" s="252">
        <f>IF(Init!$R$9="Yes",IF('Staging Table'!D45=1,'Staging Table'!H45*-1*'Staging Table'!BT45/'Staging Table'!BS45,'Staging Table'!H45*SUM(D43:I43)*(-1)),IF('Staging Table'!D45=1,'Staging Table'!BV45*-1*'Staging Table'!BT45/'Staging Table'!BS45,'Staging Table'!BV45*SUM(D43:I43)*(-1)))</f>
        <v>0</v>
      </c>
      <c r="K43" s="250">
        <f>IF(Init!$R$9="Yes",'Staging Table'!K45,'Staging Table'!BY45)*(-1)*Rates_previous!$H$32</f>
        <v>0</v>
      </c>
      <c r="L43" s="250">
        <f>IF(Init!$R$12="No",0,'Staging Table'!$BI45*-1)*('Staging Table'!$F45/'Staging Table'!$E45)</f>
        <v>-466919.68361243024</v>
      </c>
      <c r="M43" s="250">
        <f>IF('Staging Table'!C45=1,"",SUM(D43:L43))</f>
        <v>11337899.161284214</v>
      </c>
      <c r="N43" s="250">
        <f>IF('Staging Table'!C45=1,"",IF(Init!$R$9="Yes",(RT1SC!$C$3*'Staging Table'!F45*'Staging Table'!$F$2)+SUM('Staging Table'!L45:AI45)-IF(Init!$R$15="No",'Staging Table'!BH45, 0),Z43))</f>
        <v>325891.656857152</v>
      </c>
      <c r="O43" s="126">
        <f>IF('Staging Table'!C45=1,"",IF(N43=0, 0, M43/N43))</f>
        <v>34.790394054960274</v>
      </c>
      <c r="P43" s="250">
        <f>'Staging Table'!BT45*Rates_current!$E$74*100*12</f>
        <v>12306601.787159998</v>
      </c>
      <c r="Q43" s="250">
        <f>'Staging Table'!BT45*Rates_current!$E$75*100*12</f>
        <v>-1245012.0077999998</v>
      </c>
      <c r="R43" s="251">
        <f>SUMPRODUCT('Staging Table'!BZ45:CW45, LS_Demand_Rates_Restatement!$C$5:$Z$5)-IF(Init!$R$15="No",('Staging Table'!DV45*Rates_current!$H$34), 0)</f>
        <v>-23770.519999999968</v>
      </c>
      <c r="S43" s="251">
        <f>SUMPRODUCT('Staging Table'!CX45:DI45, LS_Demand_Rates_Restatement!$C$11:$N$11)*1000</f>
        <v>0</v>
      </c>
      <c r="T43" s="252">
        <f>'Staging Table'!EF45*IF(Init!$R$18="Yes",IF(Init!$R$6=2020,Rates_current!$C$88,Rates_current!$D$88),Rates_current!$H$33)</f>
        <v>0</v>
      </c>
      <c r="U43" s="252">
        <f>IF(Init!$R$18="Yes",(SUM('Staging Table'!DL45:DU45)*IF('Staging Table'!$BT$1=2020, Rates_current!$C$87, Rates_current!$D$87)),0)</f>
        <v>214832.39996178949</v>
      </c>
      <c r="V43" s="252">
        <f>IF('Staging Table'!D45=1, 'Staging Table'!BV45*-1*'Staging Table'!BT45/'Staging Table'!BS45,SUM(P43:U43)*'Staging Table'!BV45*-1)</f>
        <v>0</v>
      </c>
      <c r="W43" s="250">
        <f>'Staging Table'!BY45*Rates_current!$H$32*-1</f>
        <v>0</v>
      </c>
      <c r="X43" s="250">
        <f>IF(Init!$R$12="No",0,'Staging Table'!$DW45*-1)</f>
        <v>0</v>
      </c>
      <c r="Y43" s="250">
        <f>IF('Staging Table'!C45=1,"", SUM(P43:X43))</f>
        <v>11252651.659321789</v>
      </c>
      <c r="Z43" s="250">
        <f>IF('Staging Table'!C45=1,"", (RT1SC!$C$4*'Staging Table'!BT45*'Staging Table'!$BT$2)+SUM('Staging Table'!BZ45:CW45)-IF(Init!$R$15="No",'Staging Table'!DV45, 0))</f>
        <v>317622.92715796479</v>
      </c>
      <c r="AA43" s="126">
        <f>IF('Staging Table'!C45=1,"",IF(Z43=0, 0, Y43/Z43))</f>
        <v>35.427705927933403</v>
      </c>
      <c r="AB43" s="118">
        <f ca="1">IF('Staging Table'!C45=1,"",(AA43/O43-1)+(RAND()/100000000000000))</f>
        <v>1.8318616108992221E-2</v>
      </c>
      <c r="AC43" s="79">
        <f t="shared" ca="1" si="0"/>
        <v>64</v>
      </c>
      <c r="AF43" s="255"/>
      <c r="AG43" s="255"/>
      <c r="AI43" s="255"/>
      <c r="AJ43" s="255"/>
    </row>
    <row r="44" spans="2:36">
      <c r="B44" s="166">
        <v>10106</v>
      </c>
      <c r="C44" s="167" t="s">
        <v>47</v>
      </c>
      <c r="D44" s="250">
        <f>IF(Init!$R$9="Yes",'Staging Table'!F46,'Staging Table'!BT46)*Rates_previous!$E$75*100*12</f>
        <v>8619495.0220799986</v>
      </c>
      <c r="E44" s="250">
        <f>IF(Init!$R$9="Yes",'Staging Table'!F46,'Staging Table'!BT46)*Rates_previous!$E$76*100*12</f>
        <v>-1215536.3951999999</v>
      </c>
      <c r="F44" s="251">
        <f>IF(Init!$R$9="Yes",SUMPRODUCT('Staging Table'!L46:AI46,LS_Demand_Rates_Restatement!$C$4:$Z$4)-IF(Init!$R$15="No",('Staging Table'!BH46*Rates_previous!$H$34), 0),SUMPRODUCT('Staging Table'!BZ46:CW46,LS_Demand_Rates_Restatement!$C$4:$Z$4)-IF(Init!$R$15="No", 'Staging Table'!DV46*Rates_previous!$H$34, 0))</f>
        <v>0</v>
      </c>
      <c r="G44" s="251">
        <f>IF(Init!$R$9="Yes",SUMPRODUCT('Staging Table'!AJ46:AU46,LS_Demand_Rates_Restatement!$C$10:$N$10),SUMPRODUCT(LS_Demand_Rates_Restatement!$C$10:$N$10,'Staging Table'!CX46:DI46))*1000</f>
        <v>0</v>
      </c>
      <c r="H44" s="252">
        <f>IF(Init!$R$9="Yes",'Staging Table'!BR46,'Staging Table'!EF46)*IF(Init!$R$3=2018,Rates_previous!$C$88,Rates_previous!$D$88)</f>
        <v>0</v>
      </c>
      <c r="I44" s="250">
        <f>IF(Init!$R$9="Yes",IF('Staging Table'!$F$1=2018,(SUM('Staging Table'!BD46:BG46)*Rates_previous!$C$87),(SUM('Staging Table'!BD46:BG46)*Rates_previous!$D$87)),IF('Staging Table'!$F$1=2018,(SUM('Staging Table'!DR46:DU46)*Rates_previous!$C$87),(SUM('Staging Table'!DR46:DU46)*Rates_previous!$D$87)))</f>
        <v>47360.843376078155</v>
      </c>
      <c r="J44" s="252">
        <f>IF(Init!$R$9="Yes",IF('Staging Table'!D46=1,'Staging Table'!H46*-1*'Staging Table'!BT46/'Staging Table'!BS46,'Staging Table'!H46*SUM(D44:I44)*(-1)),IF('Staging Table'!D46=1,'Staging Table'!BV46*-1*'Staging Table'!BT46/'Staging Table'!BS46,'Staging Table'!BV46*SUM(D44:I44)*(-1)))</f>
        <v>-523213.02490270603</v>
      </c>
      <c r="K44" s="250">
        <f>IF(Init!$R$9="Yes",'Staging Table'!K46,'Staging Table'!BY46)*(-1)*Rates_previous!$H$32</f>
        <v>0</v>
      </c>
      <c r="L44" s="250">
        <f>IF(Init!$R$12="No",0,'Staging Table'!$BI46*-1)*('Staging Table'!$F46/'Staging Table'!$E46)</f>
        <v>-260035.52408878764</v>
      </c>
      <c r="M44" s="250" t="str">
        <f>IF('Staging Table'!C46=1,"",SUM(D44:L44))</f>
        <v/>
      </c>
      <c r="N44" s="250" t="str">
        <f>IF('Staging Table'!C46=1,"",IF(Init!$R$9="Yes",(RT1SC!$C$3*'Staging Table'!F46*'Staging Table'!$F$2)+SUM('Staging Table'!L46:AI46)-IF(Init!$R$15="No",'Staging Table'!BH46, 0),Z44))</f>
        <v/>
      </c>
      <c r="O44" s="126" t="str">
        <f>IF('Staging Table'!C46=1,"",IF(N44=0, 0, M44/N44))</f>
        <v/>
      </c>
      <c r="P44" s="250">
        <f>'Staging Table'!BT46*Rates_current!$E$74*100*12</f>
        <v>8011970.6619600002</v>
      </c>
      <c r="Q44" s="250">
        <f>'Staging Table'!BT46*Rates_current!$E$75*100*12</f>
        <v>-810540.54180000001</v>
      </c>
      <c r="R44" s="251">
        <f>SUMPRODUCT('Staging Table'!BZ46:CW46, LS_Demand_Rates_Restatement!$C$5:$Z$5)-IF(Init!$R$15="No",('Staging Table'!DV46*Rates_current!$H$34), 0)</f>
        <v>0</v>
      </c>
      <c r="S44" s="251">
        <f>SUMPRODUCT('Staging Table'!CX46:DI46, LS_Demand_Rates_Restatement!$C$11:$N$11)*1000</f>
        <v>0</v>
      </c>
      <c r="T44" s="252">
        <f>'Staging Table'!EF46*IF(Init!$R$18="Yes",IF(Init!$R$6=2020,Rates_current!$C$88,Rates_current!$D$88),Rates_current!$H$33)</f>
        <v>46.337697478895421</v>
      </c>
      <c r="U44" s="252">
        <f>IF(Init!$R$18="Yes",(SUM('Staging Table'!DL46:DU46)*IF('Staging Table'!$BT$1=2020, Rates_current!$C$87, Rates_current!$D$87)),0)</f>
        <v>139862.40194495828</v>
      </c>
      <c r="V44" s="252">
        <f>IF('Staging Table'!D46=1, 'Staging Table'!BV46*-1*'Staging Table'!BT46/'Staging Table'!BS46,SUM(P44:U44)*'Staging Table'!BV46*-1)</f>
        <v>-513893.72018617071</v>
      </c>
      <c r="W44" s="250">
        <f>'Staging Table'!BY46*Rates_current!$H$32*-1</f>
        <v>0</v>
      </c>
      <c r="X44" s="250">
        <f>IF(Init!$R$12="No",0,'Staging Table'!$DW46*-1)</f>
        <v>0</v>
      </c>
      <c r="Y44" s="250" t="str">
        <f>IF('Staging Table'!C46=1,"", SUM(P44:X44))</f>
        <v/>
      </c>
      <c r="Z44" s="250" t="str">
        <f>IF('Staging Table'!C46=1,"", (RT1SC!$C$4*'Staging Table'!BT46*'Staging Table'!$BT$2)+SUM('Staging Table'!BZ46:CW46)-IF(Init!$R$15="No",'Staging Table'!DV46, 0))</f>
        <v/>
      </c>
      <c r="AA44" s="126" t="str">
        <f>IF('Staging Table'!C46=1,"",IF(Z44=0, 0, Y44/Z44))</f>
        <v/>
      </c>
      <c r="AB44" s="118" t="str">
        <f ca="1">IF('Staging Table'!C46=1,"",(AA44/O44-1)+(RAND()/100000000000000))</f>
        <v/>
      </c>
      <c r="AC44" s="79" t="str">
        <f t="shared" ca="1" si="0"/>
        <v/>
      </c>
      <c r="AF44" s="255"/>
      <c r="AG44" s="255"/>
      <c r="AI44" s="255"/>
      <c r="AJ44" s="255"/>
    </row>
    <row r="45" spans="2:36">
      <c r="B45" s="166">
        <v>10109</v>
      </c>
      <c r="C45" s="167" t="s">
        <v>48</v>
      </c>
      <c r="D45" s="250">
        <f>IF(Init!$R$9="Yes",'Staging Table'!F47,'Staging Table'!BT47)*Rates_previous!$E$75*100*12</f>
        <v>4374459.9648000002</v>
      </c>
      <c r="E45" s="250">
        <f>IF(Init!$R$9="Yes",'Staging Table'!F47,'Staging Table'!BT47)*Rates_previous!$E$76*100*12</f>
        <v>-616894.06200000003</v>
      </c>
      <c r="F45" s="251">
        <f>IF(Init!$R$9="Yes",SUMPRODUCT('Staging Table'!L47:AI47,LS_Demand_Rates_Restatement!$C$4:$Z$4)-IF(Init!$R$15="No",('Staging Table'!BH47*Rates_previous!$H$34), 0),SUMPRODUCT('Staging Table'!BZ47:CW47,LS_Demand_Rates_Restatement!$C$4:$Z$4)-IF(Init!$R$15="No", 'Staging Table'!DV47*Rates_previous!$H$34, 0))</f>
        <v>-195697.56999999998</v>
      </c>
      <c r="G45" s="251">
        <f>IF(Init!$R$9="Yes",SUMPRODUCT('Staging Table'!AJ47:AU47,LS_Demand_Rates_Restatement!$C$10:$N$10),SUMPRODUCT(LS_Demand_Rates_Restatement!$C$10:$N$10,'Staging Table'!CX47:DI47))*1000</f>
        <v>388665.52000000008</v>
      </c>
      <c r="H45" s="252">
        <f>IF(Init!$R$9="Yes",'Staging Table'!BR47,'Staging Table'!EF47)*IF(Init!$R$3=2018,Rates_previous!$C$88,Rates_previous!$D$88)</f>
        <v>0</v>
      </c>
      <c r="I45" s="250">
        <f>IF(Init!$R$9="Yes",IF('Staging Table'!$F$1=2018,(SUM('Staging Table'!BD47:BG47)*Rates_previous!$C$87),(SUM('Staging Table'!BD47:BG47)*Rates_previous!$D$87)),IF('Staging Table'!$F$1=2018,(SUM('Staging Table'!DR47:DU47)*Rates_previous!$C$87),(SUM('Staging Table'!DR47:DU47)*Rates_previous!$D$87)))</f>
        <v>24035.991982952881</v>
      </c>
      <c r="J45" s="252">
        <f>IF(Init!$R$9="Yes",IF('Staging Table'!D47=1,'Staging Table'!H47*-1*'Staging Table'!BT47/'Staging Table'!BS47,'Staging Table'!H47*SUM(D45:I45)*(-1)),IF('Staging Table'!D47=1,'Staging Table'!BV47*-1*'Staging Table'!BT47/'Staging Table'!BS47,'Staging Table'!BV47*SUM(D45:I45)*(-1)))</f>
        <v>-330392.08020235016</v>
      </c>
      <c r="K45" s="250">
        <f>IF(Init!$R$9="Yes",'Staging Table'!K47,'Staging Table'!BY47)*(-1)*Rates_previous!$H$32</f>
        <v>-248139.93960000004</v>
      </c>
      <c r="L45" s="250">
        <f>IF(Init!$R$12="No",0,'Staging Table'!$BI47*-1)*('Staging Table'!$F47/'Staging Table'!$E47)</f>
        <v>-68108.813897606262</v>
      </c>
      <c r="M45" s="250">
        <f>IF('Staging Table'!C47=1,"",SUM(D45:L45))</f>
        <v>3327929.0110829961</v>
      </c>
      <c r="N45" s="250">
        <f>IF('Staging Table'!C47=1,"",IF(Init!$R$9="Yes",(RT1SC!$C$3*'Staging Table'!F47*'Staging Table'!$F$2)+SUM('Staging Table'!L47:AI47)-IF(Init!$R$15="No",'Staging Table'!BH47, 0),Z45))</f>
        <v>98071.873098319993</v>
      </c>
      <c r="O45" s="126">
        <f>IF('Staging Table'!C47=1,"",IF(N45=0, 0, M45/N45))</f>
        <v>33.933572449938296</v>
      </c>
      <c r="P45" s="250">
        <f>'Staging Table'!BT47*Rates_current!$E$74*100*12</f>
        <v>4078354.7376000001</v>
      </c>
      <c r="Q45" s="250">
        <f>'Staging Table'!BT47*Rates_current!$E$75*100*12</f>
        <v>-412591.60800000001</v>
      </c>
      <c r="R45" s="251">
        <f>SUMPRODUCT('Staging Table'!BZ47:CW47, LS_Demand_Rates_Restatement!$C$5:$Z$5)-IF(Init!$R$15="No",('Staging Table'!DV47*Rates_current!$H$34), 0)</f>
        <v>-97073.76999999996</v>
      </c>
      <c r="S45" s="251">
        <f>SUMPRODUCT('Staging Table'!CX47:DI47, LS_Demand_Rates_Restatement!$C$11:$N$11)*1000</f>
        <v>425857.21999999991</v>
      </c>
      <c r="T45" s="252">
        <f>'Staging Table'!EF47*IF(Init!$R$18="Yes",IF(Init!$R$6=2020,Rates_current!$C$88,Rates_current!$D$88),Rates_current!$H$33)</f>
        <v>0</v>
      </c>
      <c r="U45" s="252">
        <f>IF(Init!$R$18="Yes",(SUM('Staging Table'!DL47:DU47)*IF('Staging Table'!$BT$1=2020, Rates_current!$C$87, Rates_current!$D$87)),0)</f>
        <v>71194.530490803736</v>
      </c>
      <c r="V45" s="252">
        <f>IF('Staging Table'!D47=1, 'Staging Table'!BV47*-1*'Staging Table'!BT47/'Staging Table'!BS47,SUM(P45:U45)*'Staging Table'!BV47*-1)</f>
        <v>-322237.22344013379</v>
      </c>
      <c r="W45" s="250">
        <f>'Staging Table'!BY47*Rates_current!$H$32*-1</f>
        <v>-234424.72185000003</v>
      </c>
      <c r="X45" s="250">
        <f>IF(Init!$R$12="No",0,'Staging Table'!$DW47*-1)</f>
        <v>0</v>
      </c>
      <c r="Y45" s="250">
        <f>IF('Staging Table'!C47=1,"", SUM(P45:X45))</f>
        <v>3509079.1648006695</v>
      </c>
      <c r="Z45" s="250">
        <f>IF('Staging Table'!C47=1,"", (RT1SC!$C$4*'Staging Table'!BT47*'Staging Table'!$BT$2)+SUM('Staging Table'!BZ47:CW47)-IF(Init!$R$15="No",'Staging Table'!DV47, 0))</f>
        <v>103659.88580812799</v>
      </c>
      <c r="AA45" s="126">
        <f>IF('Staging Table'!C47=1,"",IF(Z45=0, 0, Y45/Z45))</f>
        <v>33.851852502480007</v>
      </c>
      <c r="AB45" s="118">
        <f ca="1">IF('Staging Table'!C47=1,"",(AA45/O45-1)+(RAND()/100000000000000))</f>
        <v>-2.4082329550978326E-3</v>
      </c>
      <c r="AC45" s="79">
        <f t="shared" ca="1" si="0"/>
        <v>114</v>
      </c>
      <c r="AF45" s="255"/>
      <c r="AG45" s="255"/>
      <c r="AI45" s="255"/>
      <c r="AJ45" s="255"/>
    </row>
    <row r="46" spans="2:36">
      <c r="B46" s="166">
        <v>10111</v>
      </c>
      <c r="C46" s="167" t="s">
        <v>49</v>
      </c>
      <c r="D46" s="250">
        <f>IF(Init!$R$9="Yes",'Staging Table'!F48,'Staging Table'!BT48)*Rates_previous!$E$75*100*12</f>
        <v>1082277.5731200003</v>
      </c>
      <c r="E46" s="250">
        <f>IF(Init!$R$9="Yes",'Staging Table'!F48,'Staging Table'!BT48)*Rates_previous!$E$76*100*12</f>
        <v>-152624.69280000002</v>
      </c>
      <c r="F46" s="251">
        <f>IF(Init!$R$9="Yes",SUMPRODUCT('Staging Table'!L48:AI48,LS_Demand_Rates_Restatement!$C$4:$Z$4)-IF(Init!$R$15="No",('Staging Table'!BH48*Rates_previous!$H$34), 0),SUMPRODUCT('Staging Table'!BZ48:CW48,LS_Demand_Rates_Restatement!$C$4:$Z$4)-IF(Init!$R$15="No", 'Staging Table'!DV48*Rates_previous!$H$34, 0))</f>
        <v>26291.620000000006</v>
      </c>
      <c r="G46" s="251">
        <f>IF(Init!$R$9="Yes",SUMPRODUCT('Staging Table'!AJ48:AU48,LS_Demand_Rates_Restatement!$C$10:$N$10),SUMPRODUCT(LS_Demand_Rates_Restatement!$C$10:$N$10,'Staging Table'!CX48:DI48))*1000</f>
        <v>78914.8</v>
      </c>
      <c r="H46" s="252">
        <f>IF(Init!$R$9="Yes",'Staging Table'!BR48,'Staging Table'!EF48)*IF(Init!$R$3=2018,Rates_previous!$C$88,Rates_previous!$D$88)</f>
        <v>11870.135855747842</v>
      </c>
      <c r="I46" s="250">
        <f>IF(Init!$R$9="Yes",IF('Staging Table'!$F$1=2018,(SUM('Staging Table'!BD48:BG48)*Rates_previous!$C$87),(SUM('Staging Table'!BD48:BG48)*Rates_previous!$D$87)),IF('Staging Table'!$F$1=2018,(SUM('Staging Table'!DR48:DU48)*Rates_previous!$C$87),(SUM('Staging Table'!DR48:DU48)*Rates_previous!$D$87)))</f>
        <v>5946.7031999757628</v>
      </c>
      <c r="J46" s="252">
        <f>IF(Init!$R$9="Yes",IF('Staging Table'!D48=1,'Staging Table'!H48*-1*'Staging Table'!BT48/'Staging Table'!BS48,'Staging Table'!H48*SUM(D46:I46)*(-1)),IF('Staging Table'!D48=1,'Staging Table'!BV48*-1*'Staging Table'!BT48/'Staging Table'!BS48,'Staging Table'!BV48*SUM(D46:I46)*(-1)))</f>
        <v>-73687.329756300678</v>
      </c>
      <c r="K46" s="250">
        <f>IF(Init!$R$9="Yes",'Staging Table'!K48,'Staging Table'!BY48)*(-1)*Rates_previous!$H$32</f>
        <v>-61477.152239999996</v>
      </c>
      <c r="L46" s="250">
        <f>IF(Init!$R$12="No",0,'Staging Table'!$BI48*-1)*('Staging Table'!$F48/'Staging Table'!$E48)</f>
        <v>-16850.683834422329</v>
      </c>
      <c r="M46" s="250">
        <f>IF('Staging Table'!C48=1,"",SUM(D46:L46))</f>
        <v>900660.97354500089</v>
      </c>
      <c r="N46" s="250">
        <f>IF('Staging Table'!C48=1,"",IF(Init!$R$9="Yes",(RT1SC!$C$3*'Staging Table'!F48*'Staging Table'!$F$2)+SUM('Staging Table'!L48:AI48)-IF(Init!$R$15="No",'Staging Table'!BH48, 0),Z46))</f>
        <v>26756.494287808</v>
      </c>
      <c r="O46" s="126">
        <f>IF('Staging Table'!C48=1,"",IF(N46=0, 0, M46/N46))</f>
        <v>33.661396887685719</v>
      </c>
      <c r="P46" s="250">
        <f>'Staging Table'!BT48*Rates_current!$E$74*100*12</f>
        <v>1030521.33696</v>
      </c>
      <c r="Q46" s="250">
        <f>'Staging Table'!BT48*Rates_current!$E$75*100*12</f>
        <v>-104253.91680000001</v>
      </c>
      <c r="R46" s="251">
        <f>SUMPRODUCT('Staging Table'!BZ48:CW48, LS_Demand_Rates_Restatement!$C$5:$Z$5)-IF(Init!$R$15="No",('Staging Table'!DV48*Rates_current!$H$34), 0)</f>
        <v>6473.7799999999988</v>
      </c>
      <c r="S46" s="251">
        <f>SUMPRODUCT('Staging Table'!CX48:DI48, LS_Demand_Rates_Restatement!$C$11:$N$11)*1000</f>
        <v>88235.209999999992</v>
      </c>
      <c r="T46" s="252">
        <f>'Staging Table'!EF48*IF(Init!$R$18="Yes",IF(Init!$R$6=2020,Rates_current!$C$88,Rates_current!$D$88),Rates_current!$H$33)</f>
        <v>-8.0509508413105504</v>
      </c>
      <c r="U46" s="252">
        <f>IF(Init!$R$18="Yes",(SUM('Staging Table'!DL48:DU48)*IF('Staging Table'!$BT$1=2020, Rates_current!$C$87, Rates_current!$D$87)),0)</f>
        <v>17989.480431708915</v>
      </c>
      <c r="V46" s="252">
        <f>IF('Staging Table'!D48=1, 'Staging Table'!BV48*-1*'Staging Table'!BT48/'Staging Table'!BS48,SUM(P46:U46)*'Staging Table'!BV48*-1)</f>
        <v>-72727.048774860741</v>
      </c>
      <c r="W46" s="250">
        <f>'Staging Table'!BY48*Rates_current!$H$32*-1</f>
        <v>-58079.180389999994</v>
      </c>
      <c r="X46" s="250">
        <f>IF(Init!$R$12="No",0,'Staging Table'!$DW48*-1)</f>
        <v>0</v>
      </c>
      <c r="Y46" s="250">
        <f>IF('Staging Table'!C48=1,"", SUM(P46:X46))</f>
        <v>908151.61047600687</v>
      </c>
      <c r="Z46" s="250">
        <f>IF('Staging Table'!C48=1,"", (RT1SC!$C$4*'Staging Table'!BT48*'Staging Table'!$BT$2)+SUM('Staging Table'!BZ48:CW48)-IF(Init!$R$15="No",'Staging Table'!DV48, 0))</f>
        <v>26755.556693708801</v>
      </c>
      <c r="AA46" s="126">
        <f>IF('Staging Table'!C48=1,"",IF(Z46=0, 0, Y46/Z46))</f>
        <v>33.942542137033769</v>
      </c>
      <c r="AB46" s="118">
        <f ca="1">IF('Staging Table'!C48=1,"",(AA46/O46-1)+(RAND()/100000000000000))</f>
        <v>8.3521563376058056E-3</v>
      </c>
      <c r="AC46" s="79">
        <f t="shared" ca="1" si="0"/>
        <v>86</v>
      </c>
      <c r="AF46" s="255"/>
      <c r="AG46" s="255"/>
      <c r="AI46" s="255"/>
      <c r="AJ46" s="255"/>
    </row>
    <row r="47" spans="2:36">
      <c r="B47" s="166">
        <v>10112</v>
      </c>
      <c r="C47" s="167" t="s">
        <v>50</v>
      </c>
      <c r="D47" s="250">
        <f>IF(Init!$R$9="Yes",'Staging Table'!F49,'Staging Table'!BT49)*Rates_previous!$E$75*100*12</f>
        <v>20555885.459520001</v>
      </c>
      <c r="E47" s="250">
        <f>IF(Init!$R$9="Yes",'Staging Table'!F49,'Staging Table'!BT49)*Rates_previous!$E$76*100*12</f>
        <v>-2898827.2338000005</v>
      </c>
      <c r="F47" s="251">
        <f>IF(Init!$R$9="Yes",SUMPRODUCT('Staging Table'!L49:AI49,LS_Demand_Rates_Restatement!$C$4:$Z$4)-IF(Init!$R$15="No",('Staging Table'!BH49*Rates_previous!$H$34), 0),SUMPRODUCT('Staging Table'!BZ49:CW49,LS_Demand_Rates_Restatement!$C$4:$Z$4)-IF(Init!$R$15="No", 'Staging Table'!DV49*Rates_previous!$H$34, 0))</f>
        <v>-83685.67999999992</v>
      </c>
      <c r="G47" s="251">
        <f>IF(Init!$R$9="Yes",SUMPRODUCT('Staging Table'!AJ49:AU49,LS_Demand_Rates_Restatement!$C$10:$N$10),SUMPRODUCT(LS_Demand_Rates_Restatement!$C$10:$N$10,'Staging Table'!CX49:DI49))*1000</f>
        <v>980605.74999999988</v>
      </c>
      <c r="H47" s="252">
        <f>IF(Init!$R$9="Yes",'Staging Table'!BR49,'Staging Table'!EF49)*IF(Init!$R$3=2018,Rates_previous!$C$88,Rates_previous!$D$88)</f>
        <v>-159733.37788462761</v>
      </c>
      <c r="I47" s="250">
        <f>IF(Init!$R$9="Yes",IF('Staging Table'!$F$1=2018,(SUM('Staging Table'!BD49:BG49)*Rates_previous!$C$87),(SUM('Staging Table'!BD49:BG49)*Rates_previous!$D$87)),IF('Staging Table'!$F$1=2018,(SUM('Staging Table'!DR49:DU49)*Rates_previous!$C$87),(SUM('Staging Table'!DR49:DU49)*Rates_previous!$D$87)))</f>
        <v>112946.76419106509</v>
      </c>
      <c r="J47" s="252">
        <f>IF(Init!$R$9="Yes",IF('Staging Table'!D49=1,'Staging Table'!H49*-1*'Staging Table'!BT49/'Staging Table'!BS49,'Staging Table'!H49*SUM(D47:I47)*(-1)),IF('Staging Table'!D49=1,'Staging Table'!BV49*-1*'Staging Table'!BT49/'Staging Table'!BS49,'Staging Table'!BV49*SUM(D47:I47)*(-1)))</f>
        <v>0</v>
      </c>
      <c r="K47" s="250">
        <f>IF(Init!$R$9="Yes",'Staging Table'!K49,'Staging Table'!BY49)*(-1)*Rates_previous!$H$32</f>
        <v>0</v>
      </c>
      <c r="L47" s="250">
        <f>IF(Init!$R$12="No",0,'Staging Table'!$BI49*-1)*('Staging Table'!$F49/'Staging Table'!$E49)</f>
        <v>-585492.23640435282</v>
      </c>
      <c r="M47" s="250">
        <f>IF('Staging Table'!C49=1,"",SUM(D47:L47))</f>
        <v>17921699.445622087</v>
      </c>
      <c r="N47" s="250">
        <f>IF('Staging Table'!C49=1,"",IF(Init!$R$9="Yes",(RT1SC!$C$3*'Staging Table'!F49*'Staging Table'!$F$2)+SUM('Staging Table'!L49:AI49)-IF(Init!$R$15="No",'Staging Table'!BH49, 0),Z47))</f>
        <v>478542.964600568</v>
      </c>
      <c r="O47" s="126">
        <f>IF('Staging Table'!C49=1,"",IF(N47=0, 0, M47/N47))</f>
        <v>37.450554644724612</v>
      </c>
      <c r="P47" s="250">
        <f>'Staging Table'!BT49*Rates_current!$E$74*100*12</f>
        <v>18432452.216159999</v>
      </c>
      <c r="Q47" s="250">
        <f>'Staging Table'!BT49*Rates_current!$E$75*100*12</f>
        <v>-1864740.9527999999</v>
      </c>
      <c r="R47" s="251">
        <f>SUMPRODUCT('Staging Table'!BZ49:CW49, LS_Demand_Rates_Restatement!$C$5:$Z$5)-IF(Init!$R$15="No",('Staging Table'!DV49*Rates_current!$H$34), 0)</f>
        <v>228078.3</v>
      </c>
      <c r="S47" s="251">
        <f>SUMPRODUCT('Staging Table'!CX49:DI49, LS_Demand_Rates_Restatement!$C$11:$N$11)*1000</f>
        <v>1106361.03</v>
      </c>
      <c r="T47" s="252">
        <f>'Staging Table'!EF49*IF(Init!$R$18="Yes",IF(Init!$R$6=2020,Rates_current!$C$88,Rates_current!$D$88),Rates_current!$H$33)</f>
        <v>26.684882634791428</v>
      </c>
      <c r="U47" s="252">
        <f>IF(Init!$R$18="Yes",(SUM('Staging Table'!DL49:DU49)*IF('Staging Table'!$BT$1=2020, Rates_current!$C$87, Rates_current!$D$87)),0)</f>
        <v>321769.40598745772</v>
      </c>
      <c r="V47" s="252">
        <f>IF('Staging Table'!D49=1, 'Staging Table'!BV49*-1*'Staging Table'!BT49/'Staging Table'!BS49,SUM(P47:U47)*'Staging Table'!BV49*-1)</f>
        <v>0</v>
      </c>
      <c r="W47" s="250">
        <f>'Staging Table'!BY49*Rates_current!$H$32*-1</f>
        <v>0</v>
      </c>
      <c r="X47" s="250">
        <f>IF(Init!$R$12="No",0,'Staging Table'!$DW49*-1)</f>
        <v>0</v>
      </c>
      <c r="Y47" s="250">
        <f>IF('Staging Table'!C49=1,"", SUM(P47:X47))</f>
        <v>18223946.684230089</v>
      </c>
      <c r="Z47" s="250">
        <f>IF('Staging Table'!C49=1,"", (RT1SC!$C$4*'Staging Table'!BT49*'Staging Table'!$BT$2)+SUM('Staging Table'!BZ49:CW49)-IF(Init!$R$15="No",'Staging Table'!DV49, 0))</f>
        <v>478545.21746708476</v>
      </c>
      <c r="AA47" s="126">
        <f>IF('Staging Table'!C49=1,"",IF(Z47=0, 0, Y47/Z47))</f>
        <v>38.081974323531021</v>
      </c>
      <c r="AB47" s="118">
        <f ca="1">IF('Staging Table'!C49=1,"",(AA47/O47-1)+(RAND()/100000000000000))</f>
        <v>1.6860088850394184E-2</v>
      </c>
      <c r="AC47" s="79">
        <f t="shared" ca="1" si="0"/>
        <v>71</v>
      </c>
      <c r="AF47" s="255"/>
      <c r="AG47" s="255"/>
      <c r="AI47" s="255"/>
      <c r="AJ47" s="255"/>
    </row>
    <row r="48" spans="2:36">
      <c r="B48" s="166">
        <v>10113</v>
      </c>
      <c r="C48" s="167" t="s">
        <v>51</v>
      </c>
      <c r="D48" s="250">
        <f>IF(Init!$R$9="Yes",'Staging Table'!F50,'Staging Table'!BT50)*Rates_previous!$E$75*100*12</f>
        <v>13605920.789760001</v>
      </c>
      <c r="E48" s="250">
        <f>IF(Init!$R$9="Yes",'Staging Table'!F50,'Staging Table'!BT50)*Rates_previous!$E$76*100*12</f>
        <v>-1918730.9544000002</v>
      </c>
      <c r="F48" s="251">
        <f>IF(Init!$R$9="Yes",SUMPRODUCT('Staging Table'!L50:AI50,LS_Demand_Rates_Restatement!$C$4:$Z$4)-IF(Init!$R$15="No",('Staging Table'!BH50*Rates_previous!$H$34), 0),SUMPRODUCT('Staging Table'!BZ50:CW50,LS_Demand_Rates_Restatement!$C$4:$Z$4)-IF(Init!$R$15="No", 'Staging Table'!DV50*Rates_previous!$H$34, 0))</f>
        <v>-494410.44000000024</v>
      </c>
      <c r="G48" s="251">
        <f>IF(Init!$R$9="Yes",SUMPRODUCT('Staging Table'!AJ50:AU50,LS_Demand_Rates_Restatement!$C$10:$N$10),SUMPRODUCT(LS_Demand_Rates_Restatement!$C$10:$N$10,'Staging Table'!CX50:DI50))*1000</f>
        <v>869255.6100000001</v>
      </c>
      <c r="H48" s="252">
        <f>IF(Init!$R$9="Yes",'Staging Table'!BR50,'Staging Table'!EF50)*IF(Init!$R$3=2018,Rates_previous!$C$88,Rates_previous!$D$88)</f>
        <v>0</v>
      </c>
      <c r="I48" s="250">
        <f>IF(Init!$R$9="Yes",IF('Staging Table'!$F$1=2018,(SUM('Staging Table'!BD50:BG50)*Rates_previous!$C$87),(SUM('Staging Table'!BD50:BG50)*Rates_previous!$D$87)),IF('Staging Table'!$F$1=2018,(SUM('Staging Table'!DR50:DU50)*Rates_previous!$C$87),(SUM('Staging Table'!DR50:DU50)*Rates_previous!$D$87)))</f>
        <v>74759.354447152931</v>
      </c>
      <c r="J48" s="252">
        <f>IF(Init!$R$9="Yes",IF('Staging Table'!D50=1,'Staging Table'!H50*-1*'Staging Table'!BT50/'Staging Table'!BS50,'Staging Table'!H50*SUM(D48:I48)*(-1)),IF('Staging Table'!D50=1,'Staging Table'!BV50*-1*'Staging Table'!BT50/'Staging Table'!BS50,'Staging Table'!BV50*SUM(D48:I48)*(-1)))</f>
        <v>-970868.30065954162</v>
      </c>
      <c r="K48" s="250">
        <f>IF(Init!$R$9="Yes",'Staging Table'!K50,'Staging Table'!BY50)*(-1)*Rates_previous!$H$32</f>
        <v>-1583554.1131199999</v>
      </c>
      <c r="L48" s="250">
        <f>IF(Init!$R$12="No",0,'Staging Table'!$BI50*-1)*('Staging Table'!$F50/'Staging Table'!$E50)</f>
        <v>-211839.43490901371</v>
      </c>
      <c r="M48" s="250">
        <f>IF('Staging Table'!C50=1,"",SUM(D48:L48))</f>
        <v>9370532.5111186001</v>
      </c>
      <c r="N48" s="250">
        <f>IF('Staging Table'!C50=1,"",IF(Init!$R$9="Yes",(RT1SC!$C$3*'Staging Table'!F50*'Staging Table'!$F$2)+SUM('Staging Table'!L50:AI50)-IF(Init!$R$15="No",'Staging Table'!BH50, 0),Z48))</f>
        <v>318926.11886678403</v>
      </c>
      <c r="O48" s="126">
        <f>IF('Staging Table'!C50=1,"",IF(N48=0, 0, M48/N48))</f>
        <v>29.381514892584534</v>
      </c>
      <c r="P48" s="250">
        <f>'Staging Table'!BT50*Rates_current!$E$74*100*12</f>
        <v>12685441.965</v>
      </c>
      <c r="Q48" s="250">
        <f>'Staging Table'!BT50*Rates_current!$E$75*100*12</f>
        <v>-1283337.8250000002</v>
      </c>
      <c r="R48" s="251">
        <f>SUMPRODUCT('Staging Table'!BZ50:CW50, LS_Demand_Rates_Restatement!$C$5:$Z$5)-IF(Init!$R$15="No",('Staging Table'!DV50*Rates_current!$H$34), 0)</f>
        <v>-772778.2799999998</v>
      </c>
      <c r="S48" s="251">
        <f>SUMPRODUCT('Staging Table'!CX50:DI50, LS_Demand_Rates_Restatement!$C$11:$N$11)*1000</f>
        <v>936510.98</v>
      </c>
      <c r="T48" s="252">
        <f>'Staging Table'!EF50*IF(Init!$R$18="Yes",IF(Init!$R$6=2020,Rates_current!$C$88,Rates_current!$D$88),Rates_current!$H$33)</f>
        <v>0</v>
      </c>
      <c r="U48" s="252">
        <f>IF(Init!$R$18="Yes",(SUM('Staging Table'!DL50:DU50)*IF('Staging Table'!$BT$1=2020, Rates_current!$C$87, Rates_current!$D$87)),0)</f>
        <v>221445.6914304574</v>
      </c>
      <c r="V48" s="252">
        <f>IF('Staging Table'!D50=1, 'Staging Table'!BV50*-1*'Staging Table'!BT50/'Staging Table'!BS50,SUM(P48:U48)*'Staging Table'!BV50*-1)</f>
        <v>-963137.67691492965</v>
      </c>
      <c r="W48" s="250">
        <f>'Staging Table'!BY50*Rates_current!$H$32*-1</f>
        <v>-1496027.7378199999</v>
      </c>
      <c r="X48" s="250">
        <f>IF(Init!$R$12="No",0,'Staging Table'!$DW50*-1)</f>
        <v>0</v>
      </c>
      <c r="Y48" s="250">
        <f>IF('Staging Table'!C50=1,"", SUM(P48:X48))</f>
        <v>9328117.1166955288</v>
      </c>
      <c r="Z48" s="250">
        <f>IF('Staging Table'!C50=1,"", (RT1SC!$C$4*'Staging Table'!BT50*'Staging Table'!$BT$2)+SUM('Staging Table'!BZ50:CW50)-IF(Init!$R$15="No",'Staging Table'!DV50, 0))</f>
        <v>310215.43531519995</v>
      </c>
      <c r="AA48" s="126">
        <f>IF('Staging Table'!C50=1,"",IF(Z48=0, 0, Y48/Z48))</f>
        <v>30.069803287568615</v>
      </c>
      <c r="AB48" s="118">
        <f ca="1">IF('Staging Table'!C50=1,"",(AA48/O48-1)+(RAND()/100000000000000))</f>
        <v>2.3425898817692446E-2</v>
      </c>
      <c r="AC48" s="79">
        <f t="shared" ca="1" si="0"/>
        <v>41</v>
      </c>
      <c r="AF48" s="255"/>
      <c r="AG48" s="255"/>
      <c r="AI48" s="255"/>
      <c r="AJ48" s="255"/>
    </row>
    <row r="49" spans="2:36">
      <c r="B49" s="166">
        <v>10116</v>
      </c>
      <c r="C49" s="167" t="s">
        <v>52</v>
      </c>
      <c r="D49" s="250">
        <f>IF(Init!$R$9="Yes",'Staging Table'!F51,'Staging Table'!BT51)*Rates_previous!$E$75*100*12</f>
        <v>82291.821120000008</v>
      </c>
      <c r="E49" s="250">
        <f>IF(Init!$R$9="Yes",'Staging Table'!F51,'Staging Table'!BT51)*Rates_previous!$E$76*100*12</f>
        <v>-11604.9378</v>
      </c>
      <c r="F49" s="251">
        <f>IF(Init!$R$9="Yes",SUMPRODUCT('Staging Table'!L51:AI51,LS_Demand_Rates_Restatement!$C$4:$Z$4)-IF(Init!$R$15="No",('Staging Table'!BH51*Rates_previous!$H$34), 0),SUMPRODUCT('Staging Table'!BZ51:CW51,LS_Demand_Rates_Restatement!$C$4:$Z$4)-IF(Init!$R$15="No", 'Staging Table'!DV51*Rates_previous!$H$34, 0))</f>
        <v>-449.96115990502221</v>
      </c>
      <c r="G49" s="251">
        <f>IF(Init!$R$9="Yes",SUMPRODUCT('Staging Table'!AJ51:AU51,LS_Demand_Rates_Restatement!$C$10:$N$10),SUMPRODUCT(LS_Demand_Rates_Restatement!$C$10:$N$10,'Staging Table'!CX51:DI51))*1000</f>
        <v>5208.0640251682207</v>
      </c>
      <c r="H49" s="252">
        <f>IF(Init!$R$9="Yes",'Staging Table'!BR51,'Staging Table'!EF51)*IF(Init!$R$3=2018,Rates_previous!$C$88,Rates_previous!$D$88)</f>
        <v>0</v>
      </c>
      <c r="I49" s="250">
        <f>IF(Init!$R$9="Yes",IF('Staging Table'!$F$1=2018,(SUM('Staging Table'!BD51:BG51)*Rates_previous!$C$87),(SUM('Staging Table'!BD51:BG51)*Rates_previous!$D$87)),IF('Staging Table'!$F$1=2018,(SUM('Staging Table'!DR51:DU51)*Rates_previous!$C$87),(SUM('Staging Table'!DR51:DU51)*Rates_previous!$D$87)))</f>
        <v>452.16222542188586</v>
      </c>
      <c r="J49" s="252">
        <f>IF(Init!$R$9="Yes",IF('Staging Table'!D51=1,'Staging Table'!H51*-1*'Staging Table'!BT51/'Staging Table'!BS51,'Staging Table'!H51*SUM(D49:I49)*(-1)),IF('Staging Table'!D51=1,'Staging Table'!BV51*-1*'Staging Table'!BT51/'Staging Table'!BS51,'Staging Table'!BV51*SUM(D49:I49)*(-1)))</f>
        <v>0</v>
      </c>
      <c r="K49" s="250">
        <f>IF(Init!$R$9="Yes",'Staging Table'!K51,'Staging Table'!BY51)*(-1)*Rates_previous!$H$32</f>
        <v>0</v>
      </c>
      <c r="L49" s="250">
        <f>IF(Init!$R$12="No",0,'Staging Table'!$BI51*-1)*('Staging Table'!$F51/'Staging Table'!$E51)</f>
        <v>-3106.5164304322193</v>
      </c>
      <c r="M49" s="250">
        <f>IF('Staging Table'!C51=1,"",SUM(D49:L49))</f>
        <v>72790.63198025286</v>
      </c>
      <c r="N49" s="250">
        <f>IF('Staging Table'!C51=1,"",IF(Init!$R$9="Yes",(RT1SC!$C$3*'Staging Table'!F51*'Staging Table'!$F$2)+SUM('Staging Table'!L51:AI51)-IF(Init!$R$15="No",'Staging Table'!BH51, 0),Z49))</f>
        <v>1962.24</v>
      </c>
      <c r="O49" s="126">
        <f>IF('Staging Table'!C51=1,"",IF(N49=0, 0, M49/N49))</f>
        <v>37.095682475259323</v>
      </c>
      <c r="P49" s="250">
        <f>'Staging Table'!BT51*Rates_current!$E$74*100*12</f>
        <v>76528.567919999987</v>
      </c>
      <c r="Q49" s="250">
        <f>'Staging Table'!BT51*Rates_current!$E$75*100*12</f>
        <v>-7742.1035999999986</v>
      </c>
      <c r="R49" s="251">
        <f>SUMPRODUCT('Staging Table'!BZ51:CW51, LS_Demand_Rates_Restatement!$C$5:$Z$5)-IF(Init!$R$15="No",('Staging Table'!DV51*Rates_current!$H$34), 0)</f>
        <v>-458.48312763670765</v>
      </c>
      <c r="S49" s="251">
        <f>SUMPRODUCT('Staging Table'!CX51:DI51, LS_Demand_Rates_Restatement!$C$11:$N$11)*1000</f>
        <v>5722.4085137716556</v>
      </c>
      <c r="T49" s="252">
        <f>'Staging Table'!EF51*IF(Init!$R$18="Yes",IF(Init!$R$6=2020,Rates_current!$C$88,Rates_current!$D$88),Rates_current!$H$33)</f>
        <v>0</v>
      </c>
      <c r="U49" s="252">
        <f>IF(Init!$R$18="Yes",(SUM('Staging Table'!DL51:DU51)*IF('Staging Table'!$BT$1=2020, Rates_current!$C$87, Rates_current!$D$87)),0)</f>
        <v>1335.9346630558739</v>
      </c>
      <c r="V49" s="252">
        <f>IF('Staging Table'!D51=1, 'Staging Table'!BV51*-1*'Staging Table'!BT51/'Staging Table'!BS51,SUM(P49:U49)*'Staging Table'!BV51*-1)</f>
        <v>0</v>
      </c>
      <c r="W49" s="250">
        <f>'Staging Table'!BY51*Rates_current!$H$32*-1</f>
        <v>0</v>
      </c>
      <c r="X49" s="250">
        <f>IF(Init!$R$12="No",0,'Staging Table'!$DW51*-1)</f>
        <v>0</v>
      </c>
      <c r="Y49" s="250">
        <f>IF('Staging Table'!C51=1,"", SUM(P49:X49))</f>
        <v>75386.324369190814</v>
      </c>
      <c r="Z49" s="250">
        <f>IF('Staging Table'!C51=1,"", (RT1SC!$C$4*'Staging Table'!BT51*'Staging Table'!$BT$2)+SUM('Staging Table'!BZ51:CW51)-IF(Init!$R$15="No",'Staging Table'!DV51, 0))</f>
        <v>1985.184</v>
      </c>
      <c r="AA49" s="126">
        <f>IF('Staging Table'!C51=1,"",IF(Z49=0, 0, Y49/Z49))</f>
        <v>37.974477111033949</v>
      </c>
      <c r="AB49" s="118">
        <f ca="1">IF('Staging Table'!C51=1,"",(AA49/O49-1)+(RAND()/100000000000000))</f>
        <v>2.3689943873142751E-2</v>
      </c>
      <c r="AC49" s="79">
        <f t="shared" ca="1" si="0"/>
        <v>37</v>
      </c>
      <c r="AF49" s="255"/>
      <c r="AG49" s="255"/>
      <c r="AI49" s="255"/>
      <c r="AJ49" s="255"/>
    </row>
    <row r="50" spans="2:36">
      <c r="B50" s="166">
        <v>10118</v>
      </c>
      <c r="C50" s="167" t="s">
        <v>53</v>
      </c>
      <c r="D50" s="250">
        <f>IF(Init!$R$9="Yes",'Staging Table'!F52,'Staging Table'!BT52)*Rates_previous!$E$75*100*12</f>
        <v>16486644.07584</v>
      </c>
      <c r="E50" s="250">
        <f>IF(Init!$R$9="Yes",'Staging Table'!F52,'Staging Table'!BT52)*Rates_previous!$E$76*100*12</f>
        <v>-2324975.6345999995</v>
      </c>
      <c r="F50" s="251">
        <f>IF(Init!$R$9="Yes",SUMPRODUCT('Staging Table'!L52:AI52,LS_Demand_Rates_Restatement!$C$4:$Z$4)-IF(Init!$R$15="No",('Staging Table'!BH52*Rates_previous!$H$34), 0),SUMPRODUCT('Staging Table'!BZ52:CW52,LS_Demand_Rates_Restatement!$C$4:$Z$4)-IF(Init!$R$15="No", 'Staging Table'!DV52*Rates_previous!$H$34, 0))</f>
        <v>0</v>
      </c>
      <c r="G50" s="251">
        <f>IF(Init!$R$9="Yes",SUMPRODUCT('Staging Table'!AJ52:AU52,LS_Demand_Rates_Restatement!$C$10:$N$10),SUMPRODUCT(LS_Demand_Rates_Restatement!$C$10:$N$10,'Staging Table'!CX52:DI52))*1000</f>
        <v>0</v>
      </c>
      <c r="H50" s="252">
        <f>IF(Init!$R$9="Yes",'Staging Table'!BR52,'Staging Table'!EF52)*IF(Init!$R$3=2018,Rates_previous!$C$88,Rates_previous!$D$88)</f>
        <v>0</v>
      </c>
      <c r="I50" s="250">
        <f>IF(Init!$R$9="Yes",IF('Staging Table'!$F$1=2018,(SUM('Staging Table'!BD52:BG52)*Rates_previous!$C$87),(SUM('Staging Table'!BD52:BG52)*Rates_previous!$D$87)),IF('Staging Table'!$F$1=2018,(SUM('Staging Table'!DR52:DU52)*Rates_previous!$C$87),(SUM('Staging Table'!DR52:DU52)*Rates_previous!$D$87)))</f>
        <v>90587.832103020599</v>
      </c>
      <c r="J50" s="252">
        <f>IF(Init!$R$9="Yes",IF('Staging Table'!D52=1,'Staging Table'!H52*-1*'Staging Table'!BT52/'Staging Table'!BS52,'Staging Table'!H52*SUM(D50:I50)*(-1)),IF('Staging Table'!D52=1,'Staging Table'!BV52*-1*'Staging Table'!BT52/'Staging Table'!BS52,'Staging Table'!BV52*SUM(D50:I50)*(-1)))</f>
        <v>-953977.62410746992</v>
      </c>
      <c r="K50" s="250">
        <f>IF(Init!$R$9="Yes",'Staging Table'!K52,'Staging Table'!BY52)*(-1)*Rates_previous!$H$32</f>
        <v>0</v>
      </c>
      <c r="L50" s="250">
        <f>IF(Init!$R$12="No",0,'Staging Table'!$BI52*-1)*('Staging Table'!$F52/'Staging Table'!$E52)</f>
        <v>-502767.38362718758</v>
      </c>
      <c r="M50" s="250" t="str">
        <f>IF('Staging Table'!C52=1,"",SUM(D50:L50))</f>
        <v/>
      </c>
      <c r="N50" s="250" t="str">
        <f>IF('Staging Table'!C52=1,"",IF(Init!$R$9="Yes",(RT1SC!$C$3*'Staging Table'!F52*'Staging Table'!$F$2)+SUM('Staging Table'!L52:AI52)-IF(Init!$R$15="No",'Staging Table'!BH52, 0),Z50))</f>
        <v/>
      </c>
      <c r="O50" s="126" t="str">
        <f>IF('Staging Table'!C52=1,"",IF(N50=0, 0, M50/N50))</f>
        <v/>
      </c>
      <c r="P50" s="250">
        <f>'Staging Table'!BT52*Rates_current!$E$74*100*12</f>
        <v>15371309.499360003</v>
      </c>
      <c r="Q50" s="250">
        <f>'Staging Table'!BT52*Rates_current!$E$75*100*12</f>
        <v>-1555056.8088</v>
      </c>
      <c r="R50" s="251">
        <f>SUMPRODUCT('Staging Table'!BZ52:CW52, LS_Demand_Rates_Restatement!$C$5:$Z$5)-IF(Init!$R$15="No",('Staging Table'!DV52*Rates_current!$H$34), 0)</f>
        <v>0</v>
      </c>
      <c r="S50" s="251">
        <f>SUMPRODUCT('Staging Table'!CX52:DI52, LS_Demand_Rates_Restatement!$C$11:$N$11)*1000</f>
        <v>0</v>
      </c>
      <c r="T50" s="252">
        <f>'Staging Table'!EF52*IF(Init!$R$18="Yes",IF(Init!$R$6=2020,Rates_current!$C$88,Rates_current!$D$88),Rates_current!$H$33)</f>
        <v>0</v>
      </c>
      <c r="U50" s="252">
        <f>IF(Init!$R$18="Yes",(SUM('Staging Table'!DL52:DU52)*IF('Staging Table'!$BT$1=2020, Rates_current!$C$87, Rates_current!$D$87)),0)</f>
        <v>268332.01946522272</v>
      </c>
      <c r="V50" s="252">
        <f>IF('Staging Table'!D52=1, 'Staging Table'!BV52*-1*'Staging Table'!BT52/'Staging Table'!BS52,SUM(P50:U50)*'Staging Table'!BV52*-1)</f>
        <v>-947255.9277558045</v>
      </c>
      <c r="W50" s="250">
        <f>'Staging Table'!BY52*Rates_current!$H$32*-1</f>
        <v>0</v>
      </c>
      <c r="X50" s="250">
        <f>IF(Init!$R$12="No",0,'Staging Table'!$DW52*-1)</f>
        <v>0</v>
      </c>
      <c r="Y50" s="250" t="str">
        <f>IF('Staging Table'!C52=1,"", SUM(P50:X50))</f>
        <v/>
      </c>
      <c r="Z50" s="250" t="str">
        <f>IF('Staging Table'!C52=1,"", (RT1SC!$C$4*'Staging Table'!BT52*'Staging Table'!$BT$2)+SUM('Staging Table'!BZ52:CW52)-IF(Init!$R$15="No",'Staging Table'!DV52, 0))</f>
        <v/>
      </c>
      <c r="AA50" s="126" t="str">
        <f>IF('Staging Table'!C52=1,"",IF(Z50=0, 0, Y50/Z50))</f>
        <v/>
      </c>
      <c r="AB50" s="118" t="str">
        <f ca="1">IF('Staging Table'!C52=1,"",(AA50/O50-1)+(RAND()/100000000000000))</f>
        <v/>
      </c>
      <c r="AC50" s="79" t="str">
        <f t="shared" ca="1" si="0"/>
        <v/>
      </c>
      <c r="AF50" s="255"/>
      <c r="AG50" s="255"/>
      <c r="AI50" s="255"/>
      <c r="AJ50" s="255"/>
    </row>
    <row r="51" spans="2:36">
      <c r="B51" s="166">
        <v>10121</v>
      </c>
      <c r="C51" s="167" t="s">
        <v>54</v>
      </c>
      <c r="D51" s="250">
        <f>IF(Init!$R$9="Yes",'Staging Table'!F53,'Staging Table'!BT53)*Rates_previous!$E$75*100*12</f>
        <v>14253045.32736</v>
      </c>
      <c r="E51" s="250">
        <f>IF(Init!$R$9="Yes",'Staging Table'!F53,'Staging Table'!BT53)*Rates_previous!$E$76*100*12</f>
        <v>-2009989.5984</v>
      </c>
      <c r="F51" s="251">
        <f>IF(Init!$R$9="Yes",SUMPRODUCT('Staging Table'!L53:AI53,LS_Demand_Rates_Restatement!$C$4:$Z$4)-IF(Init!$R$15="No",('Staging Table'!BH53*Rates_previous!$H$34), 0),SUMPRODUCT('Staging Table'!BZ53:CW53,LS_Demand_Rates_Restatement!$C$4:$Z$4)-IF(Init!$R$15="No", 'Staging Table'!DV53*Rates_previous!$H$34, 0))</f>
        <v>0</v>
      </c>
      <c r="G51" s="251">
        <f>IF(Init!$R$9="Yes",SUMPRODUCT('Staging Table'!AJ53:AU53,LS_Demand_Rates_Restatement!$C$10:$N$10),SUMPRODUCT(LS_Demand_Rates_Restatement!$C$10:$N$10,'Staging Table'!CX53:DI53))*1000</f>
        <v>0</v>
      </c>
      <c r="H51" s="252">
        <f>IF(Init!$R$9="Yes",'Staging Table'!BR53,'Staging Table'!EF53)*IF(Init!$R$3=2018,Rates_previous!$C$88,Rates_previous!$D$88)</f>
        <v>28.023957899379312</v>
      </c>
      <c r="I51" s="250">
        <f>IF(Init!$R$9="Yes",IF('Staging Table'!$F$1=2018,(SUM('Staging Table'!BD53:BG53)*Rates_previous!$C$87),(SUM('Staging Table'!BD53:BG53)*Rates_previous!$D$87)),IF('Staging Table'!$F$1=2018,(SUM('Staging Table'!DR53:DU53)*Rates_previous!$C$87),(SUM('Staging Table'!DR53:DU53)*Rates_previous!$D$87)))</f>
        <v>78315.057396290969</v>
      </c>
      <c r="J51" s="252">
        <f>IF(Init!$R$9="Yes",IF('Staging Table'!D53=1,'Staging Table'!H53*-1*'Staging Table'!BT53/'Staging Table'!BS53,'Staging Table'!H53*SUM(D51:I51)*(-1)),IF('Staging Table'!D53=1,'Staging Table'!BV53*-1*'Staging Table'!BT53/'Staging Table'!BS53,'Staging Table'!BV53*SUM(D51:I51)*(-1)))</f>
        <v>-739283.92861885135</v>
      </c>
      <c r="K51" s="250">
        <f>IF(Init!$R$9="Yes",'Staging Table'!K53,'Staging Table'!BY53)*(-1)*Rates_previous!$H$32</f>
        <v>0</v>
      </c>
      <c r="L51" s="250">
        <f>IF(Init!$R$12="No",0,'Staging Table'!$BI53*-1)*('Staging Table'!$F53/'Staging Table'!$E53)</f>
        <v>-451182.23210318614</v>
      </c>
      <c r="M51" s="250" t="str">
        <f>IF('Staging Table'!C53=1,"",SUM(D51:L51))</f>
        <v/>
      </c>
      <c r="N51" s="250" t="str">
        <f>IF('Staging Table'!C53=1,"",IF(Init!$R$9="Yes",(RT1SC!$C$3*'Staging Table'!F53*'Staging Table'!$F$2)+SUM('Staging Table'!L53:AI53)-IF(Init!$R$15="No",'Staging Table'!BH53, 0),Z51))</f>
        <v/>
      </c>
      <c r="O51" s="126" t="str">
        <f>IF('Staging Table'!C53=1,"",IF(N51=0, 0, M51/N51))</f>
        <v/>
      </c>
      <c r="P51" s="250">
        <f>'Staging Table'!BT53*Rates_current!$E$74*100*12</f>
        <v>13170281.339400001</v>
      </c>
      <c r="Q51" s="250">
        <f>'Staging Table'!BT53*Rates_current!$E$75*100*12</f>
        <v>-1332387.1770000001</v>
      </c>
      <c r="R51" s="251">
        <f>SUMPRODUCT('Staging Table'!BZ53:CW53, LS_Demand_Rates_Restatement!$C$5:$Z$5)-IF(Init!$R$15="No",('Staging Table'!DV53*Rates_current!$H$34), 0)</f>
        <v>0</v>
      </c>
      <c r="S51" s="251">
        <f>SUMPRODUCT('Staging Table'!CX53:DI53, LS_Demand_Rates_Restatement!$C$11:$N$11)*1000</f>
        <v>0</v>
      </c>
      <c r="T51" s="252">
        <f>'Staging Table'!EF53*IF(Init!$R$18="Yes",IF(Init!$R$6=2020,Rates_current!$C$88,Rates_current!$D$88),Rates_current!$H$33)</f>
        <v>46.455464355315776</v>
      </c>
      <c r="U51" s="252">
        <f>IF(Init!$R$18="Yes",(SUM('Staging Table'!DL53:DU53)*IF('Staging Table'!$BT$1=2020, Rates_current!$C$87, Rates_current!$D$87)),0)</f>
        <v>229909.37687342014</v>
      </c>
      <c r="V51" s="252">
        <f>IF('Staging Table'!D53=1, 'Staging Table'!BV53*-1*'Staging Table'!BT53/'Staging Table'!BS53,SUM(P51:U51)*'Staging Table'!BV53*-1)</f>
        <v>-724070.99968426651</v>
      </c>
      <c r="W51" s="250">
        <f>'Staging Table'!BY53*Rates_current!$H$32*-1</f>
        <v>0</v>
      </c>
      <c r="X51" s="250">
        <f>IF(Init!$R$12="No",0,'Staging Table'!$DW53*-1)</f>
        <v>0</v>
      </c>
      <c r="Y51" s="250" t="str">
        <f>IF('Staging Table'!C53=1,"", SUM(P51:X51))</f>
        <v/>
      </c>
      <c r="Z51" s="250" t="str">
        <f>IF('Staging Table'!C53=1,"", (RT1SC!$C$4*'Staging Table'!BT53*'Staging Table'!$BT$2)+SUM('Staging Table'!BZ53:CW53)-IF(Init!$R$15="No",'Staging Table'!DV53, 0))</f>
        <v/>
      </c>
      <c r="AA51" s="126" t="str">
        <f>IF('Staging Table'!C53=1,"",IF(Z51=0, 0, Y51/Z51))</f>
        <v/>
      </c>
      <c r="AB51" s="118" t="str">
        <f ca="1">IF('Staging Table'!C53=1,"",(AA51/O51-1)+(RAND()/100000000000000))</f>
        <v/>
      </c>
      <c r="AC51" s="79" t="str">
        <f t="shared" ca="1" si="0"/>
        <v/>
      </c>
      <c r="AF51" s="255"/>
      <c r="AG51" s="255"/>
      <c r="AI51" s="255"/>
      <c r="AJ51" s="255"/>
    </row>
    <row r="52" spans="2:36">
      <c r="B52" s="166">
        <v>10123</v>
      </c>
      <c r="C52" s="167" t="s">
        <v>55</v>
      </c>
      <c r="D52" s="250">
        <f>IF(Init!$R$9="Yes",'Staging Table'!F54,'Staging Table'!BT54)*Rates_previous!$E$75*100*12</f>
        <v>52293777.200640008</v>
      </c>
      <c r="E52" s="250">
        <f>IF(Init!$R$9="Yes",'Staging Table'!F54,'Staging Table'!BT54)*Rates_previous!$E$76*100*12</f>
        <v>-7374560.7216000007</v>
      </c>
      <c r="F52" s="251">
        <f>IF(Init!$R$9="Yes",SUMPRODUCT('Staging Table'!L54:AI54,LS_Demand_Rates_Restatement!$C$4:$Z$4)-IF(Init!$R$15="No",('Staging Table'!BH54*Rates_previous!$H$34), 0),SUMPRODUCT('Staging Table'!BZ54:CW54,LS_Demand_Rates_Restatement!$C$4:$Z$4)-IF(Init!$R$15="No", 'Staging Table'!DV54*Rates_previous!$H$34, 0))</f>
        <v>-45041.380000000063</v>
      </c>
      <c r="G52" s="251">
        <f>IF(Init!$R$9="Yes",SUMPRODUCT('Staging Table'!AJ54:AU54,LS_Demand_Rates_Restatement!$C$10:$N$10),SUMPRODUCT(LS_Demand_Rates_Restatement!$C$10:$N$10,'Staging Table'!CX54:DI54))*1000</f>
        <v>0</v>
      </c>
      <c r="H52" s="252">
        <f>IF(Init!$R$9="Yes",'Staging Table'!BR54,'Staging Table'!EF54)*IF(Init!$R$3=2018,Rates_previous!$C$88,Rates_previous!$D$88)</f>
        <v>0</v>
      </c>
      <c r="I52" s="250">
        <f>IF(Init!$R$9="Yes",IF('Staging Table'!$F$1=2018,(SUM('Staging Table'!BD54:BG54)*Rates_previous!$C$87),(SUM('Staging Table'!BD54:BG54)*Rates_previous!$D$87)),IF('Staging Table'!$F$1=2018,(SUM('Staging Table'!DR54:DU54)*Rates_previous!$C$87),(SUM('Staging Table'!DR54:DU54)*Rates_previous!$D$87)))</f>
        <v>287334.39548357466</v>
      </c>
      <c r="J52" s="252">
        <f>IF(Init!$R$9="Yes",IF('Staging Table'!D54=1,'Staging Table'!H54*-1*'Staging Table'!BT54/'Staging Table'!BS54,'Staging Table'!H54*SUM(D52:I52)*(-1)),IF('Staging Table'!D54=1,'Staging Table'!BV54*-1*'Staging Table'!BT54/'Staging Table'!BS54,'Staging Table'!BV54*SUM(D52:I52)*(-1)))</f>
        <v>0</v>
      </c>
      <c r="K52" s="250">
        <f>IF(Init!$R$9="Yes",'Staging Table'!K54,'Staging Table'!BY54)*(-1)*Rates_previous!$H$32</f>
        <v>0</v>
      </c>
      <c r="L52" s="250">
        <f>IF(Init!$R$12="No",0,'Staging Table'!$BI54*-1)*('Staging Table'!$F54/'Staging Table'!$E54)</f>
        <v>-2219086.2176662111</v>
      </c>
      <c r="M52" s="250">
        <f>IF('Staging Table'!C54=1,"",SUM(D52:L52))</f>
        <v>42942423.276857369</v>
      </c>
      <c r="N52" s="250">
        <f>IF('Staging Table'!C54=1,"",IF(Init!$R$9="Yes",(RT1SC!$C$3*'Staging Table'!F54*'Staging Table'!$F$2)+SUM('Staging Table'!L54:AI54)-IF(Init!$R$15="No",'Staging Table'!BH54, 0),Z52))</f>
        <v>1248487.3680645761</v>
      </c>
      <c r="O52" s="126">
        <f>IF('Staging Table'!C54=1,"",IF(N52=0, 0, M52/N52))</f>
        <v>34.395560880545681</v>
      </c>
      <c r="P52" s="250">
        <f>'Staging Table'!BT54*Rates_current!$E$74*100*12</f>
        <v>46815994.925520003</v>
      </c>
      <c r="Q52" s="250">
        <f>'Staging Table'!BT54*Rates_current!$E$75*100*12</f>
        <v>-4736195.8115999997</v>
      </c>
      <c r="R52" s="251">
        <f>SUMPRODUCT('Staging Table'!BZ54:CW54, LS_Demand_Rates_Restatement!$C$5:$Z$5)-IF(Init!$R$15="No",('Staging Table'!DV54*Rates_current!$H$34), 0)</f>
        <v>-195343.7999999999</v>
      </c>
      <c r="S52" s="251">
        <f>SUMPRODUCT('Staging Table'!CX54:DI54, LS_Demand_Rates_Restatement!$C$11:$N$11)*1000</f>
        <v>0</v>
      </c>
      <c r="T52" s="252">
        <f>'Staging Table'!EF54*IF(Init!$R$18="Yes",IF(Init!$R$6=2020,Rates_current!$C$88,Rates_current!$D$88),Rates_current!$H$33)</f>
        <v>0</v>
      </c>
      <c r="U52" s="252">
        <f>IF(Init!$R$18="Yes",(SUM('Staging Table'!DL54:DU54)*IF('Staging Table'!$BT$1=2020, Rates_current!$C$87, Rates_current!$D$87)),0)</f>
        <v>817251.80682631105</v>
      </c>
      <c r="V52" s="252">
        <f>IF('Staging Table'!D54=1, 'Staging Table'!BV54*-1*'Staging Table'!BT54/'Staging Table'!BS54,SUM(P52:U52)*'Staging Table'!BV54*-1)</f>
        <v>0</v>
      </c>
      <c r="W52" s="250">
        <f>'Staging Table'!BY54*Rates_current!$H$32*-1</f>
        <v>0</v>
      </c>
      <c r="X52" s="250">
        <f>IF(Init!$R$12="No",0,'Staging Table'!$DW54*-1)</f>
        <v>0</v>
      </c>
      <c r="Y52" s="250">
        <f>IF('Staging Table'!C54=1,"", SUM(P52:X52))</f>
        <v>42701707.120746315</v>
      </c>
      <c r="Z52" s="250">
        <f>IF('Staging Table'!C54=1,"", (RT1SC!$C$4*'Staging Table'!BT54*'Staging Table'!$BT$2)+SUM('Staging Table'!BZ54:CW54)-IF(Init!$R$15="No",'Staging Table'!DV54, 0))</f>
        <v>1205087.2081734654</v>
      </c>
      <c r="AA52" s="126">
        <f>IF('Staging Table'!C54=1,"",IF(Z52=0, 0, Y52/Z52))</f>
        <v>35.434536879259319</v>
      </c>
      <c r="AB52" s="118">
        <f ca="1">IF('Staging Table'!C54=1,"",(AA52/O52-1)+(RAND()/100000000000000))</f>
        <v>3.0206688657360876E-2</v>
      </c>
      <c r="AC52" s="79">
        <f t="shared" ca="1" si="0"/>
        <v>16</v>
      </c>
      <c r="AF52" s="255"/>
      <c r="AG52" s="255"/>
      <c r="AI52" s="255"/>
      <c r="AJ52" s="255"/>
    </row>
    <row r="53" spans="2:36">
      <c r="B53" s="166">
        <v>10136</v>
      </c>
      <c r="C53" s="167" t="s">
        <v>56</v>
      </c>
      <c r="D53" s="250">
        <f>IF(Init!$R$9="Yes",'Staging Table'!F55,'Staging Table'!BT55)*Rates_previous!$E$75*100*12</f>
        <v>6645255.63552</v>
      </c>
      <c r="E53" s="250">
        <f>IF(Init!$R$9="Yes",'Staging Table'!F55,'Staging Table'!BT55)*Rates_previous!$E$76*100*12</f>
        <v>-937125.67379999999</v>
      </c>
      <c r="F53" s="251">
        <f>IF(Init!$R$9="Yes",SUMPRODUCT('Staging Table'!L55:AI55,LS_Demand_Rates_Restatement!$C$4:$Z$4)-IF(Init!$R$15="No",('Staging Table'!BH55*Rates_previous!$H$34), 0),SUMPRODUCT('Staging Table'!BZ55:CW55,LS_Demand_Rates_Restatement!$C$4:$Z$4)-IF(Init!$R$15="No", 'Staging Table'!DV55*Rates_previous!$H$34, 0))</f>
        <v>0</v>
      </c>
      <c r="G53" s="251">
        <f>IF(Init!$R$9="Yes",SUMPRODUCT('Staging Table'!AJ55:AU55,LS_Demand_Rates_Restatement!$C$10:$N$10),SUMPRODUCT(LS_Demand_Rates_Restatement!$C$10:$N$10,'Staging Table'!CX55:DI55))*1000</f>
        <v>0</v>
      </c>
      <c r="H53" s="252">
        <f>IF(Init!$R$9="Yes",'Staging Table'!BR55,'Staging Table'!EF55)*IF(Init!$R$3=2018,Rates_previous!$C$88,Rates_previous!$D$88)</f>
        <v>27.496299404645107</v>
      </c>
      <c r="I53" s="250">
        <f>IF(Init!$R$9="Yes",IF('Staging Table'!$F$1=2018,(SUM('Staging Table'!BD55:BG55)*Rates_previous!$C$87),(SUM('Staging Table'!BD55:BG55)*Rates_previous!$D$87)),IF('Staging Table'!$F$1=2018,(SUM('Staging Table'!DR55:DU55)*Rates_previous!$C$87),(SUM('Staging Table'!DR55:DU55)*Rates_previous!$D$87)))</f>
        <v>36513.149615105416</v>
      </c>
      <c r="J53" s="252">
        <f>IF(Init!$R$9="Yes",IF('Staging Table'!D55=1,'Staging Table'!H55*-1*'Staging Table'!BT55/'Staging Table'!BS55,'Staging Table'!H55*SUM(D53:I53)*(-1)),IF('Staging Table'!D55=1,'Staging Table'!BV55*-1*'Staging Table'!BT55/'Staging Table'!BS55,'Staging Table'!BV55*SUM(D53:I53)*(-1)))</f>
        <v>-402126.94253441575</v>
      </c>
      <c r="K53" s="250">
        <f>IF(Init!$R$9="Yes",'Staging Table'!K55,'Staging Table'!BY55)*(-1)*Rates_previous!$H$32</f>
        <v>0</v>
      </c>
      <c r="L53" s="250">
        <f>IF(Init!$R$12="No",0,'Staging Table'!$BI55*-1)*('Staging Table'!$F55/'Staging Table'!$E55)</f>
        <v>-208802.48375921027</v>
      </c>
      <c r="M53" s="250" t="str">
        <f>IF('Staging Table'!C55=1,"",SUM(D53:L53))</f>
        <v/>
      </c>
      <c r="N53" s="250" t="str">
        <f>IF('Staging Table'!C55=1,"",IF(Init!$R$9="Yes",(RT1SC!$C$3*'Staging Table'!F55*'Staging Table'!$F$2)+SUM('Staging Table'!L55:AI55)-IF(Init!$R$15="No",'Staging Table'!BH55, 0),Z53))</f>
        <v/>
      </c>
      <c r="O53" s="126" t="str">
        <f>IF('Staging Table'!C55=1,"",IF(N53=0, 0, M53/N53))</f>
        <v/>
      </c>
      <c r="P53" s="250">
        <f>'Staging Table'!BT55*Rates_current!$E$74*100*12</f>
        <v>6129653.0907599991</v>
      </c>
      <c r="Q53" s="250">
        <f>'Staging Table'!BT55*Rates_current!$E$75*100*12</f>
        <v>-620113.64580000006</v>
      </c>
      <c r="R53" s="251">
        <f>SUMPRODUCT('Staging Table'!BZ55:CW55, LS_Demand_Rates_Restatement!$C$5:$Z$5)-IF(Init!$R$15="No",('Staging Table'!DV55*Rates_current!$H$34), 0)</f>
        <v>0</v>
      </c>
      <c r="S53" s="251">
        <f>SUMPRODUCT('Staging Table'!CX55:DI55, LS_Demand_Rates_Restatement!$C$11:$N$11)*1000</f>
        <v>0</v>
      </c>
      <c r="T53" s="252">
        <f>'Staging Table'!EF55*IF(Init!$R$18="Yes",IF(Init!$R$6=2020,Rates_current!$C$88,Rates_current!$D$88),Rates_current!$H$33)</f>
        <v>-11.305620209792686</v>
      </c>
      <c r="U53" s="252">
        <f>IF(Init!$R$18="Yes",(SUM('Staging Table'!DL55:DU55)*IF('Staging Table'!$BT$1=2020, Rates_current!$C$87, Rates_current!$D$87)),0)</f>
        <v>107003.38787227965</v>
      </c>
      <c r="V53" s="252">
        <f>IF('Staging Table'!D55=1, 'Staging Table'!BV55*-1*'Staging Table'!BT55/'Staging Table'!BS55,SUM(P53:U53)*'Staging Table'!BV55*-1)</f>
        <v>-393157.20690484485</v>
      </c>
      <c r="W53" s="250">
        <f>'Staging Table'!BY55*Rates_current!$H$32*-1</f>
        <v>0</v>
      </c>
      <c r="X53" s="250">
        <f>IF(Init!$R$12="No",0,'Staging Table'!$DW55*-1)</f>
        <v>0</v>
      </c>
      <c r="Y53" s="250" t="str">
        <f>IF('Staging Table'!C55=1,"", SUM(P53:X53))</f>
        <v/>
      </c>
      <c r="Z53" s="250" t="str">
        <f>IF('Staging Table'!C55=1,"", (RT1SC!$C$4*'Staging Table'!BT55*'Staging Table'!$BT$2)+SUM('Staging Table'!BZ55:CW55)-IF(Init!$R$15="No",'Staging Table'!DV55, 0))</f>
        <v/>
      </c>
      <c r="AA53" s="126" t="str">
        <f>IF('Staging Table'!C55=1,"",IF(Z53=0, 0, Y53/Z53))</f>
        <v/>
      </c>
      <c r="AB53" s="118" t="str">
        <f ca="1">IF('Staging Table'!C55=1,"",(AA53/O53-1)+(RAND()/100000000000000))</f>
        <v/>
      </c>
      <c r="AC53" s="79" t="str">
        <f t="shared" ca="1" si="0"/>
        <v/>
      </c>
      <c r="AF53" s="255"/>
      <c r="AG53" s="255"/>
      <c r="AI53" s="255"/>
      <c r="AJ53" s="255"/>
    </row>
    <row r="54" spans="2:36">
      <c r="B54" s="166">
        <v>10142</v>
      </c>
      <c r="C54" s="167" t="s">
        <v>57</v>
      </c>
      <c r="D54" s="250">
        <f>IF(Init!$R$9="Yes",'Staging Table'!F56,'Staging Table'!BT56)*Rates_previous!$E$75*100*12</f>
        <v>969922.48607999994</v>
      </c>
      <c r="E54" s="250">
        <f>IF(Init!$R$9="Yes",'Staging Table'!F56,'Staging Table'!BT56)*Rates_previous!$E$76*100*12</f>
        <v>-136780.18019999997</v>
      </c>
      <c r="F54" s="251">
        <f>IF(Init!$R$9="Yes",SUMPRODUCT('Staging Table'!L56:AI56,LS_Demand_Rates_Restatement!$C$4:$Z$4)-IF(Init!$R$15="No",('Staging Table'!BH56*Rates_previous!$H$34), 0),SUMPRODUCT('Staging Table'!BZ56:CW56,LS_Demand_Rates_Restatement!$C$4:$Z$4)-IF(Init!$R$15="No", 'Staging Table'!DV56*Rates_previous!$H$34, 0))</f>
        <v>-11673.277707646375</v>
      </c>
      <c r="G54" s="251">
        <f>IF(Init!$R$9="Yes",SUMPRODUCT('Staging Table'!AJ56:AU56,LS_Demand_Rates_Restatement!$C$10:$N$10),SUMPRODUCT(LS_Demand_Rates_Restatement!$C$10:$N$10,'Staging Table'!CX56:DI56))*1000</f>
        <v>63270.179999999993</v>
      </c>
      <c r="H54" s="252">
        <f>IF(Init!$R$9="Yes",'Staging Table'!BR56,'Staging Table'!EF56)*IF(Init!$R$3=2018,Rates_previous!$C$88,Rates_previous!$D$88)</f>
        <v>0</v>
      </c>
      <c r="I54" s="250">
        <f>IF(Init!$R$9="Yes",IF('Staging Table'!$F$1=2018,(SUM('Staging Table'!BD56:BG56)*Rates_previous!$C$87),(SUM('Staging Table'!BD56:BG56)*Rates_previous!$D$87)),IF('Staging Table'!$F$1=2018,(SUM('Staging Table'!DR56:DU56)*Rates_previous!$C$87),(SUM('Staging Table'!DR56:DU56)*Rates_previous!$D$87)))</f>
        <v>5329.3547745545484</v>
      </c>
      <c r="J54" s="252">
        <f>IF(Init!$R$9="Yes",IF('Staging Table'!D56=1,'Staging Table'!H56*-1*'Staging Table'!BT56/'Staging Table'!BS56,'Staging Table'!H56*SUM(D54:I54)*(-1)),IF('Staging Table'!D56=1,'Staging Table'!BV56*-1*'Staging Table'!BT56/'Staging Table'!BS56,'Staging Table'!BV56*SUM(D54:I54)*(-1)))</f>
        <v>-28923.846035235321</v>
      </c>
      <c r="K54" s="250">
        <f>IF(Init!$R$9="Yes",'Staging Table'!K56,'Staging Table'!BY56)*(-1)*Rates_previous!$H$32</f>
        <v>-67849.131840000002</v>
      </c>
      <c r="L54" s="250">
        <f>IF(Init!$R$12="No",0,'Staging Table'!$BI56*-1)*('Staging Table'!$F56/'Staging Table'!$E56)</f>
        <v>-15101.354368560689</v>
      </c>
      <c r="M54" s="250">
        <f>IF('Staging Table'!C56=1,"",SUM(D54:L54))</f>
        <v>778194.23070311209</v>
      </c>
      <c r="N54" s="250">
        <f>IF('Staging Table'!C56=1,"",IF(Init!$R$9="Yes",(RT1SC!$C$3*'Staging Table'!F56*'Staging Table'!$F$2)+SUM('Staging Table'!L56:AI56)-IF(Init!$R$15="No",'Staging Table'!BH56, 0),Z54))</f>
        <v>23161.440000000002</v>
      </c>
      <c r="O54" s="126">
        <f>IF('Staging Table'!C56=1,"",IF(N54=0, 0, M54/N54))</f>
        <v>33.598698125121409</v>
      </c>
      <c r="P54" s="250">
        <f>'Staging Table'!BT56*Rates_current!$E$74*100*12</f>
        <v>904320.49979999999</v>
      </c>
      <c r="Q54" s="250">
        <f>'Staging Table'!BT56*Rates_current!$E$75*100*12</f>
        <v>-91486.659</v>
      </c>
      <c r="R54" s="251">
        <f>SUMPRODUCT('Staging Table'!BZ56:CW56, LS_Demand_Rates_Restatement!$C$5:$Z$5)-IF(Init!$R$15="No",('Staging Table'!DV56*Rates_current!$H$34), 0)</f>
        <v>-15575.430758589344</v>
      </c>
      <c r="S54" s="251">
        <f>SUMPRODUCT('Staging Table'!CX56:DI56, LS_Demand_Rates_Restatement!$C$11:$N$11)*1000</f>
        <v>69850.290000000008</v>
      </c>
      <c r="T54" s="252">
        <f>'Staging Table'!EF56*IF(Init!$R$18="Yes",IF(Init!$R$6=2020,Rates_current!$C$88,Rates_current!$D$88),Rates_current!$H$33)</f>
        <v>0</v>
      </c>
      <c r="U54" s="252">
        <f>IF(Init!$R$18="Yes",(SUM('Staging Table'!DL56:DU56)*IF('Staging Table'!$BT$1=2020, Rates_current!$C$87, Rates_current!$D$87)),0)</f>
        <v>15786.432897290688</v>
      </c>
      <c r="V54" s="252">
        <f>IF('Staging Table'!D56=1, 'Staging Table'!BV56*-1*'Staging Table'!BT56/'Staging Table'!BS56,SUM(P54:U54)*'Staging Table'!BV56*-1)</f>
        <v>-29102.872267058414</v>
      </c>
      <c r="W54" s="250">
        <f>'Staging Table'!BY56*Rates_current!$H$32*-1</f>
        <v>-64098.967239999998</v>
      </c>
      <c r="X54" s="250">
        <f>IF(Init!$R$12="No",0,'Staging Table'!$DW56*-1)</f>
        <v>0</v>
      </c>
      <c r="Y54" s="250">
        <f>IF('Staging Table'!C56=1,"", SUM(P54:X54))</f>
        <v>789693.29343164293</v>
      </c>
      <c r="Z54" s="250">
        <f>IF('Staging Table'!C56=1,"", (RT1SC!$C$4*'Staging Table'!BT56*'Staging Table'!$BT$2)+SUM('Staging Table'!BZ56:CW56)-IF(Init!$R$15="No",'Staging Table'!DV56, 0))</f>
        <v>23479.632000000001</v>
      </c>
      <c r="AA54" s="126">
        <f>IF('Staging Table'!C56=1,"",IF(Z54=0, 0, Y54/Z54))</f>
        <v>33.633120545996753</v>
      </c>
      <c r="AB54" s="118">
        <f ca="1">IF('Staging Table'!C56=1,"",(AA54/O54-1)+(RAND()/100000000000000))</f>
        <v>1.0245165079750004E-3</v>
      </c>
      <c r="AC54" s="79">
        <f t="shared" ca="1" si="0"/>
        <v>101</v>
      </c>
      <c r="AF54" s="255"/>
      <c r="AG54" s="255"/>
      <c r="AI54" s="255"/>
      <c r="AJ54" s="255"/>
    </row>
    <row r="55" spans="2:36">
      <c r="B55" s="166">
        <v>10144</v>
      </c>
      <c r="C55" s="167" t="s">
        <v>58</v>
      </c>
      <c r="D55" s="250">
        <f>IF(Init!$R$9="Yes",'Staging Table'!F57,'Staging Table'!BT57)*Rates_previous!$E$75*100*12</f>
        <v>1196925.62112</v>
      </c>
      <c r="E55" s="250">
        <f>IF(Init!$R$9="Yes",'Staging Table'!F57,'Staging Table'!BT57)*Rates_previous!$E$76*100*12</f>
        <v>-168792.56280000001</v>
      </c>
      <c r="F55" s="251">
        <f>IF(Init!$R$9="Yes",SUMPRODUCT('Staging Table'!L57:AI57,LS_Demand_Rates_Restatement!$C$4:$Z$4)-IF(Init!$R$15="No",('Staging Table'!BH57*Rates_previous!$H$34), 0),SUMPRODUCT('Staging Table'!BZ57:CW57,LS_Demand_Rates_Restatement!$C$4:$Z$4)-IF(Init!$R$15="No", 'Staging Table'!DV57*Rates_previous!$H$34, 0))</f>
        <v>30056.680000000026</v>
      </c>
      <c r="G55" s="251">
        <f>IF(Init!$R$9="Yes",SUMPRODUCT('Staging Table'!AJ57:AU57,LS_Demand_Rates_Restatement!$C$10:$N$10),SUMPRODUCT(LS_Demand_Rates_Restatement!$C$10:$N$10,'Staging Table'!CX57:DI57))*1000</f>
        <v>96317.88</v>
      </c>
      <c r="H55" s="252">
        <f>IF(Init!$R$9="Yes",'Staging Table'!BR57,'Staging Table'!EF57)*IF(Init!$R$3=2018,Rates_previous!$C$88,Rates_previous!$D$88)</f>
        <v>3975.4181014838059</v>
      </c>
      <c r="I55" s="250">
        <f>IF(Init!$R$9="Yes",IF('Staging Table'!$F$1=2018,(SUM('Staging Table'!BD57:BG57)*Rates_previous!$C$87),(SUM('Staging Table'!BD57:BG57)*Rates_previous!$D$87)),IF('Staging Table'!$F$1=2018,(SUM('Staging Table'!DR57:DU57)*Rates_previous!$C$87),(SUM('Staging Table'!DR57:DU57)*Rates_previous!$D$87)))</f>
        <v>6576.6505728545517</v>
      </c>
      <c r="J55" s="252">
        <f>IF(Init!$R$9="Yes",IF('Staging Table'!D57=1,'Staging Table'!H57*-1*'Staging Table'!BT57/'Staging Table'!BS57,'Staging Table'!H57*SUM(D55:I55)*(-1)),IF('Staging Table'!D57=1,'Staging Table'!BV57*-1*'Staging Table'!BT57/'Staging Table'!BS57,'Staging Table'!BV57*SUM(D55:I55)*(-1)))</f>
        <v>0</v>
      </c>
      <c r="K55" s="250">
        <f>IF(Init!$R$9="Yes",'Staging Table'!K57,'Staging Table'!BY57)*(-1)*Rates_previous!$H$32</f>
        <v>0</v>
      </c>
      <c r="L55" s="250">
        <f>IF(Init!$R$12="No",0,'Staging Table'!$BI57*-1)*('Staging Table'!$F57/'Staging Table'!$E57)</f>
        <v>-41873.892466229881</v>
      </c>
      <c r="M55" s="250">
        <f>IF('Staging Table'!C57=1,"",SUM(D55:L55))</f>
        <v>1123185.7945281083</v>
      </c>
      <c r="N55" s="250">
        <f>IF('Staging Table'!C57=1,"",IF(Init!$R$9="Yes",(RT1SC!$C$3*'Staging Table'!F57*'Staging Table'!$F$2)+SUM('Staging Table'!L57:AI57)-IF(Init!$R$15="No",'Staging Table'!BH57, 0),Z55))</f>
        <v>28890.152581007995</v>
      </c>
      <c r="O55" s="126">
        <f>IF('Staging Table'!C57=1,"",IF(N55=0, 0, M55/N55))</f>
        <v>38.877807632849809</v>
      </c>
      <c r="P55" s="250">
        <f>'Staging Table'!BT57*Rates_current!$E$74*100*12</f>
        <v>1133430.87084</v>
      </c>
      <c r="Q55" s="250">
        <f>'Staging Table'!BT57*Rates_current!$E$75*100*12</f>
        <v>-114664.88219999999</v>
      </c>
      <c r="R55" s="251">
        <f>SUMPRODUCT('Staging Table'!BZ57:CW57, LS_Demand_Rates_Restatement!$C$5:$Z$5)-IF(Init!$R$15="No",('Staging Table'!DV57*Rates_current!$H$34), 0)</f>
        <v>14778.379999999983</v>
      </c>
      <c r="S55" s="251">
        <f>SUMPRODUCT('Staging Table'!CX57:DI57, LS_Demand_Rates_Restatement!$C$11:$N$11)*1000</f>
        <v>105890.1</v>
      </c>
      <c r="T55" s="252">
        <f>'Staging Table'!EF57*IF(Init!$R$18="Yes",IF(Init!$R$6=2020,Rates_current!$C$88,Rates_current!$D$88),Rates_current!$H$33)</f>
        <v>-8571.2256929526429</v>
      </c>
      <c r="U55" s="252">
        <f>IF(Init!$R$18="Yes",(SUM('Staging Table'!DL57:DU57)*IF('Staging Table'!$BT$1=2020, Rates_current!$C$87, Rates_current!$D$87)),0)</f>
        <v>19785.939155631877</v>
      </c>
      <c r="V55" s="252">
        <f>IF('Staging Table'!D57=1, 'Staging Table'!BV57*-1*'Staging Table'!BT57/'Staging Table'!BS57,SUM(P55:U55)*'Staging Table'!BV57*-1)</f>
        <v>0</v>
      </c>
      <c r="W55" s="250">
        <f>'Staging Table'!BY57*Rates_current!$H$32*-1</f>
        <v>0</v>
      </c>
      <c r="X55" s="250">
        <f>IF(Init!$R$12="No",0,'Staging Table'!$DW57*-1)</f>
        <v>0</v>
      </c>
      <c r="Y55" s="250">
        <f>IF('Staging Table'!C57=1,"", SUM(P55:X55))</f>
        <v>1150649.1821026793</v>
      </c>
      <c r="Z55" s="250">
        <f>IF('Staging Table'!C57=1,"", (RT1SC!$C$4*'Staging Table'!BT57*'Staging Table'!$BT$2)+SUM('Staging Table'!BZ57:CW57)-IF(Init!$R$15="No",'Staging Table'!DV57, 0))</f>
        <v>28886.310164275197</v>
      </c>
      <c r="AA55" s="126">
        <f>IF('Staging Table'!C57=1,"",IF(Z55=0, 0, Y55/Z55))</f>
        <v>39.833719694865394</v>
      </c>
      <c r="AB55" s="118">
        <f ca="1">IF('Staging Table'!C57=1,"",(AA55/O55-1)+(RAND()/100000000000000))</f>
        <v>2.4587602033614535E-2</v>
      </c>
      <c r="AC55" s="79">
        <f t="shared" ca="1" si="0"/>
        <v>30</v>
      </c>
      <c r="AF55" s="255"/>
      <c r="AG55" s="255"/>
      <c r="AI55" s="255"/>
      <c r="AJ55" s="255"/>
    </row>
    <row r="56" spans="2:36">
      <c r="B56" s="166">
        <v>10156</v>
      </c>
      <c r="C56" s="167" t="s">
        <v>59</v>
      </c>
      <c r="D56" s="250">
        <f>IF(Init!$R$9="Yes",'Staging Table'!F58,'Staging Table'!BT58)*Rates_previous!$E$75*100*12</f>
        <v>11600853.81696</v>
      </c>
      <c r="E56" s="250">
        <f>IF(Init!$R$9="Yes",'Staging Table'!F58,'Staging Table'!BT58)*Rates_previous!$E$76*100*12</f>
        <v>-1635972.8724000002</v>
      </c>
      <c r="F56" s="251">
        <f>IF(Init!$R$9="Yes",SUMPRODUCT('Staging Table'!L58:AI58,LS_Demand_Rates_Restatement!$C$4:$Z$4)-IF(Init!$R$15="No",('Staging Table'!BH58*Rates_previous!$H$34), 0),SUMPRODUCT('Staging Table'!BZ58:CW58,LS_Demand_Rates_Restatement!$C$4:$Z$4)-IF(Init!$R$15="No", 'Staging Table'!DV58*Rates_previous!$H$34, 0))</f>
        <v>225858.43643415446</v>
      </c>
      <c r="G56" s="251">
        <f>IF(Init!$R$9="Yes",SUMPRODUCT('Staging Table'!AJ58:AU58,LS_Demand_Rates_Restatement!$C$10:$N$10),SUMPRODUCT(LS_Demand_Rates_Restatement!$C$10:$N$10,'Staging Table'!CX58:DI58))*1000</f>
        <v>738919.24</v>
      </c>
      <c r="H56" s="252">
        <f>IF(Init!$R$9="Yes",'Staging Table'!BR58,'Staging Table'!EF58)*IF(Init!$R$3=2018,Rates_previous!$C$88,Rates_previous!$D$88)</f>
        <v>11143.070400000513</v>
      </c>
      <c r="I56" s="250">
        <f>IF(Init!$R$9="Yes",IF('Staging Table'!$F$1=2018,(SUM('Staging Table'!BD58:BG58)*Rates_previous!$C$87),(SUM('Staging Table'!BD58:BG58)*Rates_previous!$D$87)),IF('Staging Table'!$F$1=2018,(SUM('Staging Table'!DR58:DU58)*Rates_previous!$C$87),(SUM('Staging Table'!DR58:DU58)*Rates_previous!$D$87)))</f>
        <v>63742.27483702833</v>
      </c>
      <c r="J56" s="252">
        <f>IF(Init!$R$9="Yes",IF('Staging Table'!D58=1,'Staging Table'!H58*-1*'Staging Table'!BT58/'Staging Table'!BS58,'Staging Table'!H58*SUM(D56:I56)*(-1)),IF('Staging Table'!D58=1,'Staging Table'!BV58*-1*'Staging Table'!BT58/'Staging Table'!BS58,'Staging Table'!BV58*SUM(D56:I56)*(-1)))</f>
        <v>0</v>
      </c>
      <c r="K56" s="250">
        <f>IF(Init!$R$9="Yes",'Staging Table'!K58,'Staging Table'!BY58)*(-1)*Rates_previous!$H$32</f>
        <v>0</v>
      </c>
      <c r="L56" s="250">
        <f>IF(Init!$R$12="No",0,'Staging Table'!$BI58*-1)*('Staging Table'!$F58/'Staging Table'!$E58)</f>
        <v>-180621.24240032636</v>
      </c>
      <c r="M56" s="250">
        <f>IF('Staging Table'!C58=1,"",SUM(D56:L56))</f>
        <v>10823922.723830856</v>
      </c>
      <c r="N56" s="250">
        <f>IF('Staging Table'!C58=1,"",IF(Init!$R$9="Yes",(RT1SC!$C$3*'Staging Table'!F58*'Staging Table'!$F$2)+SUM('Staging Table'!L58:AI58)-IF(Init!$R$15="No",'Staging Table'!BH58, 0),Z56))</f>
        <v>277875.96000000002</v>
      </c>
      <c r="O56" s="126">
        <f>IF('Staging Table'!C58=1,"",IF(N56=0, 0, M56/N56))</f>
        <v>38.95235386260422</v>
      </c>
      <c r="P56" s="250">
        <f>'Staging Table'!BT58*Rates_current!$E$74*100*12</f>
        <v>10849469.333999999</v>
      </c>
      <c r="Q56" s="250">
        <f>'Staging Table'!BT58*Rates_current!$E$75*100*12</f>
        <v>-1097599.47</v>
      </c>
      <c r="R56" s="251">
        <f>SUMPRODUCT('Staging Table'!BZ58:CW58, LS_Demand_Rates_Restatement!$C$5:$Z$5)-IF(Init!$R$15="No",('Staging Table'!DV58*Rates_current!$H$34), 0)</f>
        <v>227642.30815316472</v>
      </c>
      <c r="S56" s="251">
        <f>SUMPRODUCT('Staging Table'!CX58:DI58, LS_Demand_Rates_Restatement!$C$11:$N$11)*1000</f>
        <v>828244.16999999981</v>
      </c>
      <c r="T56" s="252">
        <f>'Staging Table'!EF58*IF(Init!$R$18="Yes",IF(Init!$R$6=2020,Rates_current!$C$88,Rates_current!$D$88),Rates_current!$H$33)</f>
        <v>0</v>
      </c>
      <c r="U56" s="252">
        <f>IF(Init!$R$18="Yes",(SUM('Staging Table'!DL58:DU58)*IF('Staging Table'!$BT$1=2020, Rates_current!$C$87, Rates_current!$D$87)),0)</f>
        <v>189395.70611335602</v>
      </c>
      <c r="V56" s="252">
        <f>IF('Staging Table'!D58=1, 'Staging Table'!BV58*-1*'Staging Table'!BT58/'Staging Table'!BS58,SUM(P56:U56)*'Staging Table'!BV58*-1)</f>
        <v>0</v>
      </c>
      <c r="W56" s="250">
        <f>'Staging Table'!BY58*Rates_current!$H$32*-1</f>
        <v>0</v>
      </c>
      <c r="X56" s="250">
        <f>IF(Init!$R$12="No",0,'Staging Table'!$DW58*-1)</f>
        <v>0</v>
      </c>
      <c r="Y56" s="250">
        <f>IF('Staging Table'!C58=1,"", SUM(P56:X56))</f>
        <v>10997152.048266519</v>
      </c>
      <c r="Z56" s="250">
        <f>IF('Staging Table'!C58=1,"", (RT1SC!$C$4*'Staging Table'!BT58*'Staging Table'!$BT$2)+SUM('Staging Table'!BZ58:CW58)-IF(Init!$R$15="No",'Staging Table'!DV58, 0))</f>
        <v>281676.52799999999</v>
      </c>
      <c r="AA56" s="126">
        <f>IF('Staging Table'!C58=1,"",IF(Z56=0, 0, Y56/Z56))</f>
        <v>39.041776488620023</v>
      </c>
      <c r="AB56" s="118">
        <f ca="1">IF('Staging Table'!C58=1,"",(AA56/O56-1)+(RAND()/100000000000000))</f>
        <v>2.2956924844997994E-3</v>
      </c>
      <c r="AC56" s="79">
        <f t="shared" ca="1" si="0"/>
        <v>96</v>
      </c>
      <c r="AF56" s="255"/>
      <c r="AG56" s="255"/>
      <c r="AI56" s="255"/>
      <c r="AJ56" s="255"/>
    </row>
    <row r="57" spans="2:36">
      <c r="B57" s="166">
        <v>10157</v>
      </c>
      <c r="C57" s="167" t="s">
        <v>60</v>
      </c>
      <c r="D57" s="250">
        <f>IF(Init!$R$9="Yes",'Staging Table'!F59,'Staging Table'!BT59)*Rates_previous!$E$75*100*12</f>
        <v>8606501.5766400006</v>
      </c>
      <c r="E57" s="250">
        <f>IF(Init!$R$9="Yes",'Staging Table'!F59,'Staging Table'!BT59)*Rates_previous!$E$76*100*12</f>
        <v>-1213704.0366</v>
      </c>
      <c r="F57" s="251">
        <f>IF(Init!$R$9="Yes",SUMPRODUCT('Staging Table'!L59:AI59,LS_Demand_Rates_Restatement!$C$4:$Z$4)-IF(Init!$R$15="No",('Staging Table'!BH59*Rates_previous!$H$34), 0),SUMPRODUCT('Staging Table'!BZ59:CW59,LS_Demand_Rates_Restatement!$C$4:$Z$4)-IF(Init!$R$15="No", 'Staging Table'!DV59*Rates_previous!$H$34, 0))</f>
        <v>60504.600000000049</v>
      </c>
      <c r="G57" s="251">
        <f>IF(Init!$R$9="Yes",SUMPRODUCT('Staging Table'!AJ59:AU59,LS_Demand_Rates_Restatement!$C$10:$N$10),SUMPRODUCT(LS_Demand_Rates_Restatement!$C$10:$N$10,'Staging Table'!CX59:DI59))*1000</f>
        <v>0</v>
      </c>
      <c r="H57" s="252">
        <f>IF(Init!$R$9="Yes",'Staging Table'!BR59,'Staging Table'!EF59)*IF(Init!$R$3=2018,Rates_previous!$C$88,Rates_previous!$D$88)</f>
        <v>0</v>
      </c>
      <c r="I57" s="250">
        <f>IF(Init!$R$9="Yes",IF('Staging Table'!$F$1=2018,(SUM('Staging Table'!BD59:BG59)*Rates_previous!$C$87),(SUM('Staging Table'!BD59:BG59)*Rates_previous!$D$87)),IF('Staging Table'!$F$1=2018,(SUM('Staging Table'!DR59:DU59)*Rates_previous!$C$87),(SUM('Staging Table'!DR59:DU59)*Rates_previous!$D$87)))</f>
        <v>47289.449340485226</v>
      </c>
      <c r="J57" s="252">
        <f>IF(Init!$R$9="Yes",IF('Staging Table'!D59=1,'Staging Table'!H59*-1*'Staging Table'!BT59/'Staging Table'!BS59,'Staging Table'!H59*SUM(D57:I57)*(-1)),IF('Staging Table'!D59=1,'Staging Table'!BV59*-1*'Staging Table'!BT59/'Staging Table'!BS59,'Staging Table'!BV59*SUM(D57:I57)*(-1)))</f>
        <v>-458165.16355206241</v>
      </c>
      <c r="K57" s="250">
        <f>IF(Init!$R$9="Yes",'Staging Table'!K59,'Staging Table'!BY59)*(-1)*Rates_previous!$H$32</f>
        <v>0</v>
      </c>
      <c r="L57" s="250">
        <f>IF(Init!$R$12="No",0,'Staging Table'!$BI59*-1)*('Staging Table'!$F59/'Staging Table'!$E59)</f>
        <v>-313711.73819259874</v>
      </c>
      <c r="M57" s="250">
        <f>IF('Staging Table'!C59=1,"",SUM(D57:L57))</f>
        <v>6728714.6876358241</v>
      </c>
      <c r="N57" s="250">
        <f>IF('Staging Table'!C59=1,"",IF(Init!$R$9="Yes",(RT1SC!$C$3*'Staging Table'!F59*'Staging Table'!$F$2)+SUM('Staging Table'!L59:AI59)-IF(Init!$R$15="No",'Staging Table'!BH59, 0),Z57))</f>
        <v>204998.46622797599</v>
      </c>
      <c r="O57" s="126">
        <f>IF('Staging Table'!C59=1,"",IF(N57=0, 0, M57/N57))</f>
        <v>32.82324405370386</v>
      </c>
      <c r="P57" s="250">
        <f>'Staging Table'!BT59*Rates_current!$E$74*100*12</f>
        <v>8024091.6463200012</v>
      </c>
      <c r="Q57" s="250">
        <f>'Staging Table'!BT59*Rates_current!$E$75*100*12</f>
        <v>-811766.77560000005</v>
      </c>
      <c r="R57" s="251">
        <f>SUMPRODUCT('Staging Table'!BZ59:CW59, LS_Demand_Rates_Restatement!$C$5:$Z$5)-IF(Init!$R$15="No",('Staging Table'!DV59*Rates_current!$H$34), 0)</f>
        <v>71285.590000000055</v>
      </c>
      <c r="S57" s="251">
        <f>SUMPRODUCT('Staging Table'!CX59:DI59, LS_Demand_Rates_Restatement!$C$11:$N$11)*1000</f>
        <v>0</v>
      </c>
      <c r="T57" s="252">
        <f>'Staging Table'!EF59*IF(Init!$R$18="Yes",IF(Init!$R$6=2020,Rates_current!$C$88,Rates_current!$D$88),Rates_current!$H$33)</f>
        <v>0</v>
      </c>
      <c r="U57" s="252">
        <f>IF(Init!$R$18="Yes",(SUM('Staging Table'!DL59:DU59)*IF('Staging Table'!$BT$1=2020, Rates_current!$C$87, Rates_current!$D$87)),0)</f>
        <v>140073.9940810324</v>
      </c>
      <c r="V57" s="252">
        <f>IF('Staging Table'!D59=1, 'Staging Table'!BV59*-1*'Staging Table'!BT59/'Staging Table'!BS59,SUM(P57:U57)*'Staging Table'!BV59*-1)</f>
        <v>-458165.16355206241</v>
      </c>
      <c r="W57" s="250">
        <f>'Staging Table'!BY59*Rates_current!$H$32*-1</f>
        <v>0</v>
      </c>
      <c r="X57" s="250">
        <f>IF(Init!$R$12="No",0,'Staging Table'!$DW59*-1)</f>
        <v>0</v>
      </c>
      <c r="Y57" s="250">
        <f>IF('Staging Table'!C59=1,"", SUM(P57:X57))</f>
        <v>6965519.2912489707</v>
      </c>
      <c r="Z57" s="250">
        <f>IF('Staging Table'!C59=1,"", (RT1SC!$C$4*'Staging Table'!BT59*'Staging Table'!$BT$2)+SUM('Staging Table'!BZ59:CW59)-IF(Init!$R$15="No",'Staging Table'!DV59, 0))</f>
        <v>207364.72672808962</v>
      </c>
      <c r="AA57" s="126">
        <f>IF('Staging Table'!C59=1,"",IF(Z57=0, 0, Y57/Z57))</f>
        <v>33.590666074961831</v>
      </c>
      <c r="AB57" s="118">
        <f ca="1">IF('Staging Table'!C59=1,"",(AA57/O57-1)+(RAND()/100000000000000))</f>
        <v>2.3380444053685598E-2</v>
      </c>
      <c r="AC57" s="79">
        <f t="shared" ca="1" si="0"/>
        <v>42</v>
      </c>
      <c r="AF57" s="255"/>
      <c r="AG57" s="255"/>
      <c r="AI57" s="255"/>
      <c r="AJ57" s="255"/>
    </row>
    <row r="58" spans="2:36">
      <c r="B58" s="166">
        <v>10158</v>
      </c>
      <c r="C58" s="167" t="s">
        <v>61</v>
      </c>
      <c r="D58" s="250">
        <f>IF(Init!$R$9="Yes",'Staging Table'!F60,'Staging Table'!BT60)*Rates_previous!$E$75*100*12</f>
        <v>967374.75167999999</v>
      </c>
      <c r="E58" s="250">
        <f>IF(Init!$R$9="Yes",'Staging Table'!F60,'Staging Table'!BT60)*Rates_previous!$E$76*100*12</f>
        <v>-136420.89419999998</v>
      </c>
      <c r="F58" s="251">
        <f>IF(Init!$R$9="Yes",SUMPRODUCT('Staging Table'!L60:AI60,LS_Demand_Rates_Restatement!$C$4:$Z$4)-IF(Init!$R$15="No",('Staging Table'!BH60*Rates_previous!$H$34), 0),SUMPRODUCT('Staging Table'!BZ60:CW60,LS_Demand_Rates_Restatement!$C$4:$Z$4)-IF(Init!$R$15="No", 'Staging Table'!DV60*Rates_previous!$H$34, 0))</f>
        <v>-41031.329999999994</v>
      </c>
      <c r="G58" s="251">
        <f>IF(Init!$R$9="Yes",SUMPRODUCT('Staging Table'!AJ60:AU60,LS_Demand_Rates_Restatement!$C$10:$N$10),SUMPRODUCT(LS_Demand_Rates_Restatement!$C$10:$N$10,'Staging Table'!CX60:DI60))*1000</f>
        <v>15950.710000000001</v>
      </c>
      <c r="H58" s="252">
        <f>IF(Init!$R$9="Yes",'Staging Table'!BR60,'Staging Table'!EF60)*IF(Init!$R$3=2018,Rates_previous!$C$88,Rates_previous!$D$88)</f>
        <v>-29002.092622534255</v>
      </c>
      <c r="I58" s="250">
        <f>IF(Init!$R$9="Yes",IF('Staging Table'!$F$1=2018,(SUM('Staging Table'!BD60:BG60)*Rates_previous!$C$87),(SUM('Staging Table'!BD60:BG60)*Rates_previous!$D$87)),IF('Staging Table'!$F$1=2018,(SUM('Staging Table'!DR60:DU60)*Rates_previous!$C$87),(SUM('Staging Table'!DR60:DU60)*Rates_previous!$D$87)))</f>
        <v>5315.3559440461313</v>
      </c>
      <c r="J58" s="252">
        <f>IF(Init!$R$9="Yes",IF('Staging Table'!D60=1,'Staging Table'!H60*-1*'Staging Table'!BT60/'Staging Table'!BS60,'Staging Table'!H60*SUM(D58:I58)*(-1)),IF('Staging Table'!D60=1,'Staging Table'!BV60*-1*'Staging Table'!BT60/'Staging Table'!BS60,'Staging Table'!BV60*SUM(D58:I58)*(-1)))</f>
        <v>0</v>
      </c>
      <c r="K58" s="250">
        <f>IF(Init!$R$9="Yes",'Staging Table'!K60,'Staging Table'!BY60)*(-1)*Rates_previous!$H$32</f>
        <v>0</v>
      </c>
      <c r="L58" s="250">
        <f>IF(Init!$R$12="No",0,'Staging Table'!$BI60*-1)*('Staging Table'!$F60/'Staging Table'!$E60)</f>
        <v>-35476.457803994388</v>
      </c>
      <c r="M58" s="250">
        <f>IF('Staging Table'!C60=1,"",SUM(D58:L58))</f>
        <v>746710.04299751751</v>
      </c>
      <c r="N58" s="250">
        <f>IF('Staging Table'!C60=1,"",IF(Init!$R$9="Yes",(RT1SC!$C$3*'Staging Table'!F60*'Staging Table'!$F$2)+SUM('Staging Table'!L60:AI60)-IF(Init!$R$15="No",'Staging Table'!BH60, 0),Z58))</f>
        <v>20865.752309511998</v>
      </c>
      <c r="O58" s="126">
        <f>IF('Staging Table'!C60=1,"",IF(N58=0, 0, M58/N58))</f>
        <v>35.786394466933139</v>
      </c>
      <c r="P58" s="250">
        <f>'Staging Table'!BT60*Rates_current!$E$74*100*12</f>
        <v>817334.61204000015</v>
      </c>
      <c r="Q58" s="250">
        <f>'Staging Table'!BT60*Rates_current!$E$75*100*12</f>
        <v>-82686.628200000006</v>
      </c>
      <c r="R58" s="251">
        <f>SUMPRODUCT('Staging Table'!BZ60:CW60, LS_Demand_Rates_Restatement!$C$5:$Z$5)-IF(Init!$R$15="No",('Staging Table'!DV60*Rates_current!$H$34), 0)</f>
        <v>4499.4300000000076</v>
      </c>
      <c r="S58" s="251">
        <f>SUMPRODUCT('Staging Table'!CX60:DI60, LS_Demand_Rates_Restatement!$C$11:$N$11)*1000</f>
        <v>16655.52</v>
      </c>
      <c r="T58" s="252">
        <f>'Staging Table'!EF60*IF(Init!$R$18="Yes",IF(Init!$R$6=2020,Rates_current!$C$88,Rates_current!$D$88),Rates_current!$H$33)</f>
        <v>-5623.9236163523065</v>
      </c>
      <c r="U58" s="252">
        <f>IF(Init!$R$18="Yes",(SUM('Staging Table'!DL60:DU60)*IF('Staging Table'!$BT$1=2020, Rates_current!$C$87, Rates_current!$D$87)),0)</f>
        <v>14267.948156053266</v>
      </c>
      <c r="V58" s="252">
        <f>IF('Staging Table'!D60=1, 'Staging Table'!BV60*-1*'Staging Table'!BT60/'Staging Table'!BS60,SUM(P58:U58)*'Staging Table'!BV60*-1)</f>
        <v>0</v>
      </c>
      <c r="W58" s="250">
        <f>'Staging Table'!BY60*Rates_current!$H$32*-1</f>
        <v>0</v>
      </c>
      <c r="X58" s="250">
        <f>IF(Init!$R$12="No",0,'Staging Table'!$DW60*-1)</f>
        <v>0</v>
      </c>
      <c r="Y58" s="250">
        <f>IF('Staging Table'!C60=1,"", SUM(P58:X58))</f>
        <v>764446.95837970125</v>
      </c>
      <c r="Z58" s="250">
        <f>IF('Staging Table'!C60=1,"", (RT1SC!$C$4*'Staging Table'!BT60*'Staging Table'!$BT$2)+SUM('Staging Table'!BZ60:CW60)-IF(Init!$R$15="No",'Staging Table'!DV60, 0))</f>
        <v>20867.769481011197</v>
      </c>
      <c r="AA58" s="126">
        <f>IF('Staging Table'!C60=1,"",IF(Z58=0, 0, Y58/Z58))</f>
        <v>36.632902192796223</v>
      </c>
      <c r="AB58" s="118">
        <f ca="1">IF('Staging Table'!C60=1,"",(AA58/O58-1)+(RAND()/100000000000000))</f>
        <v>2.365445690946226E-2</v>
      </c>
      <c r="AC58" s="79">
        <f t="shared" ca="1" si="0"/>
        <v>39</v>
      </c>
      <c r="AF58" s="255"/>
      <c r="AG58" s="255"/>
      <c r="AI58" s="255"/>
      <c r="AJ58" s="255"/>
    </row>
    <row r="59" spans="2:36">
      <c r="B59" s="166">
        <v>10170</v>
      </c>
      <c r="C59" s="167" t="s">
        <v>62</v>
      </c>
      <c r="D59" s="250">
        <f>IF(Init!$R$9="Yes",'Staging Table'!F61,'Staging Table'!BT61)*Rates_previous!$E$75*100*12</f>
        <v>41872014.864000008</v>
      </c>
      <c r="E59" s="250">
        <f>IF(Init!$R$9="Yes",'Staging Table'!F61,'Staging Table'!BT61)*Rates_previous!$E$76*100*12</f>
        <v>-5904865.4100000001</v>
      </c>
      <c r="F59" s="251">
        <f>IF(Init!$R$9="Yes",SUMPRODUCT('Staging Table'!L61:AI61,LS_Demand_Rates_Restatement!$C$4:$Z$4)-IF(Init!$R$15="No",('Staging Table'!BH61*Rates_previous!$H$34), 0),SUMPRODUCT('Staging Table'!BZ61:CW61,LS_Demand_Rates_Restatement!$C$4:$Z$4)-IF(Init!$R$15="No", 'Staging Table'!DV61*Rates_previous!$H$34, 0))</f>
        <v>321349.33000000019</v>
      </c>
      <c r="G59" s="251">
        <f>IF(Init!$R$9="Yes",SUMPRODUCT('Staging Table'!AJ61:AU61,LS_Demand_Rates_Restatement!$C$10:$N$10),SUMPRODUCT(LS_Demand_Rates_Restatement!$C$10:$N$10,'Staging Table'!CX61:DI61))*1000</f>
        <v>0</v>
      </c>
      <c r="H59" s="252">
        <f>IF(Init!$R$9="Yes",'Staging Table'!BR61,'Staging Table'!EF61)*IF(Init!$R$3=2018,Rates_previous!$C$88,Rates_previous!$D$88)</f>
        <v>0</v>
      </c>
      <c r="I59" s="250">
        <f>IF(Init!$R$9="Yes",IF('Staging Table'!$F$1=2018,(SUM('Staging Table'!BD61:BG61)*Rates_previous!$C$87),(SUM('Staging Table'!BD61:BG61)*Rates_previous!$D$87)),IF('Staging Table'!$F$1=2018,(SUM('Staging Table'!DR61:DU61)*Rates_previous!$C$87),(SUM('Staging Table'!DR61:DU61)*Rates_previous!$D$87)))</f>
        <v>230070.77940584192</v>
      </c>
      <c r="J59" s="252">
        <f>IF(Init!$R$9="Yes",IF('Staging Table'!D61=1,'Staging Table'!H61*-1*'Staging Table'!BT61/'Staging Table'!BS61,'Staging Table'!H61*SUM(D59:I59)*(-1)),IF('Staging Table'!D61=1,'Staging Table'!BV61*-1*'Staging Table'!BT61/'Staging Table'!BS61,'Staging Table'!BV61*SUM(D59:I59)*(-1)))</f>
        <v>0</v>
      </c>
      <c r="K59" s="250">
        <f>IF(Init!$R$9="Yes",'Staging Table'!K61,'Staging Table'!BY61)*(-1)*Rates_previous!$H$32</f>
        <v>0</v>
      </c>
      <c r="L59" s="250">
        <f>IF(Init!$R$12="No",0,'Staging Table'!$BI61*-1)*('Staging Table'!$F61/'Staging Table'!$E61)</f>
        <v>-1359744.0253012567</v>
      </c>
      <c r="M59" s="250">
        <f>IF('Staging Table'!C61=1,"",SUM(D59:L59))</f>
        <v>35158825.538104594</v>
      </c>
      <c r="N59" s="250">
        <f>IF('Staging Table'!C61=1,"",IF(Init!$R$9="Yes",(RT1SC!$C$3*'Staging Table'!F61*'Staging Table'!$F$2)+SUM('Staging Table'!L61:AI61)-IF(Init!$R$15="No",'Staging Table'!BH61, 0),Z59))</f>
        <v>1000568.1455276001</v>
      </c>
      <c r="O59" s="126">
        <f>IF('Staging Table'!C61=1,"",IF(N59=0, 0, M59/N59))</f>
        <v>35.138861551069397</v>
      </c>
      <c r="P59" s="250">
        <f>'Staging Table'!BT61*Rates_current!$E$74*100*12</f>
        <v>37936304.383200005</v>
      </c>
      <c r="Q59" s="250">
        <f>'Staging Table'!BT61*Rates_current!$E$75*100*12</f>
        <v>-3837871.3560000001</v>
      </c>
      <c r="R59" s="251">
        <f>SUMPRODUCT('Staging Table'!BZ61:CW61, LS_Demand_Rates_Restatement!$C$5:$Z$5)-IF(Init!$R$15="No",('Staging Table'!DV61*Rates_current!$H$34), 0)</f>
        <v>277437.13000000012</v>
      </c>
      <c r="S59" s="251">
        <f>SUMPRODUCT('Staging Table'!CX61:DI61, LS_Demand_Rates_Restatement!$C$11:$N$11)*1000</f>
        <v>0</v>
      </c>
      <c r="T59" s="252">
        <f>'Staging Table'!EF61*IF(Init!$R$18="Yes",IF(Init!$R$6=2020,Rates_current!$C$88,Rates_current!$D$88),Rates_current!$H$33)</f>
        <v>0</v>
      </c>
      <c r="U59" s="252">
        <f>IF(Init!$R$18="Yes",(SUM('Staging Table'!DL61:DU61)*IF('Staging Table'!$BT$1=2020, Rates_current!$C$87, Rates_current!$D$87)),0)</f>
        <v>662241.89725769754</v>
      </c>
      <c r="V59" s="252">
        <f>IF('Staging Table'!D61=1, 'Staging Table'!BV61*-1*'Staging Table'!BT61/'Staging Table'!BS61,SUM(P59:U59)*'Staging Table'!BV61*-1)</f>
        <v>0</v>
      </c>
      <c r="W59" s="250">
        <f>'Staging Table'!BY61*Rates_current!$H$32*-1</f>
        <v>0</v>
      </c>
      <c r="X59" s="250">
        <f>IF(Init!$R$12="No",0,'Staging Table'!$DW61*-1)</f>
        <v>0</v>
      </c>
      <c r="Y59" s="250">
        <f>IF('Staging Table'!C61=1,"", SUM(P59:X59))</f>
        <v>35038112.054457709</v>
      </c>
      <c r="Z59" s="250">
        <f>IF('Staging Table'!C61=1,"", (RT1SC!$C$4*'Staging Table'!BT61*'Staging Table'!$BT$2)+SUM('Staging Table'!BZ61:CW61)-IF(Init!$R$15="No",'Staging Table'!DV61, 0))</f>
        <v>980252.28861849604</v>
      </c>
      <c r="AA59" s="126">
        <f>IF('Staging Table'!C61=1,"",IF(Z59=0, 0, Y59/Z59))</f>
        <v>35.743973731332112</v>
      </c>
      <c r="AB59" s="118">
        <f ca="1">IF('Staging Table'!C61=1,"",(AA59/O59-1)+(RAND()/100000000000000))</f>
        <v>1.7220597183645284E-2</v>
      </c>
      <c r="AC59" s="79">
        <f t="shared" ca="1" si="0"/>
        <v>69</v>
      </c>
      <c r="AF59" s="255"/>
      <c r="AG59" s="255"/>
      <c r="AI59" s="255"/>
      <c r="AJ59" s="255"/>
    </row>
    <row r="60" spans="2:36">
      <c r="B60" s="166">
        <v>10172</v>
      </c>
      <c r="C60" s="167" t="s">
        <v>63</v>
      </c>
      <c r="D60" s="250">
        <f>IF(Init!$R$9="Yes",'Staging Table'!F62,'Staging Table'!BT62)*Rates_previous!$E$75*100*12</f>
        <v>2026213.1683199997</v>
      </c>
      <c r="E60" s="250">
        <f>IF(Init!$R$9="Yes",'Staging Table'!F62,'Staging Table'!BT62)*Rates_previous!$E$76*100*12</f>
        <v>-285740.15579999995</v>
      </c>
      <c r="F60" s="251">
        <f>IF(Init!$R$9="Yes",SUMPRODUCT('Staging Table'!L62:AI62,LS_Demand_Rates_Restatement!$C$4:$Z$4)-IF(Init!$R$15="No",('Staging Table'!BH62*Rates_previous!$H$34), 0),SUMPRODUCT('Staging Table'!BZ62:CW62,LS_Demand_Rates_Restatement!$C$4:$Z$4)-IF(Init!$R$15="No", 'Staging Table'!DV62*Rates_previous!$H$34, 0))</f>
        <v>-3788.6900000000014</v>
      </c>
      <c r="G60" s="251">
        <f>IF(Init!$R$9="Yes",SUMPRODUCT('Staging Table'!AJ62:AU62,LS_Demand_Rates_Restatement!$C$10:$N$10),SUMPRODUCT(LS_Demand_Rates_Restatement!$C$10:$N$10,'Staging Table'!CX62:DI62))*1000</f>
        <v>108825.61</v>
      </c>
      <c r="H60" s="252">
        <f>IF(Init!$R$9="Yes",'Staging Table'!BR62,'Staging Table'!EF62)*IF(Init!$R$3=2018,Rates_previous!$C$88,Rates_previous!$D$88)</f>
        <v>-9188.962961025798</v>
      </c>
      <c r="I60" s="250">
        <f>IF(Init!$R$9="Yes",IF('Staging Table'!$F$1=2018,(SUM('Staging Table'!BD62:BG62)*Rates_previous!$C$87),(SUM('Staging Table'!BD62:BG62)*Rates_previous!$D$87)),IF('Staging Table'!$F$1=2018,(SUM('Staging Table'!DR62:DU62)*Rates_previous!$C$87),(SUM('Staging Table'!DR62:DU62)*Rates_previous!$D$87)))</f>
        <v>11133.269903344453</v>
      </c>
      <c r="J60" s="252">
        <f>IF(Init!$R$9="Yes",IF('Staging Table'!D62=1,'Staging Table'!H62*-1*'Staging Table'!BT62/'Staging Table'!BS62,'Staging Table'!H62*SUM(D60:I60)*(-1)),IF('Staging Table'!D62=1,'Staging Table'!BV62*-1*'Staging Table'!BT62/'Staging Table'!BS62,'Staging Table'!BV62*SUM(D60:I60)*(-1)))</f>
        <v>0</v>
      </c>
      <c r="K60" s="250">
        <f>IF(Init!$R$9="Yes",'Staging Table'!K62,'Staging Table'!BY62)*(-1)*Rates_previous!$H$32</f>
        <v>0</v>
      </c>
      <c r="L60" s="250">
        <f>IF(Init!$R$12="No",0,'Staging Table'!$BI62*-1)*('Staging Table'!$F62/'Staging Table'!$E62)</f>
        <v>-92012.840640199531</v>
      </c>
      <c r="M60" s="250">
        <f>IF('Staging Table'!C62=1,"",SUM(D60:L60))</f>
        <v>1755441.3988221192</v>
      </c>
      <c r="N60" s="250">
        <f>IF('Staging Table'!C62=1,"",IF(Init!$R$9="Yes",(RT1SC!$C$3*'Staging Table'!F62*'Staging Table'!$F$2)+SUM('Staging Table'!L62:AI62)-IF(Init!$R$15="No",'Staging Table'!BH62, 0),Z60))</f>
        <v>47673.547568487993</v>
      </c>
      <c r="O60" s="126">
        <f>IF('Staging Table'!C62=1,"",IF(N60=0, 0, M60/N60))</f>
        <v>36.822126490591991</v>
      </c>
      <c r="P60" s="250">
        <f>'Staging Table'!BT62*Rates_current!$E$74*100*12</f>
        <v>1826941.30932</v>
      </c>
      <c r="Q60" s="250">
        <f>'Staging Table'!BT62*Rates_current!$E$75*100*12</f>
        <v>-184824.69060000003</v>
      </c>
      <c r="R60" s="251">
        <f>SUMPRODUCT('Staging Table'!BZ62:CW62, LS_Demand_Rates_Restatement!$C$5:$Z$5)-IF(Init!$R$15="No",('Staging Table'!DV62*Rates_current!$H$34), 0)</f>
        <v>19280.999999999993</v>
      </c>
      <c r="S60" s="251">
        <f>SUMPRODUCT('Staging Table'!CX62:DI62, LS_Demand_Rates_Restatement!$C$11:$N$11)*1000</f>
        <v>119910.58</v>
      </c>
      <c r="T60" s="252">
        <f>'Staging Table'!EF62*IF(Init!$R$18="Yes",IF(Init!$R$6=2020,Rates_current!$C$88,Rates_current!$D$88),Rates_current!$H$33)</f>
        <v>3804.6264554985692</v>
      </c>
      <c r="U60" s="252">
        <f>IF(Init!$R$18="Yes",(SUM('Staging Table'!DL62:DU62)*IF('Staging Table'!$BT$1=2020, Rates_current!$C$87, Rates_current!$D$87)),0)</f>
        <v>31892.328431399081</v>
      </c>
      <c r="V60" s="252">
        <f>IF('Staging Table'!D62=1, 'Staging Table'!BV62*-1*'Staging Table'!BT62/'Staging Table'!BS62,SUM(P60:U60)*'Staging Table'!BV62*-1)</f>
        <v>0</v>
      </c>
      <c r="W60" s="250">
        <f>'Staging Table'!BY62*Rates_current!$H$32*-1</f>
        <v>0</v>
      </c>
      <c r="X60" s="250">
        <f>IF(Init!$R$12="No",0,'Staging Table'!$DW62*-1)</f>
        <v>0</v>
      </c>
      <c r="Y60" s="250">
        <f>IF('Staging Table'!C62=1,"", SUM(P60:X60))</f>
        <v>1817005.1536068977</v>
      </c>
      <c r="Z60" s="250">
        <f>IF('Staging Table'!C62=1,"", (RT1SC!$C$4*'Staging Table'!BT62*'Staging Table'!$BT$2)+SUM('Staging Table'!BZ62:CW62)-IF(Init!$R$15="No",'Staging Table'!DV62, 0))</f>
        <v>47673.337016729594</v>
      </c>
      <c r="AA60" s="126">
        <f>IF('Staging Table'!C62=1,"",IF(Z60=0, 0, Y60/Z60))</f>
        <v>38.11365571009371</v>
      </c>
      <c r="AB60" s="118">
        <f ca="1">IF('Staging Table'!C62=1,"",(AA60/O60-1)+(RAND()/100000000000000))</f>
        <v>3.5074813504646113E-2</v>
      </c>
      <c r="AC60" s="79">
        <f t="shared" ca="1" si="0"/>
        <v>8</v>
      </c>
      <c r="AF60" s="255"/>
      <c r="AG60" s="255"/>
      <c r="AI60" s="255"/>
      <c r="AJ60" s="255"/>
    </row>
    <row r="61" spans="2:36">
      <c r="B61" s="166">
        <v>10173</v>
      </c>
      <c r="C61" s="167" t="s">
        <v>64</v>
      </c>
      <c r="D61" s="250">
        <f>IF(Init!$R$9="Yes",'Staging Table'!F63,'Staging Table'!BT63)*Rates_previous!$E$75*100*12</f>
        <v>11958555.72672</v>
      </c>
      <c r="E61" s="250">
        <f>IF(Init!$R$9="Yes",'Staging Table'!F63,'Staging Table'!BT63)*Rates_previous!$E$76*100*12</f>
        <v>-1686416.6267999997</v>
      </c>
      <c r="F61" s="251">
        <f>IF(Init!$R$9="Yes",SUMPRODUCT('Staging Table'!L63:AI63,LS_Demand_Rates_Restatement!$C$4:$Z$4)-IF(Init!$R$15="No",('Staging Table'!BH63*Rates_previous!$H$34), 0),SUMPRODUCT('Staging Table'!BZ63:CW63,LS_Demand_Rates_Restatement!$C$4:$Z$4)-IF(Init!$R$15="No", 'Staging Table'!DV63*Rates_previous!$H$34, 0))</f>
        <v>0</v>
      </c>
      <c r="G61" s="251">
        <f>IF(Init!$R$9="Yes",SUMPRODUCT('Staging Table'!AJ63:AU63,LS_Demand_Rates_Restatement!$C$10:$N$10),SUMPRODUCT(LS_Demand_Rates_Restatement!$C$10:$N$10,'Staging Table'!CX63:DI63))*1000</f>
        <v>0</v>
      </c>
      <c r="H61" s="252">
        <f>IF(Init!$R$9="Yes",'Staging Table'!BR63,'Staging Table'!EF63)*IF(Init!$R$3=2018,Rates_previous!$C$88,Rates_previous!$D$88)</f>
        <v>0</v>
      </c>
      <c r="I61" s="250">
        <f>IF(Init!$R$9="Yes",IF('Staging Table'!$F$1=2018,(SUM('Staging Table'!BD63:BG63)*Rates_previous!$C$87),(SUM('Staging Table'!BD63:BG63)*Rates_previous!$D$87)),IF('Staging Table'!$F$1=2018,(SUM('Staging Table'!DR63:DU63)*Rates_previous!$C$87),(SUM('Staging Table'!DR63:DU63)*Rates_previous!$D$87)))</f>
        <v>65707.710640410151</v>
      </c>
      <c r="J61" s="252">
        <f>IF(Init!$R$9="Yes",IF('Staging Table'!D63=1,'Staging Table'!H63*-1*'Staging Table'!BT63/'Staging Table'!BS63,'Staging Table'!H63*SUM(D61:I61)*(-1)),IF('Staging Table'!D63=1,'Staging Table'!BV63*-1*'Staging Table'!BT63/'Staging Table'!BS63,'Staging Table'!BV63*SUM(D61:I61)*(-1)))</f>
        <v>-777660.39118568273</v>
      </c>
      <c r="K61" s="250">
        <f>IF(Init!$R$9="Yes",'Staging Table'!K63,'Staging Table'!BY63)*(-1)*Rates_previous!$H$32</f>
        <v>-521085.55296</v>
      </c>
      <c r="L61" s="250">
        <f>IF(Init!$R$12="No",0,'Staging Table'!$BI63*-1)*('Staging Table'!$F63/'Staging Table'!$E63)</f>
        <v>-338597.0860257973</v>
      </c>
      <c r="M61" s="250" t="str">
        <f>IF('Staging Table'!C63=1,"",SUM(D61:L61))</f>
        <v/>
      </c>
      <c r="N61" s="250" t="str">
        <f>IF('Staging Table'!C63=1,"",IF(Init!$R$9="Yes",(RT1SC!$C$3*'Staging Table'!F63*'Staging Table'!$F$2)+SUM('Staging Table'!L63:AI63)-IF(Init!$R$15="No",'Staging Table'!BH63, 0),Z61))</f>
        <v/>
      </c>
      <c r="O61" s="126" t="str">
        <f>IF('Staging Table'!C63=1,"",IF(N61=0, 0, M61/N61))</f>
        <v/>
      </c>
      <c r="P61" s="250">
        <f>'Staging Table'!BT63*Rates_current!$E$74*100*12</f>
        <v>11149641.946679998</v>
      </c>
      <c r="Q61" s="250">
        <f>'Staging Table'!BT63*Rates_current!$E$75*100*12</f>
        <v>-1127966.7893999999</v>
      </c>
      <c r="R61" s="251">
        <f>SUMPRODUCT('Staging Table'!BZ63:CW63, LS_Demand_Rates_Restatement!$C$5:$Z$5)-IF(Init!$R$15="No",('Staging Table'!DV63*Rates_current!$H$34), 0)</f>
        <v>0</v>
      </c>
      <c r="S61" s="251">
        <f>SUMPRODUCT('Staging Table'!CX63:DI63, LS_Demand_Rates_Restatement!$C$11:$N$11)*1000</f>
        <v>0</v>
      </c>
      <c r="T61" s="252">
        <f>'Staging Table'!EF63*IF(Init!$R$18="Yes",IF(Init!$R$6=2020,Rates_current!$C$88,Rates_current!$D$88),Rates_current!$H$33)</f>
        <v>0</v>
      </c>
      <c r="U61" s="252">
        <f>IF(Init!$R$18="Yes",(SUM('Staging Table'!DL63:DU63)*IF('Staging Table'!$BT$1=2020, Rates_current!$C$87, Rates_current!$D$87)),0)</f>
        <v>194635.72313024916</v>
      </c>
      <c r="V61" s="252">
        <f>IF('Staging Table'!D63=1, 'Staging Table'!BV63*-1*'Staging Table'!BT63/'Staging Table'!BS63,SUM(P61:U61)*'Staging Table'!BV63*-1)</f>
        <v>-796868.16214764712</v>
      </c>
      <c r="W61" s="250">
        <f>'Staging Table'!BY63*Rates_current!$H$32*-1</f>
        <v>-492284.05555999995</v>
      </c>
      <c r="X61" s="250">
        <f>IF(Init!$R$12="No",0,'Staging Table'!$DW63*-1)</f>
        <v>0</v>
      </c>
      <c r="Y61" s="250" t="str">
        <f>IF('Staging Table'!C63=1,"", SUM(P61:X61))</f>
        <v/>
      </c>
      <c r="Z61" s="250" t="str">
        <f>IF('Staging Table'!C63=1,"", (RT1SC!$C$4*'Staging Table'!BT63*'Staging Table'!$BT$2)+SUM('Staging Table'!BZ63:CW63)-IF(Init!$R$15="No",'Staging Table'!DV63, 0))</f>
        <v/>
      </c>
      <c r="AA61" s="126" t="str">
        <f>IF('Staging Table'!C63=1,"",IF(Z61=0, 0, Y61/Z61))</f>
        <v/>
      </c>
      <c r="AB61" s="118" t="str">
        <f ca="1">IF('Staging Table'!C63=1,"",(AA61/O61-1)+(RAND()/100000000000000))</f>
        <v/>
      </c>
      <c r="AC61" s="79" t="str">
        <f t="shared" ca="1" si="0"/>
        <v/>
      </c>
      <c r="AF61" s="255"/>
      <c r="AG61" s="255"/>
      <c r="AI61" s="255"/>
      <c r="AJ61" s="255"/>
    </row>
    <row r="62" spans="2:36">
      <c r="B62" s="166">
        <v>10174</v>
      </c>
      <c r="C62" s="167" t="s">
        <v>65</v>
      </c>
      <c r="D62" s="250">
        <f>IF(Init!$R$9="Yes",'Staging Table'!F64,'Staging Table'!BT64)*Rates_previous!$E$75*100*12</f>
        <v>183182.10336000001</v>
      </c>
      <c r="E62" s="250">
        <f>IF(Init!$R$9="Yes",'Staging Table'!F64,'Staging Table'!BT64)*Rates_previous!$E$76*100*12</f>
        <v>-25832.663400000001</v>
      </c>
      <c r="F62" s="251">
        <f>IF(Init!$R$9="Yes",SUMPRODUCT('Staging Table'!L64:AI64,LS_Demand_Rates_Restatement!$C$4:$Z$4)-IF(Init!$R$15="No",('Staging Table'!BH64*Rates_previous!$H$34), 0),SUMPRODUCT('Staging Table'!BZ64:CW64,LS_Demand_Rates_Restatement!$C$4:$Z$4)-IF(Init!$R$15="No", 'Staging Table'!DV64*Rates_previous!$H$34, 0))</f>
        <v>2307.8999999999996</v>
      </c>
      <c r="G62" s="251">
        <f>IF(Init!$R$9="Yes",SUMPRODUCT('Staging Table'!AJ64:AU64,LS_Demand_Rates_Restatement!$C$10:$N$10),SUMPRODUCT(LS_Demand_Rates_Restatement!$C$10:$N$10,'Staging Table'!CX64:DI64))*1000</f>
        <v>11015.039999999997</v>
      </c>
      <c r="H62" s="252">
        <f>IF(Init!$R$9="Yes",'Staging Table'!BR64,'Staging Table'!EF64)*IF(Init!$R$3=2018,Rates_previous!$C$88,Rates_previous!$D$88)</f>
        <v>-52.833999368477691</v>
      </c>
      <c r="I62" s="250">
        <f>IF(Init!$R$9="Yes",IF('Staging Table'!$F$1=2018,(SUM('Staging Table'!BD64:BG64)*Rates_previous!$C$87),(SUM('Staging Table'!BD64:BG64)*Rates_previous!$D$87)),IF('Staging Table'!$F$1=2018,(SUM('Staging Table'!DR64:DU64)*Rates_previous!$C$87),(SUM('Staging Table'!DR64:DU64)*Rates_previous!$D$87)))</f>
        <v>1006.5159135552196</v>
      </c>
      <c r="J62" s="252">
        <f>IF(Init!$R$9="Yes",IF('Staging Table'!D64=1,'Staging Table'!H64*-1*'Staging Table'!BT64/'Staging Table'!BS64,'Staging Table'!H64*SUM(D62:I62)*(-1)),IF('Staging Table'!D64=1,'Staging Table'!BV64*-1*'Staging Table'!BT64/'Staging Table'!BS64,'Staging Table'!BV64*SUM(D62:I62)*(-1)))</f>
        <v>0</v>
      </c>
      <c r="K62" s="250">
        <f>IF(Init!$R$9="Yes",'Staging Table'!K64,'Staging Table'!BY64)*(-1)*Rates_previous!$H$32</f>
        <v>0</v>
      </c>
      <c r="L62" s="250">
        <f>IF(Init!$R$12="No",0,'Staging Table'!$BI64*-1)*('Staging Table'!$F64/'Staging Table'!$E64)</f>
        <v>-2852.0813740465292</v>
      </c>
      <c r="M62" s="250">
        <f>IF('Staging Table'!C64=1,"",SUM(D62:L62))</f>
        <v>168773.98050014023</v>
      </c>
      <c r="N62" s="250">
        <f>IF('Staging Table'!C64=1,"",IF(Init!$R$9="Yes",(RT1SC!$C$3*'Staging Table'!F64*'Staging Table'!$F$2)+SUM('Staging Table'!L64:AI64)-IF(Init!$R$15="No",'Staging Table'!BH64, 0),Z62))</f>
        <v>4367.169584024</v>
      </c>
      <c r="O62" s="126">
        <f>IF('Staging Table'!C64=1,"",IF(N62=0, 0, M62/N62))</f>
        <v>38.646078942652004</v>
      </c>
      <c r="P62" s="250">
        <f>'Staging Table'!BT64*Rates_current!$E$74*100*12</f>
        <v>168267.78288000001</v>
      </c>
      <c r="Q62" s="250">
        <f>'Staging Table'!BT64*Rates_current!$E$75*100*12</f>
        <v>-17023.010399999999</v>
      </c>
      <c r="R62" s="251">
        <f>SUMPRODUCT('Staging Table'!BZ64:CW64, LS_Demand_Rates_Restatement!$C$5:$Z$5)-IF(Init!$R$15="No",('Staging Table'!DV64*Rates_current!$H$34), 0)</f>
        <v>2495.7499999999977</v>
      </c>
      <c r="S62" s="251">
        <f>SUMPRODUCT('Staging Table'!CX64:DI64, LS_Demand_Rates_Restatement!$C$11:$N$11)*1000</f>
        <v>11941.98</v>
      </c>
      <c r="T62" s="252">
        <f>'Staging Table'!EF64*IF(Init!$R$18="Yes",IF(Init!$R$6=2020,Rates_current!$C$88,Rates_current!$D$88),Rates_current!$H$33)</f>
        <v>30.892371975168196</v>
      </c>
      <c r="U62" s="252">
        <f>IF(Init!$R$18="Yes",(SUM('Staging Table'!DL64:DU64)*IF('Staging Table'!$BT$1=2020, Rates_current!$C$87, Rates_current!$D$87)),0)</f>
        <v>2937.3967125576364</v>
      </c>
      <c r="V62" s="252">
        <f>IF('Staging Table'!D64=1, 'Staging Table'!BV64*-1*'Staging Table'!BT64/'Staging Table'!BS64,SUM(P62:U62)*'Staging Table'!BV64*-1)</f>
        <v>0</v>
      </c>
      <c r="W62" s="250">
        <f>'Staging Table'!BY64*Rates_current!$H$32*-1</f>
        <v>0</v>
      </c>
      <c r="X62" s="250">
        <f>IF(Init!$R$12="No",0,'Staging Table'!$DW64*-1)</f>
        <v>0</v>
      </c>
      <c r="Y62" s="250">
        <f>IF('Staging Table'!C64=1,"", SUM(P62:X62))</f>
        <v>168650.79156453285</v>
      </c>
      <c r="Z62" s="250">
        <f>IF('Staging Table'!C64=1,"", (RT1SC!$C$4*'Staging Table'!BT64*'Staging Table'!$BT$2)+SUM('Staging Table'!BZ64:CW64)-IF(Init!$R$15="No",'Staging Table'!DV64, 0))</f>
        <v>4367.5945892864002</v>
      </c>
      <c r="AA62" s="126">
        <f>IF('Staging Table'!C64=1,"",IF(Z62=0, 0, Y62/Z62))</f>
        <v>38.614113127218587</v>
      </c>
      <c r="AB62" s="118">
        <f ca="1">IF('Staging Table'!C64=1,"",(AA62/O62-1)+(RAND()/100000000000000))</f>
        <v>-8.27142527977417E-4</v>
      </c>
      <c r="AC62" s="79">
        <f t="shared" ca="1" si="0"/>
        <v>110</v>
      </c>
      <c r="AF62" s="255"/>
      <c r="AG62" s="255"/>
      <c r="AI62" s="255"/>
      <c r="AJ62" s="255"/>
    </row>
    <row r="63" spans="2:36">
      <c r="B63" s="166">
        <v>10177</v>
      </c>
      <c r="C63" s="167" t="s">
        <v>66</v>
      </c>
      <c r="D63" s="250">
        <f>IF(Init!$R$9="Yes",'Staging Table'!F65,'Staging Table'!BT65)*Rates_previous!$E$75*100*12</f>
        <v>3624406.95744</v>
      </c>
      <c r="E63" s="250">
        <f>IF(Init!$R$9="Yes",'Staging Table'!F65,'Staging Table'!BT65)*Rates_previous!$E$76*100*12</f>
        <v>-511120.26360000006</v>
      </c>
      <c r="F63" s="251">
        <f>IF(Init!$R$9="Yes",SUMPRODUCT('Staging Table'!L65:AI65,LS_Demand_Rates_Restatement!$C$4:$Z$4)-IF(Init!$R$15="No",('Staging Table'!BH65*Rates_previous!$H$34), 0),SUMPRODUCT('Staging Table'!BZ65:CW65,LS_Demand_Rates_Restatement!$C$4:$Z$4)-IF(Init!$R$15="No", 'Staging Table'!DV65*Rates_previous!$H$34, 0))</f>
        <v>-158814.91</v>
      </c>
      <c r="G63" s="251">
        <f>IF(Init!$R$9="Yes",SUMPRODUCT('Staging Table'!AJ65:AU65,LS_Demand_Rates_Restatement!$C$10:$N$10),SUMPRODUCT(LS_Demand_Rates_Restatement!$C$10:$N$10,'Staging Table'!CX65:DI65))*1000</f>
        <v>59249.420000000006</v>
      </c>
      <c r="H63" s="252">
        <f>IF(Init!$R$9="Yes",'Staging Table'!BR65,'Staging Table'!EF65)*IF(Init!$R$3=2018,Rates_previous!$C$88,Rates_previous!$D$88)</f>
        <v>-115551.79979946598</v>
      </c>
      <c r="I63" s="250">
        <f>IF(Init!$R$9="Yes",IF('Staging Table'!$F$1=2018,(SUM('Staging Table'!BD65:BG65)*Rates_previous!$C$87),(SUM('Staging Table'!BD65:BG65)*Rates_previous!$D$87)),IF('Staging Table'!$F$1=2018,(SUM('Staging Table'!DR65:DU65)*Rates_previous!$C$87),(SUM('Staging Table'!DR65:DU65)*Rates_previous!$D$87)))</f>
        <v>19914.73628127476</v>
      </c>
      <c r="J63" s="252">
        <f>IF(Init!$R$9="Yes",IF('Staging Table'!D65=1,'Staging Table'!H65*-1*'Staging Table'!BT65/'Staging Table'!BS65,'Staging Table'!H65*SUM(D63:I63)*(-1)),IF('Staging Table'!D65=1,'Staging Table'!BV65*-1*'Staging Table'!BT65/'Staging Table'!BS65,'Staging Table'!BV65*SUM(D63:I63)*(-1)))</f>
        <v>-204265.8898225266</v>
      </c>
      <c r="K63" s="250">
        <f>IF(Init!$R$9="Yes",'Staging Table'!K65,'Staging Table'!BY65)*(-1)*Rates_previous!$H$32</f>
        <v>0</v>
      </c>
      <c r="L63" s="250">
        <f>IF(Init!$R$12="No",0,'Staging Table'!$BI65*-1)*('Staging Table'!$F65/'Staging Table'!$E65)</f>
        <v>-124305.72133002119</v>
      </c>
      <c r="M63" s="250">
        <f>IF('Staging Table'!C65=1,"",SUM(D63:L63))</f>
        <v>2589512.529169261</v>
      </c>
      <c r="N63" s="250">
        <f>IF('Staging Table'!C65=1,"",IF(Init!$R$9="Yes",(RT1SC!$C$3*'Staging Table'!F65*'Staging Table'!$F$2)+SUM('Staging Table'!L65:AI65)-IF(Init!$R$15="No",'Staging Table'!BH65, 0),Z63))</f>
        <v>77646.504175695998</v>
      </c>
      <c r="O63" s="126">
        <f>IF('Staging Table'!C65=1,"",IF(N63=0, 0, M63/N63))</f>
        <v>33.350020798229316</v>
      </c>
      <c r="P63" s="250">
        <f>'Staging Table'!BT65*Rates_current!$E$74*100*12</f>
        <v>3111052.6524</v>
      </c>
      <c r="Q63" s="250">
        <f>'Staging Table'!BT65*Rates_current!$E$75*100*12</f>
        <v>-314733.342</v>
      </c>
      <c r="R63" s="251">
        <f>SUMPRODUCT('Staging Table'!BZ65:CW65, LS_Demand_Rates_Restatement!$C$5:$Z$5)-IF(Init!$R$15="No",('Staging Table'!DV65*Rates_current!$H$34), 0)</f>
        <v>-7845.1299999999974</v>
      </c>
      <c r="S63" s="251">
        <f>SUMPRODUCT('Staging Table'!CX65:DI65, LS_Demand_Rates_Restatement!$C$11:$N$11)*1000</f>
        <v>66112.739999999991</v>
      </c>
      <c r="T63" s="252">
        <f>'Staging Table'!EF65*IF(Init!$R$18="Yes",IF(Init!$R$6=2020,Rates_current!$C$88,Rates_current!$D$88),Rates_current!$H$33)</f>
        <v>-49534.122425487498</v>
      </c>
      <c r="U63" s="252">
        <f>IF(Init!$R$18="Yes",(SUM('Staging Table'!DL65:DU65)*IF('Staging Table'!$BT$1=2020, Rates_current!$C$87, Rates_current!$D$87)),0)</f>
        <v>54308.648259010544</v>
      </c>
      <c r="V63" s="252">
        <f>IF('Staging Table'!D65=1, 'Staging Table'!BV65*-1*'Staging Table'!BT65/'Staging Table'!BS65,SUM(P63:U63)*'Staging Table'!BV65*-1)</f>
        <v>-200155.30123634666</v>
      </c>
      <c r="W63" s="250">
        <f>'Staging Table'!BY65*Rates_current!$H$32*-1</f>
        <v>0</v>
      </c>
      <c r="X63" s="250">
        <f>IF(Init!$R$12="No",0,'Staging Table'!$DW65*-1)</f>
        <v>0</v>
      </c>
      <c r="Y63" s="250">
        <f>IF('Staging Table'!C65=1,"", SUM(P63:X63))</f>
        <v>2659206.1449971767</v>
      </c>
      <c r="Z63" s="250">
        <f>IF('Staging Table'!C65=1,"", (RT1SC!$C$4*'Staging Table'!BT65*'Staging Table'!$BT$2)+SUM('Staging Table'!BZ65:CW65)-IF(Init!$R$15="No",'Staging Table'!DV65, 0))</f>
        <v>77647.637251071996</v>
      </c>
      <c r="AA63" s="126">
        <f>IF('Staging Table'!C65=1,"",IF(Z63=0, 0, Y63/Z63))</f>
        <v>34.247096745502887</v>
      </c>
      <c r="AB63" s="118">
        <f ca="1">IF('Staging Table'!C65=1,"",(AA63/O63-1)+(RAND()/100000000000000))</f>
        <v>2.6898812228666889E-2</v>
      </c>
      <c r="AC63" s="79">
        <f t="shared" ca="1" si="0"/>
        <v>22</v>
      </c>
      <c r="AF63" s="255"/>
      <c r="AG63" s="255"/>
      <c r="AI63" s="255"/>
      <c r="AJ63" s="255"/>
    </row>
    <row r="64" spans="2:36">
      <c r="B64" s="166">
        <v>10179</v>
      </c>
      <c r="C64" s="167" t="s">
        <v>67</v>
      </c>
      <c r="D64" s="250">
        <f>IF(Init!$R$9="Yes",'Staging Table'!F66,'Staging Table'!BT66)*Rates_previous!$E$75*100*12</f>
        <v>60216976.411199994</v>
      </c>
      <c r="E64" s="250">
        <f>IF(Init!$R$9="Yes",'Staging Table'!F66,'Staging Table'!BT66)*Rates_previous!$E$76*100*12</f>
        <v>-8491904.2530000005</v>
      </c>
      <c r="F64" s="251">
        <f>IF(Init!$R$9="Yes",SUMPRODUCT('Staging Table'!L66:AI66,LS_Demand_Rates_Restatement!$C$4:$Z$4)-IF(Init!$R$15="No",('Staging Table'!BH66*Rates_previous!$H$34), 0),SUMPRODUCT('Staging Table'!BZ66:CW66,LS_Demand_Rates_Restatement!$C$4:$Z$4)-IF(Init!$R$15="No", 'Staging Table'!DV66*Rates_previous!$H$34, 0))</f>
        <v>913920.01392046455</v>
      </c>
      <c r="G64" s="251">
        <f>IF(Init!$R$9="Yes",SUMPRODUCT('Staging Table'!AJ66:AU66,LS_Demand_Rates_Restatement!$C$10:$N$10),SUMPRODUCT(LS_Demand_Rates_Restatement!$C$10:$N$10,'Staging Table'!CX66:DI66))*1000</f>
        <v>4047305.5800000005</v>
      </c>
      <c r="H64" s="252">
        <f>IF(Init!$R$9="Yes",'Staging Table'!BR66,'Staging Table'!EF66)*IF(Init!$R$3=2018,Rates_previous!$C$88,Rates_previous!$D$88)</f>
        <v>0</v>
      </c>
      <c r="I64" s="250">
        <f>IF(Init!$R$9="Yes",IF('Staging Table'!$F$1=2018,(SUM('Staging Table'!BD66:BG66)*Rates_previous!$C$87),(SUM('Staging Table'!BD66:BG66)*Rates_previous!$D$87)),IF('Staging Table'!$F$1=2018,(SUM('Staging Table'!DR66:DU66)*Rates_previous!$C$87),(SUM('Staging Table'!DR66:DU66)*Rates_previous!$D$87)))</f>
        <v>330869.35848170228</v>
      </c>
      <c r="J64" s="252">
        <f>IF(Init!$R$9="Yes",IF('Staging Table'!D66=1,'Staging Table'!H66*-1*'Staging Table'!BT66/'Staging Table'!BS66,'Staging Table'!H66*SUM(D64:I64)*(-1)),IF('Staging Table'!D66=1,'Staging Table'!BV66*-1*'Staging Table'!BT66/'Staging Table'!BS66,'Staging Table'!BV66*SUM(D64:I64)*(-1)))</f>
        <v>0</v>
      </c>
      <c r="K64" s="250">
        <f>IF(Init!$R$9="Yes",'Staging Table'!K66,'Staging Table'!BY66)*(-1)*Rates_previous!$H$32</f>
        <v>0</v>
      </c>
      <c r="L64" s="250">
        <f>IF(Init!$R$12="No",0,'Staging Table'!$BI66*-1)*('Staging Table'!$F66/'Staging Table'!$E66)</f>
        <v>-1545636.9725373732</v>
      </c>
      <c r="M64" s="250">
        <f>IF('Staging Table'!C66=1,"",SUM(D64:L64))</f>
        <v>55471530.138064787</v>
      </c>
      <c r="N64" s="250">
        <f>IF('Staging Table'!C66=1,"",IF(Init!$R$9="Yes",(RT1SC!$C$3*'Staging Table'!F66*'Staging Table'!$F$2)+SUM('Staging Table'!L66:AI66)-IF(Init!$R$15="No",'Staging Table'!BH66, 0),Z64))</f>
        <v>1437910.2000000002</v>
      </c>
      <c r="O64" s="126">
        <f>IF('Staging Table'!C66=1,"",IF(N64=0, 0, M64/N64))</f>
        <v>38.577882080581098</v>
      </c>
      <c r="P64" s="250">
        <f>'Staging Table'!BT66*Rates_current!$E$74*100*12</f>
        <v>56143448.890080005</v>
      </c>
      <c r="Q64" s="250">
        <f>'Staging Table'!BT66*Rates_current!$E$75*100*12</f>
        <v>-5679818.7863999996</v>
      </c>
      <c r="R64" s="251">
        <f>SUMPRODUCT('Staging Table'!BZ66:CW66, LS_Demand_Rates_Restatement!$C$5:$Z$5)-IF(Init!$R$15="No",('Staging Table'!DV66*Rates_current!$H$34), 0)</f>
        <v>984644.76777426724</v>
      </c>
      <c r="S64" s="251">
        <f>SUMPRODUCT('Staging Table'!CX66:DI66, LS_Demand_Rates_Restatement!$C$11:$N$11)*1000</f>
        <v>4489316.76</v>
      </c>
      <c r="T64" s="252">
        <f>'Staging Table'!EF66*IF(Init!$R$18="Yes",IF(Init!$R$6=2020,Rates_current!$C$88,Rates_current!$D$88),Rates_current!$H$33)</f>
        <v>0</v>
      </c>
      <c r="U64" s="252">
        <f>IF(Init!$R$18="Yes",(SUM('Staging Table'!DL66:DU66)*IF('Staging Table'!$BT$1=2020, Rates_current!$C$87, Rates_current!$D$87)),0)</f>
        <v>980078.17883342563</v>
      </c>
      <c r="V64" s="252">
        <f>IF('Staging Table'!D66=1, 'Staging Table'!BV66*-1*'Staging Table'!BT66/'Staging Table'!BS66,SUM(P64:U64)*'Staging Table'!BV66*-1)</f>
        <v>0</v>
      </c>
      <c r="W64" s="250">
        <f>'Staging Table'!BY66*Rates_current!$H$32*-1</f>
        <v>0</v>
      </c>
      <c r="X64" s="250">
        <f>IF(Init!$R$12="No",0,'Staging Table'!$DW66*-1)</f>
        <v>0</v>
      </c>
      <c r="Y64" s="250">
        <f>IF('Staging Table'!C66=1,"", SUM(P64:X64))</f>
        <v>56917669.810287699</v>
      </c>
      <c r="Z64" s="250">
        <f>IF('Staging Table'!C66=1,"", (RT1SC!$C$4*'Staging Table'!BT66*'Staging Table'!$BT$2)+SUM('Staging Table'!BZ66:CW66)-IF(Init!$R$15="No",'Staging Table'!DV66, 0))</f>
        <v>1457608.176</v>
      </c>
      <c r="AA64" s="126">
        <f>IF('Staging Table'!C66=1,"",IF(Z64=0, 0, Y64/Z64))</f>
        <v>39.048676281771691</v>
      </c>
      <c r="AB64" s="118">
        <f ca="1">IF('Staging Table'!C66=1,"",(AA64/O64-1)+(RAND()/100000000000000))</f>
        <v>1.2203733740683374E-2</v>
      </c>
      <c r="AC64" s="79">
        <f t="shared" ca="1" si="0"/>
        <v>81</v>
      </c>
      <c r="AF64" s="255"/>
      <c r="AG64" s="255"/>
      <c r="AI64" s="255"/>
      <c r="AJ64" s="255"/>
    </row>
    <row r="65" spans="2:36">
      <c r="B65" s="166">
        <v>10183</v>
      </c>
      <c r="C65" s="167" t="s">
        <v>68</v>
      </c>
      <c r="D65" s="250">
        <f>IF(Init!$R$9="Yes",'Staging Table'!F67,'Staging Table'!BT67)*Rates_previous!$E$75*100*12</f>
        <v>22503373.634879999</v>
      </c>
      <c r="E65" s="250">
        <f>IF(Init!$R$9="Yes",'Staging Table'!F67,'Staging Table'!BT67)*Rates_previous!$E$76*100*12</f>
        <v>-3173465.4522000002</v>
      </c>
      <c r="F65" s="251">
        <f>IF(Init!$R$9="Yes",SUMPRODUCT('Staging Table'!L67:AI67,LS_Demand_Rates_Restatement!$C$4:$Z$4)-IF(Init!$R$15="No",('Staging Table'!BH67*Rates_previous!$H$34), 0),SUMPRODUCT('Staging Table'!BZ67:CW67,LS_Demand_Rates_Restatement!$C$4:$Z$4)-IF(Init!$R$15="No", 'Staging Table'!DV67*Rates_previous!$H$34, 0))</f>
        <v>-83537.679999999935</v>
      </c>
      <c r="G65" s="251">
        <f>IF(Init!$R$9="Yes",SUMPRODUCT('Staging Table'!AJ67:AU67,LS_Demand_Rates_Restatement!$C$10:$N$10),SUMPRODUCT(LS_Demand_Rates_Restatement!$C$10:$N$10,'Staging Table'!CX67:DI67))*1000</f>
        <v>0</v>
      </c>
      <c r="H65" s="252">
        <f>IF(Init!$R$9="Yes",'Staging Table'!BR67,'Staging Table'!EF67)*IF(Init!$R$3=2018,Rates_previous!$C$88,Rates_previous!$D$88)</f>
        <v>0</v>
      </c>
      <c r="I65" s="250">
        <f>IF(Init!$R$9="Yes",IF('Staging Table'!$F$1=2018,(SUM('Staging Table'!BD67:BG67)*Rates_previous!$C$87),(SUM('Staging Table'!BD67:BG67)*Rates_previous!$D$87)),IF('Staging Table'!$F$1=2018,(SUM('Staging Table'!DR67:DU67)*Rates_previous!$C$87),(SUM('Staging Table'!DR67:DU67)*Rates_previous!$D$87)))</f>
        <v>123647.47023169942</v>
      </c>
      <c r="J65" s="252">
        <f>IF(Init!$R$9="Yes",IF('Staging Table'!D67=1,'Staging Table'!H67*-1*'Staging Table'!BT67/'Staging Table'!BS67,'Staging Table'!H67*SUM(D65:I65)*(-1)),IF('Staging Table'!D67=1,'Staging Table'!BV67*-1*'Staging Table'!BT67/'Staging Table'!BS67,'Staging Table'!BV67*SUM(D65:I65)*(-1)))</f>
        <v>0</v>
      </c>
      <c r="K65" s="250">
        <f>IF(Init!$R$9="Yes",'Staging Table'!K67,'Staging Table'!BY67)*(-1)*Rates_previous!$H$32</f>
        <v>-1110229.2247200001</v>
      </c>
      <c r="L65" s="250">
        <f>IF(Init!$R$12="No",0,'Staging Table'!$BI67*-1)*('Staging Table'!$F67/'Staging Table'!$E67)</f>
        <v>-601092.92506797635</v>
      </c>
      <c r="M65" s="250">
        <f>IF('Staging Table'!C67=1,"",SUM(D65:L65))</f>
        <v>17658695.823123723</v>
      </c>
      <c r="N65" s="250">
        <f>IF('Staging Table'!C67=1,"",IF(Init!$R$9="Yes",(RT1SC!$C$3*'Staging Table'!F67*'Staging Table'!$F$2)+SUM('Staging Table'!L67:AI67)-IF(Init!$R$15="No",'Staging Table'!BH67, 0),Z65))</f>
        <v>537532.65347439202</v>
      </c>
      <c r="O65" s="126">
        <f>IF('Staging Table'!C67=1,"",IF(N65=0, 0, M65/N65))</f>
        <v>32.851391834496212</v>
      </c>
      <c r="P65" s="250">
        <f>'Staging Table'!BT67*Rates_current!$E$74*100*12</f>
        <v>20981186.2608</v>
      </c>
      <c r="Q65" s="250">
        <f>'Staging Table'!BT67*Rates_current!$E$75*100*12</f>
        <v>-2122586.6640000003</v>
      </c>
      <c r="R65" s="251">
        <f>SUMPRODUCT('Staging Table'!BZ67:CW67, LS_Demand_Rates_Restatement!$C$5:$Z$5)-IF(Init!$R$15="No",('Staging Table'!DV67*Rates_current!$H$34), 0)</f>
        <v>-128469.82000000009</v>
      </c>
      <c r="S65" s="251">
        <f>SUMPRODUCT('Staging Table'!CX67:DI67, LS_Demand_Rates_Restatement!$C$11:$N$11)*1000</f>
        <v>0</v>
      </c>
      <c r="T65" s="252">
        <f>'Staging Table'!EF67*IF(Init!$R$18="Yes",IF(Init!$R$6=2020,Rates_current!$C$88,Rates_current!$D$88),Rates_current!$H$33)</f>
        <v>0</v>
      </c>
      <c r="U65" s="252">
        <f>IF(Init!$R$18="Yes",(SUM('Staging Table'!DL67:DU67)*IF('Staging Table'!$BT$1=2020, Rates_current!$C$87, Rates_current!$D$87)),0)</f>
        <v>366261.83867879683</v>
      </c>
      <c r="V65" s="252">
        <f>IF('Staging Table'!D67=1, 'Staging Table'!BV67*-1*'Staging Table'!BT67/'Staging Table'!BS67,SUM(P65:U65)*'Staging Table'!BV67*-1)</f>
        <v>0</v>
      </c>
      <c r="W65" s="250">
        <f>'Staging Table'!BY67*Rates_current!$H$32*-1</f>
        <v>-1048864.5141699999</v>
      </c>
      <c r="X65" s="250">
        <f>IF(Init!$R$12="No",0,'Staging Table'!$DW67*-1)</f>
        <v>0</v>
      </c>
      <c r="Y65" s="250">
        <f>IF('Staging Table'!C67=1,"", SUM(P65:X65))</f>
        <v>18047527.101308797</v>
      </c>
      <c r="Z65" s="250">
        <f>IF('Staging Table'!C67=1,"", (RT1SC!$C$4*'Staging Table'!BT67*'Staging Table'!$BT$2)+SUM('Staging Table'!BZ67:CW67)-IF(Init!$R$15="No",'Staging Table'!DV67, 0))</f>
        <v>542695.85076582397</v>
      </c>
      <c r="AA65" s="126">
        <f>IF('Staging Table'!C67=1,"",IF(Z65=0, 0, Y65/Z65))</f>
        <v>33.25532538316088</v>
      </c>
      <c r="AB65" s="118">
        <f ca="1">IF('Staging Table'!C67=1,"",(AA65/O65-1)+(RAND()/100000000000000))</f>
        <v>1.2295781886493095E-2</v>
      </c>
      <c r="AC65" s="79">
        <f t="shared" ca="1" si="0"/>
        <v>80</v>
      </c>
      <c r="AF65" s="255"/>
      <c r="AG65" s="255"/>
      <c r="AI65" s="255"/>
      <c r="AJ65" s="255"/>
    </row>
    <row r="66" spans="2:36">
      <c r="B66" s="166">
        <v>10186</v>
      </c>
      <c r="C66" s="167" t="s">
        <v>69</v>
      </c>
      <c r="D66" s="250">
        <f>IF(Init!$R$9="Yes",'Staging Table'!F68,'Staging Table'!BT68)*Rates_previous!$E$75*100*12</f>
        <v>6723216.3081600014</v>
      </c>
      <c r="E66" s="250">
        <f>IF(Init!$R$9="Yes",'Staging Table'!F68,'Staging Table'!BT68)*Rates_previous!$E$76*100*12</f>
        <v>-948119.82539999997</v>
      </c>
      <c r="F66" s="251">
        <f>IF(Init!$R$9="Yes",SUMPRODUCT('Staging Table'!L68:AI68,LS_Demand_Rates_Restatement!$C$4:$Z$4)-IF(Init!$R$15="No",('Staging Table'!BH68*Rates_previous!$H$34), 0),SUMPRODUCT('Staging Table'!BZ68:CW68,LS_Demand_Rates_Restatement!$C$4:$Z$4)-IF(Init!$R$15="No", 'Staging Table'!DV68*Rates_previous!$H$34, 0))</f>
        <v>-32249.049999999988</v>
      </c>
      <c r="G66" s="251">
        <f>IF(Init!$R$9="Yes",SUMPRODUCT('Staging Table'!AJ68:AU68,LS_Demand_Rates_Restatement!$C$10:$N$10),SUMPRODUCT(LS_Demand_Rates_Restatement!$C$10:$N$10,'Staging Table'!CX68:DI68))*1000</f>
        <v>329186.25000000006</v>
      </c>
      <c r="H66" s="252">
        <f>IF(Init!$R$9="Yes",'Staging Table'!BR68,'Staging Table'!EF68)*IF(Init!$R$3=2018,Rates_previous!$C$88,Rates_previous!$D$88)</f>
        <v>-45406.038941495106</v>
      </c>
      <c r="I66" s="250">
        <f>IF(Init!$R$9="Yes",IF('Staging Table'!$F$1=2018,(SUM('Staging Table'!BD68:BG68)*Rates_previous!$C$87),(SUM('Staging Table'!BD68:BG68)*Rates_previous!$D$87)),IF('Staging Table'!$F$1=2018,(SUM('Staging Table'!DR68:DU68)*Rates_previous!$C$87),(SUM('Staging Table'!DR68:DU68)*Rates_previous!$D$87)))</f>
        <v>36941.513828662995</v>
      </c>
      <c r="J66" s="252">
        <f>IF(Init!$R$9="Yes",IF('Staging Table'!D68=1,'Staging Table'!H68*-1*'Staging Table'!BT68/'Staging Table'!BS68,'Staging Table'!H68*SUM(D66:I66)*(-1)),IF('Staging Table'!D68=1,'Staging Table'!BV68*-1*'Staging Table'!BT68/'Staging Table'!BS68,'Staging Table'!BV68*SUM(D66:I66)*(-1)))</f>
        <v>-424449.84103530186</v>
      </c>
      <c r="K66" s="250">
        <f>IF(Init!$R$9="Yes",'Staging Table'!K68,'Staging Table'!BY68)*(-1)*Rates_previous!$H$32</f>
        <v>0</v>
      </c>
      <c r="L66" s="250">
        <f>IF(Init!$R$12="No",0,'Staging Table'!$BI68*-1)*('Staging Table'!$F68/'Staging Table'!$E68)</f>
        <v>-104678.12987442817</v>
      </c>
      <c r="M66" s="250">
        <f>IF('Staging Table'!C68=1,"",SUM(D66:L66))</f>
        <v>5534441.1867374396</v>
      </c>
      <c r="N66" s="250">
        <f>IF('Staging Table'!C68=1,"",IF(Init!$R$9="Yes",(RT1SC!$C$3*'Staging Table'!F68*'Staging Table'!$F$2)+SUM('Staging Table'!L68:AI68)-IF(Init!$R$15="No",'Staging Table'!BH68, 0),Z66))</f>
        <v>157046.365998344</v>
      </c>
      <c r="O66" s="126">
        <f>IF('Staging Table'!C68=1,"",IF(N66=0, 0, M66/N66))</f>
        <v>35.240810263612204</v>
      </c>
      <c r="P66" s="250">
        <f>'Staging Table'!BT68*Rates_current!$E$74*100*12</f>
        <v>6025079.8923599999</v>
      </c>
      <c r="Q66" s="250">
        <f>'Staging Table'!BT68*Rates_current!$E$75*100*12</f>
        <v>-609534.37380000006</v>
      </c>
      <c r="R66" s="251">
        <f>SUMPRODUCT('Staging Table'!BZ68:CW68, LS_Demand_Rates_Restatement!$C$5:$Z$5)-IF(Init!$R$15="No",('Staging Table'!DV68*Rates_current!$H$34), 0)</f>
        <v>65123.480000000018</v>
      </c>
      <c r="S66" s="251">
        <f>SUMPRODUCT('Staging Table'!CX68:DI68, LS_Demand_Rates_Restatement!$C$11:$N$11)*1000</f>
        <v>366690.63</v>
      </c>
      <c r="T66" s="252">
        <f>'Staging Table'!EF68*IF(Init!$R$18="Yes",IF(Init!$R$6=2020,Rates_current!$C$88,Rates_current!$D$88),Rates_current!$H$33)</f>
        <v>9880.6274132522412</v>
      </c>
      <c r="U66" s="252">
        <f>IF(Init!$R$18="Yes",(SUM('Staging Table'!DL68:DU68)*IF('Staging Table'!$BT$1=2020, Rates_current!$C$87, Rates_current!$D$87)),0)</f>
        <v>105177.8870904642</v>
      </c>
      <c r="V66" s="252">
        <f>IF('Staging Table'!D68=1, 'Staging Table'!BV68*-1*'Staging Table'!BT68/'Staging Table'!BS68,SUM(P66:U66)*'Staging Table'!BV68*-1)</f>
        <v>-417369.2700144602</v>
      </c>
      <c r="W66" s="250">
        <f>'Staging Table'!BY68*Rates_current!$H$32*-1</f>
        <v>0</v>
      </c>
      <c r="X66" s="250">
        <f>IF(Init!$R$12="No",0,'Staging Table'!$DW68*-1)</f>
        <v>0</v>
      </c>
      <c r="Y66" s="250">
        <f>IF('Staging Table'!C68=1,"", SUM(P66:X66))</f>
        <v>5545048.8730492564</v>
      </c>
      <c r="Z66" s="250">
        <f>IF('Staging Table'!C68=1,"", (RT1SC!$C$4*'Staging Table'!BT68*'Staging Table'!$BT$2)+SUM('Staging Table'!BZ68:CW68)-IF(Init!$R$15="No",'Staging Table'!DV68, 0))</f>
        <v>157048.06982062082</v>
      </c>
      <c r="AA66" s="126">
        <f>IF('Staging Table'!C68=1,"",IF(Z66=0, 0, Y66/Z66))</f>
        <v>35.307972134791413</v>
      </c>
      <c r="AB66" s="118">
        <f ca="1">IF('Staging Table'!C68=1,"",(AA66/O66-1)+(RAND()/100000000000000))</f>
        <v>1.9057981549505671E-3</v>
      </c>
      <c r="AC66" s="79">
        <f t="shared" ca="1" si="0"/>
        <v>99</v>
      </c>
      <c r="AF66" s="255"/>
      <c r="AG66" s="255"/>
      <c r="AI66" s="255"/>
      <c r="AJ66" s="255"/>
    </row>
    <row r="67" spans="2:36">
      <c r="B67" s="166">
        <v>10190</v>
      </c>
      <c r="C67" s="167" t="s">
        <v>70</v>
      </c>
      <c r="D67" s="250">
        <f>IF(Init!$R$9="Yes",'Staging Table'!F69,'Staging Table'!BT69)*Rates_previous!$E$75*100*12</f>
        <v>1873858.6512000002</v>
      </c>
      <c r="E67" s="250">
        <f>IF(Init!$R$9="Yes",'Staging Table'!F69,'Staging Table'!BT69)*Rates_previous!$E$76*100*12</f>
        <v>-264254.853</v>
      </c>
      <c r="F67" s="251">
        <f>IF(Init!$R$9="Yes",SUMPRODUCT('Staging Table'!L69:AI69,LS_Demand_Rates_Restatement!$C$4:$Z$4)-IF(Init!$R$15="No",('Staging Table'!BH69*Rates_previous!$H$34), 0),SUMPRODUCT('Staging Table'!BZ69:CW69,LS_Demand_Rates_Restatement!$C$4:$Z$4)-IF(Init!$R$15="No", 'Staging Table'!DV69*Rates_previous!$H$34, 0))</f>
        <v>51005.029212781497</v>
      </c>
      <c r="G67" s="251">
        <f>IF(Init!$R$9="Yes",SUMPRODUCT('Staging Table'!AJ69:AU69,LS_Demand_Rates_Restatement!$C$10:$N$10),SUMPRODUCT(LS_Demand_Rates_Restatement!$C$10:$N$10,'Staging Table'!CX69:DI69))*1000</f>
        <v>88425.33</v>
      </c>
      <c r="H67" s="252">
        <f>IF(Init!$R$9="Yes",'Staging Table'!BR69,'Staging Table'!EF69)*IF(Init!$R$3=2018,Rates_previous!$C$88,Rates_previous!$D$88)</f>
        <v>0</v>
      </c>
      <c r="I67" s="250">
        <f>IF(Init!$R$9="Yes",IF('Staging Table'!$F$1=2018,(SUM('Staging Table'!BD69:BG69)*Rates_previous!$C$87),(SUM('Staging Table'!BD69:BG69)*Rates_previous!$D$87)),IF('Staging Table'!$F$1=2018,(SUM('Staging Table'!DR69:DU69)*Rates_previous!$C$87),(SUM('Staging Table'!DR69:DU69)*Rates_previous!$D$87)))</f>
        <v>10296.139838941084</v>
      </c>
      <c r="J67" s="252">
        <f>IF(Init!$R$9="Yes",IF('Staging Table'!D69=1,'Staging Table'!H69*-1*'Staging Table'!BT69/'Staging Table'!BS69,'Staging Table'!H69*SUM(D67:I67)*(-1)),IF('Staging Table'!D69=1,'Staging Table'!BV69*-1*'Staging Table'!BT69/'Staging Table'!BS69,'Staging Table'!BV69*SUM(D67:I67)*(-1)))</f>
        <v>0</v>
      </c>
      <c r="K67" s="250">
        <f>IF(Init!$R$9="Yes",'Staging Table'!K69,'Staging Table'!BY69)*(-1)*Rates_previous!$H$32</f>
        <v>0</v>
      </c>
      <c r="L67" s="250">
        <f>IF(Init!$R$12="No",0,'Staging Table'!$BI69*-1)*('Staging Table'!$F69/'Staging Table'!$E69)</f>
        <v>-1376110.9197385786</v>
      </c>
      <c r="M67" s="250">
        <f>IF('Staging Table'!C69=1,"",SUM(D67:L67))</f>
        <v>383219.37751314417</v>
      </c>
      <c r="N67" s="250">
        <f>IF('Staging Table'!C69=1,"",IF(Init!$R$9="Yes",(RT1SC!$C$3*'Staging Table'!F69*'Staging Table'!$F$2)+SUM('Staging Table'!L69:AI69)-IF(Init!$R$15="No",'Staging Table'!BH69, 0),Z67))</f>
        <v>44746.079999999994</v>
      </c>
      <c r="O67" s="126">
        <f>IF('Staging Table'!C69=1,"",IF(N67=0, 0, M67/N67))</f>
        <v>8.5643117232424437</v>
      </c>
      <c r="P67" s="250">
        <f>'Staging Table'!BT69*Rates_current!$E$74*100*12</f>
        <v>1747085.41236</v>
      </c>
      <c r="Q67" s="250">
        <f>'Staging Table'!BT69*Rates_current!$E$75*100*12</f>
        <v>-176745.97380000004</v>
      </c>
      <c r="R67" s="251">
        <f>SUMPRODUCT('Staging Table'!BZ69:CW69, LS_Demand_Rates_Restatement!$C$5:$Z$5)-IF(Init!$R$15="No",('Staging Table'!DV69*Rates_current!$H$34), 0)</f>
        <v>55657.738243387379</v>
      </c>
      <c r="S67" s="251">
        <f>SUMPRODUCT('Staging Table'!CX69:DI69, LS_Demand_Rates_Restatement!$C$11:$N$11)*1000</f>
        <v>95526.97</v>
      </c>
      <c r="T67" s="252">
        <f>'Staging Table'!EF69*IF(Init!$R$18="Yes",IF(Init!$R$6=2020,Rates_current!$C$88,Rates_current!$D$88),Rates_current!$H$33)</f>
        <v>0</v>
      </c>
      <c r="U67" s="252">
        <f>IF(Init!$R$18="Yes",(SUM('Staging Table'!DL69:DU69)*IF('Staging Table'!$BT$1=2020, Rates_current!$C$87, Rates_current!$D$87)),0)</f>
        <v>30498.309652558171</v>
      </c>
      <c r="V67" s="252">
        <f>IF('Staging Table'!D69=1, 'Staging Table'!BV69*-1*'Staging Table'!BT69/'Staging Table'!BS69,SUM(P67:U67)*'Staging Table'!BV69*-1)</f>
        <v>0</v>
      </c>
      <c r="W67" s="250">
        <f>'Staging Table'!BY69*Rates_current!$H$32*-1</f>
        <v>0</v>
      </c>
      <c r="X67" s="250">
        <f>IF(Init!$R$12="No",0,'Staging Table'!$DW69*-1)</f>
        <v>0</v>
      </c>
      <c r="Y67" s="250">
        <f>IF('Staging Table'!C69=1,"", SUM(P67:X67))</f>
        <v>1752022.4564559453</v>
      </c>
      <c r="Z67" s="250">
        <f>IF('Staging Table'!C69=1,"", (RT1SC!$C$4*'Staging Table'!BT69*'Staging Table'!$BT$2)+SUM('Staging Table'!BZ69:CW69)-IF(Init!$R$15="No",'Staging Table'!DV69, 0))</f>
        <v>45360.576000000001</v>
      </c>
      <c r="AA67" s="126">
        <f>IF('Staging Table'!C69=1,"",IF(Z67=0, 0, Y67/Z67))</f>
        <v>38.624343228268202</v>
      </c>
      <c r="AB67" s="118"/>
      <c r="AC67" s="79" t="str">
        <f t="shared" si="0"/>
        <v/>
      </c>
      <c r="AF67" s="255"/>
      <c r="AG67" s="255"/>
      <c r="AI67" s="255"/>
      <c r="AJ67" s="255"/>
    </row>
    <row r="68" spans="2:36">
      <c r="B68" s="166">
        <v>10191</v>
      </c>
      <c r="C68" s="167" t="s">
        <v>71</v>
      </c>
      <c r="D68" s="250">
        <f>IF(Init!$R$9="Yes",'Staging Table'!F70,'Staging Table'!BT70)*Rates_previous!$E$75*100*12</f>
        <v>22682734.136640001</v>
      </c>
      <c r="E68" s="250">
        <f>IF(Init!$R$9="Yes",'Staging Table'!F70,'Staging Table'!BT70)*Rates_previous!$E$76*100*12</f>
        <v>-3198759.1866000001</v>
      </c>
      <c r="F68" s="251">
        <f>IF(Init!$R$9="Yes",SUMPRODUCT('Staging Table'!L70:AI70,LS_Demand_Rates_Restatement!$C$4:$Z$4)-IF(Init!$R$15="No",('Staging Table'!BH70*Rates_previous!$H$34), 0),SUMPRODUCT('Staging Table'!BZ70:CW70,LS_Demand_Rates_Restatement!$C$4:$Z$4)-IF(Init!$R$15="No", 'Staging Table'!DV70*Rates_previous!$H$34, 0))</f>
        <v>131622.19999999984</v>
      </c>
      <c r="G68" s="251">
        <f>IF(Init!$R$9="Yes",SUMPRODUCT('Staging Table'!AJ70:AU70,LS_Demand_Rates_Restatement!$C$10:$N$10),SUMPRODUCT(LS_Demand_Rates_Restatement!$C$10:$N$10,'Staging Table'!CX70:DI70))*1000</f>
        <v>0</v>
      </c>
      <c r="H68" s="252">
        <f>IF(Init!$R$9="Yes",'Staging Table'!BR70,'Staging Table'!EF70)*IF(Init!$R$3=2018,Rates_previous!$C$88,Rates_previous!$D$88)</f>
        <v>0</v>
      </c>
      <c r="I68" s="250">
        <f>IF(Init!$R$9="Yes",IF('Staging Table'!$F$1=2018,(SUM('Staging Table'!BD70:BG70)*Rates_previous!$C$87),(SUM('Staging Table'!BD70:BG70)*Rates_previous!$D$87)),IF('Staging Table'!$F$1=2018,(SUM('Staging Table'!DR70:DU70)*Rates_previous!$C$87),(SUM('Staging Table'!DR70:DU70)*Rates_previous!$D$87)))</f>
        <v>124632.98789949203</v>
      </c>
      <c r="J68" s="252">
        <f>IF(Init!$R$9="Yes",IF('Staging Table'!D70=1,'Staging Table'!H70*-1*'Staging Table'!BT70/'Staging Table'!BS70,'Staging Table'!H70*SUM(D68:I68)*(-1)),IF('Staging Table'!D70=1,'Staging Table'!BV70*-1*'Staging Table'!BT70/'Staging Table'!BS70,'Staging Table'!BV70*SUM(D68:I68)*(-1)))</f>
        <v>0</v>
      </c>
      <c r="K68" s="250">
        <f>IF(Init!$R$9="Yes",'Staging Table'!K70,'Staging Table'!BY70)*(-1)*Rates_previous!$H$32</f>
        <v>0</v>
      </c>
      <c r="L68" s="250">
        <f>IF(Init!$R$12="No",0,'Staging Table'!$BI70*-1)*('Staging Table'!$F70/'Staging Table'!$E70)</f>
        <v>-702771.59424736782</v>
      </c>
      <c r="M68" s="250">
        <f>IF('Staging Table'!C70=1,"",SUM(D68:L68))</f>
        <v>19037458.543692127</v>
      </c>
      <c r="N68" s="250">
        <f>IF('Staging Table'!C70=1,"",IF(Init!$R$9="Yes",(RT1SC!$C$3*'Staging Table'!F70*'Staging Table'!$F$2)+SUM('Staging Table'!L70:AI70)-IF(Init!$R$15="No",'Staging Table'!BH70, 0),Z68))</f>
        <v>541514.06778197607</v>
      </c>
      <c r="O68" s="126">
        <f>IF('Staging Table'!C70=1,"",IF(N68=0, 0, M68/N68))</f>
        <v>35.155981490322006</v>
      </c>
      <c r="P68" s="250">
        <f>'Staging Table'!BT70*Rates_current!$E$74*100*12</f>
        <v>20729259.919199999</v>
      </c>
      <c r="Q68" s="250">
        <f>'Staging Table'!BT70*Rates_current!$E$75*100*12</f>
        <v>-2097100.236</v>
      </c>
      <c r="R68" s="251">
        <f>SUMPRODUCT('Staging Table'!BZ70:CW70, LS_Demand_Rates_Restatement!$C$5:$Z$5)-IF(Init!$R$15="No",('Staging Table'!DV70*Rates_current!$H$34), 0)</f>
        <v>104323.71999999983</v>
      </c>
      <c r="S68" s="251">
        <f>SUMPRODUCT('Staging Table'!CX70:DI70, LS_Demand_Rates_Restatement!$C$11:$N$11)*1000</f>
        <v>0</v>
      </c>
      <c r="T68" s="252">
        <f>'Staging Table'!EF70*IF(Init!$R$18="Yes",IF(Init!$R$6=2020,Rates_current!$C$88,Rates_current!$D$88),Rates_current!$H$33)</f>
        <v>0</v>
      </c>
      <c r="U68" s="252">
        <f>IF(Init!$R$18="Yes",(SUM('Staging Table'!DL70:DU70)*IF('Staging Table'!$BT$1=2020, Rates_current!$C$87, Rates_current!$D$87)),0)</f>
        <v>361864.04134078679</v>
      </c>
      <c r="V68" s="252">
        <f>IF('Staging Table'!D70=1, 'Staging Table'!BV70*-1*'Staging Table'!BT70/'Staging Table'!BS70,SUM(P68:U68)*'Staging Table'!BV70*-1)</f>
        <v>0</v>
      </c>
      <c r="W68" s="250">
        <f>'Staging Table'!BY70*Rates_current!$H$32*-1</f>
        <v>0</v>
      </c>
      <c r="X68" s="250">
        <f>IF(Init!$R$12="No",0,'Staging Table'!$DW70*-1)</f>
        <v>0</v>
      </c>
      <c r="Y68" s="250">
        <f>IF('Staging Table'!C70=1,"", SUM(P68:X68))</f>
        <v>19098347.444540784</v>
      </c>
      <c r="Z68" s="250">
        <f>IF('Staging Table'!C70=1,"", (RT1SC!$C$4*'Staging Table'!BT70*'Staging Table'!$BT$2)+SUM('Staging Table'!BZ70:CW70)-IF(Init!$R$15="No",'Staging Table'!DV70, 0))</f>
        <v>535660.29954457597</v>
      </c>
      <c r="AA68" s="126">
        <f>IF('Staging Table'!C70=1,"",IF(Z68=0, 0, Y68/Z68))</f>
        <v>35.653841549912137</v>
      </c>
      <c r="AB68" s="118">
        <f ca="1">IF('Staging Table'!C70=1,"",(AA68/O68-1)+(RAND()/100000000000000))</f>
        <v>1.4161460965822119E-2</v>
      </c>
      <c r="AC68" s="79">
        <f t="shared" ref="AC68:AC131" ca="1" si="1">IF(AB68="","",RANK(AB68,$AB$4:$AB$138))</f>
        <v>77</v>
      </c>
      <c r="AF68" s="255"/>
      <c r="AG68" s="255"/>
      <c r="AI68" s="255"/>
      <c r="AJ68" s="255"/>
    </row>
    <row r="69" spans="2:36">
      <c r="B69" s="166">
        <v>10197</v>
      </c>
      <c r="C69" s="167" t="s">
        <v>72</v>
      </c>
      <c r="D69" s="250">
        <f>IF(Init!$R$9="Yes",'Staging Table'!F71,'Staging Table'!BT71)*Rates_previous!$E$75*100*12</f>
        <v>8212621.8383999988</v>
      </c>
      <c r="E69" s="250">
        <f>IF(Init!$R$9="Yes",'Staging Table'!F71,'Staging Table'!BT71)*Rates_previous!$E$76*100*12</f>
        <v>-1158158.4209999999</v>
      </c>
      <c r="F69" s="251">
        <f>IF(Init!$R$9="Yes",SUMPRODUCT('Staging Table'!L71:AI71,LS_Demand_Rates_Restatement!$C$4:$Z$4)-IF(Init!$R$15="No",('Staging Table'!BH71*Rates_previous!$H$34), 0),SUMPRODUCT('Staging Table'!BZ71:CW71,LS_Demand_Rates_Restatement!$C$4:$Z$4)-IF(Init!$R$15="No", 'Staging Table'!DV71*Rates_previous!$H$34, 0))</f>
        <v>-411983.63921848871</v>
      </c>
      <c r="G69" s="251">
        <f>IF(Init!$R$9="Yes",SUMPRODUCT('Staging Table'!AJ71:AU71,LS_Demand_Rates_Restatement!$C$10:$N$10),SUMPRODUCT(LS_Demand_Rates_Restatement!$C$10:$N$10,'Staging Table'!CX71:DI71))*1000</f>
        <v>436122.12000000005</v>
      </c>
      <c r="H69" s="252">
        <f>IF(Init!$R$9="Yes",'Staging Table'!BR71,'Staging Table'!EF71)*IF(Init!$R$3=2018,Rates_previous!$C$88,Rates_previous!$D$88)</f>
        <v>0</v>
      </c>
      <c r="I69" s="250">
        <f>IF(Init!$R$9="Yes",IF('Staging Table'!$F$1=2018,(SUM('Staging Table'!BD71:BG71)*Rates_previous!$C$87),(SUM('Staging Table'!BD71:BG71)*Rates_previous!$D$87)),IF('Staging Table'!$F$1=2018,(SUM('Staging Table'!DR71:DU71)*Rates_previous!$C$87),(SUM('Staging Table'!DR71:DU71)*Rates_previous!$D$87)))</f>
        <v>45125.230143883869</v>
      </c>
      <c r="J69" s="252">
        <f>IF(Init!$R$9="Yes",IF('Staging Table'!D71=1,'Staging Table'!H71*-1*'Staging Table'!BT71/'Staging Table'!BS71,'Staging Table'!H71*SUM(D69:I69)*(-1)),IF('Staging Table'!D71=1,'Staging Table'!BV71*-1*'Staging Table'!BT71/'Staging Table'!BS71,'Staging Table'!BV71*SUM(D69:I69)*(-1)))</f>
        <v>-512069.89055642445</v>
      </c>
      <c r="K69" s="250">
        <f>IF(Init!$R$9="Yes",'Staging Table'!K71,'Staging Table'!BY71)*(-1)*Rates_previous!$H$32</f>
        <v>-1174814.6507999997</v>
      </c>
      <c r="L69" s="250">
        <f>IF(Init!$R$12="No",0,'Staging Table'!$BI71*-1)*('Staging Table'!$F71/'Staging Table'!$E71)</f>
        <v>-219249.61152246164</v>
      </c>
      <c r="M69" s="250">
        <f>IF('Staging Table'!C71=1,"",SUM(D69:L69))</f>
        <v>5217592.9754465083</v>
      </c>
      <c r="N69" s="250">
        <f>IF('Staging Table'!C71=1,"",IF(Init!$R$9="Yes",(RT1SC!$C$3*'Staging Table'!F71*'Staging Table'!$F$2)+SUM('Staging Table'!L71:AI71)-IF(Init!$R$15="No",'Staging Table'!BH71, 0),Z69))</f>
        <v>196110.12</v>
      </c>
      <c r="O69" s="126">
        <f>IF('Staging Table'!C71=1,"",IF(N69=0, 0, M69/N69))</f>
        <v>26.605424418926003</v>
      </c>
      <c r="P69" s="250">
        <f>'Staging Table'!BT71*Rates_current!$E$74*100*12</f>
        <v>7657372.4528400004</v>
      </c>
      <c r="Q69" s="250">
        <f>'Staging Table'!BT71*Rates_current!$E$75*100*12</f>
        <v>-774667.19219999993</v>
      </c>
      <c r="R69" s="251">
        <f>SUMPRODUCT('Staging Table'!BZ71:CW71, LS_Demand_Rates_Restatement!$C$5:$Z$5)-IF(Init!$R$15="No",('Staging Table'!DV71*Rates_current!$H$34), 0)</f>
        <v>-461710.54045746988</v>
      </c>
      <c r="S69" s="251">
        <f>SUMPRODUCT('Staging Table'!CX71:DI71, LS_Demand_Rates_Restatement!$C$11:$N$11)*1000</f>
        <v>470433.50000000012</v>
      </c>
      <c r="T69" s="252">
        <f>'Staging Table'!EF71*IF(Init!$R$18="Yes",IF(Init!$R$6=2020,Rates_current!$C$88,Rates_current!$D$88),Rates_current!$H$33)</f>
        <v>0</v>
      </c>
      <c r="U69" s="252">
        <f>IF(Init!$R$18="Yes",(SUM('Staging Table'!DL71:DU71)*IF('Staging Table'!$BT$1=2020, Rates_current!$C$87, Rates_current!$D$87)),0)</f>
        <v>133672.29474843855</v>
      </c>
      <c r="V69" s="252">
        <f>IF('Staging Table'!D71=1, 'Staging Table'!BV71*-1*'Staging Table'!BT71/'Staging Table'!BS71,SUM(P69:U69)*'Staging Table'!BV71*-1)</f>
        <v>-546447.44355390547</v>
      </c>
      <c r="W69" s="250">
        <f>'Staging Table'!BY71*Rates_current!$H$32*-1</f>
        <v>-1109880.1675499999</v>
      </c>
      <c r="X69" s="250">
        <f>IF(Init!$R$12="No",0,'Staging Table'!$DW71*-1)</f>
        <v>0</v>
      </c>
      <c r="Y69" s="250">
        <f>IF('Staging Table'!C71=1,"", SUM(P69:X69))</f>
        <v>5368772.9038270637</v>
      </c>
      <c r="Z69" s="250">
        <f>IF('Staging Table'!C71=1,"", (RT1SC!$C$4*'Staging Table'!BT71*'Staging Table'!$BT$2)+SUM('Staging Table'!BZ71:CW71)-IF(Init!$R$15="No",'Staging Table'!DV71, 0))</f>
        <v>198799.48800000001</v>
      </c>
      <c r="AA69" s="126">
        <f>IF('Staging Table'!C71=1,"",IF(Z69=0, 0, Y69/Z69))</f>
        <v>27.005969471244633</v>
      </c>
      <c r="AB69" s="118">
        <f ca="1">IF('Staging Table'!C71=1,"",(AA69/O69-1)+(RAND()/100000000000000))</f>
        <v>1.5055014571912103E-2</v>
      </c>
      <c r="AC69" s="79">
        <f t="shared" ca="1" si="1"/>
        <v>75</v>
      </c>
      <c r="AF69" s="255"/>
      <c r="AG69" s="255"/>
      <c r="AI69" s="255"/>
      <c r="AJ69" s="255"/>
    </row>
    <row r="70" spans="2:36">
      <c r="B70" s="166">
        <v>10202</v>
      </c>
      <c r="C70" s="167" t="s">
        <v>73</v>
      </c>
      <c r="D70" s="250">
        <f>IF(Init!$R$9="Yes",'Staging Table'!F72,'Staging Table'!BT72)*Rates_previous!$E$75*100*12</f>
        <v>4728085.4995200001</v>
      </c>
      <c r="E70" s="250">
        <f>IF(Init!$R$9="Yes",'Staging Table'!F72,'Staging Table'!BT72)*Rates_previous!$E$76*100*12</f>
        <v>-666762.95880000002</v>
      </c>
      <c r="F70" s="251">
        <f>IF(Init!$R$9="Yes",SUMPRODUCT('Staging Table'!L72:AI72,LS_Demand_Rates_Restatement!$C$4:$Z$4)-IF(Init!$R$15="No",('Staging Table'!BH72*Rates_previous!$H$34), 0),SUMPRODUCT('Staging Table'!BZ72:CW72,LS_Demand_Rates_Restatement!$C$4:$Z$4)-IF(Init!$R$15="No", 'Staging Table'!DV72*Rates_previous!$H$34, 0))</f>
        <v>112670.30000000003</v>
      </c>
      <c r="G70" s="251">
        <f>IF(Init!$R$9="Yes",SUMPRODUCT('Staging Table'!AJ72:AU72,LS_Demand_Rates_Restatement!$C$10:$N$10),SUMPRODUCT(LS_Demand_Rates_Restatement!$C$10:$N$10,'Staging Table'!CX72:DI72))*1000</f>
        <v>273645.28000000003</v>
      </c>
      <c r="H70" s="252">
        <f>IF(Init!$R$9="Yes",'Staging Table'!BR72,'Staging Table'!EF72)*IF(Init!$R$3=2018,Rates_previous!$C$88,Rates_previous!$D$88)</f>
        <v>0</v>
      </c>
      <c r="I70" s="250">
        <f>IF(Init!$R$9="Yes",IF('Staging Table'!$F$1=2018,(SUM('Staging Table'!BD72:BG72)*Rates_previous!$C$87),(SUM('Staging Table'!BD72:BG72)*Rates_previous!$D$87)),IF('Staging Table'!$F$1=2018,(SUM('Staging Table'!DR72:DU72)*Rates_previous!$C$87),(SUM('Staging Table'!DR72:DU72)*Rates_previous!$D$87)))</f>
        <v>25979.029657521231</v>
      </c>
      <c r="J70" s="252">
        <f>IF(Init!$R$9="Yes",IF('Staging Table'!D72=1,'Staging Table'!H72*-1*'Staging Table'!BT72/'Staging Table'!BS72,'Staging Table'!H72*SUM(D70:I70)*(-1)),IF('Staging Table'!D72=1,'Staging Table'!BV72*-1*'Staging Table'!BT72/'Staging Table'!BS72,'Staging Table'!BV72*SUM(D70:I70)*(-1)))</f>
        <v>0</v>
      </c>
      <c r="K70" s="250">
        <f>IF(Init!$R$9="Yes",'Staging Table'!K72,'Staging Table'!BY72)*(-1)*Rates_previous!$H$32</f>
        <v>0</v>
      </c>
      <c r="L70" s="250">
        <f>IF(Init!$R$12="No",0,'Staging Table'!$BI72*-1)*('Staging Table'!$F72/'Staging Table'!$E72)</f>
        <v>-163397.78896729407</v>
      </c>
      <c r="M70" s="250">
        <f>IF('Staging Table'!C72=1,"",SUM(D70:L70))</f>
        <v>4310219.3614102276</v>
      </c>
      <c r="N70" s="250">
        <f>IF('Staging Table'!C72=1,"",IF(Init!$R$9="Yes",(RT1SC!$C$3*'Staging Table'!F72*'Staging Table'!$F$2)+SUM('Staging Table'!L72:AI72)-IF(Init!$R$15="No",'Staging Table'!BH72, 0),Z70))</f>
        <v>112779.02801156799</v>
      </c>
      <c r="O70" s="126">
        <f>IF('Staging Table'!C72=1,"",IF(N70=0, 0, M70/N70))</f>
        <v>38.218270164273086</v>
      </c>
      <c r="P70" s="250">
        <f>'Staging Table'!BT72*Rates_current!$E$74*100*12</f>
        <v>4408235.6452799998</v>
      </c>
      <c r="Q70" s="250">
        <f>'Staging Table'!BT72*Rates_current!$E$75*100*12</f>
        <v>-445964.40240000002</v>
      </c>
      <c r="R70" s="251">
        <f>SUMPRODUCT('Staging Table'!BZ72:CW72, LS_Demand_Rates_Restatement!$C$5:$Z$5)-IF(Init!$R$15="No",('Staging Table'!DV72*Rates_current!$H$34), 0)</f>
        <v>62910.269999999968</v>
      </c>
      <c r="S70" s="251">
        <f>SUMPRODUCT('Staging Table'!CX72:DI72, LS_Demand_Rates_Restatement!$C$11:$N$11)*1000</f>
        <v>306590.91999999993</v>
      </c>
      <c r="T70" s="252">
        <f>'Staging Table'!EF72*IF(Init!$R$18="Yes",IF(Init!$R$6=2020,Rates_current!$C$88,Rates_current!$D$88),Rates_current!$H$33)</f>
        <v>0</v>
      </c>
      <c r="U70" s="252">
        <f>IF(Init!$R$18="Yes",(SUM('Staging Table'!DL72:DU72)*IF('Staging Table'!$BT$1=2020, Rates_current!$C$87, Rates_current!$D$87)),0)</f>
        <v>76953.155684348923</v>
      </c>
      <c r="V70" s="252">
        <f>IF('Staging Table'!D72=1, 'Staging Table'!BV72*-1*'Staging Table'!BT72/'Staging Table'!BS72,SUM(P70:U70)*'Staging Table'!BV72*-1)</f>
        <v>0</v>
      </c>
      <c r="W70" s="250">
        <f>'Staging Table'!BY72*Rates_current!$H$32*-1</f>
        <v>0</v>
      </c>
      <c r="X70" s="250">
        <f>IF(Init!$R$12="No",0,'Staging Table'!$DW72*-1)</f>
        <v>0</v>
      </c>
      <c r="Y70" s="250">
        <f>IF('Staging Table'!C72=1,"", SUM(P70:X70))</f>
        <v>4408725.5885643484</v>
      </c>
      <c r="Z70" s="250">
        <f>IF('Staging Table'!C72=1,"", (RT1SC!$C$4*'Staging Table'!BT72*'Staging Table'!$BT$2)+SUM('Staging Table'!BZ72:CW72)-IF(Init!$R$15="No",'Staging Table'!DV72, 0))</f>
        <v>110734.30570915841</v>
      </c>
      <c r="AA70" s="126">
        <f>IF('Staging Table'!C72=1,"",IF(Z70=0, 0, Y70/Z70))</f>
        <v>39.813547936479452</v>
      </c>
      <c r="AB70" s="118">
        <f ca="1">IF('Staging Table'!C72=1,"",(AA70/O70-1)+(RAND()/100000000000000))</f>
        <v>4.1741234371665846E-2</v>
      </c>
      <c r="AC70" s="79">
        <f t="shared" ca="1" si="1"/>
        <v>5</v>
      </c>
      <c r="AF70" s="255"/>
      <c r="AG70" s="255"/>
      <c r="AI70" s="255"/>
      <c r="AJ70" s="255"/>
    </row>
    <row r="71" spans="2:36">
      <c r="B71" s="166">
        <v>10203</v>
      </c>
      <c r="C71" s="167" t="s">
        <v>74</v>
      </c>
      <c r="D71" s="250">
        <f>IF(Init!$R$9="Yes",'Staging Table'!F73,'Staging Table'!BT73)*Rates_previous!$E$75*100*12</f>
        <v>2243025.3657600004</v>
      </c>
      <c r="E71" s="250">
        <f>IF(Init!$R$9="Yes",'Staging Table'!F73,'Staging Table'!BT73)*Rates_previous!$E$76*100*12</f>
        <v>-316315.39439999999</v>
      </c>
      <c r="F71" s="251">
        <f>IF(Init!$R$9="Yes",SUMPRODUCT('Staging Table'!L73:AI73,LS_Demand_Rates_Restatement!$C$4:$Z$4)-IF(Init!$R$15="No",('Staging Table'!BH73*Rates_previous!$H$34), 0),SUMPRODUCT('Staging Table'!BZ73:CW73,LS_Demand_Rates_Restatement!$C$4:$Z$4)-IF(Init!$R$15="No", 'Staging Table'!DV73*Rates_previous!$H$34, 0))</f>
        <v>41725.590012471592</v>
      </c>
      <c r="G71" s="251">
        <f>IF(Init!$R$9="Yes",SUMPRODUCT('Staging Table'!AJ73:AU73,LS_Demand_Rates_Restatement!$C$10:$N$10),SUMPRODUCT(LS_Demand_Rates_Restatement!$C$10:$N$10,'Staging Table'!CX73:DI73))*1000</f>
        <v>135623.38000000003</v>
      </c>
      <c r="H71" s="252">
        <f>IF(Init!$R$9="Yes",'Staging Table'!BR73,'Staging Table'!EF73)*IF(Init!$R$3=2018,Rates_previous!$C$88,Rates_previous!$D$88)</f>
        <v>0</v>
      </c>
      <c r="I71" s="250">
        <f>IF(Init!$R$9="Yes",IF('Staging Table'!$F$1=2018,(SUM('Staging Table'!BD73:BG73)*Rates_previous!$C$87),(SUM('Staging Table'!BD73:BG73)*Rates_previous!$D$87)),IF('Staging Table'!$F$1=2018,(SUM('Staging Table'!DR73:DU73)*Rates_previous!$C$87),(SUM('Staging Table'!DR73:DU73)*Rates_previous!$D$87)))</f>
        <v>12324.570379610785</v>
      </c>
      <c r="J71" s="252">
        <f>IF(Init!$R$9="Yes",IF('Staging Table'!D73=1,'Staging Table'!H73*-1*'Staging Table'!BT73/'Staging Table'!BS73,'Staging Table'!H73*SUM(D71:I71)*(-1)),IF('Staging Table'!D73=1,'Staging Table'!BV73*-1*'Staging Table'!BT73/'Staging Table'!BS73,'Staging Table'!BV73*SUM(D71:I71)*(-1)))</f>
        <v>-154543.8266252676</v>
      </c>
      <c r="K71" s="250">
        <f>IF(Init!$R$9="Yes",'Staging Table'!K73,'Staging Table'!BY73)*(-1)*Rates_previous!$H$32</f>
        <v>0</v>
      </c>
      <c r="L71" s="250">
        <f>IF(Init!$R$12="No",0,'Staging Table'!$BI73*-1)*('Staging Table'!$F73/'Staging Table'!$E73)</f>
        <v>-73932.85602435912</v>
      </c>
      <c r="M71" s="250">
        <f>IF('Staging Table'!C73=1,"",SUM(D71:L71))</f>
        <v>1887906.8291024559</v>
      </c>
      <c r="N71" s="250">
        <f>IF('Staging Table'!C73=1,"",IF(Init!$R$9="Yes",(RT1SC!$C$3*'Staging Table'!F73*'Staging Table'!$F$2)+SUM('Staging Table'!L73:AI73)-IF(Init!$R$15="No",'Staging Table'!BH73, 0),Z71))</f>
        <v>53558.64</v>
      </c>
      <c r="O71" s="126">
        <f>IF('Staging Table'!C73=1,"",IF(N71=0, 0, M71/N71))</f>
        <v>35.249342199549055</v>
      </c>
      <c r="P71" s="250">
        <f>'Staging Table'!BT73*Rates_current!$E$74*100*12</f>
        <v>2090988.63528</v>
      </c>
      <c r="Q71" s="250">
        <f>'Staging Table'!BT73*Rates_current!$E$75*100*12</f>
        <v>-211537.35240000003</v>
      </c>
      <c r="R71" s="251">
        <f>SUMPRODUCT('Staging Table'!BZ73:CW73, LS_Demand_Rates_Restatement!$C$5:$Z$5)-IF(Init!$R$15="No",('Staging Table'!DV73*Rates_current!$H$34), 0)</f>
        <v>45991.934073737197</v>
      </c>
      <c r="S71" s="251">
        <f>SUMPRODUCT('Staging Table'!CX73:DI73, LS_Demand_Rates_Restatement!$C$11:$N$11)*1000</f>
        <v>148897.03</v>
      </c>
      <c r="T71" s="252">
        <f>'Staging Table'!EF73*IF(Init!$R$18="Yes",IF(Init!$R$6=2020,Rates_current!$C$88,Rates_current!$D$88),Rates_current!$H$33)</f>
        <v>0</v>
      </c>
      <c r="U71" s="252">
        <f>IF(Init!$R$18="Yes",(SUM('Staging Table'!DL73:DU73)*IF('Staging Table'!$BT$1=2020, Rates_current!$C$87, Rates_current!$D$87)),0)</f>
        <v>36501.717905483172</v>
      </c>
      <c r="V71" s="252">
        <f>IF('Staging Table'!D73=1, 'Staging Table'!BV73*-1*'Staging Table'!BT73/'Staging Table'!BS73,SUM(P71:U71)*'Staging Table'!BV73*-1)</f>
        <v>-153066.8607449804</v>
      </c>
      <c r="W71" s="250">
        <f>'Staging Table'!BY73*Rates_current!$H$32*-1</f>
        <v>0</v>
      </c>
      <c r="X71" s="250">
        <f>IF(Init!$R$12="No",0,'Staging Table'!$DW73*-1)</f>
        <v>0</v>
      </c>
      <c r="Y71" s="250">
        <f>IF('Staging Table'!C73=1,"", SUM(P71:X71))</f>
        <v>1957775.1041142398</v>
      </c>
      <c r="Z71" s="250">
        <f>IF('Staging Table'!C73=1,"", (RT1SC!$C$4*'Staging Table'!BT73*'Staging Table'!$BT$2)+SUM('Staging Table'!BZ73:CW73)-IF(Init!$R$15="No",'Staging Table'!DV73, 0))</f>
        <v>54285.119999999995</v>
      </c>
      <c r="AA71" s="126">
        <f>IF('Staging Table'!C73=1,"",IF(Z71=0, 0, Y71/Z71))</f>
        <v>36.064673046946197</v>
      </c>
      <c r="AB71" s="118">
        <f ca="1">IF('Staging Table'!C73=1,"",(AA71/O71-1)+(RAND()/100000000000000))</f>
        <v>2.3130384753898899E-2</v>
      </c>
      <c r="AC71" s="79">
        <f t="shared" ca="1" si="1"/>
        <v>43</v>
      </c>
      <c r="AF71" s="255"/>
      <c r="AG71" s="255"/>
      <c r="AI71" s="255"/>
      <c r="AJ71" s="255"/>
    </row>
    <row r="72" spans="2:36">
      <c r="B72" s="166">
        <v>10204</v>
      </c>
      <c r="C72" s="167" t="s">
        <v>75</v>
      </c>
      <c r="D72" s="250">
        <f>IF(Init!$R$9="Yes",'Staging Table'!F74,'Staging Table'!BT74)*Rates_previous!$E$75*100*12</f>
        <v>9067386.7295999993</v>
      </c>
      <c r="E72" s="250">
        <f>IF(Init!$R$9="Yes",'Staging Table'!F74,'Staging Table'!BT74)*Rates_previous!$E$76*100*12</f>
        <v>-1278698.8740000001</v>
      </c>
      <c r="F72" s="251">
        <f>IF(Init!$R$9="Yes",SUMPRODUCT('Staging Table'!L74:AI74,LS_Demand_Rates_Restatement!$C$4:$Z$4)-IF(Init!$R$15="No",('Staging Table'!BH74*Rates_previous!$H$34), 0),SUMPRODUCT('Staging Table'!BZ74:CW74,LS_Demand_Rates_Restatement!$C$4:$Z$4)-IF(Init!$R$15="No", 'Staging Table'!DV74*Rates_previous!$H$34, 0))</f>
        <v>47668.725000000079</v>
      </c>
      <c r="G72" s="251">
        <f>IF(Init!$R$9="Yes",SUMPRODUCT('Staging Table'!AJ74:AU74,LS_Demand_Rates_Restatement!$C$10:$N$10),SUMPRODUCT(LS_Demand_Rates_Restatement!$C$10:$N$10,'Staging Table'!CX74:DI74))*1000</f>
        <v>0</v>
      </c>
      <c r="H72" s="252">
        <f>IF(Init!$R$9="Yes",'Staging Table'!BR74,'Staging Table'!EF74)*IF(Init!$R$3=2018,Rates_previous!$C$88,Rates_previous!$D$88)</f>
        <v>0</v>
      </c>
      <c r="I72" s="250">
        <f>IF(Init!$R$9="Yes",IF('Staging Table'!$F$1=2018,(SUM('Staging Table'!BD74:BG74)*Rates_previous!$C$87),(SUM('Staging Table'!BD74:BG74)*Rates_previous!$D$87)),IF('Staging Table'!$F$1=2018,(SUM('Staging Table'!DR74:DU74)*Rates_previous!$C$87),(SUM('Staging Table'!DR74:DU74)*Rates_previous!$D$87)))</f>
        <v>49821.83777945795</v>
      </c>
      <c r="J72" s="252">
        <f>IF(Init!$R$9="Yes",IF('Staging Table'!D74=1,'Staging Table'!H74*-1*'Staging Table'!BT74/'Staging Table'!BS74,'Staging Table'!H74*SUM(D72:I72)*(-1)),IF('Staging Table'!D74=1,'Staging Table'!BV74*-1*'Staging Table'!BT74/'Staging Table'!BS74,'Staging Table'!BV74*SUM(D72:I72)*(-1)))</f>
        <v>0</v>
      </c>
      <c r="K72" s="250">
        <f>IF(Init!$R$9="Yes",'Staging Table'!K74,'Staging Table'!BY74)*(-1)*Rates_previous!$H$32</f>
        <v>0</v>
      </c>
      <c r="L72" s="250">
        <f>IF(Init!$R$12="No",0,'Staging Table'!$BI74*-1)*('Staging Table'!$F74/'Staging Table'!$E74)</f>
        <v>-318708.75554771518</v>
      </c>
      <c r="M72" s="250">
        <f>IF('Staging Table'!C74=1,"",SUM(D72:L72))</f>
        <v>7567469.6628317414</v>
      </c>
      <c r="N72" s="250">
        <f>IF('Staging Table'!C74=1,"",IF(Init!$R$9="Yes",(RT1SC!$C$3*'Staging Table'!F74*'Staging Table'!$F$2)+SUM('Staging Table'!L74:AI74)-IF(Init!$R$15="No",'Staging Table'!BH74, 0),Z72))</f>
        <v>216774.35256664001</v>
      </c>
      <c r="O72" s="126">
        <f>IF('Staging Table'!C74=1,"",IF(N72=0, 0, M72/N72))</f>
        <v>34.909432657654349</v>
      </c>
      <c r="P72" s="250">
        <f>'Staging Table'!BT74*Rates_current!$E$74*100*12</f>
        <v>8163126.4669199996</v>
      </c>
      <c r="Q72" s="250">
        <f>'Staging Table'!BT74*Rates_current!$E$75*100*12</f>
        <v>-825832.39860000007</v>
      </c>
      <c r="R72" s="251">
        <f>SUMPRODUCT('Staging Table'!BZ74:CW74, LS_Demand_Rates_Restatement!$C$5:$Z$5)-IF(Init!$R$15="No",('Staging Table'!DV74*Rates_current!$H$34), 0)</f>
        <v>14810.07000000002</v>
      </c>
      <c r="S72" s="251">
        <f>SUMPRODUCT('Staging Table'!CX74:DI74, LS_Demand_Rates_Restatement!$C$11:$N$11)*1000</f>
        <v>0</v>
      </c>
      <c r="T72" s="252">
        <f>'Staging Table'!EF74*IF(Init!$R$18="Yes",IF(Init!$R$6=2020,Rates_current!$C$88,Rates_current!$D$88),Rates_current!$H$33)</f>
        <v>0</v>
      </c>
      <c r="U72" s="252">
        <f>IF(Init!$R$18="Yes",(SUM('Staging Table'!DL74:DU74)*IF('Staging Table'!$BT$1=2020, Rates_current!$C$87, Rates_current!$D$87)),0)</f>
        <v>142501.08034776431</v>
      </c>
      <c r="V72" s="252">
        <f>IF('Staging Table'!D74=1, 'Staging Table'!BV74*-1*'Staging Table'!BT74/'Staging Table'!BS74,SUM(P72:U72)*'Staging Table'!BV74*-1)</f>
        <v>0</v>
      </c>
      <c r="W72" s="250">
        <f>'Staging Table'!BY74*Rates_current!$H$32*-1</f>
        <v>0</v>
      </c>
      <c r="X72" s="250">
        <f>IF(Init!$R$12="No",0,'Staging Table'!$DW74*-1)</f>
        <v>0</v>
      </c>
      <c r="Y72" s="250">
        <f>IF('Staging Table'!C74=1,"", SUM(P72:X72))</f>
        <v>7494605.2186677642</v>
      </c>
      <c r="Z72" s="250">
        <f>IF('Staging Table'!C74=1,"", (RT1SC!$C$4*'Staging Table'!BT74*'Staging Table'!$BT$2)+SUM('Staging Table'!BZ74:CW74)-IF(Init!$R$15="No",'Staging Table'!DV74, 0))</f>
        <v>210510.37056245763</v>
      </c>
      <c r="AA72" s="126">
        <f>IF('Staging Table'!C74=1,"",IF(Z72=0, 0, Y72/Z72))</f>
        <v>35.602071283438946</v>
      </c>
      <c r="AB72" s="118">
        <f ca="1">IF('Staging Table'!C74=1,"",(AA72/O72-1)+(RAND()/100000000000000))</f>
        <v>1.984101639741194E-2</v>
      </c>
      <c r="AC72" s="79">
        <f t="shared" ca="1" si="1"/>
        <v>59</v>
      </c>
      <c r="AF72" s="255"/>
      <c r="AG72" s="255"/>
      <c r="AI72" s="255"/>
      <c r="AJ72" s="255"/>
    </row>
    <row r="73" spans="2:36">
      <c r="B73" s="166">
        <v>10209</v>
      </c>
      <c r="C73" s="167" t="s">
        <v>76</v>
      </c>
      <c r="D73" s="250">
        <f>IF(Init!$R$9="Yes",'Staging Table'!F75,'Staging Table'!BT75)*Rates_previous!$E$75*100*12</f>
        <v>37861880.918399997</v>
      </c>
      <c r="E73" s="250">
        <f>IF(Init!$R$9="Yes",'Staging Table'!F75,'Staging Table'!BT75)*Rates_previous!$E$76*100*12</f>
        <v>-5339349.2459999993</v>
      </c>
      <c r="F73" s="251">
        <f>IF(Init!$R$9="Yes",SUMPRODUCT('Staging Table'!L75:AI75,LS_Demand_Rates_Restatement!$C$4:$Z$4)-IF(Init!$R$15="No",('Staging Table'!BH75*Rates_previous!$H$34), 0),SUMPRODUCT('Staging Table'!BZ75:CW75,LS_Demand_Rates_Restatement!$C$4:$Z$4)-IF(Init!$R$15="No", 'Staging Table'!DV75*Rates_previous!$H$34, 0))</f>
        <v>375561.87376145093</v>
      </c>
      <c r="G73" s="251">
        <f>IF(Init!$R$9="Yes",SUMPRODUCT('Staging Table'!AJ75:AU75,LS_Demand_Rates_Restatement!$C$10:$N$10),SUMPRODUCT(LS_Demand_Rates_Restatement!$C$10:$N$10,'Staging Table'!CX75:DI75))*1000</f>
        <v>2778108.49</v>
      </c>
      <c r="H73" s="252">
        <f>IF(Init!$R$9="Yes",'Staging Table'!BR75,'Staging Table'!EF75)*IF(Init!$R$3=2018,Rates_previous!$C$88,Rates_previous!$D$88)</f>
        <v>0</v>
      </c>
      <c r="I73" s="250">
        <f>IF(Init!$R$9="Yes",IF('Staging Table'!$F$1=2018,(SUM('Staging Table'!BD75:BG75)*Rates_previous!$C$87),(SUM('Staging Table'!BD75:BG75)*Rates_previous!$D$87)),IF('Staging Table'!$F$1=2018,(SUM('Staging Table'!DR75:DU75)*Rates_previous!$C$87),(SUM('Staging Table'!DR75:DU75)*Rates_previous!$D$87)))</f>
        <v>208036.62018559276</v>
      </c>
      <c r="J73" s="252">
        <f>IF(Init!$R$9="Yes",IF('Staging Table'!D75=1,'Staging Table'!H75*-1*'Staging Table'!BT75/'Staging Table'!BS75,'Staging Table'!H75*SUM(D73:I73)*(-1)),IF('Staging Table'!D75=1,'Staging Table'!BV75*-1*'Staging Table'!BT75/'Staging Table'!BS75,'Staging Table'!BV75*SUM(D73:I73)*(-1)))</f>
        <v>-2643932.762080322</v>
      </c>
      <c r="K73" s="250">
        <f>IF(Init!$R$9="Yes",'Staging Table'!K75,'Staging Table'!BY75)*(-1)*Rates_previous!$H$32</f>
        <v>-706925.36375999998</v>
      </c>
      <c r="L73" s="250">
        <f>IF(Init!$R$12="No",0,'Staging Table'!$BI75*-1)*('Staging Table'!$F75/'Staging Table'!$E75)</f>
        <v>-589496.26286099397</v>
      </c>
      <c r="M73" s="250">
        <f>IF('Staging Table'!C75=1,"",SUM(D73:L73))</f>
        <v>31943884.267645728</v>
      </c>
      <c r="N73" s="250">
        <f>IF('Staging Table'!C75=1,"",IF(Init!$R$9="Yes",(RT1SC!$C$3*'Staging Table'!F75*'Staging Table'!$F$2)+SUM('Staging Table'!L75:AI75)-IF(Init!$R$15="No",'Staging Table'!BH75, 0),Z73))</f>
        <v>904093.32</v>
      </c>
      <c r="O73" s="126">
        <f>IF('Staging Table'!C75=1,"",IF(N73=0, 0, M73/N73))</f>
        <v>35.332507785419466</v>
      </c>
      <c r="P73" s="250">
        <f>'Staging Table'!BT75*Rates_current!$E$74*100*12</f>
        <v>35300584.450800002</v>
      </c>
      <c r="Q73" s="250">
        <f>'Staging Table'!BT75*Rates_current!$E$75*100*12</f>
        <v>-3571225.6140000001</v>
      </c>
      <c r="R73" s="251">
        <f>SUMPRODUCT('Staging Table'!BZ75:CW75, LS_Demand_Rates_Restatement!$C$5:$Z$5)-IF(Init!$R$15="No",('Staging Table'!DV75*Rates_current!$H$34), 0)</f>
        <v>391554.71</v>
      </c>
      <c r="S73" s="251">
        <f>SUMPRODUCT('Staging Table'!CX75:DI75, LS_Demand_Rates_Restatement!$C$11:$N$11)*1000</f>
        <v>3028254.38</v>
      </c>
      <c r="T73" s="252">
        <f>'Staging Table'!EF75*IF(Init!$R$18="Yes",IF(Init!$R$6=2020,Rates_current!$C$88,Rates_current!$D$88),Rates_current!$H$33)</f>
        <v>0</v>
      </c>
      <c r="U73" s="252">
        <f>IF(Init!$R$18="Yes",(SUM('Staging Table'!DL75:DU75)*IF('Staging Table'!$BT$1=2020, Rates_current!$C$87, Rates_current!$D$87)),0)</f>
        <v>616230.979825121</v>
      </c>
      <c r="V73" s="252">
        <f>IF('Staging Table'!D75=1, 'Staging Table'!BV75*-1*'Staging Table'!BT75/'Staging Table'!BS75,SUM(P73:U73)*'Staging Table'!BV75*-1)</f>
        <v>-2645030.0761394617</v>
      </c>
      <c r="W73" s="250">
        <f>'Staging Table'!BY75*Rates_current!$H$32*-1</f>
        <v>-667852.10811000003</v>
      </c>
      <c r="X73" s="250">
        <f>IF(Init!$R$12="No",0,'Staging Table'!$DW75*-1)</f>
        <v>0</v>
      </c>
      <c r="Y73" s="250">
        <f>IF('Staging Table'!C75=1,"", SUM(P73:X73))</f>
        <v>32452516.722375669</v>
      </c>
      <c r="Z73" s="250">
        <f>IF('Staging Table'!C75=1,"", (RT1SC!$C$4*'Staging Table'!BT75*'Staging Table'!$BT$2)+SUM('Staging Table'!BZ75:CW75)-IF(Init!$R$15="No",'Staging Table'!DV75, 0))</f>
        <v>916477.3140490239</v>
      </c>
      <c r="AA73" s="126">
        <f>IF('Staging Table'!C75=1,"",IF(Z73=0, 0, Y73/Z73))</f>
        <v>35.410060047203451</v>
      </c>
      <c r="AB73" s="118">
        <f ca="1">IF('Staging Table'!C75=1,"",(AA73/O73-1)+(RAND()/100000000000000))</f>
        <v>2.1949266170132199E-3</v>
      </c>
      <c r="AC73" s="79">
        <f t="shared" ca="1" si="1"/>
        <v>97</v>
      </c>
      <c r="AF73" s="255"/>
      <c r="AG73" s="255"/>
      <c r="AI73" s="255"/>
      <c r="AJ73" s="255"/>
    </row>
    <row r="74" spans="2:36">
      <c r="B74" s="166">
        <v>10230</v>
      </c>
      <c r="C74" s="167" t="s">
        <v>77</v>
      </c>
      <c r="D74" s="250">
        <f>IF(Init!$R$9="Yes",'Staging Table'!F76,'Staging Table'!BT76)*Rates_previous!$E$75*100*12</f>
        <v>3502370.4796799999</v>
      </c>
      <c r="E74" s="250">
        <f>IF(Init!$R$9="Yes",'Staging Table'!F76,'Staging Table'!BT76)*Rates_previous!$E$76*100*12</f>
        <v>-493910.46419999993</v>
      </c>
      <c r="F74" s="251">
        <f>IF(Init!$R$9="Yes",SUMPRODUCT('Staging Table'!L76:AI76,LS_Demand_Rates_Restatement!$C$4:$Z$4)-IF(Init!$R$15="No",('Staging Table'!BH76*Rates_previous!$H$34), 0),SUMPRODUCT('Staging Table'!BZ76:CW76,LS_Demand_Rates_Restatement!$C$4:$Z$4)-IF(Init!$R$15="No", 'Staging Table'!DV76*Rates_previous!$H$34, 0))</f>
        <v>73880.836641918751</v>
      </c>
      <c r="G74" s="251">
        <f>IF(Init!$R$9="Yes",SUMPRODUCT('Staging Table'!AJ76:AU76,LS_Demand_Rates_Restatement!$C$10:$N$10),SUMPRODUCT(LS_Demand_Rates_Restatement!$C$10:$N$10,'Staging Table'!CX76:DI76))*1000</f>
        <v>358740.52</v>
      </c>
      <c r="H74" s="252">
        <f>IF(Init!$R$9="Yes",'Staging Table'!BR76,'Staging Table'!EF76)*IF(Init!$R$3=2018,Rates_previous!$C$88,Rates_previous!$D$88)</f>
        <v>0</v>
      </c>
      <c r="I74" s="250">
        <f>IF(Init!$R$9="Yes",IF('Staging Table'!$F$1=2018,(SUM('Staging Table'!BD76:BG76)*Rates_previous!$C$87),(SUM('Staging Table'!BD76:BG76)*Rates_previous!$D$87)),IF('Staging Table'!$F$1=2018,(SUM('Staging Table'!DR76:DU76)*Rates_previous!$C$87),(SUM('Staging Table'!DR76:DU76)*Rates_previous!$D$87)))</f>
        <v>19244.192299921564</v>
      </c>
      <c r="J74" s="252">
        <f>IF(Init!$R$9="Yes",IF('Staging Table'!D76=1,'Staging Table'!H76*-1*'Staging Table'!BT76/'Staging Table'!BS76,'Staging Table'!H76*SUM(D74:I74)*(-1)),IF('Staging Table'!D76=1,'Staging Table'!BV76*-1*'Staging Table'!BT76/'Staging Table'!BS76,'Staging Table'!BV76*SUM(D74:I74)*(-1)))</f>
        <v>-258435.10684395803</v>
      </c>
      <c r="K74" s="250">
        <f>IF(Init!$R$9="Yes",'Staging Table'!K76,'Staging Table'!BY76)*(-1)*Rates_previous!$H$32</f>
        <v>0</v>
      </c>
      <c r="L74" s="250">
        <f>IF(Init!$R$12="No",0,'Staging Table'!$BI76*-1)*('Staging Table'!$F76/'Staging Table'!$E76)</f>
        <v>-102591.41358022759</v>
      </c>
      <c r="M74" s="250">
        <f>IF('Staging Table'!C76=1,"",SUM(D74:L74))</f>
        <v>3099299.0439976547</v>
      </c>
      <c r="N74" s="250">
        <f>IF('Staging Table'!C76=1,"",IF(Init!$R$9="Yes",(RT1SC!$C$3*'Staging Table'!F76*'Staging Table'!$F$2)+SUM('Staging Table'!L76:AI76)-IF(Init!$R$15="No",'Staging Table'!BH76, 0),Z74))</f>
        <v>83631.72</v>
      </c>
      <c r="O74" s="126">
        <f>IF('Staging Table'!C76=1,"",IF(N74=0, 0, M74/N74))</f>
        <v>37.05889396986759</v>
      </c>
      <c r="P74" s="250">
        <f>'Staging Table'!BT76*Rates_current!$E$74*100*12</f>
        <v>3265298.1200400004</v>
      </c>
      <c r="Q74" s="250">
        <f>'Staging Table'!BT76*Rates_current!$E$75*100*12</f>
        <v>-330337.76819999999</v>
      </c>
      <c r="R74" s="251">
        <f>SUMPRODUCT('Staging Table'!BZ76:CW76, LS_Demand_Rates_Restatement!$C$5:$Z$5)-IF(Init!$R$15="No",('Staging Table'!DV76*Rates_current!$H$34), 0)</f>
        <v>22484.710000000014</v>
      </c>
      <c r="S74" s="251">
        <f>SUMPRODUCT('Staging Table'!CX76:DI76, LS_Demand_Rates_Restatement!$C$11:$N$11)*1000</f>
        <v>390753.74999999994</v>
      </c>
      <c r="T74" s="252">
        <f>'Staging Table'!EF76*IF(Init!$R$18="Yes",IF(Init!$R$6=2020,Rates_current!$C$88,Rates_current!$D$88),Rates_current!$H$33)</f>
        <v>0</v>
      </c>
      <c r="U74" s="252">
        <f>IF(Init!$R$18="Yes",(SUM('Staging Table'!DL76:DU76)*IF('Staging Table'!$BT$1=2020, Rates_current!$C$87, Rates_current!$D$87)),0)</f>
        <v>57001.261912188376</v>
      </c>
      <c r="V74" s="252">
        <f>IF('Staging Table'!D76=1, 'Staging Table'!BV76*-1*'Staging Table'!BT76/'Staging Table'!BS76,SUM(P74:U74)*'Staging Table'!BV76*-1)</f>
        <v>-298134.11997719586</v>
      </c>
      <c r="W74" s="250">
        <f>'Staging Table'!BY76*Rates_current!$H$32*-1</f>
        <v>0</v>
      </c>
      <c r="X74" s="250">
        <f>IF(Init!$R$12="No",0,'Staging Table'!$DW76*-1)</f>
        <v>0</v>
      </c>
      <c r="Y74" s="250">
        <f>IF('Staging Table'!C76=1,"", SUM(P74:X74))</f>
        <v>3107065.9537749933</v>
      </c>
      <c r="Z74" s="250">
        <f>IF('Staging Table'!C76=1,"", (RT1SC!$C$4*'Staging Table'!BT76*'Staging Table'!$BT$2)+SUM('Staging Table'!BZ76:CW76)-IF(Init!$R$15="No",'Staging Table'!DV76, 0))</f>
        <v>81729.182291251185</v>
      </c>
      <c r="AA74" s="126">
        <f>IF('Staging Table'!C76=1,"",IF(Z74=0, 0, Y74/Z74))</f>
        <v>38.016603943284451</v>
      </c>
      <c r="AB74" s="118">
        <f ca="1">IF('Staging Table'!C76=1,"",(AA74/O74-1)+(RAND()/100000000000000))</f>
        <v>2.5842918415102129E-2</v>
      </c>
      <c r="AC74" s="79">
        <f t="shared" ca="1" si="1"/>
        <v>25</v>
      </c>
      <c r="AF74" s="255"/>
      <c r="AG74" s="255"/>
      <c r="AI74" s="255"/>
      <c r="AJ74" s="255"/>
    </row>
    <row r="75" spans="2:36">
      <c r="B75" s="166">
        <v>10231</v>
      </c>
      <c r="C75" s="167" t="s">
        <v>78</v>
      </c>
      <c r="D75" s="250">
        <f>IF(Init!$R$9="Yes",'Staging Table'!F77,'Staging Table'!BT77)*Rates_previous!$E$75*100*12</f>
        <v>13232677.70016</v>
      </c>
      <c r="E75" s="250">
        <f>IF(Init!$R$9="Yes",'Staging Table'!F77,'Staging Table'!BT77)*Rates_previous!$E$76*100*12</f>
        <v>-1866095.5554000002</v>
      </c>
      <c r="F75" s="251">
        <f>IF(Init!$R$9="Yes",SUMPRODUCT('Staging Table'!L77:AI77,LS_Demand_Rates_Restatement!$C$4:$Z$4)-IF(Init!$R$15="No",('Staging Table'!BH77*Rates_previous!$H$34), 0),SUMPRODUCT('Staging Table'!BZ77:CW77,LS_Demand_Rates_Restatement!$C$4:$Z$4)-IF(Init!$R$15="No", 'Staging Table'!DV77*Rates_previous!$H$34, 0))</f>
        <v>219799.96657770913</v>
      </c>
      <c r="G75" s="251">
        <f>IF(Init!$R$9="Yes",SUMPRODUCT('Staging Table'!AJ77:AU77,LS_Demand_Rates_Restatement!$C$10:$N$10),SUMPRODUCT(LS_Demand_Rates_Restatement!$C$10:$N$10,'Staging Table'!CX77:DI77))*1000</f>
        <v>652865.42000000004</v>
      </c>
      <c r="H75" s="252">
        <f>IF(Init!$R$9="Yes",'Staging Table'!BR77,'Staging Table'!EF77)*IF(Init!$R$3=2018,Rates_previous!$C$88,Rates_previous!$D$88)</f>
        <v>0</v>
      </c>
      <c r="I75" s="250">
        <f>IF(Init!$R$9="Yes",IF('Staging Table'!$F$1=2018,(SUM('Staging Table'!BD77:BG77)*Rates_previous!$C$87),(SUM('Staging Table'!BD77:BG77)*Rates_previous!$D$87)),IF('Staging Table'!$F$1=2018,(SUM('Staging Table'!DR77:DU77)*Rates_previous!$C$87),(SUM('Staging Table'!DR77:DU77)*Rates_previous!$D$87)))</f>
        <v>72708.525777669754</v>
      </c>
      <c r="J75" s="252">
        <f>IF(Init!$R$9="Yes",IF('Staging Table'!D77=1,'Staging Table'!H77*-1*'Staging Table'!BT77/'Staging Table'!BS77,'Staging Table'!H77*SUM(D75:I75)*(-1)),IF('Staging Table'!D77=1,'Staging Table'!BV77*-1*'Staging Table'!BT77/'Staging Table'!BS77,'Staging Table'!BV77*SUM(D75:I75)*(-1)))</f>
        <v>-1041725.6827529835</v>
      </c>
      <c r="K75" s="250">
        <f>IF(Init!$R$9="Yes",'Staging Table'!K77,'Staging Table'!BY77)*(-1)*Rates_previous!$H$32</f>
        <v>-254400.89304</v>
      </c>
      <c r="L75" s="250">
        <f>IF(Init!$R$12="No",0,'Staging Table'!$BI77*-1)*('Staging Table'!$F77/'Staging Table'!$E77)</f>
        <v>-425266.0217424545</v>
      </c>
      <c r="M75" s="250">
        <f>IF('Staging Table'!C77=1,"",SUM(D75:L75))</f>
        <v>10590563.459579941</v>
      </c>
      <c r="N75" s="250">
        <f>IF('Staging Table'!C77=1,"",IF(Init!$R$9="Yes",(RT1SC!$C$3*'Staging Table'!F77*'Staging Table'!$F$2)+SUM('Staging Table'!L77:AI77)-IF(Init!$R$15="No",'Staging Table'!BH77, 0),Z75))</f>
        <v>315981.95999999996</v>
      </c>
      <c r="O75" s="126">
        <f>IF('Staging Table'!C77=1,"",IF(N75=0, 0, M75/N75))</f>
        <v>33.516354729807809</v>
      </c>
      <c r="P75" s="250">
        <f>'Staging Table'!BT77*Rates_current!$E$74*100*12</f>
        <v>12337498.413959999</v>
      </c>
      <c r="Q75" s="250">
        <f>'Staging Table'!BT77*Rates_current!$E$75*100*12</f>
        <v>-1248137.7017999999</v>
      </c>
      <c r="R75" s="251">
        <f>SUMPRODUCT('Staging Table'!BZ77:CW77, LS_Demand_Rates_Restatement!$C$5:$Z$5)-IF(Init!$R$15="No",('Staging Table'!DV77*Rates_current!$H$34), 0)</f>
        <v>258328.0929265045</v>
      </c>
      <c r="S75" s="251">
        <f>SUMPRODUCT('Staging Table'!CX77:DI77, LS_Demand_Rates_Restatement!$C$11:$N$11)*1000</f>
        <v>736424.54</v>
      </c>
      <c r="T75" s="252">
        <f>'Staging Table'!EF77*IF(Init!$R$18="Yes",IF(Init!$R$6=2020,Rates_current!$C$88,Rates_current!$D$88),Rates_current!$H$33)</f>
        <v>0</v>
      </c>
      <c r="U75" s="252">
        <f>IF(Init!$R$18="Yes",(SUM('Staging Table'!DL77:DU77)*IF('Staging Table'!$BT$1=2020, Rates_current!$C$87, Rates_current!$D$87)),0)</f>
        <v>215371.75246550768</v>
      </c>
      <c r="V75" s="252">
        <f>IF('Staging Table'!D77=1, 'Staging Table'!BV77*-1*'Staging Table'!BT77/'Staging Table'!BS77,SUM(P75:U75)*'Staging Table'!BV77*-1)</f>
        <v>-1044514.0927334484</v>
      </c>
      <c r="W75" s="250">
        <f>'Staging Table'!BY77*Rates_current!$H$32*-1</f>
        <v>-240339.61918999997</v>
      </c>
      <c r="X75" s="250">
        <f>IF(Init!$R$12="No",0,'Staging Table'!$DW77*-1)</f>
        <v>0</v>
      </c>
      <c r="Y75" s="250">
        <f>IF('Staging Table'!C77=1,"", SUM(P75:X75))</f>
        <v>11014631.385628562</v>
      </c>
      <c r="Z75" s="250">
        <f>IF('Staging Table'!C77=1,"", (RT1SC!$C$4*'Staging Table'!BT77*'Staging Table'!$BT$2)+SUM('Staging Table'!BZ77:CW77)-IF(Init!$R$15="No",'Staging Table'!DV77, 0))</f>
        <v>320308.56000000006</v>
      </c>
      <c r="AA75" s="126">
        <f>IF('Staging Table'!C77=1,"",IF(Z75=0, 0, Y75/Z75))</f>
        <v>34.387564870662715</v>
      </c>
      <c r="AB75" s="118">
        <f ca="1">IF('Staging Table'!C77=1,"",(AA75/O75-1)+(RAND()/100000000000000))</f>
        <v>2.5993582771107599E-2</v>
      </c>
      <c r="AC75" s="79">
        <f t="shared" ca="1" si="1"/>
        <v>24</v>
      </c>
      <c r="AF75" s="255"/>
      <c r="AG75" s="255"/>
      <c r="AI75" s="255"/>
      <c r="AJ75" s="255"/>
    </row>
    <row r="76" spans="2:36">
      <c r="B76" s="166">
        <v>10234</v>
      </c>
      <c r="C76" s="167" t="s">
        <v>79</v>
      </c>
      <c r="D76" s="250">
        <f>IF(Init!$R$9="Yes",'Staging Table'!F78,'Staging Table'!BT78)*Rates_previous!$E$75*100*12</f>
        <v>18408909.680640001</v>
      </c>
      <c r="E76" s="250">
        <f>IF(Init!$R$9="Yes",'Staging Table'!F78,'Staging Table'!BT78)*Rates_previous!$E$76*100*12</f>
        <v>-2596056.9216</v>
      </c>
      <c r="F76" s="251">
        <f>IF(Init!$R$9="Yes",SUMPRODUCT('Staging Table'!L78:AI78,LS_Demand_Rates_Restatement!$C$4:$Z$4)-IF(Init!$R$15="No",('Staging Table'!BH78*Rates_previous!$H$34), 0),SUMPRODUCT('Staging Table'!BZ78:CW78,LS_Demand_Rates_Restatement!$C$4:$Z$4)-IF(Init!$R$15="No", 'Staging Table'!DV78*Rates_previous!$H$34, 0))</f>
        <v>284980.60698468343</v>
      </c>
      <c r="G76" s="251">
        <f>IF(Init!$R$9="Yes",SUMPRODUCT('Staging Table'!AJ78:AU78,LS_Demand_Rates_Restatement!$C$10:$N$10),SUMPRODUCT(LS_Demand_Rates_Restatement!$C$10:$N$10,'Staging Table'!CX78:DI78))*1000</f>
        <v>1033985.3999999998</v>
      </c>
      <c r="H76" s="252">
        <f>IF(Init!$R$9="Yes",'Staging Table'!BR78,'Staging Table'!EF78)*IF(Init!$R$3=2018,Rates_previous!$C$88,Rates_previous!$D$88)</f>
        <v>0</v>
      </c>
      <c r="I76" s="250">
        <f>IF(Init!$R$9="Yes",IF('Staging Table'!$F$1=2018,(SUM('Staging Table'!BD78:BG78)*Rates_previous!$C$87),(SUM('Staging Table'!BD78:BG78)*Rates_previous!$D$87)),IF('Staging Table'!$F$1=2018,(SUM('Staging Table'!DR78:DU78)*Rates_previous!$C$87),(SUM('Staging Table'!DR78:DU78)*Rates_previous!$D$87)))</f>
        <v>101149.94972162164</v>
      </c>
      <c r="J76" s="252">
        <f>IF(Init!$R$9="Yes",IF('Staging Table'!D78=1,'Staging Table'!H78*-1*'Staging Table'!BT78/'Staging Table'!BS78,'Staging Table'!H78*SUM(D76:I76)*(-1)),IF('Staging Table'!D78=1,'Staging Table'!BV78*-1*'Staging Table'!BT78/'Staging Table'!BS78,'Staging Table'!BV78*SUM(D76:I76)*(-1)))</f>
        <v>-914053.8936519</v>
      </c>
      <c r="K76" s="250">
        <f>IF(Init!$R$9="Yes",'Staging Table'!K78,'Staging Table'!BY78)*(-1)*Rates_previous!$H$32</f>
        <v>0</v>
      </c>
      <c r="L76" s="250">
        <f>IF(Init!$R$12="No",0,'Staging Table'!$BI78*-1)*('Staging Table'!$F78/'Staging Table'!$E78)</f>
        <v>-286620.29452448682</v>
      </c>
      <c r="M76" s="250">
        <f>IF('Staging Table'!C78=1,"",SUM(D76:L76))</f>
        <v>16032294.527569922</v>
      </c>
      <c r="N76" s="250">
        <f>IF('Staging Table'!C78=1,"",IF(Init!$R$9="Yes",(RT1SC!$C$3*'Staging Table'!F78*'Staging Table'!$F$2)+SUM('Staging Table'!L78:AI78)-IF(Init!$R$15="No",'Staging Table'!BH78, 0),Z76))</f>
        <v>439585.56</v>
      </c>
      <c r="O76" s="126">
        <f>IF('Staging Table'!C78=1,"",IF(N76=0, 0, M76/N76))</f>
        <v>36.47138574699752</v>
      </c>
      <c r="P76" s="250">
        <f>'Staging Table'!BT78*Rates_current!$E$74*100*12</f>
        <v>17163551.520120002</v>
      </c>
      <c r="Q76" s="250">
        <f>'Staging Table'!BT78*Rates_current!$E$75*100*12</f>
        <v>-1736371.1046000002</v>
      </c>
      <c r="R76" s="251">
        <f>SUMPRODUCT('Staging Table'!BZ78:CW78, LS_Demand_Rates_Restatement!$C$5:$Z$5)-IF(Init!$R$15="No",('Staging Table'!DV78*Rates_current!$H$34), 0)</f>
        <v>309582.94023345795</v>
      </c>
      <c r="S76" s="251">
        <f>SUMPRODUCT('Staging Table'!CX78:DI78, LS_Demand_Rates_Restatement!$C$11:$N$11)*1000</f>
        <v>1145886.1200000001</v>
      </c>
      <c r="T76" s="252">
        <f>'Staging Table'!EF78*IF(Init!$R$18="Yes",IF(Init!$R$6=2020,Rates_current!$C$88,Rates_current!$D$88),Rates_current!$H$33)</f>
        <v>0</v>
      </c>
      <c r="U76" s="252">
        <f>IF(Init!$R$18="Yes",(SUM('Staging Table'!DL78:DU78)*IF('Staging Table'!$BT$1=2020, Rates_current!$C$87, Rates_current!$D$87)),0)</f>
        <v>299618.61354629212</v>
      </c>
      <c r="V76" s="252">
        <f>IF('Staging Table'!D78=1, 'Staging Table'!BV78*-1*'Staging Table'!BT78/'Staging Table'!BS78,SUM(P76:U76)*'Staging Table'!BV78*-1)</f>
        <v>-930851.09196462296</v>
      </c>
      <c r="W76" s="250">
        <f>'Staging Table'!BY78*Rates_current!$H$32*-1</f>
        <v>0</v>
      </c>
      <c r="X76" s="250">
        <f>IF(Init!$R$12="No",0,'Staging Table'!$DW78*-1)</f>
        <v>0</v>
      </c>
      <c r="Y76" s="250">
        <f>IF('Staging Table'!C78=1,"", SUM(P76:X76))</f>
        <v>16251416.99733513</v>
      </c>
      <c r="Z76" s="250">
        <f>IF('Staging Table'!C78=1,"", (RT1SC!$C$4*'Staging Table'!BT78*'Staging Table'!$BT$2)+SUM('Staging Table'!BZ78:CW78)-IF(Init!$R$15="No",'Staging Table'!DV78, 0))</f>
        <v>445603.53600000002</v>
      </c>
      <c r="AA76" s="126">
        <f>IF('Staging Table'!C78=1,"",IF(Z76=0, 0, Y76/Z76))</f>
        <v>36.470574590178138</v>
      </c>
      <c r="AB76" s="118">
        <f ca="1">IF('Staging Table'!C78=1,"",(AA76/O76-1)+(RAND()/100000000000000))</f>
        <v>-2.2240910308257383E-5</v>
      </c>
      <c r="AC76" s="79">
        <f t="shared" ca="1" si="1"/>
        <v>108</v>
      </c>
      <c r="AF76" s="255"/>
      <c r="AG76" s="255"/>
      <c r="AI76" s="255"/>
      <c r="AJ76" s="255"/>
    </row>
    <row r="77" spans="2:36">
      <c r="B77" s="166">
        <v>10235</v>
      </c>
      <c r="C77" s="167" t="s">
        <v>80</v>
      </c>
      <c r="D77" s="250">
        <f>IF(Init!$R$9="Yes",'Staging Table'!F79,'Staging Table'!BT79)*Rates_previous!$E$75*100*12</f>
        <v>11407990.32288</v>
      </c>
      <c r="E77" s="250">
        <f>IF(Init!$R$9="Yes",'Staging Table'!F79,'Staging Table'!BT79)*Rates_previous!$E$76*100*12</f>
        <v>-1608774.9222000001</v>
      </c>
      <c r="F77" s="251">
        <f>IF(Init!$R$9="Yes",SUMPRODUCT('Staging Table'!L79:AI79,LS_Demand_Rates_Restatement!$C$4:$Z$4)-IF(Init!$R$15="No",('Staging Table'!BH79*Rates_previous!$H$34), 0),SUMPRODUCT('Staging Table'!BZ79:CW79,LS_Demand_Rates_Restatement!$C$4:$Z$4)-IF(Init!$R$15="No", 'Staging Table'!DV79*Rates_previous!$H$34, 0))</f>
        <v>162846.06000000003</v>
      </c>
      <c r="G77" s="251">
        <f>IF(Init!$R$9="Yes",SUMPRODUCT('Staging Table'!AJ79:AU79,LS_Demand_Rates_Restatement!$C$10:$N$10),SUMPRODUCT(LS_Demand_Rates_Restatement!$C$10:$N$10,'Staging Table'!CX79:DI79))*1000</f>
        <v>433887.74</v>
      </c>
      <c r="H77" s="252">
        <f>IF(Init!$R$9="Yes",'Staging Table'!BR79,'Staging Table'!EF79)*IF(Init!$R$3=2018,Rates_previous!$C$88,Rates_previous!$D$88)</f>
        <v>2329.229115823633</v>
      </c>
      <c r="I77" s="250">
        <f>IF(Init!$R$9="Yes",IF('Staging Table'!$F$1=2018,(SUM('Staging Table'!BD79:BG79)*Rates_previous!$C$87),(SUM('Staging Table'!BD79:BG79)*Rates_previous!$D$87)),IF('Staging Table'!$F$1=2018,(SUM('Staging Table'!DR79:DU79)*Rates_previous!$C$87),(SUM('Staging Table'!DR79:DU79)*Rates_previous!$D$87)))</f>
        <v>62682.56336754113</v>
      </c>
      <c r="J77" s="252">
        <f>IF(Init!$R$9="Yes",IF('Staging Table'!D79=1,'Staging Table'!H79*-1*'Staging Table'!BT79/'Staging Table'!BS79,'Staging Table'!H79*SUM(D77:I77)*(-1)),IF('Staging Table'!D79=1,'Staging Table'!BV79*-1*'Staging Table'!BT79/'Staging Table'!BS79,'Staging Table'!BV79*SUM(D77:I77)*(-1)))</f>
        <v>0</v>
      </c>
      <c r="K77" s="250">
        <f>IF(Init!$R$9="Yes",'Staging Table'!K79,'Staging Table'!BY79)*(-1)*Rates_previous!$H$32</f>
        <v>0</v>
      </c>
      <c r="L77" s="250">
        <f>IF(Init!$R$12="No",0,'Staging Table'!$BI79*-1)*('Staging Table'!$F79/'Staging Table'!$E79)</f>
        <v>-439571.22445567552</v>
      </c>
      <c r="M77" s="250">
        <f>IF('Staging Table'!C79=1,"",SUM(D77:L77))</f>
        <v>10021389.768707691</v>
      </c>
      <c r="N77" s="250">
        <f>IF('Staging Table'!C79=1,"",IF(Init!$R$9="Yes",(RT1SC!$C$3*'Staging Table'!F79*'Staging Table'!$F$2)+SUM('Staging Table'!L79:AI79)-IF(Init!$R$15="No",'Staging Table'!BH79, 0),Z77))</f>
        <v>272589.16754359199</v>
      </c>
      <c r="O77" s="126">
        <f>IF('Staging Table'!C79=1,"",IF(N77=0, 0, M77/N77))</f>
        <v>36.763712435876926</v>
      </c>
      <c r="P77" s="250">
        <f>'Staging Table'!BT79*Rates_current!$E$74*100*12</f>
        <v>10634381.278200001</v>
      </c>
      <c r="Q77" s="250">
        <f>'Staging Table'!BT79*Rates_current!$E$75*100*12</f>
        <v>-1075839.831</v>
      </c>
      <c r="R77" s="251">
        <f>SUMPRODUCT('Staging Table'!BZ79:CW79, LS_Demand_Rates_Restatement!$C$5:$Z$5)-IF(Init!$R$15="No",('Staging Table'!DV79*Rates_current!$H$34), 0)</f>
        <v>108729.58000000002</v>
      </c>
      <c r="S77" s="251">
        <f>SUMPRODUCT('Staging Table'!CX79:DI79, LS_Demand_Rates_Restatement!$C$11:$N$11)*1000</f>
        <v>498748.99999999994</v>
      </c>
      <c r="T77" s="252">
        <f>'Staging Table'!EF79*IF(Init!$R$18="Yes",IF(Init!$R$6=2020,Rates_current!$C$88,Rates_current!$D$88),Rates_current!$H$33)</f>
        <v>-55551.794834196407</v>
      </c>
      <c r="U77" s="252">
        <f>IF(Init!$R$18="Yes",(SUM('Staging Table'!DL79:DU79)*IF('Staging Table'!$BT$1=2020, Rates_current!$C$87, Rates_current!$D$87)),0)</f>
        <v>185640.9829143947</v>
      </c>
      <c r="V77" s="252">
        <f>IF('Staging Table'!D79=1, 'Staging Table'!BV79*-1*'Staging Table'!BT79/'Staging Table'!BS79,SUM(P77:U77)*'Staging Table'!BV79*-1)</f>
        <v>0</v>
      </c>
      <c r="W77" s="250">
        <f>'Staging Table'!BY79*Rates_current!$H$32*-1</f>
        <v>0</v>
      </c>
      <c r="X77" s="250">
        <f>IF(Init!$R$12="No",0,'Staging Table'!$DW79*-1)</f>
        <v>0</v>
      </c>
      <c r="Y77" s="250">
        <f>IF('Staging Table'!C79=1,"", SUM(P77:X77))</f>
        <v>10296109.215280198</v>
      </c>
      <c r="Z77" s="250">
        <f>IF('Staging Table'!C79=1,"", (RT1SC!$C$4*'Staging Table'!BT79*'Staging Table'!$BT$2)+SUM('Staging Table'!BZ79:CW79)-IF(Init!$R$15="No",'Staging Table'!DV79, 0))</f>
        <v>272589.47584409598</v>
      </c>
      <c r="AA77" s="126">
        <f>IF('Staging Table'!C79=1,"",IF(Z77=0, 0, Y77/Z77))</f>
        <v>37.771484696529235</v>
      </c>
      <c r="AB77" s="118">
        <f ca="1">IF('Staging Table'!C79=1,"",(AA77/O77-1)+(RAND()/100000000000000))</f>
        <v>2.7412146213754426E-2</v>
      </c>
      <c r="AC77" s="79">
        <f t="shared" ca="1" si="1"/>
        <v>20</v>
      </c>
      <c r="AF77" s="255"/>
      <c r="AG77" s="255"/>
      <c r="AI77" s="255"/>
      <c r="AJ77" s="255"/>
    </row>
    <row r="78" spans="2:36">
      <c r="B78" s="166">
        <v>10236</v>
      </c>
      <c r="C78" s="167" t="s">
        <v>81</v>
      </c>
      <c r="D78" s="250">
        <f>IF(Init!$R$9="Yes",'Staging Table'!F80,'Staging Table'!BT80)*Rates_previous!$E$75*100*12</f>
        <v>10057691.090880001</v>
      </c>
      <c r="E78" s="250">
        <f>IF(Init!$R$9="Yes",'Staging Table'!F80,'Staging Table'!BT80)*Rates_previous!$E$76*100*12</f>
        <v>-1418353.3422000003</v>
      </c>
      <c r="F78" s="251">
        <f>IF(Init!$R$9="Yes",SUMPRODUCT('Staging Table'!L80:AI80,LS_Demand_Rates_Restatement!$C$4:$Z$4)-IF(Init!$R$15="No",('Staging Table'!BH80*Rates_previous!$H$34), 0),SUMPRODUCT('Staging Table'!BZ80:CW80,LS_Demand_Rates_Restatement!$C$4:$Z$4)-IF(Init!$R$15="No", 'Staging Table'!DV80*Rates_previous!$H$34, 0))</f>
        <v>0</v>
      </c>
      <c r="G78" s="251">
        <f>IF(Init!$R$9="Yes",SUMPRODUCT('Staging Table'!AJ80:AU80,LS_Demand_Rates_Restatement!$C$10:$N$10),SUMPRODUCT(LS_Demand_Rates_Restatement!$C$10:$N$10,'Staging Table'!CX80:DI80))*1000</f>
        <v>0</v>
      </c>
      <c r="H78" s="252">
        <f>IF(Init!$R$9="Yes",'Staging Table'!BR80,'Staging Table'!EF80)*IF(Init!$R$3=2018,Rates_previous!$C$88,Rates_previous!$D$88)</f>
        <v>19.16542160002049</v>
      </c>
      <c r="I78" s="250">
        <f>IF(Init!$R$9="Yes",IF('Staging Table'!$F$1=2018,(SUM('Staging Table'!BD80:BG80)*Rates_previous!$C$87),(SUM('Staging Table'!BD80:BG80)*Rates_previous!$D$87)),IF('Staging Table'!$F$1=2018,(SUM('Staging Table'!DR80:DU80)*Rates_previous!$C$87),(SUM('Staging Table'!DR80:DU80)*Rates_previous!$D$87)))</f>
        <v>55263.183198079852</v>
      </c>
      <c r="J78" s="252">
        <f>IF(Init!$R$9="Yes",IF('Staging Table'!D80=1,'Staging Table'!H80*-1*'Staging Table'!BT80/'Staging Table'!BS80,'Staging Table'!H80*SUM(D78:I78)*(-1)),IF('Staging Table'!D80=1,'Staging Table'!BV80*-1*'Staging Table'!BT80/'Staging Table'!BS80,'Staging Table'!BV80*SUM(D78:I78)*(-1)))</f>
        <v>-565150.30632447917</v>
      </c>
      <c r="K78" s="250">
        <f>IF(Init!$R$9="Yes",'Staging Table'!K80,'Staging Table'!BY80)*(-1)*Rates_previous!$H$32</f>
        <v>0</v>
      </c>
      <c r="L78" s="250">
        <f>IF(Init!$R$12="No",0,'Staging Table'!$BI80*-1)*('Staging Table'!$F80/'Staging Table'!$E80)</f>
        <v>-310753.25035182608</v>
      </c>
      <c r="M78" s="250" t="str">
        <f>IF('Staging Table'!C80=1,"",SUM(D78:L78))</f>
        <v/>
      </c>
      <c r="N78" s="250" t="str">
        <f>IF('Staging Table'!C80=1,"",IF(Init!$R$9="Yes",(RT1SC!$C$3*'Staging Table'!F80*'Staging Table'!$F$2)+SUM('Staging Table'!L80:AI80)-IF(Init!$R$15="No",'Staging Table'!BH80, 0),Z78))</f>
        <v/>
      </c>
      <c r="O78" s="126" t="str">
        <f>IF('Staging Table'!C80=1,"",IF(N78=0, 0, M78/N78))</f>
        <v/>
      </c>
      <c r="P78" s="250">
        <f>'Staging Table'!BT80*Rates_current!$E$74*100*12</f>
        <v>9283248.0216000006</v>
      </c>
      <c r="Q78" s="250">
        <f>'Staging Table'!BT80*Rates_current!$E$75*100*12</f>
        <v>-939150.82799999998</v>
      </c>
      <c r="R78" s="251">
        <f>SUMPRODUCT('Staging Table'!BZ80:CW80, LS_Demand_Rates_Restatement!$C$5:$Z$5)-IF(Init!$R$15="No",('Staging Table'!DV80*Rates_current!$H$34), 0)</f>
        <v>0</v>
      </c>
      <c r="S78" s="251">
        <f>SUMPRODUCT('Staging Table'!CX80:DI80, LS_Demand_Rates_Restatement!$C$11:$N$11)*1000</f>
        <v>0</v>
      </c>
      <c r="T78" s="252">
        <f>'Staging Table'!EF80*IF(Init!$R$18="Yes",IF(Init!$R$6=2020,Rates_current!$C$88,Rates_current!$D$88),Rates_current!$H$33)</f>
        <v>-35.704775946411537</v>
      </c>
      <c r="U78" s="252">
        <f>IF(Init!$R$18="Yes",(SUM('Staging Table'!DL80:DU80)*IF('Staging Table'!$BT$1=2020, Rates_current!$C$87, Rates_current!$D$87)),0)</f>
        <v>162054.68304025603</v>
      </c>
      <c r="V78" s="252">
        <f>IF('Staging Table'!D80=1, 'Staging Table'!BV80*-1*'Staging Table'!BT80/'Staging Table'!BS80,SUM(P78:U78)*'Staging Table'!BV80*-1)</f>
        <v>-552897.55117118021</v>
      </c>
      <c r="W78" s="250">
        <f>'Staging Table'!BY80*Rates_current!$H$32*-1</f>
        <v>0</v>
      </c>
      <c r="X78" s="250">
        <f>IF(Init!$R$12="No",0,'Staging Table'!$DW80*-1)</f>
        <v>0</v>
      </c>
      <c r="Y78" s="250" t="str">
        <f>IF('Staging Table'!C80=1,"", SUM(P78:X78))</f>
        <v/>
      </c>
      <c r="Z78" s="250" t="str">
        <f>IF('Staging Table'!C80=1,"", (RT1SC!$C$4*'Staging Table'!BT80*'Staging Table'!$BT$2)+SUM('Staging Table'!BZ80:CW80)-IF(Init!$R$15="No",'Staging Table'!DV80, 0))</f>
        <v/>
      </c>
      <c r="AA78" s="126" t="str">
        <f>IF('Staging Table'!C80=1,"",IF(Z78=0, 0, Y78/Z78))</f>
        <v/>
      </c>
      <c r="AB78" s="118" t="str">
        <f ca="1">IF('Staging Table'!C80=1,"",(AA78/O78-1)+(RAND()/100000000000000))</f>
        <v/>
      </c>
      <c r="AC78" s="79" t="str">
        <f t="shared" ca="1" si="1"/>
        <v/>
      </c>
      <c r="AF78" s="255"/>
      <c r="AG78" s="255"/>
      <c r="AI78" s="255"/>
      <c r="AJ78" s="255"/>
    </row>
    <row r="79" spans="2:36">
      <c r="B79" s="166">
        <v>10237</v>
      </c>
      <c r="C79" s="167" t="s">
        <v>82</v>
      </c>
      <c r="D79" s="250">
        <f>IF(Init!$R$9="Yes",'Staging Table'!F81,'Staging Table'!BT81)*Rates_previous!$E$75*100*12</f>
        <v>15646401.270719999</v>
      </c>
      <c r="E79" s="250">
        <f>IF(Init!$R$9="Yes",'Staging Table'!F81,'Staging Table'!BT81)*Rates_previous!$E$76*100*12</f>
        <v>-2206483.1118000001</v>
      </c>
      <c r="F79" s="251">
        <f>IF(Init!$R$9="Yes",SUMPRODUCT('Staging Table'!L81:AI81,LS_Demand_Rates_Restatement!$C$4:$Z$4)-IF(Init!$R$15="No",('Staging Table'!BH81*Rates_previous!$H$34), 0),SUMPRODUCT('Staging Table'!BZ81:CW81,LS_Demand_Rates_Restatement!$C$4:$Z$4)-IF(Init!$R$15="No", 'Staging Table'!DV81*Rates_previous!$H$34, 0))</f>
        <v>100302.91999999994</v>
      </c>
      <c r="G79" s="251">
        <f>IF(Init!$R$9="Yes",SUMPRODUCT('Staging Table'!AJ81:AU81,LS_Demand_Rates_Restatement!$C$10:$N$10),SUMPRODUCT(LS_Demand_Rates_Restatement!$C$10:$N$10,'Staging Table'!CX81:DI81))*1000</f>
        <v>0</v>
      </c>
      <c r="H79" s="252">
        <f>IF(Init!$R$9="Yes",'Staging Table'!BR81,'Staging Table'!EF81)*IF(Init!$R$3=2018,Rates_previous!$C$88,Rates_previous!$D$88)</f>
        <v>0</v>
      </c>
      <c r="I79" s="250">
        <f>IF(Init!$R$9="Yes",IF('Staging Table'!$F$1=2018,(SUM('Staging Table'!BD81:BG81)*Rates_previous!$C$87),(SUM('Staging Table'!BD81:BG81)*Rates_previous!$D$87)),IF('Staging Table'!$F$1=2018,(SUM('Staging Table'!DR81:DU81)*Rates_previous!$C$87),(SUM('Staging Table'!DR81:DU81)*Rates_previous!$D$87)))</f>
        <v>85971.017801344497</v>
      </c>
      <c r="J79" s="252">
        <f>IF(Init!$R$9="Yes",IF('Staging Table'!D81=1,'Staging Table'!H81*-1*'Staging Table'!BT81/'Staging Table'!BS81,'Staging Table'!H81*SUM(D79:I79)*(-1)),IF('Staging Table'!D81=1,'Staging Table'!BV81*-1*'Staging Table'!BT81/'Staging Table'!BS81,'Staging Table'!BV81*SUM(D79:I79)*(-1)))</f>
        <v>-686751.36349879915</v>
      </c>
      <c r="K79" s="250">
        <f>IF(Init!$R$9="Yes",'Staging Table'!K81,'Staging Table'!BY81)*(-1)*Rates_previous!$H$32</f>
        <v>0</v>
      </c>
      <c r="L79" s="250">
        <f>IF(Init!$R$12="No",0,'Staging Table'!$BI81*-1)*('Staging Table'!$F81/'Staging Table'!$E81)</f>
        <v>-522661.67466203385</v>
      </c>
      <c r="M79" s="250">
        <f>IF('Staging Table'!C81=1,"",SUM(D79:L79))</f>
        <v>12416779.058560511</v>
      </c>
      <c r="N79" s="250">
        <f>IF('Staging Table'!C81=1,"",IF(Init!$R$9="Yes",(RT1SC!$C$3*'Staging Table'!F81*'Staging Table'!$F$2)+SUM('Staging Table'!L81:AI81)-IF(Init!$R$15="No",'Staging Table'!BH81, 0),Z79))</f>
        <v>373523.35280064796</v>
      </c>
      <c r="O79" s="126">
        <f>IF('Staging Table'!C81=1,"",IF(N79=0, 0, M79/N79))</f>
        <v>33.242309926435667</v>
      </c>
      <c r="P79" s="250">
        <f>'Staging Table'!BT81*Rates_current!$E$74*100*12</f>
        <v>14081969.49636</v>
      </c>
      <c r="Q79" s="250">
        <f>'Staging Table'!BT81*Rates_current!$E$75*100*12</f>
        <v>-1424619.1938</v>
      </c>
      <c r="R79" s="251">
        <f>SUMPRODUCT('Staging Table'!BZ81:CW81, LS_Demand_Rates_Restatement!$C$5:$Z$5)-IF(Init!$R$15="No",('Staging Table'!DV81*Rates_current!$H$34), 0)</f>
        <v>76470.069999999992</v>
      </c>
      <c r="S79" s="251">
        <f>SUMPRODUCT('Staging Table'!CX81:DI81, LS_Demand_Rates_Restatement!$C$11:$N$11)*1000</f>
        <v>0</v>
      </c>
      <c r="T79" s="252">
        <f>'Staging Table'!EF81*IF(Init!$R$18="Yes",IF(Init!$R$6=2020,Rates_current!$C$88,Rates_current!$D$88),Rates_current!$H$33)</f>
        <v>0</v>
      </c>
      <c r="U79" s="252">
        <f>IF(Init!$R$18="Yes",(SUM('Staging Table'!DL81:DU81)*IF('Staging Table'!$BT$1=2020, Rates_current!$C$87, Rates_current!$D$87)),0)</f>
        <v>245824.42459852045</v>
      </c>
      <c r="V79" s="252">
        <f>IF('Staging Table'!D81=1, 'Staging Table'!BV81*-1*'Staging Table'!BT81/'Staging Table'!BS81,SUM(P79:U79)*'Staging Table'!BV81*-1)</f>
        <v>-686751.36349879915</v>
      </c>
      <c r="W79" s="250">
        <f>'Staging Table'!BY81*Rates_current!$H$32*-1</f>
        <v>0</v>
      </c>
      <c r="X79" s="250">
        <f>IF(Init!$R$12="No",0,'Staging Table'!$DW81*-1)</f>
        <v>0</v>
      </c>
      <c r="Y79" s="250">
        <f>IF('Staging Table'!C81=1,"", SUM(P79:X79))</f>
        <v>12292893.433659721</v>
      </c>
      <c r="Z79" s="250">
        <f>IF('Staging Table'!C81=1,"", (RT1SC!$C$4*'Staging Table'!BT81*'Staging Table'!$BT$2)+SUM('Staging Table'!BZ81:CW81)-IF(Init!$R$15="No",'Staging Table'!DV81, 0))</f>
        <v>363109.30227374076</v>
      </c>
      <c r="AA79" s="126">
        <f>IF('Staging Table'!C81=1,"",IF(Z79=0, 0, Y79/Z79))</f>
        <v>33.85452632770162</v>
      </c>
      <c r="AB79" s="118">
        <f ca="1">IF('Staging Table'!C81=1,"",(AA79/O79-1)+(RAND()/100000000000000))</f>
        <v>1.8416782787384442E-2</v>
      </c>
      <c r="AC79" s="79">
        <f t="shared" ca="1" si="1"/>
        <v>63</v>
      </c>
      <c r="AF79" s="255"/>
      <c r="AG79" s="255"/>
      <c r="AI79" s="255"/>
      <c r="AJ79" s="255"/>
    </row>
    <row r="80" spans="2:36">
      <c r="B80" s="166">
        <v>10239</v>
      </c>
      <c r="C80" s="167" t="s">
        <v>83</v>
      </c>
      <c r="D80" s="250">
        <f>IF(Init!$R$9="Yes",'Staging Table'!F82,'Staging Table'!BT82)*Rates_previous!$E$75*100*12</f>
        <v>4992540.33024</v>
      </c>
      <c r="E80" s="250">
        <f>IF(Init!$R$9="Yes",'Staging Table'!F82,'Staging Table'!BT82)*Rates_previous!$E$76*100*12</f>
        <v>-704056.84560000012</v>
      </c>
      <c r="F80" s="251">
        <f>IF(Init!$R$9="Yes",SUMPRODUCT('Staging Table'!L82:AI82,LS_Demand_Rates_Restatement!$C$4:$Z$4)-IF(Init!$R$15="No",('Staging Table'!BH82*Rates_previous!$H$34), 0),SUMPRODUCT('Staging Table'!BZ82:CW82,LS_Demand_Rates_Restatement!$C$4:$Z$4)-IF(Init!$R$15="No", 'Staging Table'!DV82*Rates_previous!$H$34, 0))</f>
        <v>0</v>
      </c>
      <c r="G80" s="251">
        <f>IF(Init!$R$9="Yes",SUMPRODUCT('Staging Table'!AJ82:AU82,LS_Demand_Rates_Restatement!$C$10:$N$10),SUMPRODUCT(LS_Demand_Rates_Restatement!$C$10:$N$10,'Staging Table'!CX82:DI82))*1000</f>
        <v>0</v>
      </c>
      <c r="H80" s="252">
        <f>IF(Init!$R$9="Yes",'Staging Table'!BR82,'Staging Table'!EF82)*IF(Init!$R$3=2018,Rates_previous!$C$88,Rates_previous!$D$88)</f>
        <v>13.66977298374899</v>
      </c>
      <c r="I80" s="250">
        <f>IF(Init!$R$9="Yes",IF('Staging Table'!$F$1=2018,(SUM('Staging Table'!BD82:BG82)*Rates_previous!$C$87),(SUM('Staging Table'!BD82:BG82)*Rates_previous!$D$87)),IF('Staging Table'!$F$1=2018,(SUM('Staging Table'!DR82:DU82)*Rates_previous!$C$87),(SUM('Staging Table'!DR82:DU82)*Rates_previous!$D$87)))</f>
        <v>27432.108264294973</v>
      </c>
      <c r="J80" s="252">
        <f>IF(Init!$R$9="Yes",IF('Staging Table'!D82=1,'Staging Table'!H82*-1*'Staging Table'!BT82/'Staging Table'!BS82,'Staging Table'!H82*SUM(D80:I80)*(-1)),IF('Staging Table'!D82=1,'Staging Table'!BV82*-1*'Staging Table'!BT82/'Staging Table'!BS82,'Staging Table'!BV82*SUM(D80:I80)*(-1)))</f>
        <v>-302115.0483874096</v>
      </c>
      <c r="K80" s="250">
        <f>IF(Init!$R$9="Yes",'Staging Table'!K82,'Staging Table'!BY82)*(-1)*Rates_previous!$H$32</f>
        <v>0</v>
      </c>
      <c r="L80" s="250">
        <f>IF(Init!$R$12="No",0,'Staging Table'!$BI82*-1)*('Staging Table'!$F82/'Staging Table'!$E82)</f>
        <v>-77732.109326586622</v>
      </c>
      <c r="M80" s="250" t="str">
        <f>IF('Staging Table'!C82=1,"",SUM(D80:L80))</f>
        <v/>
      </c>
      <c r="N80" s="250" t="str">
        <f>IF('Staging Table'!C82=1,"",IF(Init!$R$9="Yes",(RT1SC!$C$3*'Staging Table'!F82*'Staging Table'!$F$2)+SUM('Staging Table'!L82:AI82)-IF(Init!$R$15="No",'Staging Table'!BH82, 0),Z80))</f>
        <v/>
      </c>
      <c r="O80" s="126" t="str">
        <f>IF('Staging Table'!C82=1,"",IF(N80=0, 0, M80/N80))</f>
        <v/>
      </c>
      <c r="P80" s="250">
        <f>'Staging Table'!BT82*Rates_current!$E$74*100*12</f>
        <v>4711735.5870000003</v>
      </c>
      <c r="Q80" s="250">
        <f>'Staging Table'!BT82*Rates_current!$E$75*100*12</f>
        <v>-476668.33500000002</v>
      </c>
      <c r="R80" s="251">
        <f>SUMPRODUCT('Staging Table'!BZ82:CW82, LS_Demand_Rates_Restatement!$C$5:$Z$5)-IF(Init!$R$15="No",('Staging Table'!DV82*Rates_current!$H$34), 0)</f>
        <v>0</v>
      </c>
      <c r="S80" s="251">
        <f>SUMPRODUCT('Staging Table'!CX82:DI82, LS_Demand_Rates_Restatement!$C$11:$N$11)*1000</f>
        <v>0</v>
      </c>
      <c r="T80" s="252">
        <f>'Staging Table'!EF82*IF(Init!$R$18="Yes",IF(Init!$R$6=2020,Rates_current!$C$88,Rates_current!$D$88),Rates_current!$H$33)</f>
        <v>0</v>
      </c>
      <c r="U80" s="252">
        <f>IF(Init!$R$18="Yes",(SUM('Staging Table'!DL82:DU82)*IF('Staging Table'!$BT$1=2020, Rates_current!$C$87, Rates_current!$D$87)),0)</f>
        <v>82251.256817027024</v>
      </c>
      <c r="V80" s="252">
        <f>IF('Staging Table'!D82=1, 'Staging Table'!BV82*-1*'Staging Table'!BT82/'Staging Table'!BS82,SUM(P80:U80)*'Staging Table'!BV82*-1)</f>
        <v>-302429.45673818537</v>
      </c>
      <c r="W80" s="250">
        <f>'Staging Table'!BY82*Rates_current!$H$32*-1</f>
        <v>0</v>
      </c>
      <c r="X80" s="250">
        <f>IF(Init!$R$12="No",0,'Staging Table'!$DW82*-1)</f>
        <v>0</v>
      </c>
      <c r="Y80" s="250" t="str">
        <f>IF('Staging Table'!C82=1,"", SUM(P80:X80))</f>
        <v/>
      </c>
      <c r="Z80" s="250" t="str">
        <f>IF('Staging Table'!C82=1,"", (RT1SC!$C$4*'Staging Table'!BT82*'Staging Table'!$BT$2)+SUM('Staging Table'!BZ82:CW82)-IF(Init!$R$15="No",'Staging Table'!DV82, 0))</f>
        <v/>
      </c>
      <c r="AA80" s="126" t="str">
        <f>IF('Staging Table'!C82=1,"",IF(Z80=0, 0, Y80/Z80))</f>
        <v/>
      </c>
      <c r="AB80" s="118" t="str">
        <f ca="1">IF('Staging Table'!C82=1,"",(AA80/O80-1)+(RAND()/100000000000000))</f>
        <v/>
      </c>
      <c r="AC80" s="79" t="str">
        <f t="shared" ca="1" si="1"/>
        <v/>
      </c>
      <c r="AF80" s="255"/>
      <c r="AG80" s="255"/>
      <c r="AI80" s="255"/>
      <c r="AJ80" s="255"/>
    </row>
    <row r="81" spans="2:36">
      <c r="B81" s="166">
        <v>10242</v>
      </c>
      <c r="C81" s="167" t="s">
        <v>84</v>
      </c>
      <c r="D81" s="250">
        <f>IF(Init!$R$9="Yes",'Staging Table'!F83,'Staging Table'!BT83)*Rates_previous!$E$75*100*12</f>
        <v>3388231.9785599997</v>
      </c>
      <c r="E81" s="250">
        <f>IF(Init!$R$9="Yes",'Staging Table'!F83,'Staging Table'!BT83)*Rates_previous!$E$76*100*12</f>
        <v>-477814.45139999996</v>
      </c>
      <c r="F81" s="251">
        <f>IF(Init!$R$9="Yes",SUMPRODUCT('Staging Table'!L83:AI83,LS_Demand_Rates_Restatement!$C$4:$Z$4)-IF(Init!$R$15="No",('Staging Table'!BH83*Rates_previous!$H$34), 0),SUMPRODUCT('Staging Table'!BZ83:CW83,LS_Demand_Rates_Restatement!$C$4:$Z$4)-IF(Init!$R$15="No", 'Staging Table'!DV83*Rates_previous!$H$34, 0))</f>
        <v>-55485.647147358046</v>
      </c>
      <c r="G81" s="251">
        <f>IF(Init!$R$9="Yes",SUMPRODUCT('Staging Table'!AJ83:AU83,LS_Demand_Rates_Restatement!$C$10:$N$10),SUMPRODUCT(LS_Demand_Rates_Restatement!$C$10:$N$10,'Staging Table'!CX83:DI83))*1000</f>
        <v>217489.80999999997</v>
      </c>
      <c r="H81" s="252">
        <f>IF(Init!$R$9="Yes",'Staging Table'!BR83,'Staging Table'!EF83)*IF(Init!$R$3=2018,Rates_previous!$C$88,Rates_previous!$D$88)</f>
        <v>15577.55759999994</v>
      </c>
      <c r="I81" s="250">
        <f>IF(Init!$R$9="Yes",IF('Staging Table'!$F$1=2018,(SUM('Staging Table'!BD83:BG83)*Rates_previous!$C$87),(SUM('Staging Table'!BD83:BG83)*Rates_previous!$D$87)),IF('Staging Table'!$F$1=2018,(SUM('Staging Table'!DR83:DU83)*Rates_previous!$C$87),(SUM('Staging Table'!DR83:DU83)*Rates_previous!$D$87)))</f>
        <v>18617.04469314446</v>
      </c>
      <c r="J81" s="252">
        <f>IF(Init!$R$9="Yes",IF('Staging Table'!D83=1,'Staging Table'!H83*-1*'Staging Table'!BT83/'Staging Table'!BS83,'Staging Table'!H83*SUM(D81:I81)*(-1)),IF('Staging Table'!D83=1,'Staging Table'!BV83*-1*'Staging Table'!BT83/'Staging Table'!BS83,'Staging Table'!BV83*SUM(D81:I81)*(-1)))</f>
        <v>-217463.14046140504</v>
      </c>
      <c r="K81" s="250">
        <f>IF(Init!$R$9="Yes",'Staging Table'!K83,'Staging Table'!BY83)*(-1)*Rates_previous!$H$32</f>
        <v>-441692.59343999997</v>
      </c>
      <c r="L81" s="250">
        <f>IF(Init!$R$12="No",0,'Staging Table'!$BI83*-1)*('Staging Table'!$F83/'Staging Table'!$E83)</f>
        <v>-103518.26046054739</v>
      </c>
      <c r="M81" s="250">
        <f>IF('Staging Table'!C83=1,"",SUM(D81:L81))</f>
        <v>2343942.2979438342</v>
      </c>
      <c r="N81" s="250">
        <f>IF('Staging Table'!C83=1,"",IF(Init!$R$9="Yes",(RT1SC!$C$3*'Staging Table'!F83*'Staging Table'!$F$2)+SUM('Staging Table'!L83:AI83)-IF(Init!$R$15="No",'Staging Table'!BH83, 0),Z81))</f>
        <v>82107.48</v>
      </c>
      <c r="O81" s="126">
        <f>IF('Staging Table'!C83=1,"",IF(N81=0, 0, M81/N81))</f>
        <v>28.547244391666073</v>
      </c>
      <c r="P81" s="250">
        <f>'Staging Table'!BT83*Rates_current!$E$74*100*12</f>
        <v>3205643.8636800004</v>
      </c>
      <c r="Q81" s="250">
        <f>'Staging Table'!BT83*Rates_current!$E$75*100*12</f>
        <v>-324302.77439999999</v>
      </c>
      <c r="R81" s="251">
        <f>SUMPRODUCT('Staging Table'!BZ83:CW83, LS_Demand_Rates_Restatement!$C$5:$Z$5)-IF(Init!$R$15="No",('Staging Table'!DV83*Rates_current!$H$34), 0)</f>
        <v>-106512.66999999994</v>
      </c>
      <c r="S81" s="251">
        <f>SUMPRODUCT('Staging Table'!CX83:DI83, LS_Demand_Rates_Restatement!$C$11:$N$11)*1000</f>
        <v>233831.99999999997</v>
      </c>
      <c r="T81" s="252">
        <f>'Staging Table'!EF83*IF(Init!$R$18="Yes",IF(Init!$R$6=2020,Rates_current!$C$88,Rates_current!$D$88),Rates_current!$H$33)</f>
        <v>-3935.2977908459002</v>
      </c>
      <c r="U81" s="252">
        <f>IF(Init!$R$18="Yes",(SUM('Staging Table'!DL83:DU83)*IF('Staging Table'!$BT$1=2020, Rates_current!$C$87, Rates_current!$D$87)),0)</f>
        <v>55959.89669347091</v>
      </c>
      <c r="V81" s="252">
        <f>IF('Staging Table'!D83=1, 'Staging Table'!BV83*-1*'Staging Table'!BT83/'Staging Table'!BS83,SUM(P81:U81)*'Staging Table'!BV83*-1)</f>
        <v>-224242.31213115732</v>
      </c>
      <c r="W81" s="250">
        <f>'Staging Table'!BY83*Rates_current!$H$32*-1</f>
        <v>-417279.31234</v>
      </c>
      <c r="X81" s="250">
        <f>IF(Init!$R$12="No",0,'Staging Table'!$DW83*-1)</f>
        <v>0</v>
      </c>
      <c r="Y81" s="250">
        <f>IF('Staging Table'!C83=1,"", SUM(P81:X81))</f>
        <v>2419163.3937114682</v>
      </c>
      <c r="Z81" s="250">
        <f>IF('Staging Table'!C83=1,"", (RT1SC!$C$4*'Staging Table'!BT83*'Staging Table'!$BT$2)+SUM('Staging Table'!BZ83:CW83)-IF(Init!$R$15="No",'Staging Table'!DV83, 0))</f>
        <v>82980.429124710397</v>
      </c>
      <c r="AA81" s="126">
        <f>IF('Staging Table'!C83=1,"",IF(Z81=0, 0, Y81/Z81))</f>
        <v>29.153421104580374</v>
      </c>
      <c r="AB81" s="118">
        <f ca="1">IF('Staging Table'!C83=1,"",(AA81/O81-1)+(RAND()/100000000000000))</f>
        <v>2.1234158526746504E-2</v>
      </c>
      <c r="AC81" s="79">
        <f t="shared" ca="1" si="1"/>
        <v>50</v>
      </c>
      <c r="AF81" s="255"/>
      <c r="AG81" s="255"/>
      <c r="AI81" s="255"/>
      <c r="AJ81" s="255"/>
    </row>
    <row r="82" spans="2:36">
      <c r="B82" s="166">
        <v>10244</v>
      </c>
      <c r="C82" s="167" t="s">
        <v>85</v>
      </c>
      <c r="D82" s="250">
        <f>IF(Init!$R$9="Yes",'Staging Table'!F84,'Staging Table'!BT84)*Rates_previous!$E$75*100*12</f>
        <v>31056627.56256</v>
      </c>
      <c r="E82" s="250">
        <f>IF(Init!$R$9="Yes",'Staging Table'!F84,'Staging Table'!BT84)*Rates_previous!$E$76*100*12</f>
        <v>-4379660.4114000006</v>
      </c>
      <c r="F82" s="251">
        <f>IF(Init!$R$9="Yes",SUMPRODUCT('Staging Table'!L84:AI84,LS_Demand_Rates_Restatement!$C$4:$Z$4)-IF(Init!$R$15="No",('Staging Table'!BH84*Rates_previous!$H$34), 0),SUMPRODUCT('Staging Table'!BZ84:CW84,LS_Demand_Rates_Restatement!$C$4:$Z$4)-IF(Init!$R$15="No", 'Staging Table'!DV84*Rates_previous!$H$34, 0))</f>
        <v>774074.63729235576</v>
      </c>
      <c r="G82" s="251">
        <f>IF(Init!$R$9="Yes",SUMPRODUCT('Staging Table'!AJ84:AU84,LS_Demand_Rates_Restatement!$C$10:$N$10),SUMPRODUCT(LS_Demand_Rates_Restatement!$C$10:$N$10,'Staging Table'!CX84:DI84))*1000</f>
        <v>1728985.0999999996</v>
      </c>
      <c r="H82" s="252">
        <f>IF(Init!$R$9="Yes",'Staging Table'!BR84,'Staging Table'!EF84)*IF(Init!$R$3=2018,Rates_previous!$C$88,Rates_previous!$D$88)</f>
        <v>0</v>
      </c>
      <c r="I82" s="250">
        <f>IF(Init!$R$9="Yes",IF('Staging Table'!$F$1=2018,(SUM('Staging Table'!BD84:BG84)*Rates_previous!$C$87),(SUM('Staging Table'!BD84:BG84)*Rates_previous!$D$87)),IF('Staging Table'!$F$1=2018,(SUM('Staging Table'!DR84:DU84)*Rates_previous!$C$87),(SUM('Staging Table'!DR84:DU84)*Rates_previous!$D$87)))</f>
        <v>170644.34401455871</v>
      </c>
      <c r="J82" s="252">
        <f>IF(Init!$R$9="Yes",IF('Staging Table'!D84=1,'Staging Table'!H84*-1*'Staging Table'!BT84/'Staging Table'!BS84,'Staging Table'!H84*SUM(D82:I82)*(-1)),IF('Staging Table'!D84=1,'Staging Table'!BV84*-1*'Staging Table'!BT84/'Staging Table'!BS84,'Staging Table'!BV84*SUM(D82:I82)*(-1)))</f>
        <v>-1735390.7223579618</v>
      </c>
      <c r="K82" s="250">
        <f>IF(Init!$R$9="Yes",'Staging Table'!K84,'Staging Table'!BY84)*(-1)*Rates_previous!$H$32</f>
        <v>0</v>
      </c>
      <c r="L82" s="250">
        <f>IF(Init!$R$12="No",0,'Staging Table'!$BI84*-1)*('Staging Table'!$F84/'Staging Table'!$E84)</f>
        <v>-483540.84480514302</v>
      </c>
      <c r="M82" s="250">
        <f>IF('Staging Table'!C84=1,"",SUM(D82:L82))</f>
        <v>27131739.665303804</v>
      </c>
      <c r="N82" s="250">
        <f>IF('Staging Table'!C84=1,"",IF(Init!$R$9="Yes",(RT1SC!$C$3*'Staging Table'!F84*'Staging Table'!$F$2)+SUM('Staging Table'!L84:AI84)-IF(Init!$R$15="No",'Staging Table'!BH84, 0),Z82))</f>
        <v>741595.32</v>
      </c>
      <c r="O82" s="126">
        <f>IF('Staging Table'!C84=1,"",IF(N82=0, 0, M82/N82))</f>
        <v>36.585640353425916</v>
      </c>
      <c r="P82" s="250">
        <f>'Staging Table'!BT84*Rates_current!$E$74*100*12</f>
        <v>28955605.637879997</v>
      </c>
      <c r="Q82" s="250">
        <f>'Staging Table'!BT84*Rates_current!$E$75*100*12</f>
        <v>-2929328.2853999999</v>
      </c>
      <c r="R82" s="251">
        <f>SUMPRODUCT('Staging Table'!BZ84:CW84, LS_Demand_Rates_Restatement!$C$5:$Z$5)-IF(Init!$R$15="No",('Staging Table'!DV84*Rates_current!$H$34), 0)</f>
        <v>824019.94999999949</v>
      </c>
      <c r="S82" s="251">
        <f>SUMPRODUCT('Staging Table'!CX84:DI84, LS_Demand_Rates_Restatement!$C$11:$N$11)*1000</f>
        <v>1935006.0499999996</v>
      </c>
      <c r="T82" s="252">
        <f>'Staging Table'!EF84*IF(Init!$R$18="Yes",IF(Init!$R$6=2020,Rates_current!$C$88,Rates_current!$D$88),Rates_current!$H$33)</f>
        <v>0</v>
      </c>
      <c r="U82" s="252">
        <f>IF(Init!$R$18="Yes",(SUM('Staging Table'!DL84:DU84)*IF('Staging Table'!$BT$1=2020, Rates_current!$C$87, Rates_current!$D$87)),0)</f>
        <v>505468.71988846682</v>
      </c>
      <c r="V82" s="252">
        <f>IF('Staging Table'!D84=1, 'Staging Table'!BV84*-1*'Staging Table'!BT84/'Staging Table'!BS84,SUM(P82:U82)*'Staging Table'!BV84*-1)</f>
        <v>-1818376.9884070489</v>
      </c>
      <c r="W82" s="250">
        <f>'Staging Table'!BY84*Rates_current!$H$32*-1</f>
        <v>0</v>
      </c>
      <c r="X82" s="250">
        <f>IF(Init!$R$12="No",0,'Staging Table'!$DW84*-1)</f>
        <v>0</v>
      </c>
      <c r="Y82" s="250">
        <f>IF('Staging Table'!C84=1,"", SUM(P82:X82))</f>
        <v>27472395.083961416</v>
      </c>
      <c r="Z82" s="250">
        <f>IF('Staging Table'!C84=1,"", (RT1SC!$C$4*'Staging Table'!BT84*'Staging Table'!$BT$2)+SUM('Staging Table'!BZ84:CW84)-IF(Init!$R$15="No",'Staging Table'!DV84, 0))</f>
        <v>751750.97824368638</v>
      </c>
      <c r="AA82" s="126">
        <f>IF('Staging Table'!C84=1,"",IF(Z82=0, 0, Y82/Z82))</f>
        <v>36.544541848345965</v>
      </c>
      <c r="AB82" s="118">
        <f ca="1">IF('Staging Table'!C84=1,"",(AA82/O82-1)+(RAND()/100000000000000))</f>
        <v>-1.1233507103545351E-3</v>
      </c>
      <c r="AC82" s="79">
        <f t="shared" ca="1" si="1"/>
        <v>111</v>
      </c>
      <c r="AF82" s="255"/>
      <c r="AG82" s="255"/>
      <c r="AI82" s="255"/>
      <c r="AJ82" s="255"/>
    </row>
    <row r="83" spans="2:36">
      <c r="B83" s="166">
        <v>10246</v>
      </c>
      <c r="C83" s="167" t="s">
        <v>86</v>
      </c>
      <c r="D83" s="250">
        <f>IF(Init!$R$9="Yes",'Staging Table'!F85,'Staging Table'!BT85)*Rates_previous!$E$75*100*12</f>
        <v>3244030.2115200004</v>
      </c>
      <c r="E83" s="250">
        <f>IF(Init!$R$9="Yes",'Staging Table'!F85,'Staging Table'!BT85)*Rates_previous!$E$76*100*12</f>
        <v>-457478.86379999999</v>
      </c>
      <c r="F83" s="251">
        <f>IF(Init!$R$9="Yes",SUMPRODUCT('Staging Table'!L85:AI85,LS_Demand_Rates_Restatement!$C$4:$Z$4)-IF(Init!$R$15="No",('Staging Table'!BH85*Rates_previous!$H$34), 0),SUMPRODUCT('Staging Table'!BZ85:CW85,LS_Demand_Rates_Restatement!$C$4:$Z$4)-IF(Init!$R$15="No", 'Staging Table'!DV85*Rates_previous!$H$34, 0))</f>
        <v>31380.30999999999</v>
      </c>
      <c r="G83" s="251">
        <f>IF(Init!$R$9="Yes",SUMPRODUCT('Staging Table'!AJ85:AU85,LS_Demand_Rates_Restatement!$C$10:$N$10),SUMPRODUCT(LS_Demand_Rates_Restatement!$C$10:$N$10,'Staging Table'!CX85:DI85))*1000</f>
        <v>122720.89000000001</v>
      </c>
      <c r="H83" s="252">
        <f>IF(Init!$R$9="Yes",'Staging Table'!BR85,'Staging Table'!EF85)*IF(Init!$R$3=2018,Rates_previous!$C$88,Rates_previous!$D$88)</f>
        <v>-15227.067390763325</v>
      </c>
      <c r="I83" s="250">
        <f>IF(Init!$R$9="Yes",IF('Staging Table'!$F$1=2018,(SUM('Staging Table'!BD85:BG85)*Rates_previous!$C$87),(SUM('Staging Table'!BD85:BG85)*Rates_previous!$D$87)),IF('Staging Table'!$F$1=2018,(SUM('Staging Table'!DR85:DU85)*Rates_previous!$C$87),(SUM('Staging Table'!DR85:DU85)*Rates_previous!$D$87)))</f>
        <v>17824.710886368026</v>
      </c>
      <c r="J83" s="252">
        <f>IF(Init!$R$9="Yes",IF('Staging Table'!D85=1,'Staging Table'!H85*-1*'Staging Table'!BT85/'Staging Table'!BS85,'Staging Table'!H85*SUM(D83:I83)*(-1)),IF('Staging Table'!D85=1,'Staging Table'!BV85*-1*'Staging Table'!BT85/'Staging Table'!BS85,'Staging Table'!BV85*SUM(D83:I83)*(-1)))</f>
        <v>-191614.12287369044</v>
      </c>
      <c r="K83" s="250">
        <f>IF(Init!$R$9="Yes",'Staging Table'!K85,'Staging Table'!BY85)*(-1)*Rates_previous!$H$32</f>
        <v>0</v>
      </c>
      <c r="L83" s="250">
        <f>IF(Init!$R$12="No",0,'Staging Table'!$BI85*-1)*('Staging Table'!$F85/'Staging Table'!$E85)</f>
        <v>-102600.73460245307</v>
      </c>
      <c r="M83" s="250">
        <f>IF('Staging Table'!C85=1,"",SUM(D83:L83))</f>
        <v>2649035.3337394618</v>
      </c>
      <c r="N83" s="250">
        <f>IF('Staging Table'!C85=1,"",IF(Init!$R$9="Yes",(RT1SC!$C$3*'Staging Table'!F85*'Staging Table'!$F$2)+SUM('Staging Table'!L85:AI85)-IF(Init!$R$15="No",'Staging Table'!BH85, 0),Z83))</f>
        <v>76291.562327367996</v>
      </c>
      <c r="O83" s="126">
        <f>IF('Staging Table'!C85=1,"",IF(N83=0, 0, M83/N83))</f>
        <v>34.722520458716261</v>
      </c>
      <c r="P83" s="250">
        <f>'Staging Table'!BT85*Rates_current!$E$74*100*12</f>
        <v>2972255.49816</v>
      </c>
      <c r="Q83" s="250">
        <f>'Staging Table'!BT85*Rates_current!$E$75*100*12</f>
        <v>-300691.76279999997</v>
      </c>
      <c r="R83" s="251">
        <f>SUMPRODUCT('Staging Table'!BZ85:CW85, LS_Demand_Rates_Restatement!$C$5:$Z$5)-IF(Init!$R$15="No",('Staging Table'!DV85*Rates_current!$H$34), 0)</f>
        <v>49163.729999999989</v>
      </c>
      <c r="S83" s="251">
        <f>SUMPRODUCT('Staging Table'!CX85:DI85, LS_Demand_Rates_Restatement!$C$11:$N$11)*1000</f>
        <v>130750.72</v>
      </c>
      <c r="T83" s="252">
        <f>'Staging Table'!EF85*IF(Init!$R$18="Yes",IF(Init!$R$6=2020,Rates_current!$C$88,Rates_current!$D$88),Rates_current!$H$33)</f>
        <v>-13938.244118529106</v>
      </c>
      <c r="U83" s="252">
        <f>IF(Init!$R$18="Yes",(SUM('Staging Table'!DL85:DU85)*IF('Staging Table'!$BT$1=2020, Rates_current!$C$87, Rates_current!$D$87)),0)</f>
        <v>51885.710857691804</v>
      </c>
      <c r="V83" s="252">
        <f>IF('Staging Table'!D85=1, 'Staging Table'!BV85*-1*'Staging Table'!BT85/'Staging Table'!BS85,SUM(P83:U83)*'Staging Table'!BV85*-1)</f>
        <v>-158918.41086545395</v>
      </c>
      <c r="W83" s="250">
        <f>'Staging Table'!BY85*Rates_current!$H$32*-1</f>
        <v>0</v>
      </c>
      <c r="X83" s="250">
        <f>IF(Init!$R$12="No",0,'Staging Table'!$DW85*-1)</f>
        <v>0</v>
      </c>
      <c r="Y83" s="250">
        <f>IF('Staging Table'!C85=1,"", SUM(P83:X83))</f>
        <v>2730507.2412337088</v>
      </c>
      <c r="Z83" s="250">
        <f>IF('Staging Table'!C85=1,"", (RT1SC!$C$4*'Staging Table'!BT85*'Staging Table'!$BT$2)+SUM('Staging Table'!BZ85:CW85)-IF(Init!$R$15="No",'Staging Table'!DV85, 0))</f>
        <v>76289.163748044797</v>
      </c>
      <c r="AA83" s="126">
        <f>IF('Staging Table'!C85=1,"",IF(Z83=0, 0, Y83/Z83))</f>
        <v>35.791547673160707</v>
      </c>
      <c r="AB83" s="118">
        <f ca="1">IF('Staging Table'!C85=1,"",(AA83/O83-1)+(RAND()/100000000000000))</f>
        <v>3.0787719333790504E-2</v>
      </c>
      <c r="AC83" s="79">
        <f t="shared" ca="1" si="1"/>
        <v>12</v>
      </c>
      <c r="AF83" s="255"/>
      <c r="AG83" s="255"/>
      <c r="AI83" s="255"/>
      <c r="AJ83" s="255"/>
    </row>
    <row r="84" spans="2:36">
      <c r="B84" s="166">
        <v>10247</v>
      </c>
      <c r="C84" s="167" t="s">
        <v>87</v>
      </c>
      <c r="D84" s="250">
        <f>IF(Init!$R$9="Yes",'Staging Table'!F86,'Staging Table'!BT86)*Rates_previous!$E$75*100*12</f>
        <v>28851563.43936</v>
      </c>
      <c r="E84" s="250">
        <f>IF(Init!$R$9="Yes",'Staging Table'!F86,'Staging Table'!BT86)*Rates_previous!$E$76*100*12</f>
        <v>-4068698.3784000007</v>
      </c>
      <c r="F84" s="251">
        <f>IF(Init!$R$9="Yes",SUMPRODUCT('Staging Table'!L86:AI86,LS_Demand_Rates_Restatement!$C$4:$Z$4)-IF(Init!$R$15="No",('Staging Table'!BH86*Rates_previous!$H$34), 0),SUMPRODUCT('Staging Table'!BZ86:CW86,LS_Demand_Rates_Restatement!$C$4:$Z$4)-IF(Init!$R$15="No", 'Staging Table'!DV86*Rates_previous!$H$34, 0))</f>
        <v>-417847.72999999963</v>
      </c>
      <c r="G84" s="251">
        <f>IF(Init!$R$9="Yes",SUMPRODUCT('Staging Table'!AJ86:AU86,LS_Demand_Rates_Restatement!$C$10:$N$10),SUMPRODUCT(LS_Demand_Rates_Restatement!$C$10:$N$10,'Staging Table'!CX86:DI86))*1000</f>
        <v>1573693.9699999997</v>
      </c>
      <c r="H84" s="252">
        <f>IF(Init!$R$9="Yes",'Staging Table'!BR86,'Staging Table'!EF86)*IF(Init!$R$3=2018,Rates_previous!$C$88,Rates_previous!$D$88)</f>
        <v>-285756.3223517171</v>
      </c>
      <c r="I84" s="250">
        <f>IF(Init!$R$9="Yes",IF('Staging Table'!$F$1=2018,(SUM('Staging Table'!BD86:BG86)*Rates_previous!$C$87),(SUM('Staging Table'!BD86:BG86)*Rates_previous!$D$87)),IF('Staging Table'!$F$1=2018,(SUM('Staging Table'!DR86:DU86)*Rates_previous!$C$87),(SUM('Staging Table'!DR86:DU86)*Rates_previous!$D$87)))</f>
        <v>158528.35620952336</v>
      </c>
      <c r="J84" s="252">
        <f>IF(Init!$R$9="Yes",IF('Staging Table'!D86=1,'Staging Table'!H86*-1*'Staging Table'!BT86/'Staging Table'!BS86,'Staging Table'!H86*SUM(D84:I84)*(-1)),IF('Staging Table'!D86=1,'Staging Table'!BV86*-1*'Staging Table'!BT86/'Staging Table'!BS86,'Staging Table'!BV86*SUM(D84:I84)*(-1)))</f>
        <v>-1322983.0652160875</v>
      </c>
      <c r="K84" s="250">
        <f>IF(Init!$R$9="Yes",'Staging Table'!K86,'Staging Table'!BY86)*(-1)*Rates_previous!$H$32</f>
        <v>0</v>
      </c>
      <c r="L84" s="250">
        <f>IF(Init!$R$12="No",0,'Staging Table'!$BI86*-1)*('Staging Table'!$F86/'Staging Table'!$E86)</f>
        <v>-993325.82931685599</v>
      </c>
      <c r="M84" s="250">
        <f>IF('Staging Table'!C86=1,"",SUM(D84:L84))</f>
        <v>23495174.440284863</v>
      </c>
      <c r="N84" s="250">
        <f>IF('Staging Table'!C86=1,"",IF(Init!$R$9="Yes",(RT1SC!$C$3*'Staging Table'!F86*'Staging Table'!$F$2)+SUM('Staging Table'!L86:AI86)-IF(Init!$R$15="No",'Staging Table'!BH86, 0),Z84))</f>
        <v>649622.83501142391</v>
      </c>
      <c r="O84" s="126">
        <f>IF('Staging Table'!C86=1,"",IF(N84=0, 0, M84/N84))</f>
        <v>36.167408493070738</v>
      </c>
      <c r="P84" s="250">
        <f>'Staging Table'!BT86*Rates_current!$E$74*100*12</f>
        <v>26804249.747160003</v>
      </c>
      <c r="Q84" s="250">
        <f>'Staging Table'!BT86*Rates_current!$E$75*100*12</f>
        <v>-2711683.8078000001</v>
      </c>
      <c r="R84" s="251">
        <f>SUMPRODUCT('Staging Table'!BZ86:CW86, LS_Demand_Rates_Restatement!$C$5:$Z$5)-IF(Init!$R$15="No",('Staging Table'!DV86*Rates_current!$H$34), 0)</f>
        <v>-17297.01999999999</v>
      </c>
      <c r="S84" s="251">
        <f>SUMPRODUCT('Staging Table'!CX86:DI86, LS_Demand_Rates_Restatement!$C$11:$N$11)*1000</f>
        <v>1723426.3699999999</v>
      </c>
      <c r="T84" s="252">
        <f>'Staging Table'!EF86*IF(Init!$R$18="Yes",IF(Init!$R$6=2020,Rates_current!$C$88,Rates_current!$D$88),Rates_current!$H$33)</f>
        <v>-459717.28875484236</v>
      </c>
      <c r="U84" s="252">
        <f>IF(Init!$R$18="Yes",(SUM('Staging Table'!DL86:DU86)*IF('Staging Table'!$BT$1=2020, Rates_current!$C$87, Rates_current!$D$87)),0)</f>
        <v>467913.1901680266</v>
      </c>
      <c r="V84" s="252">
        <f>IF('Staging Table'!D86=1, 'Staging Table'!BV86*-1*'Staging Table'!BT86/'Staging Table'!BS86,SUM(P84:U84)*'Staging Table'!BV86*-1)</f>
        <v>-1290344.5595386596</v>
      </c>
      <c r="W84" s="250">
        <f>'Staging Table'!BY86*Rates_current!$H$32*-1</f>
        <v>0</v>
      </c>
      <c r="X84" s="250">
        <f>IF(Init!$R$12="No",0,'Staging Table'!$DW86*-1)</f>
        <v>0</v>
      </c>
      <c r="Y84" s="250">
        <f>IF('Staging Table'!C86=1,"", SUM(P84:X84))</f>
        <v>24516546.63123453</v>
      </c>
      <c r="Z84" s="250">
        <f>IF('Staging Table'!C86=1,"", (RT1SC!$C$4*'Staging Table'!BT86*'Staging Table'!$BT$2)+SUM('Staging Table'!BZ86:CW86)-IF(Init!$R$15="No",'Staging Table'!DV86, 0))</f>
        <v>666927.13894676475</v>
      </c>
      <c r="AA84" s="126">
        <f>IF('Staging Table'!C86=1,"",IF(Z84=0, 0, Y84/Z84))</f>
        <v>36.760457326645813</v>
      </c>
      <c r="AB84" s="118">
        <f ca="1">IF('Staging Table'!C86=1,"",(AA84/O84-1)+(RAND()/100000000000000))</f>
        <v>1.6397327270184139E-2</v>
      </c>
      <c r="AC84" s="79">
        <f t="shared" ca="1" si="1"/>
        <v>72</v>
      </c>
      <c r="AF84" s="255"/>
      <c r="AG84" s="255"/>
      <c r="AI84" s="255"/>
      <c r="AJ84" s="255"/>
    </row>
    <row r="85" spans="2:36">
      <c r="B85" s="166">
        <v>10256</v>
      </c>
      <c r="C85" s="167" t="s">
        <v>88</v>
      </c>
      <c r="D85" s="250">
        <f>IF(Init!$R$9="Yes",'Staging Table'!F87,'Staging Table'!BT87)*Rates_previous!$E$75*100*12</f>
        <v>16402059.293759998</v>
      </c>
      <c r="E85" s="250">
        <f>IF(Init!$R$9="Yes",'Staging Table'!F87,'Staging Table'!BT87)*Rates_previous!$E$76*100*12</f>
        <v>-2313047.3393999999</v>
      </c>
      <c r="F85" s="251">
        <f>IF(Init!$R$9="Yes",SUMPRODUCT('Staging Table'!L87:AI87,LS_Demand_Rates_Restatement!$C$4:$Z$4)-IF(Init!$R$15="No",('Staging Table'!BH87*Rates_previous!$H$34), 0),SUMPRODUCT('Staging Table'!BZ87:CW87,LS_Demand_Rates_Restatement!$C$4:$Z$4)-IF(Init!$R$15="No", 'Staging Table'!DV87*Rates_previous!$H$34, 0))</f>
        <v>382027.60296207527</v>
      </c>
      <c r="G85" s="251">
        <f>IF(Init!$R$9="Yes",SUMPRODUCT('Staging Table'!AJ87:AU87,LS_Demand_Rates_Restatement!$C$10:$N$10),SUMPRODUCT(LS_Demand_Rates_Restatement!$C$10:$N$10,'Staging Table'!CX87:DI87))*1000</f>
        <v>959177.58</v>
      </c>
      <c r="H85" s="252">
        <f>IF(Init!$R$9="Yes",'Staging Table'!BR87,'Staging Table'!EF87)*IF(Init!$R$3=2018,Rates_previous!$C$88,Rates_previous!$D$88)</f>
        <v>146110.66799999896</v>
      </c>
      <c r="I85" s="250">
        <f>IF(Init!$R$9="Yes",IF('Staging Table'!$F$1=2018,(SUM('Staging Table'!BD87:BG87)*Rates_previous!$C$87),(SUM('Staging Table'!BD87:BG87)*Rates_previous!$D$87)),IF('Staging Table'!$F$1=2018,(SUM('Staging Table'!DR87:DU87)*Rates_previous!$C$87),(SUM('Staging Table'!DR87:DU87)*Rates_previous!$D$87)))</f>
        <v>90123.070930141155</v>
      </c>
      <c r="J85" s="252">
        <f>IF(Init!$R$9="Yes",IF('Staging Table'!D87=1,'Staging Table'!H87*-1*'Staging Table'!BT87/'Staging Table'!BS87,'Staging Table'!H87*SUM(D85:I85)*(-1)),IF('Staging Table'!D87=1,'Staging Table'!BV87*-1*'Staging Table'!BT87/'Staging Table'!BS87,'Staging Table'!BV87*SUM(D85:I85)*(-1)))</f>
        <v>-1018319.3069563939</v>
      </c>
      <c r="K85" s="250">
        <f>IF(Init!$R$9="Yes",'Staging Table'!K87,'Staging Table'!BY87)*(-1)*Rates_previous!$H$32</f>
        <v>-487914.33264000004</v>
      </c>
      <c r="L85" s="250">
        <f>IF(Init!$R$12="No",0,'Staging Table'!$BI87*-1)*('Staging Table'!$F87/'Staging Table'!$E87)</f>
        <v>-542621.00665827445</v>
      </c>
      <c r="M85" s="250">
        <f>IF('Staging Table'!C87=1,"",SUM(D85:L85))</f>
        <v>13617596.229997545</v>
      </c>
      <c r="N85" s="250">
        <f>IF('Staging Table'!C87=1,"",IF(Init!$R$9="Yes",(RT1SC!$C$3*'Staging Table'!F87*'Staging Table'!$F$2)+SUM('Staging Table'!L87:AI87)-IF(Init!$R$15="No",'Staging Table'!BH87, 0),Z85))</f>
        <v>402916.19999999995</v>
      </c>
      <c r="O85" s="126">
        <f>IF('Staging Table'!C87=1,"",IF(N85=0, 0, M85/N85))</f>
        <v>33.797589250562638</v>
      </c>
      <c r="P85" s="250">
        <f>'Staging Table'!BT87*Rates_current!$E$74*100*12</f>
        <v>15674809.44108</v>
      </c>
      <c r="Q85" s="250">
        <f>'Staging Table'!BT87*Rates_current!$E$75*100*12</f>
        <v>-1585760.7413999999</v>
      </c>
      <c r="R85" s="251">
        <f>SUMPRODUCT('Staging Table'!BZ87:CW87, LS_Demand_Rates_Restatement!$C$5:$Z$5)-IF(Init!$R$15="No",('Staging Table'!DV87*Rates_current!$H$34), 0)</f>
        <v>158233.11048499035</v>
      </c>
      <c r="S85" s="251">
        <f>SUMPRODUCT('Staging Table'!CX87:DI87, LS_Demand_Rates_Restatement!$C$11:$N$11)*1000</f>
        <v>1075677.8400000001</v>
      </c>
      <c r="T85" s="252">
        <f>'Staging Table'!EF87*IF(Init!$R$18="Yes",IF(Init!$R$6=2020,Rates_current!$C$88,Rates_current!$D$88),Rates_current!$H$33)</f>
        <v>23558.951519999755</v>
      </c>
      <c r="U85" s="252">
        <f>IF(Init!$R$18="Yes",(SUM('Staging Table'!DL87:DU87)*IF('Staging Table'!$BT$1=2020, Rates_current!$C$87, Rates_current!$D$87)),0)</f>
        <v>273630.12059790082</v>
      </c>
      <c r="V85" s="252">
        <f>IF('Staging Table'!D87=1, 'Staging Table'!BV87*-1*'Staging Table'!BT87/'Staging Table'!BS87,SUM(P85:U85)*'Staging Table'!BV87*-1)</f>
        <v>-1015309.666948388</v>
      </c>
      <c r="W85" s="250">
        <f>'Staging Table'!BY87*Rates_current!$H$32*-1</f>
        <v>-460946.27854000003</v>
      </c>
      <c r="X85" s="250">
        <f>IF(Init!$R$12="No",0,'Staging Table'!$DW87*-1)</f>
        <v>0</v>
      </c>
      <c r="Y85" s="250">
        <f>IF('Staging Table'!C87=1,"", SUM(P85:X85))</f>
        <v>14143892.776794504</v>
      </c>
      <c r="Z85" s="250">
        <f>IF('Staging Table'!C87=1,"", (RT1SC!$C$4*'Staging Table'!BT87*'Staging Table'!$BT$2)+SUM('Staging Table'!BZ87:CW87)-IF(Init!$R$15="No",'Staging Table'!DV87, 0))</f>
        <v>408438.43199999997</v>
      </c>
      <c r="AA85" s="126">
        <f>IF('Staging Table'!C87=1,"",IF(Z85=0, 0, Y85/Z85))</f>
        <v>34.629191742648018</v>
      </c>
      <c r="AB85" s="118">
        <f ca="1">IF('Staging Table'!C87=1,"",(AA85/O85-1)+(RAND()/100000000000000))</f>
        <v>2.4605378978970208E-2</v>
      </c>
      <c r="AC85" s="79">
        <f t="shared" ca="1" si="1"/>
        <v>29</v>
      </c>
      <c r="AF85" s="255"/>
      <c r="AG85" s="255"/>
      <c r="AI85" s="255"/>
      <c r="AJ85" s="255"/>
    </row>
    <row r="86" spans="2:36">
      <c r="B86" s="166">
        <v>10258</v>
      </c>
      <c r="C86" s="167" t="s">
        <v>89</v>
      </c>
      <c r="D86" s="250">
        <f>IF(Init!$R$9="Yes",'Staging Table'!F88,'Staging Table'!BT88)*Rates_previous!$E$75*100*12</f>
        <v>13699422.642240001</v>
      </c>
      <c r="E86" s="250">
        <f>IF(Init!$R$9="Yes",'Staging Table'!F88,'Staging Table'!BT88)*Rates_previous!$E$76*100*12</f>
        <v>-1931916.7505999999</v>
      </c>
      <c r="F86" s="251">
        <f>IF(Init!$R$9="Yes",SUMPRODUCT('Staging Table'!L88:AI88,LS_Demand_Rates_Restatement!$C$4:$Z$4)-IF(Init!$R$15="No",('Staging Table'!BH88*Rates_previous!$H$34), 0),SUMPRODUCT('Staging Table'!BZ88:CW88,LS_Demand_Rates_Restatement!$C$4:$Z$4)-IF(Init!$R$15="No", 'Staging Table'!DV88*Rates_previous!$H$34, 0))</f>
        <v>227806.78000000014</v>
      </c>
      <c r="G86" s="251">
        <f>IF(Init!$R$9="Yes",SUMPRODUCT('Staging Table'!AJ88:AU88,LS_Demand_Rates_Restatement!$C$10:$N$10),SUMPRODUCT(LS_Demand_Rates_Restatement!$C$10:$N$10,'Staging Table'!CX88:DI88))*1000</f>
        <v>870697.28000000014</v>
      </c>
      <c r="H86" s="252">
        <f>IF(Init!$R$9="Yes",'Staging Table'!BR88,'Staging Table'!EF88)*IF(Init!$R$3=2018,Rates_previous!$C$88,Rates_previous!$D$88)</f>
        <v>0</v>
      </c>
      <c r="I86" s="250">
        <f>IF(Init!$R$9="Yes",IF('Staging Table'!$F$1=2018,(SUM('Staging Table'!BD88:BG88)*Rates_previous!$C$87),(SUM('Staging Table'!BD88:BG88)*Rates_previous!$D$87)),IF('Staging Table'!$F$1=2018,(SUM('Staging Table'!DR88:DU88)*Rates_previous!$C$87),(SUM('Staging Table'!DR88:DU88)*Rates_previous!$D$87)))</f>
        <v>75273.111526811859</v>
      </c>
      <c r="J86" s="252">
        <f>IF(Init!$R$9="Yes",IF('Staging Table'!D88=1,'Staging Table'!H88*-1*'Staging Table'!BT88/'Staging Table'!BS88,'Staging Table'!H88*SUM(D86:I86)*(-1)),IF('Staging Table'!D88=1,'Staging Table'!BV88*-1*'Staging Table'!BT88/'Staging Table'!BS88,'Staging Table'!BV88*SUM(D86:I86)*(-1)))</f>
        <v>-880220.77946588525</v>
      </c>
      <c r="K86" s="250">
        <f>IF(Init!$R$9="Yes",'Staging Table'!K88,'Staging Table'!BY88)*(-1)*Rates_previous!$H$32</f>
        <v>-216231.37872000001</v>
      </c>
      <c r="L86" s="250">
        <f>IF(Init!$R$12="No",0,'Staging Table'!$BI88*-1)*('Staging Table'!$F88/'Staging Table'!$E88)</f>
        <v>-213295.22609715705</v>
      </c>
      <c r="M86" s="250">
        <f>IF('Staging Table'!C88=1,"",SUM(D86:L86))</f>
        <v>11631535.678883767</v>
      </c>
      <c r="N86" s="250">
        <f>IF('Staging Table'!C88=1,"",IF(Init!$R$9="Yes",(RT1SC!$C$3*'Staging Table'!F88*'Staging Table'!$F$2)+SUM('Staging Table'!L88:AI88)-IF(Init!$R$15="No",'Staging Table'!BH88, 0),Z86))</f>
        <v>322012.83129701595</v>
      </c>
      <c r="O86" s="126">
        <f>IF('Staging Table'!C88=1,"",IF(N86=0, 0, M86/N86))</f>
        <v>36.121342221158734</v>
      </c>
      <c r="P86" s="250">
        <f>'Staging Table'!BT88*Rates_current!$E$74*100*12</f>
        <v>12772665.51912</v>
      </c>
      <c r="Q86" s="250">
        <f>'Staging Table'!BT88*Rates_current!$E$75*100*12</f>
        <v>-1292161.8995999999</v>
      </c>
      <c r="R86" s="251">
        <f>SUMPRODUCT('Staging Table'!BZ88:CW88, LS_Demand_Rates_Restatement!$C$5:$Z$5)-IF(Init!$R$15="No",('Staging Table'!DV88*Rates_current!$H$34), 0)</f>
        <v>372330.85221331072</v>
      </c>
      <c r="S86" s="251">
        <f>SUMPRODUCT('Staging Table'!CX88:DI88, LS_Demand_Rates_Restatement!$C$11:$N$11)*1000</f>
        <v>965438.1100000001</v>
      </c>
      <c r="T86" s="252">
        <f>'Staging Table'!EF88*IF(Init!$R$18="Yes",IF(Init!$R$6=2020,Rates_current!$C$88,Rates_current!$D$88),Rates_current!$H$33)</f>
        <v>0</v>
      </c>
      <c r="U86" s="252">
        <f>IF(Init!$R$18="Yes",(SUM('Staging Table'!DL88:DU88)*IF('Staging Table'!$BT$1=2020, Rates_current!$C$87, Rates_current!$D$87)),0)</f>
        <v>222968.32503710804</v>
      </c>
      <c r="V86" s="252">
        <f>IF('Staging Table'!D88=1, 'Staging Table'!BV88*-1*'Staging Table'!BT88/'Staging Table'!BS88,SUM(P86:U86)*'Staging Table'!BV88*-1)</f>
        <v>-786495.0689777825</v>
      </c>
      <c r="W86" s="250">
        <f>'Staging Table'!BY88*Rates_current!$H$32*-1</f>
        <v>-204279.81442000001</v>
      </c>
      <c r="X86" s="250">
        <f>IF(Init!$R$12="No",0,'Staging Table'!$DW88*-1)</f>
        <v>0</v>
      </c>
      <c r="Y86" s="250">
        <f>IF('Staging Table'!C88=1,"", SUM(P86:X86))</f>
        <v>12050466.023372637</v>
      </c>
      <c r="Z86" s="250">
        <f>IF('Staging Table'!C88=1,"", (RT1SC!$C$4*'Staging Table'!BT88*'Staging Table'!$BT$2)+SUM('Staging Table'!BZ88:CW88)-IF(Init!$R$15="No",'Staging Table'!DV88, 0))</f>
        <v>331604.78399999999</v>
      </c>
      <c r="AA86" s="126">
        <f>IF('Staging Table'!C88=1,"",IF(Z86=0, 0, Y86/Z86))</f>
        <v>36.339843707962423</v>
      </c>
      <c r="AB86" s="118">
        <f ca="1">IF('Staging Table'!C88=1,"",(AA86/O86-1)+(RAND()/100000000000000))</f>
        <v>6.0490965553304347E-3</v>
      </c>
      <c r="AC86" s="79">
        <f t="shared" ca="1" si="1"/>
        <v>89</v>
      </c>
      <c r="AF86" s="255"/>
      <c r="AG86" s="255"/>
      <c r="AI86" s="255"/>
      <c r="AJ86" s="255"/>
    </row>
    <row r="87" spans="2:36">
      <c r="B87" s="166">
        <v>10259</v>
      </c>
      <c r="C87" s="167" t="s">
        <v>90</v>
      </c>
      <c r="D87" s="250">
        <f>IF(Init!$R$9="Yes",'Staging Table'!F89,'Staging Table'!BT89)*Rates_previous!$E$75*100*12</f>
        <v>9740752.9315200001</v>
      </c>
      <c r="E87" s="250">
        <f>IF(Init!$R$9="Yes",'Staging Table'!F89,'Staging Table'!BT89)*Rates_previous!$E$76*100*12</f>
        <v>-1373658.1638</v>
      </c>
      <c r="F87" s="251">
        <f>IF(Init!$R$9="Yes",SUMPRODUCT('Staging Table'!L89:AI89,LS_Demand_Rates_Restatement!$C$4:$Z$4)-IF(Init!$R$15="No",('Staging Table'!BH89*Rates_previous!$H$34), 0),SUMPRODUCT('Staging Table'!BZ89:CW89,LS_Demand_Rates_Restatement!$C$4:$Z$4)-IF(Init!$R$15="No", 'Staging Table'!DV89*Rates_previous!$H$34, 0))</f>
        <v>124917.39791204338</v>
      </c>
      <c r="G87" s="251">
        <f>IF(Init!$R$9="Yes",SUMPRODUCT('Staging Table'!AJ89:AU89,LS_Demand_Rates_Restatement!$C$10:$N$10),SUMPRODUCT(LS_Demand_Rates_Restatement!$C$10:$N$10,'Staging Table'!CX89:DI89))*1000</f>
        <v>689623.17999999982</v>
      </c>
      <c r="H87" s="252">
        <f>IF(Init!$R$9="Yes",'Staging Table'!BR89,'Staging Table'!EF89)*IF(Init!$R$3=2018,Rates_previous!$C$88,Rates_previous!$D$88)</f>
        <v>0</v>
      </c>
      <c r="I87" s="250">
        <f>IF(Init!$R$9="Yes",IF('Staging Table'!$F$1=2018,(SUM('Staging Table'!BD89:BG89)*Rates_previous!$C$87),(SUM('Staging Table'!BD89:BG89)*Rates_previous!$D$87)),IF('Staging Table'!$F$1=2018,(SUM('Staging Table'!DR89:DU89)*Rates_previous!$C$87),(SUM('Staging Table'!DR89:DU89)*Rates_previous!$D$87)))</f>
        <v>53521.728682832712</v>
      </c>
      <c r="J87" s="252">
        <f>IF(Init!$R$9="Yes",IF('Staging Table'!D89=1,'Staging Table'!H89*-1*'Staging Table'!BT89/'Staging Table'!BS89,'Staging Table'!H89*SUM(D87:I87)*(-1)),IF('Staging Table'!D89=1,'Staging Table'!BV89*-1*'Staging Table'!BT89/'Staging Table'!BS89,'Staging Table'!BV89*SUM(D87:I87)*(-1)))</f>
        <v>-616155.82726267702</v>
      </c>
      <c r="K87" s="250">
        <f>IF(Init!$R$9="Yes",'Staging Table'!K89,'Staging Table'!BY89)*(-1)*Rates_previous!$H$32</f>
        <v>0</v>
      </c>
      <c r="L87" s="250">
        <f>IF(Init!$R$12="No",0,'Staging Table'!$BI89*-1)*('Staging Table'!$F89/'Staging Table'!$E89)</f>
        <v>-151660.12124328365</v>
      </c>
      <c r="M87" s="250">
        <f>IF('Staging Table'!C89=1,"",SUM(D87:L87))</f>
        <v>8467341.1258089151</v>
      </c>
      <c r="N87" s="250">
        <f>IF('Staging Table'!C89=1,"",IF(Init!$R$9="Yes",(RT1SC!$C$3*'Staging Table'!F89*'Staging Table'!$F$2)+SUM('Staging Table'!L89:AI89)-IF(Init!$R$15="No",'Staging Table'!BH89, 0),Z87))</f>
        <v>232595.52</v>
      </c>
      <c r="O87" s="126">
        <f>IF('Staging Table'!C89=1,"",IF(N87=0, 0, M87/N87))</f>
        <v>36.403715453371227</v>
      </c>
      <c r="P87" s="250">
        <f>'Staging Table'!BT89*Rates_current!$E$74*100*12</f>
        <v>9081944.6146799996</v>
      </c>
      <c r="Q87" s="250">
        <f>'Staging Table'!BT89*Rates_current!$E$75*100*12</f>
        <v>-918785.72940000007</v>
      </c>
      <c r="R87" s="251">
        <f>SUMPRODUCT('Staging Table'!BZ89:CW89, LS_Demand_Rates_Restatement!$C$5:$Z$5)-IF(Init!$R$15="No",('Staging Table'!DV89*Rates_current!$H$34), 0)</f>
        <v>132695.98952942507</v>
      </c>
      <c r="S87" s="251">
        <f>SUMPRODUCT('Staging Table'!CX89:DI89, LS_Demand_Rates_Restatement!$C$11:$N$11)*1000</f>
        <v>753274.00999999989</v>
      </c>
      <c r="T87" s="252">
        <f>'Staging Table'!EF89*IF(Init!$R$18="Yes",IF(Init!$R$6=2020,Rates_current!$C$88,Rates_current!$D$88),Rates_current!$H$33)</f>
        <v>0</v>
      </c>
      <c r="U87" s="252">
        <f>IF(Init!$R$18="Yes",(SUM('Staging Table'!DL89:DU89)*IF('Staging Table'!$BT$1=2020, Rates_current!$C$87, Rates_current!$D$87)),0)</f>
        <v>158540.59403526125</v>
      </c>
      <c r="V87" s="252">
        <f>IF('Staging Table'!D89=1, 'Staging Table'!BV89*-1*'Staging Table'!BT89/'Staging Table'!BS89,SUM(P87:U87)*'Staging Table'!BV89*-1)</f>
        <v>-600884.2232868732</v>
      </c>
      <c r="W87" s="250">
        <f>'Staging Table'!BY89*Rates_current!$H$32*-1</f>
        <v>0</v>
      </c>
      <c r="X87" s="250">
        <f>IF(Init!$R$12="No",0,'Staging Table'!$DW89*-1)</f>
        <v>0</v>
      </c>
      <c r="Y87" s="250">
        <f>IF('Staging Table'!C89=1,"", SUM(P87:X87))</f>
        <v>8606785.2555578128</v>
      </c>
      <c r="Z87" s="250">
        <f>IF('Staging Table'!C89=1,"", (RT1SC!$C$4*'Staging Table'!BT89*'Staging Table'!$BT$2)+SUM('Staging Table'!BZ89:CW89)-IF(Init!$R$15="No",'Staging Table'!DV89, 0))</f>
        <v>235788.91200000001</v>
      </c>
      <c r="AA87" s="126">
        <f>IF('Staging Table'!C89=1,"",IF(Z87=0, 0, Y87/Z87))</f>
        <v>36.502077992360441</v>
      </c>
      <c r="AB87" s="118">
        <f ca="1">IF('Staging Table'!C89=1,"",(AA87/O87-1)+(RAND()/100000000000000))</f>
        <v>2.7019917545331607E-3</v>
      </c>
      <c r="AC87" s="79">
        <f t="shared" ca="1" si="1"/>
        <v>94</v>
      </c>
      <c r="AF87" s="255"/>
      <c r="AG87" s="255"/>
      <c r="AI87" s="255"/>
      <c r="AJ87" s="255"/>
    </row>
    <row r="88" spans="2:36">
      <c r="B88" s="166">
        <v>10260</v>
      </c>
      <c r="C88" s="167" t="s">
        <v>91</v>
      </c>
      <c r="D88" s="250">
        <f>IF(Init!$R$9="Yes",'Staging Table'!F90,'Staging Table'!BT90)*Rates_previous!$E$75*100*12</f>
        <v>9488017.6790400017</v>
      </c>
      <c r="E88" s="250">
        <f>IF(Init!$R$9="Yes",'Staging Table'!F90,'Staging Table'!BT90)*Rates_previous!$E$76*100*12</f>
        <v>-1338016.9926000002</v>
      </c>
      <c r="F88" s="251">
        <f>IF(Init!$R$9="Yes",SUMPRODUCT('Staging Table'!L90:AI90,LS_Demand_Rates_Restatement!$C$4:$Z$4)-IF(Init!$R$15="No",('Staging Table'!BH90*Rates_previous!$H$34), 0),SUMPRODUCT('Staging Table'!BZ90:CW90,LS_Demand_Rates_Restatement!$C$4:$Z$4)-IF(Init!$R$15="No", 'Staging Table'!DV90*Rates_previous!$H$34, 0))</f>
        <v>120479.93955007481</v>
      </c>
      <c r="G88" s="251">
        <f>IF(Init!$R$9="Yes",SUMPRODUCT('Staging Table'!AJ90:AU90,LS_Demand_Rates_Restatement!$C$10:$N$10),SUMPRODUCT(LS_Demand_Rates_Restatement!$C$10:$N$10,'Staging Table'!CX90:DI90))*1000</f>
        <v>404099.24000000005</v>
      </c>
      <c r="H88" s="252">
        <f>IF(Init!$R$9="Yes",'Staging Table'!BR90,'Staging Table'!EF90)*IF(Init!$R$3=2018,Rates_previous!$C$88,Rates_previous!$D$88)</f>
        <v>0</v>
      </c>
      <c r="I88" s="250">
        <f>IF(Init!$R$9="Yes",IF('Staging Table'!$F$1=2018,(SUM('Staging Table'!BD90:BG90)*Rates_previous!$C$87),(SUM('Staging Table'!BD90:BG90)*Rates_previous!$D$87)),IF('Staging Table'!$F$1=2018,(SUM('Staging Table'!DR90:DU90)*Rates_previous!$C$87),(SUM('Staging Table'!DR90:DU90)*Rates_previous!$D$87)))</f>
        <v>52133.044696397679</v>
      </c>
      <c r="J88" s="252">
        <f>IF(Init!$R$9="Yes",IF('Staging Table'!D90=1,'Staging Table'!H90*-1*'Staging Table'!BT90/'Staging Table'!BS90,'Staging Table'!H90*SUM(D88:I88)*(-1)),IF('Staging Table'!D90=1,'Staging Table'!BV90*-1*'Staging Table'!BT90/'Staging Table'!BS90,'Staging Table'!BV90*SUM(D88:I88)*(-1)))</f>
        <v>0</v>
      </c>
      <c r="K88" s="250">
        <f>IF(Init!$R$9="Yes",'Staging Table'!K90,'Staging Table'!BY90)*(-1)*Rates_previous!$H$32</f>
        <v>0</v>
      </c>
      <c r="L88" s="250">
        <f>IF(Init!$R$12="No",0,'Staging Table'!$BI90*-1)*('Staging Table'!$F90/'Staging Table'!$E90)</f>
        <v>-147725.12162846563</v>
      </c>
      <c r="M88" s="250">
        <f>IF('Staging Table'!C90=1,"",SUM(D88:L88))</f>
        <v>8578987.7890580092</v>
      </c>
      <c r="N88" s="250">
        <f>IF('Staging Table'!C90=1,"",IF(Init!$R$9="Yes",(RT1SC!$C$3*'Staging Table'!F90*'Staging Table'!$F$2)+SUM('Staging Table'!L90:AI90)-IF(Init!$R$15="No",'Staging Table'!BH90, 0),Z88))</f>
        <v>226559.88</v>
      </c>
      <c r="O88" s="126">
        <f>IF('Staging Table'!C90=1,"",IF(N88=0, 0, M88/N88))</f>
        <v>37.866315029201147</v>
      </c>
      <c r="P88" s="250">
        <f>'Staging Table'!BT90*Rates_current!$E$74*100*12</f>
        <v>8846179.5855599996</v>
      </c>
      <c r="Q88" s="250">
        <f>'Staging Table'!BT90*Rates_current!$E$75*100*12</f>
        <v>-894934.27980000002</v>
      </c>
      <c r="R88" s="251">
        <f>SUMPRODUCT('Staging Table'!BZ90:CW90, LS_Demand_Rates_Restatement!$C$5:$Z$5)-IF(Init!$R$15="No",('Staging Table'!DV90*Rates_current!$H$34), 0)</f>
        <v>12299.609999999957</v>
      </c>
      <c r="S88" s="251">
        <f>SUMPRODUCT('Staging Table'!CX90:DI90, LS_Demand_Rates_Restatement!$C$11:$N$11)*1000</f>
        <v>457968.64999999991</v>
      </c>
      <c r="T88" s="252">
        <f>'Staging Table'!EF90*IF(Init!$R$18="Yes",IF(Init!$R$6=2020,Rates_current!$C$88,Rates_current!$D$88),Rates_current!$H$33)</f>
        <v>0</v>
      </c>
      <c r="U88" s="252">
        <f>IF(Init!$R$18="Yes",(SUM('Staging Table'!DL90:DU90)*IF('Staging Table'!$BT$1=2020, Rates_current!$C$87, Rates_current!$D$87)),0)</f>
        <v>154424.91954534999</v>
      </c>
      <c r="V88" s="252">
        <f>IF('Staging Table'!D90=1, 'Staging Table'!BV90*-1*'Staging Table'!BT90/'Staging Table'!BS90,SUM(P88:U88)*'Staging Table'!BV90*-1)</f>
        <v>0</v>
      </c>
      <c r="W88" s="250">
        <f>'Staging Table'!BY90*Rates_current!$H$32*-1</f>
        <v>0</v>
      </c>
      <c r="X88" s="250">
        <f>IF(Init!$R$12="No",0,'Staging Table'!$DW90*-1)</f>
        <v>0</v>
      </c>
      <c r="Y88" s="250">
        <f>IF('Staging Table'!C90=1,"", SUM(P88:X88))</f>
        <v>8575938.4853053503</v>
      </c>
      <c r="Z88" s="250">
        <f>IF('Staging Table'!C90=1,"", (RT1SC!$C$4*'Staging Table'!BT90*'Staging Table'!$BT$2)+SUM('Staging Table'!BZ90:CW90)-IF(Init!$R$15="No",'Staging Table'!DV90, 0))</f>
        <v>223544.90283591679</v>
      </c>
      <c r="AA88" s="126">
        <f>IF('Staging Table'!C90=1,"",IF(Z88=0, 0, Y88/Z88))</f>
        <v>38.363381926896977</v>
      </c>
      <c r="AB88" s="118">
        <f ca="1">IF('Staging Table'!C90=1,"",(AA88/O88-1)+(RAND()/100000000000000))</f>
        <v>1.3126888563425495E-2</v>
      </c>
      <c r="AC88" s="79">
        <f t="shared" ca="1" si="1"/>
        <v>79</v>
      </c>
      <c r="AF88" s="255"/>
      <c r="AG88" s="255"/>
      <c r="AI88" s="255"/>
      <c r="AJ88" s="255"/>
    </row>
    <row r="89" spans="2:36">
      <c r="B89" s="166">
        <v>10273</v>
      </c>
      <c r="C89" s="167" t="s">
        <v>92</v>
      </c>
      <c r="D89" s="250">
        <f>IF(Init!$R$9="Yes",'Staging Table'!F91,'Staging Table'!BT91)*Rates_previous!$E$75*100*12</f>
        <v>2123027.07552</v>
      </c>
      <c r="E89" s="250">
        <f>IF(Init!$R$9="Yes",'Staging Table'!F91,'Staging Table'!BT91)*Rates_previous!$E$76*100*12</f>
        <v>-299393.02379999997</v>
      </c>
      <c r="F89" s="251">
        <f>IF(Init!$R$9="Yes",SUMPRODUCT('Staging Table'!L91:AI91,LS_Demand_Rates_Restatement!$C$4:$Z$4)-IF(Init!$R$15="No",('Staging Table'!BH91*Rates_previous!$H$34), 0),SUMPRODUCT('Staging Table'!BZ91:CW91,LS_Demand_Rates_Restatement!$C$4:$Z$4)-IF(Init!$R$15="No", 'Staging Table'!DV91*Rates_previous!$H$34, 0))</f>
        <v>-17313.007256164634</v>
      </c>
      <c r="G89" s="251">
        <f>IF(Init!$R$9="Yes",SUMPRODUCT('Staging Table'!AJ91:AU91,LS_Demand_Rates_Restatement!$C$10:$N$10),SUMPRODUCT(LS_Demand_Rates_Restatement!$C$10:$N$10,'Staging Table'!CX91:DI91))*1000</f>
        <v>174554.09000000003</v>
      </c>
      <c r="H89" s="252">
        <f>IF(Init!$R$9="Yes",'Staging Table'!BR91,'Staging Table'!EF91)*IF(Init!$R$3=2018,Rates_previous!$C$88,Rates_previous!$D$88)</f>
        <v>0</v>
      </c>
      <c r="I89" s="250">
        <f>IF(Init!$R$9="Yes",IF('Staging Table'!$F$1=2018,(SUM('Staging Table'!BD91:BG91)*Rates_previous!$C$87),(SUM('Staging Table'!BD91:BG91)*Rates_previous!$D$87)),IF('Staging Table'!$F$1=2018,(SUM('Staging Table'!DR91:DU91)*Rates_previous!$C$87),(SUM('Staging Table'!DR91:DU91)*Rates_previous!$D$87)))</f>
        <v>11665.225462664321</v>
      </c>
      <c r="J89" s="252">
        <f>IF(Init!$R$9="Yes",IF('Staging Table'!D91=1,'Staging Table'!H91*-1*'Staging Table'!BT91/'Staging Table'!BS91,'Staging Table'!H91*SUM(D89:I89)*(-1)),IF('Staging Table'!D91=1,'Staging Table'!BV91*-1*'Staging Table'!BT91/'Staging Table'!BS91,'Staging Table'!BV91*SUM(D89:I89)*(-1)))</f>
        <v>-191706.69161732038</v>
      </c>
      <c r="K89" s="250">
        <f>IF(Init!$R$9="Yes",'Staging Table'!K91,'Staging Table'!BY91)*(-1)*Rates_previous!$H$32</f>
        <v>-111979.014</v>
      </c>
      <c r="L89" s="250">
        <f>IF(Init!$R$12="No",0,'Staging Table'!$BI91*-1)*('Staging Table'!$F91/'Staging Table'!$E91)</f>
        <v>-68396.315801605931</v>
      </c>
      <c r="M89" s="250">
        <f>IF('Staging Table'!C91=1,"",SUM(D89:L89))</f>
        <v>1620458.3385075736</v>
      </c>
      <c r="N89" s="250">
        <f>IF('Staging Table'!C91=1,"",IF(Init!$R$9="Yes",(RT1SC!$C$3*'Staging Table'!F91*'Staging Table'!$F$2)+SUM('Staging Table'!L91:AI91)-IF(Init!$R$15="No",'Staging Table'!BH91, 0),Z89))</f>
        <v>50694.12</v>
      </c>
      <c r="O89" s="126">
        <f>IF('Staging Table'!C91=1,"",IF(N89=0, 0, M89/N89))</f>
        <v>31.965410160144284</v>
      </c>
      <c r="P89" s="250">
        <f>'Staging Table'!BT91*Rates_current!$E$74*100*12</f>
        <v>1979285.4460799997</v>
      </c>
      <c r="Q89" s="250">
        <f>'Staging Table'!BT91*Rates_current!$E$75*100*12</f>
        <v>-200236.76639999999</v>
      </c>
      <c r="R89" s="251">
        <f>SUMPRODUCT('Staging Table'!BZ91:CW91, LS_Demand_Rates_Restatement!$C$5:$Z$5)-IF(Init!$R$15="No",('Staging Table'!DV91*Rates_current!$H$34), 0)</f>
        <v>-40560.210000000065</v>
      </c>
      <c r="S89" s="251">
        <f>SUMPRODUCT('Staging Table'!CX91:DI91, LS_Demand_Rates_Restatement!$C$11:$N$11)*1000</f>
        <v>190841.52999999997</v>
      </c>
      <c r="T89" s="252">
        <f>'Staging Table'!EF91*IF(Init!$R$18="Yes",IF(Init!$R$6=2020,Rates_current!$C$88,Rates_current!$D$88),Rates_current!$H$33)</f>
        <v>0</v>
      </c>
      <c r="U89" s="252">
        <f>IF(Init!$R$18="Yes",(SUM('Staging Table'!DL91:DU91)*IF('Staging Table'!$BT$1=2020, Rates_current!$C$87, Rates_current!$D$87)),0)</f>
        <v>34551.751161271182</v>
      </c>
      <c r="V89" s="252">
        <f>IF('Staging Table'!D91=1, 'Staging Table'!BV91*-1*'Staging Table'!BT91/'Staging Table'!BS91,SUM(P89:U89)*'Staging Table'!BV91*-1)</f>
        <v>-189475.90048569109</v>
      </c>
      <c r="W89" s="250">
        <f>'Staging Table'!BY91*Rates_current!$H$32*-1</f>
        <v>-105789.69774999999</v>
      </c>
      <c r="X89" s="250">
        <f>IF(Init!$R$12="No",0,'Staging Table'!$DW91*-1)</f>
        <v>0</v>
      </c>
      <c r="Y89" s="250">
        <f>IF('Staging Table'!C91=1,"", SUM(P89:X89))</f>
        <v>1668616.1526055797</v>
      </c>
      <c r="Z89" s="250">
        <f>IF('Staging Table'!C91=1,"", (RT1SC!$C$4*'Staging Table'!BT91*'Staging Table'!$BT$2)+SUM('Staging Table'!BZ91:CW91)-IF(Init!$R$15="No",'Staging Table'!DV91, 0))</f>
        <v>50303.5194061824</v>
      </c>
      <c r="AA89" s="126">
        <f>IF('Staging Table'!C91=1,"",IF(Z89=0, 0, Y89/Z89))</f>
        <v>33.170962435691997</v>
      </c>
      <c r="AB89" s="118">
        <f ca="1">IF('Staging Table'!C91=1,"",(AA89/O89-1)+(RAND()/100000000000000))</f>
        <v>3.7714275196477111E-2</v>
      </c>
      <c r="AC89" s="79">
        <f t="shared" ca="1" si="1"/>
        <v>7</v>
      </c>
      <c r="AF89" s="255"/>
      <c r="AG89" s="255"/>
      <c r="AI89" s="255"/>
      <c r="AJ89" s="255"/>
    </row>
    <row r="90" spans="2:36">
      <c r="B90" s="166">
        <v>10278</v>
      </c>
      <c r="C90" s="167" t="s">
        <v>93</v>
      </c>
      <c r="D90" s="250">
        <f>IF(Init!$R$9="Yes",'Staging Table'!F92,'Staging Table'!BT92)*Rates_previous!$E$75*100*12</f>
        <v>12193456.838399999</v>
      </c>
      <c r="E90" s="250">
        <f>IF(Init!$R$9="Yes",'Staging Table'!F92,'Staging Table'!BT92)*Rates_previous!$E$76*100*12</f>
        <v>-1719542.7960000001</v>
      </c>
      <c r="F90" s="251">
        <f>IF(Init!$R$9="Yes",SUMPRODUCT('Staging Table'!L92:AI92,LS_Demand_Rates_Restatement!$C$4:$Z$4)-IF(Init!$R$15="No",('Staging Table'!BH92*Rates_previous!$H$34), 0),SUMPRODUCT('Staging Table'!BZ92:CW92,LS_Demand_Rates_Restatement!$C$4:$Z$4)-IF(Init!$R$15="No", 'Staging Table'!DV92*Rates_previous!$H$34, 0))</f>
        <v>0</v>
      </c>
      <c r="G90" s="251">
        <f>IF(Init!$R$9="Yes",SUMPRODUCT('Staging Table'!AJ92:AU92,LS_Demand_Rates_Restatement!$C$10:$N$10),SUMPRODUCT(LS_Demand_Rates_Restatement!$C$10:$N$10,'Staging Table'!CX92:DI92))*1000</f>
        <v>0</v>
      </c>
      <c r="H90" s="252">
        <f>IF(Init!$R$9="Yes",'Staging Table'!BR92,'Staging Table'!EF92)*IF(Init!$R$3=2018,Rates_previous!$C$88,Rates_previous!$D$88)</f>
        <v>3.7472553888510447</v>
      </c>
      <c r="I90" s="250">
        <f>IF(Init!$R$9="Yes",IF('Staging Table'!$F$1=2018,(SUM('Staging Table'!BD92:BG92)*Rates_previous!$C$87),(SUM('Staging Table'!BD92:BG92)*Rates_previous!$D$87)),IF('Staging Table'!$F$1=2018,(SUM('Staging Table'!DR92:DU92)*Rates_previous!$C$87),(SUM('Staging Table'!DR92:DU92)*Rates_previous!$D$87)))</f>
        <v>66998.402813286259</v>
      </c>
      <c r="J90" s="252">
        <f>IF(Init!$R$9="Yes",IF('Staging Table'!D92=1,'Staging Table'!H92*-1*'Staging Table'!BT92/'Staging Table'!BS92,'Staging Table'!H92*SUM(D90:I90)*(-1)),IF('Staging Table'!D92=1,'Staging Table'!BV92*-1*'Staging Table'!BT92/'Staging Table'!BS92,'Staging Table'!BV92*SUM(D90:I90)*(-1)))</f>
        <v>-737864.13347280712</v>
      </c>
      <c r="K90" s="250">
        <f>IF(Init!$R$9="Yes",'Staging Table'!K92,'Staging Table'!BY92)*(-1)*Rates_previous!$H$32</f>
        <v>0</v>
      </c>
      <c r="L90" s="250">
        <f>IF(Init!$R$12="No",0,'Staging Table'!$BI92*-1)*('Staging Table'!$F92/'Staging Table'!$E92)</f>
        <v>-324752.59868186503</v>
      </c>
      <c r="M90" s="250" t="str">
        <f>IF('Staging Table'!C92=1,"",SUM(D90:L90))</f>
        <v/>
      </c>
      <c r="N90" s="250" t="str">
        <f>IF('Staging Table'!C92=1,"",IF(Init!$R$9="Yes",(RT1SC!$C$3*'Staging Table'!F92*'Staging Table'!$F$2)+SUM('Staging Table'!L92:AI92)-IF(Init!$R$15="No",'Staging Table'!BH92, 0),Z90))</f>
        <v/>
      </c>
      <c r="O90" s="126" t="str">
        <f>IF('Staging Table'!C92=1,"",IF(N90=0, 0, M90/N90))</f>
        <v/>
      </c>
      <c r="P90" s="250">
        <f>'Staging Table'!BT92*Rates_current!$E$74*100*12</f>
        <v>12062518.43544</v>
      </c>
      <c r="Q90" s="250">
        <f>'Staging Table'!BT92*Rates_current!$E$75*100*12</f>
        <v>-1220319.0252</v>
      </c>
      <c r="R90" s="251">
        <f>SUMPRODUCT('Staging Table'!BZ92:CW92, LS_Demand_Rates_Restatement!$C$5:$Z$5)-IF(Init!$R$15="No",('Staging Table'!DV92*Rates_current!$H$34), 0)</f>
        <v>0</v>
      </c>
      <c r="S90" s="251">
        <f>SUMPRODUCT('Staging Table'!CX92:DI92, LS_Demand_Rates_Restatement!$C$11:$N$11)*1000</f>
        <v>0</v>
      </c>
      <c r="T90" s="252">
        <f>'Staging Table'!EF92*IF(Init!$R$18="Yes",IF(Init!$R$6=2020,Rates_current!$C$88,Rates_current!$D$88),Rates_current!$H$33)</f>
        <v>29.024182185806566</v>
      </c>
      <c r="U90" s="252">
        <f>IF(Init!$R$18="Yes",(SUM('Staging Table'!DL92:DU92)*IF('Staging Table'!$BT$1=2020, Rates_current!$C$87, Rates_current!$D$87)),0)</f>
        <v>210571.51518241563</v>
      </c>
      <c r="V90" s="252">
        <f>IF('Staging Table'!D92=1, 'Staging Table'!BV92*-1*'Staging Table'!BT92/'Staging Table'!BS92,SUM(P90:U90)*'Staging Table'!BV92*-1)</f>
        <v>-718431.99672429904</v>
      </c>
      <c r="W90" s="250">
        <f>'Staging Table'!BY92*Rates_current!$H$32*-1</f>
        <v>0</v>
      </c>
      <c r="X90" s="250">
        <f>IF(Init!$R$12="No",0,'Staging Table'!$DW92*-1)</f>
        <v>0</v>
      </c>
      <c r="Y90" s="250" t="str">
        <f>IF('Staging Table'!C92=1,"", SUM(P90:X90))</f>
        <v/>
      </c>
      <c r="Z90" s="250" t="str">
        <f>IF('Staging Table'!C92=1,"", (RT1SC!$C$4*'Staging Table'!BT92*'Staging Table'!$BT$2)+SUM('Staging Table'!BZ92:CW92)-IF(Init!$R$15="No",'Staging Table'!DV92, 0))</f>
        <v/>
      </c>
      <c r="AA90" s="126" t="str">
        <f>IF('Staging Table'!C92=1,"",IF(Z90=0, 0, Y90/Z90))</f>
        <v/>
      </c>
      <c r="AB90" s="118" t="str">
        <f ca="1">IF('Staging Table'!C92=1,"",(AA90/O90-1)+(RAND()/100000000000000))</f>
        <v/>
      </c>
      <c r="AC90" s="79" t="str">
        <f t="shared" ca="1" si="1"/>
        <v/>
      </c>
      <c r="AF90" s="255"/>
      <c r="AG90" s="255"/>
      <c r="AI90" s="255"/>
      <c r="AJ90" s="255"/>
    </row>
    <row r="91" spans="2:36">
      <c r="B91" s="166">
        <v>10279</v>
      </c>
      <c r="C91" s="167" t="s">
        <v>94</v>
      </c>
      <c r="D91" s="250">
        <f>IF(Init!$R$9="Yes",'Staging Table'!F93,'Staging Table'!BT93)*Rates_previous!$E$75*100*12</f>
        <v>23377756.080960002</v>
      </c>
      <c r="E91" s="250">
        <f>IF(Init!$R$9="Yes",'Staging Table'!F93,'Staging Table'!BT93)*Rates_previous!$E$76*100*12</f>
        <v>-3296772.4073999999</v>
      </c>
      <c r="F91" s="251">
        <f>IF(Init!$R$9="Yes",SUMPRODUCT('Staging Table'!L93:AI93,LS_Demand_Rates_Restatement!$C$4:$Z$4)-IF(Init!$R$15="No",('Staging Table'!BH93*Rates_previous!$H$34), 0),SUMPRODUCT('Staging Table'!BZ93:CW93,LS_Demand_Rates_Restatement!$C$4:$Z$4)-IF(Init!$R$15="No", 'Staging Table'!DV93*Rates_previous!$H$34, 0))</f>
        <v>161468.73056560336</v>
      </c>
      <c r="G91" s="251">
        <f>IF(Init!$R$9="Yes",SUMPRODUCT('Staging Table'!AJ93:AU93,LS_Demand_Rates_Restatement!$C$10:$N$10),SUMPRODUCT(LS_Demand_Rates_Restatement!$C$10:$N$10,'Staging Table'!CX93:DI93))*1000</f>
        <v>0</v>
      </c>
      <c r="H91" s="252">
        <f>IF(Init!$R$9="Yes",'Staging Table'!BR93,'Staging Table'!EF93)*IF(Init!$R$3=2018,Rates_previous!$C$88,Rates_previous!$D$88)</f>
        <v>0</v>
      </c>
      <c r="I91" s="250">
        <f>IF(Init!$R$9="Yes",IF('Staging Table'!$F$1=2018,(SUM('Staging Table'!BD93:BG93)*Rates_previous!$C$87),(SUM('Staging Table'!BD93:BG93)*Rates_previous!$D$87)),IF('Staging Table'!$F$1=2018,(SUM('Staging Table'!DR93:DU93)*Rates_previous!$C$87),(SUM('Staging Table'!DR93:DU93)*Rates_previous!$D$87)))</f>
        <v>128451.86886218833</v>
      </c>
      <c r="J91" s="252">
        <f>IF(Init!$R$9="Yes",IF('Staging Table'!D93=1,'Staging Table'!H93*-1*'Staging Table'!BT93/'Staging Table'!BS93,'Staging Table'!H93*SUM(D91:I91)*(-1)),IF('Staging Table'!D93=1,'Staging Table'!BV93*-1*'Staging Table'!BT93/'Staging Table'!BS93,'Staging Table'!BV93*SUM(D91:I91)*(-1)))</f>
        <v>0</v>
      </c>
      <c r="K91" s="250">
        <f>IF(Init!$R$9="Yes",'Staging Table'!K93,'Staging Table'!BY93)*(-1)*Rates_previous!$H$32</f>
        <v>0</v>
      </c>
      <c r="L91" s="250">
        <f>IF(Init!$R$12="No",0,'Staging Table'!$BI93*-1)*('Staging Table'!$F93/'Staging Table'!$E93)</f>
        <v>-533169.08164215623</v>
      </c>
      <c r="M91" s="250">
        <f>IF('Staging Table'!C93=1,"",SUM(D91:L91))</f>
        <v>19837735.19134564</v>
      </c>
      <c r="N91" s="250">
        <f>IF('Staging Table'!C93=1,"",IF(Init!$R$9="Yes",(RT1SC!$C$3*'Staging Table'!F93*'Staging Table'!$F$2)+SUM('Staging Table'!L93:AI93)-IF(Init!$R$15="No",'Staging Table'!BH93, 0),Z91))</f>
        <v>558231</v>
      </c>
      <c r="O91" s="126">
        <f>IF('Staging Table'!C93=1,"",IF(N91=0, 0, M91/N91))</f>
        <v>35.53678529380425</v>
      </c>
      <c r="P91" s="250">
        <f>'Staging Table'!BT93*Rates_current!$E$74*100*12</f>
        <v>21796381.875599999</v>
      </c>
      <c r="Q91" s="250">
        <f>'Staging Table'!BT93*Rates_current!$E$75*100*12</f>
        <v>-2205056.898</v>
      </c>
      <c r="R91" s="251">
        <f>SUMPRODUCT('Staging Table'!BZ93:CW93, LS_Demand_Rates_Restatement!$C$5:$Z$5)-IF(Init!$R$15="No",('Staging Table'!DV93*Rates_current!$H$34), 0)</f>
        <v>177649.80176056875</v>
      </c>
      <c r="S91" s="251">
        <f>SUMPRODUCT('Staging Table'!CX93:DI93, LS_Demand_Rates_Restatement!$C$11:$N$11)*1000</f>
        <v>0</v>
      </c>
      <c r="T91" s="252">
        <f>'Staging Table'!EF93*IF(Init!$R$18="Yes",IF(Init!$R$6=2020,Rates_current!$C$88,Rates_current!$D$88),Rates_current!$H$33)</f>
        <v>0</v>
      </c>
      <c r="U91" s="252">
        <f>IF(Init!$R$18="Yes",(SUM('Staging Table'!DL93:DU93)*IF('Staging Table'!$BT$1=2020, Rates_current!$C$87, Rates_current!$D$87)),0)</f>
        <v>380492.44704613107</v>
      </c>
      <c r="V91" s="252">
        <f>IF('Staging Table'!D93=1, 'Staging Table'!BV93*-1*'Staging Table'!BT93/'Staging Table'!BS93,SUM(P91:U91)*'Staging Table'!BV93*-1)</f>
        <v>0</v>
      </c>
      <c r="W91" s="250">
        <f>'Staging Table'!BY93*Rates_current!$H$32*-1</f>
        <v>0</v>
      </c>
      <c r="X91" s="250">
        <f>IF(Init!$R$12="No",0,'Staging Table'!$DW93*-1)</f>
        <v>0</v>
      </c>
      <c r="Y91" s="250">
        <f>IF('Staging Table'!C93=1,"", SUM(P91:X91))</f>
        <v>20149467.226406701</v>
      </c>
      <c r="Z91" s="250">
        <f>IF('Staging Table'!C93=1,"", (RT1SC!$C$4*'Staging Table'!BT93*'Staging Table'!$BT$2)+SUM('Staging Table'!BZ93:CW93)-IF(Init!$R$15="No",'Staging Table'!DV93, 0))</f>
        <v>565882.848</v>
      </c>
      <c r="AA91" s="126">
        <f>IF('Staging Table'!C93=1,"",IF(Z91=0, 0, Y91/Z91))</f>
        <v>35.607135465619734</v>
      </c>
      <c r="AB91" s="118">
        <f ca="1">IF('Staging Table'!C93=1,"",(AA91/O91-1)+(RAND()/100000000000000))</f>
        <v>1.9796436631541346E-3</v>
      </c>
      <c r="AC91" s="79">
        <f t="shared" ca="1" si="1"/>
        <v>98</v>
      </c>
      <c r="AF91" s="255"/>
      <c r="AG91" s="255"/>
      <c r="AI91" s="255"/>
      <c r="AJ91" s="255"/>
    </row>
    <row r="92" spans="2:36">
      <c r="B92" s="166">
        <v>10284</v>
      </c>
      <c r="C92" s="167" t="s">
        <v>95</v>
      </c>
      <c r="D92" s="250">
        <f>IF(Init!$R$9="Yes",'Staging Table'!F94,'Staging Table'!BT94)*Rates_previous!$E$75*100*12</f>
        <v>3587210.0352000003</v>
      </c>
      <c r="E92" s="250">
        <f>IF(Init!$R$9="Yes",'Staging Table'!F94,'Staging Table'!BT94)*Rates_previous!$E$76*100*12</f>
        <v>-505874.68799999997</v>
      </c>
      <c r="F92" s="251">
        <f>IF(Init!$R$9="Yes",SUMPRODUCT('Staging Table'!L94:AI94,LS_Demand_Rates_Restatement!$C$4:$Z$4)-IF(Init!$R$15="No",('Staging Table'!BH94*Rates_previous!$H$34), 0),SUMPRODUCT('Staging Table'!BZ94:CW94,LS_Demand_Rates_Restatement!$C$4:$Z$4)-IF(Init!$R$15="No", 'Staging Table'!DV94*Rates_previous!$H$34, 0))</f>
        <v>73654.160000000062</v>
      </c>
      <c r="G92" s="251">
        <f>IF(Init!$R$9="Yes",SUMPRODUCT('Staging Table'!AJ94:AU94,LS_Demand_Rates_Restatement!$C$10:$N$10),SUMPRODUCT(LS_Demand_Rates_Restatement!$C$10:$N$10,'Staging Table'!CX94:DI94))*1000</f>
        <v>166257.91999999998</v>
      </c>
      <c r="H92" s="252">
        <f>IF(Init!$R$9="Yes",'Staging Table'!BR94,'Staging Table'!EF94)*IF(Init!$R$3=2018,Rates_previous!$C$88,Rates_previous!$D$88)</f>
        <v>4088.7798488062776</v>
      </c>
      <c r="I92" s="250">
        <f>IF(Init!$R$9="Yes",IF('Staging Table'!$F$1=2018,(SUM('Staging Table'!BD94:BG94)*Rates_previous!$C$87),(SUM('Staging Table'!BD94:BG94)*Rates_previous!$D$87)),IF('Staging Table'!$F$1=2018,(SUM('Staging Table'!DR94:DU94)*Rates_previous!$C$87),(SUM('Staging Table'!DR94:DU94)*Rates_previous!$D$87)))</f>
        <v>19710.353355851868</v>
      </c>
      <c r="J92" s="252">
        <f>IF(Init!$R$9="Yes",IF('Staging Table'!D94=1,'Staging Table'!H94*-1*'Staging Table'!BT94/'Staging Table'!BS94,'Staging Table'!H94*SUM(D92:I92)*(-1)),IF('Staging Table'!D94=1,'Staging Table'!BV94*-1*'Staging Table'!BT94/'Staging Table'!BS94,'Staging Table'!BV94*SUM(D92:I92)*(-1)))</f>
        <v>-183977.5608222562</v>
      </c>
      <c r="K92" s="250">
        <f>IF(Init!$R$9="Yes",'Staging Table'!K94,'Staging Table'!BY94)*(-1)*Rates_previous!$H$32</f>
        <v>0</v>
      </c>
      <c r="L92" s="250">
        <f>IF(Init!$R$12="No",0,'Staging Table'!$BI94*-1)*('Staging Table'!$F94/'Staging Table'!$E94)</f>
        <v>-55851.607436126746</v>
      </c>
      <c r="M92" s="250">
        <f>IF('Staging Table'!C94=1,"",SUM(D92:L92))</f>
        <v>3105217.3921462754</v>
      </c>
      <c r="N92" s="250">
        <f>IF('Staging Table'!C94=1,"",IF(Init!$R$9="Yes",(RT1SC!$C$3*'Staging Table'!F94*'Staging Table'!$F$2)+SUM('Staging Table'!L94:AI94)-IF(Init!$R$15="No",'Staging Table'!BH94, 0),Z92))</f>
        <v>85970.286151679989</v>
      </c>
      <c r="O92" s="126">
        <f>IF('Staging Table'!C94=1,"",IF(N92=0, 0, M92/N92))</f>
        <v>36.119658676808939</v>
      </c>
      <c r="P92" s="250">
        <f>'Staging Table'!BT94*Rates_current!$E$74*100*12</f>
        <v>3324477.0436800001</v>
      </c>
      <c r="Q92" s="250">
        <f>'Staging Table'!BT94*Rates_current!$E$75*100*12</f>
        <v>-336324.67440000002</v>
      </c>
      <c r="R92" s="251">
        <f>SUMPRODUCT('Staging Table'!BZ94:CW94, LS_Demand_Rates_Restatement!$C$5:$Z$5)-IF(Init!$R$15="No",('Staging Table'!DV94*Rates_current!$H$34), 0)</f>
        <v>66780.740000000005</v>
      </c>
      <c r="S92" s="251">
        <f>SUMPRODUCT('Staging Table'!CX94:DI94, LS_Demand_Rates_Restatement!$C$11:$N$11)*1000</f>
        <v>185351.87</v>
      </c>
      <c r="T92" s="252">
        <f>'Staging Table'!EF94*IF(Init!$R$18="Yes",IF(Init!$R$6=2020,Rates_current!$C$88,Rates_current!$D$88),Rates_current!$H$33)</f>
        <v>-5411.498681597951</v>
      </c>
      <c r="U92" s="252">
        <f>IF(Init!$R$18="Yes",(SUM('Staging Table'!DL94:DU94)*IF('Staging Table'!$BT$1=2020, Rates_current!$C$87, Rates_current!$D$87)),0)</f>
        <v>58034.329400079405</v>
      </c>
      <c r="V92" s="252">
        <f>IF('Staging Table'!D94=1, 'Staging Table'!BV94*-1*'Staging Table'!BT94/'Staging Table'!BS94,SUM(P92:U92)*'Staging Table'!BV94*-1)</f>
        <v>-164645.39049992411</v>
      </c>
      <c r="W92" s="250">
        <f>'Staging Table'!BY94*Rates_current!$H$32*-1</f>
        <v>0</v>
      </c>
      <c r="X92" s="250">
        <f>IF(Init!$R$12="No",0,'Staging Table'!$DW94*-1)</f>
        <v>0</v>
      </c>
      <c r="Y92" s="250">
        <f>IF('Staging Table'!C94=1,"", SUM(P92:X92))</f>
        <v>3128262.4194985577</v>
      </c>
      <c r="Z92" s="250">
        <f>IF('Staging Table'!C94=1,"", (RT1SC!$C$4*'Staging Table'!BT94*'Staging Table'!$BT$2)+SUM('Staging Table'!BZ94:CW94)-IF(Init!$R$15="No",'Staging Table'!DV94, 0))</f>
        <v>85970.594795110403</v>
      </c>
      <c r="AA92" s="126">
        <f>IF('Staging Table'!C94=1,"",IF(Z92=0, 0, Y92/Z92))</f>
        <v>36.387586092128309</v>
      </c>
      <c r="AB92" s="118">
        <f ca="1">IF('Staging Table'!C94=1,"",(AA92/O92-1)+(RAND()/100000000000000))</f>
        <v>7.4177726239626346E-3</v>
      </c>
      <c r="AC92" s="79">
        <f t="shared" ca="1" si="1"/>
        <v>87</v>
      </c>
      <c r="AF92" s="255"/>
      <c r="AG92" s="255"/>
      <c r="AI92" s="255"/>
      <c r="AJ92" s="255"/>
    </row>
    <row r="93" spans="2:36">
      <c r="B93" s="166">
        <v>10285</v>
      </c>
      <c r="C93" s="167" t="s">
        <v>96</v>
      </c>
      <c r="D93" s="250">
        <f>IF(Init!$R$9="Yes",'Staging Table'!F95,'Staging Table'!BT95)*Rates_previous!$E$75*100*12</f>
        <v>2356654.3199999998</v>
      </c>
      <c r="E93" s="250">
        <f>IF(Init!$R$9="Yes",'Staging Table'!F95,'Staging Table'!BT95)*Rates_previous!$E$76*100*12</f>
        <v>-332339.55000000005</v>
      </c>
      <c r="F93" s="251">
        <f>IF(Init!$R$9="Yes",SUMPRODUCT('Staging Table'!L95:AI95,LS_Demand_Rates_Restatement!$C$4:$Z$4)-IF(Init!$R$15="No",('Staging Table'!BH95*Rates_previous!$H$34), 0),SUMPRODUCT('Staging Table'!BZ95:CW95,LS_Demand_Rates_Restatement!$C$4:$Z$4)-IF(Init!$R$15="No", 'Staging Table'!DV95*Rates_previous!$H$34, 0))</f>
        <v>0</v>
      </c>
      <c r="G93" s="251">
        <f>IF(Init!$R$9="Yes",SUMPRODUCT('Staging Table'!AJ95:AU95,LS_Demand_Rates_Restatement!$C$10:$N$10),SUMPRODUCT(LS_Demand_Rates_Restatement!$C$10:$N$10,'Staging Table'!CX95:DI95))*1000</f>
        <v>0</v>
      </c>
      <c r="H93" s="252">
        <f>IF(Init!$R$9="Yes",'Staging Table'!BR95,'Staging Table'!EF95)*IF(Init!$R$3=2018,Rates_previous!$C$88,Rates_previous!$D$88)</f>
        <v>0</v>
      </c>
      <c r="I93" s="250">
        <f>IF(Init!$R$9="Yes",IF('Staging Table'!$F$1=2018,(SUM('Staging Table'!BD95:BG95)*Rates_previous!$C$87),(SUM('Staging Table'!BD95:BG95)*Rates_previous!$D$87)),IF('Staging Table'!$F$1=2018,(SUM('Staging Table'!DR95:DU95)*Rates_previous!$C$87),(SUM('Staging Table'!DR95:DU95)*Rates_previous!$D$87)))</f>
        <v>12948.918220286207</v>
      </c>
      <c r="J93" s="252">
        <f>IF(Init!$R$9="Yes",IF('Staging Table'!D95=1,'Staging Table'!H95*-1*'Staging Table'!BT95/'Staging Table'!BS95,'Staging Table'!H95*SUM(D93:I93)*(-1)),IF('Staging Table'!D95=1,'Staging Table'!BV95*-1*'Staging Table'!BT95/'Staging Table'!BS95,'Staging Table'!BV95*SUM(D93:I93)*(-1)))</f>
        <v>-147181.50397636808</v>
      </c>
      <c r="K93" s="250">
        <f>IF(Init!$R$9="Yes",'Staging Table'!K95,'Staging Table'!BY95)*(-1)*Rates_previous!$H$32</f>
        <v>0</v>
      </c>
      <c r="L93" s="250">
        <f>IF(Init!$R$12="No",0,'Staging Table'!$BI95*-1)*('Staging Table'!$F95/'Staging Table'!$E95)</f>
        <v>-69748.428674868075</v>
      </c>
      <c r="M93" s="250" t="str">
        <f>IF('Staging Table'!C95=1,"",SUM(D93:L93))</f>
        <v/>
      </c>
      <c r="N93" s="250" t="str">
        <f>IF('Staging Table'!C95=1,"",IF(Init!$R$9="Yes",(RT1SC!$C$3*'Staging Table'!F95*'Staging Table'!$F$2)+SUM('Staging Table'!L95:AI95)-IF(Init!$R$15="No",'Staging Table'!BH95, 0),Z93))</f>
        <v/>
      </c>
      <c r="O93" s="126" t="str">
        <f>IF('Staging Table'!C95=1,"",IF(N93=0, 0, M93/N93))</f>
        <v/>
      </c>
      <c r="P93" s="250">
        <f>'Staging Table'!BT95*Rates_current!$E$74*100*12</f>
        <v>2197225.4981999998</v>
      </c>
      <c r="Q93" s="250">
        <f>'Staging Table'!BT95*Rates_current!$E$75*100*12</f>
        <v>-222284.93099999998</v>
      </c>
      <c r="R93" s="251">
        <f>SUMPRODUCT('Staging Table'!BZ95:CW95, LS_Demand_Rates_Restatement!$C$5:$Z$5)-IF(Init!$R$15="No",('Staging Table'!DV95*Rates_current!$H$34), 0)</f>
        <v>0</v>
      </c>
      <c r="S93" s="251">
        <f>SUMPRODUCT('Staging Table'!CX95:DI95, LS_Demand_Rates_Restatement!$C$11:$N$11)*1000</f>
        <v>0</v>
      </c>
      <c r="T93" s="252">
        <f>'Staging Table'!EF95*IF(Init!$R$18="Yes",IF(Init!$R$6=2020,Rates_current!$C$88,Rates_current!$D$88),Rates_current!$H$33)</f>
        <v>0</v>
      </c>
      <c r="U93" s="252">
        <f>IF(Init!$R$18="Yes",(SUM('Staging Table'!DL95:DU95)*IF('Staging Table'!$BT$1=2020, Rates_current!$C$87, Rates_current!$D$87)),0)</f>
        <v>38356.260745191175</v>
      </c>
      <c r="V93" s="252">
        <f>IF('Staging Table'!D95=1, 'Staging Table'!BV95*-1*'Staging Table'!BT95/'Staging Table'!BS95,SUM(P93:U93)*'Staging Table'!BV95*-1)</f>
        <v>-140275.04717930162</v>
      </c>
      <c r="W93" s="250">
        <f>'Staging Table'!BY95*Rates_current!$H$32*-1</f>
        <v>0</v>
      </c>
      <c r="X93" s="250">
        <f>IF(Init!$R$12="No",0,'Staging Table'!$DW95*-1)</f>
        <v>0</v>
      </c>
      <c r="Y93" s="250" t="str">
        <f>IF('Staging Table'!C95=1,"", SUM(P93:X93))</f>
        <v/>
      </c>
      <c r="Z93" s="250" t="str">
        <f>IF('Staging Table'!C95=1,"", (RT1SC!$C$4*'Staging Table'!BT95*'Staging Table'!$BT$2)+SUM('Staging Table'!BZ95:CW95)-IF(Init!$R$15="No",'Staging Table'!DV95, 0))</f>
        <v/>
      </c>
      <c r="AA93" s="126" t="str">
        <f>IF('Staging Table'!C95=1,"",IF(Z93=0, 0, Y93/Z93))</f>
        <v/>
      </c>
      <c r="AB93" s="118" t="str">
        <f ca="1">IF('Staging Table'!C95=1,"",(AA93/O93-1)+(RAND()/100000000000000))</f>
        <v/>
      </c>
      <c r="AC93" s="79" t="str">
        <f t="shared" ca="1" si="1"/>
        <v/>
      </c>
      <c r="AF93" s="255"/>
      <c r="AG93" s="255"/>
      <c r="AI93" s="255"/>
      <c r="AJ93" s="255"/>
    </row>
    <row r="94" spans="2:36">
      <c r="B94" s="166">
        <v>10286</v>
      </c>
      <c r="C94" s="167" t="s">
        <v>97</v>
      </c>
      <c r="D94" s="250">
        <f>IF(Init!$R$9="Yes",'Staging Table'!F96,'Staging Table'!BT96)*Rates_previous!$E$75*100*12</f>
        <v>16572247.951680001</v>
      </c>
      <c r="E94" s="250">
        <f>IF(Init!$R$9="Yes",'Staging Table'!F96,'Staging Table'!BT96)*Rates_previous!$E$76*100*12</f>
        <v>-2337047.6442</v>
      </c>
      <c r="F94" s="251">
        <f>IF(Init!$R$9="Yes",SUMPRODUCT('Staging Table'!L96:AI96,LS_Demand_Rates_Restatement!$C$4:$Z$4)-IF(Init!$R$15="No",('Staging Table'!BH96*Rates_previous!$H$34), 0),SUMPRODUCT('Staging Table'!BZ96:CW96,LS_Demand_Rates_Restatement!$C$4:$Z$4)-IF(Init!$R$15="No", 'Staging Table'!DV96*Rates_previous!$H$34, 0))</f>
        <v>360204.13999999972</v>
      </c>
      <c r="G94" s="251">
        <f>IF(Init!$R$9="Yes",SUMPRODUCT('Staging Table'!AJ96:AU96,LS_Demand_Rates_Restatement!$C$10:$N$10),SUMPRODUCT(LS_Demand_Rates_Restatement!$C$10:$N$10,'Staging Table'!CX96:DI96))*1000</f>
        <v>0</v>
      </c>
      <c r="H94" s="252">
        <f>IF(Init!$R$9="Yes",'Staging Table'!BR96,'Staging Table'!EF96)*IF(Init!$R$3=2018,Rates_previous!$C$88,Rates_previous!$D$88)</f>
        <v>0</v>
      </c>
      <c r="I94" s="250">
        <f>IF(Init!$R$9="Yes",IF('Staging Table'!$F$1=2018,(SUM('Staging Table'!BD96:BG96)*Rates_previous!$C$87),(SUM('Staging Table'!BD96:BG96)*Rates_previous!$D$87)),IF('Staging Table'!$F$1=2018,(SUM('Staging Table'!DR96:DU96)*Rates_previous!$C$87),(SUM('Staging Table'!DR96:DU96)*Rates_previous!$D$87)))</f>
        <v>91058.192808103442</v>
      </c>
      <c r="J94" s="252">
        <f>IF(Init!$R$9="Yes",IF('Staging Table'!D96=1,'Staging Table'!H96*-1*'Staging Table'!BT96/'Staging Table'!BS96,'Staging Table'!H96*SUM(D94:I94)*(-1)),IF('Staging Table'!D96=1,'Staging Table'!BV96*-1*'Staging Table'!BT96/'Staging Table'!BS96,'Staging Table'!BV96*SUM(D94:I94)*(-1)))</f>
        <v>0</v>
      </c>
      <c r="K94" s="250">
        <f>IF(Init!$R$9="Yes",'Staging Table'!K96,'Staging Table'!BY96)*(-1)*Rates_previous!$H$32</f>
        <v>-651599.85576000006</v>
      </c>
      <c r="L94" s="250">
        <f>IF(Init!$R$12="No",0,'Staging Table'!$BI96*-1)*('Staging Table'!$F96/'Staging Table'!$E96)</f>
        <v>-560468.65613070945</v>
      </c>
      <c r="M94" s="250">
        <f>IF('Staging Table'!C96=1,"",SUM(D94:L94))</f>
        <v>13474394.128397394</v>
      </c>
      <c r="N94" s="250">
        <f>IF('Staging Table'!C96=1,"",IF(Init!$R$9="Yes",(RT1SC!$C$3*'Staging Table'!F96*'Staging Table'!$F$2)+SUM('Staging Table'!L96:AI96)-IF(Init!$R$15="No",'Staging Table'!BH96, 0),Z94))</f>
        <v>395918.464439512</v>
      </c>
      <c r="O94" s="126">
        <f>IF('Staging Table'!C96=1,"",IF(N94=0, 0, M94/N94))</f>
        <v>34.033255174073844</v>
      </c>
      <c r="P94" s="250">
        <f>'Staging Table'!BT96*Rates_current!$E$74*100*12</f>
        <v>15451165.39632</v>
      </c>
      <c r="Q94" s="250">
        <f>'Staging Table'!BT96*Rates_current!$E$75*100*12</f>
        <v>-1563135.5256000001</v>
      </c>
      <c r="R94" s="251">
        <f>SUMPRODUCT('Staging Table'!BZ96:CW96, LS_Demand_Rates_Restatement!$C$5:$Z$5)-IF(Init!$R$15="No",('Staging Table'!DV96*Rates_current!$H$34), 0)</f>
        <v>410137.0300000002</v>
      </c>
      <c r="S94" s="251">
        <f>SUMPRODUCT('Staging Table'!CX96:DI96, LS_Demand_Rates_Restatement!$C$11:$N$11)*1000</f>
        <v>0</v>
      </c>
      <c r="T94" s="252">
        <f>'Staging Table'!EF96*IF(Init!$R$18="Yes",IF(Init!$R$6=2020,Rates_current!$C$88,Rates_current!$D$88),Rates_current!$H$33)</f>
        <v>0</v>
      </c>
      <c r="U94" s="252">
        <f>IF(Init!$R$18="Yes",(SUM('Staging Table'!DL96:DU96)*IF('Staging Table'!$BT$1=2020, Rates_current!$C$87, Rates_current!$D$87)),0)</f>
        <v>269726.03824406362</v>
      </c>
      <c r="V94" s="252">
        <f>IF('Staging Table'!D96=1, 'Staging Table'!BV96*-1*'Staging Table'!BT96/'Staging Table'!BS96,SUM(P94:U94)*'Staging Table'!BV96*-1)</f>
        <v>0</v>
      </c>
      <c r="W94" s="250">
        <f>'Staging Table'!BY96*Rates_current!$H$32*-1</f>
        <v>-615584.55761000002</v>
      </c>
      <c r="X94" s="250">
        <f>IF(Init!$R$12="No",0,'Staging Table'!$DW96*-1)</f>
        <v>0</v>
      </c>
      <c r="Y94" s="250">
        <f>IF('Staging Table'!C96=1,"", SUM(P94:X94))</f>
        <v>13952308.381354064</v>
      </c>
      <c r="Z94" s="250">
        <f>IF('Staging Table'!C96=1,"", (RT1SC!$C$4*'Staging Table'!BT96*'Staging Table'!$BT$2)+SUM('Staging Table'!BZ96:CW96)-IF(Init!$R$15="No",'Staging Table'!DV96, 0))</f>
        <v>401148.58112808963</v>
      </c>
      <c r="AA94" s="126">
        <f>IF('Staging Table'!C96=1,"",IF(Z94=0, 0, Y94/Z94))</f>
        <v>34.780899242166313</v>
      </c>
      <c r="AB94" s="118">
        <f ca="1">IF('Staging Table'!C96=1,"",(AA94/O94-1)+(RAND()/100000000000000))</f>
        <v>2.196804461602115E-2</v>
      </c>
      <c r="AC94" s="79">
        <f t="shared" ca="1" si="1"/>
        <v>49</v>
      </c>
      <c r="AF94" s="255"/>
      <c r="AG94" s="255"/>
      <c r="AI94" s="255"/>
      <c r="AJ94" s="255"/>
    </row>
    <row r="95" spans="2:36">
      <c r="B95" s="166">
        <v>10288</v>
      </c>
      <c r="C95" s="167" t="s">
        <v>98</v>
      </c>
      <c r="D95" s="250">
        <f>IF(Init!$R$9="Yes",'Staging Table'!F97,'Staging Table'!BT97)*Rates_previous!$E$75*100*12</f>
        <v>8928025.6579200011</v>
      </c>
      <c r="E95" s="250">
        <f>IF(Init!$R$9="Yes",'Staging Table'!F97,'Staging Table'!BT97)*Rates_previous!$E$76*100*12</f>
        <v>-1259045.9298</v>
      </c>
      <c r="F95" s="251">
        <f>IF(Init!$R$9="Yes",SUMPRODUCT('Staging Table'!L97:AI97,LS_Demand_Rates_Restatement!$C$4:$Z$4)-IF(Init!$R$15="No",('Staging Table'!BH97*Rates_previous!$H$34), 0),SUMPRODUCT('Staging Table'!BZ97:CW97,LS_Demand_Rates_Restatement!$C$4:$Z$4)-IF(Init!$R$15="No", 'Staging Table'!DV97*Rates_previous!$H$34, 0))</f>
        <v>0</v>
      </c>
      <c r="G95" s="251">
        <f>IF(Init!$R$9="Yes",SUMPRODUCT('Staging Table'!AJ97:AU97,LS_Demand_Rates_Restatement!$C$10:$N$10),SUMPRODUCT(LS_Demand_Rates_Restatement!$C$10:$N$10,'Staging Table'!CX97:DI97))*1000</f>
        <v>0</v>
      </c>
      <c r="H95" s="252">
        <f>IF(Init!$R$9="Yes",'Staging Table'!BR97,'Staging Table'!EF97)*IF(Init!$R$3=2018,Rates_previous!$C$88,Rates_previous!$D$88)</f>
        <v>0</v>
      </c>
      <c r="I95" s="250">
        <f>IF(Init!$R$9="Yes",IF('Staging Table'!$F$1=2018,(SUM('Staging Table'!BD97:BG97)*Rates_previous!$C$87),(SUM('Staging Table'!BD97:BG97)*Rates_previous!$D$87)),IF('Staging Table'!$F$1=2018,(SUM('Staging Table'!DR97:DU97)*Rates_previous!$C$87),(SUM('Staging Table'!DR97:DU97)*Rates_previous!$D$87)))</f>
        <v>49056.101750647511</v>
      </c>
      <c r="J95" s="252">
        <f>IF(Init!$R$9="Yes",IF('Staging Table'!D97=1,'Staging Table'!H97*-1*'Staging Table'!BT97/'Staging Table'!BS97,'Staging Table'!H97*SUM(D95:I95)*(-1)),IF('Staging Table'!D97=1,'Staging Table'!BV97*-1*'Staging Table'!BT97/'Staging Table'!BS97,'Staging Table'!BV97*SUM(D95:I95)*(-1)))</f>
        <v>-432986.44087724132</v>
      </c>
      <c r="K95" s="250">
        <f>IF(Init!$R$9="Yes",'Staging Table'!K97,'Staging Table'!BY97)*(-1)*Rates_previous!$H$32</f>
        <v>0</v>
      </c>
      <c r="L95" s="250">
        <f>IF(Init!$R$12="No",0,'Staging Table'!$BI97*-1)*('Staging Table'!$F97/'Staging Table'!$E97)</f>
        <v>-139006.2414335362</v>
      </c>
      <c r="M95" s="250" t="str">
        <f>IF('Staging Table'!C97=1,"",SUM(D95:L95))</f>
        <v/>
      </c>
      <c r="N95" s="250" t="str">
        <f>IF('Staging Table'!C97=1,"",IF(Init!$R$9="Yes",(RT1SC!$C$3*'Staging Table'!F97*'Staging Table'!$F$2)+SUM('Staging Table'!L97:AI97)-IF(Init!$R$15="No",'Staging Table'!BH97, 0),Z95))</f>
        <v/>
      </c>
      <c r="O95" s="126" t="str">
        <f>IF('Staging Table'!C97=1,"",IF(N95=0, 0, M95/N95))</f>
        <v/>
      </c>
      <c r="P95" s="250">
        <f>'Staging Table'!BT97*Rates_current!$E$74*100*12</f>
        <v>8190933.4310400002</v>
      </c>
      <c r="Q95" s="250">
        <f>'Staging Table'!BT97*Rates_current!$E$75*100*12</f>
        <v>-828645.52320000005</v>
      </c>
      <c r="R95" s="251">
        <f>SUMPRODUCT('Staging Table'!BZ97:CW97, LS_Demand_Rates_Restatement!$C$5:$Z$5)-IF(Init!$R$15="No",('Staging Table'!DV97*Rates_current!$H$34), 0)</f>
        <v>0</v>
      </c>
      <c r="S95" s="251">
        <f>SUMPRODUCT('Staging Table'!CX97:DI97, LS_Demand_Rates_Restatement!$C$11:$N$11)*1000</f>
        <v>0</v>
      </c>
      <c r="T95" s="252">
        <f>'Staging Table'!EF97*IF(Init!$R$18="Yes",IF(Init!$R$6=2020,Rates_current!$C$88,Rates_current!$D$88),Rates_current!$H$33)</f>
        <v>38.77563648619369</v>
      </c>
      <c r="U95" s="252">
        <f>IF(Init!$R$18="Yes",(SUM('Staging Table'!DL97:DU97)*IF('Staging Table'!$BT$1=2020, Rates_current!$C$87, Rates_current!$D$87)),0)</f>
        <v>142986.49760111072</v>
      </c>
      <c r="V95" s="252">
        <f>IF('Staging Table'!D97=1, 'Staging Table'!BV97*-1*'Staging Table'!BT97/'Staging Table'!BS97,SUM(P95:U95)*'Staging Table'!BV97*-1)</f>
        <v>-412792.22495926783</v>
      </c>
      <c r="W95" s="250">
        <f>'Staging Table'!BY97*Rates_current!$H$32*-1</f>
        <v>0</v>
      </c>
      <c r="X95" s="250">
        <f>IF(Init!$R$12="No",0,'Staging Table'!$DW97*-1)</f>
        <v>0</v>
      </c>
      <c r="Y95" s="250" t="str">
        <f>IF('Staging Table'!C97=1,"", SUM(P95:X95))</f>
        <v/>
      </c>
      <c r="Z95" s="250" t="str">
        <f>IF('Staging Table'!C97=1,"", (RT1SC!$C$4*'Staging Table'!BT97*'Staging Table'!$BT$2)+SUM('Staging Table'!BZ97:CW97)-IF(Init!$R$15="No",'Staging Table'!DV97, 0))</f>
        <v/>
      </c>
      <c r="AA95" s="126" t="str">
        <f>IF('Staging Table'!C97=1,"",IF(Z95=0, 0, Y95/Z95))</f>
        <v/>
      </c>
      <c r="AB95" s="118" t="str">
        <f ca="1">IF('Staging Table'!C97=1,"",(AA95/O95-1)+(RAND()/100000000000000))</f>
        <v/>
      </c>
      <c r="AC95" s="79" t="str">
        <f t="shared" ca="1" si="1"/>
        <v/>
      </c>
      <c r="AF95" s="255"/>
      <c r="AG95" s="255"/>
      <c r="AI95" s="255"/>
      <c r="AJ95" s="255"/>
    </row>
    <row r="96" spans="2:36">
      <c r="B96" s="166">
        <v>10291</v>
      </c>
      <c r="C96" s="167" t="s">
        <v>99</v>
      </c>
      <c r="D96" s="250">
        <f>IF(Init!$R$9="Yes",'Staging Table'!F98,'Staging Table'!BT98)*Rates_previous!$E$75*100*12</f>
        <v>28397302.39584</v>
      </c>
      <c r="E96" s="250">
        <f>IF(Init!$R$9="Yes",'Staging Table'!F98,'Staging Table'!BT98)*Rates_previous!$E$76*100*12</f>
        <v>-4004637.6846000003</v>
      </c>
      <c r="F96" s="251">
        <f>IF(Init!$R$9="Yes",SUMPRODUCT('Staging Table'!L98:AI98,LS_Demand_Rates_Restatement!$C$4:$Z$4)-IF(Init!$R$15="No",('Staging Table'!BH98*Rates_previous!$H$34), 0),SUMPRODUCT('Staging Table'!BZ98:CW98,LS_Demand_Rates_Restatement!$C$4:$Z$4)-IF(Init!$R$15="No", 'Staging Table'!DV98*Rates_previous!$H$34, 0))</f>
        <v>364515.76212881581</v>
      </c>
      <c r="G96" s="251">
        <f>IF(Init!$R$9="Yes",SUMPRODUCT('Staging Table'!AJ98:AU98,LS_Demand_Rates_Restatement!$C$10:$N$10),SUMPRODUCT(LS_Demand_Rates_Restatement!$C$10:$N$10,'Staging Table'!CX98:DI98))*1000</f>
        <v>1856822.0699999998</v>
      </c>
      <c r="H96" s="252">
        <f>IF(Init!$R$9="Yes",'Staging Table'!BR98,'Staging Table'!EF98)*IF(Init!$R$3=2018,Rates_previous!$C$88,Rates_previous!$D$88)</f>
        <v>57193.514400000364</v>
      </c>
      <c r="I96" s="250">
        <f>IF(Init!$R$9="Yes",IF('Staging Table'!$F$1=2018,(SUM('Staging Table'!BD98:BG98)*Rates_previous!$C$87),(SUM('Staging Table'!BD98:BG98)*Rates_previous!$D$87)),IF('Staging Table'!$F$1=2018,(SUM('Staging Table'!DR98:DU98)*Rates_previous!$C$87),(SUM('Staging Table'!DR98:DU98)*Rates_previous!$D$87)))</f>
        <v>156032.36472987253</v>
      </c>
      <c r="J96" s="252">
        <f>IF(Init!$R$9="Yes",IF('Staging Table'!D98=1,'Staging Table'!H98*-1*'Staging Table'!BT98/'Staging Table'!BS98,'Staging Table'!H98*SUM(D96:I96)*(-1)),IF('Staging Table'!D98=1,'Staging Table'!BV98*-1*'Staging Table'!BT98/'Staging Table'!BS98,'Staging Table'!BV98*SUM(D96:I96)*(-1)))</f>
        <v>-1341361.4211249347</v>
      </c>
      <c r="K96" s="250">
        <f>IF(Init!$R$9="Yes",'Staging Table'!K98,'Staging Table'!BY98)*(-1)*Rates_previous!$H$32</f>
        <v>-426424.66775999992</v>
      </c>
      <c r="L96" s="250">
        <f>IF(Init!$R$12="No",0,'Staging Table'!$BI98*-1)*('Staging Table'!$F98/'Staging Table'!$E98)</f>
        <v>-977820.46724975016</v>
      </c>
      <c r="M96" s="250">
        <f>IF('Staging Table'!C98=1,"",SUM(D96:L96))</f>
        <v>24081621.866364006</v>
      </c>
      <c r="N96" s="250">
        <f>IF('Staging Table'!C98=1,"",IF(Init!$R$9="Yes",(RT1SC!$C$3*'Staging Table'!F98*'Staging Table'!$F$2)+SUM('Staging Table'!L98:AI98)-IF(Init!$R$15="No",'Staging Table'!BH98, 0),Z96))</f>
        <v>682500.36</v>
      </c>
      <c r="O96" s="126">
        <f>IF('Staging Table'!C98=1,"",IF(N96=0, 0, M96/N96))</f>
        <v>35.284409031467774</v>
      </c>
      <c r="P96" s="250">
        <f>'Staging Table'!BT98*Rates_current!$E$74*100*12</f>
        <v>26648578.28136</v>
      </c>
      <c r="Q96" s="250">
        <f>'Staging Table'!BT98*Rates_current!$E$75*100*12</f>
        <v>-2695935.1188000003</v>
      </c>
      <c r="R96" s="251">
        <f>SUMPRODUCT('Staging Table'!BZ98:CW98, LS_Demand_Rates_Restatement!$C$5:$Z$5)-IF(Init!$R$15="No",('Staging Table'!DV98*Rates_current!$H$34), 0)</f>
        <v>291070.52276890585</v>
      </c>
      <c r="S96" s="251">
        <f>SUMPRODUCT('Staging Table'!CX98:DI98, LS_Demand_Rates_Restatement!$C$11:$N$11)*1000</f>
        <v>2041480.6899999997</v>
      </c>
      <c r="T96" s="252">
        <f>'Staging Table'!EF98*IF(Init!$R$18="Yes",IF(Init!$R$6=2020,Rates_current!$C$88,Rates_current!$D$88),Rates_current!$H$33)</f>
        <v>0</v>
      </c>
      <c r="U96" s="252">
        <f>IF(Init!$R$18="Yes",(SUM('Staging Table'!DL98:DU98)*IF('Staging Table'!$BT$1=2020, Rates_current!$C$87, Rates_current!$D$87)),0)</f>
        <v>465195.68332236953</v>
      </c>
      <c r="V96" s="252">
        <f>IF('Staging Table'!D98=1, 'Staging Table'!BV98*-1*'Staging Table'!BT98/'Staging Table'!BS98,SUM(P96:U96)*'Staging Table'!BV98*-1)</f>
        <v>-1343530.3155787429</v>
      </c>
      <c r="W96" s="250">
        <f>'Staging Table'!BY98*Rates_current!$H$32*-1</f>
        <v>-402855.27710999991</v>
      </c>
      <c r="X96" s="250">
        <f>IF(Init!$R$12="No",0,'Staging Table'!$DW98*-1)</f>
        <v>0</v>
      </c>
      <c r="Y96" s="250">
        <f>IF('Staging Table'!C98=1,"", SUM(P96:X96))</f>
        <v>25004004.465962537</v>
      </c>
      <c r="Z96" s="250">
        <f>IF('Staging Table'!C98=1,"", (RT1SC!$C$4*'Staging Table'!BT98*'Staging Table'!$BT$2)+SUM('Staging Table'!BZ98:CW98)-IF(Init!$R$15="No",'Staging Table'!DV98, 0))</f>
        <v>691854.19200000004</v>
      </c>
      <c r="AA96" s="126">
        <f>IF('Staging Table'!C98=1,"",IF(Z96=0, 0, Y96/Z96))</f>
        <v>36.140569436576506</v>
      </c>
      <c r="AB96" s="118">
        <f ca="1">IF('Staging Table'!C98=1,"",(AA96/O96-1)+(RAND()/100000000000000))</f>
        <v>2.4264552775850795E-2</v>
      </c>
      <c r="AC96" s="79">
        <f t="shared" ca="1" si="1"/>
        <v>32</v>
      </c>
      <c r="AF96" s="255"/>
      <c r="AG96" s="255"/>
      <c r="AI96" s="255"/>
      <c r="AJ96" s="255"/>
    </row>
    <row r="97" spans="2:36">
      <c r="B97" s="166">
        <v>10294</v>
      </c>
      <c r="C97" s="167" t="s">
        <v>100</v>
      </c>
      <c r="D97" s="250">
        <f>IF(Init!$R$9="Yes",'Staging Table'!F99,'Staging Table'!BT99)*Rates_previous!$E$75*100*12</f>
        <v>5721192.36864</v>
      </c>
      <c r="E97" s="250">
        <f>IF(Init!$R$9="Yes",'Staging Table'!F99,'Staging Table'!BT99)*Rates_previous!$E$76*100*12</f>
        <v>-806812.64159999997</v>
      </c>
      <c r="F97" s="251">
        <f>IF(Init!$R$9="Yes",SUMPRODUCT('Staging Table'!L99:AI99,LS_Demand_Rates_Restatement!$C$4:$Z$4)-IF(Init!$R$15="No",('Staging Table'!BH99*Rates_previous!$H$34), 0),SUMPRODUCT('Staging Table'!BZ99:CW99,LS_Demand_Rates_Restatement!$C$4:$Z$4)-IF(Init!$R$15="No", 'Staging Table'!DV99*Rates_previous!$H$34, 0))</f>
        <v>60258.279999999941</v>
      </c>
      <c r="G97" s="251">
        <f>IF(Init!$R$9="Yes",SUMPRODUCT('Staging Table'!AJ99:AU99,LS_Demand_Rates_Restatement!$C$10:$N$10),SUMPRODUCT(LS_Demand_Rates_Restatement!$C$10:$N$10,'Staging Table'!CX99:DI99))*1000</f>
        <v>0</v>
      </c>
      <c r="H97" s="252">
        <f>IF(Init!$R$9="Yes",'Staging Table'!BR99,'Staging Table'!EF99)*IF(Init!$R$3=2018,Rates_previous!$C$88,Rates_previous!$D$88)</f>
        <v>0</v>
      </c>
      <c r="I97" s="250">
        <f>IF(Init!$R$9="Yes",IF('Staging Table'!$F$1=2018,(SUM('Staging Table'!BD99:BG99)*Rates_previous!$C$87),(SUM('Staging Table'!BD99:BG99)*Rates_previous!$D$87)),IF('Staging Table'!$F$1=2018,(SUM('Staging Table'!DR99:DU99)*Rates_previous!$C$87),(SUM('Staging Table'!DR99:DU99)*Rates_previous!$D$87)))</f>
        <v>31435.77378970238</v>
      </c>
      <c r="J97" s="252">
        <f>IF(Init!$R$9="Yes",IF('Staging Table'!D99=1,'Staging Table'!H99*-1*'Staging Table'!BT99/'Staging Table'!BS99,'Staging Table'!H99*SUM(D97:I97)*(-1)),IF('Staging Table'!D99=1,'Staging Table'!BV99*-1*'Staging Table'!BT99/'Staging Table'!BS99,'Staging Table'!BV99*SUM(D97:I97)*(-1)))</f>
        <v>0</v>
      </c>
      <c r="K97" s="250">
        <f>IF(Init!$R$9="Yes",'Staging Table'!K99,'Staging Table'!BY99)*(-1)*Rates_previous!$H$32</f>
        <v>0</v>
      </c>
      <c r="L97" s="250">
        <f>IF(Init!$R$12="No",0,'Staging Table'!$BI99*-1)*('Staging Table'!$F99/'Staging Table'!$E99)</f>
        <v>-203709.16364041276</v>
      </c>
      <c r="M97" s="250">
        <f>IF('Staging Table'!C99=1,"",SUM(D97:L97))</f>
        <v>4802364.61718929</v>
      </c>
      <c r="N97" s="250">
        <f>IF('Staging Table'!C99=1,"",IF(Init!$R$9="Yes",(RT1SC!$C$3*'Staging Table'!F99*'Staging Table'!$F$2)+SUM('Staging Table'!L99:AI99)-IF(Init!$R$15="No",'Staging Table'!BH99, 0),Z97))</f>
        <v>136660.23251577598</v>
      </c>
      <c r="O97" s="126">
        <f>IF('Staging Table'!C99=1,"",IF(N97=0, 0, M97/N97))</f>
        <v>35.140907700672237</v>
      </c>
      <c r="P97" s="250">
        <f>'Staging Table'!BT99*Rates_current!$E$74*100*12</f>
        <v>5171619.9936000006</v>
      </c>
      <c r="Q97" s="250">
        <f>'Staging Table'!BT99*Rates_current!$E$75*100*12</f>
        <v>-523193.08799999999</v>
      </c>
      <c r="R97" s="251">
        <f>SUMPRODUCT('Staging Table'!BZ99:CW99, LS_Demand_Rates_Restatement!$C$5:$Z$5)-IF(Init!$R$15="No",('Staging Table'!DV99*Rates_current!$H$34), 0)</f>
        <v>52278.609999999957</v>
      </c>
      <c r="S97" s="251">
        <f>SUMPRODUCT('Staging Table'!CX99:DI99, LS_Demand_Rates_Restatement!$C$11:$N$11)*1000</f>
        <v>0</v>
      </c>
      <c r="T97" s="252">
        <f>'Staging Table'!EF99*IF(Init!$R$18="Yes",IF(Init!$R$6=2020,Rates_current!$C$88,Rates_current!$D$88),Rates_current!$H$33)</f>
        <v>0</v>
      </c>
      <c r="U97" s="252">
        <f>IF(Init!$R$18="Yes",(SUM('Staging Table'!DL99:DU99)*IF('Staging Table'!$BT$1=2020, Rates_current!$C$87, Rates_current!$D$87)),0)</f>
        <v>90279.311391601921</v>
      </c>
      <c r="V97" s="252">
        <f>IF('Staging Table'!D99=1, 'Staging Table'!BV99*-1*'Staging Table'!BT99/'Staging Table'!BS99,SUM(P97:U97)*'Staging Table'!BV99*-1)</f>
        <v>0</v>
      </c>
      <c r="W97" s="250">
        <f>'Staging Table'!BY99*Rates_current!$H$32*-1</f>
        <v>0</v>
      </c>
      <c r="X97" s="250">
        <f>IF(Init!$R$12="No",0,'Staging Table'!$DW99*-1)</f>
        <v>0</v>
      </c>
      <c r="Y97" s="250">
        <f>IF('Staging Table'!C99=1,"", SUM(P97:X97))</f>
        <v>4790984.8269916028</v>
      </c>
      <c r="Z97" s="250">
        <f>IF('Staging Table'!C99=1,"", (RT1SC!$C$4*'Staging Table'!BT99*'Staging Table'!$BT$2)+SUM('Staging Table'!BZ99:CW99)-IF(Init!$R$15="No",'Staging Table'!DV99, 0))</f>
        <v>133537.409975808</v>
      </c>
      <c r="AA97" s="126">
        <f>IF('Staging Table'!C99=1,"",IF(Z97=0, 0, Y97/Z97))</f>
        <v>35.877473045639803</v>
      </c>
      <c r="AB97" s="118">
        <f ca="1">IF('Staging Table'!C99=1,"",(AA97/O97-1)+(RAND()/100000000000000))</f>
        <v>2.0960339193335713E-2</v>
      </c>
      <c r="AC97" s="79">
        <f t="shared" ca="1" si="1"/>
        <v>52</v>
      </c>
      <c r="AF97" s="255"/>
      <c r="AG97" s="255"/>
      <c r="AI97" s="255"/>
      <c r="AJ97" s="255"/>
    </row>
    <row r="98" spans="2:36">
      <c r="B98" s="166">
        <v>10304</v>
      </c>
      <c r="C98" s="167" t="s">
        <v>101</v>
      </c>
      <c r="D98" s="250">
        <f>IF(Init!$R$9="Yes",'Staging Table'!F100,'Staging Table'!BT100)*Rates_previous!$E$75*100*12</f>
        <v>4988463.9551999997</v>
      </c>
      <c r="E98" s="250">
        <f>IF(Init!$R$9="Yes",'Staging Table'!F100,'Staging Table'!BT100)*Rates_previous!$E$76*100*12</f>
        <v>-703481.98800000001</v>
      </c>
      <c r="F98" s="251">
        <f>IF(Init!$R$9="Yes",SUMPRODUCT('Staging Table'!L100:AI100,LS_Demand_Rates_Restatement!$C$4:$Z$4)-IF(Init!$R$15="No",('Staging Table'!BH100*Rates_previous!$H$34), 0),SUMPRODUCT('Staging Table'!BZ100:CW100,LS_Demand_Rates_Restatement!$C$4:$Z$4)-IF(Init!$R$15="No", 'Staging Table'!DV100*Rates_previous!$H$34, 0))</f>
        <v>101523.67</v>
      </c>
      <c r="G98" s="251">
        <f>IF(Init!$R$9="Yes",SUMPRODUCT('Staging Table'!AJ100:AU100,LS_Demand_Rates_Restatement!$C$10:$N$10),SUMPRODUCT(LS_Demand_Rates_Restatement!$C$10:$N$10,'Staging Table'!CX100:DI100))*1000</f>
        <v>248282.59999999998</v>
      </c>
      <c r="H98" s="252">
        <f>IF(Init!$R$9="Yes",'Staging Table'!BR100,'Staging Table'!EF100)*IF(Init!$R$3=2018,Rates_previous!$C$88,Rates_previous!$D$88)</f>
        <v>12656.462852246203</v>
      </c>
      <c r="I98" s="250">
        <f>IF(Init!$R$9="Yes",IF('Staging Table'!$F$1=2018,(SUM('Staging Table'!BD100:BG100)*Rates_previous!$C$87),(SUM('Staging Table'!BD100:BG100)*Rates_previous!$D$87)),IF('Staging Table'!$F$1=2018,(SUM('Staging Table'!DR100:DU100)*Rates_previous!$C$87),(SUM('Staging Table'!DR100:DU100)*Rates_previous!$D$87)))</f>
        <v>27409.710135481506</v>
      </c>
      <c r="J98" s="252">
        <f>IF(Init!$R$9="Yes",IF('Staging Table'!D100=1,'Staging Table'!H100*-1*'Staging Table'!BT100/'Staging Table'!BS100,'Staging Table'!H100*SUM(D98:I98)*(-1)),IF('Staging Table'!D100=1,'Staging Table'!BV100*-1*'Staging Table'!BT100/'Staging Table'!BS100,'Staging Table'!BV100*SUM(D98:I98)*(-1)))</f>
        <v>0</v>
      </c>
      <c r="K98" s="250">
        <f>IF(Init!$R$9="Yes",'Staging Table'!K100,'Staging Table'!BY100)*(-1)*Rates_previous!$H$32</f>
        <v>0</v>
      </c>
      <c r="L98" s="250">
        <f>IF(Init!$R$12="No",0,'Staging Table'!$BI100*-1)*('Staging Table'!$F100/'Staging Table'!$E100)</f>
        <v>-77668.641590863757</v>
      </c>
      <c r="M98" s="250">
        <f>IF('Staging Table'!C100=1,"",SUM(D98:L98))</f>
        <v>4597185.7685968634</v>
      </c>
      <c r="N98" s="250">
        <f>IF('Staging Table'!C100=1,"",IF(Init!$R$9="Yes",(RT1SC!$C$3*'Staging Table'!F100*'Staging Table'!$F$2)+SUM('Staging Table'!L100:AI100)-IF(Init!$R$15="No",'Staging Table'!BH100, 0),Z98))</f>
        <v>120093.55417968</v>
      </c>
      <c r="O98" s="126">
        <f>IF('Staging Table'!C100=1,"",IF(N98=0, 0, M98/N98))</f>
        <v>38.280037592348265</v>
      </c>
      <c r="P98" s="250">
        <f>'Staging Table'!BT100*Rates_current!$E$74*100*12</f>
        <v>4625700.3646799996</v>
      </c>
      <c r="Q98" s="250">
        <f>'Staging Table'!BT100*Rates_current!$E$75*100*12</f>
        <v>-467964.47939999995</v>
      </c>
      <c r="R98" s="251">
        <f>SUMPRODUCT('Staging Table'!BZ100:CW100, LS_Demand_Rates_Restatement!$C$5:$Z$5)-IF(Init!$R$15="No",('Staging Table'!DV100*Rates_current!$H$34), 0)</f>
        <v>88502.209999999977</v>
      </c>
      <c r="S98" s="251">
        <f>SUMPRODUCT('Staging Table'!CX100:DI100, LS_Demand_Rates_Restatement!$C$11:$N$11)*1000</f>
        <v>274064.72000000009</v>
      </c>
      <c r="T98" s="252">
        <f>'Staging Table'!EF100*IF(Init!$R$18="Yes",IF(Init!$R$6=2020,Rates_current!$C$88,Rates_current!$D$88),Rates_current!$H$33)</f>
        <v>-42.676239332546245</v>
      </c>
      <c r="U98" s="252">
        <f>IF(Init!$R$18="Yes",(SUM('Staging Table'!DL100:DU100)*IF('Staging Table'!$BT$1=2020, Rates_current!$C$87, Rates_current!$D$87)),0)</f>
        <v>80749.367537442478</v>
      </c>
      <c r="V98" s="252">
        <f>IF('Staging Table'!D100=1, 'Staging Table'!BV100*-1*'Staging Table'!BT100/'Staging Table'!BS100,SUM(P98:U98)*'Staging Table'!BV100*-1)</f>
        <v>0</v>
      </c>
      <c r="W98" s="250">
        <f>'Staging Table'!BY100*Rates_current!$H$32*-1</f>
        <v>0</v>
      </c>
      <c r="X98" s="250">
        <f>IF(Init!$R$12="No",0,'Staging Table'!$DW100*-1)</f>
        <v>0</v>
      </c>
      <c r="Y98" s="250">
        <f>IF('Staging Table'!C100=1,"", SUM(P98:X98))</f>
        <v>4601009.5065781102</v>
      </c>
      <c r="Z98" s="250">
        <f>IF('Staging Table'!C100=1,"", (RT1SC!$C$4*'Staging Table'!BT100*'Staging Table'!$BT$2)+SUM('Staging Table'!BZ100:CW100)-IF(Init!$R$15="No",'Staging Table'!DV100, 0))</f>
        <v>120092.15888599039</v>
      </c>
      <c r="AA98" s="126">
        <f>IF('Staging Table'!C100=1,"",IF(Z98=0, 0, Y98/Z98))</f>
        <v>38.312322380232025</v>
      </c>
      <c r="AB98" s="118">
        <f ca="1">IF('Staging Table'!C100=1,"",(AA98/O98-1)+(RAND()/100000000000000))</f>
        <v>8.4338443518880445E-4</v>
      </c>
      <c r="AC98" s="79">
        <f t="shared" ca="1" si="1"/>
        <v>104</v>
      </c>
      <c r="AF98" s="255"/>
      <c r="AG98" s="255"/>
      <c r="AI98" s="255"/>
      <c r="AJ98" s="255"/>
    </row>
    <row r="99" spans="2:36">
      <c r="B99" s="166">
        <v>10306</v>
      </c>
      <c r="C99" s="167" t="s">
        <v>102</v>
      </c>
      <c r="D99" s="250">
        <f>IF(Init!$R$9="Yes",'Staging Table'!F101,'Staging Table'!BT101)*Rates_previous!$E$75*100*12</f>
        <v>8135935.0329599995</v>
      </c>
      <c r="E99" s="250">
        <f>IF(Init!$R$9="Yes",'Staging Table'!F101,'Staging Table'!BT101)*Rates_previous!$E$76*100*12</f>
        <v>-1147343.9124</v>
      </c>
      <c r="F99" s="251">
        <f>IF(Init!$R$9="Yes",SUMPRODUCT('Staging Table'!L101:AI101,LS_Demand_Rates_Restatement!$C$4:$Z$4)-IF(Init!$R$15="No",('Staging Table'!BH101*Rates_previous!$H$34), 0),SUMPRODUCT('Staging Table'!BZ101:CW101,LS_Demand_Rates_Restatement!$C$4:$Z$4)-IF(Init!$R$15="No", 'Staging Table'!DV101*Rates_previous!$H$34, 0))</f>
        <v>523992.24000000017</v>
      </c>
      <c r="G99" s="251">
        <f>IF(Init!$R$9="Yes",SUMPRODUCT('Staging Table'!AJ101:AU101,LS_Demand_Rates_Restatement!$C$10:$N$10),SUMPRODUCT(LS_Demand_Rates_Restatement!$C$10:$N$10,'Staging Table'!CX101:DI101))*1000</f>
        <v>0</v>
      </c>
      <c r="H99" s="252">
        <f>IF(Init!$R$9="Yes",'Staging Table'!BR101,'Staging Table'!EF101)*IF(Init!$R$3=2018,Rates_previous!$C$88,Rates_previous!$D$88)</f>
        <v>0</v>
      </c>
      <c r="I99" s="250">
        <f>IF(Init!$R$9="Yes",IF('Staging Table'!$F$1=2018,(SUM('Staging Table'!BD101:BG101)*Rates_previous!$C$87),(SUM('Staging Table'!BD101:BG101)*Rates_previous!$D$87)),IF('Staging Table'!$F$1=2018,(SUM('Staging Table'!DR101:DU101)*Rates_previous!$C$87),(SUM('Staging Table'!DR101:DU101)*Rates_previous!$D$87)))</f>
        <v>44703.865345580503</v>
      </c>
      <c r="J99" s="252">
        <f>IF(Init!$R$9="Yes",IF('Staging Table'!D101=1,'Staging Table'!H101*-1*'Staging Table'!BT101/'Staging Table'!BS101,'Staging Table'!H101*SUM(D99:I99)*(-1)),IF('Staging Table'!D101=1,'Staging Table'!BV101*-1*'Staging Table'!BT101/'Staging Table'!BS101,'Staging Table'!BV101*SUM(D99:I99)*(-1)))</f>
        <v>0</v>
      </c>
      <c r="K99" s="250">
        <f>IF(Init!$R$9="Yes",'Staging Table'!K101,'Staging Table'!BY101)*(-1)*Rates_previous!$H$32</f>
        <v>0</v>
      </c>
      <c r="L99" s="250">
        <f>IF(Init!$R$12="No",0,'Staging Table'!$BI101*-1)*('Staging Table'!$F101/'Staging Table'!$E101)</f>
        <v>-218511.51253542781</v>
      </c>
      <c r="M99" s="250">
        <f>IF('Staging Table'!C101=1,"",SUM(D99:L99))</f>
        <v>7338775.7133701527</v>
      </c>
      <c r="N99" s="250">
        <f>IF('Staging Table'!C101=1,"",IF(Init!$R$9="Yes",(RT1SC!$C$3*'Staging Table'!F101*'Staging Table'!$F$2)+SUM('Staging Table'!L101:AI101)-IF(Init!$R$15="No",'Staging Table'!BH101, 0),Z99))</f>
        <v>195072.39985566397</v>
      </c>
      <c r="O99" s="126">
        <f>IF('Staging Table'!C101=1,"",IF(N99=0, 0, M99/N99))</f>
        <v>37.620779355768356</v>
      </c>
      <c r="P99" s="250">
        <f>'Staging Table'!BT101*Rates_current!$E$74*100*12</f>
        <v>7483400.6773199998</v>
      </c>
      <c r="Q99" s="250">
        <f>'Staging Table'!BT101*Rates_current!$E$75*100*12</f>
        <v>-757067.13059999992</v>
      </c>
      <c r="R99" s="251">
        <f>SUMPRODUCT('Staging Table'!BZ101:CW101, LS_Demand_Rates_Restatement!$C$5:$Z$5)-IF(Init!$R$15="No",('Staging Table'!DV101*Rates_current!$H$34), 0)</f>
        <v>537718.15000000037</v>
      </c>
      <c r="S99" s="251">
        <f>SUMPRODUCT('Staging Table'!CX101:DI101, LS_Demand_Rates_Restatement!$C$11:$N$11)*1000</f>
        <v>0</v>
      </c>
      <c r="T99" s="252">
        <f>'Staging Table'!EF101*IF(Init!$R$18="Yes",IF(Init!$R$6=2020,Rates_current!$C$88,Rates_current!$D$88),Rates_current!$H$33)</f>
        <v>0</v>
      </c>
      <c r="U99" s="252">
        <f>IF(Init!$R$18="Yes",(SUM('Staging Table'!DL101:DU101)*IF('Staging Table'!$BT$1=2020, Rates_current!$C$87, Rates_current!$D$87)),0)</f>
        <v>130635.32526596369</v>
      </c>
      <c r="V99" s="252">
        <f>IF('Staging Table'!D101=1, 'Staging Table'!BV101*-1*'Staging Table'!BT101/'Staging Table'!BS101,SUM(P99:U99)*'Staging Table'!BV101*-1)</f>
        <v>0</v>
      </c>
      <c r="W99" s="250">
        <f>'Staging Table'!BY101*Rates_current!$H$32*-1</f>
        <v>0</v>
      </c>
      <c r="X99" s="250">
        <f>IF(Init!$R$12="No",0,'Staging Table'!$DW101*-1)</f>
        <v>0</v>
      </c>
      <c r="Y99" s="250">
        <f>IF('Staging Table'!C101=1,"", SUM(P99:X99))</f>
        <v>7394687.0219859639</v>
      </c>
      <c r="Z99" s="250">
        <f>IF('Staging Table'!C101=1,"", (RT1SC!$C$4*'Staging Table'!BT101*'Staging Table'!$BT$2)+SUM('Staging Table'!BZ101:CW101)-IF(Init!$R$15="No",'Staging Table'!DV101, 0))</f>
        <v>194284.22292776959</v>
      </c>
      <c r="AA99" s="126">
        <f>IF('Staging Table'!C101=1,"",IF(Z99=0, 0, Y99/Z99))</f>
        <v>38.061181245453668</v>
      </c>
      <c r="AB99" s="118">
        <f ca="1">IF('Staging Table'!C101=1,"",(AA99/O99-1)+(RAND()/100000000000000))</f>
        <v>1.1706346790973919E-2</v>
      </c>
      <c r="AC99" s="79">
        <f t="shared" ca="1" si="1"/>
        <v>83</v>
      </c>
      <c r="AF99" s="255"/>
      <c r="AG99" s="255"/>
      <c r="AI99" s="255"/>
      <c r="AJ99" s="255"/>
    </row>
    <row r="100" spans="2:36">
      <c r="B100" s="166">
        <v>10307</v>
      </c>
      <c r="C100" s="167" t="s">
        <v>103</v>
      </c>
      <c r="D100" s="250">
        <f>IF(Init!$R$9="Yes",'Staging Table'!F102,'Staging Table'!BT102)*Rates_previous!$E$75*100*12</f>
        <v>24674807.664000001</v>
      </c>
      <c r="E100" s="250">
        <f>IF(Init!$R$9="Yes",'Staging Table'!F102,'Staging Table'!BT102)*Rates_previous!$E$76*100*12</f>
        <v>-3479684.91</v>
      </c>
      <c r="F100" s="251">
        <f>IF(Init!$R$9="Yes",SUMPRODUCT('Staging Table'!L102:AI102,LS_Demand_Rates_Restatement!$C$4:$Z$4)-IF(Init!$R$15="No",('Staging Table'!BH102*Rates_previous!$H$34), 0),SUMPRODUCT('Staging Table'!BZ102:CW102,LS_Demand_Rates_Restatement!$C$4:$Z$4)-IF(Init!$R$15="No", 'Staging Table'!DV102*Rates_previous!$H$34, 0))</f>
        <v>509847.16000000015</v>
      </c>
      <c r="G100" s="251">
        <f>IF(Init!$R$9="Yes",SUMPRODUCT('Staging Table'!AJ102:AU102,LS_Demand_Rates_Restatement!$C$10:$N$10),SUMPRODUCT(LS_Demand_Rates_Restatement!$C$10:$N$10,'Staging Table'!CX102:DI102))*1000</f>
        <v>1633808.2899999998</v>
      </c>
      <c r="H100" s="252">
        <f>IF(Init!$R$9="Yes",'Staging Table'!BR102,'Staging Table'!EF102)*IF(Init!$R$3=2018,Rates_previous!$C$88,Rates_previous!$D$88)</f>
        <v>50732.869287845802</v>
      </c>
      <c r="I100" s="250">
        <f>IF(Init!$R$9="Yes",IF('Staging Table'!$F$1=2018,(SUM('Staging Table'!BD102:BG102)*Rates_previous!$C$87),(SUM('Staging Table'!BD102:BG102)*Rates_previous!$D$87)),IF('Staging Table'!$F$1=2018,(SUM('Staging Table'!DR102:DU102)*Rates_previous!$C$87),(SUM('Staging Table'!DR102:DU102)*Rates_previous!$D$87)))</f>
        <v>135578.67347402367</v>
      </c>
      <c r="J100" s="252">
        <f>IF(Init!$R$9="Yes",IF('Staging Table'!D102=1,'Staging Table'!H102*-1*'Staging Table'!BT102/'Staging Table'!BS102,'Staging Table'!H102*SUM(D100:I100)*(-1)),IF('Staging Table'!D102=1,'Staging Table'!BV102*-1*'Staging Table'!BT102/'Staging Table'!BS102,'Staging Table'!BV102*SUM(D100:I100)*(-1)))</f>
        <v>0</v>
      </c>
      <c r="K100" s="250">
        <f>IF(Init!$R$9="Yes",'Staging Table'!K102,'Staging Table'!BY102)*(-1)*Rates_previous!$H$32</f>
        <v>0</v>
      </c>
      <c r="L100" s="250">
        <f>IF(Init!$R$12="No",0,'Staging Table'!$BI102*-1)*('Staging Table'!$F102/'Staging Table'!$E102)</f>
        <v>-868434.3297716591</v>
      </c>
      <c r="M100" s="250">
        <f>IF('Staging Table'!C102=1,"",SUM(D100:L100))</f>
        <v>22656655.416990209</v>
      </c>
      <c r="N100" s="250">
        <f>IF('Staging Table'!C102=1,"",IF(Init!$R$9="Yes",(RT1SC!$C$3*'Staging Table'!F102*'Staging Table'!$F$2)+SUM('Staging Table'!L102:AI102)-IF(Init!$R$15="No",'Staging Table'!BH102, 0),Z100))</f>
        <v>593114.90154759982</v>
      </c>
      <c r="O100" s="126">
        <f>IF('Staging Table'!C102=1,"",IF(N100=0, 0, M100/N100))</f>
        <v>38.199437171234052</v>
      </c>
      <c r="P100" s="250">
        <f>'Staging Table'!BT102*Rates_current!$E$74*100*12</f>
        <v>22820010.888119999</v>
      </c>
      <c r="Q100" s="250">
        <f>'Staging Table'!BT102*Rates_current!$E$75*100*12</f>
        <v>-2308613.5445999997</v>
      </c>
      <c r="R100" s="251">
        <f>SUMPRODUCT('Staging Table'!BZ102:CW102, LS_Demand_Rates_Restatement!$C$5:$Z$5)-IF(Init!$R$15="No",('Staging Table'!DV102*Rates_current!$H$34), 0)</f>
        <v>482911.36999999994</v>
      </c>
      <c r="S100" s="251">
        <f>SUMPRODUCT('Staging Table'!CX102:DI102, LS_Demand_Rates_Restatement!$C$11:$N$11)*1000</f>
        <v>1798788.1899999997</v>
      </c>
      <c r="T100" s="252">
        <f>'Staging Table'!EF102*IF(Init!$R$18="Yes",IF(Init!$R$6=2020,Rates_current!$C$88,Rates_current!$D$88),Rates_current!$H$33)</f>
        <v>10494.138268050967</v>
      </c>
      <c r="U100" s="252">
        <f>IF(Init!$R$18="Yes",(SUM('Staging Table'!DL102:DU102)*IF('Staging Table'!$BT$1=2020, Rates_current!$C$87, Rates_current!$D$87)),0)</f>
        <v>398361.61038085667</v>
      </c>
      <c r="V100" s="252">
        <f>IF('Staging Table'!D102=1, 'Staging Table'!BV102*-1*'Staging Table'!BT102/'Staging Table'!BS102,SUM(P100:U100)*'Staging Table'!BV102*-1)</f>
        <v>0</v>
      </c>
      <c r="W100" s="250">
        <f>'Staging Table'!BY102*Rates_current!$H$32*-1</f>
        <v>0</v>
      </c>
      <c r="X100" s="250">
        <f>IF(Init!$R$12="No",0,'Staging Table'!$DW102*-1)</f>
        <v>0</v>
      </c>
      <c r="Y100" s="250">
        <f>IF('Staging Table'!C102=1,"", SUM(P100:X100))</f>
        <v>23201952.652168911</v>
      </c>
      <c r="Z100" s="250">
        <f>IF('Staging Table'!C102=1,"", (RT1SC!$C$4*'Staging Table'!BT102*'Staging Table'!$BT$2)+SUM('Staging Table'!BZ102:CW102)-IF(Init!$R$15="No",'Staging Table'!DV102, 0))</f>
        <v>593115.70434959361</v>
      </c>
      <c r="AA100" s="126">
        <f>IF('Staging Table'!C102=1,"",IF(Z100=0, 0, Y100/Z100))</f>
        <v>39.118762969886298</v>
      </c>
      <c r="AB100" s="118">
        <f ca="1">IF('Staging Table'!C102=1,"",(AA100/O100-1)+(RAND()/100000000000000))</f>
        <v>2.4066474972693635E-2</v>
      </c>
      <c r="AC100" s="79">
        <f t="shared" ca="1" si="1"/>
        <v>34</v>
      </c>
      <c r="AF100" s="255"/>
      <c r="AG100" s="255"/>
      <c r="AI100" s="255"/>
      <c r="AJ100" s="255"/>
    </row>
    <row r="101" spans="2:36">
      <c r="B101" s="166">
        <v>10326</v>
      </c>
      <c r="C101" s="167" t="s">
        <v>104</v>
      </c>
      <c r="D101" s="250">
        <f>IF(Init!$R$9="Yes",'Staging Table'!F103,'Staging Table'!BT103)*Rates_previous!$E$75*100*12</f>
        <v>10512206.907839999</v>
      </c>
      <c r="E101" s="250">
        <f>IF(Init!$R$9="Yes",'Staging Table'!F103,'Staging Table'!BT103)*Rates_previous!$E$76*100*12</f>
        <v>-1482449.9646000001</v>
      </c>
      <c r="F101" s="251">
        <f>IF(Init!$R$9="Yes",SUMPRODUCT('Staging Table'!L103:AI103,LS_Demand_Rates_Restatement!$C$4:$Z$4)-IF(Init!$R$15="No",('Staging Table'!BH103*Rates_previous!$H$34), 0),SUMPRODUCT('Staging Table'!BZ103:CW103,LS_Demand_Rates_Restatement!$C$4:$Z$4)-IF(Init!$R$15="No", 'Staging Table'!DV103*Rates_previous!$H$34, 0))</f>
        <v>280310.63225563435</v>
      </c>
      <c r="G101" s="251">
        <f>IF(Init!$R$9="Yes",SUMPRODUCT('Staging Table'!AJ103:AU103,LS_Demand_Rates_Restatement!$C$10:$N$10),SUMPRODUCT(LS_Demand_Rates_Restatement!$C$10:$N$10,'Staging Table'!CX103:DI103))*1000</f>
        <v>616211.39</v>
      </c>
      <c r="H101" s="252">
        <f>IF(Init!$R$9="Yes",'Staging Table'!BR103,'Staging Table'!EF103)*IF(Init!$R$3=2018,Rates_previous!$C$88,Rates_previous!$D$88)</f>
        <v>149635.51680000004</v>
      </c>
      <c r="I101" s="250">
        <f>IF(Init!$R$9="Yes",IF('Staging Table'!$F$1=2018,(SUM('Staging Table'!BD103:BG103)*Rates_previous!$C$87),(SUM('Staging Table'!BD103:BG103)*Rates_previous!$D$87)),IF('Staging Table'!$F$1=2018,(SUM('Staging Table'!DR103:DU103)*Rates_previous!$C$87),(SUM('Staging Table'!DR103:DU103)*Rates_previous!$D$87)))</f>
        <v>57760.574560781519</v>
      </c>
      <c r="J101" s="252">
        <f>IF(Init!$R$9="Yes",IF('Staging Table'!D103=1,'Staging Table'!H103*-1*'Staging Table'!BT103/'Staging Table'!BS103,'Staging Table'!H103*SUM(D101:I101)*(-1)),IF('Staging Table'!D103=1,'Staging Table'!BV103*-1*'Staging Table'!BT103/'Staging Table'!BS103,'Staging Table'!BV103*SUM(D101:I101)*(-1)))</f>
        <v>0</v>
      </c>
      <c r="K101" s="250">
        <f>IF(Init!$R$9="Yes",'Staging Table'!K103,'Staging Table'!BY103)*(-1)*Rates_previous!$H$32</f>
        <v>0</v>
      </c>
      <c r="L101" s="250">
        <f>IF(Init!$R$12="No",0,'Staging Table'!$BI103*-1)*('Staging Table'!$F103/'Staging Table'!$E103)</f>
        <v>-380651.60016817949</v>
      </c>
      <c r="M101" s="250">
        <f>IF('Staging Table'!C103=1,"",SUM(D101:L101))</f>
        <v>9753023.4566882346</v>
      </c>
      <c r="N101" s="250">
        <f>IF('Staging Table'!C103=1,"",IF(Init!$R$9="Yes",(RT1SC!$C$3*'Staging Table'!F103*'Staging Table'!$F$2)+SUM('Staging Table'!L103:AI103)-IF(Init!$R$15="No",'Staging Table'!BH103, 0),Z101))</f>
        <v>262545.96000000002</v>
      </c>
      <c r="O101" s="126">
        <f>IF('Staging Table'!C103=1,"",IF(N101=0, 0, M101/N101))</f>
        <v>37.14787101156778</v>
      </c>
      <c r="P101" s="250">
        <f>'Staging Table'!BT103*Rates_current!$E$74*100*12</f>
        <v>9988166.4453599993</v>
      </c>
      <c r="Q101" s="250">
        <f>'Staging Table'!BT103*Rates_current!$E$75*100*12</f>
        <v>-1010464.7387999999</v>
      </c>
      <c r="R101" s="251">
        <f>SUMPRODUCT('Staging Table'!BZ103:CW103, LS_Demand_Rates_Restatement!$C$5:$Z$5)-IF(Init!$R$15="No",('Staging Table'!DV103*Rates_current!$H$34), 0)</f>
        <v>145140.58899784519</v>
      </c>
      <c r="S101" s="251">
        <f>SUMPRODUCT('Staging Table'!CX103:DI103, LS_Demand_Rates_Restatement!$C$11:$N$11)*1000</f>
        <v>682071.38</v>
      </c>
      <c r="T101" s="252">
        <f>'Staging Table'!EF103*IF(Init!$R$18="Yes",IF(Init!$R$6=2020,Rates_current!$C$88,Rates_current!$D$88),Rates_current!$H$33)</f>
        <v>108315.41615999962</v>
      </c>
      <c r="U101" s="252">
        <f>IF(Init!$R$18="Yes",(SUM('Staging Table'!DL103:DU103)*IF('Staging Table'!$BT$1=2020, Rates_current!$C$87, Rates_current!$D$87)),0)</f>
        <v>174360.21785585763</v>
      </c>
      <c r="V101" s="252">
        <f>IF('Staging Table'!D103=1, 'Staging Table'!BV103*-1*'Staging Table'!BT103/'Staging Table'!BS103,SUM(P101:U101)*'Staging Table'!BV103*-1)</f>
        <v>0</v>
      </c>
      <c r="W101" s="250">
        <f>'Staging Table'!BY103*Rates_current!$H$32*-1</f>
        <v>0</v>
      </c>
      <c r="X101" s="250">
        <f>IF(Init!$R$12="No",0,'Staging Table'!$DW103*-1)</f>
        <v>0</v>
      </c>
      <c r="Y101" s="250">
        <f>IF('Staging Table'!C103=1,"", SUM(P101:X101))</f>
        <v>10087589.309573703</v>
      </c>
      <c r="Z101" s="250">
        <f>IF('Staging Table'!C103=1,"", (RT1SC!$C$4*'Staging Table'!BT103*'Staging Table'!$BT$2)+SUM('Staging Table'!BZ103:CW103)-IF(Init!$R$15="No",'Staging Table'!DV103, 0))</f>
        <v>266137.63199999998</v>
      </c>
      <c r="AA101" s="126">
        <f>IF('Staging Table'!C103=1,"",IF(Z101=0, 0, Y101/Z101))</f>
        <v>37.903656216395973</v>
      </c>
      <c r="AB101" s="118">
        <f ca="1">IF('Staging Table'!C103=1,"",(AA101/O101-1)+(RAND()/100000000000000))</f>
        <v>2.034531681756328E-2</v>
      </c>
      <c r="AC101" s="79">
        <f t="shared" ca="1" si="1"/>
        <v>56</v>
      </c>
      <c r="AF101" s="255"/>
      <c r="AG101" s="255"/>
      <c r="AI101" s="255"/>
      <c r="AJ101" s="255"/>
    </row>
    <row r="102" spans="2:36">
      <c r="B102" s="166">
        <v>10331</v>
      </c>
      <c r="C102" s="167" t="s">
        <v>105</v>
      </c>
      <c r="D102" s="250">
        <f>IF(Init!$R$9="Yes",'Staging Table'!F104,'Staging Table'!BT104)*Rates_previous!$E$75*100*12</f>
        <v>13212295.824960001</v>
      </c>
      <c r="E102" s="250">
        <f>IF(Init!$R$9="Yes",'Staging Table'!F104,'Staging Table'!BT104)*Rates_previous!$E$76*100*12</f>
        <v>-1863221.2674000002</v>
      </c>
      <c r="F102" s="251">
        <f>IF(Init!$R$9="Yes",SUMPRODUCT('Staging Table'!L104:AI104,LS_Demand_Rates_Restatement!$C$4:$Z$4)-IF(Init!$R$15="No",('Staging Table'!BH104*Rates_previous!$H$34), 0),SUMPRODUCT('Staging Table'!BZ104:CW104,LS_Demand_Rates_Restatement!$C$4:$Z$4)-IF(Init!$R$15="No", 'Staging Table'!DV104*Rates_previous!$H$34, 0))</f>
        <v>0</v>
      </c>
      <c r="G102" s="251">
        <f>IF(Init!$R$9="Yes",SUMPRODUCT('Staging Table'!AJ104:AU104,LS_Demand_Rates_Restatement!$C$10:$N$10),SUMPRODUCT(LS_Demand_Rates_Restatement!$C$10:$N$10,'Staging Table'!CX104:DI104))*1000</f>
        <v>0</v>
      </c>
      <c r="H102" s="252">
        <f>IF(Init!$R$9="Yes",'Staging Table'!BR104,'Staging Table'!EF104)*IF(Init!$R$3=2018,Rates_previous!$C$88,Rates_previous!$D$88)</f>
        <v>0</v>
      </c>
      <c r="I102" s="250">
        <f>IF(Init!$R$9="Yes",IF('Staging Table'!$F$1=2018,(SUM('Staging Table'!BD104:BG104)*Rates_previous!$C$87),(SUM('Staging Table'!BD104:BG104)*Rates_previous!$D$87)),IF('Staging Table'!$F$1=2018,(SUM('Staging Table'!DR104:DU104)*Rates_previous!$C$87),(SUM('Staging Table'!DR104:DU104)*Rates_previous!$D$87)))</f>
        <v>72596.535133602418</v>
      </c>
      <c r="J102" s="252">
        <f>IF(Init!$R$9="Yes",IF('Staging Table'!D104=1,'Staging Table'!H104*-1*'Staging Table'!BT104/'Staging Table'!BS104,'Staging Table'!H104*SUM(D102:I102)*(-1)),IF('Staging Table'!D104=1,'Staging Table'!BV104*-1*'Staging Table'!BT104/'Staging Table'!BS104,'Staging Table'!BV104*SUM(D102:I102)*(-1)))</f>
        <v>-801359.29203580366</v>
      </c>
      <c r="K102" s="250">
        <f>IF(Init!$R$9="Yes",'Staging Table'!K104,'Staging Table'!BY104)*(-1)*Rates_previous!$H$32</f>
        <v>-1565101.4500800001</v>
      </c>
      <c r="L102" s="250">
        <f>IF(Init!$R$12="No",0,'Staging Table'!$BI104*-1)*('Staging Table'!$F104/'Staging Table'!$E104)</f>
        <v>-287387.68980703596</v>
      </c>
      <c r="M102" s="250" t="str">
        <f>IF('Staging Table'!C104=1,"",SUM(D102:L102))</f>
        <v/>
      </c>
      <c r="N102" s="250" t="str">
        <f>IF('Staging Table'!C104=1,"",IF(Init!$R$9="Yes",(RT1SC!$C$3*'Staging Table'!F104*'Staging Table'!$F$2)+SUM('Staging Table'!L104:AI104)-IF(Init!$R$15="No",'Staging Table'!BH104, 0),Z102))</f>
        <v/>
      </c>
      <c r="O102" s="126" t="str">
        <f>IF('Staging Table'!C104=1,"",IF(N102=0, 0, M102/N102))</f>
        <v/>
      </c>
      <c r="P102" s="250">
        <f>'Staging Table'!BT104*Rates_current!$E$74*100*12</f>
        <v>12158297.978519998</v>
      </c>
      <c r="Q102" s="250">
        <f>'Staging Table'!BT104*Rates_current!$E$75*100*12</f>
        <v>-1230008.6765999999</v>
      </c>
      <c r="R102" s="251">
        <f>SUMPRODUCT('Staging Table'!BZ104:CW104, LS_Demand_Rates_Restatement!$C$5:$Z$5)-IF(Init!$R$15="No",('Staging Table'!DV104*Rates_current!$H$34), 0)</f>
        <v>0</v>
      </c>
      <c r="S102" s="251">
        <f>SUMPRODUCT('Staging Table'!CX104:DI104, LS_Demand_Rates_Restatement!$C$11:$N$11)*1000</f>
        <v>0</v>
      </c>
      <c r="T102" s="252">
        <f>'Staging Table'!EF104*IF(Init!$R$18="Yes",IF(Init!$R$6=2020,Rates_current!$C$88,Rates_current!$D$88),Rates_current!$H$33)</f>
        <v>41.268368718845885</v>
      </c>
      <c r="U102" s="252">
        <f>IF(Init!$R$18="Yes",(SUM('Staging Table'!DL104:DU104)*IF('Staging Table'!$BT$1=2020, Rates_current!$C$87, Rates_current!$D$87)),0)</f>
        <v>212243.5079439421</v>
      </c>
      <c r="V102" s="252">
        <f>IF('Staging Table'!D104=1, 'Staging Table'!BV104*-1*'Staging Table'!BT104/'Staging Table'!BS104,SUM(P102:U102)*'Staging Table'!BV104*-1)</f>
        <v>-779840.18547628622</v>
      </c>
      <c r="W102" s="250">
        <f>'Staging Table'!BY104*Rates_current!$H$32*-1</f>
        <v>-1478594.99238</v>
      </c>
      <c r="X102" s="250">
        <f>IF(Init!$R$12="No",0,'Staging Table'!$DW104*-1)</f>
        <v>0</v>
      </c>
      <c r="Y102" s="250" t="str">
        <f>IF('Staging Table'!C104=1,"", SUM(P102:X102))</f>
        <v/>
      </c>
      <c r="Z102" s="250" t="str">
        <f>IF('Staging Table'!C104=1,"", (RT1SC!$C$4*'Staging Table'!BT104*'Staging Table'!$BT$2)+SUM('Staging Table'!BZ104:CW104)-IF(Init!$R$15="No",'Staging Table'!DV104, 0))</f>
        <v/>
      </c>
      <c r="AA102" s="126" t="str">
        <f>IF('Staging Table'!C104=1,"",IF(Z102=0, 0, Y102/Z102))</f>
        <v/>
      </c>
      <c r="AB102" s="118" t="str">
        <f ca="1">IF('Staging Table'!C104=1,"",(AA102/O102-1)+(RAND()/100000000000000))</f>
        <v/>
      </c>
      <c r="AC102" s="79" t="str">
        <f t="shared" ca="1" si="1"/>
        <v/>
      </c>
      <c r="AF102" s="255"/>
      <c r="AG102" s="255"/>
      <c r="AI102" s="255"/>
      <c r="AJ102" s="255"/>
    </row>
    <row r="103" spans="2:36">
      <c r="B103" s="166">
        <v>10333</v>
      </c>
      <c r="C103" s="167" t="s">
        <v>106</v>
      </c>
      <c r="D103" s="250">
        <f>IF(Init!$R$9="Yes",'Staging Table'!F105,'Staging Table'!BT105)*Rates_previous!$E$75*100*12</f>
        <v>6683216.8780800011</v>
      </c>
      <c r="E103" s="250">
        <f>IF(Init!$R$9="Yes",'Staging Table'!F105,'Staging Table'!BT105)*Rates_previous!$E$76*100*12</f>
        <v>-942479.03519999993</v>
      </c>
      <c r="F103" s="251">
        <f>IF(Init!$R$9="Yes",SUMPRODUCT('Staging Table'!L105:AI105,LS_Demand_Rates_Restatement!$C$4:$Z$4)-IF(Init!$R$15="No",('Staging Table'!BH105*Rates_previous!$H$34), 0),SUMPRODUCT('Staging Table'!BZ105:CW105,LS_Demand_Rates_Restatement!$C$4:$Z$4)-IF(Init!$R$15="No", 'Staging Table'!DV105*Rates_previous!$H$34, 0))</f>
        <v>79474.599868509831</v>
      </c>
      <c r="G103" s="251">
        <f>IF(Init!$R$9="Yes",SUMPRODUCT('Staging Table'!AJ105:AU105,LS_Demand_Rates_Restatement!$C$10:$N$10),SUMPRODUCT(LS_Demand_Rates_Restatement!$C$10:$N$10,'Staging Table'!CX105:DI105))*1000</f>
        <v>389448.82999999996</v>
      </c>
      <c r="H103" s="252">
        <f>IF(Init!$R$9="Yes",'Staging Table'!BR105,'Staging Table'!EF105)*IF(Init!$R$3=2018,Rates_previous!$C$88,Rates_previous!$D$88)</f>
        <v>0</v>
      </c>
      <c r="I103" s="250">
        <f>IF(Init!$R$9="Yes",IF('Staging Table'!$F$1=2018,(SUM('Staging Table'!BD105:BG105)*Rates_previous!$C$87),(SUM('Staging Table'!BD105:BG105)*Rates_previous!$D$87)),IF('Staging Table'!$F$1=2018,(SUM('Staging Table'!DR105:DU105)*Rates_previous!$C$87),(SUM('Staging Table'!DR105:DU105)*Rates_previous!$D$87)))</f>
        <v>36721.732189680835</v>
      </c>
      <c r="J103" s="252">
        <f>IF(Init!$R$9="Yes",IF('Staging Table'!D105=1,'Staging Table'!H105*-1*'Staging Table'!BT105/'Staging Table'!BS105,'Staging Table'!H105*SUM(D103:I103)*(-1)),IF('Staging Table'!D105=1,'Staging Table'!BV105*-1*'Staging Table'!BT105/'Staging Table'!BS105,'Staging Table'!BV105*SUM(D103:I103)*(-1)))</f>
        <v>-417737.48230634996</v>
      </c>
      <c r="K103" s="250">
        <f>IF(Init!$R$9="Yes",'Staging Table'!K105,'Staging Table'!BY105)*(-1)*Rates_previous!$H$32</f>
        <v>0</v>
      </c>
      <c r="L103" s="250">
        <f>IF(Init!$R$12="No",0,'Staging Table'!$BI105*-1)*('Staging Table'!$F105/'Staging Table'!$E105)</f>
        <v>-104055.3527176475</v>
      </c>
      <c r="M103" s="250">
        <f>IF('Staging Table'!C105=1,"",SUM(D103:L103))</f>
        <v>5724590.1699141944</v>
      </c>
      <c r="N103" s="250">
        <f>IF('Staging Table'!C105=1,"",IF(Init!$R$9="Yes",(RT1SC!$C$3*'Staging Table'!F105*'Staging Table'!$F$2)+SUM('Staging Table'!L105:AI105)-IF(Init!$R$15="No",'Staging Table'!BH105, 0),Z103))</f>
        <v>159589.68</v>
      </c>
      <c r="O103" s="126">
        <f>IF('Staging Table'!C105=1,"",IF(N103=0, 0, M103/N103))</f>
        <v>35.870678918049052</v>
      </c>
      <c r="P103" s="250">
        <f>'Staging Table'!BT105*Rates_current!$E$74*100*12</f>
        <v>6185742.3517199997</v>
      </c>
      <c r="Q103" s="250">
        <f>'Staging Table'!BT105*Rates_current!$E$75*100*12</f>
        <v>-625787.98259999999</v>
      </c>
      <c r="R103" s="251">
        <f>SUMPRODUCT('Staging Table'!BZ105:CW105, LS_Demand_Rates_Restatement!$C$5:$Z$5)-IF(Init!$R$15="No",('Staging Table'!DV105*Rates_current!$H$34), 0)</f>
        <v>106577.32535714954</v>
      </c>
      <c r="S103" s="251">
        <f>SUMPRODUCT('Staging Table'!CX105:DI105, LS_Demand_Rates_Restatement!$C$11:$N$11)*1000</f>
        <v>429363.23000000004</v>
      </c>
      <c r="T103" s="252">
        <f>'Staging Table'!EF105*IF(Init!$R$18="Yes",IF(Init!$R$6=2020,Rates_current!$C$88,Rates_current!$D$88),Rates_current!$H$33)</f>
        <v>18679.878720000179</v>
      </c>
      <c r="U103" s="252">
        <f>IF(Init!$R$18="Yes",(SUM('Staging Table'!DL105:DU105)*IF('Staging Table'!$BT$1=2020, Rates_current!$C$87, Rates_current!$D$87)),0)</f>
        <v>107982.52010979886</v>
      </c>
      <c r="V103" s="252">
        <f>IF('Staging Table'!D105=1, 'Staging Table'!BV105*-1*'Staging Table'!BT105/'Staging Table'!BS105,SUM(P103:U103)*'Staging Table'!BV105*-1)</f>
        <v>-404466.22601495171</v>
      </c>
      <c r="W103" s="250">
        <f>'Staging Table'!BY105*Rates_current!$H$32*-1</f>
        <v>0</v>
      </c>
      <c r="X103" s="250">
        <f>IF(Init!$R$12="No",0,'Staging Table'!$DW105*-1)</f>
        <v>0</v>
      </c>
      <c r="Y103" s="250">
        <f>IF('Staging Table'!C105=1,"", SUM(P103:X103))</f>
        <v>5818091.0972919967</v>
      </c>
      <c r="Z103" s="250">
        <f>IF('Staging Table'!C105=1,"", (RT1SC!$C$4*'Staging Table'!BT105*'Staging Table'!$BT$2)+SUM('Staging Table'!BZ105:CW105)-IF(Init!$R$15="No",'Staging Table'!DV105, 0))</f>
        <v>161774.92800000001</v>
      </c>
      <c r="AA103" s="126">
        <f>IF('Staging Table'!C105=1,"",IF(Z103=0, 0, Y103/Z103))</f>
        <v>35.964108710912214</v>
      </c>
      <c r="AB103" s="118">
        <f ca="1">IF('Staging Table'!C105=1,"",(AA103/O103-1)+(RAND()/100000000000000))</f>
        <v>2.6046285066632104E-3</v>
      </c>
      <c r="AC103" s="79">
        <f t="shared" ca="1" si="1"/>
        <v>95</v>
      </c>
      <c r="AF103" s="255"/>
      <c r="AG103" s="255"/>
      <c r="AI103" s="255"/>
      <c r="AJ103" s="255"/>
    </row>
    <row r="104" spans="2:36">
      <c r="B104" s="166">
        <v>10338</v>
      </c>
      <c r="C104" s="167" t="s">
        <v>107</v>
      </c>
      <c r="D104" s="250">
        <f>IF(Init!$R$9="Yes",'Staging Table'!F106,'Staging Table'!BT106)*Rates_previous!$E$75*100*12</f>
        <v>856548.30527999997</v>
      </c>
      <c r="E104" s="250">
        <f>IF(Init!$R$9="Yes",'Staging Table'!F106,'Staging Table'!BT106)*Rates_previous!$E$76*100*12</f>
        <v>-120791.9532</v>
      </c>
      <c r="F104" s="251">
        <f>IF(Init!$R$9="Yes",SUMPRODUCT('Staging Table'!L106:AI106,LS_Demand_Rates_Restatement!$C$4:$Z$4)-IF(Init!$R$15="No",('Staging Table'!BH106*Rates_previous!$H$34), 0),SUMPRODUCT('Staging Table'!BZ106:CW106,LS_Demand_Rates_Restatement!$C$4:$Z$4)-IF(Init!$R$15="No", 'Staging Table'!DV106*Rates_previous!$H$34, 0))</f>
        <v>-5361.1187474409562</v>
      </c>
      <c r="G104" s="251">
        <f>IF(Init!$R$9="Yes",SUMPRODUCT('Staging Table'!AJ106:AU106,LS_Demand_Rates_Restatement!$C$10:$N$10),SUMPRODUCT(LS_Demand_Rates_Restatement!$C$10:$N$10,'Staging Table'!CX106:DI106))*1000</f>
        <v>31057.9</v>
      </c>
      <c r="H104" s="252">
        <f>IF(Init!$R$9="Yes",'Staging Table'!BR106,'Staging Table'!EF106)*IF(Init!$R$3=2018,Rates_previous!$C$88,Rates_previous!$D$88)</f>
        <v>0</v>
      </c>
      <c r="I104" s="250">
        <f>IF(Init!$R$9="Yes",IF('Staging Table'!$F$1=2018,(SUM('Staging Table'!BD106:BG106)*Rates_previous!$C$87),(SUM('Staging Table'!BD106:BG106)*Rates_previous!$D$87)),IF('Staging Table'!$F$1=2018,(SUM('Staging Table'!DR106:DU106)*Rates_previous!$C$87),(SUM('Staging Table'!DR106:DU106)*Rates_previous!$D$87)))</f>
        <v>4706.4068169299699</v>
      </c>
      <c r="J104" s="252">
        <f>IF(Init!$R$9="Yes",IF('Staging Table'!D106=1,'Staging Table'!H106*-1*'Staging Table'!BT106/'Staging Table'!BS106,'Staging Table'!H106*SUM(D104:I104)*(-1)),IF('Staging Table'!D106=1,'Staging Table'!BV106*-1*'Staging Table'!BT106/'Staging Table'!BS106,'Staging Table'!BV106*SUM(D104:I104)*(-1)))</f>
        <v>-31460.119653572328</v>
      </c>
      <c r="K104" s="250">
        <f>IF(Init!$R$9="Yes",'Staging Table'!K106,'Staging Table'!BY106)*(-1)*Rates_previous!$H$32</f>
        <v>-48865.2696</v>
      </c>
      <c r="L104" s="250">
        <f>IF(Init!$R$12="No",0,'Staging Table'!$BI106*-1)*('Staging Table'!$F106/'Staging Table'!$E106)</f>
        <v>-13336.157968768332</v>
      </c>
      <c r="M104" s="250">
        <f>IF('Staging Table'!C106=1,"",SUM(D104:L104))</f>
        <v>672497.99292714824</v>
      </c>
      <c r="N104" s="250">
        <f>IF('Staging Table'!C106=1,"",IF(Init!$R$9="Yes",(RT1SC!$C$3*'Staging Table'!F106*'Staging Table'!$F$2)+SUM('Staging Table'!L106:AI106)-IF(Init!$R$15="No",'Staging Table'!BH106, 0),Z104))</f>
        <v>20454.599999999999</v>
      </c>
      <c r="O104" s="126">
        <f>IF('Staging Table'!C106=1,"",IF(N104=0, 0, M104/N104))</f>
        <v>32.877591980637526</v>
      </c>
      <c r="P104" s="250">
        <f>'Staging Table'!BT106*Rates_current!$E$74*100*12</f>
        <v>798558.96959999995</v>
      </c>
      <c r="Q104" s="250">
        <f>'Staging Table'!BT106*Rates_current!$E$75*100*12</f>
        <v>-80787.167999999991</v>
      </c>
      <c r="R104" s="251">
        <f>SUMPRODUCT('Staging Table'!BZ106:CW106, LS_Demand_Rates_Restatement!$C$5:$Z$5)-IF(Init!$R$15="No",('Staging Table'!DV106*Rates_current!$H$34), 0)</f>
        <v>-7948.5018559949021</v>
      </c>
      <c r="S104" s="251">
        <f>SUMPRODUCT('Staging Table'!CX106:DI106, LS_Demand_Rates_Restatement!$C$11:$N$11)*1000</f>
        <v>32417.269999999993</v>
      </c>
      <c r="T104" s="252">
        <f>'Staging Table'!EF106*IF(Init!$R$18="Yes",IF(Init!$R$6=2020,Rates_current!$C$88,Rates_current!$D$88),Rates_current!$H$33)</f>
        <v>0</v>
      </c>
      <c r="U104" s="252">
        <f>IF(Init!$R$18="Yes",(SUM('Staging Table'!DL106:DU106)*IF('Staging Table'!$BT$1=2020, Rates_current!$C$87, Rates_current!$D$87)),0)</f>
        <v>13940.187788409121</v>
      </c>
      <c r="V104" s="252">
        <f>IF('Staging Table'!D106=1, 'Staging Table'!BV106*-1*'Staging Table'!BT106/'Staging Table'!BS106,SUM(P104:U104)*'Staging Table'!BV106*-1)</f>
        <v>-27284.967801739087</v>
      </c>
      <c r="W104" s="250">
        <f>'Staging Table'!BY106*Rates_current!$H$32*-1</f>
        <v>-46164.383099999999</v>
      </c>
      <c r="X104" s="250">
        <f>IF(Init!$R$12="No",0,'Staging Table'!$DW106*-1)</f>
        <v>0</v>
      </c>
      <c r="Y104" s="250">
        <f>IF('Staging Table'!C106=1,"", SUM(P104:X104))</f>
        <v>682731.40663067508</v>
      </c>
      <c r="Z104" s="250">
        <f>IF('Staging Table'!C106=1,"", (RT1SC!$C$4*'Staging Table'!BT106*'Staging Table'!$BT$2)+SUM('Staging Table'!BZ106:CW106)-IF(Init!$R$15="No",'Staging Table'!DV106, 0))</f>
        <v>20730.239999999998</v>
      </c>
      <c r="AA104" s="126">
        <f>IF('Staging Table'!C106=1,"",IF(Z104=0, 0, Y104/Z104))</f>
        <v>32.934081160212095</v>
      </c>
      <c r="AB104" s="118">
        <f ca="1">IF('Staging Table'!C106=1,"",(AA104/O104-1)+(RAND()/100000000000000))</f>
        <v>1.7181665740033381E-3</v>
      </c>
      <c r="AC104" s="79">
        <f t="shared" ca="1" si="1"/>
        <v>100</v>
      </c>
      <c r="AF104" s="255"/>
      <c r="AG104" s="255"/>
      <c r="AI104" s="255"/>
      <c r="AJ104" s="255"/>
    </row>
    <row r="105" spans="2:36">
      <c r="B105" s="166">
        <v>10342</v>
      </c>
      <c r="C105" s="167" t="s">
        <v>108</v>
      </c>
      <c r="D105" s="250">
        <f>IF(Init!$R$9="Yes",'Staging Table'!F107,'Staging Table'!BT107)*Rates_previous!$E$75*100*12</f>
        <v>13716492.462719999</v>
      </c>
      <c r="E105" s="250">
        <f>IF(Init!$R$9="Yes",'Staging Table'!F107,'Staging Table'!BT107)*Rates_previous!$E$76*100*12</f>
        <v>-1934323.9668000001</v>
      </c>
      <c r="F105" s="251">
        <f>IF(Init!$R$9="Yes",SUMPRODUCT('Staging Table'!L107:AI107,LS_Demand_Rates_Restatement!$C$4:$Z$4)-IF(Init!$R$15="No",('Staging Table'!BH107*Rates_previous!$H$34), 0),SUMPRODUCT('Staging Table'!BZ107:CW107,LS_Demand_Rates_Restatement!$C$4:$Z$4)-IF(Init!$R$15="No", 'Staging Table'!DV107*Rates_previous!$H$34, 0))</f>
        <v>310039.3899999999</v>
      </c>
      <c r="G105" s="251">
        <f>IF(Init!$R$9="Yes",SUMPRODUCT('Staging Table'!AJ107:AU107,LS_Demand_Rates_Restatement!$C$10:$N$10),SUMPRODUCT(LS_Demand_Rates_Restatement!$C$10:$N$10,'Staging Table'!CX107:DI107))*1000</f>
        <v>678160.21</v>
      </c>
      <c r="H105" s="252">
        <f>IF(Init!$R$9="Yes",'Staging Table'!BR107,'Staging Table'!EF107)*IF(Init!$R$3=2018,Rates_previous!$C$88,Rates_previous!$D$88)</f>
        <v>64757.715815854535</v>
      </c>
      <c r="I105" s="250">
        <f>IF(Init!$R$9="Yes",IF('Staging Table'!$F$1=2018,(SUM('Staging Table'!BD107:BG107)*Rates_previous!$C$87),(SUM('Staging Table'!BD107:BG107)*Rates_previous!$D$87)),IF('Staging Table'!$F$1=2018,(SUM('Staging Table'!DR107:DU107)*Rates_previous!$C$87),(SUM('Staging Table'!DR107:DU107)*Rates_previous!$D$87)))</f>
        <v>75366.903691218235</v>
      </c>
      <c r="J105" s="252">
        <f>IF(Init!$R$9="Yes",IF('Staging Table'!D107=1,'Staging Table'!H107*-1*'Staging Table'!BT107/'Staging Table'!BS107,'Staging Table'!H107*SUM(D105:I105)*(-1)),IF('Staging Table'!D107=1,'Staging Table'!BV107*-1*'Staging Table'!BT107/'Staging Table'!BS107,'Staging Table'!BV107*SUM(D105:I105)*(-1)))</f>
        <v>0</v>
      </c>
      <c r="K105" s="250">
        <f>IF(Init!$R$9="Yes",'Staging Table'!K107,'Staging Table'!BY107)*(-1)*Rates_previous!$H$32</f>
        <v>0</v>
      </c>
      <c r="L105" s="250">
        <f>IF(Init!$R$12="No",0,'Staging Table'!$BI107*-1)*('Staging Table'!$F107/'Staging Table'!$E107)</f>
        <v>-556029.91397967096</v>
      </c>
      <c r="M105" s="250">
        <f>IF('Staging Table'!C107=1,"",SUM(D105:L105))</f>
        <v>12354462.801447403</v>
      </c>
      <c r="N105" s="250">
        <f>IF('Staging Table'!C107=1,"",IF(Init!$R$9="Yes",(RT1SC!$C$3*'Staging Table'!F107*'Staging Table'!$F$2)+SUM('Staging Table'!L107:AI107)-IF(Init!$R$15="No",'Staging Table'!BH107, 0),Z105))</f>
        <v>332525.43819844798</v>
      </c>
      <c r="O105" s="126">
        <f>IF('Staging Table'!C107=1,"",IF(N105=0, 0, M105/N105))</f>
        <v>37.153436646475086</v>
      </c>
      <c r="P105" s="250">
        <f>'Staging Table'!BT107*Rates_current!$E$74*100*12</f>
        <v>12837548.435399998</v>
      </c>
      <c r="Q105" s="250">
        <f>'Staging Table'!BT107*Rates_current!$E$75*100*12</f>
        <v>-1298725.8570000001</v>
      </c>
      <c r="R105" s="251">
        <f>SUMPRODUCT('Staging Table'!BZ107:CW107, LS_Demand_Rates_Restatement!$C$5:$Z$5)-IF(Init!$R$15="No",('Staging Table'!DV107*Rates_current!$H$34), 0)</f>
        <v>205450.33999999988</v>
      </c>
      <c r="S105" s="251">
        <f>SUMPRODUCT('Staging Table'!CX107:DI107, LS_Demand_Rates_Restatement!$C$11:$N$11)*1000</f>
        <v>746397.55000000016</v>
      </c>
      <c r="T105" s="252">
        <f>'Staging Table'!EF107*IF(Init!$R$18="Yes",IF(Init!$R$6=2020,Rates_current!$C$88,Rates_current!$D$88),Rates_current!$H$33)</f>
        <v>-12154.271625538711</v>
      </c>
      <c r="U105" s="252">
        <f>IF(Init!$R$18="Yes",(SUM('Staging Table'!DL107:DU107)*IF('Staging Table'!$BT$1=2020, Rates_current!$C$87, Rates_current!$D$87)),0)</f>
        <v>224100.96529491633</v>
      </c>
      <c r="V105" s="252">
        <f>IF('Staging Table'!D107=1, 'Staging Table'!BV107*-1*'Staging Table'!BT107/'Staging Table'!BS107,SUM(P105:U105)*'Staging Table'!BV107*-1)</f>
        <v>0</v>
      </c>
      <c r="W105" s="250">
        <f>'Staging Table'!BY107*Rates_current!$H$32*-1</f>
        <v>0</v>
      </c>
      <c r="X105" s="250">
        <f>IF(Init!$R$12="No",0,'Staging Table'!$DW107*-1)</f>
        <v>0</v>
      </c>
      <c r="Y105" s="250">
        <f>IF('Staging Table'!C107=1,"", SUM(P105:X105))</f>
        <v>12702617.162069375</v>
      </c>
      <c r="Z105" s="250">
        <f>IF('Staging Table'!C107=1,"", (RT1SC!$C$4*'Staging Table'!BT107*'Staging Table'!$BT$2)+SUM('Staging Table'!BZ107:CW107)-IF(Init!$R$15="No",'Staging Table'!DV107, 0))</f>
        <v>332525.44737331197</v>
      </c>
      <c r="AA105" s="126">
        <f>IF('Staging Table'!C107=1,"",IF(Z105=0, 0, Y105/Z105))</f>
        <v>38.200436274606965</v>
      </c>
      <c r="AB105" s="118">
        <f ca="1">IF('Staging Table'!C107=1,"",(AA105/O105-1)+(RAND()/100000000000000))</f>
        <v>2.8180424817611748E-2</v>
      </c>
      <c r="AC105" s="79">
        <f t="shared" ca="1" si="1"/>
        <v>19</v>
      </c>
      <c r="AF105" s="255"/>
      <c r="AG105" s="255"/>
      <c r="AI105" s="255"/>
      <c r="AJ105" s="255"/>
    </row>
    <row r="106" spans="2:36">
      <c r="B106" s="166">
        <v>10343</v>
      </c>
      <c r="C106" s="167" t="s">
        <v>109</v>
      </c>
      <c r="D106" s="250">
        <f>IF(Init!$R$9="Yes",'Staging Table'!F108,'Staging Table'!BT108)*Rates_previous!$E$75*100*12</f>
        <v>4169367.3456000006</v>
      </c>
      <c r="E106" s="250">
        <f>IF(Init!$R$9="Yes",'Staging Table'!F108,'Staging Table'!BT108)*Rates_previous!$E$76*100*12</f>
        <v>-587971.53899999987</v>
      </c>
      <c r="F106" s="251">
        <f>IF(Init!$R$9="Yes",SUMPRODUCT('Staging Table'!L108:AI108,LS_Demand_Rates_Restatement!$C$4:$Z$4)-IF(Init!$R$15="No",('Staging Table'!BH108*Rates_previous!$H$34), 0),SUMPRODUCT('Staging Table'!BZ108:CW108,LS_Demand_Rates_Restatement!$C$4:$Z$4)-IF(Init!$R$15="No", 'Staging Table'!DV108*Rates_previous!$H$34, 0))</f>
        <v>142016.15000000002</v>
      </c>
      <c r="G106" s="251">
        <f>IF(Init!$R$9="Yes",SUMPRODUCT('Staging Table'!AJ108:AU108,LS_Demand_Rates_Restatement!$C$10:$N$10),SUMPRODUCT(LS_Demand_Rates_Restatement!$C$10:$N$10,'Staging Table'!CX108:DI108))*1000</f>
        <v>0</v>
      </c>
      <c r="H106" s="252">
        <f>IF(Init!$R$9="Yes",'Staging Table'!BR108,'Staging Table'!EF108)*IF(Init!$R$3=2018,Rates_previous!$C$88,Rates_previous!$D$88)</f>
        <v>84630.983616599027</v>
      </c>
      <c r="I106" s="250">
        <f>IF(Init!$R$9="Yes",IF('Staging Table'!$F$1=2018,(SUM('Staging Table'!BD108:BG108)*Rates_previous!$C$87),(SUM('Staging Table'!BD108:BG108)*Rates_previous!$D$87)),IF('Staging Table'!$F$1=2018,(SUM('Staging Table'!DR108:DU108)*Rates_previous!$C$87),(SUM('Staging Table'!DR108:DU108)*Rates_previous!$D$87)))</f>
        <v>22909.086127025272</v>
      </c>
      <c r="J106" s="252">
        <f>IF(Init!$R$9="Yes",IF('Staging Table'!D108=1,'Staging Table'!H108*-1*'Staging Table'!BT108/'Staging Table'!BS108,'Staging Table'!H108*SUM(D106:I106)*(-1)),IF('Staging Table'!D108=1,'Staging Table'!BV108*-1*'Staging Table'!BT108/'Staging Table'!BS108,'Staging Table'!BV108*SUM(D106:I106)*(-1)))</f>
        <v>-229857.12158061747</v>
      </c>
      <c r="K106" s="250">
        <f>IF(Init!$R$9="Yes",'Staging Table'!K108,'Staging Table'!BY108)*(-1)*Rates_previous!$H$32</f>
        <v>-123546.57335999999</v>
      </c>
      <c r="L106" s="250">
        <f>IF(Init!$R$12="No",0,'Staging Table'!$BI108*-1)*('Staging Table'!$F108/'Staging Table'!$E108)</f>
        <v>-191610.45666428225</v>
      </c>
      <c r="M106" s="250">
        <f>IF('Staging Table'!C108=1,"",SUM(D106:L106))</f>
        <v>3285937.8747387249</v>
      </c>
      <c r="N106" s="250">
        <f>IF('Staging Table'!C108=1,"",IF(Init!$R$9="Yes",(RT1SC!$C$3*'Staging Table'!F108*'Staging Table'!$F$2)+SUM('Staging Table'!L108:AI108)-IF(Init!$R$15="No",'Staging Table'!BH108, 0),Z106))</f>
        <v>106077.50659604</v>
      </c>
      <c r="O106" s="126">
        <f>IF('Staging Table'!C108=1,"",IF(N106=0, 0, M106/N106))</f>
        <v>30.9767638793783</v>
      </c>
      <c r="P106" s="250">
        <f>'Staging Table'!BT108*Rates_current!$E$74*100*12</f>
        <v>4085722.3947600005</v>
      </c>
      <c r="Q106" s="250">
        <f>'Staging Table'!BT108*Rates_current!$E$75*100*12</f>
        <v>-413336.96580000001</v>
      </c>
      <c r="R106" s="251">
        <f>SUMPRODUCT('Staging Table'!BZ108:CW108, LS_Demand_Rates_Restatement!$C$5:$Z$5)-IF(Init!$R$15="No",('Staging Table'!DV108*Rates_current!$H$34), 0)</f>
        <v>-14863.999999999993</v>
      </c>
      <c r="S106" s="251">
        <f>SUMPRODUCT('Staging Table'!CX108:DI108, LS_Demand_Rates_Restatement!$C$11:$N$11)*1000</f>
        <v>0</v>
      </c>
      <c r="T106" s="252">
        <f>'Staging Table'!EF108*IF(Init!$R$18="Yes",IF(Init!$R$6=2020,Rates_current!$C$88,Rates_current!$D$88),Rates_current!$H$33)</f>
        <v>-6.6323952752334296</v>
      </c>
      <c r="U106" s="252">
        <f>IF(Init!$R$18="Yes",(SUM('Staging Table'!DL108:DU108)*IF('Staging Table'!$BT$1=2020, Rates_current!$C$87, Rates_current!$D$87)),0)</f>
        <v>71323.14531861346</v>
      </c>
      <c r="V106" s="252">
        <f>IF('Staging Table'!D108=1, 'Staging Table'!BV108*-1*'Staging Table'!BT108/'Staging Table'!BS108,SUM(P106:U106)*'Staging Table'!BV108*-1)</f>
        <v>-261018.65593183372</v>
      </c>
      <c r="W106" s="250">
        <f>'Staging Table'!BY108*Rates_current!$H$32*-1</f>
        <v>-116717.89370999999</v>
      </c>
      <c r="X106" s="250">
        <f>IF(Init!$R$12="No",0,'Staging Table'!$DW108*-1)</f>
        <v>0</v>
      </c>
      <c r="Y106" s="250">
        <f>IF('Staging Table'!C108=1,"", SUM(P106:X106))</f>
        <v>3351101.392241505</v>
      </c>
      <c r="Z106" s="250">
        <f>IF('Staging Table'!C108=1,"", (RT1SC!$C$4*'Staging Table'!BT108*'Staging Table'!$BT$2)+SUM('Staging Table'!BZ108:CW108)-IF(Init!$R$15="No",'Staging Table'!DV108, 0))</f>
        <v>106075.1660796928</v>
      </c>
      <c r="AA106" s="126">
        <f>IF('Staging Table'!C108=1,"",IF(Z106=0, 0, Y106/Z106))</f>
        <v>31.591761918372757</v>
      </c>
      <c r="AB106" s="118">
        <f ca="1">IF('Staging Table'!C108=1,"",(AA106/O106-1)+(RAND()/100000000000000))</f>
        <v>1.9853527676081218E-2</v>
      </c>
      <c r="AC106" s="79">
        <f t="shared" ca="1" si="1"/>
        <v>58</v>
      </c>
      <c r="AF106" s="255"/>
      <c r="AG106" s="255"/>
      <c r="AI106" s="255"/>
      <c r="AJ106" s="255"/>
    </row>
    <row r="107" spans="2:36">
      <c r="B107" s="166">
        <v>10349</v>
      </c>
      <c r="C107" s="167" t="s">
        <v>110</v>
      </c>
      <c r="D107" s="250">
        <f>IF(Init!$R$9="Yes",'Staging Table'!F109,'Staging Table'!BT109)*Rates_previous!$E$75*100*12</f>
        <v>186219767.08512002</v>
      </c>
      <c r="E107" s="250">
        <f>IF(Init!$R$9="Yes",'Staging Table'!F109,'Staging Table'!BT109)*Rates_previous!$E$76*100*12</f>
        <v>-26261040.097800002</v>
      </c>
      <c r="F107" s="251">
        <f>IF(Init!$R$9="Yes",SUMPRODUCT('Staging Table'!L109:AI109,LS_Demand_Rates_Restatement!$C$4:$Z$4)-IF(Init!$R$15="No",('Staging Table'!BH109*Rates_previous!$H$34), 0),SUMPRODUCT('Staging Table'!BZ109:CW109,LS_Demand_Rates_Restatement!$C$4:$Z$4)-IF(Init!$R$15="No", 'Staging Table'!DV109*Rates_previous!$H$34, 0))</f>
        <v>9308427.0700000003</v>
      </c>
      <c r="G107" s="251">
        <f>IF(Init!$R$9="Yes",SUMPRODUCT('Staging Table'!AJ109:AU109,LS_Demand_Rates_Restatement!$C$10:$N$10),SUMPRODUCT(LS_Demand_Rates_Restatement!$C$10:$N$10,'Staging Table'!CX109:DI109))*1000</f>
        <v>0</v>
      </c>
      <c r="H107" s="252">
        <f>IF(Init!$R$9="Yes",'Staging Table'!BR109,'Staging Table'!EF109)*IF(Init!$R$3=2018,Rates_previous!$C$88,Rates_previous!$D$88)</f>
        <v>0</v>
      </c>
      <c r="I107" s="250">
        <f>IF(Init!$R$9="Yes",IF('Staging Table'!$F$1=2018,(SUM('Staging Table'!BD109:BG109)*Rates_previous!$C$87),(SUM('Staging Table'!BD109:BG109)*Rates_previous!$D$87)),IF('Staging Table'!$F$1=2018,(SUM('Staging Table'!DR109:DU109)*Rates_previous!$C$87),(SUM('Staging Table'!DR109:DU109)*Rates_previous!$D$87)))</f>
        <v>1023206.7191704059</v>
      </c>
      <c r="J107" s="252">
        <f>IF(Init!$R$9="Yes",IF('Staging Table'!D109=1,'Staging Table'!H109*-1*'Staging Table'!BT109/'Staging Table'!BS109,'Staging Table'!H109*SUM(D107:I107)*(-1)),IF('Staging Table'!D109=1,'Staging Table'!BV109*-1*'Staging Table'!BT109/'Staging Table'!BS109,'Staging Table'!BV109*SUM(D107:I107)*(-1)))</f>
        <v>0</v>
      </c>
      <c r="K107" s="250">
        <f>IF(Init!$R$9="Yes",'Staging Table'!K109,'Staging Table'!BY109)*(-1)*Rates_previous!$H$32</f>
        <v>0</v>
      </c>
      <c r="L107" s="250">
        <f>IF(Init!$R$12="No",0,'Staging Table'!$BI109*-1)*('Staging Table'!$F109/'Staging Table'!$E109)</f>
        <v>-5724612.0342393331</v>
      </c>
      <c r="M107" s="250">
        <f>IF('Staging Table'!C109=1,"",SUM(D107:L107))</f>
        <v>164565748.74225107</v>
      </c>
      <c r="N107" s="250">
        <f>IF('Staging Table'!C109=1,"",IF(Init!$R$9="Yes",(RT1SC!$C$3*'Staging Table'!F109*'Staging Table'!$F$2)+SUM('Staging Table'!L109:AI109)-IF(Init!$R$15="No",'Staging Table'!BH109, 0),Z107))</f>
        <v>4446190.3614236079</v>
      </c>
      <c r="O107" s="126">
        <f>IF('Staging Table'!C109=1,"",IF(N107=0, 0, M107/N107))</f>
        <v>37.012753698102891</v>
      </c>
      <c r="P107" s="250">
        <f>'Staging Table'!BT109*Rates_current!$E$74*100*12</f>
        <v>171276638.99760002</v>
      </c>
      <c r="Q107" s="250">
        <f>'Staging Table'!BT109*Rates_current!$E$75*100*12</f>
        <v>-17327404.908</v>
      </c>
      <c r="R107" s="251">
        <f>SUMPRODUCT('Staging Table'!BZ109:CW109, LS_Demand_Rates_Restatement!$C$5:$Z$5)-IF(Init!$R$15="No",('Staging Table'!DV109*Rates_current!$H$34), 0)</f>
        <v>10843419.67</v>
      </c>
      <c r="S107" s="251">
        <f>SUMPRODUCT('Staging Table'!CX109:DI109, LS_Demand_Rates_Restatement!$C$11:$N$11)*1000</f>
        <v>0</v>
      </c>
      <c r="T107" s="252">
        <f>'Staging Table'!EF109*IF(Init!$R$18="Yes",IF(Init!$R$6=2020,Rates_current!$C$88,Rates_current!$D$88),Rates_current!$H$33)</f>
        <v>0</v>
      </c>
      <c r="U107" s="252">
        <f>IF(Init!$R$18="Yes",(SUM('Staging Table'!DL109:DU109)*IF('Staging Table'!$BT$1=2020, Rates_current!$C$87, Rates_current!$D$87)),0)</f>
        <v>2989921.3486889638</v>
      </c>
      <c r="V107" s="252">
        <f>IF('Staging Table'!D109=1, 'Staging Table'!BV109*-1*'Staging Table'!BT109/'Staging Table'!BS109,SUM(P107:U107)*'Staging Table'!BV109*-1)</f>
        <v>0</v>
      </c>
      <c r="W107" s="250">
        <f>'Staging Table'!BY109*Rates_current!$H$32*-1</f>
        <v>0</v>
      </c>
      <c r="X107" s="250">
        <f>IF(Init!$R$12="No",0,'Staging Table'!$DW109*-1)</f>
        <v>0</v>
      </c>
      <c r="Y107" s="250">
        <f>IF('Staging Table'!C109=1,"", SUM(P107:X107))</f>
        <v>167782575.10828897</v>
      </c>
      <c r="Z107" s="250">
        <f>IF('Staging Table'!C109=1,"", (RT1SC!$C$4*'Staging Table'!BT109*'Staging Table'!$BT$2)+SUM('Staging Table'!BZ109:CW109)-IF(Init!$R$15="No",'Staging Table'!DV109, 0))</f>
        <v>4446714.9840609282</v>
      </c>
      <c r="AA107" s="126">
        <f>IF('Staging Table'!C109=1,"",IF(Z107=0, 0, Y107/Z107))</f>
        <v>37.731803299671533</v>
      </c>
      <c r="AB107" s="118">
        <f ca="1">IF('Staging Table'!C109=1,"",(AA107/O107-1)+(RAND()/100000000000000))</f>
        <v>1.9427076608073399E-2</v>
      </c>
      <c r="AC107" s="79">
        <f t="shared" ca="1" si="1"/>
        <v>60</v>
      </c>
      <c r="AF107" s="255"/>
      <c r="AG107" s="255"/>
      <c r="AI107" s="255"/>
      <c r="AJ107" s="255"/>
    </row>
    <row r="108" spans="2:36">
      <c r="B108" s="166">
        <v>10352</v>
      </c>
      <c r="C108" s="167" t="s">
        <v>111</v>
      </c>
      <c r="D108" s="250">
        <f>IF(Init!$R$9="Yes",'Staging Table'!F110,'Staging Table'!BT110)*Rates_previous!$E$75*100*12</f>
        <v>5593805.6486399993</v>
      </c>
      <c r="E108" s="250">
        <f>IF(Init!$R$9="Yes",'Staging Table'!F110,'Staging Table'!BT110)*Rates_previous!$E$76*100*12</f>
        <v>-788848.34159999993</v>
      </c>
      <c r="F108" s="251">
        <f>IF(Init!$R$9="Yes",SUMPRODUCT('Staging Table'!L110:AI110,LS_Demand_Rates_Restatement!$C$4:$Z$4)-IF(Init!$R$15="No",('Staging Table'!BH110*Rates_previous!$H$34), 0),SUMPRODUCT('Staging Table'!BZ110:CW110,LS_Demand_Rates_Restatement!$C$4:$Z$4)-IF(Init!$R$15="No", 'Staging Table'!DV110*Rates_previous!$H$34, 0))</f>
        <v>124584.81000000007</v>
      </c>
      <c r="G108" s="251">
        <f>IF(Init!$R$9="Yes",SUMPRODUCT('Staging Table'!AJ110:AU110,LS_Demand_Rates_Restatement!$C$10:$N$10),SUMPRODUCT(LS_Demand_Rates_Restatement!$C$10:$N$10,'Staging Table'!CX110:DI110))*1000</f>
        <v>283728.50999999995</v>
      </c>
      <c r="H108" s="252">
        <f>IF(Init!$R$9="Yes",'Staging Table'!BR110,'Staging Table'!EF110)*IF(Init!$R$3=2018,Rates_previous!$C$88,Rates_previous!$D$88)</f>
        <v>12161.091381732605</v>
      </c>
      <c r="I108" s="250">
        <f>IF(Init!$R$9="Yes",IF('Staging Table'!$F$1=2018,(SUM('Staging Table'!BD110:BG110)*Rates_previous!$C$87),(SUM('Staging Table'!BD110:BG110)*Rates_previous!$D$87)),IF('Staging Table'!$F$1=2018,(SUM('Staging Table'!DR110:DU110)*Rates_previous!$C$87),(SUM('Staging Table'!DR110:DU110)*Rates_previous!$D$87)))</f>
        <v>30735.8322642815</v>
      </c>
      <c r="J108" s="252">
        <f>IF(Init!$R$9="Yes",IF('Staging Table'!D110=1,'Staging Table'!H110*-1*'Staging Table'!BT110/'Staging Table'!BS110,'Staging Table'!H110*SUM(D108:I108)*(-1)),IF('Staging Table'!D110=1,'Staging Table'!BV110*-1*'Staging Table'!BT110/'Staging Table'!BS110,'Staging Table'!BV110*SUM(D108:I108)*(-1)))</f>
        <v>-236527.5397808706</v>
      </c>
      <c r="K108" s="250">
        <f>IF(Init!$R$9="Yes",'Staging Table'!K110,'Staging Table'!BY110)*(-1)*Rates_previous!$H$32</f>
        <v>0</v>
      </c>
      <c r="L108" s="250">
        <f>IF(Init!$R$12="No",0,'Staging Table'!$BI110*-1)*('Staging Table'!$F110/'Staging Table'!$E110)</f>
        <v>-197551.89390883379</v>
      </c>
      <c r="M108" s="250">
        <f>IF('Staging Table'!C110=1,"",SUM(D108:L108))</f>
        <v>4822088.1169963088</v>
      </c>
      <c r="N108" s="250">
        <f>IF('Staging Table'!C110=1,"",IF(Init!$R$9="Yes",(RT1SC!$C$3*'Staging Table'!F110*'Staging Table'!$F$2)+SUM('Staging Table'!L110:AI110)-IF(Init!$R$15="No",'Staging Table'!BH110, 0),Z108))</f>
        <v>134509.38996777599</v>
      </c>
      <c r="O108" s="126">
        <f>IF('Staging Table'!C110=1,"",IF(N108=0, 0, M108/N108))</f>
        <v>35.849453470508799</v>
      </c>
      <c r="P108" s="250">
        <f>'Staging Table'!BT110*Rates_current!$E$74*100*12</f>
        <v>5183027.9788800003</v>
      </c>
      <c r="Q108" s="250">
        <f>'Staging Table'!BT110*Rates_current!$E$75*100*12</f>
        <v>-524347.19040000008</v>
      </c>
      <c r="R108" s="251">
        <f>SUMPRODUCT('Staging Table'!BZ110:CW110, LS_Demand_Rates_Restatement!$C$5:$Z$5)-IF(Init!$R$15="No",('Staging Table'!DV110*Rates_current!$H$34), 0)</f>
        <v>112635.88</v>
      </c>
      <c r="S108" s="251">
        <f>SUMPRODUCT('Staging Table'!CX110:DI110, LS_Demand_Rates_Restatement!$C$11:$N$11)*1000</f>
        <v>317366.93</v>
      </c>
      <c r="T108" s="252">
        <f>'Staging Table'!EF110*IF(Init!$R$18="Yes",IF(Init!$R$6=2020,Rates_current!$C$88,Rates_current!$D$88),Rates_current!$H$33)</f>
        <v>-865.07560175931337</v>
      </c>
      <c r="U108" s="252">
        <f>IF(Init!$R$18="Yes",(SUM('Staging Table'!DL110:DU110)*IF('Staging Table'!$BT$1=2020, Rates_current!$C$87, Rates_current!$D$87)),0)</f>
        <v>90478.456931436347</v>
      </c>
      <c r="V108" s="252">
        <f>IF('Staging Table'!D110=1, 'Staging Table'!BV110*-1*'Staging Table'!BT110/'Staging Table'!BS110,SUM(P108:U108)*'Staging Table'!BV110*-1)</f>
        <v>-233023.36409143548</v>
      </c>
      <c r="W108" s="250">
        <f>'Staging Table'!BY110*Rates_current!$H$32*-1</f>
        <v>0</v>
      </c>
      <c r="X108" s="250">
        <f>IF(Init!$R$12="No",0,'Staging Table'!$DW110*-1)</f>
        <v>0</v>
      </c>
      <c r="Y108" s="250">
        <f>IF('Staging Table'!C110=1,"", SUM(P108:X108))</f>
        <v>4945273.6157182418</v>
      </c>
      <c r="Z108" s="250">
        <f>IF('Staging Table'!C110=1,"", (RT1SC!$C$4*'Staging Table'!BT110*'Staging Table'!$BT$2)+SUM('Staging Table'!BZ110:CW110)-IF(Init!$R$15="No",'Staging Table'!DV110, 0))</f>
        <v>134507.58588016641</v>
      </c>
      <c r="AA108" s="126">
        <f>IF('Staging Table'!C110=1,"",IF(Z108=0, 0, Y108/Z108))</f>
        <v>36.765759963337793</v>
      </c>
      <c r="AB108" s="118">
        <f ca="1">IF('Staging Table'!C110=1,"",(AA108/O108-1)+(RAND()/100000000000000))</f>
        <v>2.5559845524092403E-2</v>
      </c>
      <c r="AC108" s="79">
        <f t="shared" ca="1" si="1"/>
        <v>26</v>
      </c>
      <c r="AF108" s="255"/>
      <c r="AG108" s="255"/>
      <c r="AI108" s="255"/>
      <c r="AJ108" s="255"/>
    </row>
    <row r="109" spans="2:36">
      <c r="B109" s="166">
        <v>10354</v>
      </c>
      <c r="C109" s="167" t="s">
        <v>112</v>
      </c>
      <c r="D109" s="250">
        <f>IF(Init!$R$9="Yes",'Staging Table'!F111,'Staging Table'!BT111)*Rates_previous!$E$75*100*12</f>
        <v>128213969.35968</v>
      </c>
      <c r="E109" s="250">
        <f>IF(Init!$R$9="Yes",'Staging Table'!F111,'Staging Table'!BT111)*Rates_previous!$E$76*100*12</f>
        <v>-18080960.1642</v>
      </c>
      <c r="F109" s="251">
        <f>IF(Init!$R$9="Yes",SUMPRODUCT('Staging Table'!L111:AI111,LS_Demand_Rates_Restatement!$C$4:$Z$4)-IF(Init!$R$15="No",('Staging Table'!BH111*Rates_previous!$H$34), 0),SUMPRODUCT('Staging Table'!BZ111:CW111,LS_Demand_Rates_Restatement!$C$4:$Z$4)-IF(Init!$R$15="No", 'Staging Table'!DV111*Rates_previous!$H$34, 0))</f>
        <v>773024.13500000059</v>
      </c>
      <c r="G109" s="251">
        <f>IF(Init!$R$9="Yes",SUMPRODUCT('Staging Table'!AJ111:AU111,LS_Demand_Rates_Restatement!$C$10:$N$10),SUMPRODUCT(LS_Demand_Rates_Restatement!$C$10:$N$10,'Staging Table'!CX111:DI111))*1000</f>
        <v>0</v>
      </c>
      <c r="H109" s="252">
        <f>IF(Init!$R$9="Yes",'Staging Table'!BR111,'Staging Table'!EF111)*IF(Init!$R$3=2018,Rates_previous!$C$88,Rates_previous!$D$88)</f>
        <v>0</v>
      </c>
      <c r="I109" s="250">
        <f>IF(Init!$R$9="Yes",IF('Staging Table'!$F$1=2018,(SUM('Staging Table'!BD111:BG111)*Rates_previous!$C$87),(SUM('Staging Table'!BD111:BG111)*Rates_previous!$D$87)),IF('Staging Table'!$F$1=2018,(SUM('Staging Table'!DR111:DU111)*Rates_previous!$C$87),(SUM('Staging Table'!DR111:DU111)*Rates_previous!$D$87)))</f>
        <v>704486.9456869592</v>
      </c>
      <c r="J109" s="252">
        <f>IF(Init!$R$9="Yes",IF('Staging Table'!D111=1,'Staging Table'!H111*-1*'Staging Table'!BT111/'Staging Table'!BS111,'Staging Table'!H111*SUM(D109:I109)*(-1)),IF('Staging Table'!D111=1,'Staging Table'!BV111*-1*'Staging Table'!BT111/'Staging Table'!BS111,'Staging Table'!BV111*SUM(D109:I109)*(-1)))</f>
        <v>0</v>
      </c>
      <c r="K109" s="250">
        <f>IF(Init!$R$9="Yes",'Staging Table'!K111,'Staging Table'!BY111)*(-1)*Rates_previous!$H$32</f>
        <v>0</v>
      </c>
      <c r="L109" s="250">
        <f>IF(Init!$R$12="No",0,'Staging Table'!$BI111*-1)*('Staging Table'!$F111/'Staging Table'!$E111)</f>
        <v>-4237086.1954335822</v>
      </c>
      <c r="M109" s="250">
        <f>IF('Staging Table'!C111=1,"",SUM(D109:L109))</f>
        <v>107373434.08073337</v>
      </c>
      <c r="N109" s="250">
        <f>IF('Staging Table'!C111=1,"",IF(Init!$R$9="Yes",(RT1SC!$C$3*'Staging Table'!F111*'Staging Table'!$F$2)+SUM('Staging Table'!L111:AI111)-IF(Init!$R$15="No",'Staging Table'!BH111, 0),Z109))</f>
        <v>3061487.7735067117</v>
      </c>
      <c r="O109" s="126">
        <f>IF('Staging Table'!C111=1,"",IF(N109=0, 0, M109/N109))</f>
        <v>35.072305370582917</v>
      </c>
      <c r="P109" s="250">
        <f>'Staging Table'!BT111*Rates_current!$E$74*100*12</f>
        <v>116179397.42424001</v>
      </c>
      <c r="Q109" s="250">
        <f>'Staging Table'!BT111*Rates_current!$E$75*100*12</f>
        <v>-11753426.929200001</v>
      </c>
      <c r="R109" s="251">
        <f>SUMPRODUCT('Staging Table'!BZ111:CW111, LS_Demand_Rates_Restatement!$C$5:$Z$5)-IF(Init!$R$15="No",('Staging Table'!DV111*Rates_current!$H$34), 0)</f>
        <v>628531.11999999976</v>
      </c>
      <c r="S109" s="251">
        <f>SUMPRODUCT('Staging Table'!CX111:DI111, LS_Demand_Rates_Restatement!$C$11:$N$11)*1000</f>
        <v>0</v>
      </c>
      <c r="T109" s="252">
        <f>'Staging Table'!EF111*IF(Init!$R$18="Yes",IF(Init!$R$6=2020,Rates_current!$C$88,Rates_current!$D$88),Rates_current!$H$33)</f>
        <v>0</v>
      </c>
      <c r="U109" s="252">
        <f>IF(Init!$R$18="Yes",(SUM('Staging Table'!DL111:DU111)*IF('Staging Table'!$BT$1=2020, Rates_current!$C$87, Rates_current!$D$87)),0)</f>
        <v>2028106.4754045194</v>
      </c>
      <c r="V109" s="252">
        <f>IF('Staging Table'!D111=1, 'Staging Table'!BV111*-1*'Staging Table'!BT111/'Staging Table'!BS111,SUM(P109:U109)*'Staging Table'!BV111*-1)</f>
        <v>0</v>
      </c>
      <c r="W109" s="250">
        <f>'Staging Table'!BY111*Rates_current!$H$32*-1</f>
        <v>0</v>
      </c>
      <c r="X109" s="250">
        <f>IF(Init!$R$12="No",0,'Staging Table'!$DW111*-1)</f>
        <v>0</v>
      </c>
      <c r="Y109" s="250">
        <f>IF('Staging Table'!C111=1,"", SUM(P109:X109))</f>
        <v>107082608.09044452</v>
      </c>
      <c r="Z109" s="250">
        <f>IF('Staging Table'!C111=1,"", (RT1SC!$C$4*'Staging Table'!BT111*'Staging Table'!$BT$2)+SUM('Staging Table'!BZ111:CW111)-IF(Init!$R$15="No",'Staging Table'!DV111, 0))</f>
        <v>3002155.7506486271</v>
      </c>
      <c r="AA109" s="126">
        <f>IF('Staging Table'!C111=1,"",IF(Z109=0, 0, Y109/Z109))</f>
        <v>35.668571847849307</v>
      </c>
      <c r="AB109" s="118">
        <f ca="1">IF('Staging Table'!C111=1,"",(AA109/O109-1)+(RAND()/100000000000000))</f>
        <v>1.7001063117070159E-2</v>
      </c>
      <c r="AC109" s="79">
        <f t="shared" ca="1" si="1"/>
        <v>70</v>
      </c>
      <c r="AF109" s="255"/>
      <c r="AG109" s="255"/>
      <c r="AI109" s="255"/>
      <c r="AJ109" s="255"/>
    </row>
    <row r="110" spans="2:36">
      <c r="B110" s="166">
        <v>10360</v>
      </c>
      <c r="C110" s="167" t="s">
        <v>113</v>
      </c>
      <c r="D110" s="250">
        <f>IF(Init!$R$9="Yes",'Staging Table'!F112,'Staging Table'!BT112)*Rates_previous!$E$75*100*12</f>
        <v>2442258.1958400002</v>
      </c>
      <c r="E110" s="250">
        <f>IF(Init!$R$9="Yes",'Staging Table'!F112,'Staging Table'!BT112)*Rates_previous!$E$76*100*12</f>
        <v>-344411.55959999998</v>
      </c>
      <c r="F110" s="251">
        <f>IF(Init!$R$9="Yes",SUMPRODUCT('Staging Table'!L112:AI112,LS_Demand_Rates_Restatement!$C$4:$Z$4)-IF(Init!$R$15="No",('Staging Table'!BH112*Rates_previous!$H$34), 0),SUMPRODUCT('Staging Table'!BZ112:CW112,LS_Demand_Rates_Restatement!$C$4:$Z$4)-IF(Init!$R$15="No", 'Staging Table'!DV112*Rates_previous!$H$34, 0))</f>
        <v>-66531.944889282895</v>
      </c>
      <c r="G110" s="251">
        <f>IF(Init!$R$9="Yes",SUMPRODUCT('Staging Table'!AJ112:AU112,LS_Demand_Rates_Restatement!$C$10:$N$10),SUMPRODUCT(LS_Demand_Rates_Restatement!$C$10:$N$10,'Staging Table'!CX112:DI112))*1000</f>
        <v>139746.08999999997</v>
      </c>
      <c r="H110" s="252">
        <f>IF(Init!$R$9="Yes",'Staging Table'!BR112,'Staging Table'!EF112)*IF(Init!$R$3=2018,Rates_previous!$C$88,Rates_previous!$D$88)</f>
        <v>0</v>
      </c>
      <c r="I110" s="250">
        <f>IF(Init!$R$9="Yes",IF('Staging Table'!$F$1=2018,(SUM('Staging Table'!BD112:BG112)*Rates_previous!$C$87),(SUM('Staging Table'!BD112:BG112)*Rates_previous!$D$87)),IF('Staging Table'!$F$1=2018,(SUM('Staging Table'!DR112:DU112)*Rates_previous!$C$87),(SUM('Staging Table'!DR112:DU112)*Rates_previous!$D$87)))</f>
        <v>13419.278925369035</v>
      </c>
      <c r="J110" s="252">
        <f>IF(Init!$R$9="Yes",IF('Staging Table'!D112=1,'Staging Table'!H112*-1*'Staging Table'!BT112/'Staging Table'!BS112,'Staging Table'!H112*SUM(D110:I110)*(-1)),IF('Staging Table'!D112=1,'Staging Table'!BV112*-1*'Staging Table'!BT112/'Staging Table'!BS112,'Staging Table'!BV112*SUM(D110:I110)*(-1)))</f>
        <v>-102849.6901979187</v>
      </c>
      <c r="K110" s="250">
        <f>IF(Init!$R$9="Yes",'Staging Table'!K112,'Staging Table'!BY112)*(-1)*Rates_previous!$H$32</f>
        <v>-235309.83840000001</v>
      </c>
      <c r="L110" s="250">
        <f>IF(Init!$R$12="No",0,'Staging Table'!$BI112*-1)*('Staging Table'!$F112/'Staging Table'!$E112)</f>
        <v>-38025.107164965273</v>
      </c>
      <c r="M110" s="250">
        <f>IF('Staging Table'!C112=1,"",SUM(D110:L110))</f>
        <v>1808295.4245132024</v>
      </c>
      <c r="N110" s="250">
        <f>IF('Staging Table'!C112=1,"",IF(Init!$R$9="Yes",(RT1SC!$C$3*'Staging Table'!F112*'Staging Table'!$F$2)+SUM('Staging Table'!L112:AI112)-IF(Init!$R$15="No",'Staging Table'!BH112, 0),Z110))</f>
        <v>58315.32</v>
      </c>
      <c r="O110" s="126">
        <f>IF('Staging Table'!C112=1,"",IF(N110=0, 0, M110/N110))</f>
        <v>31.008925690765349</v>
      </c>
      <c r="P110" s="250">
        <f>'Staging Table'!BT112*Rates_current!$E$74*100*12</f>
        <v>2276606.0624400005</v>
      </c>
      <c r="Q110" s="250">
        <f>'Staging Table'!BT112*Rates_current!$E$75*100*12</f>
        <v>-230315.56019999998</v>
      </c>
      <c r="R110" s="251">
        <f>SUMPRODUCT('Staging Table'!BZ112:CW112, LS_Demand_Rates_Restatement!$C$5:$Z$5)-IF(Init!$R$15="No",('Staging Table'!DV112*Rates_current!$H$34), 0)</f>
        <v>-81866.398014456776</v>
      </c>
      <c r="S110" s="251">
        <f>SUMPRODUCT('Staging Table'!CX112:DI112, LS_Demand_Rates_Restatement!$C$11:$N$11)*1000</f>
        <v>151909.53</v>
      </c>
      <c r="T110" s="252">
        <f>'Staging Table'!EF112*IF(Init!$R$18="Yes",IF(Init!$R$6=2020,Rates_current!$C$88,Rates_current!$D$88),Rates_current!$H$33)</f>
        <v>0</v>
      </c>
      <c r="U110" s="252">
        <f>IF(Init!$R$18="Yes",(SUM('Staging Table'!DL112:DU112)*IF('Staging Table'!$BT$1=2020, Rates_current!$C$87, Rates_current!$D$87)),0)</f>
        <v>39741.981793205654</v>
      </c>
      <c r="V110" s="252">
        <f>IF('Staging Table'!D112=1, 'Staging Table'!BV112*-1*'Staging Table'!BT112/'Staging Table'!BS112,SUM(P110:U110)*'Staging Table'!BV112*-1)</f>
        <v>-103050.49649786254</v>
      </c>
      <c r="W110" s="250">
        <f>'Staging Table'!BY112*Rates_current!$H$32*-1</f>
        <v>-222303.76739999998</v>
      </c>
      <c r="X110" s="250">
        <f>IF(Init!$R$12="No",0,'Staging Table'!$DW112*-1)</f>
        <v>0</v>
      </c>
      <c r="Y110" s="250">
        <f>IF('Staging Table'!C112=1,"", SUM(P110:X110))</f>
        <v>1830721.3521208868</v>
      </c>
      <c r="Z110" s="250">
        <f>IF('Staging Table'!C112=1,"", (RT1SC!$C$4*'Staging Table'!BT112*'Staging Table'!$BT$2)+SUM('Staging Table'!BZ112:CW112)-IF(Init!$R$15="No",'Staging Table'!DV112, 0))</f>
        <v>59107.536</v>
      </c>
      <c r="AA110" s="126">
        <f>IF('Staging Table'!C112=1,"",IF(Z110=0, 0, Y110/Z110))</f>
        <v>30.972723209454827</v>
      </c>
      <c r="AB110" s="118">
        <f ca="1">IF('Staging Table'!C112=1,"",(AA110/O110-1)+(RAND()/100000000000000))</f>
        <v>-1.1674858287984485E-3</v>
      </c>
      <c r="AC110" s="79">
        <f t="shared" ca="1" si="1"/>
        <v>112</v>
      </c>
      <c r="AF110" s="255"/>
      <c r="AG110" s="255"/>
      <c r="AI110" s="255"/>
      <c r="AJ110" s="255"/>
    </row>
    <row r="111" spans="2:36">
      <c r="B111" s="166">
        <v>10363</v>
      </c>
      <c r="C111" s="167" t="s">
        <v>114</v>
      </c>
      <c r="D111" s="250">
        <f>IF(Init!$R$9="Yes",'Staging Table'!F113,'Staging Table'!BT113)*Rates_previous!$E$75*100*12</f>
        <v>34626513.003839999</v>
      </c>
      <c r="E111" s="250">
        <f>IF(Init!$R$9="Yes",'Staging Table'!F113,'Staging Table'!BT113)*Rates_previous!$E$76*100*12</f>
        <v>-4883091.9545999998</v>
      </c>
      <c r="F111" s="251">
        <f>IF(Init!$R$9="Yes",SUMPRODUCT('Staging Table'!L113:AI113,LS_Demand_Rates_Restatement!$C$4:$Z$4)-IF(Init!$R$15="No",('Staging Table'!BH113*Rates_previous!$H$34), 0),SUMPRODUCT('Staging Table'!BZ113:CW113,LS_Demand_Rates_Restatement!$C$4:$Z$4)-IF(Init!$R$15="No", 'Staging Table'!DV113*Rates_previous!$H$34, 0))</f>
        <v>576242.0299999998</v>
      </c>
      <c r="G111" s="251">
        <f>IF(Init!$R$9="Yes",SUMPRODUCT('Staging Table'!AJ113:AU113,LS_Demand_Rates_Restatement!$C$10:$N$10),SUMPRODUCT(LS_Demand_Rates_Restatement!$C$10:$N$10,'Staging Table'!CX113:DI113))*1000</f>
        <v>1795314.74</v>
      </c>
      <c r="H111" s="252">
        <f>IF(Init!$R$9="Yes",'Staging Table'!BR113,'Staging Table'!EF113)*IF(Init!$R$3=2018,Rates_previous!$C$88,Rates_previous!$D$88)</f>
        <v>73971.009170277539</v>
      </c>
      <c r="I111" s="250">
        <f>IF(Init!$R$9="Yes",IF('Staging Table'!$F$1=2018,(SUM('Staging Table'!BD113:BG113)*Rates_previous!$C$87),(SUM('Staging Table'!BD113:BG113)*Rates_previous!$D$87)),IF('Staging Table'!$F$1=2018,(SUM('Staging Table'!DR113:DU113)*Rates_previous!$C$87),(SUM('Staging Table'!DR113:DU113)*Rates_previous!$D$87)))</f>
        <v>190259.50532295337</v>
      </c>
      <c r="J111" s="252">
        <f>IF(Init!$R$9="Yes",IF('Staging Table'!D113=1,'Staging Table'!H113*-1*'Staging Table'!BT113/'Staging Table'!BS113,'Staging Table'!H113*SUM(D111:I111)*(-1)),IF('Staging Table'!D113=1,'Staging Table'!BV113*-1*'Staging Table'!BT113/'Staging Table'!BS113,'Staging Table'!BV113*SUM(D111:I111)*(-1)))</f>
        <v>0</v>
      </c>
      <c r="K111" s="250">
        <f>IF(Init!$R$9="Yes",'Staging Table'!K113,'Staging Table'!BY113)*(-1)*Rates_previous!$H$32</f>
        <v>0</v>
      </c>
      <c r="L111" s="250">
        <f>IF(Init!$R$12="No",0,'Staging Table'!$BI113*-1)*('Staging Table'!$F113/'Staging Table'!$E113)</f>
        <v>-1029859.1874471301</v>
      </c>
      <c r="M111" s="250">
        <f>IF('Staging Table'!C113=1,"",SUM(D111:L111))</f>
        <v>31349349.1462861</v>
      </c>
      <c r="N111" s="250">
        <f>IF('Staging Table'!C113=1,"",IF(Init!$R$9="Yes",(RT1SC!$C$3*'Staging Table'!F113*'Staging Table'!$F$2)+SUM('Staging Table'!L113:AI113)-IF(Init!$R$15="No",'Staging Table'!BH113, 0),Z111))</f>
        <v>832537.7250824559</v>
      </c>
      <c r="O111" s="126">
        <f>IF('Staging Table'!C113=1,"",IF(N111=0, 0, M111/N111))</f>
        <v>37.655169491786346</v>
      </c>
      <c r="P111" s="250">
        <f>'Staging Table'!BT113*Rates_current!$E$74*100*12</f>
        <v>32081631.270960003</v>
      </c>
      <c r="Q111" s="250">
        <f>'Staging Table'!BT113*Rates_current!$E$75*100*12</f>
        <v>-3245576.3867999995</v>
      </c>
      <c r="R111" s="251">
        <f>SUMPRODUCT('Staging Table'!BZ113:CW113, LS_Demand_Rates_Restatement!$C$5:$Z$5)-IF(Init!$R$15="No",('Staging Table'!DV113*Rates_current!$H$34), 0)</f>
        <v>490028.1100000001</v>
      </c>
      <c r="S111" s="251">
        <f>SUMPRODUCT('Staging Table'!CX113:DI113, LS_Demand_Rates_Restatement!$C$11:$N$11)*1000</f>
        <v>2018931.69</v>
      </c>
      <c r="T111" s="252">
        <f>'Staging Table'!EF113*IF(Init!$R$18="Yes",IF(Init!$R$6=2020,Rates_current!$C$88,Rates_current!$D$88),Rates_current!$H$33)</f>
        <v>-5876.9408003407643</v>
      </c>
      <c r="U111" s="252">
        <f>IF(Init!$R$18="Yes",(SUM('Staging Table'!DL113:DU113)*IF('Staging Table'!$BT$1=2020, Rates_current!$C$87, Rates_current!$D$87)),0)</f>
        <v>560038.74666851002</v>
      </c>
      <c r="V111" s="252">
        <f>IF('Staging Table'!D113=1, 'Staging Table'!BV113*-1*'Staging Table'!BT113/'Staging Table'!BS113,SUM(P111:U111)*'Staging Table'!BV113*-1)</f>
        <v>0</v>
      </c>
      <c r="W111" s="250">
        <f>'Staging Table'!BY113*Rates_current!$H$32*-1</f>
        <v>0</v>
      </c>
      <c r="X111" s="250">
        <f>IF(Init!$R$12="No",0,'Staging Table'!$DW113*-1)</f>
        <v>0</v>
      </c>
      <c r="Y111" s="250">
        <f>IF('Staging Table'!C113=1,"", SUM(P111:X111))</f>
        <v>31899176.490028176</v>
      </c>
      <c r="Z111" s="250">
        <f>IF('Staging Table'!C113=1,"", (RT1SC!$C$4*'Staging Table'!BT113*'Staging Table'!$BT$2)+SUM('Staging Table'!BZ113:CW113)-IF(Init!$R$15="No",'Staging Table'!DV113, 0))</f>
        <v>832537.34636922868</v>
      </c>
      <c r="AA111" s="126">
        <f>IF('Staging Table'!C113=1,"",IF(Z111=0, 0, Y111/Z111))</f>
        <v>38.31561025957982</v>
      </c>
      <c r="AB111" s="118">
        <f ca="1">IF('Staging Table'!C113=1,"",(AA111/O111-1)+(RAND()/100000000000000))</f>
        <v>1.7539179260307559E-2</v>
      </c>
      <c r="AC111" s="79">
        <f t="shared" ca="1" si="1"/>
        <v>68</v>
      </c>
      <c r="AF111" s="255"/>
      <c r="AG111" s="255"/>
      <c r="AI111" s="255"/>
      <c r="AJ111" s="255"/>
    </row>
    <row r="112" spans="2:36">
      <c r="B112" s="166">
        <v>10369</v>
      </c>
      <c r="C112" s="167" t="s">
        <v>115</v>
      </c>
      <c r="D112" s="250">
        <f>IF(Init!$R$9="Yes",'Staging Table'!F114,'Staging Table'!BT114)*Rates_previous!$E$75*100*12</f>
        <v>5931380.4566400005</v>
      </c>
      <c r="E112" s="250">
        <f>IF(Init!$R$9="Yes",'Staging Table'!F114,'Staging Table'!BT114)*Rates_previous!$E$76*100*12</f>
        <v>-836453.73660000006</v>
      </c>
      <c r="F112" s="251">
        <f>IF(Init!$R$9="Yes",SUMPRODUCT('Staging Table'!L114:AI114,LS_Demand_Rates_Restatement!$C$4:$Z$4)-IF(Init!$R$15="No",('Staging Table'!BH114*Rates_previous!$H$34), 0),SUMPRODUCT('Staging Table'!BZ114:CW114,LS_Demand_Rates_Restatement!$C$4:$Z$4)-IF(Init!$R$15="No", 'Staging Table'!DV114*Rates_previous!$H$34, 0))</f>
        <v>-93785.940705048532</v>
      </c>
      <c r="G112" s="251">
        <f>IF(Init!$R$9="Yes",SUMPRODUCT('Staging Table'!AJ114:AU114,LS_Demand_Rates_Restatement!$C$10:$N$10),SUMPRODUCT(LS_Demand_Rates_Restatement!$C$10:$N$10,'Staging Table'!CX114:DI114))*1000</f>
        <v>255655.6</v>
      </c>
      <c r="H112" s="252">
        <f>IF(Init!$R$9="Yes",'Staging Table'!BR114,'Staging Table'!EF114)*IF(Init!$R$3=2018,Rates_previous!$C$88,Rates_previous!$D$88)</f>
        <v>0</v>
      </c>
      <c r="I112" s="250">
        <f>IF(Init!$R$9="Yes",IF('Staging Table'!$F$1=2018,(SUM('Staging Table'!BD114:BG114)*Rates_previous!$C$87),(SUM('Staging Table'!BD114:BG114)*Rates_previous!$D$87)),IF('Staging Table'!$F$1=2018,(SUM('Staging Table'!DR114:DU114)*Rates_previous!$C$87),(SUM('Staging Table'!DR114:DU114)*Rates_previous!$D$87)))</f>
        <v>32590.677306646827</v>
      </c>
      <c r="J112" s="252">
        <f>IF(Init!$R$9="Yes",IF('Staging Table'!D114=1,'Staging Table'!H114*-1*'Staging Table'!BT114/'Staging Table'!BS114,'Staging Table'!H114*SUM(D112:I112)*(-1)),IF('Staging Table'!D114=1,'Staging Table'!BV114*-1*'Staging Table'!BT114/'Staging Table'!BS114,'Staging Table'!BV114*SUM(D112:I112)*(-1)))</f>
        <v>-386447.90774529177</v>
      </c>
      <c r="K112" s="250">
        <f>IF(Init!$R$9="Yes",'Staging Table'!K114,'Staging Table'!BY114)*(-1)*Rates_previous!$H$32</f>
        <v>-543440.19576000003</v>
      </c>
      <c r="L112" s="250">
        <f>IF(Init!$R$12="No",0,'Staging Table'!$BI114*-1)*('Staging Table'!$F114/'Staging Table'!$E114)</f>
        <v>-174129.32770838495</v>
      </c>
      <c r="M112" s="250">
        <f>IF('Staging Table'!C114=1,"",SUM(D112:L112))</f>
        <v>4185369.6254279213</v>
      </c>
      <c r="N112" s="250">
        <f>IF('Staging Table'!C114=1,"",IF(Init!$R$9="Yes",(RT1SC!$C$3*'Staging Table'!F114*'Staging Table'!$F$2)+SUM('Staging Table'!L114:AI114)-IF(Init!$R$15="No",'Staging Table'!BH114, 0),Z112))</f>
        <v>141631.67999999999</v>
      </c>
      <c r="O112" s="126">
        <f>IF('Staging Table'!C114=1,"",IF(N112=0, 0, M112/N112))</f>
        <v>29.551083665941981</v>
      </c>
      <c r="P112" s="250">
        <f>'Staging Table'!BT114*Rates_current!$E$74*100*12</f>
        <v>5530258.5308399983</v>
      </c>
      <c r="Q112" s="250">
        <f>'Staging Table'!BT114*Rates_current!$E$75*100*12</f>
        <v>-559475.18220000004</v>
      </c>
      <c r="R112" s="251">
        <f>SUMPRODUCT('Staging Table'!BZ114:CW114, LS_Demand_Rates_Restatement!$C$5:$Z$5)-IF(Init!$R$15="No",('Staging Table'!DV114*Rates_current!$H$34), 0)</f>
        <v>-255390.22999999986</v>
      </c>
      <c r="S112" s="251">
        <f>SUMPRODUCT('Staging Table'!CX114:DI114, LS_Demand_Rates_Restatement!$C$11:$N$11)*1000</f>
        <v>289017.43999999994</v>
      </c>
      <c r="T112" s="252">
        <f>'Staging Table'!EF114*IF(Init!$R$18="Yes",IF(Init!$R$6=2020,Rates_current!$C$88,Rates_current!$D$88),Rates_current!$H$33)</f>
        <v>0</v>
      </c>
      <c r="U112" s="252">
        <f>IF(Init!$R$18="Yes",(SUM('Staging Table'!DL114:DU114)*IF('Staging Table'!$BT$1=2020, Rates_current!$C$87, Rates_current!$D$87)),0)</f>
        <v>96539.949300146385</v>
      </c>
      <c r="V112" s="252">
        <f>IF('Staging Table'!D114=1, 'Staging Table'!BV114*-1*'Staging Table'!BT114/'Staging Table'!BS114,SUM(P112:U112)*'Staging Table'!BV114*-1)</f>
        <v>-393527.10959646484</v>
      </c>
      <c r="W112" s="250">
        <f>'Staging Table'!BY114*Rates_current!$H$32*-1</f>
        <v>-513403.11011000001</v>
      </c>
      <c r="X112" s="250">
        <f>IF(Init!$R$12="No",0,'Staging Table'!$DW114*-1)</f>
        <v>0</v>
      </c>
      <c r="Y112" s="250">
        <f>IF('Staging Table'!C114=1,"", SUM(P112:X112))</f>
        <v>4194020.2882336816</v>
      </c>
      <c r="Z112" s="250">
        <f>IF('Staging Table'!C114=1,"", (RT1SC!$C$4*'Staging Table'!BT114*'Staging Table'!$BT$2)+SUM('Staging Table'!BZ114:CW114)-IF(Init!$R$15="No",'Staging Table'!DV114, 0))</f>
        <v>135701.43996907517</v>
      </c>
      <c r="AA112" s="126">
        <f>IF('Staging Table'!C114=1,"",IF(Z112=0, 0, Y112/Z112))</f>
        <v>30.906232750289544</v>
      </c>
      <c r="AB112" s="118">
        <f ca="1">IF('Staging Table'!C114=1,"",(AA112/O112-1)+(RAND()/100000000000000))</f>
        <v>4.5857847369213486E-2</v>
      </c>
      <c r="AC112" s="79">
        <f t="shared" ca="1" si="1"/>
        <v>3</v>
      </c>
      <c r="AF112" s="255"/>
      <c r="AG112" s="255"/>
      <c r="AI112" s="255"/>
      <c r="AJ112" s="255"/>
    </row>
    <row r="113" spans="2:36">
      <c r="B113" s="166">
        <v>10370</v>
      </c>
      <c r="C113" s="167" t="s">
        <v>116</v>
      </c>
      <c r="D113" s="250">
        <f>IF(Init!$R$9="Yes",'Staging Table'!F115,'Staging Table'!BT115)*Rates_previous!$E$75*100*12</f>
        <v>65631931.104959995</v>
      </c>
      <c r="E113" s="250">
        <f>IF(Init!$R$9="Yes",'Staging Table'!F115,'Staging Table'!BT115)*Rates_previous!$E$76*100*12</f>
        <v>-9255530.7173999995</v>
      </c>
      <c r="F113" s="251">
        <f>IF(Init!$R$9="Yes",SUMPRODUCT('Staging Table'!L115:AI115,LS_Demand_Rates_Restatement!$C$4:$Z$4)-IF(Init!$R$15="No",('Staging Table'!BH115*Rates_previous!$H$34), 0),SUMPRODUCT('Staging Table'!BZ115:CW115,LS_Demand_Rates_Restatement!$C$4:$Z$4)-IF(Init!$R$15="No", 'Staging Table'!DV115*Rates_previous!$H$34, 0))</f>
        <v>297769.37500000029</v>
      </c>
      <c r="G113" s="251">
        <f>IF(Init!$R$9="Yes",SUMPRODUCT('Staging Table'!AJ115:AU115,LS_Demand_Rates_Restatement!$C$10:$N$10),SUMPRODUCT(LS_Demand_Rates_Restatement!$C$10:$N$10,'Staging Table'!CX115:DI115))*1000</f>
        <v>0</v>
      </c>
      <c r="H113" s="252">
        <f>IF(Init!$R$9="Yes",'Staging Table'!BR115,'Staging Table'!EF115)*IF(Init!$R$3=2018,Rates_previous!$C$88,Rates_previous!$D$88)</f>
        <v>0</v>
      </c>
      <c r="I113" s="250">
        <f>IF(Init!$R$9="Yes",IF('Staging Table'!$F$1=2018,(SUM('Staging Table'!BD115:BG115)*Rates_previous!$C$87),(SUM('Staging Table'!BD115:BG115)*Rates_previous!$D$87)),IF('Staging Table'!$F$1=2018,(SUM('Staging Table'!DR115:DU115)*Rates_previous!$C$87),(SUM('Staging Table'!DR115:DU115)*Rates_previous!$D$87)))</f>
        <v>360622.47284429282</v>
      </c>
      <c r="J113" s="252">
        <f>IF(Init!$R$9="Yes",IF('Staging Table'!D115=1,'Staging Table'!H115*-1*'Staging Table'!BT115/'Staging Table'!BS115,'Staging Table'!H115*SUM(D113:I113)*(-1)),IF('Staging Table'!D115=1,'Staging Table'!BV115*-1*'Staging Table'!BT115/'Staging Table'!BS115,'Staging Table'!BV115*SUM(D113:I113)*(-1)))</f>
        <v>0</v>
      </c>
      <c r="K113" s="250">
        <f>IF(Init!$R$9="Yes",'Staging Table'!K115,'Staging Table'!BY115)*(-1)*Rates_previous!$H$32</f>
        <v>0</v>
      </c>
      <c r="L113" s="250">
        <f>IF(Init!$R$12="No",0,'Staging Table'!$BI115*-1)*('Staging Table'!$F115/'Staging Table'!$E115)</f>
        <v>-2383970.808041553</v>
      </c>
      <c r="M113" s="250">
        <f>IF('Staging Table'!C115=1,"",SUM(D113:L113))</f>
        <v>54650821.42736274</v>
      </c>
      <c r="N113" s="250">
        <f>IF('Staging Table'!C115=1,"",IF(Init!$R$9="Yes",(RT1SC!$C$3*'Staging Table'!F115*'Staging Table'!$F$2)+SUM('Staging Table'!L115:AI115)-IF(Init!$R$15="No",'Staging Table'!BH115, 0),Z113))</f>
        <v>1567449.0338954639</v>
      </c>
      <c r="O113" s="126">
        <f>IF('Staging Table'!C115=1,"",IF(N113=0, 0, M113/N113))</f>
        <v>34.866091493605467</v>
      </c>
      <c r="P113" s="250">
        <f>'Staging Table'!BT115*Rates_current!$E$74*100*12</f>
        <v>59413975.670040004</v>
      </c>
      <c r="Q113" s="250">
        <f>'Staging Table'!BT115*Rates_current!$E$75*100*12</f>
        <v>-6010685.5182000007</v>
      </c>
      <c r="R113" s="251">
        <f>SUMPRODUCT('Staging Table'!BZ115:CW115, LS_Demand_Rates_Restatement!$C$5:$Z$5)-IF(Init!$R$15="No",('Staging Table'!DV115*Rates_current!$H$34), 0)</f>
        <v>199302.8</v>
      </c>
      <c r="S113" s="251">
        <f>SUMPRODUCT('Staging Table'!CX115:DI115, LS_Demand_Rates_Restatement!$C$11:$N$11)*1000</f>
        <v>0</v>
      </c>
      <c r="T113" s="252">
        <f>'Staging Table'!EF115*IF(Init!$R$18="Yes",IF(Init!$R$6=2020,Rates_current!$C$88,Rates_current!$D$88),Rates_current!$H$33)</f>
        <v>0</v>
      </c>
      <c r="U113" s="252">
        <f>IF(Init!$R$18="Yes",(SUM('Staging Table'!DL115:DU115)*IF('Staging Table'!$BT$1=2020, Rates_current!$C$87, Rates_current!$D$87)),0)</f>
        <v>1037170.7157847048</v>
      </c>
      <c r="V113" s="252">
        <f>IF('Staging Table'!D115=1, 'Staging Table'!BV115*-1*'Staging Table'!BT115/'Staging Table'!BS115,SUM(P113:U113)*'Staging Table'!BV115*-1)</f>
        <v>0</v>
      </c>
      <c r="W113" s="250">
        <f>'Staging Table'!BY115*Rates_current!$H$32*-1</f>
        <v>0</v>
      </c>
      <c r="X113" s="250">
        <f>IF(Init!$R$12="No",0,'Staging Table'!$DW115*-1)</f>
        <v>0</v>
      </c>
      <c r="Y113" s="250">
        <f>IF('Staging Table'!C115=1,"", SUM(P113:X113))</f>
        <v>54639763.667624705</v>
      </c>
      <c r="Z113" s="250">
        <f>IF('Staging Table'!C115=1,"", (RT1SC!$C$4*'Staging Table'!BT115*'Staging Table'!$BT$2)+SUM('Staging Table'!BZ115:CW115)-IF(Init!$R$15="No",'Staging Table'!DV115, 0))</f>
        <v>1534830.9615552512</v>
      </c>
      <c r="AA113" s="126">
        <f>IF('Staging Table'!C115=1,"",IF(Z113=0, 0, Y113/Z113))</f>
        <v>35.599857597515488</v>
      </c>
      <c r="AB113" s="118">
        <f ca="1">IF('Staging Table'!C115=1,"",(AA113/O113-1)+(RAND()/100000000000000))</f>
        <v>2.1045264108393223E-2</v>
      </c>
      <c r="AC113" s="79">
        <f t="shared" ca="1" si="1"/>
        <v>51</v>
      </c>
      <c r="AF113" s="255"/>
      <c r="AG113" s="255"/>
      <c r="AI113" s="255"/>
      <c r="AJ113" s="255"/>
    </row>
    <row r="114" spans="2:36">
      <c r="B114" s="166">
        <v>10371</v>
      </c>
      <c r="C114" s="167" t="s">
        <v>117</v>
      </c>
      <c r="D114" s="250">
        <f>IF(Init!$R$9="Yes",'Staging Table'!F116,'Staging Table'!BT116)*Rates_previous!$E$75*100*12</f>
        <v>3982108.8672000002</v>
      </c>
      <c r="E114" s="250">
        <f>IF(Init!$R$9="Yes",'Staging Table'!F116,'Staging Table'!BT116)*Rates_previous!$E$76*100*12</f>
        <v>-561564.01799999992</v>
      </c>
      <c r="F114" s="251">
        <f>IF(Init!$R$9="Yes",SUMPRODUCT('Staging Table'!L116:AI116,LS_Demand_Rates_Restatement!$C$4:$Z$4)-IF(Init!$R$15="No",('Staging Table'!BH116*Rates_previous!$H$34), 0),SUMPRODUCT('Staging Table'!BZ116:CW116,LS_Demand_Rates_Restatement!$C$4:$Z$4)-IF(Init!$R$15="No", 'Staging Table'!DV116*Rates_previous!$H$34, 0))</f>
        <v>-38830.060000000027</v>
      </c>
      <c r="G114" s="251">
        <f>IF(Init!$R$9="Yes",SUMPRODUCT('Staging Table'!AJ116:AU116,LS_Demand_Rates_Restatement!$C$10:$N$10),SUMPRODUCT(LS_Demand_Rates_Restatement!$C$10:$N$10,'Staging Table'!CX116:DI116))*1000</f>
        <v>65667.98</v>
      </c>
      <c r="H114" s="252">
        <f>IF(Init!$R$9="Yes",'Staging Table'!BR116,'Staging Table'!EF116)*IF(Init!$R$3=2018,Rates_previous!$C$88,Rates_previous!$D$88)</f>
        <v>0</v>
      </c>
      <c r="I114" s="250">
        <f>IF(Init!$R$9="Yes",IF('Staging Table'!$F$1=2018,(SUM('Staging Table'!BD116:BG116)*Rates_previous!$C$87),(SUM('Staging Table'!BD116:BG116)*Rates_previous!$D$87)),IF('Staging Table'!$F$1=2018,(SUM('Staging Table'!DR116:DU116)*Rates_previous!$C$87),(SUM('Staging Table'!DR116:DU116)*Rates_previous!$D$87)))</f>
        <v>21880.172084656584</v>
      </c>
      <c r="J114" s="252">
        <f>IF(Init!$R$9="Yes",IF('Staging Table'!D116=1,'Staging Table'!H116*-1*'Staging Table'!BT116/'Staging Table'!BS116,'Staging Table'!H116*SUM(D114:I114)*(-1)),IF('Staging Table'!D116=1,'Staging Table'!BV116*-1*'Staging Table'!BT116/'Staging Table'!BS116,'Staging Table'!BV116*SUM(D114:I114)*(-1)))</f>
        <v>0</v>
      </c>
      <c r="K114" s="250">
        <f>IF(Init!$R$9="Yes",'Staging Table'!K116,'Staging Table'!BY116)*(-1)*Rates_previous!$H$32</f>
        <v>0</v>
      </c>
      <c r="L114" s="250">
        <f>IF(Init!$R$12="No",0,'Staging Table'!$BI116*-1)*('Staging Table'!$F116/'Staging Table'!$E116)</f>
        <v>-121409.34421493355</v>
      </c>
      <c r="M114" s="250">
        <f>IF('Staging Table'!C116=1,"",SUM(D114:L114))</f>
        <v>3347853.5970697231</v>
      </c>
      <c r="N114" s="250">
        <f>IF('Staging Table'!C116=1,"",IF(Init!$R$9="Yes",(RT1SC!$C$3*'Staging Table'!F116*'Staging Table'!$F$2)+SUM('Staging Table'!L116:AI116)-IF(Init!$R$15="No",'Staging Table'!BH116, 0),Z114))</f>
        <v>91277.99805047999</v>
      </c>
      <c r="O114" s="126">
        <f>IF('Staging Table'!C116=1,"",IF(N114=0, 0, M114/N114))</f>
        <v>36.677552844862355</v>
      </c>
      <c r="P114" s="250">
        <f>'Staging Table'!BT116*Rates_current!$E$74*100*12</f>
        <v>3712823.8759199996</v>
      </c>
      <c r="Q114" s="250">
        <f>'Staging Table'!BT116*Rates_current!$E$75*100*12</f>
        <v>-375612.24359999999</v>
      </c>
      <c r="R114" s="251">
        <f>SUMPRODUCT('Staging Table'!BZ116:CW116, LS_Demand_Rates_Restatement!$C$5:$Z$5)-IF(Init!$R$15="No",('Staging Table'!DV116*Rates_current!$H$34), 0)</f>
        <v>55427.718032871584</v>
      </c>
      <c r="S114" s="251">
        <f>SUMPRODUCT('Staging Table'!CX116:DI116, LS_Demand_Rates_Restatement!$C$11:$N$11)*1000</f>
        <v>64814.11</v>
      </c>
      <c r="T114" s="252">
        <f>'Staging Table'!EF116*IF(Init!$R$18="Yes",IF(Init!$R$6=2020,Rates_current!$C$88,Rates_current!$D$88),Rates_current!$H$33)</f>
        <v>0</v>
      </c>
      <c r="U114" s="252">
        <f>IF(Init!$R$18="Yes",(SUM('Staging Table'!DL116:DU116)*IF('Staging Table'!$BT$1=2020, Rates_current!$C$87, Rates_current!$D$87)),0)</f>
        <v>64813.575485275978</v>
      </c>
      <c r="V114" s="252">
        <f>IF('Staging Table'!D116=1, 'Staging Table'!BV116*-1*'Staging Table'!BT116/'Staging Table'!BS116,SUM(P114:U114)*'Staging Table'!BV116*-1)</f>
        <v>0</v>
      </c>
      <c r="W114" s="250">
        <f>'Staging Table'!BY116*Rates_current!$H$32*-1</f>
        <v>0</v>
      </c>
      <c r="X114" s="250">
        <f>IF(Init!$R$12="No",0,'Staging Table'!$DW116*-1)</f>
        <v>0</v>
      </c>
      <c r="Y114" s="250">
        <f>IF('Staging Table'!C116=1,"", SUM(P114:X114))</f>
        <v>3522267.0358381467</v>
      </c>
      <c r="Z114" s="250">
        <f>IF('Staging Table'!C116=1,"", (RT1SC!$C$4*'Staging Table'!BT116*'Staging Table'!$BT$2)+SUM('Staging Table'!BZ116:CW116)-IF(Init!$R$15="No",'Staging Table'!DV116, 0))</f>
        <v>96395.615999999995</v>
      </c>
      <c r="AA114" s="126">
        <f>IF('Staging Table'!C116=1,"",IF(Z114=0, 0, Y114/Z114))</f>
        <v>36.539701513377402</v>
      </c>
      <c r="AB114" s="118">
        <f ca="1">IF('Staging Table'!C116=1,"",(AA114/O114-1)+(RAND()/100000000000000))</f>
        <v>-3.7584658951404525E-3</v>
      </c>
      <c r="AC114" s="79">
        <f t="shared" ca="1" si="1"/>
        <v>115</v>
      </c>
      <c r="AF114" s="255"/>
      <c r="AG114" s="255"/>
      <c r="AI114" s="255"/>
      <c r="AJ114" s="255"/>
    </row>
    <row r="115" spans="2:36">
      <c r="B115" s="166">
        <v>10376</v>
      </c>
      <c r="C115" s="167" t="s">
        <v>118</v>
      </c>
      <c r="D115" s="250">
        <f>IF(Init!$R$9="Yes",'Staging Table'!F117,'Staging Table'!BT117)*Rates_previous!$E$75*100*12</f>
        <v>19899843.851519998</v>
      </c>
      <c r="E115" s="250">
        <f>IF(Init!$R$9="Yes",'Staging Table'!F117,'Staging Table'!BT117)*Rates_previous!$E$76*100*12</f>
        <v>-2806311.0887999996</v>
      </c>
      <c r="F115" s="251">
        <f>IF(Init!$R$9="Yes",SUMPRODUCT('Staging Table'!L117:AI117,LS_Demand_Rates_Restatement!$C$4:$Z$4)-IF(Init!$R$15="No",('Staging Table'!BH117*Rates_previous!$H$34), 0),SUMPRODUCT('Staging Table'!BZ117:CW117,LS_Demand_Rates_Restatement!$C$4:$Z$4)-IF(Init!$R$15="No", 'Staging Table'!DV117*Rates_previous!$H$34, 0))</f>
        <v>441255.74750710576</v>
      </c>
      <c r="G115" s="251">
        <f>IF(Init!$R$9="Yes",SUMPRODUCT('Staging Table'!AJ117:AU117,LS_Demand_Rates_Restatement!$C$10:$N$10),SUMPRODUCT(LS_Demand_Rates_Restatement!$C$10:$N$10,'Staging Table'!CX117:DI117))*1000</f>
        <v>787574.33000000007</v>
      </c>
      <c r="H115" s="252">
        <f>IF(Init!$R$9="Yes",'Staging Table'!BR117,'Staging Table'!EF117)*IF(Init!$R$3=2018,Rates_previous!$C$88,Rates_previous!$D$88)</f>
        <v>100628.74800000121</v>
      </c>
      <c r="I115" s="250">
        <f>IF(Init!$R$9="Yes",IF('Staging Table'!$F$1=2018,(SUM('Staging Table'!BD117:BG117)*Rates_previous!$C$87),(SUM('Staging Table'!BD117:BG117)*Rates_previous!$D$87)),IF('Staging Table'!$F$1=2018,(SUM('Staging Table'!DR117:DU117)*Rates_previous!$C$87),(SUM('Staging Table'!DR117:DU117)*Rates_previous!$D$87)))</f>
        <v>109342.06533514756</v>
      </c>
      <c r="J115" s="252">
        <f>IF(Init!$R$9="Yes",IF('Staging Table'!D117=1,'Staging Table'!H117*-1*'Staging Table'!BT117/'Staging Table'!BS117,'Staging Table'!H117*SUM(D115:I115)*(-1)),IF('Staging Table'!D117=1,'Staging Table'!BV117*-1*'Staging Table'!BT117/'Staging Table'!BS117,'Staging Table'!BV117*SUM(D115:I115)*(-1)))</f>
        <v>0</v>
      </c>
      <c r="K115" s="250">
        <f>IF(Init!$R$9="Yes",'Staging Table'!K117,'Staging Table'!BY117)*(-1)*Rates_previous!$H$32</f>
        <v>0</v>
      </c>
      <c r="L115" s="250">
        <f>IF(Init!$R$12="No",0,'Staging Table'!$BI117*-1)*('Staging Table'!$F117/'Staging Table'!$E117)</f>
        <v>-597358.67315951898</v>
      </c>
      <c r="M115" s="250">
        <f>IF('Staging Table'!C117=1,"",SUM(D115:L115))</f>
        <v>17934974.980402734</v>
      </c>
      <c r="N115" s="250">
        <f>IF('Staging Table'!C117=1,"",IF(Init!$R$9="Yes",(RT1SC!$C$3*'Staging Table'!F117*'Staging Table'!$F$2)+SUM('Staging Table'!L117:AI117)-IF(Init!$R$15="No",'Staging Table'!BH117, 0),Z115))</f>
        <v>482938.80000000005</v>
      </c>
      <c r="O115" s="126">
        <f>IF('Staging Table'!C117=1,"",IF(N115=0, 0, M115/N115))</f>
        <v>37.137158953479677</v>
      </c>
      <c r="P115" s="250">
        <f>'Staging Table'!BT117*Rates_current!$E$74*100*12</f>
        <v>18441721.2042</v>
      </c>
      <c r="Q115" s="250">
        <f>'Staging Table'!BT117*Rates_current!$E$75*100*12</f>
        <v>-1865678.6609999998</v>
      </c>
      <c r="R115" s="251">
        <f>SUMPRODUCT('Staging Table'!BZ117:CW117, LS_Demand_Rates_Restatement!$C$5:$Z$5)-IF(Init!$R$15="No",('Staging Table'!DV117*Rates_current!$H$34), 0)</f>
        <v>428986.71999999991</v>
      </c>
      <c r="S115" s="251">
        <f>SUMPRODUCT('Staging Table'!CX117:DI117, LS_Demand_Rates_Restatement!$C$11:$N$11)*1000</f>
        <v>872072.55999999994</v>
      </c>
      <c r="T115" s="252">
        <f>'Staging Table'!EF117*IF(Init!$R$18="Yes",IF(Init!$R$6=2020,Rates_current!$C$88,Rates_current!$D$88),Rates_current!$H$33)</f>
        <v>111064.16981939694</v>
      </c>
      <c r="U115" s="252">
        <f>IF(Init!$R$18="Yes",(SUM('Staging Table'!DL117:DU117)*IF('Staging Table'!$BT$1=2020, Rates_current!$C$87, Rates_current!$D$87)),0)</f>
        <v>321931.2117385731</v>
      </c>
      <c r="V115" s="252">
        <f>IF('Staging Table'!D117=1, 'Staging Table'!BV117*-1*'Staging Table'!BT117/'Staging Table'!BS117,SUM(P115:U115)*'Staging Table'!BV117*-1)</f>
        <v>0</v>
      </c>
      <c r="W115" s="250">
        <f>'Staging Table'!BY117*Rates_current!$H$32*-1</f>
        <v>0</v>
      </c>
      <c r="X115" s="250">
        <f>IF(Init!$R$12="No",0,'Staging Table'!$DW117*-1)</f>
        <v>0</v>
      </c>
      <c r="Y115" s="250">
        <f>IF('Staging Table'!C117=1,"", SUM(P115:X115))</f>
        <v>18310097.204757966</v>
      </c>
      <c r="Z115" s="250">
        <f>IF('Staging Table'!C117=1,"", (RT1SC!$C$4*'Staging Table'!BT117*'Staging Table'!$BT$2)+SUM('Staging Table'!BZ117:CW117)-IF(Init!$R$15="No",'Staging Table'!DV117, 0))</f>
        <v>485787.86038937594</v>
      </c>
      <c r="AA115" s="126">
        <f>IF('Staging Table'!C117=1,"",IF(Z115=0, 0, Y115/Z115))</f>
        <v>37.691549537861619</v>
      </c>
      <c r="AB115" s="118">
        <f ca="1">IF('Staging Table'!C117=1,"",(AA115/O115-1)+(RAND()/100000000000000))</f>
        <v>1.4928190524117851E-2</v>
      </c>
      <c r="AC115" s="79">
        <f t="shared" ca="1" si="1"/>
        <v>76</v>
      </c>
      <c r="AF115" s="255"/>
      <c r="AG115" s="255"/>
      <c r="AI115" s="255"/>
      <c r="AJ115" s="255"/>
    </row>
    <row r="116" spans="2:36">
      <c r="B116" s="166">
        <v>10378</v>
      </c>
      <c r="C116" s="167" t="s">
        <v>119</v>
      </c>
      <c r="D116" s="250">
        <f>IF(Init!$R$9="Yes",'Staging Table'!F118,'Staging Table'!BT118)*Rates_previous!$E$75*100*12</f>
        <v>690690.79583999992</v>
      </c>
      <c r="E116" s="250">
        <f>IF(Init!$R$9="Yes",'Staging Table'!F118,'Staging Table'!BT118)*Rates_previous!$E$76*100*12</f>
        <v>-97402.434599999993</v>
      </c>
      <c r="F116" s="251">
        <f>IF(Init!$R$9="Yes",SUMPRODUCT('Staging Table'!L118:AI118,LS_Demand_Rates_Restatement!$C$4:$Z$4)-IF(Init!$R$15="No",('Staging Table'!BH118*Rates_previous!$H$34), 0),SUMPRODUCT('Staging Table'!BZ118:CW118,LS_Demand_Rates_Restatement!$C$4:$Z$4)-IF(Init!$R$15="No", 'Staging Table'!DV118*Rates_previous!$H$34, 0))</f>
        <v>20994.92</v>
      </c>
      <c r="G116" s="251">
        <f>IF(Init!$R$9="Yes",SUMPRODUCT('Staging Table'!AJ118:AU118,LS_Demand_Rates_Restatement!$C$10:$N$10),SUMPRODUCT(LS_Demand_Rates_Restatement!$C$10:$N$10,'Staging Table'!CX118:DI118))*1000</f>
        <v>10418.73</v>
      </c>
      <c r="H116" s="252">
        <f>IF(Init!$R$9="Yes",'Staging Table'!BR118,'Staging Table'!EF118)*IF(Init!$R$3=2018,Rates_previous!$C$88,Rates_previous!$D$88)</f>
        <v>2813.9380324228305</v>
      </c>
      <c r="I116" s="250">
        <f>IF(Init!$R$9="Yes",IF('Staging Table'!$F$1=2018,(SUM('Staging Table'!BD118:BG118)*Rates_previous!$C$87),(SUM('Staging Table'!BD118:BG118)*Rates_previous!$D$87)),IF('Staging Table'!$F$1=2018,(SUM('Staging Table'!DR118:DU118)*Rates_previous!$C$87),(SUM('Staging Table'!DR118:DU118)*Rates_previous!$D$87)))</f>
        <v>3795.0829508319889</v>
      </c>
      <c r="J116" s="252">
        <f>IF(Init!$R$9="Yes",IF('Staging Table'!D118=1,'Staging Table'!H118*-1*'Staging Table'!BT118/'Staging Table'!BS118,'Staging Table'!H118*SUM(D116:I116)*(-1)),IF('Staging Table'!D118=1,'Staging Table'!BV118*-1*'Staging Table'!BT118/'Staging Table'!BS118,'Staging Table'!BV118*SUM(D116:I116)*(-1)))</f>
        <v>0</v>
      </c>
      <c r="K116" s="250">
        <f>IF(Init!$R$9="Yes",'Staging Table'!K118,'Staging Table'!BY118)*(-1)*Rates_previous!$H$32</f>
        <v>0</v>
      </c>
      <c r="L116" s="250">
        <f>IF(Init!$R$12="No",0,'Staging Table'!$BI118*-1)*('Staging Table'!$F118/'Staging Table'!$E118)</f>
        <v>-10753.814471544005</v>
      </c>
      <c r="M116" s="250">
        <f>IF('Staging Table'!C118=1,"",SUM(D116:L116))</f>
        <v>620557.21775171068</v>
      </c>
      <c r="N116" s="250">
        <f>IF('Staging Table'!C118=1,"",IF(Init!$R$9="Yes",(RT1SC!$C$3*'Staging Table'!F118*'Staging Table'!$F$2)+SUM('Staging Table'!L118:AI118)-IF(Init!$R$15="No",'Staging Table'!BH118, 0),Z116))</f>
        <v>16711.870295255998</v>
      </c>
      <c r="O116" s="126">
        <f>IF('Staging Table'!C118=1,"",IF(N116=0, 0, M116/N116))</f>
        <v>37.132721041274976</v>
      </c>
      <c r="P116" s="250">
        <f>'Staging Table'!BT118*Rates_current!$E$74*100*12</f>
        <v>643838.16924000008</v>
      </c>
      <c r="Q116" s="250">
        <f>'Staging Table'!BT118*Rates_current!$E$75*100*12</f>
        <v>-65134.654200000004</v>
      </c>
      <c r="R116" s="251">
        <f>SUMPRODUCT('Staging Table'!BZ118:CW118, LS_Demand_Rates_Restatement!$C$5:$Z$5)-IF(Init!$R$15="No",('Staging Table'!DV118*Rates_current!$H$34), 0)</f>
        <v>16939.91</v>
      </c>
      <c r="S116" s="251">
        <f>SUMPRODUCT('Staging Table'!CX118:DI118, LS_Demand_Rates_Restatement!$C$11:$N$11)*1000</f>
        <v>11188.45</v>
      </c>
      <c r="T116" s="252">
        <f>'Staging Table'!EF118*IF(Init!$R$18="Yes",IF(Init!$R$6=2020,Rates_current!$C$88,Rates_current!$D$88),Rates_current!$H$33)</f>
        <v>-55.932192654315259</v>
      </c>
      <c r="U116" s="252">
        <f>IF(Init!$R$18="Yes",(SUM('Staging Table'!DL118:DU118)*IF('Staging Table'!$BT$1=2020, Rates_current!$C$87, Rates_current!$D$87)),0)</f>
        <v>11239.276404404856</v>
      </c>
      <c r="V116" s="252">
        <f>IF('Staging Table'!D118=1, 'Staging Table'!BV118*-1*'Staging Table'!BT118/'Staging Table'!BS118,SUM(P116:U116)*'Staging Table'!BV118*-1)</f>
        <v>0</v>
      </c>
      <c r="W116" s="250">
        <f>'Staging Table'!BY118*Rates_current!$H$32*-1</f>
        <v>0</v>
      </c>
      <c r="X116" s="250">
        <f>IF(Init!$R$12="No",0,'Staging Table'!$DW118*-1)</f>
        <v>0</v>
      </c>
      <c r="Y116" s="250">
        <f>IF('Staging Table'!C118=1,"", SUM(P116:X116))</f>
        <v>618015.21925175062</v>
      </c>
      <c r="Z116" s="250">
        <f>IF('Staging Table'!C118=1,"", (RT1SC!$C$4*'Staging Table'!BT118*'Staging Table'!$BT$2)+SUM('Staging Table'!BZ118:CW118)-IF(Init!$R$15="No",'Staging Table'!DV118, 0))</f>
        <v>16712.427602227202</v>
      </c>
      <c r="AA116" s="126">
        <f>IF('Staging Table'!C118=1,"",IF(Z116=0, 0, Y116/Z116))</f>
        <v>36.979380492238604</v>
      </c>
      <c r="AB116" s="118">
        <f ca="1">IF('Staging Table'!C118=1,"",(AA116/O116-1)+(RAND()/100000000000000))</f>
        <v>-4.1295263243903814E-3</v>
      </c>
      <c r="AC116" s="79">
        <f t="shared" ca="1" si="1"/>
        <v>117</v>
      </c>
      <c r="AF116" s="255"/>
      <c r="AG116" s="255"/>
      <c r="AI116" s="255"/>
      <c r="AJ116" s="255"/>
    </row>
    <row r="117" spans="2:36">
      <c r="B117" s="166">
        <v>10379</v>
      </c>
      <c r="C117" s="167" t="s">
        <v>120</v>
      </c>
      <c r="D117" s="250">
        <f>IF(Init!$R$9="Yes",'Staging Table'!F119,'Staging Table'!BT119)*Rates_previous!$E$75*100*12</f>
        <v>1724561.41536</v>
      </c>
      <c r="E117" s="250">
        <f>IF(Init!$R$9="Yes",'Staging Table'!F119,'Staging Table'!BT119)*Rates_previous!$E$76*100*12</f>
        <v>-243200.69340000002</v>
      </c>
      <c r="F117" s="251">
        <f>IF(Init!$R$9="Yes",SUMPRODUCT('Staging Table'!L119:AI119,LS_Demand_Rates_Restatement!$C$4:$Z$4)-IF(Init!$R$15="No",('Staging Table'!BH119*Rates_previous!$H$34), 0),SUMPRODUCT('Staging Table'!BZ119:CW119,LS_Demand_Rates_Restatement!$C$4:$Z$4)-IF(Init!$R$15="No", 'Staging Table'!DV119*Rates_previous!$H$34, 0))</f>
        <v>16529.270000000004</v>
      </c>
      <c r="G117" s="251">
        <f>IF(Init!$R$9="Yes",SUMPRODUCT('Staging Table'!AJ119:AU119,LS_Demand_Rates_Restatement!$C$10:$N$10),SUMPRODUCT(LS_Demand_Rates_Restatement!$C$10:$N$10,'Staging Table'!CX119:DI119))*1000</f>
        <v>98920.629999999976</v>
      </c>
      <c r="H117" s="252">
        <f>IF(Init!$R$9="Yes",'Staging Table'!BR119,'Staging Table'!EF119)*IF(Init!$R$3=2018,Rates_previous!$C$88,Rates_previous!$D$88)</f>
        <v>-7026.0166955843597</v>
      </c>
      <c r="I117" s="250">
        <f>IF(Init!$R$9="Yes",IF('Staging Table'!$F$1=2018,(SUM('Staging Table'!BD119:BG119)*Rates_previous!$C$87),(SUM('Staging Table'!BD119:BG119)*Rates_previous!$D$87)),IF('Staging Table'!$F$1=2018,(SUM('Staging Table'!DR119:DU119)*Rates_previous!$C$87),(SUM('Staging Table'!DR119:DU119)*Rates_previous!$D$87)))</f>
        <v>9475.8083711478193</v>
      </c>
      <c r="J117" s="252">
        <f>IF(Init!$R$9="Yes",IF('Staging Table'!D119=1,'Staging Table'!H119*-1*'Staging Table'!BT119/'Staging Table'!BS119,'Staging Table'!H119*SUM(D117:I117)*(-1)),IF('Staging Table'!D119=1,'Staging Table'!BV119*-1*'Staging Table'!BT119/'Staging Table'!BS119,'Staging Table'!BV119*SUM(D117:I117)*(-1)))</f>
        <v>0</v>
      </c>
      <c r="K117" s="250">
        <f>IF(Init!$R$9="Yes",'Staging Table'!K119,'Staging Table'!BY119)*(-1)*Rates_previous!$H$32</f>
        <v>0</v>
      </c>
      <c r="L117" s="250">
        <f>IF(Init!$R$12="No",0,'Staging Table'!$BI119*-1)*('Staging Table'!$F119/'Staging Table'!$E119)</f>
        <v>-62377.837502015303</v>
      </c>
      <c r="M117" s="250">
        <f>IF('Staging Table'!C119=1,"",SUM(D117:L117))</f>
        <v>1536882.576133548</v>
      </c>
      <c r="N117" s="250">
        <f>IF('Staging Table'!C119=1,"",IF(Init!$R$9="Yes",(RT1SC!$C$3*'Staging Table'!F119*'Staging Table'!$F$2)+SUM('Staging Table'!L119:AI119)-IF(Init!$R$15="No",'Staging Table'!BH119, 0),Z117))</f>
        <v>40639.464414824004</v>
      </c>
      <c r="O117" s="126">
        <f>IF('Staging Table'!C119=1,"",IF(N117=0, 0, M117/N117))</f>
        <v>37.817490910951605</v>
      </c>
      <c r="P117" s="250">
        <f>'Staging Table'!BT119*Rates_current!$E$74*100*12</f>
        <v>1605673.9281600004</v>
      </c>
      <c r="Q117" s="250">
        <f>'Staging Table'!BT119*Rates_current!$E$75*100*12</f>
        <v>-162439.91280000002</v>
      </c>
      <c r="R117" s="251">
        <f>SUMPRODUCT('Staging Table'!BZ119:CW119, LS_Demand_Rates_Restatement!$C$5:$Z$5)-IF(Init!$R$15="No",('Staging Table'!DV119*Rates_current!$H$34), 0)</f>
        <v>12243.979999999992</v>
      </c>
      <c r="S117" s="251">
        <f>SUMPRODUCT('Staging Table'!CX119:DI119, LS_Demand_Rates_Restatement!$C$11:$N$11)*1000</f>
        <v>108849.17000000001</v>
      </c>
      <c r="T117" s="252">
        <f>'Staging Table'!EF119*IF(Init!$R$18="Yes",IF(Init!$R$6=2020,Rates_current!$C$88,Rates_current!$D$88),Rates_current!$H$33)</f>
        <v>-16696.913674880998</v>
      </c>
      <c r="U117" s="252">
        <f>IF(Init!$R$18="Yes",(SUM('Staging Table'!DL119:DU119)*IF('Staging Table'!$BT$1=2020, Rates_current!$C$87, Rates_current!$D$87)),0)</f>
        <v>28029.734731694058</v>
      </c>
      <c r="V117" s="252">
        <f>IF('Staging Table'!D119=1, 'Staging Table'!BV119*-1*'Staging Table'!BT119/'Staging Table'!BS119,SUM(P117:U117)*'Staging Table'!BV119*-1)</f>
        <v>0</v>
      </c>
      <c r="W117" s="250">
        <f>'Staging Table'!BY119*Rates_current!$H$32*-1</f>
        <v>0</v>
      </c>
      <c r="X117" s="250">
        <f>IF(Init!$R$12="No",0,'Staging Table'!$DW119*-1)</f>
        <v>0</v>
      </c>
      <c r="Y117" s="250">
        <f>IF('Staging Table'!C119=1,"", SUM(P117:X117))</f>
        <v>1575659.9864168132</v>
      </c>
      <c r="Z117" s="250">
        <f>IF('Staging Table'!C119=1,"", (RT1SC!$C$4*'Staging Table'!BT119*'Staging Table'!$BT$2)+SUM('Staging Table'!BZ119:CW119)-IF(Init!$R$15="No",'Staging Table'!DV119, 0))</f>
        <v>40636.758538444803</v>
      </c>
      <c r="AA117" s="126">
        <f>IF('Staging Table'!C119=1,"",IF(Z117=0, 0, Y117/Z117))</f>
        <v>38.774253732027979</v>
      </c>
      <c r="AB117" s="118">
        <f ca="1">IF('Staging Table'!C119=1,"",(AA117/O117-1)+(RAND()/100000000000000))</f>
        <v>2.5299479104244016E-2</v>
      </c>
      <c r="AC117" s="79">
        <f t="shared" ca="1" si="1"/>
        <v>28</v>
      </c>
      <c r="AF117" s="255"/>
      <c r="AG117" s="255"/>
      <c r="AI117" s="255"/>
      <c r="AJ117" s="255"/>
    </row>
    <row r="118" spans="2:36">
      <c r="B118" s="166">
        <v>10388</v>
      </c>
      <c r="C118" s="167" t="s">
        <v>121</v>
      </c>
      <c r="D118" s="250">
        <f>IF(Init!$R$9="Yes",'Staging Table'!F120,'Staging Table'!BT120)*Rates_previous!$E$75*100*12</f>
        <v>40869481.377599999</v>
      </c>
      <c r="E118" s="250">
        <f>IF(Init!$R$9="Yes",'Staging Table'!F120,'Staging Table'!BT120)*Rates_previous!$E$76*100*12</f>
        <v>-5763486.3690000009</v>
      </c>
      <c r="F118" s="251">
        <f>IF(Init!$R$9="Yes",SUMPRODUCT('Staging Table'!L120:AI120,LS_Demand_Rates_Restatement!$C$4:$Z$4)-IF(Init!$R$15="No",('Staging Table'!BH120*Rates_previous!$H$34), 0),SUMPRODUCT('Staging Table'!BZ120:CW120,LS_Demand_Rates_Restatement!$C$4:$Z$4)-IF(Init!$R$15="No", 'Staging Table'!DV120*Rates_previous!$H$34, 0))</f>
        <v>0</v>
      </c>
      <c r="G118" s="251">
        <f>IF(Init!$R$9="Yes",SUMPRODUCT('Staging Table'!AJ120:AU120,LS_Demand_Rates_Restatement!$C$10:$N$10),SUMPRODUCT(LS_Demand_Rates_Restatement!$C$10:$N$10,'Staging Table'!CX120:DI120))*1000</f>
        <v>0</v>
      </c>
      <c r="H118" s="252">
        <f>IF(Init!$R$9="Yes",'Staging Table'!BR120,'Staging Table'!EF120)*IF(Init!$R$3=2018,Rates_previous!$C$88,Rates_previous!$D$88)</f>
        <v>0</v>
      </c>
      <c r="I118" s="250">
        <f>IF(Init!$R$9="Yes",IF('Staging Table'!$F$1=2018,(SUM('Staging Table'!BD120:BG120)*Rates_previous!$C$87),(SUM('Staging Table'!BD120:BG120)*Rates_previous!$D$87)),IF('Staging Table'!$F$1=2018,(SUM('Staging Table'!DR120:DU120)*Rates_previous!$C$87),(SUM('Staging Table'!DR120:DU120)*Rates_previous!$D$87)))</f>
        <v>224562.23960077966</v>
      </c>
      <c r="J118" s="252">
        <f>IF(Init!$R$9="Yes",IF('Staging Table'!D120=1,'Staging Table'!H120*-1*'Staging Table'!BT120/'Staging Table'!BS120,'Staging Table'!H120*SUM(D118:I118)*(-1)),IF('Staging Table'!D120=1,'Staging Table'!BV120*-1*'Staging Table'!BT120/'Staging Table'!BS120,'Staging Table'!BV120*SUM(D118:I118)*(-1)))</f>
        <v>-3157481.3021045285</v>
      </c>
      <c r="K118" s="250">
        <f>IF(Init!$R$9="Yes",'Staging Table'!K120,'Staging Table'!BY120)*(-1)*Rates_previous!$H$32</f>
        <v>-2690363.7415200002</v>
      </c>
      <c r="L118" s="250">
        <f>IF(Init!$R$12="No",0,'Staging Table'!$BI120*-1)*('Staging Table'!$F120/'Staging Table'!$E120)</f>
        <v>-1194203.9412840679</v>
      </c>
      <c r="M118" s="250" t="str">
        <f>IF('Staging Table'!C120=1,"",SUM(D118:L118))</f>
        <v/>
      </c>
      <c r="N118" s="250" t="str">
        <f>IF('Staging Table'!C120=1,"",IF(Init!$R$9="Yes",(RT1SC!$C$3*'Staging Table'!F120*'Staging Table'!$F$2)+SUM('Staging Table'!L120:AI120)-IF(Init!$R$15="No",'Staging Table'!BH120, 0),Z118))</f>
        <v/>
      </c>
      <c r="O118" s="126" t="str">
        <f>IF('Staging Table'!C120=1,"",IF(N118=0, 0, M118/N118))</f>
        <v/>
      </c>
      <c r="P118" s="250">
        <f>'Staging Table'!BT120*Rates_current!$E$74*100*12</f>
        <v>38105047.498799995</v>
      </c>
      <c r="Q118" s="250">
        <f>'Staging Table'!BT120*Rates_current!$E$75*100*12</f>
        <v>-3854942.453999999</v>
      </c>
      <c r="R118" s="251">
        <f>SUMPRODUCT('Staging Table'!BZ120:CW120, LS_Demand_Rates_Restatement!$C$5:$Z$5)-IF(Init!$R$15="No",('Staging Table'!DV120*Rates_current!$H$34), 0)</f>
        <v>0</v>
      </c>
      <c r="S118" s="251">
        <f>SUMPRODUCT('Staging Table'!CX120:DI120, LS_Demand_Rates_Restatement!$C$11:$N$11)*1000</f>
        <v>0</v>
      </c>
      <c r="T118" s="252">
        <f>'Staging Table'!EF120*IF(Init!$R$18="Yes",IF(Init!$R$6=2020,Rates_current!$C$88,Rates_current!$D$88),Rates_current!$H$33)</f>
        <v>0</v>
      </c>
      <c r="U118" s="252">
        <f>IF(Init!$R$18="Yes",(SUM('Staging Table'!DL120:DU120)*IF('Staging Table'!$BT$1=2020, Rates_current!$C$87, Rates_current!$D$87)),0)</f>
        <v>665187.59170108149</v>
      </c>
      <c r="V118" s="252">
        <f>IF('Staging Table'!D120=1, 'Staging Table'!BV120*-1*'Staging Table'!BT120/'Staging Table'!BS120,SUM(P118:U118)*'Staging Table'!BV120*-1)</f>
        <v>-3754609.0106076165</v>
      </c>
      <c r="W118" s="250">
        <f>'Staging Table'!BY120*Rates_current!$H$32*-1</f>
        <v>-2541661.6639700001</v>
      </c>
      <c r="X118" s="250">
        <f>IF(Init!$R$12="No",0,'Staging Table'!$DW120*-1)</f>
        <v>0</v>
      </c>
      <c r="Y118" s="250" t="str">
        <f>IF('Staging Table'!C120=1,"", SUM(P118:X118))</f>
        <v/>
      </c>
      <c r="Z118" s="250" t="str">
        <f>IF('Staging Table'!C120=1,"", (RT1SC!$C$4*'Staging Table'!BT120*'Staging Table'!$BT$2)+SUM('Staging Table'!BZ120:CW120)-IF(Init!$R$15="No",'Staging Table'!DV120, 0))</f>
        <v/>
      </c>
      <c r="AA118" s="126" t="str">
        <f>IF('Staging Table'!C120=1,"",IF(Z118=0, 0, Y118/Z118))</f>
        <v/>
      </c>
      <c r="AB118" s="118" t="str">
        <f ca="1">IF('Staging Table'!C120=1,"",(AA118/O118-1)+(RAND()/100000000000000))</f>
        <v/>
      </c>
      <c r="AC118" s="79" t="str">
        <f t="shared" ca="1" si="1"/>
        <v/>
      </c>
      <c r="AF118" s="255"/>
      <c r="AG118" s="255"/>
      <c r="AI118" s="255"/>
      <c r="AJ118" s="255"/>
    </row>
    <row r="119" spans="2:36">
      <c r="B119" s="166">
        <v>10391</v>
      </c>
      <c r="C119" s="167" t="s">
        <v>122</v>
      </c>
      <c r="D119" s="250">
        <f>IF(Init!$R$9="Yes",'Staging Table'!F121,'Staging Table'!BT121)*Rates_previous!$E$75*100*12</f>
        <v>10820737.543679999</v>
      </c>
      <c r="E119" s="250">
        <f>IF(Init!$R$9="Yes",'Staging Table'!F121,'Staging Table'!BT121)*Rates_previous!$E$76*100*12</f>
        <v>-1525959.4991999997</v>
      </c>
      <c r="F119" s="251">
        <f>IF(Init!$R$9="Yes",SUMPRODUCT('Staging Table'!L121:AI121,LS_Demand_Rates_Restatement!$C$4:$Z$4)-IF(Init!$R$15="No",('Staging Table'!BH121*Rates_previous!$H$34), 0),SUMPRODUCT('Staging Table'!BZ121:CW121,LS_Demand_Rates_Restatement!$C$4:$Z$4)-IF(Init!$R$15="No", 'Staging Table'!DV121*Rates_previous!$H$34, 0))</f>
        <v>-88103.13187022788</v>
      </c>
      <c r="G119" s="251">
        <f>IF(Init!$R$9="Yes",SUMPRODUCT('Staging Table'!AJ121:AU121,LS_Demand_Rates_Restatement!$C$10:$N$10),SUMPRODUCT(LS_Demand_Rates_Restatement!$C$10:$N$10,'Staging Table'!CX121:DI121))*1000</f>
        <v>302703.29000000004</v>
      </c>
      <c r="H119" s="252">
        <f>IF(Init!$R$9="Yes",'Staging Table'!BR121,'Staging Table'!EF121)*IF(Init!$R$3=2018,Rates_previous!$C$88,Rates_previous!$D$88)</f>
        <v>0</v>
      </c>
      <c r="I119" s="250">
        <f>IF(Init!$R$9="Yes",IF('Staging Table'!$F$1=2018,(SUM('Staging Table'!BD121:BG121)*Rates_previous!$C$87),(SUM('Staging Table'!BD121:BG121)*Rates_previous!$D$87)),IF('Staging Table'!$F$1=2018,(SUM('Staging Table'!DR121:DU121)*Rates_previous!$C$87),(SUM('Staging Table'!DR121:DU121)*Rates_previous!$D$87)))</f>
        <v>59455.832935350882</v>
      </c>
      <c r="J119" s="252">
        <f>IF(Init!$R$9="Yes",IF('Staging Table'!D121=1,'Staging Table'!H121*-1*'Staging Table'!BT121/'Staging Table'!BS121,'Staging Table'!H121*SUM(D119:I119)*(-1)),IF('Staging Table'!D121=1,'Staging Table'!BV121*-1*'Staging Table'!BT121/'Staging Table'!BS121,'Staging Table'!BV121*SUM(D119:I119)*(-1)))</f>
        <v>-398209.89903942082</v>
      </c>
      <c r="K119" s="250">
        <f>IF(Init!$R$9="Yes",'Staging Table'!K121,'Staging Table'!BY121)*(-1)*Rates_previous!$H$32</f>
        <v>-520616.99927999999</v>
      </c>
      <c r="L119" s="250">
        <f>IF(Init!$R$12="No",0,'Staging Table'!$BI121*-1)*('Staging Table'!$F121/'Staging Table'!$E121)</f>
        <v>-312630.8585849707</v>
      </c>
      <c r="M119" s="250">
        <f>IF('Staging Table'!C121=1,"",SUM(D119:L119))</f>
        <v>8337376.2786407284</v>
      </c>
      <c r="N119" s="250">
        <f>IF('Staging Table'!C121=1,"",IF(Init!$R$9="Yes",(RT1SC!$C$3*'Staging Table'!F121*'Staging Table'!$F$2)+SUM('Staging Table'!L121:AI121)-IF(Init!$R$15="No",'Staging Table'!BH121, 0),Z119))</f>
        <v>258384.96</v>
      </c>
      <c r="O119" s="126">
        <f>IF('Staging Table'!C121=1,"",IF(N119=0, 0, M119/N119))</f>
        <v>32.267266169984232</v>
      </c>
      <c r="P119" s="250">
        <f>'Staging Table'!BT121*Rates_current!$E$74*100*12</f>
        <v>10088461.64928</v>
      </c>
      <c r="Q119" s="250">
        <f>'Staging Table'!BT121*Rates_current!$E$75*100*12</f>
        <v>-1020611.2224000001</v>
      </c>
      <c r="R119" s="251">
        <f>SUMPRODUCT('Staging Table'!BZ121:CW121, LS_Demand_Rates_Restatement!$C$5:$Z$5)-IF(Init!$R$15="No",('Staging Table'!DV121*Rates_current!$H$34), 0)</f>
        <v>-126117.66999999988</v>
      </c>
      <c r="S119" s="251">
        <f>SUMPRODUCT('Staging Table'!CX121:DI121, LS_Demand_Rates_Restatement!$C$11:$N$11)*1000</f>
        <v>319269.20999999996</v>
      </c>
      <c r="T119" s="252">
        <f>'Staging Table'!EF121*IF(Init!$R$18="Yes",IF(Init!$R$6=2020,Rates_current!$C$88,Rates_current!$D$88),Rates_current!$H$33)</f>
        <v>0</v>
      </c>
      <c r="U119" s="252">
        <f>IF(Init!$R$18="Yes",(SUM('Staging Table'!DL121:DU121)*IF('Staging Table'!$BT$1=2020, Rates_current!$C$87, Rates_current!$D$87)),0)</f>
        <v>176111.03906023523</v>
      </c>
      <c r="V119" s="252">
        <f>IF('Staging Table'!D121=1, 'Staging Table'!BV121*-1*'Staging Table'!BT121/'Staging Table'!BS121,SUM(P119:U119)*'Staging Table'!BV121*-1)</f>
        <v>-339872.9063524346</v>
      </c>
      <c r="W119" s="250">
        <f>'Staging Table'!BY121*Rates_current!$H$32*-1</f>
        <v>-491841.39982999995</v>
      </c>
      <c r="X119" s="250">
        <f>IF(Init!$R$12="No",0,'Staging Table'!$DW121*-1)</f>
        <v>0</v>
      </c>
      <c r="Y119" s="250">
        <f>IF('Staging Table'!C121=1,"", SUM(P119:X119))</f>
        <v>8605398.6997578014</v>
      </c>
      <c r="Z119" s="250">
        <f>IF('Staging Table'!C121=1,"", (RT1SC!$C$4*'Staging Table'!BT121*'Staging Table'!$BT$2)+SUM('Staging Table'!BZ121:CW121)-IF(Init!$R$15="No",'Staging Table'!DV121, 0))</f>
        <v>261916.2247542784</v>
      </c>
      <c r="AA119" s="126">
        <f>IF('Staging Table'!C121=1,"",IF(Z119=0, 0, Y119/Z119))</f>
        <v>32.855538857247645</v>
      </c>
      <c r="AB119" s="118">
        <f ca="1">IF('Staging Table'!C121=1,"",(AA119/O119-1)+(RAND()/100000000000000))</f>
        <v>1.8231252817155558E-2</v>
      </c>
      <c r="AC119" s="79">
        <f t="shared" ca="1" si="1"/>
        <v>65</v>
      </c>
      <c r="AF119" s="255"/>
      <c r="AG119" s="255"/>
      <c r="AI119" s="255"/>
      <c r="AJ119" s="255"/>
    </row>
    <row r="120" spans="2:36">
      <c r="B120" s="166">
        <v>10406</v>
      </c>
      <c r="C120" s="167" t="s">
        <v>123</v>
      </c>
      <c r="D120" s="250">
        <f>IF(Init!$R$9="Yes",'Staging Table'!F122,'Staging Table'!BT122)*Rates_previous!$E$75*100*12</f>
        <v>165347.96256000001</v>
      </c>
      <c r="E120" s="250">
        <f>IF(Init!$R$9="Yes",'Staging Table'!F122,'Staging Table'!BT122)*Rates_previous!$E$76*100*12</f>
        <v>-23317.661399999997</v>
      </c>
      <c r="F120" s="251">
        <f>IF(Init!$R$9="Yes",SUMPRODUCT('Staging Table'!L122:AI122,LS_Demand_Rates_Restatement!$C$4:$Z$4)-IF(Init!$R$15="No",('Staging Table'!BH122*Rates_previous!$H$34), 0),SUMPRODUCT('Staging Table'!BZ122:CW122,LS_Demand_Rates_Restatement!$C$4:$Z$4)-IF(Init!$R$15="No", 'Staging Table'!DV122*Rates_previous!$H$34, 0))</f>
        <v>3613.993604554089</v>
      </c>
      <c r="G120" s="251">
        <f>IF(Init!$R$9="Yes",SUMPRODUCT('Staging Table'!AJ122:AU122,LS_Demand_Rates_Restatement!$C$10:$N$10),SUMPRODUCT(LS_Demand_Rates_Restatement!$C$10:$N$10,'Staging Table'!CX122:DI122))*1000</f>
        <v>9233.1899999999987</v>
      </c>
      <c r="H120" s="252">
        <f>IF(Init!$R$9="Yes",'Staging Table'!BR122,'Staging Table'!EF122)*IF(Init!$R$3=2018,Rates_previous!$C$88,Rates_previous!$D$88)</f>
        <v>0</v>
      </c>
      <c r="I120" s="250">
        <f>IF(Init!$R$9="Yes",IF('Staging Table'!$F$1=2018,(SUM('Staging Table'!BD122:BG122)*Rates_previous!$C$87),(SUM('Staging Table'!BD122:BG122)*Rates_previous!$D$87)),IF('Staging Table'!$F$1=2018,(SUM('Staging Table'!DR122:DU122)*Rates_previous!$C$87),(SUM('Staging Table'!DR122:DU122)*Rates_previous!$D$87)))</f>
        <v>908.52409999629708</v>
      </c>
      <c r="J120" s="252">
        <f>IF(Init!$R$9="Yes",IF('Staging Table'!D122=1,'Staging Table'!H122*-1*'Staging Table'!BT122/'Staging Table'!BS122,'Staging Table'!H122*SUM(D120:I120)*(-1)),IF('Staging Table'!D122=1,'Staging Table'!BV122*-1*'Staging Table'!BT122/'Staging Table'!BS122,'Staging Table'!BV122*SUM(D120:I120)*(-1)))</f>
        <v>0</v>
      </c>
      <c r="K120" s="250">
        <f>IF(Init!$R$9="Yes",'Staging Table'!K122,'Staging Table'!BY122)*(-1)*Rates_previous!$H$32</f>
        <v>0</v>
      </c>
      <c r="L120" s="250">
        <f>IF(Init!$R$12="No",0,'Staging Table'!$BI122*-1)*('Staging Table'!$F122/'Staging Table'!$E122)</f>
        <v>-5878.7207440806742</v>
      </c>
      <c r="M120" s="250">
        <f>IF('Staging Table'!C122=1,"",SUM(D120:L120))</f>
        <v>149907.28812046975</v>
      </c>
      <c r="N120" s="250">
        <f>IF('Staging Table'!C122=1,"",IF(Init!$R$9="Yes",(RT1SC!$C$3*'Staging Table'!F122*'Staging Table'!$F$2)+SUM('Staging Table'!L122:AI122)-IF(Init!$R$15="No",'Staging Table'!BH122, 0),Z120))</f>
        <v>3950.76</v>
      </c>
      <c r="O120" s="126">
        <f>IF('Staging Table'!C122=1,"",IF(N120=0, 0, M120/N120))</f>
        <v>37.943911581688013</v>
      </c>
      <c r="P120" s="250">
        <f>'Staging Table'!BT122*Rates_current!$E$74*100*12</f>
        <v>154245.46764000002</v>
      </c>
      <c r="Q120" s="250">
        <f>'Staging Table'!BT122*Rates_current!$E$75*100*12</f>
        <v>-15604.426200000002</v>
      </c>
      <c r="R120" s="251">
        <f>SUMPRODUCT('Staging Table'!BZ122:CW122, LS_Demand_Rates_Restatement!$C$5:$Z$5)-IF(Init!$R$15="No",('Staging Table'!DV122*Rates_current!$H$34), 0)</f>
        <v>3842.3895661485985</v>
      </c>
      <c r="S120" s="251">
        <f>SUMPRODUCT('Staging Table'!CX122:DI122, LS_Demand_Rates_Restatement!$C$11:$N$11)*1000</f>
        <v>10182.320000000002</v>
      </c>
      <c r="T120" s="252">
        <f>'Staging Table'!EF122*IF(Init!$R$18="Yes",IF(Init!$R$6=2020,Rates_current!$C$88,Rates_current!$D$88),Rates_current!$H$33)</f>
        <v>0</v>
      </c>
      <c r="U120" s="252">
        <f>IF(Init!$R$18="Yes",(SUM('Staging Table'!DL122:DU122)*IF('Staging Table'!$BT$1=2020, Rates_current!$C$87, Rates_current!$D$87)),0)</f>
        <v>2692.6136531778343</v>
      </c>
      <c r="V120" s="252">
        <f>IF('Staging Table'!D122=1, 'Staging Table'!BV122*-1*'Staging Table'!BT122/'Staging Table'!BS122,SUM(P120:U120)*'Staging Table'!BV122*-1)</f>
        <v>0</v>
      </c>
      <c r="W120" s="250">
        <f>'Staging Table'!BY122*Rates_current!$H$32*-1</f>
        <v>0</v>
      </c>
      <c r="X120" s="250">
        <f>IF(Init!$R$12="No",0,'Staging Table'!$DW122*-1)</f>
        <v>0</v>
      </c>
      <c r="Y120" s="250">
        <f>IF('Staging Table'!C122=1,"", SUM(P120:X120))</f>
        <v>155358.36465932644</v>
      </c>
      <c r="Z120" s="250">
        <f>IF('Staging Table'!C122=1,"", (RT1SC!$C$4*'Staging Table'!BT122*'Staging Table'!$BT$2)+SUM('Staging Table'!BZ122:CW122)-IF(Init!$R$15="No",'Staging Table'!DV122, 0))</f>
        <v>4005.5040000000004</v>
      </c>
      <c r="AA120" s="126">
        <f>IF('Staging Table'!C122=1,"",IF(Z120=0, 0, Y120/Z120))</f>
        <v>38.786221324289386</v>
      </c>
      <c r="AB120" s="118">
        <f ca="1">IF('Staging Table'!C122=1,"",(AA120/O120-1)+(RAND()/100000000000000))</f>
        <v>2.2198811548148744E-2</v>
      </c>
      <c r="AC120" s="79">
        <f t="shared" ca="1" si="1"/>
        <v>47</v>
      </c>
      <c r="AF120" s="255"/>
      <c r="AG120" s="255"/>
      <c r="AI120" s="255"/>
      <c r="AJ120" s="255"/>
    </row>
    <row r="121" spans="2:36">
      <c r="B121" s="166">
        <v>10408</v>
      </c>
      <c r="C121" s="167" t="s">
        <v>124</v>
      </c>
      <c r="D121" s="250">
        <f>IF(Init!$R$9="Yes",'Staging Table'!F123,'Staging Table'!BT123)*Rates_previous!$E$75*100*12</f>
        <v>529419.20832000009</v>
      </c>
      <c r="E121" s="250">
        <f>IF(Init!$R$9="Yes",'Staging Table'!F123,'Staging Table'!BT123)*Rates_previous!$E$76*100*12</f>
        <v>-74659.630799999999</v>
      </c>
      <c r="F121" s="251">
        <f>IF(Init!$R$9="Yes",SUMPRODUCT('Staging Table'!L123:AI123,LS_Demand_Rates_Restatement!$C$4:$Z$4)-IF(Init!$R$15="No",('Staging Table'!BH123*Rates_previous!$H$34), 0),SUMPRODUCT('Staging Table'!BZ123:CW123,LS_Demand_Rates_Restatement!$C$4:$Z$4)-IF(Init!$R$15="No", 'Staging Table'!DV123*Rates_previous!$H$34, 0))</f>
        <v>10615.296874365718</v>
      </c>
      <c r="G121" s="251">
        <f>IF(Init!$R$9="Yes",SUMPRODUCT('Staging Table'!AJ123:AU123,LS_Demand_Rates_Restatement!$C$10:$N$10),SUMPRODUCT(LS_Demand_Rates_Restatement!$C$10:$N$10,'Staging Table'!CX123:DI123))*1000</f>
        <v>24749.62</v>
      </c>
      <c r="H121" s="252">
        <f>IF(Init!$R$9="Yes",'Staging Table'!BR123,'Staging Table'!EF123)*IF(Init!$R$3=2018,Rates_previous!$C$88,Rates_previous!$D$88)</f>
        <v>6822.2879999999814</v>
      </c>
      <c r="I121" s="250">
        <f>IF(Init!$R$9="Yes",IF('Staging Table'!$F$1=2018,(SUM('Staging Table'!BD123:BG123)*Rates_previous!$C$87),(SUM('Staging Table'!BD123:BG123)*Rates_previous!$D$87)),IF('Staging Table'!$F$1=2018,(SUM('Staging Table'!DR123:DU123)*Rates_previous!$C$87),(SUM('Staging Table'!DR123:DU123)*Rates_previous!$D$87)))</f>
        <v>2908.956979649161</v>
      </c>
      <c r="J121" s="252">
        <f>IF(Init!$R$9="Yes",IF('Staging Table'!D123=1,'Staging Table'!H123*-1*'Staging Table'!BT123/'Staging Table'!BS123,'Staging Table'!H123*SUM(D121:I121)*(-1)),IF('Staging Table'!D123=1,'Staging Table'!BV123*-1*'Staging Table'!BT123/'Staging Table'!BS123,'Staging Table'!BV123*SUM(D121:I121)*(-1)))</f>
        <v>0</v>
      </c>
      <c r="K121" s="250">
        <f>IF(Init!$R$9="Yes",'Staging Table'!K123,'Staging Table'!BY123)*(-1)*Rates_previous!$H$32</f>
        <v>0</v>
      </c>
      <c r="L121" s="250">
        <f>IF(Init!$R$12="No",0,'Staging Table'!$BI123*-1)*('Staging Table'!$F123/'Staging Table'!$E123)</f>
        <v>-19025.561523599932</v>
      </c>
      <c r="M121" s="250">
        <f>IF('Staging Table'!C123=1,"",SUM(D121:L121))</f>
        <v>480830.177850415</v>
      </c>
      <c r="N121" s="250">
        <f>IF('Staging Table'!C123=1,"",IF(Init!$R$9="Yes",(RT1SC!$C$3*'Staging Table'!F123*'Staging Table'!$F$2)+SUM('Staging Table'!L123:AI123)-IF(Init!$R$15="No",'Staging Table'!BH123, 0),Z121))</f>
        <v>13166.279999999999</v>
      </c>
      <c r="O121" s="126">
        <f>IF('Staging Table'!C123=1,"",IF(N121=0, 0, M121/N121))</f>
        <v>36.519820165636389</v>
      </c>
      <c r="P121" s="250">
        <f>'Staging Table'!BT123*Rates_current!$E$74*100*12</f>
        <v>502664.35140000004</v>
      </c>
      <c r="Q121" s="250">
        <f>'Staging Table'!BT123*Rates_current!$E$75*100*12</f>
        <v>-50852.637000000002</v>
      </c>
      <c r="R121" s="251">
        <f>SUMPRODUCT('Staging Table'!BZ123:CW123, LS_Demand_Rates_Restatement!$C$5:$Z$5)-IF(Init!$R$15="No",('Staging Table'!DV123*Rates_current!$H$34), 0)</f>
        <v>3840.1368256460773</v>
      </c>
      <c r="S121" s="251">
        <f>SUMPRODUCT('Staging Table'!CX123:DI123, LS_Demand_Rates_Restatement!$C$11:$N$11)*1000</f>
        <v>27032.11</v>
      </c>
      <c r="T121" s="252">
        <f>'Staging Table'!EF123*IF(Init!$R$18="Yes",IF(Init!$R$6=2020,Rates_current!$C$88,Rates_current!$D$88),Rates_current!$H$33)</f>
        <v>4600.2686399999902</v>
      </c>
      <c r="U121" s="252">
        <f>IF(Init!$R$18="Yes",(SUM('Staging Table'!DL123:DU123)*IF('Staging Table'!$BT$1=2020, Rates_current!$C$87, Rates_current!$D$87)),0)</f>
        <v>8774.8503489539562</v>
      </c>
      <c r="V121" s="252">
        <f>IF('Staging Table'!D123=1, 'Staging Table'!BV123*-1*'Staging Table'!BT123/'Staging Table'!BS123,SUM(P121:U121)*'Staging Table'!BV123*-1)</f>
        <v>0</v>
      </c>
      <c r="W121" s="250">
        <f>'Staging Table'!BY123*Rates_current!$H$32*-1</f>
        <v>0</v>
      </c>
      <c r="X121" s="250">
        <f>IF(Init!$R$12="No",0,'Staging Table'!$DW123*-1)</f>
        <v>0</v>
      </c>
      <c r="Y121" s="250">
        <f>IF('Staging Table'!C123=1,"", SUM(P121:X121))</f>
        <v>496059.08021460008</v>
      </c>
      <c r="Z121" s="250">
        <f>IF('Staging Table'!C123=1,"", (RT1SC!$C$4*'Staging Table'!BT123*'Staging Table'!$BT$2)+SUM('Staging Table'!BZ123:CW123)-IF(Init!$R$15="No",'Staging Table'!DV123, 0))</f>
        <v>13342.895999999999</v>
      </c>
      <c r="AA121" s="126">
        <f>IF('Staging Table'!C123=1,"",IF(Z121=0, 0, Y121/Z121))</f>
        <v>37.177767121515458</v>
      </c>
      <c r="AB121" s="118">
        <f ca="1">IF('Staging Table'!C123=1,"",(AA121/O121-1)+(RAND()/100000000000000))</f>
        <v>1.8016160892773678E-2</v>
      </c>
      <c r="AC121" s="79">
        <f t="shared" ca="1" si="1"/>
        <v>67</v>
      </c>
      <c r="AF121" s="255"/>
      <c r="AG121" s="255"/>
      <c r="AI121" s="255"/>
      <c r="AJ121" s="255"/>
    </row>
    <row r="122" spans="2:36">
      <c r="B122" s="166">
        <v>10409</v>
      </c>
      <c r="C122" s="167" t="s">
        <v>125</v>
      </c>
      <c r="D122" s="250">
        <f>IF(Init!$R$9="Yes",'Staging Table'!F124,'Staging Table'!BT124)*Rates_previous!$E$75*100*12</f>
        <v>7139006.5622399999</v>
      </c>
      <c r="E122" s="250">
        <f>IF(Init!$R$9="Yes",'Staging Table'!F124,'Staging Table'!BT124)*Rates_previous!$E$76*100*12</f>
        <v>-1006755.3006</v>
      </c>
      <c r="F122" s="251">
        <f>IF(Init!$R$9="Yes",SUMPRODUCT('Staging Table'!L124:AI124,LS_Demand_Rates_Restatement!$C$4:$Z$4)-IF(Init!$R$15="No",('Staging Table'!BH124*Rates_previous!$H$34), 0),SUMPRODUCT('Staging Table'!BZ124:CW124,LS_Demand_Rates_Restatement!$C$4:$Z$4)-IF(Init!$R$15="No", 'Staging Table'!DV124*Rates_previous!$H$34, 0))</f>
        <v>87270.090000000055</v>
      </c>
      <c r="G122" s="251">
        <f>IF(Init!$R$9="Yes",SUMPRODUCT('Staging Table'!AJ124:AU124,LS_Demand_Rates_Restatement!$C$10:$N$10),SUMPRODUCT(LS_Demand_Rates_Restatement!$C$10:$N$10,'Staging Table'!CX124:DI124))*1000</f>
        <v>79749.41</v>
      </c>
      <c r="H122" s="252">
        <f>IF(Init!$R$9="Yes",'Staging Table'!BR124,'Staging Table'!EF124)*IF(Init!$R$3=2018,Rates_previous!$C$88,Rates_previous!$D$88)</f>
        <v>20967.114173707585</v>
      </c>
      <c r="I122" s="250">
        <f>IF(Init!$R$9="Yes",IF('Staging Table'!$F$1=2018,(SUM('Staging Table'!BD124:BG124)*Rates_previous!$C$87),(SUM('Staging Table'!BD124:BG124)*Rates_previous!$D$87)),IF('Staging Table'!$F$1=2018,(SUM('Staging Table'!DR124:DU124)*Rates_previous!$C$87),(SUM('Staging Table'!DR124:DU124)*Rates_previous!$D$87)))</f>
        <v>39226.122967636737</v>
      </c>
      <c r="J122" s="252">
        <f>IF(Init!$R$9="Yes",IF('Staging Table'!D124=1,'Staging Table'!H124*-1*'Staging Table'!BT124/'Staging Table'!BS124,'Staging Table'!H124*SUM(D122:I122)*(-1)),IF('Staging Table'!D124=1,'Staging Table'!BV124*-1*'Staging Table'!BT124/'Staging Table'!BS124,'Staging Table'!BV124*SUM(D122:I122)*(-1)))</f>
        <v>0</v>
      </c>
      <c r="K122" s="250">
        <f>IF(Init!$R$9="Yes",'Staging Table'!K124,'Staging Table'!BY124)*(-1)*Rates_previous!$H$32</f>
        <v>0</v>
      </c>
      <c r="L122" s="250">
        <f>IF(Init!$R$12="No",0,'Staging Table'!$BI124*-1)*('Staging Table'!$F124/'Staging Table'!$E124)</f>
        <v>-262699.15804798278</v>
      </c>
      <c r="M122" s="250">
        <f>IF('Staging Table'!C124=1,"",SUM(D122:L122))</f>
        <v>6096764.8407333624</v>
      </c>
      <c r="N122" s="250">
        <f>IF('Staging Table'!C124=1,"",IF(Init!$R$9="Yes",(RT1SC!$C$3*'Staging Table'!F124*'Staging Table'!$F$2)+SUM('Staging Table'!L124:AI124)-IF(Init!$R$15="No",'Staging Table'!BH124, 0),Z122))</f>
        <v>172084.940075016</v>
      </c>
      <c r="O122" s="126">
        <f>IF('Staging Table'!C124=1,"",IF(N122=0, 0, M122/N122))</f>
        <v>35.42881113289539</v>
      </c>
      <c r="P122" s="250">
        <f>'Staging Table'!BT124*Rates_current!$E$74*100*12</f>
        <v>6601896.1480800007</v>
      </c>
      <c r="Q122" s="250">
        <f>'Staging Table'!BT124*Rates_current!$E$75*100*12</f>
        <v>-667888.6764</v>
      </c>
      <c r="R122" s="251">
        <f>SUMPRODUCT('Staging Table'!BZ124:CW124, LS_Demand_Rates_Restatement!$C$5:$Z$5)-IF(Init!$R$15="No",('Staging Table'!DV124*Rates_current!$H$34), 0)</f>
        <v>71281.72</v>
      </c>
      <c r="S122" s="251">
        <f>SUMPRODUCT('Staging Table'!CX124:DI124, LS_Demand_Rates_Restatement!$C$11:$N$11)*1000</f>
        <v>90874.349999999991</v>
      </c>
      <c r="T122" s="252">
        <f>'Staging Table'!EF124*IF(Init!$R$18="Yes",IF(Init!$R$6=2020,Rates_current!$C$88,Rates_current!$D$88),Rates_current!$H$33)</f>
        <v>10780.046397861448</v>
      </c>
      <c r="U122" s="252">
        <f>IF(Init!$R$18="Yes",(SUM('Staging Table'!DL124:DU124)*IF('Staging Table'!$BT$1=2020, Rates_current!$C$87, Rates_current!$D$87)),0)</f>
        <v>115247.18344834184</v>
      </c>
      <c r="V122" s="252">
        <f>IF('Staging Table'!D124=1, 'Staging Table'!BV124*-1*'Staging Table'!BT124/'Staging Table'!BS124,SUM(P122:U122)*'Staging Table'!BV124*-1)</f>
        <v>0</v>
      </c>
      <c r="W122" s="250">
        <f>'Staging Table'!BY124*Rates_current!$H$32*-1</f>
        <v>0</v>
      </c>
      <c r="X122" s="250">
        <f>IF(Init!$R$12="No",0,'Staging Table'!$DW124*-1)</f>
        <v>0</v>
      </c>
      <c r="Y122" s="250">
        <f>IF('Staging Table'!C124=1,"", SUM(P122:X122))</f>
        <v>6222190.7715262026</v>
      </c>
      <c r="Z122" s="250">
        <f>IF('Staging Table'!C124=1,"", (RT1SC!$C$4*'Staging Table'!BT124*'Staging Table'!$BT$2)+SUM('Staging Table'!BZ124:CW124)-IF(Init!$R$15="No",'Staging Table'!DV124, 0))</f>
        <v>172081.46398474238</v>
      </c>
      <c r="AA122" s="126">
        <f>IF('Staging Table'!C124=1,"",IF(Z122=0, 0, Y122/Z122))</f>
        <v>36.158402116324936</v>
      </c>
      <c r="AB122" s="118">
        <f ca="1">IF('Staging Table'!C124=1,"",(AA122/O122-1)+(RAND()/100000000000000))</f>
        <v>2.0593154556978511E-2</v>
      </c>
      <c r="AC122" s="79">
        <f t="shared" ca="1" si="1"/>
        <v>54</v>
      </c>
      <c r="AF122" s="255"/>
      <c r="AG122" s="255"/>
      <c r="AI122" s="255"/>
      <c r="AJ122" s="255"/>
    </row>
    <row r="123" spans="2:36">
      <c r="B123" s="166">
        <v>10426</v>
      </c>
      <c r="C123" s="167" t="s">
        <v>126</v>
      </c>
      <c r="D123" s="250">
        <f>IF(Init!$R$9="Yes",'Staging Table'!F125,'Staging Table'!BT125)*Rates_previous!$E$75*100*12</f>
        <v>6644491.3151999991</v>
      </c>
      <c r="E123" s="250">
        <f>IF(Init!$R$9="Yes",'Staging Table'!F125,'Staging Table'!BT125)*Rates_previous!$E$76*100*12</f>
        <v>-937017.88800000004</v>
      </c>
      <c r="F123" s="251">
        <f>IF(Init!$R$9="Yes",SUMPRODUCT('Staging Table'!L125:AI125,LS_Demand_Rates_Restatement!$C$4:$Z$4)-IF(Init!$R$15="No",('Staging Table'!BH125*Rates_previous!$H$34), 0),SUMPRODUCT('Staging Table'!BZ125:CW125,LS_Demand_Rates_Restatement!$C$4:$Z$4)-IF(Init!$R$15="No", 'Staging Table'!DV125*Rates_previous!$H$34, 0))</f>
        <v>2591685.0999999996</v>
      </c>
      <c r="G123" s="251">
        <f>IF(Init!$R$9="Yes",SUMPRODUCT('Staging Table'!AJ125:AU125,LS_Demand_Rates_Restatement!$C$10:$N$10),SUMPRODUCT(LS_Demand_Rates_Restatement!$C$10:$N$10,'Staging Table'!CX125:DI125))*1000</f>
        <v>0</v>
      </c>
      <c r="H123" s="252">
        <f>IF(Init!$R$9="Yes",'Staging Table'!BR125,'Staging Table'!EF125)*IF(Init!$R$3=2018,Rates_previous!$C$88,Rates_previous!$D$88)</f>
        <v>1410814.2072017665</v>
      </c>
      <c r="I123" s="250">
        <f>IF(Init!$R$9="Yes",IF('Staging Table'!$F$1=2018,(SUM('Staging Table'!BD125:BG125)*Rates_previous!$C$87),(SUM('Staging Table'!BD125:BG125)*Rates_previous!$D$87)),IF('Staging Table'!$F$1=2018,(SUM('Staging Table'!DR125:DU125)*Rates_previous!$C$87),(SUM('Staging Table'!DR125:DU125)*Rates_previous!$D$87)))</f>
        <v>36508.949965952896</v>
      </c>
      <c r="J123" s="252">
        <f>IF(Init!$R$9="Yes",IF('Staging Table'!D125=1,'Staging Table'!H125*-1*'Staging Table'!BT125/'Staging Table'!BS125,'Staging Table'!H125*SUM(D123:I123)*(-1)),IF('Staging Table'!D125=1,'Staging Table'!BV125*-1*'Staging Table'!BT125/'Staging Table'!BS125,'Staging Table'!BV125*SUM(D123:I123)*(-1)))</f>
        <v>0</v>
      </c>
      <c r="K123" s="250">
        <f>IF(Init!$R$9="Yes",'Staging Table'!K125,'Staging Table'!BY125)*(-1)*Rates_previous!$H$32</f>
        <v>0</v>
      </c>
      <c r="L123" s="250">
        <f>IF(Init!$R$12="No",0,'Staging Table'!$BI125*-1)*('Staging Table'!$F125/'Staging Table'!$E125)</f>
        <v>-296839.31229325075</v>
      </c>
      <c r="M123" s="250">
        <f>IF('Staging Table'!C125=1,"",SUM(D123:L123))</f>
        <v>9449642.3720744662</v>
      </c>
      <c r="N123" s="250">
        <f>IF('Staging Table'!C125=1,"",IF(Init!$R$9="Yes",(RT1SC!$C$3*'Staging Table'!F125*'Staging Table'!$F$2)+SUM('Staging Table'!L125:AI125)-IF(Init!$R$15="No",'Staging Table'!BH125, 0),Z123))</f>
        <v>267352.50730368</v>
      </c>
      <c r="O123" s="126">
        <f>IF('Staging Table'!C125=1,"",IF(N123=0, 0, M123/N123))</f>
        <v>35.345254351180699</v>
      </c>
      <c r="P123" s="250">
        <f>'Staging Table'!BT125*Rates_current!$E$74*100*12</f>
        <v>10346329.649879999</v>
      </c>
      <c r="Q123" s="250">
        <f>'Staging Table'!BT125*Rates_current!$E$75*100*12</f>
        <v>-1046698.7453999999</v>
      </c>
      <c r="R123" s="251">
        <f>SUMPRODUCT('Staging Table'!BZ125:CW125, LS_Demand_Rates_Restatement!$C$5:$Z$5)-IF(Init!$R$15="No",('Staging Table'!DV125*Rates_current!$H$34), 0)</f>
        <v>56747.220000000023</v>
      </c>
      <c r="S123" s="251">
        <f>SUMPRODUCT('Staging Table'!CX125:DI125, LS_Demand_Rates_Restatement!$C$11:$N$11)*1000</f>
        <v>0</v>
      </c>
      <c r="T123" s="252">
        <f>'Staging Table'!EF125*IF(Init!$R$18="Yes",IF(Init!$R$6=2020,Rates_current!$C$88,Rates_current!$D$88),Rates_current!$H$33)</f>
        <v>-20054.692708932744</v>
      </c>
      <c r="U123" s="252">
        <f>IF(Init!$R$18="Yes",(SUM('Staging Table'!DL125:DU125)*IF('Staging Table'!$BT$1=2020, Rates_current!$C$87, Rates_current!$D$87)),0)</f>
        <v>180612.55803357571</v>
      </c>
      <c r="V123" s="252">
        <f>IF('Staging Table'!D125=1, 'Staging Table'!BV125*-1*'Staging Table'!BT125/'Staging Table'!BS125,SUM(P123:U123)*'Staging Table'!BV125*-1)</f>
        <v>0</v>
      </c>
      <c r="W123" s="250">
        <f>'Staging Table'!BY125*Rates_current!$H$32*-1</f>
        <v>0</v>
      </c>
      <c r="X123" s="250">
        <f>IF(Init!$R$12="No",0,'Staging Table'!$DW125*-1)</f>
        <v>0</v>
      </c>
      <c r="Y123" s="250">
        <f>IF('Staging Table'!C125=1,"", SUM(P123:X123))</f>
        <v>9516935.9898046441</v>
      </c>
      <c r="Z123" s="250">
        <f>IF('Staging Table'!C125=1,"", (RT1SC!$C$4*'Staging Table'!BT125*'Staging Table'!$BT$2)+SUM('Staging Table'!BZ125:CW125)-IF(Init!$R$15="No",'Staging Table'!DV125, 0))</f>
        <v>267351.03425904643</v>
      </c>
      <c r="AA123" s="126">
        <f>IF('Staging Table'!C125=1,"",IF(Z123=0, 0, Y123/Z123))</f>
        <v>35.597154191606116</v>
      </c>
      <c r="AB123" s="118">
        <f ca="1">IF('Staging Table'!C125=1,"",(AA123/O123-1)+(RAND()/100000000000000))</f>
        <v>7.1268362627351879E-3</v>
      </c>
      <c r="AC123" s="79">
        <f t="shared" ca="1" si="1"/>
        <v>88</v>
      </c>
      <c r="AF123" s="255"/>
      <c r="AG123" s="255"/>
      <c r="AI123" s="255"/>
      <c r="AJ123" s="255"/>
    </row>
    <row r="124" spans="2:36">
      <c r="B124" s="166">
        <v>10434</v>
      </c>
      <c r="C124" s="167" t="s">
        <v>127</v>
      </c>
      <c r="D124" s="250">
        <f>IF(Init!$R$9="Yes",'Staging Table'!F126,'Staging Table'!BT126)*Rates_previous!$E$75*100*12</f>
        <v>9802662.87744</v>
      </c>
      <c r="E124" s="250">
        <f>IF(Init!$R$9="Yes",'Staging Table'!F126,'Staging Table'!BT126)*Rates_previous!$E$76*100*12</f>
        <v>-1382388.8136000002</v>
      </c>
      <c r="F124" s="251">
        <f>IF(Init!$R$9="Yes",SUMPRODUCT('Staging Table'!L126:AI126,LS_Demand_Rates_Restatement!$C$4:$Z$4)-IF(Init!$R$15="No",('Staging Table'!BH126*Rates_previous!$H$34), 0),SUMPRODUCT('Staging Table'!BZ126:CW126,LS_Demand_Rates_Restatement!$C$4:$Z$4)-IF(Init!$R$15="No", 'Staging Table'!DV126*Rates_previous!$H$34, 0))</f>
        <v>-5118.0099999999384</v>
      </c>
      <c r="G124" s="251">
        <f>IF(Init!$R$9="Yes",SUMPRODUCT('Staging Table'!AJ126:AU126,LS_Demand_Rates_Restatement!$C$10:$N$10),SUMPRODUCT(LS_Demand_Rates_Restatement!$C$10:$N$10,'Staging Table'!CX126:DI126))*1000</f>
        <v>533892.98</v>
      </c>
      <c r="H124" s="252">
        <f>IF(Init!$R$9="Yes",'Staging Table'!BR126,'Staging Table'!EF126)*IF(Init!$R$3=2018,Rates_previous!$C$88,Rates_previous!$D$88)</f>
        <v>0</v>
      </c>
      <c r="I124" s="250">
        <f>IF(Init!$R$9="Yes",IF('Staging Table'!$F$1=2018,(SUM('Staging Table'!BD126:BG126)*Rates_previous!$C$87),(SUM('Staging Table'!BD126:BG126)*Rates_previous!$D$87)),IF('Staging Table'!$F$1=2018,(SUM('Staging Table'!DR126:DU126)*Rates_previous!$C$87),(SUM('Staging Table'!DR126:DU126)*Rates_previous!$D$87)))</f>
        <v>53861.90026418725</v>
      </c>
      <c r="J124" s="252">
        <f>IF(Init!$R$9="Yes",IF('Staging Table'!D126=1,'Staging Table'!H126*-1*'Staging Table'!BT126/'Staging Table'!BS126,'Staging Table'!H126*SUM(D124:I124)*(-1)),IF('Staging Table'!D126=1,'Staging Table'!BV126*-1*'Staging Table'!BT126/'Staging Table'!BS126,'Staging Table'!BV126*SUM(D124:I124)*(-1)))</f>
        <v>0</v>
      </c>
      <c r="K124" s="250">
        <f>IF(Init!$R$9="Yes",'Staging Table'!K126,'Staging Table'!BY126)*(-1)*Rates_previous!$H$32</f>
        <v>0</v>
      </c>
      <c r="L124" s="250">
        <f>IF(Init!$R$12="No",0,'Staging Table'!$BI126*-1)*('Staging Table'!$F126/'Staging Table'!$E126)</f>
        <v>-343118.60597261786</v>
      </c>
      <c r="M124" s="250">
        <f>IF('Staging Table'!C126=1,"",SUM(D124:L124))</f>
        <v>8659792.3281315695</v>
      </c>
      <c r="N124" s="250">
        <f>IF('Staging Table'!C126=1,"",IF(Init!$R$9="Yes",(RT1SC!$C$3*'Staging Table'!F126*'Staging Table'!$F$2)+SUM('Staging Table'!L126:AI126)-IF(Init!$R$15="No",'Staging Table'!BH126, 0),Z124))</f>
        <v>228699.86775369599</v>
      </c>
      <c r="O124" s="126">
        <f>IF('Staging Table'!C126=1,"",IF(N124=0, 0, M124/N124))</f>
        <v>37.865314104413685</v>
      </c>
      <c r="P124" s="250">
        <f>'Staging Table'!BT126*Rates_current!$E$74*100*12</f>
        <v>9139459.8738000002</v>
      </c>
      <c r="Q124" s="250">
        <f>'Staging Table'!BT126*Rates_current!$E$75*100*12</f>
        <v>-924604.32900000014</v>
      </c>
      <c r="R124" s="251">
        <f>SUMPRODUCT('Staging Table'!BZ126:CW126, LS_Demand_Rates_Restatement!$C$5:$Z$5)-IF(Init!$R$15="No",('Staging Table'!DV126*Rates_current!$H$34), 0)</f>
        <v>125109.95157646338</v>
      </c>
      <c r="S124" s="251">
        <f>SUMPRODUCT('Staging Table'!CX126:DI126, LS_Demand_Rates_Restatement!$C$11:$N$11)*1000</f>
        <v>591646.53</v>
      </c>
      <c r="T124" s="252">
        <f>'Staging Table'!EF126*IF(Init!$R$18="Yes",IF(Init!$R$6=2020,Rates_current!$C$88,Rates_current!$D$88),Rates_current!$H$33)</f>
        <v>0</v>
      </c>
      <c r="U124" s="252">
        <f>IF(Init!$R$18="Yes",(SUM('Staging Table'!DL126:DU126)*IF('Staging Table'!$BT$1=2020, Rates_current!$C$87, Rates_current!$D$87)),0)</f>
        <v>159544.61946525975</v>
      </c>
      <c r="V124" s="252">
        <f>IF('Staging Table'!D126=1, 'Staging Table'!BV126*-1*'Staging Table'!BT126/'Staging Table'!BS126,SUM(P124:U124)*'Staging Table'!BV126*-1)</f>
        <v>0</v>
      </c>
      <c r="W124" s="250">
        <f>'Staging Table'!BY126*Rates_current!$H$32*-1</f>
        <v>0</v>
      </c>
      <c r="X124" s="250">
        <f>IF(Init!$R$12="No",0,'Staging Table'!$DW126*-1)</f>
        <v>0</v>
      </c>
      <c r="Y124" s="250">
        <f>IF('Staging Table'!C126=1,"", SUM(P124:X124))</f>
        <v>9091156.6458417233</v>
      </c>
      <c r="Z124" s="250">
        <f>IF('Staging Table'!C126=1,"", (RT1SC!$C$4*'Staging Table'!BT126*'Staging Table'!$BT$2)+SUM('Staging Table'!BZ126:CW126)-IF(Init!$R$15="No",'Staging Table'!DV126, 0))</f>
        <v>237282.19200000001</v>
      </c>
      <c r="AA124" s="126">
        <f>IF('Staging Table'!C126=1,"",IF(Z124=0, 0, Y124/Z124))</f>
        <v>38.31369126024309</v>
      </c>
      <c r="AB124" s="118">
        <f ca="1">IF('Staging Table'!C126=1,"",(AA124/O124-1)+(RAND()/100000000000000))</f>
        <v>1.1841368979360868E-2</v>
      </c>
      <c r="AC124" s="79">
        <f t="shared" ca="1" si="1"/>
        <v>82</v>
      </c>
      <c r="AF124" s="255"/>
      <c r="AG124" s="255"/>
      <c r="AI124" s="255"/>
      <c r="AJ124" s="255"/>
    </row>
    <row r="125" spans="2:36">
      <c r="B125" s="166">
        <v>10436</v>
      </c>
      <c r="C125" s="167" t="s">
        <v>128</v>
      </c>
      <c r="D125" s="250">
        <f>IF(Init!$R$9="Yes",'Staging Table'!F127,'Staging Table'!BT127)*Rates_previous!$E$75*100*12</f>
        <v>6913277.2944000009</v>
      </c>
      <c r="E125" s="250">
        <f>IF(Init!$R$9="Yes",'Staging Table'!F127,'Staging Table'!BT127)*Rates_previous!$E$76*100*12</f>
        <v>-974922.5610000001</v>
      </c>
      <c r="F125" s="251">
        <f>IF(Init!$R$9="Yes",SUMPRODUCT('Staging Table'!L127:AI127,LS_Demand_Rates_Restatement!$C$4:$Z$4)-IF(Init!$R$15="No",('Staging Table'!BH127*Rates_previous!$H$34), 0),SUMPRODUCT('Staging Table'!BZ127:CW127,LS_Demand_Rates_Restatement!$C$4:$Z$4)-IF(Init!$R$15="No", 'Staging Table'!DV127*Rates_previous!$H$34, 0))</f>
        <v>-71155.464937481025</v>
      </c>
      <c r="G125" s="251">
        <f>IF(Init!$R$9="Yes",SUMPRODUCT('Staging Table'!AJ127:AU127,LS_Demand_Rates_Restatement!$C$10:$N$10),SUMPRODUCT(LS_Demand_Rates_Restatement!$C$10:$N$10,'Staging Table'!CX127:DI127))*1000</f>
        <v>403927.25</v>
      </c>
      <c r="H125" s="252">
        <f>IF(Init!$R$9="Yes",'Staging Table'!BR127,'Staging Table'!EF127)*IF(Init!$R$3=2018,Rates_previous!$C$88,Rates_previous!$D$88)</f>
        <v>0</v>
      </c>
      <c r="I125" s="250">
        <f>IF(Init!$R$9="Yes",IF('Staging Table'!$F$1=2018,(SUM('Staging Table'!BD127:BG127)*Rates_previous!$C$87),(SUM('Staging Table'!BD127:BG127)*Rates_previous!$D$87)),IF('Staging Table'!$F$1=2018,(SUM('Staging Table'!DR127:DU127)*Rates_previous!$C$87),(SUM('Staging Table'!DR127:DU127)*Rates_previous!$D$87)))</f>
        <v>37985.826584590941</v>
      </c>
      <c r="J125" s="252">
        <f>IF(Init!$R$9="Yes",IF('Staging Table'!D127=1,'Staging Table'!H127*-1*'Staging Table'!BT127/'Staging Table'!BS127,'Staging Table'!H127*SUM(D125:I125)*(-1)),IF('Staging Table'!D127=1,'Staging Table'!BV127*-1*'Staging Table'!BT127/'Staging Table'!BS127,'Staging Table'!BV127*SUM(D125:I125)*(-1)))</f>
        <v>-471939.89983532456</v>
      </c>
      <c r="K125" s="250">
        <f>IF(Init!$R$9="Yes",'Staging Table'!K127,'Staging Table'!BY127)*(-1)*Rates_previous!$H$32</f>
        <v>-457031.9140799999</v>
      </c>
      <c r="L125" s="250">
        <f>IF(Init!$R$12="No",0,'Staging Table'!$BI127*-1)*('Staging Table'!$F127/'Staging Table'!$E127)</f>
        <v>-107637.31305250706</v>
      </c>
      <c r="M125" s="250">
        <f>IF('Staging Table'!C127=1,"",SUM(D125:L125))</f>
        <v>5272503.2180792792</v>
      </c>
      <c r="N125" s="250">
        <f>IF('Staging Table'!C127=1,"",IF(Init!$R$9="Yes",(RT1SC!$C$3*'Staging Table'!F127*'Staging Table'!$F$2)+SUM('Staging Table'!L127:AI127)-IF(Init!$R$15="No",'Staging Table'!BH127, 0),Z125))</f>
        <v>165082.19999999998</v>
      </c>
      <c r="O125" s="126">
        <f>IF('Staging Table'!C127=1,"",IF(N125=0, 0, M125/N125))</f>
        <v>31.938653701484956</v>
      </c>
      <c r="P125" s="250">
        <f>'Staging Table'!BT127*Rates_current!$E$74*100*12</f>
        <v>6445749.3495599991</v>
      </c>
      <c r="Q125" s="250">
        <f>'Staging Table'!BT127*Rates_current!$E$75*100*12</f>
        <v>-652091.89980000001</v>
      </c>
      <c r="R125" s="251">
        <f>SUMPRODUCT('Staging Table'!BZ127:CW127, LS_Demand_Rates_Restatement!$C$5:$Z$5)-IF(Init!$R$15="No",('Staging Table'!DV127*Rates_current!$H$34), 0)</f>
        <v>-146122.18999999997</v>
      </c>
      <c r="S125" s="251">
        <f>SUMPRODUCT('Staging Table'!CX127:DI127, LS_Demand_Rates_Restatement!$C$11:$N$11)*1000</f>
        <v>438897.51</v>
      </c>
      <c r="T125" s="252">
        <f>'Staging Table'!EF127*IF(Init!$R$18="Yes",IF(Init!$R$6=2020,Rates_current!$C$88,Rates_current!$D$88),Rates_current!$H$33)</f>
        <v>0</v>
      </c>
      <c r="U125" s="252">
        <f>IF(Init!$R$18="Yes",(SUM('Staging Table'!DL127:DU127)*IF('Staging Table'!$BT$1=2020, Rates_current!$C$87, Rates_current!$D$87)),0)</f>
        <v>112521.37887185825</v>
      </c>
      <c r="V125" s="252">
        <f>IF('Staging Table'!D127=1, 'Staging Table'!BV127*-1*'Staging Table'!BT127/'Staging Table'!BS127,SUM(P125:U125)*'Staging Table'!BV127*-1)</f>
        <v>-480437.54338141478</v>
      </c>
      <c r="W125" s="250">
        <f>'Staging Table'!BY127*Rates_current!$H$32*-1</f>
        <v>-431770.7963799999</v>
      </c>
      <c r="X125" s="250">
        <f>IF(Init!$R$12="No",0,'Staging Table'!$DW127*-1)</f>
        <v>0</v>
      </c>
      <c r="Y125" s="250">
        <f>IF('Staging Table'!C127=1,"", SUM(P125:X125))</f>
        <v>5286745.8088704422</v>
      </c>
      <c r="Z125" s="250">
        <f>IF('Staging Table'!C127=1,"", (RT1SC!$C$4*'Staging Table'!BT127*'Staging Table'!$BT$2)+SUM('Staging Table'!BZ127:CW127)-IF(Init!$R$15="No",'Staging Table'!DV127, 0))</f>
        <v>164673.55629383677</v>
      </c>
      <c r="AA125" s="126">
        <f>IF('Staging Table'!C127=1,"",IF(Z125=0, 0, Y125/Z125))</f>
        <v>32.104400535547974</v>
      </c>
      <c r="AB125" s="118">
        <f ca="1">IF('Staging Table'!C127=1,"",(AA125/O125-1)+(RAND()/100000000000000))</f>
        <v>5.1895372801993604E-3</v>
      </c>
      <c r="AC125" s="79">
        <f t="shared" ca="1" si="1"/>
        <v>92</v>
      </c>
      <c r="AF125" s="255"/>
      <c r="AG125" s="255"/>
      <c r="AI125" s="255"/>
      <c r="AJ125" s="255"/>
    </row>
    <row r="126" spans="2:36">
      <c r="B126" s="166">
        <v>10440</v>
      </c>
      <c r="C126" s="167" t="s">
        <v>129</v>
      </c>
      <c r="D126" s="250">
        <f>IF(Init!$R$9="Yes",'Staging Table'!F128,'Staging Table'!BT128)*Rates_previous!$E$75*100*12</f>
        <v>1801248.2208</v>
      </c>
      <c r="E126" s="250">
        <f>IF(Init!$R$9="Yes",'Staging Table'!F128,'Staging Table'!BT128)*Rates_previous!$E$76*100*12</f>
        <v>-254015.20199999999</v>
      </c>
      <c r="F126" s="251">
        <f>IF(Init!$R$9="Yes",SUMPRODUCT('Staging Table'!L128:AI128,LS_Demand_Rates_Restatement!$C$4:$Z$4)-IF(Init!$R$15="No",('Staging Table'!BH128*Rates_previous!$H$34), 0),SUMPRODUCT('Staging Table'!BZ128:CW128,LS_Demand_Rates_Restatement!$C$4:$Z$4)-IF(Init!$R$15="No", 'Staging Table'!DV128*Rates_previous!$H$34, 0))</f>
        <v>37207.859612014596</v>
      </c>
      <c r="G126" s="251">
        <f>IF(Init!$R$9="Yes",SUMPRODUCT('Staging Table'!AJ128:AU128,LS_Demand_Rates_Restatement!$C$10:$N$10),SUMPRODUCT(LS_Demand_Rates_Restatement!$C$10:$N$10,'Staging Table'!CX128:DI128))*1000</f>
        <v>85599.29</v>
      </c>
      <c r="H126" s="252">
        <f>IF(Init!$R$9="Yes",'Staging Table'!BR128,'Staging Table'!EF128)*IF(Init!$R$3=2018,Rates_previous!$C$88,Rates_previous!$D$88)</f>
        <v>1705.572000000019</v>
      </c>
      <c r="I126" s="250">
        <f>IF(Init!$R$9="Yes",IF('Staging Table'!$F$1=2018,(SUM('Staging Table'!BD128:BG128)*Rates_previous!$C$87),(SUM('Staging Table'!BD128:BG128)*Rates_previous!$D$87)),IF('Staging Table'!$F$1=2018,(SUM('Staging Table'!DR128:DU128)*Rates_previous!$C$87),(SUM('Staging Table'!DR128:DU128)*Rates_previous!$D$87)))</f>
        <v>9897.1731694511855</v>
      </c>
      <c r="J126" s="252">
        <f>IF(Init!$R$9="Yes",IF('Staging Table'!D128=1,'Staging Table'!H128*-1*'Staging Table'!BT128/'Staging Table'!BS128,'Staging Table'!H128*SUM(D126:I126)*(-1)),IF('Staging Table'!D128=1,'Staging Table'!BV128*-1*'Staging Table'!BT128/'Staging Table'!BS128,'Staging Table'!BV128*SUM(D126:I126)*(-1)))</f>
        <v>-92490.360246980621</v>
      </c>
      <c r="K126" s="250">
        <f>IF(Init!$R$9="Yes",'Staging Table'!K128,'Staging Table'!BY128)*(-1)*Rates_previous!$H$32</f>
        <v>0</v>
      </c>
      <c r="L126" s="250">
        <f>IF(Init!$R$12="No",0,'Staging Table'!$BI128*-1)*('Staging Table'!$F128/'Staging Table'!$E128)</f>
        <v>-60562.174017080499</v>
      </c>
      <c r="M126" s="250">
        <f>IF('Staging Table'!C128=1,"",SUM(D126:L126))</f>
        <v>1528590.3793174047</v>
      </c>
      <c r="N126" s="250">
        <f>IF('Staging Table'!C128=1,"",IF(Init!$R$9="Yes",(RT1SC!$C$3*'Staging Table'!F128*'Staging Table'!$F$2)+SUM('Staging Table'!L128:AI128)-IF(Init!$R$15="No",'Staging Table'!BH128, 0),Z126))</f>
        <v>43143</v>
      </c>
      <c r="O126" s="126">
        <f>IF('Staging Table'!C128=1,"",IF(N126=0, 0, M126/N126))</f>
        <v>35.430785511378545</v>
      </c>
      <c r="P126" s="250">
        <f>'Staging Table'!BT128*Rates_current!$E$74*100*12</f>
        <v>1666278.8499599998</v>
      </c>
      <c r="Q126" s="250">
        <f>'Staging Table'!BT128*Rates_current!$E$75*100*12</f>
        <v>-168571.08179999999</v>
      </c>
      <c r="R126" s="251">
        <f>SUMPRODUCT('Staging Table'!BZ128:CW128, LS_Demand_Rates_Restatement!$C$5:$Z$5)-IF(Init!$R$15="No",('Staging Table'!DV128*Rates_current!$H$34), 0)</f>
        <v>38151.269999999982</v>
      </c>
      <c r="S126" s="251">
        <f>SUMPRODUCT('Staging Table'!CX128:DI128, LS_Demand_Rates_Restatement!$C$11:$N$11)*1000</f>
        <v>96807.65</v>
      </c>
      <c r="T126" s="252">
        <f>'Staging Table'!EF128*IF(Init!$R$18="Yes",IF(Init!$R$6=2020,Rates_current!$C$88,Rates_current!$D$88),Rates_current!$H$33)</f>
        <v>-15.980608364544823</v>
      </c>
      <c r="U126" s="252">
        <f>IF(Init!$R$18="Yes",(SUM('Staging Table'!DL128:DU128)*IF('Staging Table'!$BT$1=2020, Rates_current!$C$87, Rates_current!$D$87)),0)</f>
        <v>29087.69541206439</v>
      </c>
      <c r="V126" s="252">
        <f>IF('Staging Table'!D128=1, 'Staging Table'!BV128*-1*'Staging Table'!BT128/'Staging Table'!BS128,SUM(P126:U126)*'Staging Table'!BV128*-1)</f>
        <v>-91395.612163003476</v>
      </c>
      <c r="W126" s="250">
        <f>'Staging Table'!BY128*Rates_current!$H$32*-1</f>
        <v>0</v>
      </c>
      <c r="X126" s="250">
        <f>IF(Init!$R$12="No",0,'Staging Table'!$DW128*-1)</f>
        <v>0</v>
      </c>
      <c r="Y126" s="250">
        <f>IF('Staging Table'!C128=1,"", SUM(P126:X126))</f>
        <v>1570342.790800696</v>
      </c>
      <c r="Z126" s="250">
        <f>IF('Staging Table'!C128=1,"", (RT1SC!$C$4*'Staging Table'!BT128*'Staging Table'!$BT$2)+SUM('Staging Table'!BZ128:CW128)-IF(Init!$R$15="No",'Staging Table'!DV128, 0))</f>
        <v>43260.193030348797</v>
      </c>
      <c r="AA126" s="126">
        <f>IF('Staging Table'!C128=1,"",IF(Z126=0, 0, Y126/Z126))</f>
        <v>36.299948770432813</v>
      </c>
      <c r="AB126" s="118">
        <f ca="1">IF('Staging Table'!C128=1,"",(AA126/O126-1)+(RAND()/100000000000000))</f>
        <v>2.4531300859117353E-2</v>
      </c>
      <c r="AC126" s="79">
        <f t="shared" ca="1" si="1"/>
        <v>31</v>
      </c>
      <c r="AF126" s="255"/>
      <c r="AG126" s="255"/>
      <c r="AI126" s="255"/>
      <c r="AJ126" s="255"/>
    </row>
    <row r="127" spans="2:36">
      <c r="B127" s="166">
        <v>10442</v>
      </c>
      <c r="C127" s="167" t="s">
        <v>130</v>
      </c>
      <c r="D127" s="250">
        <f>IF(Init!$R$9="Yes",'Staging Table'!F129,'Staging Table'!BT129)*Rates_previous!$E$75*100*12</f>
        <v>4787447.7110400004</v>
      </c>
      <c r="E127" s="250">
        <f>IF(Init!$R$9="Yes",'Staging Table'!F129,'Staging Table'!BT129)*Rates_previous!$E$76*100*12</f>
        <v>-675134.32260000007</v>
      </c>
      <c r="F127" s="251">
        <f>IF(Init!$R$9="Yes",SUMPRODUCT('Staging Table'!L129:AI129,LS_Demand_Rates_Restatement!$C$4:$Z$4)-IF(Init!$R$15="No",('Staging Table'!BH129*Rates_previous!$H$34), 0),SUMPRODUCT('Staging Table'!BZ129:CW129,LS_Demand_Rates_Restatement!$C$4:$Z$4)-IF(Init!$R$15="No", 'Staging Table'!DV129*Rates_previous!$H$34, 0))</f>
        <v>-50682.569999999978</v>
      </c>
      <c r="G127" s="251">
        <f>IF(Init!$R$9="Yes",SUMPRODUCT('Staging Table'!AJ129:AU129,LS_Demand_Rates_Restatement!$C$10:$N$10),SUMPRODUCT(LS_Demand_Rates_Restatement!$C$10:$N$10,'Staging Table'!CX129:DI129))*1000</f>
        <v>354647.13999999996</v>
      </c>
      <c r="H127" s="252">
        <f>IF(Init!$R$9="Yes",'Staging Table'!BR129,'Staging Table'!EF129)*IF(Init!$R$3=2018,Rates_previous!$C$88,Rates_previous!$D$88)</f>
        <v>-50407.484226610861</v>
      </c>
      <c r="I127" s="250">
        <f>IF(Init!$R$9="Yes",IF('Staging Table'!$F$1=2018,(SUM('Staging Table'!BD129:BG129)*Rates_previous!$C$87),(SUM('Staging Table'!BD129:BG129)*Rates_previous!$D$87)),IF('Staging Table'!$F$1=2018,(SUM('Staging Table'!DR129:DU129)*Rates_previous!$C$87),(SUM('Staging Table'!DR129:DU129)*Rates_previous!$D$87)))</f>
        <v>26305.202408367364</v>
      </c>
      <c r="J127" s="252">
        <f>IF(Init!$R$9="Yes",IF('Staging Table'!D129=1,'Staging Table'!H129*-1*'Staging Table'!BT129/'Staging Table'!BS129,'Staging Table'!H129*SUM(D127:I127)*(-1)),IF('Staging Table'!D129=1,'Staging Table'!BV129*-1*'Staging Table'!BT129/'Staging Table'!BS129,'Staging Table'!BV129*SUM(D127:I127)*(-1)))</f>
        <v>-307452.29736352304</v>
      </c>
      <c r="K127" s="250">
        <f>IF(Init!$R$9="Yes",'Staging Table'!K129,'Staging Table'!BY129)*(-1)*Rates_previous!$H$32</f>
        <v>-114463.9608</v>
      </c>
      <c r="L127" s="250">
        <f>IF(Init!$R$12="No",0,'Staging Table'!$BI129*-1)*('Staging Table'!$F129/'Staging Table'!$E129)</f>
        <v>-74538.88887302966</v>
      </c>
      <c r="M127" s="250">
        <f>IF('Staging Table'!C129=1,"",SUM(D127:L127))</f>
        <v>3895720.529585205</v>
      </c>
      <c r="N127" s="250">
        <f>IF('Staging Table'!C129=1,"",IF(Init!$R$9="Yes",(RT1SC!$C$3*'Staging Table'!F129*'Staging Table'!$F$2)+SUM('Staging Table'!L129:AI129)-IF(Init!$R$15="No",'Staging Table'!BH129, 0),Z127))</f>
        <v>110434.52663893599</v>
      </c>
      <c r="O127" s="126">
        <f>IF('Staging Table'!C129=1,"",IF(N127=0, 0, M127/N127))</f>
        <v>35.276291284538253</v>
      </c>
      <c r="P127" s="250">
        <f>'Staging Table'!BT129*Rates_current!$E$74*100*12</f>
        <v>4253514.8449200001</v>
      </c>
      <c r="Q127" s="250">
        <f>'Staging Table'!BT129*Rates_current!$E$75*100*12</f>
        <v>-430311.88859999995</v>
      </c>
      <c r="R127" s="251">
        <f>SUMPRODUCT('Staging Table'!BZ129:CW129, LS_Demand_Rates_Restatement!$C$5:$Z$5)-IF(Init!$R$15="No",('Staging Table'!DV129*Rates_current!$H$34), 0)</f>
        <v>43038.350000000006</v>
      </c>
      <c r="S127" s="251">
        <f>SUMPRODUCT('Staging Table'!CX129:DI129, LS_Demand_Rates_Restatement!$C$11:$N$11)*1000</f>
        <v>389235.14</v>
      </c>
      <c r="T127" s="252">
        <f>'Staging Table'!EF129*IF(Init!$R$18="Yes",IF(Init!$R$6=2020,Rates_current!$C$88,Rates_current!$D$88),Rates_current!$H$33)</f>
        <v>63.035739943103977</v>
      </c>
      <c r="U127" s="252">
        <f>IF(Init!$R$18="Yes",(SUM('Staging Table'!DL129:DU129)*IF('Staging Table'!$BT$1=2020, Rates_current!$C$87, Rates_current!$D$87)),0)</f>
        <v>74252.244300344668</v>
      </c>
      <c r="V127" s="252">
        <f>IF('Staging Table'!D129=1, 'Staging Table'!BV129*-1*'Staging Table'!BT129/'Staging Table'!BS129,SUM(P127:U127)*'Staging Table'!BV129*-1)</f>
        <v>-303085.42084522021</v>
      </c>
      <c r="W127" s="250">
        <f>'Staging Table'!BY129*Rates_current!$H$32*-1</f>
        <v>-108137.29629999999</v>
      </c>
      <c r="X127" s="250">
        <f>IF(Init!$R$12="No",0,'Staging Table'!$DW129*-1)</f>
        <v>0</v>
      </c>
      <c r="Y127" s="250">
        <f>IF('Staging Table'!C129=1,"", SUM(P127:X127))</f>
        <v>3918569.0092150681</v>
      </c>
      <c r="Z127" s="250">
        <f>IF('Staging Table'!C129=1,"", (RT1SC!$C$4*'Staging Table'!BT129*'Staging Table'!$BT$2)+SUM('Staging Table'!BZ129:CW129)-IF(Init!$R$15="No",'Staging Table'!DV129, 0))</f>
        <v>110436.4200062976</v>
      </c>
      <c r="AA127" s="126">
        <f>IF('Staging Table'!C129=1,"",IF(Z127=0, 0, Y127/Z127))</f>
        <v>35.482579107432251</v>
      </c>
      <c r="AB127" s="118">
        <f ca="1">IF('Staging Table'!C129=1,"",(AA127/O127-1)+(RAND()/100000000000000))</f>
        <v>5.8477752445761947E-3</v>
      </c>
      <c r="AC127" s="79">
        <f t="shared" ca="1" si="1"/>
        <v>91</v>
      </c>
      <c r="AF127" s="255"/>
      <c r="AG127" s="255"/>
      <c r="AI127" s="255"/>
      <c r="AJ127" s="255"/>
    </row>
    <row r="128" spans="2:36">
      <c r="B128" s="166">
        <v>10446</v>
      </c>
      <c r="C128" s="167" t="s">
        <v>131</v>
      </c>
      <c r="D128" s="250">
        <f>IF(Init!$R$9="Yes",'Staging Table'!F130,'Staging Table'!BT130)*Rates_previous!$E$75*100*12</f>
        <v>34569953.300160006</v>
      </c>
      <c r="E128" s="250">
        <f>IF(Init!$R$9="Yes",'Staging Table'!F130,'Staging Table'!BT130)*Rates_previous!$E$76*100*12</f>
        <v>-4875115.805399999</v>
      </c>
      <c r="F128" s="251">
        <f>IF(Init!$R$9="Yes",SUMPRODUCT('Staging Table'!L130:AI130,LS_Demand_Rates_Restatement!$C$4:$Z$4)-IF(Init!$R$15="No",('Staging Table'!BH130*Rates_previous!$H$34), 0),SUMPRODUCT('Staging Table'!BZ130:CW130,LS_Demand_Rates_Restatement!$C$4:$Z$4)-IF(Init!$R$15="No", 'Staging Table'!DV130*Rates_previous!$H$34, 0))</f>
        <v>-779116.79</v>
      </c>
      <c r="G128" s="251">
        <f>IF(Init!$R$9="Yes",SUMPRODUCT('Staging Table'!AJ130:AU130,LS_Demand_Rates_Restatement!$C$10:$N$10),SUMPRODUCT(LS_Demand_Rates_Restatement!$C$10:$N$10,'Staging Table'!CX130:DI130))*1000</f>
        <v>888463.40000000014</v>
      </c>
      <c r="H128" s="252">
        <f>IF(Init!$R$9="Yes",'Staging Table'!BR130,'Staging Table'!EF130)*IF(Init!$R$3=2018,Rates_previous!$C$88,Rates_previous!$D$88)</f>
        <v>-215459.34245495131</v>
      </c>
      <c r="I128" s="250">
        <f>IF(Init!$R$9="Yes",IF('Staging Table'!$F$1=2018,(SUM('Staging Table'!BD130:BG130)*Rates_previous!$C$87),(SUM('Staging Table'!BD130:BG130)*Rates_previous!$D$87)),IF('Staging Table'!$F$1=2018,(SUM('Staging Table'!DR130:DU130)*Rates_previous!$C$87),(SUM('Staging Table'!DR130:DU130)*Rates_previous!$D$87)))</f>
        <v>189948.73128566649</v>
      </c>
      <c r="J128" s="252">
        <f>IF(Init!$R$9="Yes",IF('Staging Table'!D130=1,'Staging Table'!H130*-1*'Staging Table'!BT130/'Staging Table'!BS130,'Staging Table'!H130*SUM(D128:I128)*(-1)),IF('Staging Table'!D130=1,'Staging Table'!BV130*-1*'Staging Table'!BT130/'Staging Table'!BS130,'Staging Table'!BV130*SUM(D128:I128)*(-1)))</f>
        <v>-1831486.689478358</v>
      </c>
      <c r="K128" s="250">
        <f>IF(Init!$R$9="Yes",'Staging Table'!K130,'Staging Table'!BY130)*(-1)*Rates_previous!$H$32</f>
        <v>-84334.958400000003</v>
      </c>
      <c r="L128" s="250">
        <f>IF(Init!$R$12="No",0,'Staging Table'!$BI130*-1)*('Staging Table'!$F130/'Staging Table'!$E130)</f>
        <v>-926750.88589619799</v>
      </c>
      <c r="M128" s="250">
        <f>IF('Staging Table'!C130=1,"",SUM(D128:L128))</f>
        <v>26936100.959816165</v>
      </c>
      <c r="N128" s="250">
        <f>IF('Staging Table'!C130=1,"",IF(Init!$R$9="Yes",(RT1SC!$C$3*'Staging Table'!F130*'Staging Table'!$F$2)+SUM('Staging Table'!L130:AI130)-IF(Init!$R$15="No",'Staging Table'!BH130, 0),Z128))</f>
        <v>788208.14699114393</v>
      </c>
      <c r="O128" s="126">
        <f>IF('Staging Table'!C130=1,"",IF(N128=0, 0, M128/N128))</f>
        <v>34.173842357047867</v>
      </c>
      <c r="P128" s="250">
        <f>'Staging Table'!BT130*Rates_current!$E$74*100*12</f>
        <v>31493644.696319997</v>
      </c>
      <c r="Q128" s="250">
        <f>'Staging Table'!BT130*Rates_current!$E$75*100*12</f>
        <v>-3186092.0255999998</v>
      </c>
      <c r="R128" s="251">
        <f>SUMPRODUCT('Staging Table'!BZ130:CW130, LS_Demand_Rates_Restatement!$C$5:$Z$5)-IF(Init!$R$15="No",('Staging Table'!DV130*Rates_current!$H$34), 0)</f>
        <v>-75855.170000000042</v>
      </c>
      <c r="S128" s="251">
        <f>SUMPRODUCT('Staging Table'!CX130:DI130, LS_Demand_Rates_Restatement!$C$11:$N$11)*1000</f>
        <v>1034172.2</v>
      </c>
      <c r="T128" s="252">
        <f>'Staging Table'!EF130*IF(Init!$R$18="Yes",IF(Init!$R$6=2020,Rates_current!$C$88,Rates_current!$D$88),Rates_current!$H$33)</f>
        <v>-138864.48958873938</v>
      </c>
      <c r="U128" s="252">
        <f>IF(Init!$R$18="Yes",(SUM('Staging Table'!DL130:DU130)*IF('Staging Table'!$BT$1=2020, Rates_current!$C$87, Rates_current!$D$87)),0)</f>
        <v>549774.45363621111</v>
      </c>
      <c r="V128" s="252">
        <f>IF('Staging Table'!D130=1, 'Staging Table'!BV130*-1*'Staging Table'!BT130/'Staging Table'!BS130,SUM(P128:U128)*'Staging Table'!BV130*-1)</f>
        <v>-1928990.6782098853</v>
      </c>
      <c r="W128" s="250">
        <f>'Staging Table'!BY130*Rates_current!$H$32*-1</f>
        <v>-79673.587400000004</v>
      </c>
      <c r="X128" s="250">
        <f>IF(Init!$R$12="No",0,'Staging Table'!$DW130*-1)</f>
        <v>0</v>
      </c>
      <c r="Y128" s="250">
        <f>IF('Staging Table'!C130=1,"", SUM(P128:X128))</f>
        <v>27668115.399157576</v>
      </c>
      <c r="Z128" s="250">
        <f>IF('Staging Table'!C130=1,"", (RT1SC!$C$4*'Staging Table'!BT130*'Staging Table'!$BT$2)+SUM('Staging Table'!BZ130:CW130)-IF(Init!$R$15="No",'Staging Table'!DV130, 0))</f>
        <v>808890.94663208956</v>
      </c>
      <c r="AA128" s="126">
        <f>IF('Staging Table'!C130=1,"",IF(Z128=0, 0, Y128/Z128))</f>
        <v>34.20500070418263</v>
      </c>
      <c r="AB128" s="118">
        <f ca="1">IF('Staging Table'!C130=1,"",(AA128/O128-1)+(RAND()/100000000000000))</f>
        <v>9.1176013540503914E-4</v>
      </c>
      <c r="AC128" s="79">
        <f t="shared" ca="1" si="1"/>
        <v>103</v>
      </c>
      <c r="AF128" s="255"/>
      <c r="AG128" s="255"/>
      <c r="AI128" s="255"/>
      <c r="AJ128" s="255"/>
    </row>
    <row r="129" spans="1:36">
      <c r="B129" s="166">
        <v>10448</v>
      </c>
      <c r="C129" s="167" t="s">
        <v>132</v>
      </c>
      <c r="D129" s="250">
        <f>IF(Init!$R$9="Yes",'Staging Table'!F131,'Staging Table'!BT131)*Rates_previous!$E$75*100*12</f>
        <v>2990530.6387200002</v>
      </c>
      <c r="E129" s="250">
        <f>IF(Init!$R$9="Yes",'Staging Table'!F131,'Staging Table'!BT131)*Rates_previous!$E$76*100*12</f>
        <v>-421729.9068</v>
      </c>
      <c r="F129" s="251">
        <f>IF(Init!$R$9="Yes",SUMPRODUCT('Staging Table'!L131:AI131,LS_Demand_Rates_Restatement!$C$4:$Z$4)-IF(Init!$R$15="No",('Staging Table'!BH131*Rates_previous!$H$34), 0),SUMPRODUCT('Staging Table'!BZ131:CW131,LS_Demand_Rates_Restatement!$C$4:$Z$4)-IF(Init!$R$15="No", 'Staging Table'!DV131*Rates_previous!$H$34, 0))</f>
        <v>0</v>
      </c>
      <c r="G129" s="251">
        <f>IF(Init!$R$9="Yes",SUMPRODUCT('Staging Table'!AJ131:AU131,LS_Demand_Rates_Restatement!$C$10:$N$10),SUMPRODUCT(LS_Demand_Rates_Restatement!$C$10:$N$10,'Staging Table'!CX131:DI131))*1000</f>
        <v>0</v>
      </c>
      <c r="H129" s="252">
        <f>IF(Init!$R$9="Yes",'Staging Table'!BR131,'Staging Table'!EF131)*IF(Init!$R$3=2018,Rates_previous!$C$88,Rates_previous!$D$88)</f>
        <v>-15.891974113008182</v>
      </c>
      <c r="I129" s="250">
        <f>IF(Init!$R$9="Yes",IF('Staging Table'!$F$1=2018,(SUM('Staging Table'!BD131:BG131)*Rates_previous!$C$87),(SUM('Staging Table'!BD131:BG131)*Rates_previous!$D$87)),IF('Staging Table'!$F$1=2018,(SUM('Staging Table'!DR131:DU131)*Rates_previous!$C$87),(SUM('Staging Table'!DR131:DU131)*Rates_previous!$D$87)))</f>
        <v>16431.827250780483</v>
      </c>
      <c r="J129" s="252">
        <f>IF(Init!$R$9="Yes",IF('Staging Table'!D131=1,'Staging Table'!H131*-1*'Staging Table'!BT131/'Staging Table'!BS131,'Staging Table'!H131*SUM(D129:I129)*(-1)),IF('Staging Table'!D131=1,'Staging Table'!BV131*-1*'Staging Table'!BT131/'Staging Table'!BS131,'Staging Table'!BV131*SUM(D129:I129)*(-1)))</f>
        <v>-180965.16670376676</v>
      </c>
      <c r="K129" s="250">
        <f>IF(Init!$R$9="Yes",'Staging Table'!K131,'Staging Table'!BY131)*(-1)*Rates_previous!$H$32</f>
        <v>0</v>
      </c>
      <c r="L129" s="250">
        <f>IF(Init!$R$12="No",0,'Staging Table'!$BI131*-1)*('Staging Table'!$F131/'Staging Table'!$E131)</f>
        <v>-95520.794317990891</v>
      </c>
      <c r="M129" s="250" t="str">
        <f>IF('Staging Table'!C131=1,"",SUM(D129:L129))</f>
        <v/>
      </c>
      <c r="N129" s="250" t="str">
        <f>IF('Staging Table'!C131=1,"",IF(Init!$R$9="Yes",(RT1SC!$C$3*'Staging Table'!F131*'Staging Table'!$F$2)+SUM('Staging Table'!L131:AI131)-IF(Init!$R$15="No",'Staging Table'!BH131, 0),Z129))</f>
        <v/>
      </c>
      <c r="O129" s="126" t="str">
        <f>IF('Staging Table'!C131=1,"",IF(N129=0, 0, M129/N129))</f>
        <v/>
      </c>
      <c r="P129" s="250">
        <f>'Staging Table'!BT131*Rates_current!$E$74*100*12</f>
        <v>2752651.7815200002</v>
      </c>
      <c r="Q129" s="250">
        <f>'Staging Table'!BT131*Rates_current!$E$75*100*12</f>
        <v>-278475.2916</v>
      </c>
      <c r="R129" s="251">
        <f>SUMPRODUCT('Staging Table'!BZ131:CW131, LS_Demand_Rates_Restatement!$C$5:$Z$5)-IF(Init!$R$15="No",('Staging Table'!DV131*Rates_current!$H$34), 0)</f>
        <v>0</v>
      </c>
      <c r="S129" s="251">
        <f>SUMPRODUCT('Staging Table'!CX131:DI131, LS_Demand_Rates_Restatement!$C$11:$N$11)*1000</f>
        <v>0</v>
      </c>
      <c r="T129" s="252">
        <f>'Staging Table'!EF131*IF(Init!$R$18="Yes",IF(Init!$R$6=2020,Rates_current!$C$88,Rates_current!$D$88),Rates_current!$H$33)</f>
        <v>-29.302540259319066</v>
      </c>
      <c r="U129" s="252">
        <f>IF(Init!$R$18="Yes",(SUM('Staging Table'!DL131:DU131)*IF('Staging Table'!$BT$1=2020, Rates_current!$C$87, Rates_current!$D$87)),0)</f>
        <v>48052.159215879299</v>
      </c>
      <c r="V129" s="252">
        <f>IF('Staging Table'!D131=1, 'Staging Table'!BV131*-1*'Staging Table'!BT131/'Staging Table'!BS131,SUM(P129:U129)*'Staging Table'!BV131*-1)</f>
        <v>-176553.9542616934</v>
      </c>
      <c r="W129" s="250">
        <f>'Staging Table'!BY131*Rates_current!$H$32*-1</f>
        <v>0</v>
      </c>
      <c r="X129" s="250">
        <f>IF(Init!$R$12="No",0,'Staging Table'!$DW131*-1)</f>
        <v>0</v>
      </c>
      <c r="Y129" s="250" t="str">
        <f>IF('Staging Table'!C131=1,"", SUM(P129:X129))</f>
        <v/>
      </c>
      <c r="Z129" s="250" t="str">
        <f>IF('Staging Table'!C131=1,"", (RT1SC!$C$4*'Staging Table'!BT131*'Staging Table'!$BT$2)+SUM('Staging Table'!BZ131:CW131)-IF(Init!$R$15="No",'Staging Table'!DV131, 0))</f>
        <v/>
      </c>
      <c r="AA129" s="126" t="str">
        <f>IF('Staging Table'!C131=1,"",IF(Z129=0, 0, Y129/Z129))</f>
        <v/>
      </c>
      <c r="AB129" s="118" t="str">
        <f ca="1">IF('Staging Table'!C131=1,"",(AA129/O129-1)+(RAND()/100000000000000))</f>
        <v/>
      </c>
      <c r="AC129" s="79" t="str">
        <f t="shared" ca="1" si="1"/>
        <v/>
      </c>
      <c r="AF129" s="255"/>
      <c r="AG129" s="255"/>
      <c r="AI129" s="255"/>
      <c r="AJ129" s="255"/>
    </row>
    <row r="130" spans="1:36">
      <c r="B130" s="166">
        <v>10451</v>
      </c>
      <c r="C130" s="167" t="s">
        <v>133</v>
      </c>
      <c r="D130" s="250">
        <f>IF(Init!$R$9="Yes",'Staging Table'!F132,'Staging Table'!BT132)*Rates_previous!$E$75*100*12</f>
        <v>9605977.7817600016</v>
      </c>
      <c r="E130" s="250">
        <f>IF(Init!$R$9="Yes",'Staging Table'!F132,'Staging Table'!BT132)*Rates_previous!$E$76*100*12</f>
        <v>-1354651.9344000001</v>
      </c>
      <c r="F130" s="251">
        <f>IF(Init!$R$9="Yes",SUMPRODUCT('Staging Table'!L132:AI132,LS_Demand_Rates_Restatement!$C$4:$Z$4)-IF(Init!$R$15="No",('Staging Table'!BH132*Rates_previous!$H$34), 0),SUMPRODUCT('Staging Table'!BZ132:CW132,LS_Demand_Rates_Restatement!$C$4:$Z$4)-IF(Init!$R$15="No", 'Staging Table'!DV132*Rates_previous!$H$34, 0))</f>
        <v>14002.799086760613</v>
      </c>
      <c r="G130" s="251">
        <f>IF(Init!$R$9="Yes",SUMPRODUCT('Staging Table'!AJ132:AU132,LS_Demand_Rates_Restatement!$C$10:$N$10),SUMPRODUCT(LS_Demand_Rates_Restatement!$C$10:$N$10,'Staging Table'!CX132:DI132))*1000</f>
        <v>162656.89999999997</v>
      </c>
      <c r="H130" s="252">
        <f>IF(Init!$R$9="Yes",'Staging Table'!BR132,'Staging Table'!EF132)*IF(Init!$R$3=2018,Rates_previous!$C$88,Rates_previous!$D$88)</f>
        <v>24673.941600000544</v>
      </c>
      <c r="I130" s="250">
        <f>IF(Init!$R$9="Yes",IF('Staging Table'!$F$1=2018,(SUM('Staging Table'!BD132:BG132)*Rates_previous!$C$87),(SUM('Staging Table'!BD132:BG132)*Rates_previous!$D$87)),IF('Staging Table'!$F$1=2018,(SUM('Staging Table'!DR132:DU132)*Rates_previous!$C$87),(SUM('Staging Table'!DR132:DU132)*Rates_previous!$D$87)))</f>
        <v>52781.190548937418</v>
      </c>
      <c r="J130" s="252">
        <f>IF(Init!$R$9="Yes",IF('Staging Table'!D132=1,'Staging Table'!H132*-1*'Staging Table'!BT132/'Staging Table'!BS132,'Staging Table'!H132*SUM(D130:I130)*(-1)),IF('Staging Table'!D132=1,'Staging Table'!BV132*-1*'Staging Table'!BT132/'Staging Table'!BS132,'Staging Table'!BV132*SUM(D130:I130)*(-1)))</f>
        <v>0</v>
      </c>
      <c r="K130" s="250">
        <f>IF(Init!$R$9="Yes",'Staging Table'!K132,'Staging Table'!BY132)*(-1)*Rates_previous!$H$32</f>
        <v>0</v>
      </c>
      <c r="L130" s="250">
        <f>IF(Init!$R$12="No",0,'Staging Table'!$BI132*-1)*('Staging Table'!$F132/'Staging Table'!$E132)</f>
        <v>-329541.98011314787</v>
      </c>
      <c r="M130" s="250">
        <f>IF('Staging Table'!C132=1,"",SUM(D130:L130))</f>
        <v>8175898.6984825535</v>
      </c>
      <c r="N130" s="250">
        <f>IF('Staging Table'!C132=1,"",IF(Init!$R$9="Yes",(RT1SC!$C$3*'Staging Table'!F132*'Staging Table'!$F$2)+SUM('Staging Table'!L132:AI132)-IF(Init!$R$15="No",'Staging Table'!BH132, 0),Z130))</f>
        <v>231281.52000000002</v>
      </c>
      <c r="O130" s="126">
        <f>IF('Staging Table'!C132=1,"",IF(N130=0, 0, M130/N130))</f>
        <v>35.350419257373233</v>
      </c>
      <c r="P130" s="250">
        <f>'Staging Table'!BT132*Rates_current!$E$74*100*12</f>
        <v>8913439.1654399987</v>
      </c>
      <c r="Q130" s="250">
        <f>'Staging Table'!BT132*Rates_current!$E$75*100*12</f>
        <v>-901738.67519999994</v>
      </c>
      <c r="R130" s="251">
        <f>SUMPRODUCT('Staging Table'!BZ132:CW132, LS_Demand_Rates_Restatement!$C$5:$Z$5)-IF(Init!$R$15="No",('Staging Table'!DV132*Rates_current!$H$34), 0)</f>
        <v>-28089.719999999994</v>
      </c>
      <c r="S130" s="251">
        <f>SUMPRODUCT('Staging Table'!CX132:DI132, LS_Demand_Rates_Restatement!$C$11:$N$11)*1000</f>
        <v>197045.75999999998</v>
      </c>
      <c r="T130" s="252">
        <f>'Staging Table'!EF132*IF(Init!$R$18="Yes",IF(Init!$R$6=2020,Rates_current!$C$88,Rates_current!$D$88),Rates_current!$H$33)</f>
        <v>-69.405772885802435</v>
      </c>
      <c r="U130" s="252">
        <f>IF(Init!$R$18="Yes",(SUM('Staging Table'!DL132:DU132)*IF('Staging Table'!$BT$1=2020, Rates_current!$C$87, Rates_current!$D$87)),0)</f>
        <v>155599.0484572904</v>
      </c>
      <c r="V130" s="252">
        <f>IF('Staging Table'!D132=1, 'Staging Table'!BV132*-1*'Staging Table'!BT132/'Staging Table'!BS132,SUM(P130:U130)*'Staging Table'!BV132*-1)</f>
        <v>0</v>
      </c>
      <c r="W130" s="250">
        <f>'Staging Table'!BY132*Rates_current!$H$32*-1</f>
        <v>0</v>
      </c>
      <c r="X130" s="250">
        <f>IF(Init!$R$12="No",0,'Staging Table'!$DW132*-1)</f>
        <v>0</v>
      </c>
      <c r="Y130" s="250">
        <f>IF('Staging Table'!C132=1,"", SUM(P130:X130))</f>
        <v>8336186.1729244022</v>
      </c>
      <c r="Z130" s="250">
        <f>IF('Staging Table'!C132=1,"", (RT1SC!$C$4*'Staging Table'!BT132*'Staging Table'!$BT$2)+SUM('Staging Table'!BZ132:CW132)-IF(Init!$R$15="No",'Staging Table'!DV132, 0))</f>
        <v>231410.10660536319</v>
      </c>
      <c r="AA130" s="126">
        <f>IF('Staging Table'!C132=1,"",IF(Z130=0, 0, Y130/Z130))</f>
        <v>36.023431712689082</v>
      </c>
      <c r="AB130" s="118">
        <f ca="1">IF('Staging Table'!C132=1,"",(AA130/O130-1)+(RAND()/100000000000000))</f>
        <v>1.9038316078125214E-2</v>
      </c>
      <c r="AC130" s="79">
        <f t="shared" ca="1" si="1"/>
        <v>62</v>
      </c>
      <c r="AF130" s="255"/>
      <c r="AG130" s="255"/>
      <c r="AI130" s="255"/>
      <c r="AJ130" s="255"/>
    </row>
    <row r="131" spans="1:36">
      <c r="B131" s="166">
        <v>10482</v>
      </c>
      <c r="C131" s="167" t="s">
        <v>134</v>
      </c>
      <c r="D131" s="250">
        <f>IF(Init!$R$9="Yes",'Staging Table'!F133,'Staging Table'!BT133)*Rates_previous!$E$75*100*12</f>
        <v>994635.50976000004</v>
      </c>
      <c r="E131" s="250">
        <f>IF(Init!$R$9="Yes",'Staging Table'!F133,'Staging Table'!BT133)*Rates_previous!$E$76*100*12</f>
        <v>-140265.25440000001</v>
      </c>
      <c r="F131" s="251">
        <f>IF(Init!$R$9="Yes",SUMPRODUCT('Staging Table'!L133:AI133,LS_Demand_Rates_Restatement!$C$4:$Z$4)-IF(Init!$R$15="No",('Staging Table'!BH133*Rates_previous!$H$34), 0),SUMPRODUCT('Staging Table'!BZ133:CW133,LS_Demand_Rates_Restatement!$C$4:$Z$4)-IF(Init!$R$15="No", 'Staging Table'!DV133*Rates_previous!$H$34, 0))</f>
        <v>9331.59</v>
      </c>
      <c r="G131" s="251">
        <f>IF(Init!$R$9="Yes",SUMPRODUCT('Staging Table'!AJ133:AU133,LS_Demand_Rates_Restatement!$C$10:$N$10),SUMPRODUCT(LS_Demand_Rates_Restatement!$C$10:$N$10,'Staging Table'!CX133:DI133))*1000</f>
        <v>44092.54</v>
      </c>
      <c r="H131" s="252">
        <f>IF(Init!$R$9="Yes",'Staging Table'!BR133,'Staging Table'!EF133)*IF(Init!$R$3=2018,Rates_previous!$C$88,Rates_previous!$D$88)</f>
        <v>5611.859059896331</v>
      </c>
      <c r="I131" s="250">
        <f>IF(Init!$R$9="Yes",IF('Staging Table'!$F$1=2018,(SUM('Staging Table'!BD133:BG133)*Rates_previous!$C$87),(SUM('Staging Table'!BD133:BG133)*Rates_previous!$D$87)),IF('Staging Table'!$F$1=2018,(SUM('Staging Table'!DR133:DU133)*Rates_previous!$C$87),(SUM('Staging Table'!DR133:DU133)*Rates_previous!$D$87)))</f>
        <v>5465.1434304861996</v>
      </c>
      <c r="J131" s="252">
        <f>IF(Init!$R$9="Yes",IF('Staging Table'!D133=1,'Staging Table'!H133*-1*'Staging Table'!BT133/'Staging Table'!BS133,'Staging Table'!H133*SUM(D131:I131)*(-1)),IF('Staging Table'!D133=1,'Staging Table'!BV133*-1*'Staging Table'!BT133/'Staging Table'!BS133,'Staging Table'!BV133*SUM(D131:I131)*(-1)))</f>
        <v>0</v>
      </c>
      <c r="K131" s="250">
        <f>IF(Init!$R$9="Yes",'Staging Table'!K133,'Staging Table'!BY133)*(-1)*Rates_previous!$H$32</f>
        <v>0</v>
      </c>
      <c r="L131" s="250">
        <f>IF(Init!$R$12="No",0,'Staging Table'!$BI133*-1)*('Staging Table'!$F133/'Staging Table'!$E133)</f>
        <v>-31167.066926376116</v>
      </c>
      <c r="M131" s="250">
        <f>IF('Staging Table'!C133=1,"",SUM(D131:L131))</f>
        <v>887704.32092400652</v>
      </c>
      <c r="N131" s="250">
        <f>IF('Staging Table'!C133=1,"",IF(Init!$R$9="Yes",(RT1SC!$C$3*'Staging Table'!F133*'Staging Table'!$F$2)+SUM('Staging Table'!L133:AI133)-IF(Init!$R$15="No",'Staging Table'!BH133, 0),Z131))</f>
        <v>24180.706614783998</v>
      </c>
      <c r="O131" s="126">
        <f>IF('Staging Table'!C133=1,"",IF(N131=0, 0, M131/N131))</f>
        <v>36.711264689894023</v>
      </c>
      <c r="P131" s="250">
        <f>'Staging Table'!BT133*Rates_current!$E$74*100*12</f>
        <v>913114.15512000001</v>
      </c>
      <c r="Q131" s="250">
        <f>'Staging Table'!BT133*Rates_current!$E$75*100*12</f>
        <v>-92376.279599999994</v>
      </c>
      <c r="R131" s="251">
        <f>SUMPRODUCT('Staging Table'!BZ133:CW133, LS_Demand_Rates_Restatement!$C$5:$Z$5)-IF(Init!$R$15="No",('Staging Table'!DV133*Rates_current!$H$34), 0)</f>
        <v>8762.5300000000025</v>
      </c>
      <c r="S131" s="251">
        <f>SUMPRODUCT('Staging Table'!CX133:DI133, LS_Demand_Rates_Restatement!$C$11:$N$11)*1000</f>
        <v>49161.069999999992</v>
      </c>
      <c r="T131" s="252">
        <f>'Staging Table'!EF133*IF(Init!$R$18="Yes",IF(Init!$R$6=2020,Rates_current!$C$88,Rates_current!$D$88),Rates_current!$H$33)</f>
        <v>7481.070570181656</v>
      </c>
      <c r="U131" s="252">
        <f>IF(Init!$R$18="Yes",(SUM('Staging Table'!DL133:DU133)*IF('Staging Table'!$BT$1=2020, Rates_current!$C$87, Rates_current!$D$87)),0)</f>
        <v>15939.940917579714</v>
      </c>
      <c r="V131" s="252">
        <f>IF('Staging Table'!D133=1, 'Staging Table'!BV133*-1*'Staging Table'!BT133/'Staging Table'!BS133,SUM(P131:U131)*'Staging Table'!BV133*-1)</f>
        <v>0</v>
      </c>
      <c r="W131" s="250">
        <f>'Staging Table'!BY133*Rates_current!$H$32*-1</f>
        <v>0</v>
      </c>
      <c r="X131" s="250">
        <f>IF(Init!$R$12="No",0,'Staging Table'!$DW133*-1)</f>
        <v>0</v>
      </c>
      <c r="Y131" s="250">
        <f>IF('Staging Table'!C133=1,"", SUM(P131:X131))</f>
        <v>902082.48700776137</v>
      </c>
      <c r="Z131" s="250">
        <f>IF('Staging Table'!C133=1,"", (RT1SC!$C$4*'Staging Table'!BT133*'Staging Table'!$BT$2)+SUM('Staging Table'!BZ133:CW133)-IF(Init!$R$15="No",'Staging Table'!DV133, 0))</f>
        <v>24179.413011353601</v>
      </c>
      <c r="AA131" s="126">
        <f>IF('Staging Table'!C133=1,"",IF(Z131=0, 0, Y131/Z131))</f>
        <v>37.307873709927641</v>
      </c>
      <c r="AB131" s="118">
        <f ca="1">IF('Staging Table'!C133=1,"",(AA131/O131-1)+(RAND()/100000000000000))</f>
        <v>1.6251388370118743E-2</v>
      </c>
      <c r="AC131" s="79">
        <f t="shared" ca="1" si="1"/>
        <v>73</v>
      </c>
      <c r="AF131" s="255"/>
      <c r="AG131" s="255"/>
      <c r="AI131" s="255"/>
      <c r="AJ131" s="255"/>
    </row>
    <row r="132" spans="1:36">
      <c r="B132" s="166">
        <v>10502</v>
      </c>
      <c r="C132" s="167" t="s">
        <v>135</v>
      </c>
      <c r="D132" s="250">
        <f>IF(Init!$R$9="Yes",'Staging Table'!F134,'Staging Table'!BT134)*Rates_previous!$E$75*100*12</f>
        <v>6091632.9503999986</v>
      </c>
      <c r="E132" s="250">
        <f>IF(Init!$R$9="Yes",'Staging Table'!F134,'Staging Table'!BT134)*Rates_previous!$E$76*100*12</f>
        <v>-859052.82599999988</v>
      </c>
      <c r="F132" s="251">
        <f>IF(Init!$R$9="Yes",SUMPRODUCT('Staging Table'!L134:AI134,LS_Demand_Rates_Restatement!$C$4:$Z$4)-IF(Init!$R$15="No",('Staging Table'!BH134*Rates_previous!$H$34), 0),SUMPRODUCT('Staging Table'!BZ134:CW134,LS_Demand_Rates_Restatement!$C$4:$Z$4)-IF(Init!$R$15="No", 'Staging Table'!DV134*Rates_previous!$H$34, 0))</f>
        <v>199512.28999999992</v>
      </c>
      <c r="G132" s="251">
        <f>IF(Init!$R$9="Yes",SUMPRODUCT('Staging Table'!AJ134:AU134,LS_Demand_Rates_Restatement!$C$10:$N$10),SUMPRODUCT(LS_Demand_Rates_Restatement!$C$10:$N$10,'Staging Table'!CX134:DI134))*1000</f>
        <v>319324.89</v>
      </c>
      <c r="H132" s="252">
        <f>IF(Init!$R$9="Yes",'Staging Table'!BR134,'Staging Table'!EF134)*IF(Init!$R$3=2018,Rates_previous!$C$88,Rates_previous!$D$88)</f>
        <v>143079.9761767727</v>
      </c>
      <c r="I132" s="250">
        <f>IF(Init!$R$9="Yes",IF('Staging Table'!$F$1=2018,(SUM('Staging Table'!BD134:BG134)*Rates_previous!$C$87),(SUM('Staging Table'!BD134:BG134)*Rates_previous!$D$87)),IF('Staging Table'!$F$1=2018,(SUM('Staging Table'!DR134:DU134)*Rates_previous!$C$87),(SUM('Staging Table'!DR134:DU134)*Rates_previous!$D$87)))</f>
        <v>33471.203745626284</v>
      </c>
      <c r="J132" s="252">
        <f>IF(Init!$R$9="Yes",IF('Staging Table'!D134=1,'Staging Table'!H134*-1*'Staging Table'!BT134/'Staging Table'!BS134,'Staging Table'!H134*SUM(D132:I132)*(-1)),IF('Staging Table'!D134=1,'Staging Table'!BV134*-1*'Staging Table'!BT134/'Staging Table'!BS134,'Staging Table'!BV134*SUM(D132:I132)*(-1)))</f>
        <v>-414957.79390256782</v>
      </c>
      <c r="K132" s="250">
        <f>IF(Init!$R$9="Yes",'Staging Table'!K134,'Staging Table'!BY134)*(-1)*Rates_previous!$H$32</f>
        <v>-84550.836720000007</v>
      </c>
      <c r="L132" s="250">
        <f>IF(Init!$R$12="No",0,'Staging Table'!$BI134*-1)*('Staging Table'!$F134/'Staging Table'!$E134)</f>
        <v>-102741.50983559954</v>
      </c>
      <c r="M132" s="250">
        <f>IF('Staging Table'!C134=1,"",SUM(D132:L132))</f>
        <v>5325718.3438642295</v>
      </c>
      <c r="N132" s="250">
        <f>IF('Staging Table'!C134=1,"",IF(Init!$R$9="Yes",(RT1SC!$C$3*'Staging Table'!F134*'Staging Table'!$F$2)+SUM('Staging Table'!L134:AI134)-IF(Init!$R$15="No",'Staging Table'!BH134, 0),Z132))</f>
        <v>156482.91064536001</v>
      </c>
      <c r="O132" s="126">
        <f>IF('Staging Table'!C134=1,"",IF(N132=0, 0, M132/N132))</f>
        <v>34.033865563339369</v>
      </c>
      <c r="P132" s="250">
        <f>'Staging Table'!BT134*Rates_current!$E$74*100*12</f>
        <v>6295781.8763999995</v>
      </c>
      <c r="Q132" s="250">
        <f>'Staging Table'!BT134*Rates_current!$E$75*100*12</f>
        <v>-636920.2620000001</v>
      </c>
      <c r="R132" s="251">
        <f>SUMPRODUCT('Staging Table'!BZ134:CW134, LS_Demand_Rates_Restatement!$C$5:$Z$5)-IF(Init!$R$15="No",('Staging Table'!DV134*Rates_current!$H$34), 0)</f>
        <v>-197312.97000000003</v>
      </c>
      <c r="S132" s="251">
        <f>SUMPRODUCT('Staging Table'!CX134:DI134, LS_Demand_Rates_Restatement!$C$11:$N$11)*1000</f>
        <v>355041.8</v>
      </c>
      <c r="T132" s="252">
        <f>'Staging Table'!EF134*IF(Init!$R$18="Yes",IF(Init!$R$6=2020,Rates_current!$C$88,Rates_current!$D$88),Rates_current!$H$33)</f>
        <v>-110591.59919364104</v>
      </c>
      <c r="U132" s="252">
        <f>IF(Init!$R$18="Yes",(SUM('Staging Table'!DL134:DU134)*IF('Staging Table'!$BT$1=2020, Rates_current!$C$87, Rates_current!$D$87)),0)</f>
        <v>109903.44479611835</v>
      </c>
      <c r="V132" s="252">
        <f>IF('Staging Table'!D134=1, 'Staging Table'!BV134*-1*'Staging Table'!BT134/'Staging Table'!BS134,SUM(P132:U132)*'Staging Table'!BV134*-1)</f>
        <v>-408928.88499511214</v>
      </c>
      <c r="W132" s="250">
        <f>'Staging Table'!BY134*Rates_current!$H$32*-1</f>
        <v>-79877.53366999999</v>
      </c>
      <c r="X132" s="250">
        <f>IF(Init!$R$12="No",0,'Staging Table'!$DW134*-1)</f>
        <v>0</v>
      </c>
      <c r="Y132" s="250">
        <f>IF('Staging Table'!C134=1,"", SUM(P132:X132))</f>
        <v>5327095.8713373644</v>
      </c>
      <c r="Z132" s="250">
        <f>IF('Staging Table'!C134=1,"", (RT1SC!$C$4*'Staging Table'!BT134*'Staging Table'!$BT$2)+SUM('Staging Table'!BZ134:CW134)-IF(Init!$R$15="No",'Staging Table'!DV134, 0))</f>
        <v>156484.07721779199</v>
      </c>
      <c r="AA132" s="126">
        <f>IF('Staging Table'!C134=1,"",IF(Z132=0, 0, Y132/Z132))</f>
        <v>34.042414832553213</v>
      </c>
      <c r="AB132" s="118">
        <f ca="1">IF('Staging Table'!C134=1,"",(AA132/O132-1)+(RAND()/100000000000000))</f>
        <v>2.5119888888747166E-4</v>
      </c>
      <c r="AC132" s="79">
        <f t="shared" ref="AC132:AC138" ca="1" si="2">IF(AB132="","",RANK(AB132,$AB$4:$AB$138))</f>
        <v>106</v>
      </c>
      <c r="AF132" s="255"/>
      <c r="AG132" s="255"/>
      <c r="AI132" s="255"/>
      <c r="AJ132" s="255"/>
    </row>
    <row r="133" spans="1:36">
      <c r="B133" s="186">
        <v>13927</v>
      </c>
      <c r="C133" s="187" t="s">
        <v>269</v>
      </c>
      <c r="D133" s="250">
        <f>IF(Init!$R$9="Yes",'Staging Table'!F135,'Staging Table'!BT135)*Rates_previous!$E$75*100*12</f>
        <v>1470297.5222400001</v>
      </c>
      <c r="E133" s="250">
        <f>IF(Init!$R$9="Yes",'Staging Table'!F135,'Staging Table'!BT135)*Rates_previous!$E$76*100*12</f>
        <v>-207343.95059999998</v>
      </c>
      <c r="F133" s="251">
        <f>IF(Init!$R$9="Yes",SUMPRODUCT('Staging Table'!L135:AI135,LS_Demand_Rates_Restatement!$C$4:$Z$4)-IF(Init!$R$15="No",('Staging Table'!BH135*Rates_previous!$H$34), 0),SUMPRODUCT('Staging Table'!BZ135:CW135,LS_Demand_Rates_Restatement!$C$4:$Z$4)-IF(Init!$R$15="No", 'Staging Table'!DV135*Rates_previous!$H$34, 0))</f>
        <v>-204383.18000000002</v>
      </c>
      <c r="G133" s="251">
        <f>IF(Init!$R$9="Yes",SUMPRODUCT('Staging Table'!AJ135:AU135,LS_Demand_Rates_Restatement!$C$10:$N$10),SUMPRODUCT(LS_Demand_Rates_Restatement!$C$10:$N$10,'Staging Table'!CX135:DI135))*1000</f>
        <v>31746.43</v>
      </c>
      <c r="H133" s="252">
        <f>IF(Init!$R$9="Yes",'Staging Table'!BR135,'Staging Table'!EF135)*IF(Init!$R$3=2018,Rates_previous!$C$88,Rates_previous!$D$88)</f>
        <v>-113291.17037657239</v>
      </c>
      <c r="I133" s="250">
        <f>IF(Init!$R$9="Yes",IF('Staging Table'!$F$1=2018,(SUM('Staging Table'!BD135:BG135)*Rates_previous!$C$87),(SUM('Staging Table'!BD135:BG135)*Rates_previous!$D$87)),IF('Staging Table'!$F$1=2018,(SUM('Staging Table'!DR135:DU135)*Rates_previous!$C$87),(SUM('Staging Table'!DR135:DU135)*Rates_previous!$D$87)))</f>
        <v>8078.7250864077496</v>
      </c>
      <c r="J133" s="252">
        <f>IF(Init!$R$9="Yes",IF('Staging Table'!D135=1,'Staging Table'!H135*-1*'Staging Table'!BT135/'Staging Table'!BS135,'Staging Table'!H135*SUM(D133:I133)*(-1)),IF('Staging Table'!D135=1,'Staging Table'!BV135*-1*'Staging Table'!BT135/'Staging Table'!BS135,'Staging Table'!BV135*SUM(D133:I133)*(-1)))</f>
        <v>0</v>
      </c>
      <c r="K133" s="250">
        <f>IF(Init!$R$9="Yes",'Staging Table'!K135,'Staging Table'!BY135)*(-1)*Rates_previous!$H$32</f>
        <v>0</v>
      </c>
      <c r="L133" s="250">
        <f>IF(Init!$R$12="No",0,'Staging Table'!$BI135*-1)*('Staging Table'!$F135/'Staging Table'!$E135)</f>
        <v>0</v>
      </c>
      <c r="M133" s="250">
        <f>IF('Staging Table'!C135=1,"",SUM(D133:L133))</f>
        <v>985104.37634983554</v>
      </c>
      <c r="N133" s="250">
        <f>IF('Staging Table'!C135=1,"",IF(Init!$R$9="Yes",(RT1SC!$C$3*'Staging Table'!F135*'Staging Table'!$F$2)+SUM('Staging Table'!L135:AI135)-IF(Init!$R$15="No",'Staging Table'!BH135, 0),Z133))</f>
        <v>26381.946689015997</v>
      </c>
      <c r="O133" s="126">
        <f>IF('Staging Table'!C135=1,"",IF(N133=0, 0, M133/N133))</f>
        <v>37.340094268327036</v>
      </c>
      <c r="P133" s="250">
        <f>'Staging Table'!BT135*Rates_current!$E$74*100*12</f>
        <v>1021490.0152799999</v>
      </c>
      <c r="Q133" s="250">
        <f>'Staging Table'!BT135*Rates_current!$E$75*100*12</f>
        <v>-103340.2524</v>
      </c>
      <c r="R133" s="251">
        <f>SUMPRODUCT('Staging Table'!BZ135:CW135, LS_Demand_Rates_Restatement!$C$5:$Z$5)-IF(Init!$R$15="No",('Staging Table'!DV135*Rates_current!$H$34), 0)</f>
        <v>-5459.0799999999981</v>
      </c>
      <c r="S133" s="251">
        <f>SUMPRODUCT('Staging Table'!CX135:DI135, LS_Demand_Rates_Restatement!$C$11:$N$11)*1000</f>
        <v>33998.909999999996</v>
      </c>
      <c r="T133" s="252">
        <f>'Staging Table'!EF135*IF(Init!$R$18="Yes",IF(Init!$R$6=2020,Rates_current!$C$88,Rates_current!$D$88),Rates_current!$H$33)</f>
        <v>-2187.0748092242143</v>
      </c>
      <c r="U133" s="252">
        <f>IF(Init!$R$18="Yes",(SUM('Staging Table'!DL135:DU135)*IF('Staging Table'!$BT$1=2020, Rates_current!$C$87, Rates_current!$D$87)),0)</f>
        <v>17831.823546006668</v>
      </c>
      <c r="V133" s="252">
        <f>IF('Staging Table'!D135=1, 'Staging Table'!BV135*-1*'Staging Table'!BT135/'Staging Table'!BS135,SUM(P133:U133)*'Staging Table'!BV135*-1)</f>
        <v>0</v>
      </c>
      <c r="W133" s="250">
        <f>'Staging Table'!BY135*Rates_current!$H$32*-1</f>
        <v>0</v>
      </c>
      <c r="X133" s="250">
        <f>IF(Init!$R$12="No",0,'Staging Table'!$DW135*-1)</f>
        <v>0</v>
      </c>
      <c r="Y133" s="250">
        <f>IF('Staging Table'!C135=1,"", SUM(P133:X133))</f>
        <v>962334.34161678248</v>
      </c>
      <c r="Z133" s="250">
        <f>IF('Staging Table'!C135=1,"", (RT1SC!$C$4*'Staging Table'!BT135*'Staging Table'!$BT$2)+SUM('Staging Table'!BZ135:CW135)-IF(Init!$R$15="No",'Staging Table'!DV135, 0))</f>
        <v>26381.084102758399</v>
      </c>
      <c r="AA133" s="126">
        <f>IF('Staging Table'!C135=1,"",IF(Z133=0, 0, Y133/Z133))</f>
        <v>36.478195432315879</v>
      </c>
      <c r="AB133" s="118">
        <f ca="1">IF('Staging Table'!C135=1,"",(AA133/O133-1)+(RAND()/100000000000000))</f>
        <v>-2.3082395824109217E-2</v>
      </c>
      <c r="AC133" s="79">
        <f t="shared" ca="1" si="2"/>
        <v>119</v>
      </c>
      <c r="AF133" s="255"/>
      <c r="AG133" s="255"/>
      <c r="AI133" s="255"/>
      <c r="AJ133" s="255"/>
    </row>
    <row r="134" spans="1:36">
      <c r="B134" s="166">
        <v>10597</v>
      </c>
      <c r="C134" s="167" t="s">
        <v>136</v>
      </c>
      <c r="D134" s="250">
        <f>IF(Init!$R$9="Yes",'Staging Table'!F136,'Staging Table'!BT136)*Rates_previous!$E$75*100*12</f>
        <v>4563247.0838399995</v>
      </c>
      <c r="E134" s="250">
        <f>IF(Init!$R$9="Yes",'Staging Table'!F136,'Staging Table'!BT136)*Rates_previous!$E$76*100*12</f>
        <v>-643517.15460000001</v>
      </c>
      <c r="F134" s="251">
        <f>IF(Init!$R$9="Yes",SUMPRODUCT('Staging Table'!L136:AI136,LS_Demand_Rates_Restatement!$C$4:$Z$4)-IF(Init!$R$15="No",('Staging Table'!BH136*Rates_previous!$H$34), 0),SUMPRODUCT('Staging Table'!BZ136:CW136,LS_Demand_Rates_Restatement!$C$4:$Z$4)-IF(Init!$R$15="No", 'Staging Table'!DV136*Rates_previous!$H$34, 0))</f>
        <v>31464.930000000018</v>
      </c>
      <c r="G134" s="251">
        <f>IF(Init!$R$9="Yes",SUMPRODUCT('Staging Table'!AJ136:AU136,LS_Demand_Rates_Restatement!$C$10:$N$10),SUMPRODUCT(LS_Demand_Rates_Restatement!$C$10:$N$10,'Staging Table'!CX136:DI136))*1000</f>
        <v>200116.44</v>
      </c>
      <c r="H134" s="252">
        <f>IF(Init!$R$9="Yes",'Staging Table'!BR136,'Staging Table'!EF136)*IF(Init!$R$3=2018,Rates_previous!$C$88,Rates_previous!$D$88)</f>
        <v>-12185.056067161382</v>
      </c>
      <c r="I134" s="250">
        <f>IF(Init!$R$9="Yes",IF('Staging Table'!$F$1=2018,(SUM('Staging Table'!BD136:BG136)*Rates_previous!$C$87),(SUM('Staging Table'!BD136:BG136)*Rates_previous!$D$87)),IF('Staging Table'!$F$1=2018,(SUM('Staging Table'!DR136:DU136)*Rates_previous!$C$87),(SUM('Staging Table'!DR136:DU136)*Rates_previous!$D$87)))</f>
        <v>25073.305323626621</v>
      </c>
      <c r="J134" s="252">
        <f>IF(Init!$R$9="Yes",IF('Staging Table'!D136=1,'Staging Table'!H136*-1*'Staging Table'!BT136/'Staging Table'!BS136,'Staging Table'!H136*SUM(D134:I134)*(-1)),IF('Staging Table'!D136=1,'Staging Table'!BV136*-1*'Staging Table'!BT136/'Staging Table'!BS136,'Staging Table'!BV136*SUM(D134:I134)*(-1)))</f>
        <v>0</v>
      </c>
      <c r="K134" s="250">
        <f>IF(Init!$R$9="Yes",'Staging Table'!K136,'Staging Table'!BY136)*(-1)*Rates_previous!$H$32</f>
        <v>0</v>
      </c>
      <c r="L134" s="250">
        <f>IF(Init!$R$12="No",0,'Staging Table'!$BI136*-1)*('Staging Table'!$F136/'Staging Table'!$E136)</f>
        <v>-171214.66523174982</v>
      </c>
      <c r="M134" s="250">
        <f>IF('Staging Table'!C136=1,"",SUM(D134:L134))</f>
        <v>3992984.8832647153</v>
      </c>
      <c r="N134" s="250">
        <f>IF('Staging Table'!C136=1,"",IF(Init!$R$9="Yes",(RT1SC!$C$3*'Staging Table'!F136*'Staging Table'!$F$2)+SUM('Staging Table'!L136:AI136)-IF(Init!$R$15="No",'Staging Table'!BH136, 0),Z134))</f>
        <v>108026.88375445598</v>
      </c>
      <c r="O134" s="126">
        <f>IF('Staging Table'!C136=1,"",IF(N134=0, 0, M134/N134))</f>
        <v>36.96288131703151</v>
      </c>
      <c r="P134" s="250">
        <f>'Staging Table'!BT136*Rates_current!$E$74*100*12</f>
        <v>4160824.9645199999</v>
      </c>
      <c r="Q134" s="250">
        <f>'Staging Table'!BT136*Rates_current!$E$75*100*12</f>
        <v>-420934.80660000001</v>
      </c>
      <c r="R134" s="251">
        <f>SUMPRODUCT('Staging Table'!BZ136:CW136, LS_Demand_Rates_Restatement!$C$5:$Z$5)-IF(Init!$R$15="No",('Staging Table'!DV136*Rates_current!$H$34), 0)</f>
        <v>57812.540000000015</v>
      </c>
      <c r="S134" s="251">
        <f>SUMPRODUCT('Staging Table'!CX136:DI136, LS_Demand_Rates_Restatement!$C$11:$N$11)*1000</f>
        <v>223938.67</v>
      </c>
      <c r="T134" s="252">
        <f>'Staging Table'!EF136*IF(Init!$R$18="Yes",IF(Init!$R$6=2020,Rates_current!$C$88,Rates_current!$D$88),Rates_current!$H$33)</f>
        <v>-10.17610767052858</v>
      </c>
      <c r="U134" s="252">
        <f>IF(Init!$R$18="Yes",(SUM('Staging Table'!DL136:DU136)*IF('Staging Table'!$BT$1=2020, Rates_current!$C$87, Rates_current!$D$87)),0)</f>
        <v>72634.186789190033</v>
      </c>
      <c r="V134" s="252">
        <f>IF('Staging Table'!D136=1, 'Staging Table'!BV136*-1*'Staging Table'!BT136/'Staging Table'!BS136,SUM(P134:U134)*'Staging Table'!BV136*-1)</f>
        <v>0</v>
      </c>
      <c r="W134" s="250">
        <f>'Staging Table'!BY136*Rates_current!$H$32*-1</f>
        <v>0</v>
      </c>
      <c r="X134" s="250">
        <f>IF(Init!$R$12="No",0,'Staging Table'!$DW136*-1)</f>
        <v>0</v>
      </c>
      <c r="Y134" s="250">
        <f>IF('Staging Table'!C136=1,"", SUM(P134:X134))</f>
        <v>4094265.3786015194</v>
      </c>
      <c r="Z134" s="250">
        <f>IF('Staging Table'!C136=1,"", (RT1SC!$C$4*'Staging Table'!BT136*'Staging Table'!$BT$2)+SUM('Staging Table'!BZ136:CW136)-IF(Init!$R$15="No",'Staging Table'!DV136, 0))</f>
        <v>108024.9907833856</v>
      </c>
      <c r="AA134" s="126">
        <f>IF('Staging Table'!C136=1,"",IF(Z134=0, 0, Y134/Z134))</f>
        <v>37.901094449630108</v>
      </c>
      <c r="AB134" s="118">
        <f ca="1">IF('Staging Table'!C136=1,"",(AA134/O134-1)+(RAND()/100000000000000))</f>
        <v>2.5382575685908553E-2</v>
      </c>
      <c r="AC134" s="79">
        <f t="shared" ca="1" si="2"/>
        <v>27</v>
      </c>
      <c r="AF134" s="255"/>
      <c r="AG134" s="255"/>
      <c r="AI134" s="255"/>
      <c r="AJ134" s="255"/>
    </row>
    <row r="135" spans="1:36">
      <c r="B135" s="166">
        <v>10706</v>
      </c>
      <c r="C135" s="167" t="s">
        <v>137</v>
      </c>
      <c r="D135" s="250">
        <f>IF(Init!$R$9="Yes",'Staging Table'!F137,'Staging Table'!BT137)*Rates_previous!$E$75*100*12</f>
        <v>6236853.8112000003</v>
      </c>
      <c r="E135" s="250">
        <f>IF(Init!$R$9="Yes",'Staging Table'!F137,'Staging Table'!BT137)*Rates_previous!$E$76*100*12</f>
        <v>-879532.12800000003</v>
      </c>
      <c r="F135" s="251">
        <f>IF(Init!$R$9="Yes",SUMPRODUCT('Staging Table'!L137:AI137,LS_Demand_Rates_Restatement!$C$4:$Z$4)-IF(Init!$R$15="No",('Staging Table'!BH137*Rates_previous!$H$34), 0),SUMPRODUCT('Staging Table'!BZ137:CW137,LS_Demand_Rates_Restatement!$C$4:$Z$4)-IF(Init!$R$15="No", 'Staging Table'!DV137*Rates_previous!$H$34, 0))</f>
        <v>-24388.049428837883</v>
      </c>
      <c r="G135" s="251">
        <f>IF(Init!$R$9="Yes",SUMPRODUCT('Staging Table'!AJ137:AU137,LS_Demand_Rates_Restatement!$C$10:$N$10),SUMPRODUCT(LS_Demand_Rates_Restatement!$C$10:$N$10,'Staging Table'!CX137:DI137))*1000</f>
        <v>196056.17</v>
      </c>
      <c r="H135" s="252">
        <f>IF(Init!$R$9="Yes",'Staging Table'!BR137,'Staging Table'!EF137)*IF(Init!$R$3=2018,Rates_previous!$C$88,Rates_previous!$D$88)</f>
        <v>0</v>
      </c>
      <c r="I135" s="250">
        <f>IF(Init!$R$9="Yes",IF('Staging Table'!$F$1=2018,(SUM('Staging Table'!BD137:BG137)*Rates_previous!$C$87),(SUM('Staging Table'!BD137:BG137)*Rates_previous!$D$87)),IF('Staging Table'!$F$1=2018,(SUM('Staging Table'!DR137:DU137)*Rates_previous!$C$87),(SUM('Staging Table'!DR137:DU137)*Rates_previous!$D$87)))</f>
        <v>34269.137084606089</v>
      </c>
      <c r="J135" s="252">
        <f>IF(Init!$R$9="Yes",IF('Staging Table'!D137=1,'Staging Table'!H137*-1*'Staging Table'!BT137/'Staging Table'!BS137,'Staging Table'!H137*SUM(D135:I135)*(-1)),IF('Staging Table'!D137=1,'Staging Table'!BV137*-1*'Staging Table'!BT137/'Staging Table'!BS137,'Staging Table'!BV137*SUM(D135:I135)*(-1)))</f>
        <v>0</v>
      </c>
      <c r="K135" s="250">
        <f>IF(Init!$R$9="Yes",'Staging Table'!K137,'Staging Table'!BY137)*(-1)*Rates_previous!$H$32</f>
        <v>0</v>
      </c>
      <c r="L135" s="250">
        <f>IF(Init!$R$12="No",0,'Staging Table'!$BI137*-1)*('Staging Table'!$F137/'Staging Table'!$E137)</f>
        <v>-97105.635655993086</v>
      </c>
      <c r="M135" s="250">
        <f>IF('Staging Table'!C137=1,"",SUM(D135:L135))</f>
        <v>5466153.3051997749</v>
      </c>
      <c r="N135" s="250">
        <f>IF('Staging Table'!C137=1,"",IF(Init!$R$9="Yes",(RT1SC!$C$3*'Staging Table'!F137*'Staging Table'!$F$2)+SUM('Staging Table'!L137:AI137)-IF(Init!$R$15="No",'Staging Table'!BH137, 0),Z135))</f>
        <v>148928.76</v>
      </c>
      <c r="O135" s="126">
        <f>IF('Staging Table'!C137=1,"",IF(N135=0, 0, M135/N135))</f>
        <v>36.703141187771756</v>
      </c>
      <c r="P135" s="250">
        <f>'Staging Table'!BT137*Rates_current!$E$74*100*12</f>
        <v>5814982.8301200001</v>
      </c>
      <c r="Q135" s="250">
        <f>'Staging Table'!BT137*Rates_current!$E$75*100*12</f>
        <v>-588279.65460000001</v>
      </c>
      <c r="R135" s="251">
        <f>SUMPRODUCT('Staging Table'!BZ137:CW137, LS_Demand_Rates_Restatement!$C$5:$Z$5)-IF(Init!$R$15="No",('Staging Table'!DV137*Rates_current!$H$34), 0)</f>
        <v>-556058.43000000005</v>
      </c>
      <c r="S135" s="251">
        <f>SUMPRODUCT('Staging Table'!CX137:DI137, LS_Demand_Rates_Restatement!$C$11:$N$11)*1000</f>
        <v>226410.48</v>
      </c>
      <c r="T135" s="252">
        <f>'Staging Table'!EF137*IF(Init!$R$18="Yes",IF(Init!$R$6=2020,Rates_current!$C$88,Rates_current!$D$88),Rates_current!$H$33)</f>
        <v>0</v>
      </c>
      <c r="U135" s="252">
        <f>IF(Init!$R$18="Yes",(SUM('Staging Table'!DL137:DU137)*IF('Staging Table'!$BT$1=2020, Rates_current!$C$87, Rates_current!$D$87)),0)</f>
        <v>101510.29006518034</v>
      </c>
      <c r="V135" s="252">
        <f>IF('Staging Table'!D137=1, 'Staging Table'!BV137*-1*'Staging Table'!BT137/'Staging Table'!BS137,SUM(P135:U135)*'Staging Table'!BV137*-1)</f>
        <v>0</v>
      </c>
      <c r="W135" s="250">
        <f>'Staging Table'!BY137*Rates_current!$H$32*-1</f>
        <v>0</v>
      </c>
      <c r="X135" s="250">
        <f>IF(Init!$R$12="No",0,'Staging Table'!$DW137*-1)</f>
        <v>0</v>
      </c>
      <c r="Y135" s="250">
        <f>IF('Staging Table'!C137=1,"", SUM(P135:X135))</f>
        <v>4998565.5155851813</v>
      </c>
      <c r="Z135" s="250">
        <f>IF('Staging Table'!C137=1,"", (RT1SC!$C$4*'Staging Table'!BT137*'Staging Table'!$BT$2)+SUM('Staging Table'!BZ137:CW137)-IF(Init!$R$15="No",'Staging Table'!DV137, 0))</f>
        <v>123113.49691535358</v>
      </c>
      <c r="AA135" s="126">
        <f>IF('Staging Table'!C137=1,"",IF(Z135=0, 0, Y135/Z135))</f>
        <v>40.601279638916715</v>
      </c>
      <c r="AB135" s="118">
        <f ca="1">IF('Staging Table'!C137=1,"",(AA135/O135-1)+(RAND()/100000000000000))</f>
        <v>0.1062072161944561</v>
      </c>
      <c r="AC135" s="79">
        <f t="shared" ca="1" si="2"/>
        <v>1</v>
      </c>
      <c r="AF135" s="255"/>
      <c r="AG135" s="255"/>
      <c r="AI135" s="255"/>
      <c r="AJ135" s="255"/>
    </row>
    <row r="136" spans="1:36">
      <c r="B136" s="166">
        <v>11680</v>
      </c>
      <c r="C136" s="167" t="s">
        <v>138</v>
      </c>
      <c r="D136" s="250">
        <f>IF(Init!$R$9="Yes",'Staging Table'!F138,'Staging Table'!BT138)*Rates_previous!$E$75*100*12</f>
        <v>2284298.66304</v>
      </c>
      <c r="E136" s="250">
        <f>IF(Init!$R$9="Yes",'Staging Table'!F138,'Staging Table'!BT138)*Rates_previous!$E$76*100*12</f>
        <v>-322135.82760000002</v>
      </c>
      <c r="F136" s="251">
        <f>IF(Init!$R$9="Yes",SUMPRODUCT('Staging Table'!L138:AI138,LS_Demand_Rates_Restatement!$C$4:$Z$4)-IF(Init!$R$15="No",('Staging Table'!BH138*Rates_previous!$H$34), 0),SUMPRODUCT('Staging Table'!BZ138:CW138,LS_Demand_Rates_Restatement!$C$4:$Z$4)-IF(Init!$R$15="No", 'Staging Table'!DV138*Rates_previous!$H$34, 0))</f>
        <v>34682.492884486899</v>
      </c>
      <c r="G136" s="251">
        <f>IF(Init!$R$9="Yes",SUMPRODUCT('Staging Table'!AJ138:AU138,LS_Demand_Rates_Restatement!$C$10:$N$10),SUMPRODUCT(LS_Demand_Rates_Restatement!$C$10:$N$10,'Staging Table'!CX138:DI138))*1000</f>
        <v>71239.600000000006</v>
      </c>
      <c r="H136" s="252">
        <f>IF(Init!$R$9="Yes",'Staging Table'!BR138,'Staging Table'!EF138)*IF(Init!$R$3=2018,Rates_previous!$C$88,Rates_previous!$D$88)</f>
        <v>0</v>
      </c>
      <c r="I136" s="250">
        <f>IF(Init!$R$9="Yes",IF('Staging Table'!$F$1=2018,(SUM('Staging Table'!BD138:BG138)*Rates_previous!$C$87),(SUM('Staging Table'!BD138:BG138)*Rates_previous!$D$87)),IF('Staging Table'!$F$1=2018,(SUM('Staging Table'!DR138:DU138)*Rates_previous!$C$87),(SUM('Staging Table'!DR138:DU138)*Rates_previous!$D$87)))</f>
        <v>12551.351433847149</v>
      </c>
      <c r="J136" s="252">
        <f>IF(Init!$R$9="Yes",IF('Staging Table'!D138=1,'Staging Table'!H138*-1*'Staging Table'!BT138/'Staging Table'!BS138,'Staging Table'!H138*SUM(D136:I136)*(-1)),IF('Staging Table'!D138=1,'Staging Table'!BV138*-1*'Staging Table'!BT138/'Staging Table'!BS138,'Staging Table'!BV138*SUM(D136:I136)*(-1)))</f>
        <v>0</v>
      </c>
      <c r="K136" s="250">
        <f>IF(Init!$R$9="Yes",'Staging Table'!K138,'Staging Table'!BY138)*(-1)*Rates_previous!$H$32</f>
        <v>0</v>
      </c>
      <c r="L136" s="250">
        <f>IF(Init!$R$12="No",0,'Staging Table'!$BI138*-1)*('Staging Table'!$F138/'Staging Table'!$E138)</f>
        <v>-35565.732405704002</v>
      </c>
      <c r="M136" s="250">
        <f>IF('Staging Table'!C138=1,"",SUM(D136:L136))</f>
        <v>2045070.5473526302</v>
      </c>
      <c r="N136" s="250">
        <f>IF('Staging Table'!C138=1,"",IF(Init!$R$9="Yes",(RT1SC!$C$3*'Staging Table'!F138*'Staging Table'!$F$2)+SUM('Staging Table'!L138:AI138)-IF(Init!$R$15="No",'Staging Table'!BH138, 0),Z136))</f>
        <v>54548.520000000004</v>
      </c>
      <c r="O136" s="126">
        <f>IF('Staging Table'!C138=1,"",IF(N136=0, 0, M136/N136))</f>
        <v>37.49085304885687</v>
      </c>
      <c r="P136" s="250">
        <f>'Staging Table'!BT138*Rates_current!$E$74*100*12</f>
        <v>2129728.25196</v>
      </c>
      <c r="Q136" s="250">
        <f>'Staging Table'!BT138*Rates_current!$E$75*100*12</f>
        <v>-215456.49180000002</v>
      </c>
      <c r="R136" s="251">
        <f>SUMPRODUCT('Staging Table'!BZ138:CW138, LS_Demand_Rates_Restatement!$C$5:$Z$5)-IF(Init!$R$15="No",('Staging Table'!DV138*Rates_current!$H$34), 0)</f>
        <v>38787.100869056449</v>
      </c>
      <c r="S136" s="251">
        <f>SUMPRODUCT('Staging Table'!CX138:DI138, LS_Demand_Rates_Restatement!$C$11:$N$11)*1000</f>
        <v>78440.36</v>
      </c>
      <c r="T136" s="252">
        <f>'Staging Table'!EF138*IF(Init!$R$18="Yes",IF(Init!$R$6=2020,Rates_current!$C$88,Rates_current!$D$88),Rates_current!$H$33)</f>
        <v>0</v>
      </c>
      <c r="U136" s="252">
        <f>IF(Init!$R$18="Yes",(SUM('Staging Table'!DL138:DU138)*IF('Staging Table'!$BT$1=2020, Rates_current!$C$87, Rates_current!$D$87)),0)</f>
        <v>37177.982967837546</v>
      </c>
      <c r="V136" s="252">
        <f>IF('Staging Table'!D138=1, 'Staging Table'!BV138*-1*'Staging Table'!BT138/'Staging Table'!BS138,SUM(P136:U136)*'Staging Table'!BV138*-1)</f>
        <v>0</v>
      </c>
      <c r="W136" s="250">
        <f>'Staging Table'!BY138*Rates_current!$H$32*-1</f>
        <v>0</v>
      </c>
      <c r="X136" s="250">
        <f>IF(Init!$R$12="No",0,'Staging Table'!$DW138*-1)</f>
        <v>0</v>
      </c>
      <c r="Y136" s="250">
        <f>IF('Staging Table'!C138=1,"", SUM(P136:X136))</f>
        <v>2068677.2039968942</v>
      </c>
      <c r="Z136" s="250">
        <f>IF('Staging Table'!C138=1,"", (RT1SC!$C$4*'Staging Table'!BT138*'Staging Table'!$BT$2)+SUM('Staging Table'!BZ138:CW138)-IF(Init!$R$15="No",'Staging Table'!DV138, 0))</f>
        <v>55295.28</v>
      </c>
      <c r="AA136" s="126">
        <f>IF('Staging Table'!C138=1,"",IF(Z136=0, 0, Y136/Z136))</f>
        <v>37.411460869660019</v>
      </c>
      <c r="AB136" s="118">
        <f ca="1">IF('Staging Table'!C138=1,"",(AA136/O136-1)+(RAND()/100000000000000))</f>
        <v>-2.1176413108854025E-3</v>
      </c>
      <c r="AC136" s="79">
        <f t="shared" ca="1" si="2"/>
        <v>113</v>
      </c>
      <c r="AF136" s="255"/>
      <c r="AG136" s="255"/>
      <c r="AI136" s="255"/>
      <c r="AJ136" s="255"/>
    </row>
    <row r="137" spans="1:36">
      <c r="B137" s="166">
        <v>12026</v>
      </c>
      <c r="C137" s="167" t="s">
        <v>139</v>
      </c>
      <c r="D137" s="250">
        <f>IF(Init!$R$9="Yes",'Staging Table'!F139,'Staging Table'!BT139)*Rates_previous!$E$75*100*12</f>
        <v>16075439.743679998</v>
      </c>
      <c r="E137" s="250">
        <f>IF(Init!$R$9="Yes",'Staging Table'!F139,'Staging Table'!BT139)*Rates_previous!$E$76*100*12</f>
        <v>-2266986.8742</v>
      </c>
      <c r="F137" s="251">
        <f>IF(Init!$R$9="Yes",SUMPRODUCT('Staging Table'!L139:AI139,LS_Demand_Rates_Restatement!$C$4:$Z$4)-IF(Init!$R$15="No",('Staging Table'!BH139*Rates_previous!$H$34), 0),SUMPRODUCT('Staging Table'!BZ139:CW139,LS_Demand_Rates_Restatement!$C$4:$Z$4)-IF(Init!$R$15="No", 'Staging Table'!DV139*Rates_previous!$H$34, 0))</f>
        <v>414069.9704168709</v>
      </c>
      <c r="G137" s="251">
        <f>IF(Init!$R$9="Yes",SUMPRODUCT('Staging Table'!AJ139:AU139,LS_Demand_Rates_Restatement!$C$10:$N$10),SUMPRODUCT(LS_Demand_Rates_Restatement!$C$10:$N$10,'Staging Table'!CX139:DI139))*1000</f>
        <v>656003.78999999992</v>
      </c>
      <c r="H137" s="252">
        <f>IF(Init!$R$9="Yes",'Staging Table'!BR139,'Staging Table'!EF139)*IF(Init!$R$3=2018,Rates_previous!$C$88,Rates_previous!$D$88)</f>
        <v>71406.614399999613</v>
      </c>
      <c r="I137" s="250">
        <f>IF(Init!$R$9="Yes",IF('Staging Table'!$F$1=2018,(SUM('Staging Table'!BD139:BG139)*Rates_previous!$C$87),(SUM('Staging Table'!BD139:BG139)*Rates_previous!$D$87)),IF('Staging Table'!$F$1=2018,(SUM('Staging Table'!DR139:DU139)*Rates_previous!$C$87),(SUM('Staging Table'!DR139:DU139)*Rates_previous!$D$87)))</f>
        <v>88328.420858962025</v>
      </c>
      <c r="J137" s="252">
        <f>IF(Init!$R$9="Yes",IF('Staging Table'!D139=1,'Staging Table'!H139*-1*'Staging Table'!BT139/'Staging Table'!BS139,'Staging Table'!H139*SUM(D137:I137)*(-1)),IF('Staging Table'!D139=1,'Staging Table'!BV139*-1*'Staging Table'!BT139/'Staging Table'!BS139,'Staging Table'!BV139*SUM(D137:I137)*(-1)))</f>
        <v>0</v>
      </c>
      <c r="K137" s="250">
        <f>IF(Init!$R$9="Yes",'Staging Table'!K139,'Staging Table'!BY139)*(-1)*Rates_previous!$H$32</f>
        <v>0</v>
      </c>
      <c r="L137" s="250">
        <f>IF(Init!$R$12="No",0,'Staging Table'!$BI139*-1)*('Staging Table'!$F139/'Staging Table'!$E139)</f>
        <v>0</v>
      </c>
      <c r="M137" s="250">
        <f>IF('Staging Table'!C139=1,"",SUM(D137:L137))</f>
        <v>15038261.66515583</v>
      </c>
      <c r="N137" s="250">
        <f>IF('Staging Table'!C139=1,"",IF(Init!$R$9="Yes",(RT1SC!$C$3*'Staging Table'!F139*'Staging Table'!$F$2)+SUM('Staging Table'!L139:AI139)-IF(Init!$R$15="No",'Staging Table'!BH139, 0),Z137))</f>
        <v>389364.47999999998</v>
      </c>
      <c r="O137" s="126">
        <f>IF('Staging Table'!C139=1,"",IF(N137=0, 0, M137/N137))</f>
        <v>38.622582278578236</v>
      </c>
      <c r="P137" s="250">
        <f>'Staging Table'!BT139*Rates_current!$E$74*100*12</f>
        <v>15050935.246080004</v>
      </c>
      <c r="Q137" s="250">
        <f>'Staging Table'!BT139*Rates_current!$E$75*100*12</f>
        <v>-1522645.7664000001</v>
      </c>
      <c r="R137" s="251">
        <f>SUMPRODUCT('Staging Table'!BZ139:CW139, LS_Demand_Rates_Restatement!$C$5:$Z$5)-IF(Init!$R$15="No",('Staging Table'!DV139*Rates_current!$H$34), 0)</f>
        <v>386219.98748748639</v>
      </c>
      <c r="S137" s="251">
        <f>SUMPRODUCT('Staging Table'!CX139:DI139, LS_Demand_Rates_Restatement!$C$11:$N$11)*1000</f>
        <v>723876.25</v>
      </c>
      <c r="T137" s="252">
        <f>'Staging Table'!EF139*IF(Init!$R$18="Yes",IF(Init!$R$6=2020,Rates_current!$C$88,Rates_current!$D$88),Rates_current!$H$33)</f>
        <v>62591.533920000045</v>
      </c>
      <c r="U137" s="252">
        <f>IF(Init!$R$18="Yes",(SUM('Staging Table'!DL139:DU139)*IF('Staging Table'!$BT$1=2020, Rates_current!$C$87, Rates_current!$D$87)),0)</f>
        <v>262739.34888820624</v>
      </c>
      <c r="V137" s="252">
        <f>IF('Staging Table'!D139=1, 'Staging Table'!BV139*-1*'Staging Table'!BT139/'Staging Table'!BS139,SUM(P137:U137)*'Staging Table'!BV139*-1)</f>
        <v>0</v>
      </c>
      <c r="W137" s="250">
        <f>'Staging Table'!BY139*Rates_current!$H$32*-1</f>
        <v>0</v>
      </c>
      <c r="X137" s="250">
        <f>IF(Init!$R$12="No",0,'Staging Table'!$DW139*-1)</f>
        <v>0</v>
      </c>
      <c r="Y137" s="250">
        <f>IF('Staging Table'!C139=1,"", SUM(P137:X137))</f>
        <v>14963716.599975694</v>
      </c>
      <c r="Z137" s="250">
        <f>IF('Staging Table'!C139=1,"", (RT1SC!$C$4*'Staging Table'!BT139*'Staging Table'!$BT$2)+SUM('Staging Table'!BZ139:CW139)-IF(Init!$R$15="No",'Staging Table'!DV139, 0))</f>
        <v>394700.25599999999</v>
      </c>
      <c r="AA137" s="126">
        <f>IF('Staging Table'!C139=1,"",IF(Z137=0, 0, Y137/Z137))</f>
        <v>37.911595881953758</v>
      </c>
      <c r="AB137" s="118">
        <f ca="1">IF('Staging Table'!C139=1,"",(AA137/O137-1)+(RAND()/100000000000000))</f>
        <v>-1.8408567078609786E-2</v>
      </c>
      <c r="AC137" s="79">
        <f t="shared" ca="1" si="2"/>
        <v>118</v>
      </c>
      <c r="AF137" s="255"/>
      <c r="AG137" s="255"/>
      <c r="AI137" s="255"/>
      <c r="AJ137" s="255"/>
    </row>
    <row r="138" spans="1:36">
      <c r="B138" s="166">
        <v>10298</v>
      </c>
      <c r="C138" s="167" t="s">
        <v>140</v>
      </c>
      <c r="D138" s="250">
        <f>IF(Init!$R$9="Yes",'Staging Table'!F140,'Staging Table'!BT140)*Rates_previous!$E$75*100*12</f>
        <v>189467618.89824003</v>
      </c>
      <c r="E138" s="250">
        <f>IF(Init!$R$9="Yes",'Staging Table'!F140,'Staging Table'!BT140)*Rates_previous!$E$76*100*12</f>
        <v>-26719057.890600003</v>
      </c>
      <c r="F138" s="251">
        <f>IF(Init!$R$9="Yes",SUMPRODUCT('Staging Table'!L140:AI140,LS_Demand_Rates_Restatement!$C$4:$Z$4)-IF(Init!$R$15="No",('Staging Table'!BH140*Rates_previous!$H$34), 0),SUMPRODUCT('Staging Table'!BZ140:CW140,LS_Demand_Rates_Restatement!$C$4:$Z$4)-IF(Init!$R$15="No", 'Staging Table'!DV140*Rates_previous!$H$34, 0))</f>
        <v>1893307.7103499938</v>
      </c>
      <c r="G138" s="251">
        <f>IF(Init!$R$9="Yes",SUMPRODUCT('Staging Table'!AJ140:AU140,LS_Demand_Rates_Restatement!$C$10:$N$10),SUMPRODUCT(LS_Demand_Rates_Restatement!$C$10:$N$10,'Staging Table'!CX140:DI140))*1000</f>
        <v>11438142.120000001</v>
      </c>
      <c r="H138" s="252">
        <f>IF(Init!$R$9="Yes",'Staging Table'!BR140,'Staging Table'!EF140)*IF(Init!$R$3=2018,Rates_previous!$C$88,Rates_previous!$D$88)</f>
        <v>0</v>
      </c>
      <c r="I138" s="250">
        <f>IF(Init!$R$9="Yes",IF('Staging Table'!$F$1=2018,(SUM('Staging Table'!BD140:BG140)*Rates_previous!$C$87),(SUM('Staging Table'!BD140:BG140)*Rates_previous!$D$87)),IF('Staging Table'!$F$1=2018,(SUM('Staging Table'!DR140:DU140)*Rates_previous!$C$87),(SUM('Staging Table'!DR140:DU140)*Rates_previous!$D$87)))</f>
        <v>1041052.4283025365</v>
      </c>
      <c r="J138" s="252">
        <f>IF(Init!$R$9="Yes",IF('Staging Table'!D140=1,'Staging Table'!H140*-1*'Staging Table'!BT140/'Staging Table'!BS140,'Staging Table'!H140*SUM(D138:I138)*(-1)),IF('Staging Table'!D140=1,'Staging Table'!BV140*-1*'Staging Table'!BT140/'Staging Table'!BS140,'Staging Table'!BV140*SUM(D138:I138)*(-1)))</f>
        <v>-12873405.375355588</v>
      </c>
      <c r="K138" s="250">
        <f>IF(Init!$R$9="Yes",'Staging Table'!K140,'Staging Table'!BY140)*(-1)*Rates_previous!$H$32</f>
        <v>-5259715.7188799996</v>
      </c>
      <c r="L138" s="250">
        <f>IF(Init!$R$12="No",0,'Staging Table'!$BI140*-1)*('Staging Table'!$F140/'Staging Table'!$E140)</f>
        <v>-5322915.4195733145</v>
      </c>
      <c r="M138" s="250">
        <f>IF('Staging Table'!C140=1,"",SUM(D138:L138))</f>
        <v>153665026.75248367</v>
      </c>
      <c r="N138" s="250">
        <f>IF('Staging Table'!C140=1,"",IF(Init!$R$9="Yes",(RT1SC!$C$3*'Staging Table'!F140*'Staging Table'!$F$2)+SUM('Staging Table'!L140:AI140)-IF(Init!$R$15="No",'Staging Table'!BH140, 0),Z138))</f>
        <v>4569680.28</v>
      </c>
      <c r="O138" s="126">
        <f>IF('Staging Table'!C140=1,"",IF(N138=0, 0, M138/N138))</f>
        <v>33.627084902422027</v>
      </c>
      <c r="P138" s="250">
        <f>'Staging Table'!BT140*Rates_current!$E$74*100*12</f>
        <v>176770059.24264002</v>
      </c>
      <c r="Q138" s="250">
        <f>'Staging Table'!BT140*Rates_current!$E$75*100*12</f>
        <v>-17883153.301199999</v>
      </c>
      <c r="R138" s="251">
        <f>SUMPRODUCT('Staging Table'!BZ140:CW140, LS_Demand_Rates_Restatement!$C$5:$Z$5)-IF(Init!$R$15="No",('Staging Table'!DV140*Rates_current!$H$34), 0)</f>
        <v>1667418.2563738353</v>
      </c>
      <c r="S138" s="251">
        <f>SUMPRODUCT('Staging Table'!CX140:DI140, LS_Demand_Rates_Restatement!$C$11:$N$11)*1000</f>
        <v>12120795.35</v>
      </c>
      <c r="T138" s="252">
        <f>'Staging Table'!EF140*IF(Init!$R$18="Yes",IF(Init!$R$6=2020,Rates_current!$C$88,Rates_current!$D$88),Rates_current!$H$33)</f>
        <v>0</v>
      </c>
      <c r="U138" s="252">
        <f>IF(Init!$R$18="Yes",(SUM('Staging Table'!DL140:DU140)*IF('Staging Table'!$BT$1=2020, Rates_current!$C$87, Rates_current!$D$87)),0)</f>
        <v>3085818.2238500607</v>
      </c>
      <c r="V138" s="252">
        <f>IF('Staging Table'!D140=1, 'Staging Table'!BV140*-1*'Staging Table'!BT140/'Staging Table'!BS140,SUM(P138:U138)*'Staging Table'!BV140*-1)</f>
        <v>-13490667.345362173</v>
      </c>
      <c r="W138" s="250">
        <f>'Staging Table'!BY140*Rates_current!$H$32*-1</f>
        <v>-4969000.1391799999</v>
      </c>
      <c r="X138" s="250">
        <f>IF(Init!$R$12="No",0,'Staging Table'!$DW140*-1)</f>
        <v>0</v>
      </c>
      <c r="Y138" s="250">
        <f>IF('Staging Table'!C140=1,"", SUM(P138:X138))</f>
        <v>157301270.28712171</v>
      </c>
      <c r="Z138" s="250">
        <f>IF('Staging Table'!C140=1,"", (RT1SC!$C$4*'Staging Table'!BT140*'Staging Table'!$BT$2)+SUM('Staging Table'!BZ140:CW140)-IF(Init!$R$15="No",'Staging Table'!DV140, 0))</f>
        <v>4632295.1040000003</v>
      </c>
      <c r="AA138" s="126">
        <f>IF('Staging Table'!C140=1,"",IF(Z138=0, 0, Y138/Z138))</f>
        <v>33.957523593713105</v>
      </c>
      <c r="AB138" s="118">
        <f ca="1">IF('Staging Table'!C140=1,"",(AA138/O138-1)+(RAND()/100000000000000))</f>
        <v>9.8265636837094814E-3</v>
      </c>
      <c r="AC138" s="79">
        <f t="shared" ca="1" si="2"/>
        <v>84</v>
      </c>
      <c r="AF138" s="255"/>
      <c r="AG138" s="255"/>
      <c r="AI138" s="255"/>
      <c r="AJ138" s="255"/>
    </row>
    <row r="139" spans="1:36">
      <c r="B139" s="302"/>
      <c r="C139" s="302"/>
      <c r="D139" s="302"/>
      <c r="E139" s="302"/>
      <c r="F139" s="302"/>
      <c r="G139" s="302"/>
      <c r="H139" s="302"/>
      <c r="I139" s="302"/>
      <c r="J139" s="302"/>
      <c r="K139" s="302"/>
      <c r="L139" s="250"/>
      <c r="M139" s="302"/>
      <c r="P139" s="302"/>
      <c r="Q139" s="302"/>
      <c r="R139" s="302"/>
      <c r="S139" s="302"/>
      <c r="T139" s="302"/>
      <c r="U139" s="302"/>
      <c r="V139" s="302"/>
      <c r="W139" s="302"/>
      <c r="X139" s="250"/>
      <c r="Y139" s="302"/>
      <c r="AF139" s="255"/>
      <c r="AG139" s="255"/>
      <c r="AI139" s="255"/>
      <c r="AJ139" s="255"/>
    </row>
    <row r="140" spans="1:36">
      <c r="A140" s="18"/>
      <c r="B140" s="302"/>
      <c r="C140" s="302"/>
      <c r="D140" s="302"/>
      <c r="E140" s="302"/>
      <c r="F140" s="302"/>
      <c r="G140" s="302"/>
      <c r="H140" s="302"/>
      <c r="I140" s="302"/>
      <c r="J140" s="302"/>
      <c r="K140" s="302"/>
      <c r="L140" s="302"/>
      <c r="M140" s="302"/>
      <c r="P140" s="302"/>
      <c r="Q140" s="302"/>
      <c r="R140" s="302"/>
      <c r="S140" s="302"/>
      <c r="T140" s="302"/>
      <c r="U140" s="302"/>
      <c r="V140" s="302"/>
      <c r="W140" s="302"/>
      <c r="X140" s="302"/>
      <c r="Y140" s="304"/>
      <c r="AF140" s="255"/>
      <c r="AG140" s="255"/>
      <c r="AI140" s="255"/>
      <c r="AJ140" s="255"/>
    </row>
    <row r="141" spans="1:36">
      <c r="A141" s="18"/>
      <c r="D141" s="302"/>
      <c r="E141" s="302"/>
      <c r="F141" s="302"/>
      <c r="G141" s="302"/>
      <c r="H141" s="302"/>
      <c r="I141" s="302"/>
      <c r="J141" s="302"/>
      <c r="K141" s="302"/>
      <c r="L141" s="302"/>
      <c r="M141" s="302"/>
      <c r="P141" s="302"/>
      <c r="Q141" s="302"/>
      <c r="R141" s="302"/>
      <c r="S141" s="302"/>
      <c r="T141" s="302"/>
      <c r="U141" s="302"/>
      <c r="V141" s="302"/>
      <c r="W141" s="302"/>
      <c r="X141" s="302"/>
      <c r="Y141" s="302"/>
      <c r="AF141" s="255"/>
      <c r="AG141" s="255"/>
      <c r="AI141" s="255"/>
      <c r="AJ141" s="255"/>
    </row>
    <row r="142" spans="1:36">
      <c r="A142" s="18"/>
      <c r="B142" s="302"/>
      <c r="C142" s="302"/>
      <c r="D142" s="302"/>
      <c r="E142" s="302"/>
      <c r="F142" s="302"/>
      <c r="G142" s="302"/>
      <c r="H142" s="302"/>
      <c r="I142" s="302"/>
      <c r="J142" s="302"/>
      <c r="K142" s="302"/>
      <c r="L142" s="302"/>
      <c r="M142" s="302"/>
      <c r="P142" s="302"/>
      <c r="Q142" s="302"/>
      <c r="R142" s="302"/>
      <c r="S142" s="302"/>
      <c r="T142" s="302"/>
      <c r="U142" s="302"/>
      <c r="V142" s="302"/>
      <c r="W142" s="302"/>
      <c r="X142" s="302"/>
      <c r="Y142" s="302"/>
    </row>
    <row r="143" spans="1:36">
      <c r="B143" s="302"/>
      <c r="C143" s="302"/>
      <c r="D143" s="302"/>
      <c r="E143" s="302"/>
      <c r="F143" s="302"/>
      <c r="G143" s="302"/>
      <c r="H143" s="302"/>
      <c r="I143" s="302"/>
      <c r="J143" s="302"/>
      <c r="K143" s="302"/>
      <c r="L143" s="302"/>
      <c r="M143" s="302"/>
      <c r="P143" s="302"/>
      <c r="Q143" s="302"/>
      <c r="R143" s="302"/>
      <c r="S143" s="302"/>
      <c r="T143" s="127"/>
      <c r="U143" s="127"/>
      <c r="V143" s="302"/>
      <c r="W143" s="302"/>
      <c r="X143" s="302"/>
      <c r="Y143" s="302"/>
    </row>
    <row r="144" spans="1:36">
      <c r="B144" s="166"/>
      <c r="C144" s="167"/>
      <c r="G144" s="190"/>
    </row>
    <row r="145" spans="2:3">
      <c r="B145" s="166"/>
      <c r="C145" s="167"/>
    </row>
    <row r="146" spans="2:3">
      <c r="B146" s="166"/>
      <c r="C146" s="167"/>
    </row>
    <row r="147" spans="2:3">
      <c r="B147" s="166"/>
      <c r="C147" s="167"/>
    </row>
    <row r="148" spans="2:3">
      <c r="B148" s="166"/>
      <c r="C148" s="167"/>
    </row>
    <row r="149" spans="2:3">
      <c r="B149" s="166"/>
      <c r="C149" s="167"/>
    </row>
    <row r="150" spans="2:3">
      <c r="B150" s="166"/>
      <c r="C150" s="167"/>
    </row>
    <row r="151" spans="2:3">
      <c r="B151" s="166"/>
      <c r="C151" s="167"/>
    </row>
    <row r="152" spans="2:3">
      <c r="B152" s="166"/>
      <c r="C152" s="167"/>
    </row>
    <row r="153" spans="2:3">
      <c r="B153" s="166"/>
      <c r="C153" s="167"/>
    </row>
    <row r="154" spans="2:3">
      <c r="B154" s="166"/>
      <c r="C154" s="167"/>
    </row>
    <row r="155" spans="2:3">
      <c r="B155" s="166"/>
      <c r="C155" s="167"/>
    </row>
    <row r="156" spans="2:3">
      <c r="B156" s="166"/>
      <c r="C156" s="167"/>
    </row>
    <row r="157" spans="2:3">
      <c r="B157" s="166"/>
      <c r="C157" s="167"/>
    </row>
    <row r="158" spans="2:3">
      <c r="B158" s="166"/>
      <c r="C158" s="167"/>
    </row>
    <row r="159" spans="2:3">
      <c r="B159" s="166"/>
      <c r="C159" s="167"/>
    </row>
    <row r="160" spans="2:3">
      <c r="B160" s="166"/>
      <c r="C160" s="167"/>
    </row>
    <row r="161" spans="2:3">
      <c r="B161" s="166"/>
      <c r="C161" s="167"/>
    </row>
    <row r="162" spans="2:3">
      <c r="B162" s="166"/>
      <c r="C162" s="167"/>
    </row>
    <row r="163" spans="2:3">
      <c r="B163" s="166"/>
      <c r="C163" s="167"/>
    </row>
    <row r="164" spans="2:3">
      <c r="B164" s="166"/>
      <c r="C164" s="167"/>
    </row>
    <row r="165" spans="2:3">
      <c r="B165" s="166"/>
      <c r="C165" s="167"/>
    </row>
    <row r="166" spans="2:3">
      <c r="B166" s="166"/>
      <c r="C166" s="167"/>
    </row>
    <row r="167" spans="2:3">
      <c r="B167" s="166"/>
      <c r="C167" s="167"/>
    </row>
    <row r="168" spans="2:3">
      <c r="B168" s="183"/>
      <c r="C168" s="183"/>
    </row>
    <row r="169" spans="2:3">
      <c r="B169" s="183"/>
      <c r="C169" s="183"/>
    </row>
    <row r="170" spans="2:3">
      <c r="B170" s="183"/>
      <c r="C170" s="183"/>
    </row>
  </sheetData>
  <conditionalFormatting sqref="B2">
    <cfRule type="expression" dxfId="1" priority="1" stopIfTrue="1">
      <formula>A1 &gt; 30</formula>
    </cfRule>
  </conditionalFormatting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K170"/>
  <sheetViews>
    <sheetView topLeftCell="B1" zoomScale="85" zoomScaleNormal="85" workbookViewId="0">
      <pane xSplit="2" ySplit="3" topLeftCell="D4" activePane="bottomRight" state="frozen"/>
      <selection activeCell="B1" sqref="B1"/>
      <selection pane="topRight" activeCell="D1" sqref="D1"/>
      <selection pane="bottomLeft" activeCell="B4" sqref="B4"/>
      <selection pane="bottomRight" activeCell="B1" sqref="B1"/>
    </sheetView>
  </sheetViews>
  <sheetFormatPr defaultRowHeight="15"/>
  <cols>
    <col min="1" max="1" width="9.5703125" style="302" customWidth="1"/>
    <col min="2" max="2" width="9.140625" style="184"/>
    <col min="3" max="3" width="28.42578125" style="184" bestFit="1" customWidth="1"/>
    <col min="4" max="20" width="12.7109375" style="295" customWidth="1"/>
    <col min="21" max="21" width="13.5703125" style="295" customWidth="1"/>
    <col min="22" max="27" width="12.7109375" style="295" customWidth="1"/>
    <col min="28" max="28" width="15" style="295" bestFit="1" customWidth="1"/>
    <col min="29" max="29" width="8.42578125" style="79" bestFit="1" customWidth="1"/>
    <col min="30" max="30" width="13.5703125" style="295" bestFit="1" customWidth="1"/>
    <col min="31" max="31" width="10.85546875" style="295" bestFit="1" customWidth="1"/>
    <col min="32" max="32" width="9.85546875" style="295" bestFit="1" customWidth="1"/>
    <col min="33" max="34" width="9.140625" style="295"/>
    <col min="35" max="35" width="9.85546875" style="295" bestFit="1" customWidth="1"/>
    <col min="36" max="16384" width="9.140625" style="295"/>
  </cols>
  <sheetData>
    <row r="1" spans="1:37" ht="15.75">
      <c r="B1" s="67" t="s">
        <v>219</v>
      </c>
      <c r="C1" s="68"/>
    </row>
    <row r="2" spans="1:37">
      <c r="A2" s="69" t="s">
        <v>0</v>
      </c>
      <c r="B2" s="70"/>
      <c r="C2" s="68"/>
      <c r="D2" s="296" t="s">
        <v>149</v>
      </c>
      <c r="P2" s="296" t="s">
        <v>150</v>
      </c>
    </row>
    <row r="3" spans="1:37" s="83" customFormat="1">
      <c r="A3" s="81" t="s">
        <v>1</v>
      </c>
      <c r="B3" s="82" t="s">
        <v>2</v>
      </c>
      <c r="C3" s="71" t="s">
        <v>3</v>
      </c>
      <c r="D3" s="248" t="s">
        <v>163</v>
      </c>
      <c r="E3" s="248" t="s">
        <v>298</v>
      </c>
      <c r="F3" s="248" t="s">
        <v>213</v>
      </c>
      <c r="G3" s="248" t="s">
        <v>208</v>
      </c>
      <c r="H3" s="249" t="s">
        <v>279</v>
      </c>
      <c r="I3" s="248" t="s">
        <v>369</v>
      </c>
      <c r="J3" s="249" t="s">
        <v>299</v>
      </c>
      <c r="K3" s="248" t="s">
        <v>220</v>
      </c>
      <c r="L3" s="248" t="s">
        <v>307</v>
      </c>
      <c r="M3" s="248" t="s">
        <v>183</v>
      </c>
      <c r="N3" s="248" t="s">
        <v>222</v>
      </c>
      <c r="O3" s="248" t="s">
        <v>227</v>
      </c>
      <c r="P3" s="253" t="s">
        <v>163</v>
      </c>
      <c r="Q3" s="253" t="s">
        <v>298</v>
      </c>
      <c r="R3" s="254" t="s">
        <v>213</v>
      </c>
      <c r="S3" s="254" t="s">
        <v>208</v>
      </c>
      <c r="T3" s="253" t="s">
        <v>279</v>
      </c>
      <c r="U3" s="254" t="s">
        <v>369</v>
      </c>
      <c r="V3" s="253" t="s">
        <v>299</v>
      </c>
      <c r="W3" s="254" t="s">
        <v>220</v>
      </c>
      <c r="X3" s="254" t="s">
        <v>307</v>
      </c>
      <c r="Y3" s="253" t="s">
        <v>183</v>
      </c>
      <c r="Z3" s="254" t="s">
        <v>222</v>
      </c>
      <c r="AA3" s="254" t="s">
        <v>227</v>
      </c>
      <c r="AB3" s="258" t="s">
        <v>228</v>
      </c>
      <c r="AC3" s="259" t="s">
        <v>230</v>
      </c>
      <c r="AD3" s="295"/>
      <c r="AE3" s="295"/>
      <c r="AF3" s="295"/>
      <c r="AG3" s="295"/>
      <c r="AH3" s="295"/>
      <c r="AI3" s="295"/>
      <c r="AJ3" s="295"/>
      <c r="AK3" s="295"/>
    </row>
    <row r="4" spans="1:37">
      <c r="B4" s="166">
        <v>10005</v>
      </c>
      <c r="C4" s="167" t="s">
        <v>7</v>
      </c>
      <c r="D4" s="250">
        <f>IF(Init!$R$9="Yes",'Staging Table'!F6,'Staging Table'!BT6)*Rates_previous!$E$75*100*12</f>
        <v>194901.68160000001</v>
      </c>
      <c r="E4" s="250">
        <f>IF(Init!$R$9="Yes",'Staging Table'!F6,'Staging Table'!BT6)*Rates_previous!$E$76*100*12</f>
        <v>-27485.379000000001</v>
      </c>
      <c r="F4" s="251"/>
      <c r="G4" s="251">
        <f>IF(Init!$R$9="Yes",SUMPRODUCT('Staging Table'!AJ6:AU6,LS_Demand_Rates_Restatement!$C$10:$N$10),SUMPRODUCT(LS_Demand_Rates_Restatement!$C$10:$N$10,'Staging Table'!CX6:DI6))*1000</f>
        <v>7911.3</v>
      </c>
      <c r="H4" s="252"/>
      <c r="I4" s="250">
        <f>IF(Init!$R$9="Yes",IF('Staging Table'!$F$1=2018,(SUM('Staging Table'!BD6:BG6)*Rates_previous!$C$87),(SUM('Staging Table'!BD6:BG6)*Rates_previous!$D$87)),IF('Staging Table'!$F$1=2018,(SUM('Staging Table'!DR6:DU6)*Rates_previous!$C$87),(SUM('Staging Table'!DR6:DU6)*Rates_previous!$D$87)))</f>
        <v>1070.9105338939403</v>
      </c>
      <c r="J4" s="252">
        <f>IF(Init!$R$9="Yes",IF('Staging Table'!D6=1,'Staging Table'!H6*-1*'Staging Table'!F6/'Staging Table'!E6,'Staging Table'!H6*SUM(D4:I4)*(-1)),IF('Staging Table'!D6=1,'Staging Table'!BV6*-1*'Staging Table'!BT6/'Staging Table'!BS6,'Staging Table'!BV6*SUM(D4:I4)*(-1)))</f>
        <v>-7937.9330910252265</v>
      </c>
      <c r="K4" s="250">
        <f>IF(Init!$R$9="Yes",'Staging Table'!K6,'Staging Table'!BY6)*(-1)*Rates_previous!$H$32</f>
        <v>0</v>
      </c>
      <c r="L4" s="250">
        <f>IF(Init!$R$12="No",0,'Staging Table'!$BI6*-1)*('Staging Table'!$F6/'Staging Table'!$E6)</f>
        <v>-6212.6606158474387</v>
      </c>
      <c r="M4" s="250">
        <f>IF('Staging Table'!C6=1,"",SUM(D4:L4))</f>
        <v>162247.91942702126</v>
      </c>
      <c r="N4" s="250">
        <f>IF('Staging Table'!C6=1,"",IF(Init!$R$9="Yes",(RT1SC!$C$3*'Staging Table'!F6*'Staging Table'!$F$2),Z4))</f>
        <v>4654.0190984399997</v>
      </c>
      <c r="O4" s="126">
        <f>IF('Staging Table'!C6=1,"",IF(N4=0, 0, M4/N4))</f>
        <v>34.861893772933982</v>
      </c>
      <c r="P4" s="250">
        <f>'Staging Table'!BT6*Rates_current!$E$74*100*12</f>
        <v>183953.76264</v>
      </c>
      <c r="Q4" s="250">
        <f>'Staging Table'!BT6*Rates_current!$E$75*100*12</f>
        <v>-18609.9012</v>
      </c>
      <c r="R4" s="251"/>
      <c r="S4" s="251">
        <f>SUMPRODUCT('Staging Table'!CX6:DI6, LS_Demand_Rates_Restatement!$C$11:$N$11)*1000</f>
        <v>8793.64</v>
      </c>
      <c r="T4" s="252"/>
      <c r="U4" s="252">
        <f>IF(Init!$R$18="Yes",(SUM('Staging Table'!DL6:DU6)*IF('Staging Table'!$BT$1=2020, Rates_current!$C$87, Rates_current!$D$87)),0)</f>
        <v>3211.2218298299586</v>
      </c>
      <c r="V4" s="252">
        <f>IF('Staging Table'!D6=1, 'Staging Table'!BV6*-1*'Staging Table'!BT6/'Staging Table'!BS6,SUM(P4:U4)*'Staging Table'!BV6*-1)</f>
        <v>-6207.2053144440506</v>
      </c>
      <c r="W4" s="250">
        <f>'Staging Table'!BY6*Rates_current!$H$32*-1</f>
        <v>0</v>
      </c>
      <c r="X4" s="250">
        <f>IF(Init!$R$12="No",0,'Staging Table'!$DW6*-1)</f>
        <v>0</v>
      </c>
      <c r="Y4" s="250">
        <f>IF('Staging Table'!C6=1,"",SUM(P4:X4))</f>
        <v>171141.51795538593</v>
      </c>
      <c r="Z4" s="250">
        <f>IF('Staging Table'!C6=1,"",(RT1SC!$C$4*'Staging Table'!BT6*'Staging Table'!$BT$2))</f>
        <v>4775.836457779199</v>
      </c>
      <c r="AA4" s="126">
        <f>IF('Staging Table'!C6=1,"",IF(Z4=0, 0, Y4/Z4))</f>
        <v>35.834878239312253</v>
      </c>
      <c r="AB4" s="118">
        <f ca="1">IF('Staging Table'!C6=1,"",(AA4/O4-1)+(RAND()/100000000000))</f>
        <v>2.7909684792978708E-2</v>
      </c>
      <c r="AC4" s="79">
        <f t="shared" ref="AC4:AC67" ca="1" si="0">IF(AB4="","",RANK(AB4,$AB$4:$AB$138))</f>
        <v>12</v>
      </c>
      <c r="AF4" s="255"/>
      <c r="AG4" s="255"/>
      <c r="AI4" s="255"/>
      <c r="AJ4" s="255"/>
    </row>
    <row r="5" spans="1:37">
      <c r="B5" s="166">
        <v>10015</v>
      </c>
      <c r="C5" s="167" t="s">
        <v>8</v>
      </c>
      <c r="D5" s="250">
        <f>IF(Init!$R$9="Yes",'Staging Table'!F7,'Staging Table'!BT7)*Rates_previous!$E$75*100*12</f>
        <v>206876.03328000003</v>
      </c>
      <c r="E5" s="250">
        <f>IF(Init!$R$9="Yes",'Staging Table'!F7,'Staging Table'!BT7)*Rates_previous!$E$76*100*12</f>
        <v>-29174.0232</v>
      </c>
      <c r="F5" s="251"/>
      <c r="G5" s="251">
        <f>IF(Init!$R$9="Yes",SUMPRODUCT('Staging Table'!AJ7:AU7,LS_Demand_Rates_Restatement!$C$10:$N$10),SUMPRODUCT(LS_Demand_Rates_Restatement!$C$10:$N$10,'Staging Table'!CX7:DI7))*1000</f>
        <v>39740.410000000003</v>
      </c>
      <c r="H5" s="252"/>
      <c r="I5" s="250">
        <f>IF(Init!$R$9="Yes",IF('Staging Table'!$F$1=2018,(SUM('Staging Table'!BD7:BG7)*Rates_previous!$C$87),(SUM('Staging Table'!BD7:BG7)*Rates_previous!$D$87)),IF('Staging Table'!$F$1=2018,(SUM('Staging Table'!DR7:DU7)*Rates_previous!$C$87),(SUM('Staging Table'!DR7:DU7)*Rates_previous!$D$87)))</f>
        <v>1136.7050372835026</v>
      </c>
      <c r="J5" s="252">
        <f>IF(Init!$R$9="Yes",IF('Staging Table'!D7=1,'Staging Table'!H7*-1*'Staging Table'!F7/'Staging Table'!E7,'Staging Table'!H7*SUM(D5:I5)*(-1)),IF('Staging Table'!D7=1,'Staging Table'!BV7*-1*'Staging Table'!BT7/'Staging Table'!BS7,'Staging Table'!BV7*SUM(D5:I5)*(-1)))</f>
        <v>0</v>
      </c>
      <c r="K5" s="250">
        <f>IF(Init!$R$9="Yes",'Staging Table'!K7,'Staging Table'!BY7)*(-1)*Rates_previous!$H$32</f>
        <v>0</v>
      </c>
      <c r="L5" s="250">
        <f>IF(Init!$R$12="No",0,'Staging Table'!$BI7*-1)*('Staging Table'!$F7/'Staging Table'!$E7)</f>
        <v>-3220.9875879357182</v>
      </c>
      <c r="M5" s="250">
        <f>IF('Staging Table'!C7=1,"",SUM(D5:L5))</f>
        <v>215358.13752934782</v>
      </c>
      <c r="N5" s="250">
        <f>IF('Staging Table'!C7=1,"",IF(Init!$R$9="Yes",(RT1SC!$C$3*'Staging Table'!F7*'Staging Table'!$F$2),Z5))</f>
        <v>4939.9522979519988</v>
      </c>
      <c r="O5" s="126">
        <f>IF('Staging Table'!C7=1,"",IF(N5=0, 0, M5/N5))</f>
        <v>43.595185649592366</v>
      </c>
      <c r="P5" s="250">
        <f>'Staging Table'!BT7*Rates_current!$E$74*100*12</f>
        <v>192747.41796000002</v>
      </c>
      <c r="Q5" s="250">
        <f>'Staging Table'!BT7*Rates_current!$E$75*100*12</f>
        <v>-19499.521800000002</v>
      </c>
      <c r="R5" s="251"/>
      <c r="S5" s="251">
        <f>SUMPRODUCT('Staging Table'!CX7:DI7, LS_Demand_Rates_Restatement!$C$11:$N$11)*1000</f>
        <v>41360.060000000005</v>
      </c>
      <c r="T5" s="252"/>
      <c r="U5" s="252">
        <f>IF(Init!$R$18="Yes",(SUM('Staging Table'!DL7:DU7)*IF('Staging Table'!$BT$1=2020, Rates_current!$C$87, Rates_current!$D$87)),0)</f>
        <v>3364.7298501189875</v>
      </c>
      <c r="V5" s="252">
        <f>IF('Staging Table'!D7=1, 'Staging Table'!BV7*-1*'Staging Table'!BT7/'Staging Table'!BS7,SUM(P5:U5)*'Staging Table'!BV7*-1)</f>
        <v>0</v>
      </c>
      <c r="W5" s="250">
        <f>'Staging Table'!BY7*Rates_current!$H$32*-1</f>
        <v>0</v>
      </c>
      <c r="X5" s="250">
        <f>IF(Init!$R$12="No",0,'Staging Table'!$DW7*-1)</f>
        <v>0</v>
      </c>
      <c r="Y5" s="250">
        <f>IF('Staging Table'!C7=1,"",SUM(P5:X5))</f>
        <v>217972.68601011898</v>
      </c>
      <c r="Z5" s="250">
        <f>IF('Staging Table'!C7=1,"",(RT1SC!$C$4*'Staging Table'!BT7*'Staging Table'!$BT$2))</f>
        <v>5004.1387173888006</v>
      </c>
      <c r="AA5" s="126">
        <f>IF('Staging Table'!C7=1,"",IF(Z5=0, 0, Y5/Z5))</f>
        <v>43.558481952686328</v>
      </c>
      <c r="AB5" s="118">
        <f ca="1">IF('Staging Table'!C7=1,"",(AA5/O5-1)+(RAND()/100000000000))</f>
        <v>-8.4192087190589494E-4</v>
      </c>
      <c r="AC5" s="79">
        <f t="shared" ca="1" si="0"/>
        <v>106</v>
      </c>
      <c r="AF5" s="255"/>
      <c r="AG5" s="255"/>
      <c r="AI5" s="255"/>
      <c r="AJ5" s="255"/>
    </row>
    <row r="6" spans="1:37">
      <c r="B6" s="166">
        <v>10024</v>
      </c>
      <c r="C6" s="167" t="s">
        <v>9</v>
      </c>
      <c r="D6" s="250">
        <f>IF(Init!$R$9="Yes",'Staging Table'!F8,'Staging Table'!BT8)*Rates_previous!$E$75*100*12</f>
        <v>37785194.112959996</v>
      </c>
      <c r="E6" s="250">
        <f>IF(Init!$R$9="Yes",'Staging Table'!F8,'Staging Table'!BT8)*Rates_previous!$E$76*100*12</f>
        <v>-5328534.7373999991</v>
      </c>
      <c r="F6" s="251"/>
      <c r="G6" s="251">
        <f>IF(Init!$R$9="Yes",SUMPRODUCT('Staging Table'!AJ8:AU8,LS_Demand_Rates_Restatement!$C$10:$N$10),SUMPRODUCT(LS_Demand_Rates_Restatement!$C$10:$N$10,'Staging Table'!CX8:DI8))*1000</f>
        <v>0</v>
      </c>
      <c r="H6" s="252"/>
      <c r="I6" s="250">
        <f>IF(Init!$R$9="Yes",IF('Staging Table'!$F$1=2018,(SUM('Staging Table'!BD8:BG8)*Rates_previous!$C$87),(SUM('Staging Table'!BD8:BG8)*Rates_previous!$D$87)),IF('Staging Table'!$F$1=2018,(SUM('Staging Table'!DR8:DU8)*Rates_previous!$C$87),(SUM('Staging Table'!DR8:DU8)*Rates_previous!$D$87)))</f>
        <v>207615.25538728939</v>
      </c>
      <c r="J6" s="252">
        <f>IF(Init!$R$9="Yes",IF('Staging Table'!D8=1,'Staging Table'!H8*-1*'Staging Table'!F8/'Staging Table'!E8,'Staging Table'!H8*SUM(D6:I6)*(-1)),IF('Staging Table'!D8=1,'Staging Table'!BV8*-1*'Staging Table'!BT8/'Staging Table'!BS8,'Staging Table'!BV8*SUM(D6:I6)*(-1)))</f>
        <v>0</v>
      </c>
      <c r="K6" s="250">
        <f>IF(Init!$R$9="Yes",'Staging Table'!K8,'Staging Table'!BY8)*(-1)*Rates_previous!$H$32</f>
        <v>-3671932.9920000001</v>
      </c>
      <c r="L6" s="250">
        <f>IF(Init!$R$12="No",0,'Staging Table'!$BI8*-1)*('Staging Table'!$F8/'Staging Table'!$E8)</f>
        <v>-1147168.5848148728</v>
      </c>
      <c r="M6" s="250">
        <f>IF('Staging Table'!C8=1,"",SUM(D6:L6))</f>
        <v>27845173.054132413</v>
      </c>
      <c r="N6" s="250">
        <f>IF('Staging Table'!C8=1,"",IF(Init!$R$9="Yes",(RT1SC!$C$3*'Staging Table'!F8*'Staging Table'!$F$2),Z6))</f>
        <v>902265.25290266389</v>
      </c>
      <c r="O6" s="126">
        <f>IF('Staging Table'!C8=1,"",IF(N6=0, 0, M6/N6))</f>
        <v>30.861404630791366</v>
      </c>
      <c r="P6" s="250">
        <f>'Staging Table'!BT8*Rates_current!$E$74*100*12</f>
        <v>35229284.542799994</v>
      </c>
      <c r="Q6" s="250">
        <f>'Staging Table'!BT8*Rates_current!$E$75*100*12</f>
        <v>-3564012.4739999995</v>
      </c>
      <c r="R6" s="251"/>
      <c r="S6" s="251">
        <f>SUMPRODUCT('Staging Table'!CX8:DI8, LS_Demand_Rates_Restatement!$C$11:$N$11)*1000</f>
        <v>0</v>
      </c>
      <c r="T6" s="252"/>
      <c r="U6" s="252">
        <f>IF(Init!$R$18="Yes",(SUM('Staging Table'!DL8:DU8)*IF('Staging Table'!$BT$1=2020, Rates_current!$C$87, Rates_current!$D$87)),0)</f>
        <v>614986.32020115596</v>
      </c>
      <c r="V6" s="252">
        <f>IF('Staging Table'!D8=1, 'Staging Table'!BV8*-1*'Staging Table'!BT8/'Staging Table'!BS8,SUM(P6:U6)*'Staging Table'!BV8*-1)</f>
        <v>0</v>
      </c>
      <c r="W6" s="250">
        <f>'Staging Table'!BY8*Rates_current!$H$32*-1</f>
        <v>-3468977.5120000001</v>
      </c>
      <c r="X6" s="250">
        <f>IF(Init!$R$12="No",0,'Staging Table'!$DW8*-1)</f>
        <v>0</v>
      </c>
      <c r="Y6" s="250">
        <f>IF('Staging Table'!C8=1,"",SUM(P6:X6))</f>
        <v>28811280.877001151</v>
      </c>
      <c r="Z6" s="250">
        <f>IF('Staging Table'!C8=1,"",(RT1SC!$C$4*'Staging Table'!BT8*'Staging Table'!$BT$2))</f>
        <v>914628.21464678389</v>
      </c>
      <c r="AA6" s="126">
        <f>IF('Staging Table'!C8=1,"",IF(Z6=0, 0, Y6/Z6))</f>
        <v>31.50053804990878</v>
      </c>
      <c r="AB6" s="118">
        <f ca="1">IF('Staging Table'!C8=1,"",(AA6/O6-1)+(RAND()/100000000000))</f>
        <v>2.0709796808526391E-2</v>
      </c>
      <c r="AC6" s="79">
        <f t="shared" ca="1" si="0"/>
        <v>51</v>
      </c>
      <c r="AF6" s="255"/>
      <c r="AG6" s="255"/>
      <c r="AI6" s="255"/>
      <c r="AJ6" s="255"/>
    </row>
    <row r="7" spans="1:37">
      <c r="B7" s="166">
        <v>10025</v>
      </c>
      <c r="C7" s="167" t="s">
        <v>10</v>
      </c>
      <c r="D7" s="250">
        <f>IF(Init!$R$9="Yes",'Staging Table'!F9,'Staging Table'!BT9)*Rates_previous!$E$75*100*12</f>
        <v>21534979.789439999</v>
      </c>
      <c r="E7" s="250">
        <f>IF(Init!$R$9="Yes",'Staging Table'!F9,'Staging Table'!BT9)*Rates_previous!$E$76*100*12</f>
        <v>-3036900.8435999993</v>
      </c>
      <c r="F7" s="251"/>
      <c r="G7" s="251">
        <f>IF(Init!$R$9="Yes",SUMPRODUCT('Staging Table'!AJ9:AU9,LS_Demand_Rates_Restatement!$C$10:$N$10),SUMPRODUCT(LS_Demand_Rates_Restatement!$C$10:$N$10,'Staging Table'!CX9:DI9))*1000</f>
        <v>950873.38</v>
      </c>
      <c r="H7" s="252"/>
      <c r="I7" s="250">
        <f>IF(Init!$R$9="Yes",IF('Staging Table'!$F$1=2018,(SUM('Staging Table'!BD9:BG9)*Rates_previous!$C$87),(SUM('Staging Table'!BD9:BG9)*Rates_previous!$D$87)),IF('Staging Table'!$F$1=2018,(SUM('Staging Table'!DR9:DU9)*Rates_previous!$C$87),(SUM('Staging Table'!DR9:DU9)*Rates_previous!$D$87)))</f>
        <v>118326.5147554499</v>
      </c>
      <c r="J7" s="252">
        <f>IF(Init!$R$9="Yes",IF('Staging Table'!D9=1,'Staging Table'!H9*-1*'Staging Table'!F9/'Staging Table'!E9,'Staging Table'!H9*SUM(D7:I7)*(-1)),IF('Staging Table'!D9=1,'Staging Table'!BV9*-1*'Staging Table'!BT9/'Staging Table'!BS9,'Staging Table'!BV9*SUM(D7:I7)*(-1)))</f>
        <v>-1294217.0003467803</v>
      </c>
      <c r="K7" s="250">
        <f>IF(Init!$R$9="Yes",'Staging Table'!K9,'Staging Table'!BY9)*(-1)*Rates_previous!$H$32</f>
        <v>-974914.07831999997</v>
      </c>
      <c r="L7" s="250">
        <f>IF(Init!$R$12="No",0,'Staging Table'!$BI9*-1)*('Staging Table'!$F9/'Staging Table'!$E9)</f>
        <v>-701205.67308877385</v>
      </c>
      <c r="M7" s="250">
        <f>IF('Staging Table'!C9=1,"",SUM(D7:L7))</f>
        <v>16596942.088839896</v>
      </c>
      <c r="N7" s="250">
        <f>IF('Staging Table'!C9=1,"",IF(Init!$R$9="Yes",(RT1SC!$C$3*'Staging Table'!F9*'Staging Table'!$F$2),Z7))</f>
        <v>514229.56642449589</v>
      </c>
      <c r="O7" s="126">
        <f>IF('Staging Table'!C9=1,"",IF(N7=0, 0, M7/N7))</f>
        <v>32.275355546435343</v>
      </c>
      <c r="P7" s="250">
        <f>'Staging Table'!BT9*Rates_current!$E$74*100*12</f>
        <v>20078054.092799999</v>
      </c>
      <c r="Q7" s="250">
        <f>'Staging Table'!BT9*Rates_current!$E$75*100*12</f>
        <v>-2031220.2240000002</v>
      </c>
      <c r="R7" s="251"/>
      <c r="S7" s="251">
        <f>SUMPRODUCT('Staging Table'!CX9:DI9, LS_Demand_Rates_Restatement!$C$11:$N$11)*1000</f>
        <v>1053965.96</v>
      </c>
      <c r="T7" s="252"/>
      <c r="U7" s="252">
        <f>IF(Init!$R$18="Yes",(SUM('Staging Table'!DL9:DU9)*IF('Staging Table'!$BT$1=2020, Rates_current!$C$87, Rates_current!$D$87)),0)</f>
        <v>350496.15010857227</v>
      </c>
      <c r="V7" s="252">
        <f>IF('Staging Table'!D9=1, 'Staging Table'!BV9*-1*'Staging Table'!BT9/'Staging Table'!BS9,SUM(P7:U7)*'Staging Table'!BV9*-1)</f>
        <v>-1307988.7821945217</v>
      </c>
      <c r="W7" s="250">
        <f>'Staging Table'!BY9*Rates_current!$H$32*-1</f>
        <v>-921028.52127000003</v>
      </c>
      <c r="X7" s="250">
        <f>IF(Init!$R$12="No",0,'Staging Table'!$DW9*-1)</f>
        <v>0</v>
      </c>
      <c r="Y7" s="250">
        <f>IF('Staging Table'!C9=1,"",SUM(P7:X7))</f>
        <v>17222278.675444052</v>
      </c>
      <c r="Z7" s="250">
        <f>IF('Staging Table'!C9=1,"",(RT1SC!$C$4*'Staging Table'!BT9*'Staging Table'!$BT$2))</f>
        <v>521269.59167078405</v>
      </c>
      <c r="AA7" s="126">
        <f>IF('Staging Table'!C9=1,"",IF(Z7=0, 0, Y7/Z7))</f>
        <v>33.039100976987449</v>
      </c>
      <c r="AB7" s="118">
        <f ca="1">IF('Staging Table'!C9=1,"",(AA7/O7-1)+(RAND()/100000000000))</f>
        <v>2.3663424235392055E-2</v>
      </c>
      <c r="AC7" s="79">
        <f t="shared" ca="1" si="0"/>
        <v>24</v>
      </c>
      <c r="AF7" s="255"/>
      <c r="AG7" s="255"/>
      <c r="AI7" s="255"/>
      <c r="AJ7" s="255"/>
    </row>
    <row r="8" spans="1:37">
      <c r="B8" s="166">
        <v>10027</v>
      </c>
      <c r="C8" s="167" t="s">
        <v>11</v>
      </c>
      <c r="D8" s="250">
        <f>IF(Init!$R$9="Yes",'Staging Table'!F10,'Staging Table'!BT10)*Rates_previous!$E$75*100*12</f>
        <v>22088857.248</v>
      </c>
      <c r="E8" s="250">
        <f>IF(Init!$R$9="Yes",'Staging Table'!F10,'Staging Table'!BT10)*Rates_previous!$E$76*100*12</f>
        <v>-3115009.62</v>
      </c>
      <c r="F8" s="251"/>
      <c r="G8" s="251">
        <f>IF(Init!$R$9="Yes",SUMPRODUCT('Staging Table'!AJ10:AU10,LS_Demand_Rates_Restatement!$C$10:$N$10),SUMPRODUCT(LS_Demand_Rates_Restatement!$C$10:$N$10,'Staging Table'!CX10:DI10))*1000</f>
        <v>1391769.5</v>
      </c>
      <c r="H8" s="252"/>
      <c r="I8" s="250">
        <f>IF(Init!$R$9="Yes",IF('Staging Table'!$F$1=2018,(SUM('Staging Table'!BD10:BG10)*Rates_previous!$C$87),(SUM('Staging Table'!BD10:BG10)*Rates_previous!$D$87)),IF('Staging Table'!$F$1=2018,(SUM('Staging Table'!DR10:DU10)*Rates_previous!$C$87),(SUM('Staging Table'!DR10:DU10)*Rates_previous!$D$87)))</f>
        <v>121369.8605079799</v>
      </c>
      <c r="J8" s="252">
        <f>IF(Init!$R$9="Yes",IF('Staging Table'!D10=1,'Staging Table'!H10*-1*'Staging Table'!F10/'Staging Table'!E10,'Staging Table'!H10*SUM(D8:I8)*(-1)),IF('Staging Table'!D10=1,'Staging Table'!BV10*-1*'Staging Table'!BT10/'Staging Table'!BS10,'Staging Table'!BV10*SUM(D8:I8)*(-1)))</f>
        <v>-1518141.05071331</v>
      </c>
      <c r="K8" s="250">
        <f>IF(Init!$R$9="Yes",'Staging Table'!K10,'Staging Table'!BY10)*(-1)*Rates_previous!$H$32</f>
        <v>-2465713.7903999998</v>
      </c>
      <c r="L8" s="250">
        <f>IF(Init!$R$12="No",0,'Staging Table'!$BI10*-1)*('Staging Table'!$F10/'Staging Table'!$E10)</f>
        <v>-524473.06420202751</v>
      </c>
      <c r="M8" s="250">
        <f>IF('Staging Table'!C10=1,"",SUM(D8:L8))</f>
        <v>15978659.083192643</v>
      </c>
      <c r="N8" s="250">
        <f>IF('Staging Table'!C10=1,"",IF(Init!$R$9="Yes",(RT1SC!$C$3*'Staging Table'!F10*'Staging Table'!$F$2),Z8))</f>
        <v>527455.49782319996</v>
      </c>
      <c r="O8" s="126">
        <f>IF('Staging Table'!C10=1,"",IF(N8=0, 0, M8/N8))</f>
        <v>30.293852560332205</v>
      </c>
      <c r="P8" s="250">
        <f>'Staging Table'!BT10*Rates_current!$E$74*100*12</f>
        <v>20594740.759440001</v>
      </c>
      <c r="Q8" s="250">
        <f>'Staging Table'!BT10*Rates_current!$E$75*100*12</f>
        <v>-2083491.4452000002</v>
      </c>
      <c r="R8" s="251"/>
      <c r="S8" s="251">
        <f>SUMPRODUCT('Staging Table'!CX10:DI10, LS_Demand_Rates_Restatement!$C$11:$N$11)*1000</f>
        <v>1529968.9000000001</v>
      </c>
      <c r="T8" s="252"/>
      <c r="U8" s="252">
        <f>IF(Init!$R$18="Yes",(SUM('Staging Table'!DL10:DU10)*IF('Staging Table'!$BT$1=2020, Rates_current!$C$87, Rates_current!$D$87)),0)</f>
        <v>359515.78351690591</v>
      </c>
      <c r="V8" s="252">
        <f>IF('Staging Table'!D10=1, 'Staging Table'!BV10*-1*'Staging Table'!BT10/'Staging Table'!BS10,SUM(P8:U8)*'Staging Table'!BV10*-1)</f>
        <v>-1529612.3539040165</v>
      </c>
      <c r="W8" s="250">
        <f>'Staging Table'!BY10*Rates_current!$H$32*-1</f>
        <v>-2329428.5893999999</v>
      </c>
      <c r="X8" s="250">
        <f>IF(Init!$R$12="No",0,'Staging Table'!$DW10*-1)</f>
        <v>0</v>
      </c>
      <c r="Y8" s="250">
        <f>IF('Staging Table'!C10=1,"",SUM(P8:X8))</f>
        <v>16541693.054452889</v>
      </c>
      <c r="Z8" s="250">
        <f>IF('Staging Table'!C10=1,"",(RT1SC!$C$4*'Staging Table'!BT10*'Staging Table'!$BT$2))</f>
        <v>534683.89200568316</v>
      </c>
      <c r="AA8" s="126">
        <f>IF('Staging Table'!C10=1,"",IF(Z8=0, 0, Y8/Z8))</f>
        <v>30.937331948419846</v>
      </c>
      <c r="AB8" s="118">
        <f ca="1">IF('Staging Table'!C10=1,"",(AA8/O8-1)+(RAND()/100000000000))</f>
        <v>2.1241253053791858E-2</v>
      </c>
      <c r="AC8" s="79">
        <f t="shared" ca="1" si="0"/>
        <v>45</v>
      </c>
      <c r="AF8" s="255"/>
      <c r="AG8" s="255"/>
      <c r="AI8" s="255"/>
      <c r="AJ8" s="255"/>
    </row>
    <row r="9" spans="1:37">
      <c r="B9" s="166">
        <v>10029</v>
      </c>
      <c r="C9" s="167" t="s">
        <v>12</v>
      </c>
      <c r="D9" s="250">
        <f>IF(Init!$R$9="Yes",'Staging Table'!F11,'Staging Table'!BT11)*Rates_previous!$E$75*100*12</f>
        <v>6358635.5155199999</v>
      </c>
      <c r="E9" s="250">
        <f>IF(Init!$R$9="Yes",'Staging Table'!F11,'Staging Table'!BT11)*Rates_previous!$E$76*100*12</f>
        <v>-896705.99879999994</v>
      </c>
      <c r="F9" s="251"/>
      <c r="G9" s="251">
        <f>IF(Init!$R$9="Yes",SUMPRODUCT('Staging Table'!AJ11:AU11,LS_Demand_Rates_Restatement!$C$10:$N$10),SUMPRODUCT(LS_Demand_Rates_Restatement!$C$10:$N$10,'Staging Table'!CX11:DI11))*1000</f>
        <v>0</v>
      </c>
      <c r="H9" s="252"/>
      <c r="I9" s="250">
        <f>IF(Init!$R$9="Yes",IF('Staging Table'!$F$1=2018,(SUM('Staging Table'!BD11:BG11)*Rates_previous!$C$87),(SUM('Staging Table'!BD11:BG11)*Rates_previous!$D$87)),IF('Staging Table'!$F$1=2018,(SUM('Staging Table'!DR11:DU11)*Rates_previous!$C$87),(SUM('Staging Table'!DR11:DU11)*Rates_previous!$D$87)))</f>
        <v>34938.281182908438</v>
      </c>
      <c r="J9" s="252">
        <f>IF(Init!$R$9="Yes",IF('Staging Table'!D11=1,'Staging Table'!H11*-1*'Staging Table'!F11/'Staging Table'!E11,'Staging Table'!H11*SUM(D9:I9)*(-1)),IF('Staging Table'!D11=1,'Staging Table'!BV11*-1*'Staging Table'!BT11/'Staging Table'!BS11,'Staging Table'!BV11*SUM(D9:I9)*(-1)))</f>
        <v>-349264.93332417309</v>
      </c>
      <c r="K9" s="250">
        <f>IF(Init!$R$9="Yes",'Staging Table'!K11,'Staging Table'!BY11)*(-1)*Rates_previous!$H$32</f>
        <v>0</v>
      </c>
      <c r="L9" s="250">
        <f>IF(Init!$R$12="No",0,'Staging Table'!$BI11*-1)*('Staging Table'!$F11/'Staging Table'!$E11)</f>
        <v>-201878.73449378833</v>
      </c>
      <c r="M9" s="250" t="str">
        <f>IF('Staging Table'!C11=1,"",SUM(D9:L9))</f>
        <v/>
      </c>
      <c r="N9" s="250" t="str">
        <f>IF('Staging Table'!C11=1,"",IF(Init!$R$9="Yes",(RT1SC!$C$3*'Staging Table'!F11*'Staging Table'!$F$2),Z9))</f>
        <v/>
      </c>
      <c r="O9" s="126" t="str">
        <f>IF('Staging Table'!C11=1,"",IF(N9=0, 0, M9/N9))</f>
        <v/>
      </c>
      <c r="P9" s="250">
        <f>'Staging Table'!BT11*Rates_current!$E$74*100*12</f>
        <v>5928587.3502000002</v>
      </c>
      <c r="Q9" s="250">
        <f>'Staging Table'!BT11*Rates_current!$E$75*100*12</f>
        <v>-599772.59100000001</v>
      </c>
      <c r="R9" s="251"/>
      <c r="S9" s="251">
        <f>SUMPRODUCT('Staging Table'!CX11:DI11, LS_Demand_Rates_Restatement!$C$11:$N$11)*1000</f>
        <v>0</v>
      </c>
      <c r="T9" s="252"/>
      <c r="U9" s="252">
        <f>IF(Init!$R$18="Yes",(SUM('Staging Table'!DL11:DU11)*IF('Staging Table'!$BT$1=2020, Rates_current!$C$87, Rates_current!$D$87)),0)</f>
        <v>103493.44773269809</v>
      </c>
      <c r="V9" s="252">
        <f>IF('Staging Table'!D11=1, 'Staging Table'!BV11*-1*'Staging Table'!BT11/'Staging Table'!BS11,SUM(P9:U9)*'Staging Table'!BV11*-1)</f>
        <v>-393700.56175841967</v>
      </c>
      <c r="W9" s="250">
        <f>'Staging Table'!BY11*Rates_current!$H$32*-1</f>
        <v>0</v>
      </c>
      <c r="X9" s="250">
        <f>IF(Init!$R$12="No",0,'Staging Table'!$DW11*-1)</f>
        <v>0</v>
      </c>
      <c r="Y9" s="250" t="str">
        <f>IF('Staging Table'!C11=1,"",SUM(P9:X9))</f>
        <v/>
      </c>
      <c r="Z9" s="250" t="str">
        <f>IF('Staging Table'!C11=1,"",(RT1SC!$C$4*'Staging Table'!BT11*'Staging Table'!$BT$2))</f>
        <v/>
      </c>
      <c r="AA9" s="126" t="str">
        <f>IF('Staging Table'!C11=1,"",IF(Z9=0, 0, Y9/Z9))</f>
        <v/>
      </c>
      <c r="AB9" s="118" t="str">
        <f ca="1">IF('Staging Table'!C11=1,"",(AA9/O9-1)+(RAND()/100000000000))</f>
        <v/>
      </c>
      <c r="AC9" s="79" t="str">
        <f t="shared" ca="1" si="0"/>
        <v/>
      </c>
      <c r="AF9" s="255"/>
      <c r="AG9" s="255"/>
      <c r="AI9" s="255"/>
      <c r="AJ9" s="255"/>
    </row>
    <row r="10" spans="1:37">
      <c r="B10" s="166">
        <v>10044</v>
      </c>
      <c r="C10" s="167" t="s">
        <v>13</v>
      </c>
      <c r="D10" s="250">
        <f>IF(Init!$R$9="Yes",'Staging Table'!F12,'Staging Table'!BT12)*Rates_previous!$E$75*100*12</f>
        <v>7330850.9625599999</v>
      </c>
      <c r="E10" s="250">
        <f>IF(Init!$R$9="Yes",'Staging Table'!F12,'Staging Table'!BT12)*Rates_previous!$E$76*100*12</f>
        <v>-1033809.5364</v>
      </c>
      <c r="F10" s="251"/>
      <c r="G10" s="251">
        <f>IF(Init!$R$9="Yes",SUMPRODUCT('Staging Table'!AJ12:AU12,LS_Demand_Rates_Restatement!$C$10:$N$10),SUMPRODUCT(LS_Demand_Rates_Restatement!$C$10:$N$10,'Staging Table'!CX12:DI12))*1000</f>
        <v>249745.65</v>
      </c>
      <c r="H10" s="252"/>
      <c r="I10" s="250">
        <f>IF(Init!$R$9="Yes",IF('Staging Table'!$F$1=2018,(SUM('Staging Table'!BD12:BG12)*Rates_previous!$C$87),(SUM('Staging Table'!BD12:BG12)*Rates_previous!$D$87)),IF('Staging Table'!$F$1=2018,(SUM('Staging Table'!DR12:DU12)*Rates_previous!$C$87),(SUM('Staging Table'!DR12:DU12)*Rates_previous!$D$87)))</f>
        <v>40280.234904920573</v>
      </c>
      <c r="J10" s="252">
        <f>IF(Init!$R$9="Yes",IF('Staging Table'!D12=1,'Staging Table'!H12*-1*'Staging Table'!F12/'Staging Table'!E12,'Staging Table'!H12*SUM(D10:I10)*(-1)),IF('Staging Table'!D12=1,'Staging Table'!BV12*-1*'Staging Table'!BT12/'Staging Table'!BS12,'Staging Table'!BV12*SUM(D10:I10)*(-1)))</f>
        <v>0</v>
      </c>
      <c r="K10" s="250">
        <f>IF(Init!$R$9="Yes",'Staging Table'!K12,'Staging Table'!BY12)*(-1)*Rates_previous!$H$32</f>
        <v>0</v>
      </c>
      <c r="L10" s="250">
        <f>IF(Init!$R$12="No",0,'Staging Table'!$BI12*-1)*('Staging Table'!$F12/'Staging Table'!$E12)</f>
        <v>-260931.86102272948</v>
      </c>
      <c r="M10" s="250">
        <f>IF('Staging Table'!C12=1,"",SUM(D10:L10))</f>
        <v>6326135.4500421919</v>
      </c>
      <c r="N10" s="250">
        <f>IF('Staging Table'!C12=1,"",IF(Init!$R$9="Yes",(RT1SC!$C$3*'Staging Table'!F12*'Staging Table'!$F$2),Z10))</f>
        <v>175051.95495230399</v>
      </c>
      <c r="O10" s="126">
        <f>IF('Staging Table'!C12=1,"",IF(N10=0, 0, M10/N10))</f>
        <v>36.138616399718927</v>
      </c>
      <c r="P10" s="250">
        <f>'Staging Table'!BT12*Rates_current!$E$74*100*12</f>
        <v>6835046.8472399991</v>
      </c>
      <c r="Q10" s="250">
        <f>'Staging Table'!BT12*Rates_current!$E$75*100*12</f>
        <v>-691475.64419999986</v>
      </c>
      <c r="R10" s="251"/>
      <c r="S10" s="251">
        <f>SUMPRODUCT('Staging Table'!CX12:DI12, LS_Demand_Rates_Restatement!$C$11:$N$11)*1000</f>
        <v>287275.39999999997</v>
      </c>
      <c r="T10" s="252"/>
      <c r="U10" s="252">
        <f>IF(Init!$R$18="Yes",(SUM('Staging Table'!DL12:DU12)*IF('Staging Table'!$BT$1=2020, Rates_current!$C$87, Rates_current!$D$87)),0)</f>
        <v>119317.2204187077</v>
      </c>
      <c r="V10" s="252">
        <f>IF('Staging Table'!D12=1, 'Staging Table'!BV12*-1*'Staging Table'!BT12/'Staging Table'!BS12,SUM(P10:U10)*'Staging Table'!BV12*-1)</f>
        <v>0</v>
      </c>
      <c r="W10" s="250">
        <f>'Staging Table'!BY12*Rates_current!$H$32*-1</f>
        <v>0</v>
      </c>
      <c r="X10" s="250">
        <f>IF(Init!$R$12="No",0,'Staging Table'!$DW12*-1)</f>
        <v>0</v>
      </c>
      <c r="Y10" s="250">
        <f>IF('Staging Table'!C12=1,"",SUM(P10:X10))</f>
        <v>6550163.823458707</v>
      </c>
      <c r="Z10" s="250">
        <f>IF('Staging Table'!C12=1,"",(RT1SC!$C$4*'Staging Table'!BT12*'Staging Table'!$BT$2))</f>
        <v>177452.55903006718</v>
      </c>
      <c r="AA10" s="126">
        <f>IF('Staging Table'!C12=1,"",IF(Z10=0, 0, Y10/Z10))</f>
        <v>36.912197035991241</v>
      </c>
      <c r="AB10" s="118">
        <f ca="1">IF('Staging Table'!C12=1,"",(AA10/O10-1)+(RAND()/100000000000))</f>
        <v>2.1405928432200995E-2</v>
      </c>
      <c r="AC10" s="79">
        <f t="shared" ca="1" si="0"/>
        <v>43</v>
      </c>
      <c r="AF10" s="255"/>
      <c r="AG10" s="255"/>
      <c r="AI10" s="255"/>
      <c r="AJ10" s="255"/>
    </row>
    <row r="11" spans="1:37">
      <c r="B11" s="166">
        <v>10046</v>
      </c>
      <c r="C11" s="167" t="s">
        <v>14</v>
      </c>
      <c r="D11" s="250">
        <f>IF(Init!$R$9="Yes",'Staging Table'!F13,'Staging Table'!BT13)*Rates_previous!$E$75*100*12</f>
        <v>29545311.516479999</v>
      </c>
      <c r="E11" s="250">
        <f>IF(Init!$R$9="Yes",'Staging Table'!F13,'Staging Table'!BT13)*Rates_previous!$E$76*100*12</f>
        <v>-4166531.9562000004</v>
      </c>
      <c r="F11" s="251"/>
      <c r="G11" s="251">
        <f>IF(Init!$R$9="Yes",SUMPRODUCT('Staging Table'!AJ13:AU13,LS_Demand_Rates_Restatement!$C$10:$N$10),SUMPRODUCT(LS_Demand_Rates_Restatement!$C$10:$N$10,'Staging Table'!CX13:DI13))*1000</f>
        <v>0</v>
      </c>
      <c r="H11" s="252"/>
      <c r="I11" s="250">
        <f>IF(Init!$R$9="Yes",IF('Staging Table'!$F$1=2018,(SUM('Staging Table'!BD13:BG13)*Rates_previous!$C$87),(SUM('Staging Table'!BD13:BG13)*Rates_previous!$D$87)),IF('Staging Table'!$F$1=2018,(SUM('Staging Table'!DR13:DU13)*Rates_previous!$C$87),(SUM('Staging Table'!DR13:DU13)*Rates_previous!$D$87)))</f>
        <v>162340.23775696542</v>
      </c>
      <c r="J11" s="252">
        <f>IF(Init!$R$9="Yes",IF('Staging Table'!D13=1,'Staging Table'!H13*-1*'Staging Table'!F13/'Staging Table'!E13,'Staging Table'!H13*SUM(D11:I11)*(-1)),IF('Staging Table'!D13=1,'Staging Table'!BV13*-1*'Staging Table'!BT13/'Staging Table'!BS13,'Staging Table'!BV13*SUM(D11:I11)*(-1)))</f>
        <v>-1833831.9686032154</v>
      </c>
      <c r="K11" s="250">
        <f>IF(Init!$R$9="Yes",'Staging Table'!K13,'Staging Table'!BY13)*(-1)*Rates_previous!$H$32</f>
        <v>-483164.97432000004</v>
      </c>
      <c r="L11" s="250">
        <f>IF(Init!$R$12="No",0,'Staging Table'!$BI13*-1)*('Staging Table'!$F13/'Staging Table'!$E13)</f>
        <v>-860546.92159758043</v>
      </c>
      <c r="M11" s="250" t="str">
        <f>IF('Staging Table'!C13=1,"",SUM(D11:L11))</f>
        <v/>
      </c>
      <c r="N11" s="250" t="str">
        <f>IF('Staging Table'!C13=1,"",IF(Init!$R$9="Yes",(RT1SC!$C$3*'Staging Table'!F13*'Staging Table'!$F$2),Z11))</f>
        <v/>
      </c>
      <c r="O11" s="126" t="str">
        <f>IF('Staging Table'!C13=1,"",IF(N11=0, 0, M11/N11))</f>
        <v/>
      </c>
      <c r="P11" s="250">
        <f>'Staging Table'!BT13*Rates_current!$E$74*100*12</f>
        <v>27546957.122160003</v>
      </c>
      <c r="Q11" s="250">
        <f>'Staging Table'!BT13*Rates_current!$E$75*100*12</f>
        <v>-2786820.6827999996</v>
      </c>
      <c r="R11" s="251"/>
      <c r="S11" s="251">
        <f>SUMPRODUCT('Staging Table'!CX13:DI13, LS_Demand_Rates_Restatement!$C$11:$N$11)*1000</f>
        <v>0</v>
      </c>
      <c r="T11" s="252"/>
      <c r="U11" s="252">
        <f>IF(Init!$R$18="Yes",(SUM('Staging Table'!DL13:DU13)*IF('Staging Table'!$BT$1=2020, Rates_current!$C$87, Rates_current!$D$87)),0)</f>
        <v>480878.39458432968</v>
      </c>
      <c r="V11" s="252">
        <f>IF('Staging Table'!D13=1, 'Staging Table'!BV13*-1*'Staging Table'!BT13/'Staging Table'!BS13,SUM(P11:U11)*'Staging Table'!BV13*-1)</f>
        <v>-1825574.0665754077</v>
      </c>
      <c r="W11" s="250">
        <f>'Staging Table'!BY13*Rates_current!$H$32*-1</f>
        <v>-456459.42726999999</v>
      </c>
      <c r="X11" s="250">
        <f>IF(Init!$R$12="No",0,'Staging Table'!$DW13*-1)</f>
        <v>0</v>
      </c>
      <c r="Y11" s="250" t="str">
        <f>IF('Staging Table'!C13=1,"",SUM(P11:X11))</f>
        <v/>
      </c>
      <c r="Z11" s="250" t="str">
        <f>IF('Staging Table'!C13=1,"",(RT1SC!$C$4*'Staging Table'!BT13*'Staging Table'!$BT$2))</f>
        <v/>
      </c>
      <c r="AA11" s="126" t="str">
        <f>IF('Staging Table'!C13=1,"",IF(Z11=0, 0, Y11/Z11))</f>
        <v/>
      </c>
      <c r="AB11" s="118" t="str">
        <f ca="1">IF('Staging Table'!C13=1,"",(AA11/O11-1)+(RAND()/100000000000))</f>
        <v/>
      </c>
      <c r="AC11" s="79" t="str">
        <f t="shared" ca="1" si="0"/>
        <v/>
      </c>
      <c r="AF11" s="255"/>
      <c r="AG11" s="255"/>
      <c r="AI11" s="255"/>
      <c r="AJ11" s="255"/>
    </row>
    <row r="12" spans="1:37">
      <c r="B12" s="166">
        <v>10047</v>
      </c>
      <c r="C12" s="167" t="s">
        <v>15</v>
      </c>
      <c r="D12" s="250">
        <f>IF(Init!$R$9="Yes",'Staging Table'!F14,'Staging Table'!BT14)*Rates_previous!$E$75*100*12</f>
        <v>56078436.651839986</v>
      </c>
      <c r="E12" s="250">
        <f>IF(Init!$R$9="Yes",'Staging Table'!F14,'Staging Table'!BT14)*Rates_previous!$E$76*100*12</f>
        <v>-7908280.074599999</v>
      </c>
      <c r="F12" s="251"/>
      <c r="G12" s="251">
        <f>IF(Init!$R$9="Yes",SUMPRODUCT('Staging Table'!AJ14:AU14,LS_Demand_Rates_Restatement!$C$10:$N$10),SUMPRODUCT(LS_Demand_Rates_Restatement!$C$10:$N$10,'Staging Table'!CX14:DI14))*1000</f>
        <v>1482492.4000000001</v>
      </c>
      <c r="H12" s="252"/>
      <c r="I12" s="250">
        <f>IF(Init!$R$9="Yes",IF('Staging Table'!$F$1=2018,(SUM('Staging Table'!BD14:BG14)*Rates_previous!$C$87),(SUM('Staging Table'!BD14:BG14)*Rates_previous!$D$87)),IF('Staging Table'!$F$1=2018,(SUM('Staging Table'!DR14:DU14)*Rates_previous!$C$87),(SUM('Staging Table'!DR14:DU14)*Rates_previous!$D$87)))</f>
        <v>308129.65820382885</v>
      </c>
      <c r="J12" s="252">
        <f>IF(Init!$R$9="Yes",IF('Staging Table'!D14=1,'Staging Table'!H14*-1*'Staging Table'!F14/'Staging Table'!E14,'Staging Table'!H14*SUM(D12:I12)*(-1)),IF('Staging Table'!D14=1,'Staging Table'!BV14*-1*'Staging Table'!BT14/'Staging Table'!BS14,'Staging Table'!BV14*SUM(D12:I12)*(-1)))</f>
        <v>0</v>
      </c>
      <c r="K12" s="250">
        <f>IF(Init!$R$9="Yes",'Staging Table'!K14,'Staging Table'!BY14)*(-1)*Rates_previous!$H$32</f>
        <v>0</v>
      </c>
      <c r="L12" s="250">
        <f>IF(Init!$R$12="No",0,'Staging Table'!$BI14*-1)*('Staging Table'!$F14/'Staging Table'!$E14)</f>
        <v>-1356406.4002414742</v>
      </c>
      <c r="M12" s="250">
        <f>IF('Staging Table'!C14=1,"",SUM(D12:L12))</f>
        <v>48604372.235202342</v>
      </c>
      <c r="N12" s="250">
        <f>IF('Staging Table'!C14=1,"",IF(Init!$R$9="Yes",(RT1SC!$C$3*'Staging Table'!F14*'Staging Table'!$F$2),Z12))</f>
        <v>1339086.0101656558</v>
      </c>
      <c r="O12" s="126">
        <f>IF('Staging Table'!C14=1,"",IF(N12=0, 0, M12/N12))</f>
        <v>36.296676887237133</v>
      </c>
      <c r="P12" s="250">
        <f>'Staging Table'!BT14*Rates_current!$E$74*100*12</f>
        <v>52172044.014480002</v>
      </c>
      <c r="Q12" s="250">
        <f>'Staging Table'!BT14*Rates_current!$E$75*100*12</f>
        <v>-5278046.8883999996</v>
      </c>
      <c r="R12" s="251"/>
      <c r="S12" s="251">
        <f>SUMPRODUCT('Staging Table'!CX14:DI14, LS_Demand_Rates_Restatement!$C$11:$N$11)*1000</f>
        <v>1721282.2299999997</v>
      </c>
      <c r="T12" s="252"/>
      <c r="U12" s="252">
        <f>IF(Init!$R$18="Yes",(SUM('Staging Table'!DL14:DU14)*IF('Staging Table'!$BT$1=2020, Rates_current!$C$87, Rates_current!$D$87)),0)</f>
        <v>910750.63777856936</v>
      </c>
      <c r="V12" s="252">
        <f>IF('Staging Table'!D14=1, 'Staging Table'!BV14*-1*'Staging Table'!BT14/'Staging Table'!BS14,SUM(P12:U12)*'Staging Table'!BV14*-1)</f>
        <v>0</v>
      </c>
      <c r="W12" s="250">
        <f>'Staging Table'!BY14*Rates_current!$H$32*-1</f>
        <v>0</v>
      </c>
      <c r="X12" s="250">
        <f>IF(Init!$R$12="No",0,'Staging Table'!$DW14*-1)</f>
        <v>0</v>
      </c>
      <c r="Y12" s="250">
        <f>IF('Staging Table'!C14=1,"",SUM(P12:X12))</f>
        <v>49526029.993858576</v>
      </c>
      <c r="Z12" s="250">
        <f>IF('Staging Table'!C14=1,"",(RT1SC!$C$4*'Staging Table'!BT14*'Staging Table'!$BT$2))</f>
        <v>1354498.7952697342</v>
      </c>
      <c r="AA12" s="126">
        <f>IF('Staging Table'!C14=1,"",IF(Z12=0, 0, Y12/Z12))</f>
        <v>36.564100438344049</v>
      </c>
      <c r="AB12" s="118">
        <f ca="1">IF('Staging Table'!C14=1,"",(AA12/O12-1)+(RAND()/100000000000))</f>
        <v>7.3677144674782931E-3</v>
      </c>
      <c r="AC12" s="79">
        <f t="shared" ca="1" si="0"/>
        <v>86</v>
      </c>
      <c r="AF12" s="255"/>
      <c r="AG12" s="255"/>
      <c r="AI12" s="255"/>
      <c r="AJ12" s="255"/>
    </row>
    <row r="13" spans="1:37">
      <c r="B13" s="166">
        <v>10055</v>
      </c>
      <c r="C13" s="167" t="s">
        <v>16</v>
      </c>
      <c r="D13" s="250">
        <f>IF(Init!$R$9="Yes",'Staging Table'!F15,'Staging Table'!BT15)*Rates_previous!$E$75*100*12</f>
        <v>143437.44672000001</v>
      </c>
      <c r="E13" s="250">
        <f>IF(Init!$R$9="Yes",'Staging Table'!F15,'Staging Table'!BT15)*Rates_previous!$E$76*100*12</f>
        <v>-20227.801800000001</v>
      </c>
      <c r="F13" s="251"/>
      <c r="G13" s="251">
        <f>IF(Init!$R$9="Yes",SUMPRODUCT('Staging Table'!AJ15:AU15,LS_Demand_Rates_Restatement!$C$10:$N$10),SUMPRODUCT(LS_Demand_Rates_Restatement!$C$10:$N$10,'Staging Table'!CX15:DI15))*1000</f>
        <v>12248.48</v>
      </c>
      <c r="H13" s="252"/>
      <c r="I13" s="250">
        <f>IF(Init!$R$9="Yes",IF('Staging Table'!$F$1=2018,(SUM('Staging Table'!BD15:BG15)*Rates_previous!$C$87),(SUM('Staging Table'!BD15:BG15)*Rates_previous!$D$87)),IF('Staging Table'!$F$1=2018,(SUM('Staging Table'!DR15:DU15)*Rates_previous!$C$87),(SUM('Staging Table'!DR15:DU15)*Rates_previous!$D$87)))</f>
        <v>788.13415762390639</v>
      </c>
      <c r="J13" s="252">
        <f>IF(Init!$R$9="Yes",IF('Staging Table'!D15=1,'Staging Table'!H15*-1*'Staging Table'!F15/'Staging Table'!E15,'Staging Table'!H15*SUM(D13:I13)*(-1)),IF('Staging Table'!D15=1,'Staging Table'!BV15*-1*'Staging Table'!BT15/'Staging Table'!BS15,'Staging Table'!BV15*SUM(D13:I13)*(-1)))</f>
        <v>0</v>
      </c>
      <c r="K13" s="250">
        <f>IF(Init!$R$9="Yes",'Staging Table'!K15,'Staging Table'!BY15)*(-1)*Rates_previous!$H$32</f>
        <v>0</v>
      </c>
      <c r="L13" s="250">
        <f>IF(Init!$R$12="No",0,'Staging Table'!$BI15*-1)*('Staging Table'!$F15/'Staging Table'!$E15)</f>
        <v>-2233.2709507485338</v>
      </c>
      <c r="M13" s="250">
        <f>IF('Staging Table'!C15=1,"",SUM(D13:L13))</f>
        <v>134012.98812687537</v>
      </c>
      <c r="N13" s="250">
        <f>IF('Staging Table'!C15=1,"",IF(Init!$R$9="Yes",(RT1SC!$C$3*'Staging Table'!F15*'Staging Table'!$F$2),Z13))</f>
        <v>3425.1147090479999</v>
      </c>
      <c r="O13" s="126">
        <f>IF('Staging Table'!C15=1,"",IF(N13=0, 0, M13/N13))</f>
        <v>39.126569330030954</v>
      </c>
      <c r="P13" s="250">
        <f>'Staging Table'!BT15*Rates_current!$E$74*100*12</f>
        <v>130241.16528</v>
      </c>
      <c r="Q13" s="250">
        <f>'Staging Table'!BT15*Rates_current!$E$75*100*12</f>
        <v>-13176.002399999999</v>
      </c>
      <c r="R13" s="251"/>
      <c r="S13" s="251">
        <f>SUMPRODUCT('Staging Table'!CX15:DI15, LS_Demand_Rates_Restatement!$C$11:$N$11)*1000</f>
        <v>13348.699999999997</v>
      </c>
      <c r="T13" s="252"/>
      <c r="U13" s="252">
        <f>IF(Init!$R$18="Yes",(SUM('Staging Table'!DL15:DU15)*IF('Staging Table'!$BT$1=2020, Rates_current!$C$87, Rates_current!$D$87)),0)</f>
        <v>2273.5782464429162</v>
      </c>
      <c r="V13" s="252">
        <f>IF('Staging Table'!D15=1, 'Staging Table'!BV15*-1*'Staging Table'!BT15/'Staging Table'!BS15,SUM(P13:U13)*'Staging Table'!BV15*-1)</f>
        <v>0</v>
      </c>
      <c r="W13" s="250">
        <f>'Staging Table'!BY15*Rates_current!$H$32*-1</f>
        <v>0</v>
      </c>
      <c r="X13" s="250">
        <f>IF(Init!$R$12="No",0,'Staging Table'!$DW15*-1)</f>
        <v>0</v>
      </c>
      <c r="Y13" s="250">
        <f>IF('Staging Table'!C15=1,"",SUM(P13:X13))</f>
        <v>132687.44112644292</v>
      </c>
      <c r="Z13" s="250">
        <f>IF('Staging Table'!C15=1,"",(RT1SC!$C$4*'Staging Table'!BT15*'Staging Table'!$BT$2))</f>
        <v>3381.3415747583999</v>
      </c>
      <c r="AA13" s="126">
        <f>IF('Staging Table'!C15=1,"",IF(Z13=0, 0, Y13/Z13))</f>
        <v>39.241063995708146</v>
      </c>
      <c r="AB13" s="118">
        <f ca="1">IF('Staging Table'!C15=1,"",(AA13/O13-1)+(RAND()/100000000000))</f>
        <v>2.9262638632089181E-3</v>
      </c>
      <c r="AC13" s="79">
        <f t="shared" ca="1" si="0"/>
        <v>96</v>
      </c>
      <c r="AF13" s="255"/>
      <c r="AG13" s="255"/>
      <c r="AI13" s="255"/>
      <c r="AJ13" s="255"/>
    </row>
    <row r="14" spans="1:37">
      <c r="B14" s="166">
        <v>10057</v>
      </c>
      <c r="C14" s="167" t="s">
        <v>17</v>
      </c>
      <c r="D14" s="250">
        <f>IF(Init!$R$9="Yes",'Staging Table'!F16,'Staging Table'!BT16)*Rates_previous!$E$75*100*12</f>
        <v>7605241.95744</v>
      </c>
      <c r="E14" s="250">
        <f>IF(Init!$R$9="Yes",'Staging Table'!F16,'Staging Table'!BT16)*Rates_previous!$E$76*100*12</f>
        <v>-1072504.6386000002</v>
      </c>
      <c r="F14" s="251"/>
      <c r="G14" s="251">
        <f>IF(Init!$R$9="Yes",SUMPRODUCT('Staging Table'!AJ16:AU16,LS_Demand_Rates_Restatement!$C$10:$N$10),SUMPRODUCT(LS_Demand_Rates_Restatement!$C$10:$N$10,'Staging Table'!CX16:DI16))*1000</f>
        <v>289620.79000000004</v>
      </c>
      <c r="H14" s="252"/>
      <c r="I14" s="250">
        <f>IF(Init!$R$9="Yes",IF('Staging Table'!$F$1=2018,(SUM('Staging Table'!BD16:BG16)*Rates_previous!$C$87),(SUM('Staging Table'!BD16:BG16)*Rates_previous!$D$87)),IF('Staging Table'!$F$1=2018,(SUM('Staging Table'!DR16:DU16)*Rates_previous!$C$87),(SUM('Staging Table'!DR16:DU16)*Rates_previous!$D$87)))</f>
        <v>41787.908950677134</v>
      </c>
      <c r="J14" s="252">
        <f>IF(Init!$R$9="Yes",IF('Staging Table'!D16=1,'Staging Table'!H16*-1*'Staging Table'!F16/'Staging Table'!E16,'Staging Table'!H16*SUM(D14:I14)*(-1)),IF('Staging Table'!D16=1,'Staging Table'!BV16*-1*'Staging Table'!BT16/'Staging Table'!BS16,'Staging Table'!BV16*SUM(D14:I14)*(-1)))</f>
        <v>0</v>
      </c>
      <c r="K14" s="250">
        <f>IF(Init!$R$9="Yes",'Staging Table'!K16,'Staging Table'!BY16)*(-1)*Rates_previous!$H$32</f>
        <v>0</v>
      </c>
      <c r="L14" s="250">
        <f>IF(Init!$R$12="No",0,'Staging Table'!$BI16*-1)*('Staging Table'!$F16/'Staging Table'!$E16)</f>
        <v>-279929.27915920061</v>
      </c>
      <c r="M14" s="250">
        <f>IF('Staging Table'!C16=1,"",SUM(D14:L14))</f>
        <v>6584216.7386314766</v>
      </c>
      <c r="N14" s="250">
        <f>IF('Staging Table'!C16=1,"",IF(Init!$R$9="Yes",(RT1SC!$C$3*'Staging Table'!F16*'Staging Table'!$F$2),Z14))</f>
        <v>181604.08380069601</v>
      </c>
      <c r="O14" s="126">
        <f>IF('Staging Table'!C16=1,"",IF(N14=0, 0, M14/N14))</f>
        <v>36.255884784272908</v>
      </c>
      <c r="P14" s="250">
        <f>'Staging Table'!BT16*Rates_current!$E$74*100*12</f>
        <v>6763746.9392400011</v>
      </c>
      <c r="Q14" s="250">
        <f>'Staging Table'!BT16*Rates_current!$E$75*100*12</f>
        <v>-684262.50420000008</v>
      </c>
      <c r="R14" s="251"/>
      <c r="S14" s="251">
        <f>SUMPRODUCT('Staging Table'!CX16:DI16, LS_Demand_Rates_Restatement!$C$11:$N$11)*1000</f>
        <v>331270.03999999998</v>
      </c>
      <c r="T14" s="252"/>
      <c r="U14" s="252">
        <f>IF(Init!$R$18="Yes",(SUM('Staging Table'!DL16:DU16)*IF('Staging Table'!$BT$1=2020, Rates_current!$C$87, Rates_current!$D$87)),0)</f>
        <v>118072.56079474262</v>
      </c>
      <c r="V14" s="252">
        <f>IF('Staging Table'!D16=1, 'Staging Table'!BV16*-1*'Staging Table'!BT16/'Staging Table'!BS16,SUM(P14:U14)*'Staging Table'!BV16*-1)</f>
        <v>0</v>
      </c>
      <c r="W14" s="250">
        <f>'Staging Table'!BY16*Rates_current!$H$32*-1</f>
        <v>0</v>
      </c>
      <c r="X14" s="250">
        <f>IF(Init!$R$12="No",0,'Staging Table'!$DW16*-1)</f>
        <v>0</v>
      </c>
      <c r="Y14" s="250">
        <f>IF('Staging Table'!C16=1,"",SUM(P14:X14))</f>
        <v>6528827.0358347436</v>
      </c>
      <c r="Z14" s="250">
        <f>IF('Staging Table'!C16=1,"",(RT1SC!$C$4*'Staging Table'!BT16*'Staging Table'!$BT$2))</f>
        <v>175601.45962782719</v>
      </c>
      <c r="AA14" s="126">
        <f>IF('Staging Table'!C16=1,"",IF(Z14=0, 0, Y14/Z14))</f>
        <v>37.179799357431619</v>
      </c>
      <c r="AB14" s="118">
        <f ca="1">IF('Staging Table'!C16=1,"",(AA14/O14-1)+(RAND()/100000000000))</f>
        <v>2.5483161665819421E-2</v>
      </c>
      <c r="AC14" s="79">
        <f t="shared" ca="1" si="0"/>
        <v>16</v>
      </c>
      <c r="AF14" s="255"/>
      <c r="AG14" s="255"/>
      <c r="AI14" s="255"/>
      <c r="AJ14" s="255"/>
    </row>
    <row r="15" spans="1:37">
      <c r="B15" s="166">
        <v>10059</v>
      </c>
      <c r="C15" s="167" t="s">
        <v>18</v>
      </c>
      <c r="D15" s="250">
        <f>IF(Init!$R$9="Yes",'Staging Table'!F17,'Staging Table'!BT17)*Rates_previous!$E$75*100*12</f>
        <v>2738814.48</v>
      </c>
      <c r="E15" s="250">
        <f>IF(Init!$R$9="Yes",'Staging Table'!F17,'Staging Table'!BT17)*Rates_previous!$E$76*100*12</f>
        <v>-386232.44999999995</v>
      </c>
      <c r="F15" s="251"/>
      <c r="G15" s="251">
        <f>IF(Init!$R$9="Yes",SUMPRODUCT('Staging Table'!AJ17:AU17,LS_Demand_Rates_Restatement!$C$10:$N$10),SUMPRODUCT(LS_Demand_Rates_Restatement!$C$10:$N$10,'Staging Table'!CX17:DI17))*1000</f>
        <v>134194.93</v>
      </c>
      <c r="H15" s="252"/>
      <c r="I15" s="250">
        <f>IF(Init!$R$9="Yes",IF('Staging Table'!$F$1=2018,(SUM('Staging Table'!BD17:BG17)*Rates_previous!$C$87),(SUM('Staging Table'!BD17:BG17)*Rates_previous!$D$87)),IF('Staging Table'!$F$1=2018,(SUM('Staging Table'!DR17:DU17)*Rates_previous!$C$87),(SUM('Staging Table'!DR17:DU17)*Rates_previous!$D$87)))</f>
        <v>15048.742796548833</v>
      </c>
      <c r="J15" s="252">
        <f>IF(Init!$R$9="Yes",IF('Staging Table'!D17=1,'Staging Table'!H17*-1*'Staging Table'!F17/'Staging Table'!E17,'Staging Table'!H17*SUM(D15:I15)*(-1)),IF('Staging Table'!D17=1,'Staging Table'!BV17*-1*'Staging Table'!BT17/'Staging Table'!BS17,'Staging Table'!BV17*SUM(D15:I15)*(-1)))</f>
        <v>0</v>
      </c>
      <c r="K15" s="250">
        <f>IF(Init!$R$9="Yes",'Staging Table'!K17,'Staging Table'!BY17)*(-1)*Rates_previous!$H$32</f>
        <v>0</v>
      </c>
      <c r="L15" s="250">
        <f>IF(Init!$R$12="No",0,'Staging Table'!$BI17*-1)*('Staging Table'!$F17/'Staging Table'!$E17)</f>
        <v>-98196.636354647344</v>
      </c>
      <c r="M15" s="250">
        <f>IF('Staging Table'!C17=1,"",SUM(D15:L15))</f>
        <v>2403629.066441902</v>
      </c>
      <c r="N15" s="250">
        <f>IF('Staging Table'!C17=1,"",IF(Init!$R$9="Yes",(RT1SC!$C$3*'Staging Table'!F17*'Staging Table'!$F$2),Z15))</f>
        <v>65399.614781999997</v>
      </c>
      <c r="O15" s="126">
        <f>IF('Staging Table'!C17=1,"",IF(N15=0, 0, M15/N15))</f>
        <v>36.752954500634999</v>
      </c>
      <c r="P15" s="250">
        <f>'Staging Table'!BT17*Rates_current!$E$74*100*12</f>
        <v>2525442.7413599994</v>
      </c>
      <c r="Q15" s="250">
        <f>'Staging Table'!BT17*Rates_current!$E$75*100*12</f>
        <v>-255489.41879999998</v>
      </c>
      <c r="R15" s="251"/>
      <c r="S15" s="251">
        <f>SUMPRODUCT('Staging Table'!CX17:DI17, LS_Demand_Rates_Restatement!$C$11:$N$11)*1000</f>
        <v>148987.84999999998</v>
      </c>
      <c r="T15" s="252"/>
      <c r="U15" s="252">
        <f>IF(Init!$R$18="Yes",(SUM('Staging Table'!DL17:DU17)*IF('Staging Table'!$BT$1=2020, Rates_current!$C$87, Rates_current!$D$87)),0)</f>
        <v>44085.843880843837</v>
      </c>
      <c r="V15" s="252">
        <f>IF('Staging Table'!D17=1, 'Staging Table'!BV17*-1*'Staging Table'!BT17/'Staging Table'!BS17,SUM(P15:U15)*'Staging Table'!BV17*-1)</f>
        <v>0</v>
      </c>
      <c r="W15" s="250">
        <f>'Staging Table'!BY17*Rates_current!$H$32*-1</f>
        <v>0</v>
      </c>
      <c r="X15" s="250">
        <f>IF(Init!$R$12="No",0,'Staging Table'!$DW17*-1)</f>
        <v>0</v>
      </c>
      <c r="Y15" s="250">
        <f>IF('Staging Table'!C17=1,"",SUM(P15:X15))</f>
        <v>2463027.0164408432</v>
      </c>
      <c r="Z15" s="250">
        <f>IF('Staging Table'!C17=1,"",(RT1SC!$C$4*'Staging Table'!BT17*'Staging Table'!$BT$2))</f>
        <v>65565.94082734079</v>
      </c>
      <c r="AA15" s="126">
        <f>IF('Staging Table'!C17=1,"",IF(Z15=0, 0, Y15/Z15))</f>
        <v>37.565647428546754</v>
      </c>
      <c r="AB15" s="118">
        <f ca="1">IF('Staging Table'!C17=1,"",(AA15/O15-1)+(RAND()/100000000000))</f>
        <v>2.2112315569523727E-2</v>
      </c>
      <c r="AC15" s="79">
        <f t="shared" ca="1" si="0"/>
        <v>34</v>
      </c>
      <c r="AF15" s="255"/>
      <c r="AG15" s="255"/>
      <c r="AI15" s="255"/>
      <c r="AJ15" s="255"/>
    </row>
    <row r="16" spans="1:37">
      <c r="B16" s="166">
        <v>10061</v>
      </c>
      <c r="C16" s="167" t="s">
        <v>19</v>
      </c>
      <c r="D16" s="250">
        <f>IF(Init!$R$9="Yes",'Staging Table'!F18,'Staging Table'!BT18)*Rates_previous!$E$75*100*12</f>
        <v>3157152.4684800003</v>
      </c>
      <c r="E16" s="250">
        <f>IF(Init!$R$9="Yes",'Staging Table'!F18,'Staging Table'!BT18)*Rates_previous!$E$76*100*12</f>
        <v>-445227.21120000002</v>
      </c>
      <c r="F16" s="251"/>
      <c r="G16" s="251">
        <f>IF(Init!$R$9="Yes",SUMPRODUCT('Staging Table'!AJ18:AU18,LS_Demand_Rates_Restatement!$C$10:$N$10),SUMPRODUCT(LS_Demand_Rates_Restatement!$C$10:$N$10,'Staging Table'!CX18:DI18))*1000</f>
        <v>125565.41000000002</v>
      </c>
      <c r="H16" s="252"/>
      <c r="I16" s="250">
        <f>IF(Init!$R$9="Yes",IF('Staging Table'!$F$1=2018,(SUM('Staging Table'!BD18:BG18)*Rates_previous!$C$87),(SUM('Staging Table'!BD18:BG18)*Rates_previous!$D$87)),IF('Staging Table'!$F$1=2018,(SUM('Staging Table'!DR18:DU18)*Rates_previous!$C$87),(SUM('Staging Table'!DR18:DU18)*Rates_previous!$D$87)))</f>
        <v>17347.350766030988</v>
      </c>
      <c r="J16" s="252">
        <f>IF(Init!$R$9="Yes",IF('Staging Table'!D18=1,'Staging Table'!H18*-1*'Staging Table'!F18/'Staging Table'!E18,'Staging Table'!H18*SUM(D16:I16)*(-1)),IF('Staging Table'!D18=1,'Staging Table'!BV18*-1*'Staging Table'!BT18/'Staging Table'!BS18,'Staging Table'!BV18*SUM(D16:I16)*(-1)))</f>
        <v>0</v>
      </c>
      <c r="K16" s="250">
        <f>IF(Init!$R$9="Yes",'Staging Table'!K18,'Staging Table'!BY18)*(-1)*Rates_previous!$H$32</f>
        <v>0</v>
      </c>
      <c r="L16" s="250">
        <f>IF(Init!$R$12="No",0,'Staging Table'!$BI18*-1)*('Staging Table'!$F18/'Staging Table'!$E18)</f>
        <v>-109661.91720420276</v>
      </c>
      <c r="M16" s="250">
        <f>IF('Staging Table'!C18=1,"",SUM(D16:L16))</f>
        <v>2745176.1008418291</v>
      </c>
      <c r="N16" s="250">
        <f>IF('Staging Table'!C18=1,"",IF(Init!$R$9="Yes",(RT1SC!$C$3*'Staging Table'!F18*'Staging Table'!$F$2),Z16))</f>
        <v>75389.025709631984</v>
      </c>
      <c r="O16" s="126">
        <f>IF('Staging Table'!C18=1,"",IF(N16=0, 0, M16/N16))</f>
        <v>36.413470992649998</v>
      </c>
      <c r="P16" s="250">
        <f>'Staging Table'!BT18*Rates_current!$E$74*100*12</f>
        <v>2943497.8686000006</v>
      </c>
      <c r="Q16" s="250">
        <f>'Staging Table'!BT18*Rates_current!$E$75*100*12</f>
        <v>-297782.46299999999</v>
      </c>
      <c r="R16" s="251"/>
      <c r="S16" s="251">
        <f>SUMPRODUCT('Staging Table'!CX18:DI18, LS_Demand_Rates_Restatement!$C$11:$N$11)*1000</f>
        <v>143878.65</v>
      </c>
      <c r="T16" s="252"/>
      <c r="U16" s="252">
        <f>IF(Init!$R$18="Yes",(SUM('Staging Table'!DL18:DU18)*IF('Staging Table'!$BT$1=2020, Rates_current!$C$87, Rates_current!$D$87)),0)</f>
        <v>51383.698142692549</v>
      </c>
      <c r="V16" s="252">
        <f>IF('Staging Table'!D18=1, 'Staging Table'!BV18*-1*'Staging Table'!BT18/'Staging Table'!BS18,SUM(P16:U16)*'Staging Table'!BV18*-1)</f>
        <v>0</v>
      </c>
      <c r="W16" s="250">
        <f>'Staging Table'!BY18*Rates_current!$H$32*-1</f>
        <v>0</v>
      </c>
      <c r="X16" s="250">
        <f>IF(Init!$R$12="No",0,'Staging Table'!$DW18*-1)</f>
        <v>0</v>
      </c>
      <c r="Y16" s="250">
        <f>IF('Staging Table'!C18=1,"",SUM(P16:X16))</f>
        <v>2840977.753742693</v>
      </c>
      <c r="Z16" s="250">
        <f>IF('Staging Table'!C18=1,"",(RT1SC!$C$4*'Staging Table'!BT18*'Staging Table'!$BT$2))</f>
        <v>76419.553655807991</v>
      </c>
      <c r="AA16" s="126">
        <f>IF('Staging Table'!C18=1,"",IF(Z16=0, 0, Y16/Z16))</f>
        <v>37.176057930649463</v>
      </c>
      <c r="AB16" s="118">
        <f ca="1">IF('Staging Table'!C18=1,"",(AA16/O16-1)+(RAND()/100000000000))</f>
        <v>2.0942440188659012E-2</v>
      </c>
      <c r="AC16" s="79">
        <f t="shared" ca="1" si="0"/>
        <v>48</v>
      </c>
      <c r="AF16" s="255"/>
      <c r="AG16" s="255"/>
      <c r="AI16" s="255"/>
      <c r="AJ16" s="255"/>
    </row>
    <row r="17" spans="2:36">
      <c r="B17" s="166">
        <v>10062</v>
      </c>
      <c r="C17" s="167" t="s">
        <v>20</v>
      </c>
      <c r="D17" s="250">
        <f>IF(Init!$R$9="Yes",'Staging Table'!F19,'Staging Table'!BT19)*Rates_previous!$E$75*100*12</f>
        <v>1920227.4172800002</v>
      </c>
      <c r="E17" s="250">
        <f>IF(Init!$R$9="Yes",'Staging Table'!F19,'Staging Table'!BT19)*Rates_previous!$E$76*100*12</f>
        <v>-270793.85820000002</v>
      </c>
      <c r="F17" s="251"/>
      <c r="G17" s="251">
        <f>IF(Init!$R$9="Yes",SUMPRODUCT('Staging Table'!AJ19:AU19,LS_Demand_Rates_Restatement!$C$10:$N$10),SUMPRODUCT(LS_Demand_Rates_Restatement!$C$10:$N$10,'Staging Table'!CX19:DI19))*1000</f>
        <v>64893.460000000006</v>
      </c>
      <c r="H17" s="252"/>
      <c r="I17" s="250">
        <f>IF(Init!$R$9="Yes",IF('Staging Table'!$F$1=2018,(SUM('Staging Table'!BD19:BG19)*Rates_previous!$C$87),(SUM('Staging Table'!BD19:BG19)*Rates_previous!$D$87)),IF('Staging Table'!$F$1=2018,(SUM('Staging Table'!DR19:DU19)*Rates_previous!$C$87),(SUM('Staging Table'!DR19:DU19)*Rates_previous!$D$87)))</f>
        <v>10550.918554194286</v>
      </c>
      <c r="J17" s="252">
        <f>IF(Init!$R$9="Yes",IF('Staging Table'!D19=1,'Staging Table'!H19*-1*'Staging Table'!F19/'Staging Table'!E19,'Staging Table'!H19*SUM(D17:I17)*(-1)),IF('Staging Table'!D19=1,'Staging Table'!BV19*-1*'Staging Table'!BT19/'Staging Table'!BS19,'Staging Table'!BV19*SUM(D17:I17)*(-1)))</f>
        <v>0</v>
      </c>
      <c r="K17" s="250">
        <f>IF(Init!$R$9="Yes",'Staging Table'!K19,'Staging Table'!BY19)*(-1)*Rates_previous!$H$32</f>
        <v>0</v>
      </c>
      <c r="L17" s="250">
        <f>IF(Init!$R$12="No",0,'Staging Table'!$BI19*-1)*('Staging Table'!$F19/'Staging Table'!$E19)</f>
        <v>-75485.934594487466</v>
      </c>
      <c r="M17" s="250">
        <f>IF('Staging Table'!C19=1,"",SUM(D17:L17))</f>
        <v>1649392.0030397067</v>
      </c>
      <c r="N17" s="250">
        <f>IF('Staging Table'!C19=1,"",IF(Init!$R$9="Yes",(RT1SC!$C$3*'Staging Table'!F19*'Staging Table'!$F$2),Z17))</f>
        <v>45852.734568551998</v>
      </c>
      <c r="O17" s="126">
        <f>IF('Staging Table'!C19=1,"",IF(N17=0, 0, M17/N17))</f>
        <v>35.971507884088965</v>
      </c>
      <c r="P17" s="250">
        <f>'Staging Table'!BT19*Rates_current!$E$74*100*12</f>
        <v>1790103.0235199998</v>
      </c>
      <c r="Q17" s="250">
        <f>'Staging Table'!BT19*Rates_current!$E$75*100*12</f>
        <v>-181097.90159999998</v>
      </c>
      <c r="R17" s="251"/>
      <c r="S17" s="251">
        <f>SUMPRODUCT('Staging Table'!CX19:DI19, LS_Demand_Rates_Restatement!$C$11:$N$11)*1000</f>
        <v>77653.76999999999</v>
      </c>
      <c r="T17" s="252"/>
      <c r="U17" s="252">
        <f>IF(Init!$R$18="Yes",(SUM('Staging Table'!DL19:DU19)*IF('Staging Table'!$BT$1=2020, Rates_current!$C$87, Rates_current!$D$87)),0)</f>
        <v>31249.254292350455</v>
      </c>
      <c r="V17" s="252">
        <f>IF('Staging Table'!D19=1, 'Staging Table'!BV19*-1*'Staging Table'!BT19/'Staging Table'!BS19,SUM(P17:U17)*'Staging Table'!BV19*-1)</f>
        <v>0</v>
      </c>
      <c r="W17" s="250">
        <f>'Staging Table'!BY19*Rates_current!$H$32*-1</f>
        <v>0</v>
      </c>
      <c r="X17" s="250">
        <f>IF(Init!$R$12="No",0,'Staging Table'!$DW19*-1)</f>
        <v>0</v>
      </c>
      <c r="Y17" s="250">
        <f>IF('Staging Table'!C19=1,"",SUM(P17:X17))</f>
        <v>1717908.1462123503</v>
      </c>
      <c r="Z17" s="250">
        <f>IF('Staging Table'!C19=1,"",(RT1SC!$C$4*'Staging Table'!BT19*'Staging Table'!$BT$2))</f>
        <v>46474.935658905597</v>
      </c>
      <c r="AA17" s="126">
        <f>IF('Staging Table'!C19=1,"",IF(Z17=0, 0, Y17/Z17))</f>
        <v>36.964185573501965</v>
      </c>
      <c r="AB17" s="118">
        <f ca="1">IF('Staging Table'!C19=1,"",(AA17/O17-1)+(RAND()/100000000000))</f>
        <v>2.7596221227031783E-2</v>
      </c>
      <c r="AC17" s="79">
        <f t="shared" ca="1" si="0"/>
        <v>14</v>
      </c>
      <c r="AF17" s="255"/>
      <c r="AG17" s="255"/>
      <c r="AI17" s="255"/>
      <c r="AJ17" s="255"/>
    </row>
    <row r="18" spans="2:36">
      <c r="B18" s="166">
        <v>10064</v>
      </c>
      <c r="C18" s="167" t="s">
        <v>21</v>
      </c>
      <c r="D18" s="250">
        <f>IF(Init!$R$9="Yes",'Staging Table'!F20,'Staging Table'!BT20)*Rates_previous!$E$75*100*12</f>
        <v>5076615.565440001</v>
      </c>
      <c r="E18" s="250">
        <f>IF(Init!$R$9="Yes",'Staging Table'!F20,'Staging Table'!BT20)*Rates_previous!$E$76*100*12</f>
        <v>-715913.28359999997</v>
      </c>
      <c r="F18" s="251"/>
      <c r="G18" s="251">
        <f>IF(Init!$R$9="Yes",SUMPRODUCT('Staging Table'!AJ20:AU20,LS_Demand_Rates_Restatement!$C$10:$N$10),SUMPRODUCT(LS_Demand_Rates_Restatement!$C$10:$N$10,'Staging Table'!CX20:DI20))*1000</f>
        <v>208325.64999999997</v>
      </c>
      <c r="H18" s="252"/>
      <c r="I18" s="250">
        <f>IF(Init!$R$9="Yes",IF('Staging Table'!$F$1=2018,(SUM('Staging Table'!BD20:BG20)*Rates_previous!$C$87),(SUM('Staging Table'!BD20:BG20)*Rates_previous!$D$87)),IF('Staging Table'!$F$1=2018,(SUM('Staging Table'!DR20:DU20)*Rates_previous!$C$87),(SUM('Staging Table'!DR20:DU20)*Rates_previous!$D$87)))</f>
        <v>27894.069671072753</v>
      </c>
      <c r="J18" s="252">
        <f>IF(Init!$R$9="Yes",IF('Staging Table'!D20=1,'Staging Table'!H20*-1*'Staging Table'!F20/'Staging Table'!E20,'Staging Table'!H20*SUM(D18:I18)*(-1)),IF('Staging Table'!D20=1,'Staging Table'!BV20*-1*'Staging Table'!BT20/'Staging Table'!BS20,'Staging Table'!BV20*SUM(D18:I18)*(-1)))</f>
        <v>0</v>
      </c>
      <c r="K18" s="250">
        <f>IF(Init!$R$9="Yes",'Staging Table'!K20,'Staging Table'!BY20)*(-1)*Rates_previous!$H$32</f>
        <v>0</v>
      </c>
      <c r="L18" s="250">
        <f>IF(Init!$R$12="No",0,'Staging Table'!$BI20*-1)*('Staging Table'!$F20/'Staging Table'!$E20)</f>
        <v>-184426.84071116755</v>
      </c>
      <c r="M18" s="250">
        <f>IF('Staging Table'!C20=1,"",SUM(D18:L18))</f>
        <v>4412495.1607999075</v>
      </c>
      <c r="N18" s="250">
        <f>IF('Staging Table'!C20=1,"",IF(Init!$R$9="Yes",(RT1SC!$C$3*'Staging Table'!F20*'Staging Table'!$F$2),Z18))</f>
        <v>121223.50922289601</v>
      </c>
      <c r="O18" s="126">
        <f>IF('Staging Table'!C20=1,"",IF(N18=0, 0, M18/N18))</f>
        <v>36.399665288410084</v>
      </c>
      <c r="P18" s="250">
        <f>'Staging Table'!BT20*Rates_current!$E$74*100*12</f>
        <v>4703892.59712</v>
      </c>
      <c r="Q18" s="250">
        <f>'Staging Table'!BT20*Rates_current!$E$75*100*12</f>
        <v>-475874.88959999999</v>
      </c>
      <c r="R18" s="251"/>
      <c r="S18" s="251">
        <f>SUMPRODUCT('Staging Table'!CX20:DI20, LS_Demand_Rates_Restatement!$C$11:$N$11)*1000</f>
        <v>233159.46</v>
      </c>
      <c r="T18" s="252"/>
      <c r="U18" s="252">
        <f>IF(Init!$R$18="Yes",(SUM('Staging Table'!DL20:DU20)*IF('Staging Table'!$BT$1=2020, Rates_current!$C$87, Rates_current!$D$87)),0)</f>
        <v>82114.344258390862</v>
      </c>
      <c r="V18" s="252">
        <f>IF('Staging Table'!D20=1, 'Staging Table'!BV20*-1*'Staging Table'!BT20/'Staging Table'!BS20,SUM(P18:U18)*'Staging Table'!BV20*-1)</f>
        <v>0</v>
      </c>
      <c r="W18" s="250">
        <f>'Staging Table'!BY20*Rates_current!$H$32*-1</f>
        <v>0</v>
      </c>
      <c r="X18" s="250">
        <f>IF(Init!$R$12="No",0,'Staging Table'!$DW20*-1)</f>
        <v>0</v>
      </c>
      <c r="Y18" s="250">
        <f>IF('Staging Table'!C20=1,"",SUM(P18:X18))</f>
        <v>4543291.511778391</v>
      </c>
      <c r="Z18" s="250">
        <f>IF('Staging Table'!C20=1,"",(RT1SC!$C$4*'Staging Table'!BT20*'Staging Table'!$BT$2))</f>
        <v>122123.1978971136</v>
      </c>
      <c r="AA18" s="126">
        <f>IF('Staging Table'!C20=1,"",IF(Z18=0, 0, Y18/Z18))</f>
        <v>37.202526547053125</v>
      </c>
      <c r="AB18" s="118">
        <f ca="1">IF('Staging Table'!C20=1,"",(AA18/O18-1)+(RAND()/100000000000))</f>
        <v>2.2056830814786616E-2</v>
      </c>
      <c r="AC18" s="79">
        <f t="shared" ca="1" si="0"/>
        <v>37</v>
      </c>
      <c r="AF18" s="255"/>
      <c r="AG18" s="255"/>
      <c r="AI18" s="255"/>
      <c r="AJ18" s="255"/>
    </row>
    <row r="19" spans="2:36">
      <c r="B19" s="166">
        <v>10065</v>
      </c>
      <c r="C19" s="167" t="s">
        <v>22</v>
      </c>
      <c r="D19" s="250">
        <f>IF(Init!$R$9="Yes",'Staging Table'!F21,'Staging Table'!BT21)*Rates_previous!$E$75*100*12</f>
        <v>858076.94592000009</v>
      </c>
      <c r="E19" s="250">
        <f>IF(Init!$R$9="Yes",'Staging Table'!F21,'Staging Table'!BT21)*Rates_previous!$E$76*100*12</f>
        <v>-121007.5248</v>
      </c>
      <c r="F19" s="251"/>
      <c r="G19" s="251">
        <f>IF(Init!$R$9="Yes",SUMPRODUCT('Staging Table'!AJ21:AU21,LS_Demand_Rates_Restatement!$C$10:$N$10),SUMPRODUCT(LS_Demand_Rates_Restatement!$C$10:$N$10,'Staging Table'!CX21:DI21))*1000</f>
        <v>57659.420000000006</v>
      </c>
      <c r="H19" s="252"/>
      <c r="I19" s="250">
        <f>IF(Init!$R$9="Yes",IF('Staging Table'!$F$1=2018,(SUM('Staging Table'!BD21:BG21)*Rates_previous!$C$87),(SUM('Staging Table'!BD21:BG21)*Rates_previous!$D$87)),IF('Staging Table'!$F$1=2018,(SUM('Staging Table'!DR21:DU21)*Rates_previous!$C$87),(SUM('Staging Table'!DR21:DU21)*Rates_previous!$D$87)))</f>
        <v>4714.8061152350201</v>
      </c>
      <c r="J19" s="252">
        <f>IF(Init!$R$9="Yes",IF('Staging Table'!D21=1,'Staging Table'!H21*-1*'Staging Table'!F21/'Staging Table'!E21,'Staging Table'!H21*SUM(D19:I19)*(-1)),IF('Staging Table'!D21=1,'Staging Table'!BV21*-1*'Staging Table'!BT21/'Staging Table'!BS21,'Staging Table'!BV21*SUM(D19:I19)*(-1)))</f>
        <v>-48387.046248195118</v>
      </c>
      <c r="K19" s="250">
        <f>IF(Init!$R$9="Yes",'Staging Table'!K21,'Staging Table'!BY21)*(-1)*Rates_previous!$H$32</f>
        <v>0</v>
      </c>
      <c r="L19" s="250">
        <f>IF(Init!$R$12="No",0,'Staging Table'!$BI21*-1)*('Staging Table'!$F21/'Staging Table'!$E21)</f>
        <v>-31272.967452342367</v>
      </c>
      <c r="M19" s="250">
        <f>IF('Staging Table'!C21=1,"",SUM(D19:L19))</f>
        <v>719783.63353469758</v>
      </c>
      <c r="N19" s="250">
        <f>IF('Staging Table'!C21=1,"",IF(Init!$R$9="Yes",(RT1SC!$C$3*'Staging Table'!F21*'Staging Table'!$F$2),Z19))</f>
        <v>20489.851403327997</v>
      </c>
      <c r="O19" s="126">
        <f>IF('Staging Table'!C21=1,"",IF(N19=0, 0, M19/N19))</f>
        <v>35.128787386803062</v>
      </c>
      <c r="P19" s="250">
        <f>'Staging Table'!BT21*Rates_current!$E$74*100*12</f>
        <v>800222.63411999994</v>
      </c>
      <c r="Q19" s="250">
        <f>'Staging Table'!BT21*Rates_current!$E$75*100*12</f>
        <v>-80955.474600000001</v>
      </c>
      <c r="R19" s="251"/>
      <c r="S19" s="251">
        <f>SUMPRODUCT('Staging Table'!CX21:DI21, LS_Demand_Rates_Restatement!$C$11:$N$11)*1000</f>
        <v>65181.939999999995</v>
      </c>
      <c r="T19" s="252"/>
      <c r="U19" s="252">
        <f>IF(Init!$R$18="Yes",(SUM('Staging Table'!DL21:DU21)*IF('Staging Table'!$BT$1=2020, Rates_current!$C$87, Rates_current!$D$87)),0)</f>
        <v>13969.22984630164</v>
      </c>
      <c r="V19" s="252">
        <f>IF('Staging Table'!D21=1, 'Staging Table'!BV21*-1*'Staging Table'!BT21/'Staging Table'!BS21,SUM(P19:U19)*'Staging Table'!BV21*-1)</f>
        <v>-45788.333087162151</v>
      </c>
      <c r="W19" s="250">
        <f>'Staging Table'!BY21*Rates_current!$H$32*-1</f>
        <v>0</v>
      </c>
      <c r="X19" s="250">
        <f>IF(Init!$R$12="No",0,'Staging Table'!$DW21*-1)</f>
        <v>0</v>
      </c>
      <c r="Y19" s="250">
        <f>IF('Staging Table'!C21=1,"",SUM(P19:X19))</f>
        <v>752629.99627913942</v>
      </c>
      <c r="Z19" s="250">
        <f>IF('Staging Table'!C21=1,"",(RT1SC!$C$4*'Staging Table'!BT21*'Staging Table'!$BT$2))</f>
        <v>20775.505624473601</v>
      </c>
      <c r="AA19" s="126">
        <f>IF('Staging Table'!C21=1,"",IF(Z19=0, 0, Y19/Z19))</f>
        <v>36.226795625736266</v>
      </c>
      <c r="AB19" s="118">
        <f ca="1">IF('Staging Table'!C21=1,"",(AA19/O19-1)+(RAND()/100000000000))</f>
        <v>3.1256650766619126E-2</v>
      </c>
      <c r="AC19" s="79">
        <f t="shared" ca="1" si="0"/>
        <v>4</v>
      </c>
      <c r="AF19" s="255"/>
      <c r="AG19" s="255"/>
      <c r="AI19" s="255"/>
      <c r="AJ19" s="255"/>
    </row>
    <row r="20" spans="2:36">
      <c r="B20" s="166">
        <v>10066</v>
      </c>
      <c r="C20" s="167" t="s">
        <v>23</v>
      </c>
      <c r="D20" s="250">
        <f>IF(Init!$R$9="Yes",'Staging Table'!F22,'Staging Table'!BT22)*Rates_previous!$E$75*100*12</f>
        <v>8797072.1097600013</v>
      </c>
      <c r="E20" s="250">
        <f>IF(Init!$R$9="Yes",'Staging Table'!F22,'Staging Table'!BT22)*Rates_previous!$E$76*100*12</f>
        <v>-1240578.6294</v>
      </c>
      <c r="F20" s="251"/>
      <c r="G20" s="251">
        <f>IF(Init!$R$9="Yes",SUMPRODUCT('Staging Table'!AJ22:AU22,LS_Demand_Rates_Restatement!$C$10:$N$10),SUMPRODUCT(LS_Demand_Rates_Restatement!$C$10:$N$10,'Staging Table'!CX22:DI22))*1000</f>
        <v>580323.92000000004</v>
      </c>
      <c r="H20" s="252"/>
      <c r="I20" s="250">
        <f>IF(Init!$R$9="Yes",IF('Staging Table'!$F$1=2018,(SUM('Staging Table'!BD22:BG22)*Rates_previous!$C$87),(SUM('Staging Table'!BD22:BG22)*Rates_previous!$D$87)),IF('Staging Table'!$F$1=2018,(SUM('Staging Table'!DR22:DU22)*Rates_previous!$C$87),(SUM('Staging Table'!DR22:DU22)*Rates_previous!$D$87)))</f>
        <v>48336.561862514849</v>
      </c>
      <c r="J20" s="252">
        <f>IF(Init!$R$9="Yes",IF('Staging Table'!D22=1,'Staging Table'!H22*-1*'Staging Table'!F22/'Staging Table'!E22,'Staging Table'!H22*SUM(D20:I20)*(-1)),IF('Staging Table'!D22=1,'Staging Table'!BV22*-1*'Staging Table'!BT22/'Staging Table'!BS22,'Staging Table'!BV22*SUM(D20:I20)*(-1)))</f>
        <v>0</v>
      </c>
      <c r="K20" s="250">
        <f>IF(Init!$R$9="Yes",'Staging Table'!K22,'Staging Table'!BY22)*(-1)*Rates_previous!$H$32</f>
        <v>0</v>
      </c>
      <c r="L20" s="250">
        <f>IF(Init!$R$12="No",0,'Staging Table'!$BI22*-1)*('Staging Table'!$F22/'Staging Table'!$E22)</f>
        <v>-301197.82043856161</v>
      </c>
      <c r="M20" s="250">
        <f>IF('Staging Table'!C22=1,"",SUM(D20:L20))</f>
        <v>7883956.1417839546</v>
      </c>
      <c r="N20" s="250">
        <f>IF('Staging Table'!C22=1,"",IF(Init!$R$9="Yes",(RT1SC!$C$3*'Staging Table'!F22*'Staging Table'!$F$2),Z20))</f>
        <v>210063.56267978399</v>
      </c>
      <c r="O20" s="126">
        <f>IF('Staging Table'!C22=1,"",IF(N20=0, 0, M20/N20))</f>
        <v>37.531288345337998</v>
      </c>
      <c r="P20" s="250">
        <f>'Staging Table'!BT22*Rates_current!$E$74*100*12</f>
        <v>8202103.7499600006</v>
      </c>
      <c r="Q20" s="250">
        <f>'Staging Table'!BT22*Rates_current!$E$75*100*12</f>
        <v>-829775.58179999981</v>
      </c>
      <c r="R20" s="251"/>
      <c r="S20" s="251">
        <f>SUMPRODUCT('Staging Table'!CX22:DI22, LS_Demand_Rates_Restatement!$C$11:$N$11)*1000</f>
        <v>652834.92000000016</v>
      </c>
      <c r="T20" s="252"/>
      <c r="U20" s="252">
        <f>IF(Init!$R$18="Yes",(SUM('Staging Table'!DL22:DU22)*IF('Staging Table'!$BT$1=2020, Rates_current!$C$87, Rates_current!$D$87)),0)</f>
        <v>143181.49427553191</v>
      </c>
      <c r="V20" s="252">
        <f>IF('Staging Table'!D22=1, 'Staging Table'!BV22*-1*'Staging Table'!BT22/'Staging Table'!BS22,SUM(P20:U20)*'Staging Table'!BV22*-1)</f>
        <v>0</v>
      </c>
      <c r="W20" s="250">
        <f>'Staging Table'!BY22*Rates_current!$H$32*-1</f>
        <v>0</v>
      </c>
      <c r="X20" s="250">
        <f>IF(Init!$R$12="No",0,'Staging Table'!$DW22*-1)</f>
        <v>0</v>
      </c>
      <c r="Y20" s="250">
        <f>IF('Staging Table'!C22=1,"",SUM(P20:X20))</f>
        <v>8168344.5824355325</v>
      </c>
      <c r="Z20" s="250">
        <f>IF('Staging Table'!C22=1,"",(RT1SC!$C$4*'Staging Table'!BT22*'Staging Table'!$BT$2))</f>
        <v>212944.30490234878</v>
      </c>
      <c r="AA20" s="126">
        <f>IF('Staging Table'!C22=1,"",IF(Z20=0, 0, Y20/Z20))</f>
        <v>38.3590657011529</v>
      </c>
      <c r="AB20" s="118">
        <f ca="1">IF('Staging Table'!C22=1,"",(AA20/O20-1)+(RAND()/100000000000))</f>
        <v>2.2055660553333377E-2</v>
      </c>
      <c r="AC20" s="79">
        <f t="shared" ca="1" si="0"/>
        <v>38</v>
      </c>
      <c r="AF20" s="255"/>
      <c r="AG20" s="255"/>
      <c r="AI20" s="255"/>
      <c r="AJ20" s="255"/>
    </row>
    <row r="21" spans="2:36">
      <c r="B21" s="166">
        <v>10067</v>
      </c>
      <c r="C21" s="167" t="s">
        <v>24</v>
      </c>
      <c r="D21" s="250">
        <f>IF(Init!$R$9="Yes",'Staging Table'!F23,'Staging Table'!BT23)*Rates_previous!$E$75*100*12</f>
        <v>5709218.0169600006</v>
      </c>
      <c r="E21" s="250">
        <f>IF(Init!$R$9="Yes",'Staging Table'!F23,'Staging Table'!BT23)*Rates_previous!$E$76*100*12</f>
        <v>-805123.99739999999</v>
      </c>
      <c r="F21" s="251"/>
      <c r="G21" s="251">
        <f>IF(Init!$R$9="Yes",SUMPRODUCT('Staging Table'!AJ23:AU23,LS_Demand_Rates_Restatement!$C$10:$N$10),SUMPRODUCT(LS_Demand_Rates_Restatement!$C$10:$N$10,'Staging Table'!CX23:DI23))*1000</f>
        <v>499435.73</v>
      </c>
      <c r="H21" s="252"/>
      <c r="I21" s="250">
        <f>IF(Init!$R$9="Yes",IF('Staging Table'!$F$1=2018,(SUM('Staging Table'!BD23:BG23)*Rates_previous!$C$87),(SUM('Staging Table'!BD23:BG23)*Rates_previous!$D$87)),IF('Staging Table'!$F$1=2018,(SUM('Staging Table'!DR23:DU23)*Rates_previous!$C$87),(SUM('Staging Table'!DR23:DU23)*Rates_previous!$D$87)))</f>
        <v>31369.97928631282</v>
      </c>
      <c r="J21" s="252">
        <f>IF(Init!$R$9="Yes",IF('Staging Table'!D23=1,'Staging Table'!H23*-1*'Staging Table'!F23/'Staging Table'!E23,'Staging Table'!H23*SUM(D21:I21)*(-1)),IF('Staging Table'!D23=1,'Staging Table'!BV23*-1*'Staging Table'!BT23/'Staging Table'!BS23,'Staging Table'!BV23*SUM(D21:I21)*(-1)))</f>
        <v>0</v>
      </c>
      <c r="K21" s="250">
        <f>IF(Init!$R$9="Yes",'Staging Table'!K23,'Staging Table'!BY23)*(-1)*Rates_previous!$H$32</f>
        <v>0</v>
      </c>
      <c r="L21" s="250">
        <f>IF(Init!$R$12="No",0,'Staging Table'!$BI23*-1)*('Staging Table'!$F23/'Staging Table'!$E23)</f>
        <v>-197496.66232530522</v>
      </c>
      <c r="M21" s="250">
        <f>IF('Staging Table'!C23=1,"",SUM(D21:L21))</f>
        <v>5237403.0665210085</v>
      </c>
      <c r="N21" s="250">
        <f>IF('Staging Table'!C23=1,"",IF(Init!$R$9="Yes",(RT1SC!$C$3*'Staging Table'!F23*'Staging Table'!$F$2),Z21))</f>
        <v>136329.29931626399</v>
      </c>
      <c r="O21" s="126">
        <f>IF('Staging Table'!C23=1,"",IF(N21=0, 0, M21/N21))</f>
        <v>38.417296155619496</v>
      </c>
      <c r="P21" s="250">
        <f>'Staging Table'!BT23*Rates_current!$E$74*100*12</f>
        <v>5323013.4649200002</v>
      </c>
      <c r="Q21" s="250">
        <f>'Staging Table'!BT23*Rates_current!$E$75*100*12</f>
        <v>-538508.98860000004</v>
      </c>
      <c r="R21" s="251"/>
      <c r="S21" s="251">
        <f>SUMPRODUCT('Staging Table'!CX23:DI23, LS_Demand_Rates_Restatement!$C$11:$N$11)*1000</f>
        <v>546225.38</v>
      </c>
      <c r="T21" s="252"/>
      <c r="U21" s="252">
        <f>IF(Init!$R$18="Yes",(SUM('Staging Table'!DL23:DU23)*IF('Staging Table'!$BT$1=2020, Rates_current!$C$87, Rates_current!$D$87)),0)</f>
        <v>92922.138659821139</v>
      </c>
      <c r="V21" s="252">
        <f>IF('Staging Table'!D23=1, 'Staging Table'!BV23*-1*'Staging Table'!BT23/'Staging Table'!BS23,SUM(P21:U21)*'Staging Table'!BV23*-1)</f>
        <v>0</v>
      </c>
      <c r="W21" s="250">
        <f>'Staging Table'!BY23*Rates_current!$H$32*-1</f>
        <v>0</v>
      </c>
      <c r="X21" s="250">
        <f>IF(Init!$R$12="No",0,'Staging Table'!$DW23*-1)</f>
        <v>0</v>
      </c>
      <c r="Y21" s="250">
        <f>IF('Staging Table'!C23=1,"",SUM(P21:X21))</f>
        <v>5423651.9949798211</v>
      </c>
      <c r="Z21" s="250">
        <f>IF('Staging Table'!C23=1,"",(RT1SC!$C$4*'Staging Table'!BT23*'Staging Table'!$BT$2))</f>
        <v>138196.91103989759</v>
      </c>
      <c r="AA21" s="126">
        <f>IF('Staging Table'!C23=1,"",IF(Z21=0, 0, Y21/Z21))</f>
        <v>39.245826510651945</v>
      </c>
      <c r="AB21" s="118">
        <f ca="1">IF('Staging Table'!C23=1,"",(AA21/O21-1)+(RAND()/100000000000))</f>
        <v>2.1566597294868147E-2</v>
      </c>
      <c r="AC21" s="79">
        <f t="shared" ca="1" si="0"/>
        <v>42</v>
      </c>
      <c r="AF21" s="255"/>
      <c r="AG21" s="255"/>
      <c r="AI21" s="255"/>
      <c r="AJ21" s="255"/>
    </row>
    <row r="22" spans="2:36">
      <c r="B22" s="166">
        <v>10068</v>
      </c>
      <c r="C22" s="167" t="s">
        <v>25</v>
      </c>
      <c r="D22" s="250">
        <f>IF(Init!$R$9="Yes",'Staging Table'!F24,'Staging Table'!BT24)*Rates_previous!$E$75*100*12</f>
        <v>966610.43136000016</v>
      </c>
      <c r="E22" s="250">
        <f>IF(Init!$R$9="Yes",'Staging Table'!F24,'Staging Table'!BT24)*Rates_previous!$E$76*100*12</f>
        <v>-136313.1084</v>
      </c>
      <c r="F22" s="251"/>
      <c r="G22" s="251">
        <f>IF(Init!$R$9="Yes",SUMPRODUCT('Staging Table'!AJ24:AU24,LS_Demand_Rates_Restatement!$C$10:$N$10),SUMPRODUCT(LS_Demand_Rates_Restatement!$C$10:$N$10,'Staging Table'!CX24:DI24))*1000</f>
        <v>33934.230000000003</v>
      </c>
      <c r="H22" s="252"/>
      <c r="I22" s="250">
        <f>IF(Init!$R$9="Yes",IF('Staging Table'!$F$1=2018,(SUM('Staging Table'!BD24:BG24)*Rates_previous!$C$87),(SUM('Staging Table'!BD24:BG24)*Rates_previous!$D$87)),IF('Staging Table'!$F$1=2018,(SUM('Staging Table'!DR24:DU24)*Rates_previous!$C$87),(SUM('Staging Table'!DR24:DU24)*Rates_previous!$D$87)))</f>
        <v>5311.156294893608</v>
      </c>
      <c r="J22" s="252">
        <f>IF(Init!$R$9="Yes",IF('Staging Table'!D24=1,'Staging Table'!H24*-1*'Staging Table'!F24/'Staging Table'!E24,'Staging Table'!H24*SUM(D22:I22)*(-1)),IF('Staging Table'!D24=1,'Staging Table'!BV24*-1*'Staging Table'!BT24/'Staging Table'!BS24,'Staging Table'!BV24*SUM(D22:I22)*(-1)))</f>
        <v>0</v>
      </c>
      <c r="K22" s="250">
        <f>IF(Init!$R$9="Yes",'Staging Table'!K24,'Staging Table'!BY24)*(-1)*Rates_previous!$H$32</f>
        <v>0</v>
      </c>
      <c r="L22" s="250">
        <f>IF(Init!$R$12="No",0,'Staging Table'!$BI24*-1)*('Staging Table'!$F24/'Staging Table'!$E24)</f>
        <v>-15049.786833285856</v>
      </c>
      <c r="M22" s="250">
        <f>IF('Staging Table'!C24=1,"",SUM(D22:L22))</f>
        <v>854492.92242160789</v>
      </c>
      <c r="N22" s="250">
        <f>IF('Staging Table'!C24=1,"",IF(Init!$R$9="Yes",(RT1SC!$C$3*'Staging Table'!F24*'Staging Table'!$F$2),Z22))</f>
        <v>23081.501254223997</v>
      </c>
      <c r="O22" s="126">
        <f>IF('Staging Table'!C24=1,"",IF(N22=0, 0, M22/N22))</f>
        <v>37.020682190905269</v>
      </c>
      <c r="P22" s="250">
        <f>'Staging Table'!BT24*Rates_current!$E$74*100*12</f>
        <v>864392.55132000009</v>
      </c>
      <c r="Q22" s="250">
        <f>'Staging Table'!BT24*Rates_current!$E$75*100*12</f>
        <v>-87447.300599999988</v>
      </c>
      <c r="R22" s="251"/>
      <c r="S22" s="251">
        <f>SUMPRODUCT('Staging Table'!CX24:DI24, LS_Demand_Rates_Restatement!$C$11:$N$11)*1000</f>
        <v>37356.559999999998</v>
      </c>
      <c r="T22" s="252"/>
      <c r="U22" s="252">
        <f>IF(Init!$R$18="Yes",(SUM('Staging Table'!DL24:DU24)*IF('Staging Table'!$BT$1=2020, Rates_current!$C$87, Rates_current!$D$87)),0)</f>
        <v>15089.423507870231</v>
      </c>
      <c r="V22" s="252">
        <f>IF('Staging Table'!D24=1, 'Staging Table'!BV24*-1*'Staging Table'!BT24/'Staging Table'!BS24,SUM(P22:U22)*'Staging Table'!BV24*-1)</f>
        <v>0</v>
      </c>
      <c r="W22" s="250">
        <f>'Staging Table'!BY24*Rates_current!$H$32*-1</f>
        <v>0</v>
      </c>
      <c r="X22" s="250">
        <f>IF(Init!$R$12="No",0,'Staging Table'!$DW24*-1)</f>
        <v>0</v>
      </c>
      <c r="Y22" s="250">
        <f>IF('Staging Table'!C24=1,"",SUM(P22:X22))</f>
        <v>829391.23422787036</v>
      </c>
      <c r="Z22" s="250">
        <f>IF('Staging Table'!C24=1,"",(RT1SC!$C$4*'Staging Table'!BT24*'Staging Table'!$BT$2))</f>
        <v>22441.495086489598</v>
      </c>
      <c r="AA22" s="126">
        <f>IF('Staging Table'!C24=1,"",IF(Z22=0, 0, Y22/Z22))</f>
        <v>36.957931324601759</v>
      </c>
      <c r="AB22" s="118">
        <f ca="1">IF('Staging Table'!C24=1,"",(AA22/O22-1)+(RAND()/100000000000))</f>
        <v>-1.6950218720284064E-3</v>
      </c>
      <c r="AC22" s="79">
        <f t="shared" ca="1" si="0"/>
        <v>112</v>
      </c>
      <c r="AF22" s="255"/>
      <c r="AG22" s="255"/>
      <c r="AI22" s="255"/>
      <c r="AJ22" s="255"/>
    </row>
    <row r="23" spans="2:36">
      <c r="B23" s="166">
        <v>10070</v>
      </c>
      <c r="C23" s="167" t="s">
        <v>26</v>
      </c>
      <c r="D23" s="250">
        <f>IF(Init!$R$9="Yes",'Staging Table'!F25,'Staging Table'!BT25)*Rates_previous!$E$75*100*12</f>
        <v>129424.90752000001</v>
      </c>
      <c r="E23" s="250">
        <f>IF(Init!$R$9="Yes",'Staging Table'!F25,'Staging Table'!BT25)*Rates_previous!$E$76*100*12</f>
        <v>-18251.728800000004</v>
      </c>
      <c r="F23" s="251"/>
      <c r="G23" s="251">
        <f>IF(Init!$R$9="Yes",SUMPRODUCT('Staging Table'!AJ25:AU25,LS_Demand_Rates_Restatement!$C$10:$N$10),SUMPRODUCT(LS_Demand_Rates_Restatement!$C$10:$N$10,'Staging Table'!CX25:DI25))*1000</f>
        <v>6885.17</v>
      </c>
      <c r="H23" s="252"/>
      <c r="I23" s="250">
        <f>IF(Init!$R$9="Yes",IF('Staging Table'!$F$1=2018,(SUM('Staging Table'!BD25:BG25)*Rates_previous!$C$87),(SUM('Staging Table'!BD25:BG25)*Rates_previous!$D$87)),IF('Staging Table'!$F$1=2018,(SUM('Staging Table'!DR25:DU25)*Rates_previous!$C$87),(SUM('Staging Table'!DR25:DU25)*Rates_previous!$D$87)))</f>
        <v>711.14058982761003</v>
      </c>
      <c r="J23" s="252">
        <f>IF(Init!$R$9="Yes",IF('Staging Table'!D25=1,'Staging Table'!H25*-1*'Staging Table'!F25/'Staging Table'!E25,'Staging Table'!H25*SUM(D23:I23)*(-1)),IF('Staging Table'!D25=1,'Staging Table'!BV25*-1*'Staging Table'!BT25/'Staging Table'!BS25,'Staging Table'!BV25*SUM(D23:I23)*(-1)))</f>
        <v>0</v>
      </c>
      <c r="K23" s="250">
        <f>IF(Init!$R$9="Yes",'Staging Table'!K25,'Staging Table'!BY25)*(-1)*Rates_previous!$H$32</f>
        <v>0</v>
      </c>
      <c r="L23" s="250">
        <f>IF(Init!$R$12="No",0,'Staging Table'!$BI25*-1)*('Staging Table'!$F25/'Staging Table'!$E25)</f>
        <v>-2015.1006092011639</v>
      </c>
      <c r="M23" s="250">
        <f>IF('Staging Table'!C25=1,"",SUM(D23:L23))</f>
        <v>116754.38870062644</v>
      </c>
      <c r="N23" s="250">
        <f>IF('Staging Table'!C25=1,"",IF(Init!$R$9="Yes",(RT1SC!$C$3*'Staging Table'!F25*'Staging Table'!$F$2),Z23))</f>
        <v>3090.5120287679997</v>
      </c>
      <c r="O23" s="126">
        <f>IF('Staging Table'!C25=1,"",IF(N23=0, 0, M23/N23))</f>
        <v>37.778331750149945</v>
      </c>
      <c r="P23" s="250">
        <f>'Staging Table'!BT25*Rates_current!$E$74*100*12</f>
        <v>120734.51088</v>
      </c>
      <c r="Q23" s="250">
        <f>'Staging Table'!BT25*Rates_current!$E$75*100*12</f>
        <v>-12214.250400000001</v>
      </c>
      <c r="R23" s="251"/>
      <c r="S23" s="251">
        <f>SUMPRODUCT('Staging Table'!CX25:DI25, LS_Demand_Rates_Restatement!$C$11:$N$11)*1000</f>
        <v>7730.01</v>
      </c>
      <c r="T23" s="252"/>
      <c r="U23" s="252">
        <f>IF(Init!$R$18="Yes",(SUM('Staging Table'!DL25:DU25)*IF('Staging Table'!$BT$1=2020, Rates_current!$C$87, Rates_current!$D$87)),0)</f>
        <v>2107.6236299142361</v>
      </c>
      <c r="V23" s="252">
        <f>IF('Staging Table'!D25=1, 'Staging Table'!BV25*-1*'Staging Table'!BT25/'Staging Table'!BS25,SUM(P23:U23)*'Staging Table'!BV25*-1)</f>
        <v>0</v>
      </c>
      <c r="W23" s="250">
        <f>'Staging Table'!BY25*Rates_current!$H$32*-1</f>
        <v>0</v>
      </c>
      <c r="X23" s="250">
        <f>IF(Init!$R$12="No",0,'Staging Table'!$DW25*-1)</f>
        <v>0</v>
      </c>
      <c r="Y23" s="250">
        <f>IF('Staging Table'!C25=1,"",SUM(P23:X23))</f>
        <v>118357.89410991422</v>
      </c>
      <c r="Z23" s="250">
        <f>IF('Staging Table'!C25=1,"",(RT1SC!$C$4*'Staging Table'!BT25*'Staging Table'!$BT$2))</f>
        <v>3134.5283211264</v>
      </c>
      <c r="AA23" s="126">
        <f>IF('Staging Table'!C25=1,"",IF(Z23=0, 0, Y23/Z23))</f>
        <v>37.759395348957014</v>
      </c>
      <c r="AB23" s="118">
        <f ca="1">IF('Staging Table'!C25=1,"",(AA23/O23-1)+(RAND()/100000000000))</f>
        <v>-5.0125032782313936E-4</v>
      </c>
      <c r="AC23" s="79">
        <f t="shared" ca="1" si="0"/>
        <v>104</v>
      </c>
      <c r="AF23" s="255"/>
      <c r="AG23" s="255"/>
      <c r="AI23" s="255"/>
      <c r="AJ23" s="255"/>
    </row>
    <row r="24" spans="2:36">
      <c r="B24" s="166">
        <v>10071</v>
      </c>
      <c r="C24" s="167" t="s">
        <v>27</v>
      </c>
      <c r="D24" s="250">
        <f>IF(Init!$R$9="Yes",'Staging Table'!F26,'Staging Table'!BT26)*Rates_previous!$E$75*100*12</f>
        <v>684831.00671999983</v>
      </c>
      <c r="E24" s="250">
        <f>IF(Init!$R$9="Yes",'Staging Table'!F26,'Staging Table'!BT26)*Rates_previous!$E$76*100*12</f>
        <v>-96576.07680000001</v>
      </c>
      <c r="F24" s="251"/>
      <c r="G24" s="251">
        <f>IF(Init!$R$9="Yes",SUMPRODUCT('Staging Table'!AJ26:AU26,LS_Demand_Rates_Restatement!$C$10:$N$10),SUMPRODUCT(LS_Demand_Rates_Restatement!$C$10:$N$10,'Staging Table'!CX26:DI26))*1000</f>
        <v>21991.75</v>
      </c>
      <c r="H24" s="252"/>
      <c r="I24" s="250">
        <f>IF(Init!$R$9="Yes",IF('Staging Table'!$F$1=2018,(SUM('Staging Table'!BD26:BG26)*Rates_previous!$C$87),(SUM('Staging Table'!BD26:BG26)*Rates_previous!$D$87)),IF('Staging Table'!$F$1=2018,(SUM('Staging Table'!DR26:DU26)*Rates_previous!$C$87),(SUM('Staging Table'!DR26:DU26)*Rates_previous!$D$87)))</f>
        <v>3762.8856406626292</v>
      </c>
      <c r="J24" s="252">
        <f>IF(Init!$R$9="Yes",IF('Staging Table'!D26=1,'Staging Table'!H26*-1*'Staging Table'!F26/'Staging Table'!E26,'Staging Table'!H26*SUM(D24:I24)*(-1)),IF('Staging Table'!D26=1,'Staging Table'!BV26*-1*'Staging Table'!BT26/'Staging Table'!BS26,'Staging Table'!BV26*SUM(D24:I24)*(-1)))</f>
        <v>0</v>
      </c>
      <c r="K24" s="250">
        <f>IF(Init!$R$9="Yes",'Staging Table'!K26,'Staging Table'!BY26)*(-1)*Rates_previous!$H$32</f>
        <v>0</v>
      </c>
      <c r="L24" s="250">
        <f>IF(Init!$R$12="No",0,'Staging Table'!$BI26*-1)*('Staging Table'!$F26/'Staging Table'!$E26)</f>
        <v>-29750.927364200797</v>
      </c>
      <c r="M24" s="250">
        <f>IF('Staging Table'!C26=1,"",SUM(D24:L24))</f>
        <v>584258.6381964616</v>
      </c>
      <c r="N24" s="250">
        <f>IF('Staging Table'!C26=1,"",IF(Init!$R$9="Yes",(RT1SC!$C$3*'Staging Table'!F26*'Staging Table'!$F$2),Z24))</f>
        <v>16352.945538047998</v>
      </c>
      <c r="O24" s="126">
        <f>IF('Staging Table'!C26=1,"",IF(N24=0, 0, M24/N24))</f>
        <v>35.728036691437723</v>
      </c>
      <c r="P24" s="250">
        <f>'Staging Table'!BT26*Rates_current!$E$74*100*12</f>
        <v>630053.52035999997</v>
      </c>
      <c r="Q24" s="250">
        <f>'Staging Table'!BT26*Rates_current!$E$75*100*12</f>
        <v>-63740.113799999992</v>
      </c>
      <c r="R24" s="251"/>
      <c r="S24" s="251">
        <f>SUMPRODUCT('Staging Table'!CX26:DI26, LS_Demand_Rates_Restatement!$C$11:$N$11)*1000</f>
        <v>25436.079999999998</v>
      </c>
      <c r="T24" s="252"/>
      <c r="U24" s="252">
        <f>IF(Init!$R$18="Yes",(SUM('Staging Table'!DL26:DU26)*IF('Staging Table'!$BT$1=2020, Rates_current!$C$87, Rates_current!$D$87)),0)</f>
        <v>10998.642210438267</v>
      </c>
      <c r="V24" s="252">
        <f>IF('Staging Table'!D26=1, 'Staging Table'!BV26*-1*'Staging Table'!BT26/'Staging Table'!BS26,SUM(P24:U24)*'Staging Table'!BV26*-1)</f>
        <v>0</v>
      </c>
      <c r="W24" s="250">
        <f>'Staging Table'!BY26*Rates_current!$H$32*-1</f>
        <v>0</v>
      </c>
      <c r="X24" s="250">
        <f>IF(Init!$R$12="No",0,'Staging Table'!$DW26*-1)</f>
        <v>0</v>
      </c>
      <c r="Y24" s="250">
        <f>IF('Staging Table'!C26=1,"",SUM(P24:X24))</f>
        <v>602748.12877043826</v>
      </c>
      <c r="Z24" s="250">
        <f>IF('Staging Table'!C26=1,"",(RT1SC!$C$4*'Staging Table'!BT26*'Staging Table'!$BT$2))</f>
        <v>16357.548384460799</v>
      </c>
      <c r="AA24" s="126">
        <f>IF('Staging Table'!C26=1,"",IF(Z24=0, 0, Y24/Z24))</f>
        <v>36.848317034050879</v>
      </c>
      <c r="AB24" s="118">
        <f ca="1">IF('Staging Table'!C26=1,"",(AA24/O24-1)+(RAND()/100000000000))</f>
        <v>3.1355776768618941E-2</v>
      </c>
      <c r="AC24" s="79">
        <f t="shared" ca="1" si="0"/>
        <v>3</v>
      </c>
      <c r="AF24" s="255"/>
      <c r="AG24" s="255"/>
      <c r="AI24" s="255"/>
      <c r="AJ24" s="255"/>
    </row>
    <row r="25" spans="2:36">
      <c r="B25" s="166">
        <v>10072</v>
      </c>
      <c r="C25" s="167" t="s">
        <v>28</v>
      </c>
      <c r="D25" s="250">
        <f>IF(Init!$R$9="Yes",'Staging Table'!F27,'Staging Table'!BT27)*Rates_previous!$E$75*100*12</f>
        <v>8656691.9443199988</v>
      </c>
      <c r="E25" s="250">
        <f>IF(Init!$R$9="Yes",'Staging Table'!F27,'Staging Table'!BT27)*Rates_previous!$E$76*100*12</f>
        <v>-1220781.9708</v>
      </c>
      <c r="F25" s="251"/>
      <c r="G25" s="251">
        <f>IF(Init!$R$9="Yes",SUMPRODUCT('Staging Table'!AJ27:AU27,LS_Demand_Rates_Restatement!$C$10:$N$10),SUMPRODUCT(LS_Demand_Rates_Restatement!$C$10:$N$10,'Staging Table'!CX27:DI27))*1000</f>
        <v>437511.39999999997</v>
      </c>
      <c r="H25" s="252"/>
      <c r="I25" s="250">
        <f>IF(Init!$R$9="Yes",IF('Staging Table'!$F$1=2018,(SUM('Staging Table'!BD27:BG27)*Rates_previous!$C$87),(SUM('Staging Table'!BD27:BG27)*Rates_previous!$D$87)),IF('Staging Table'!$F$1=2018,(SUM('Staging Table'!DR27:DU27)*Rates_previous!$C$87),(SUM('Staging Table'!DR27:DU27)*Rates_previous!$D$87)))</f>
        <v>47565.226301501047</v>
      </c>
      <c r="J25" s="252">
        <f>IF(Init!$R$9="Yes",IF('Staging Table'!D27=1,'Staging Table'!H27*-1*'Staging Table'!F27/'Staging Table'!E27,'Staging Table'!H27*SUM(D25:I25)*(-1)),IF('Staging Table'!D27=1,'Staging Table'!BV27*-1*'Staging Table'!BT27/'Staging Table'!BS27,'Staging Table'!BV27*SUM(D25:I25)*(-1)))</f>
        <v>0</v>
      </c>
      <c r="K25" s="250">
        <f>IF(Init!$R$9="Yes",'Staging Table'!K27,'Staging Table'!BY27)*(-1)*Rates_previous!$H$32</f>
        <v>0</v>
      </c>
      <c r="L25" s="250">
        <f>IF(Init!$R$12="No",0,'Staging Table'!$BI27*-1)*('Staging Table'!$F27/'Staging Table'!$E27)</f>
        <v>-309960.83067431522</v>
      </c>
      <c r="M25" s="250">
        <f>IF('Staging Table'!C27=1,"",SUM(D25:L25))</f>
        <v>7611025.7691471856</v>
      </c>
      <c r="N25" s="250">
        <f>IF('Staging Table'!C27=1,"",IF(Init!$R$9="Yes",(RT1SC!$C$3*'Staging Table'!F27*'Staging Table'!$F$2),Z25))</f>
        <v>206711.45219188798</v>
      </c>
      <c r="O25" s="126">
        <f>IF('Staging Table'!C27=1,"",IF(N25=0, 0, M25/N25))</f>
        <v>36.81956509154584</v>
      </c>
      <c r="P25" s="250">
        <f>'Staging Table'!BT27*Rates_current!$E$74*100*12</f>
        <v>8071149.5855999999</v>
      </c>
      <c r="Q25" s="250">
        <f>'Staging Table'!BT27*Rates_current!$E$75*100*12</f>
        <v>-816527.44800000009</v>
      </c>
      <c r="R25" s="251"/>
      <c r="S25" s="251">
        <f>SUMPRODUCT('Staging Table'!CX27:DI27, LS_Demand_Rates_Restatement!$C$11:$N$11)*1000</f>
        <v>490077.04000000004</v>
      </c>
      <c r="T25" s="252"/>
      <c r="U25" s="252">
        <f>IF(Init!$R$18="Yes",(SUM('Staging Table'!DL27:DU27)*IF('Staging Table'!$BT$1=2020, Rates_current!$C$87, Rates_current!$D$87)),0)</f>
        <v>140895.46943284935</v>
      </c>
      <c r="V25" s="252">
        <f>IF('Staging Table'!D27=1, 'Staging Table'!BV27*-1*'Staging Table'!BT27/'Staging Table'!BS27,SUM(P25:U25)*'Staging Table'!BV27*-1)</f>
        <v>0</v>
      </c>
      <c r="W25" s="250">
        <f>'Staging Table'!BY27*Rates_current!$H$32*-1</f>
        <v>0</v>
      </c>
      <c r="X25" s="250">
        <f>IF(Init!$R$12="No",0,'Staging Table'!$DW27*-1)</f>
        <v>0</v>
      </c>
      <c r="Y25" s="250">
        <f>IF('Staging Table'!C27=1,"",SUM(P25:X25))</f>
        <v>7885594.6470328495</v>
      </c>
      <c r="Z25" s="250">
        <f>IF('Staging Table'!C27=1,"",(RT1SC!$C$4*'Staging Table'!BT27*'Staging Table'!$BT$2))</f>
        <v>209544.45233356798</v>
      </c>
      <c r="AA25" s="126">
        <f>IF('Staging Table'!C27=1,"",IF(Z25=0, 0, Y25/Z25))</f>
        <v>37.632085026426708</v>
      </c>
      <c r="AB25" s="118">
        <f ca="1">IF('Staging Table'!C27=1,"",(AA25/O25-1)+(RAND()/100000000000))</f>
        <v>2.2067613594784468E-2</v>
      </c>
      <c r="AC25" s="79">
        <f t="shared" ca="1" si="0"/>
        <v>36</v>
      </c>
      <c r="AF25" s="255"/>
      <c r="AG25" s="255"/>
      <c r="AI25" s="255"/>
      <c r="AJ25" s="255"/>
    </row>
    <row r="26" spans="2:36">
      <c r="B26" s="166">
        <v>10074</v>
      </c>
      <c r="C26" s="167" t="s">
        <v>29</v>
      </c>
      <c r="D26" s="250">
        <f>IF(Init!$R$9="Yes",'Staging Table'!F28,'Staging Table'!BT28)*Rates_previous!$E$75*100*12</f>
        <v>9631455.1257600002</v>
      </c>
      <c r="E26" s="250">
        <f>IF(Init!$R$9="Yes",'Staging Table'!F28,'Staging Table'!BT28)*Rates_previous!$E$76*100*12</f>
        <v>-1358244.7944</v>
      </c>
      <c r="F26" s="251"/>
      <c r="G26" s="251">
        <f>IF(Init!$R$9="Yes",SUMPRODUCT('Staging Table'!AJ28:AU28,LS_Demand_Rates_Restatement!$C$10:$N$10),SUMPRODUCT(LS_Demand_Rates_Restatement!$C$10:$N$10,'Staging Table'!CX28:DI28))*1000</f>
        <v>510730.38999999996</v>
      </c>
      <c r="H26" s="252"/>
      <c r="I26" s="250">
        <f>IF(Init!$R$9="Yes",IF('Staging Table'!$F$1=2018,(SUM('Staging Table'!BD28:BG28)*Rates_previous!$C$87),(SUM('Staging Table'!BD28:BG28)*Rates_previous!$D$87)),IF('Staging Table'!$F$1=2018,(SUM('Staging Table'!DR28:DU28)*Rates_previous!$C$87),(SUM('Staging Table'!DR28:DU28)*Rates_previous!$D$87)))</f>
        <v>52921.178854021593</v>
      </c>
      <c r="J26" s="252">
        <f>IF(Init!$R$9="Yes",IF('Staging Table'!D28=1,'Staging Table'!H28*-1*'Staging Table'!F28/'Staging Table'!E28,'Staging Table'!H28*SUM(D26:I26)*(-1)),IF('Staging Table'!D28=1,'Staging Table'!BV28*-1*'Staging Table'!BT28/'Staging Table'!BS28,'Staging Table'!BV28*SUM(D26:I26)*(-1)))</f>
        <v>0</v>
      </c>
      <c r="K26" s="250">
        <f>IF(Init!$R$9="Yes",'Staging Table'!K28,'Staging Table'!BY28)*(-1)*Rates_previous!$H$32</f>
        <v>0</v>
      </c>
      <c r="L26" s="250">
        <f>IF(Init!$R$12="No",0,'Staging Table'!$BI28*-1)*('Staging Table'!$F28/'Staging Table'!$E28)</f>
        <v>-319099.34177259984</v>
      </c>
      <c r="M26" s="250">
        <f>IF('Staging Table'!C28=1,"",SUM(D26:L26))</f>
        <v>8517762.5584414229</v>
      </c>
      <c r="N26" s="250">
        <f>IF('Staging Table'!C28=1,"",IF(Init!$R$9="Yes",(RT1SC!$C$3*'Staging Table'!F28*'Staging Table'!$F$2),Z26))</f>
        <v>229987.631369184</v>
      </c>
      <c r="O26" s="126">
        <f>IF('Staging Table'!C28=1,"",IF(N26=0, 0, M26/N26))</f>
        <v>37.03574191243537</v>
      </c>
      <c r="P26" s="250">
        <f>'Staging Table'!BT28*Rates_current!$E$74*100*12</f>
        <v>8979748.0798799992</v>
      </c>
      <c r="Q26" s="250">
        <f>'Staging Table'!BT28*Rates_current!$E$75*100*12</f>
        <v>-908446.89539999992</v>
      </c>
      <c r="R26" s="251"/>
      <c r="S26" s="251">
        <f>SUMPRODUCT('Staging Table'!CX28:DI28, LS_Demand_Rates_Restatement!$C$11:$N$11)*1000</f>
        <v>574943.91000000015</v>
      </c>
      <c r="T26" s="252"/>
      <c r="U26" s="252">
        <f>IF(Init!$R$18="Yes",(SUM('Staging Table'!DL28:DU28)*IF('Staging Table'!$BT$1=2020, Rates_current!$C$87, Rates_current!$D$87)),0)</f>
        <v>156756.5819075779</v>
      </c>
      <c r="V26" s="252">
        <f>IF('Staging Table'!D28=1, 'Staging Table'!BV28*-1*'Staging Table'!BT28/'Staging Table'!BS28,SUM(P26:U26)*'Staging Table'!BV28*-1)</f>
        <v>0</v>
      </c>
      <c r="W26" s="250">
        <f>'Staging Table'!BY28*Rates_current!$H$32*-1</f>
        <v>0</v>
      </c>
      <c r="X26" s="250">
        <f>IF(Init!$R$12="No",0,'Staging Table'!$DW28*-1)</f>
        <v>0</v>
      </c>
      <c r="Y26" s="250">
        <f>IF('Staging Table'!C28=1,"",SUM(P26:X26))</f>
        <v>8803001.6763875782</v>
      </c>
      <c r="Z26" s="250">
        <f>IF('Staging Table'!C28=1,"",(RT1SC!$C$4*'Staging Table'!BT28*'Staging Table'!$BT$2))</f>
        <v>233133.6290494464</v>
      </c>
      <c r="AA26" s="126">
        <f>IF('Staging Table'!C28=1,"",IF(Z26=0, 0, Y26/Z26))</f>
        <v>37.75946744482971</v>
      </c>
      <c r="AB26" s="118">
        <f ca="1">IF('Staging Table'!C28=1,"",(AA26/O26-1)+(RAND()/100000000000))</f>
        <v>1.9541272702450232E-2</v>
      </c>
      <c r="AC26" s="79">
        <f t="shared" ca="1" si="0"/>
        <v>57</v>
      </c>
      <c r="AF26" s="255"/>
      <c r="AG26" s="255"/>
      <c r="AI26" s="255"/>
      <c r="AJ26" s="255"/>
    </row>
    <row r="27" spans="2:36">
      <c r="B27" s="166">
        <v>10076</v>
      </c>
      <c r="C27" s="167" t="s">
        <v>30</v>
      </c>
      <c r="D27" s="250">
        <f>IF(Init!$R$9="Yes",'Staging Table'!F29,'Staging Table'!BT29)*Rates_previous!$E$75*100*12</f>
        <v>1738828.7279999997</v>
      </c>
      <c r="E27" s="250">
        <f>IF(Init!$R$9="Yes",'Staging Table'!F29,'Staging Table'!BT29)*Rates_previous!$E$76*100*12</f>
        <v>-245212.69500000001</v>
      </c>
      <c r="F27" s="251"/>
      <c r="G27" s="251">
        <f>IF(Init!$R$9="Yes",SUMPRODUCT('Staging Table'!AJ29:AU29,LS_Demand_Rates_Restatement!$C$10:$N$10),SUMPRODUCT(LS_Demand_Rates_Restatement!$C$10:$N$10,'Staging Table'!CX29:DI29))*1000</f>
        <v>48269.36</v>
      </c>
      <c r="H27" s="252"/>
      <c r="I27" s="250">
        <f>IF(Init!$R$9="Yes",IF('Staging Table'!$F$1=2018,(SUM('Staging Table'!BD29:BG29)*Rates_previous!$C$87),(SUM('Staging Table'!BD29:BG29)*Rates_previous!$D$87)),IF('Staging Table'!$F$1=2018,(SUM('Staging Table'!DR29:DU29)*Rates_previous!$C$87),(SUM('Staging Table'!DR29:DU29)*Rates_previous!$D$87)))</f>
        <v>9554.2018219949568</v>
      </c>
      <c r="J27" s="252">
        <f>IF(Init!$R$9="Yes",IF('Staging Table'!D29=1,'Staging Table'!H29*-1*'Staging Table'!F29/'Staging Table'!E29,'Staging Table'!H29*SUM(D27:I27)*(-1)),IF('Staging Table'!D29=1,'Staging Table'!BV29*-1*'Staging Table'!BT29/'Staging Table'!BS29,'Staging Table'!BV29*SUM(D27:I27)*(-1)))</f>
        <v>0</v>
      </c>
      <c r="K27" s="250">
        <f>IF(Init!$R$9="Yes",'Staging Table'!K29,'Staging Table'!BY29)*(-1)*Rates_previous!$H$32</f>
        <v>0</v>
      </c>
      <c r="L27" s="250">
        <f>IF(Init!$R$12="No",0,'Staging Table'!$BI29*-1)*('Staging Table'!$F29/'Staging Table'!$E29)</f>
        <v>-77630.668152548416</v>
      </c>
      <c r="M27" s="250">
        <f>IF('Staging Table'!C29=1,"",SUM(D27:L27))</f>
        <v>1473808.9266694463</v>
      </c>
      <c r="N27" s="250">
        <f>IF('Staging Table'!C29=1,"",IF(Init!$R$9="Yes",(RT1SC!$C$3*'Staging Table'!F29*'Staging Table'!$F$2),Z27))</f>
        <v>41521.150780199998</v>
      </c>
      <c r="O27" s="126">
        <f>IF('Staging Table'!C29=1,"",IF(N27=0, 0, M27/N27))</f>
        <v>35.495377632265793</v>
      </c>
      <c r="P27" s="250">
        <f>'Staging Table'!BT29*Rates_current!$E$74*100*12</f>
        <v>1621359.9079200001</v>
      </c>
      <c r="Q27" s="250">
        <f>'Staging Table'!BT29*Rates_current!$E$75*100*12</f>
        <v>-164026.80359999998</v>
      </c>
      <c r="R27" s="251"/>
      <c r="S27" s="251">
        <f>SUMPRODUCT('Staging Table'!CX29:DI29, LS_Demand_Rates_Restatement!$C$11:$N$11)*1000</f>
        <v>54391.17</v>
      </c>
      <c r="T27" s="252"/>
      <c r="U27" s="252">
        <f>IF(Init!$R$18="Yes",(SUM('Staging Table'!DL29:DU29)*IF('Staging Table'!$BT$1=2020, Rates_current!$C$87, Rates_current!$D$87)),0)</f>
        <v>28303.559848966375</v>
      </c>
      <c r="V27" s="252">
        <f>IF('Staging Table'!D29=1, 'Staging Table'!BV29*-1*'Staging Table'!BT29/'Staging Table'!BS29,SUM(P27:U27)*'Staging Table'!BV29*-1)</f>
        <v>0</v>
      </c>
      <c r="W27" s="250">
        <f>'Staging Table'!BY29*Rates_current!$H$32*-1</f>
        <v>0</v>
      </c>
      <c r="X27" s="250">
        <f>IF(Init!$R$12="No",0,'Staging Table'!$DW29*-1)</f>
        <v>0</v>
      </c>
      <c r="Y27" s="250">
        <f>IF('Staging Table'!C29=1,"",SUM(P27:X27))</f>
        <v>1540027.8341689664</v>
      </c>
      <c r="Z27" s="250">
        <f>IF('Staging Table'!C29=1,"",(RT1SC!$C$4*'Staging Table'!BT29*'Staging Table'!$BT$2))</f>
        <v>42094.000406937601</v>
      </c>
      <c r="AA27" s="126">
        <f>IF('Staging Table'!C29=1,"",IF(Z27=0, 0, Y27/Z27))</f>
        <v>36.585447315079875</v>
      </c>
      <c r="AB27" s="118">
        <f ca="1">IF('Staging Table'!C29=1,"",(AA27/O27-1)+(RAND()/100000000000))</f>
        <v>3.0710186954334574E-2</v>
      </c>
      <c r="AC27" s="79">
        <f t="shared" ca="1" si="0"/>
        <v>5</v>
      </c>
      <c r="AF27" s="255"/>
      <c r="AG27" s="255"/>
      <c r="AI27" s="255"/>
      <c r="AJ27" s="255"/>
    </row>
    <row r="28" spans="2:36">
      <c r="B28" s="166">
        <v>10078</v>
      </c>
      <c r="C28" s="167" t="s">
        <v>31</v>
      </c>
      <c r="D28" s="250">
        <f>IF(Init!$R$9="Yes",'Staging Table'!F30,'Staging Table'!BT30)*Rates_previous!$E$75*100*12</f>
        <v>1341891.7084799998</v>
      </c>
      <c r="E28" s="250">
        <f>IF(Init!$R$9="Yes",'Staging Table'!F30,'Staging Table'!BT30)*Rates_previous!$E$76*100*12</f>
        <v>-189235.9362</v>
      </c>
      <c r="F28" s="251"/>
      <c r="G28" s="251">
        <f>IF(Init!$R$9="Yes",SUMPRODUCT('Staging Table'!AJ30:AU30,LS_Demand_Rates_Restatement!$C$10:$N$10),SUMPRODUCT(LS_Demand_Rates_Restatement!$C$10:$N$10,'Staging Table'!CX30:DI30))*1000</f>
        <v>99877.529999999984</v>
      </c>
      <c r="H28" s="252"/>
      <c r="I28" s="250">
        <f>IF(Init!$R$9="Yes",IF('Staging Table'!$F$1=2018,(SUM('Staging Table'!BD30:BG30)*Rates_previous!$C$87),(SUM('Staging Table'!BD30:BG30)*Rates_previous!$D$87)),IF('Staging Table'!$F$1=2018,(SUM('Staging Table'!DR30:DU30)*Rates_previous!$C$87),(SUM('Staging Table'!DR30:DU30)*Rates_previous!$D$87)))</f>
        <v>7373.1840287835075</v>
      </c>
      <c r="J28" s="252">
        <f>IF(Init!$R$9="Yes",IF('Staging Table'!D30=1,'Staging Table'!H30*-1*'Staging Table'!F30/'Staging Table'!E30,'Staging Table'!H30*SUM(D28:I28)*(-1)),IF('Staging Table'!D30=1,'Staging Table'!BV30*-1*'Staging Table'!BT30/'Staging Table'!BS30,'Staging Table'!BV30*SUM(D28:I28)*(-1)))</f>
        <v>0</v>
      </c>
      <c r="K28" s="250">
        <f>IF(Init!$R$9="Yes",'Staging Table'!K30,'Staging Table'!BY30)*(-1)*Rates_previous!$H$32</f>
        <v>0</v>
      </c>
      <c r="L28" s="250">
        <f>IF(Init!$R$12="No",0,'Staging Table'!$BI30*-1)*('Staging Table'!$F30/'Staging Table'!$E30)</f>
        <v>-56468.631515895497</v>
      </c>
      <c r="M28" s="250">
        <f>IF('Staging Table'!C30=1,"",SUM(D28:L28))</f>
        <v>1203437.8547928878</v>
      </c>
      <c r="N28" s="250">
        <f>IF('Staging Table'!C30=1,"",IF(Init!$R$9="Yes",(RT1SC!$C$3*'Staging Table'!F30*'Staging Table'!$F$2),Z28))</f>
        <v>32042.769400631994</v>
      </c>
      <c r="O28" s="126">
        <f>IF('Staging Table'!C30=1,"",IF(N28=0, 0, M28/N28))</f>
        <v>37.557236072396158</v>
      </c>
      <c r="P28" s="250">
        <f>'Staging Table'!BT30*Rates_current!$E$74*100*12</f>
        <v>1251075.7190399999</v>
      </c>
      <c r="Q28" s="250">
        <f>'Staging Table'!BT30*Rates_current!$E$75*100*12</f>
        <v>-126566.5632</v>
      </c>
      <c r="R28" s="251"/>
      <c r="S28" s="251">
        <f>SUMPRODUCT('Staging Table'!CX30:DI30, LS_Demand_Rates_Restatement!$C$11:$N$11)*1000</f>
        <v>109640.47999999998</v>
      </c>
      <c r="T28" s="252"/>
      <c r="U28" s="252">
        <f>IF(Init!$R$18="Yes",(SUM('Staging Table'!DL30:DU30)*IF('Staging Table'!$BT$1=2020, Rates_current!$C$87, Rates_current!$D$87)),0)</f>
        <v>21839.627535174292</v>
      </c>
      <c r="V28" s="252">
        <f>IF('Staging Table'!D30=1, 'Staging Table'!BV30*-1*'Staging Table'!BT30/'Staging Table'!BS30,SUM(P28:U28)*'Staging Table'!BV30*-1)</f>
        <v>0</v>
      </c>
      <c r="W28" s="250">
        <f>'Staging Table'!BY30*Rates_current!$H$32*-1</f>
        <v>0</v>
      </c>
      <c r="X28" s="250">
        <f>IF(Init!$R$12="No",0,'Staging Table'!$DW30*-1)</f>
        <v>0</v>
      </c>
      <c r="Y28" s="250">
        <f>IF('Staging Table'!C30=1,"",SUM(P28:X28))</f>
        <v>1255989.2633751743</v>
      </c>
      <c r="Z28" s="250">
        <f>IF('Staging Table'!C30=1,"",(RT1SC!$C$4*'Staging Table'!BT30*'Staging Table'!$BT$2))</f>
        <v>32480.6241779712</v>
      </c>
      <c r="AA28" s="126">
        <f>IF('Staging Table'!C30=1,"",IF(Z28=0, 0, Y28/Z28))</f>
        <v>38.668877066315837</v>
      </c>
      <c r="AB28" s="118">
        <f ca="1">IF('Staging Table'!C30=1,"",(AA28/O28-1)+(RAND()/100000000000))</f>
        <v>2.9598583665469691E-2</v>
      </c>
      <c r="AC28" s="79">
        <f t="shared" ca="1" si="0"/>
        <v>6</v>
      </c>
      <c r="AF28" s="255"/>
      <c r="AG28" s="255"/>
      <c r="AI28" s="255"/>
      <c r="AJ28" s="255"/>
    </row>
    <row r="29" spans="2:36">
      <c r="B29" s="166">
        <v>10079</v>
      </c>
      <c r="C29" s="167" t="s">
        <v>32</v>
      </c>
      <c r="D29" s="250">
        <f>IF(Init!$R$9="Yes",'Staging Table'!F31,'Staging Table'!BT31)*Rates_previous!$E$75*100*12</f>
        <v>31829355.406079996</v>
      </c>
      <c r="E29" s="250">
        <f>IF(Init!$R$9="Yes",'Staging Table'!F31,'Staging Table'!BT31)*Rates_previous!$E$76*100*12</f>
        <v>-4488631.8552000001</v>
      </c>
      <c r="F29" s="251"/>
      <c r="G29" s="251">
        <f>IF(Init!$R$9="Yes",SUMPRODUCT('Staging Table'!AJ31:AU31,LS_Demand_Rates_Restatement!$C$10:$N$10),SUMPRODUCT(LS_Demand_Rates_Restatement!$C$10:$N$10,'Staging Table'!CX31:DI31))*1000</f>
        <v>2014589.0500000003</v>
      </c>
      <c r="H29" s="252"/>
      <c r="I29" s="250">
        <f>IF(Init!$R$9="Yes",IF('Staging Table'!$F$1=2018,(SUM('Staging Table'!BD31:BG31)*Rates_previous!$C$87),(SUM('Staging Table'!BD31:BG31)*Rates_previous!$D$87)),IF('Staging Table'!$F$1=2018,(SUM('Staging Table'!DR31:DU31)*Rates_previous!$C$87),(SUM('Staging Table'!DR31:DU31)*Rates_previous!$D$87)))</f>
        <v>174890.18930776176</v>
      </c>
      <c r="J29" s="252">
        <f>IF(Init!$R$9="Yes",IF('Staging Table'!D31=1,'Staging Table'!H31*-1*'Staging Table'!F31/'Staging Table'!E31,'Staging Table'!H31*SUM(D29:I29)*(-1)),IF('Staging Table'!D31=1,'Staging Table'!BV31*-1*'Staging Table'!BT31/'Staging Table'!BS31,'Staging Table'!BV31*SUM(D29:I29)*(-1)))</f>
        <v>0</v>
      </c>
      <c r="K29" s="250">
        <f>IF(Init!$R$9="Yes",'Staging Table'!K31,'Staging Table'!BY31)*(-1)*Rates_previous!$H$32</f>
        <v>0</v>
      </c>
      <c r="L29" s="250">
        <f>IF(Init!$R$12="No",0,'Staging Table'!$BI31*-1)*('Staging Table'!$F31/'Staging Table'!$E31)</f>
        <v>-1089139.938739561</v>
      </c>
      <c r="M29" s="250">
        <f>IF('Staging Table'!C31=1,"",SUM(D29:L29))</f>
        <v>28441062.851448197</v>
      </c>
      <c r="N29" s="250">
        <f>IF('Staging Table'!C31=1,"",IF(Init!$R$9="Yes",(RT1SC!$C$3*'Staging Table'!F31*'Staging Table'!$F$2),Z29))</f>
        <v>760046.94641347195</v>
      </c>
      <c r="O29" s="126">
        <f>IF('Staging Table'!C31=1,"",IF(N29=0, 0, M29/N29))</f>
        <v>37.420139618554586</v>
      </c>
      <c r="P29" s="250">
        <f>'Staging Table'!BT31*Rates_current!$E$74*100*12</f>
        <v>29303549.188919999</v>
      </c>
      <c r="Q29" s="250">
        <f>'Staging Table'!BT31*Rates_current!$E$75*100*12</f>
        <v>-2964528.4086000002</v>
      </c>
      <c r="R29" s="251"/>
      <c r="S29" s="251">
        <f>SUMPRODUCT('Staging Table'!CX31:DI31, LS_Demand_Rates_Restatement!$C$11:$N$11)*1000</f>
        <v>2206879.1100000003</v>
      </c>
      <c r="T29" s="252"/>
      <c r="U29" s="252">
        <f>IF(Init!$R$18="Yes",(SUM('Staging Table'!DL31:DU31)*IF('Staging Table'!$BT$1=2020, Rates_current!$C$87, Rates_current!$D$87)),0)</f>
        <v>511542.65885341645</v>
      </c>
      <c r="V29" s="252">
        <f>IF('Staging Table'!D31=1, 'Staging Table'!BV31*-1*'Staging Table'!BT31/'Staging Table'!BS31,SUM(P29:U29)*'Staging Table'!BV31*-1)</f>
        <v>0</v>
      </c>
      <c r="W29" s="250">
        <f>'Staging Table'!BY31*Rates_current!$H$32*-1</f>
        <v>0</v>
      </c>
      <c r="X29" s="250">
        <f>IF(Init!$R$12="No",0,'Staging Table'!$DW31*-1)</f>
        <v>0</v>
      </c>
      <c r="Y29" s="250">
        <f>IF('Staging Table'!C31=1,"",SUM(P29:X29))</f>
        <v>29057442.549173415</v>
      </c>
      <c r="Z29" s="250">
        <f>IF('Staging Table'!C31=1,"",(RT1SC!$C$4*'Staging Table'!BT31*'Staging Table'!$BT$2))</f>
        <v>760783.34332661761</v>
      </c>
      <c r="AA29" s="126">
        <f>IF('Staging Table'!C31=1,"",IF(Z29=0, 0, Y29/Z29))</f>
        <v>38.194109800191228</v>
      </c>
      <c r="AB29" s="118">
        <f ca="1">IF('Staging Table'!C31=1,"",(AA29/O29-1)+(RAND()/100000000000))</f>
        <v>2.0683252116034997E-2</v>
      </c>
      <c r="AC29" s="79">
        <f t="shared" ca="1" si="0"/>
        <v>52</v>
      </c>
      <c r="AF29" s="255"/>
      <c r="AG29" s="255"/>
      <c r="AI29" s="255"/>
      <c r="AJ29" s="255"/>
    </row>
    <row r="30" spans="2:36">
      <c r="B30" s="166">
        <v>10080</v>
      </c>
      <c r="C30" s="167" t="s">
        <v>33</v>
      </c>
      <c r="D30" s="250">
        <f>IF(Init!$R$9="Yes",'Staging Table'!F32,'Staging Table'!BT32)*Rates_previous!$E$75*100*12</f>
        <v>2684547.73728</v>
      </c>
      <c r="E30" s="250">
        <f>IF(Init!$R$9="Yes",'Staging Table'!F32,'Staging Table'!BT32)*Rates_previous!$E$76*100*12</f>
        <v>-378579.65820000001</v>
      </c>
      <c r="F30" s="251"/>
      <c r="G30" s="251">
        <f>IF(Init!$R$9="Yes",SUMPRODUCT('Staging Table'!AJ32:AU32,LS_Demand_Rates_Restatement!$C$10:$N$10),SUMPRODUCT(LS_Demand_Rates_Restatement!$C$10:$N$10,'Staging Table'!CX32:DI32))*1000</f>
        <v>90656.97</v>
      </c>
      <c r="H30" s="252"/>
      <c r="I30" s="250">
        <f>IF(Init!$R$9="Yes",IF('Staging Table'!$F$1=2018,(SUM('Staging Table'!BD32:BG32)*Rates_previous!$C$87),(SUM('Staging Table'!BD32:BG32)*Rates_previous!$D$87)),IF('Staging Table'!$F$1=2018,(SUM('Staging Table'!DR32:DU32)*Rates_previous!$C$87),(SUM('Staging Table'!DR32:DU32)*Rates_previous!$D$87)))</f>
        <v>14750.567706719541</v>
      </c>
      <c r="J30" s="252">
        <f>IF(Init!$R$9="Yes",IF('Staging Table'!D32=1,'Staging Table'!H32*-1*'Staging Table'!F32/'Staging Table'!E32,'Staging Table'!H32*SUM(D30:I30)*(-1)),IF('Staging Table'!D32=1,'Staging Table'!BV32*-1*'Staging Table'!BT32/'Staging Table'!BS32,'Staging Table'!BV32*SUM(D30:I30)*(-1)))</f>
        <v>0</v>
      </c>
      <c r="K30" s="250">
        <f>IF(Init!$R$9="Yes",'Staging Table'!K32,'Staging Table'!BY32)*(-1)*Rates_previous!$H$32</f>
        <v>0</v>
      </c>
      <c r="L30" s="250">
        <f>IF(Init!$R$12="No",0,'Staging Table'!$BI32*-1)*('Staging Table'!$F32/'Staging Table'!$E32)</f>
        <v>-95504.502766492631</v>
      </c>
      <c r="M30" s="250">
        <f>IF('Staging Table'!C32=1,"",SUM(D30:L30))</f>
        <v>2315871.114020227</v>
      </c>
      <c r="N30" s="250">
        <f>IF('Staging Table'!C32=1,"",IF(Init!$R$9="Yes",(RT1SC!$C$3*'Staging Table'!F32*'Staging Table'!$F$2),Z30))</f>
        <v>64103.789856552001</v>
      </c>
      <c r="O30" s="126">
        <f>IF('Staging Table'!C32=1,"",IF(N30=0, 0, M30/N30))</f>
        <v>36.126898568751677</v>
      </c>
      <c r="P30" s="250">
        <f>'Staging Table'!BT32*Rates_current!$E$74*100*12</f>
        <v>2330793.9925199999</v>
      </c>
      <c r="Q30" s="250">
        <f>'Staging Table'!BT32*Rates_current!$E$75*100*12</f>
        <v>-235797.5466</v>
      </c>
      <c r="R30" s="251"/>
      <c r="S30" s="251">
        <f>SUMPRODUCT('Staging Table'!CX32:DI32, LS_Demand_Rates_Restatement!$C$11:$N$11)*1000</f>
        <v>103300.94</v>
      </c>
      <c r="T30" s="252"/>
      <c r="U30" s="252">
        <f>IF(Init!$R$18="Yes",(SUM('Staging Table'!DL32:DU32)*IF('Staging Table'!$BT$1=2020, Rates_current!$C$87, Rates_current!$D$87)),0)</f>
        <v>40687.923107419119</v>
      </c>
      <c r="V30" s="252">
        <f>IF('Staging Table'!D32=1, 'Staging Table'!BV32*-1*'Staging Table'!BT32/'Staging Table'!BS32,SUM(P30:U30)*'Staging Table'!BV32*-1)</f>
        <v>0</v>
      </c>
      <c r="W30" s="250">
        <f>'Staging Table'!BY32*Rates_current!$H$32*-1</f>
        <v>0</v>
      </c>
      <c r="X30" s="250">
        <f>IF(Init!$R$12="No",0,'Staging Table'!$DW32*-1)</f>
        <v>0</v>
      </c>
      <c r="Y30" s="250">
        <f>IF('Staging Table'!C32=1,"",SUM(P30:X30))</f>
        <v>2238985.309027419</v>
      </c>
      <c r="Z30" s="250">
        <f>IF('Staging Table'!C32=1,"",(RT1SC!$C$4*'Staging Table'!BT32*'Staging Table'!$BT$2))</f>
        <v>60512.439459225592</v>
      </c>
      <c r="AA30" s="126">
        <f>IF('Staging Table'!C32=1,"",IF(Z30=0, 0, Y30/Z30))</f>
        <v>37.000413948541755</v>
      </c>
      <c r="AB30" s="118">
        <f ca="1">IF('Staging Table'!C32=1,"",(AA30/O30-1)+(RAND()/100000000000))</f>
        <v>2.4179085797522475E-2</v>
      </c>
      <c r="AC30" s="79">
        <f t="shared" ca="1" si="0"/>
        <v>22</v>
      </c>
      <c r="AF30" s="255"/>
      <c r="AG30" s="255"/>
      <c r="AI30" s="255"/>
      <c r="AJ30" s="255"/>
    </row>
    <row r="31" spans="2:36">
      <c r="B31" s="166">
        <v>10081</v>
      </c>
      <c r="C31" s="167" t="s">
        <v>34</v>
      </c>
      <c r="D31" s="250">
        <f>IF(Init!$R$9="Yes",'Staging Table'!F33,'Staging Table'!BT33)*Rates_previous!$E$75*100*12</f>
        <v>3556637.2224000003</v>
      </c>
      <c r="E31" s="250">
        <f>IF(Init!$R$9="Yes",'Staging Table'!F33,'Staging Table'!BT33)*Rates_previous!$E$76*100*12</f>
        <v>-501563.25600000011</v>
      </c>
      <c r="F31" s="251"/>
      <c r="G31" s="251">
        <f>IF(Init!$R$9="Yes",SUMPRODUCT('Staging Table'!AJ33:AU33,LS_Demand_Rates_Restatement!$C$10:$N$10),SUMPRODUCT(LS_Demand_Rates_Restatement!$C$10:$N$10,'Staging Table'!CX33:DI33))*1000</f>
        <v>281130.33</v>
      </c>
      <c r="H31" s="252"/>
      <c r="I31" s="250">
        <f>IF(Init!$R$9="Yes",IF('Staging Table'!$F$1=2018,(SUM('Staging Table'!BD33:BG33)*Rates_previous!$C$87),(SUM('Staging Table'!BD33:BG33)*Rates_previous!$D$87)),IF('Staging Table'!$F$1=2018,(SUM('Staging Table'!DR33:DU33)*Rates_previous!$C$87),(SUM('Staging Table'!DR33:DU33)*Rates_previous!$D$87)))</f>
        <v>19542.36738975086</v>
      </c>
      <c r="J31" s="252">
        <f>IF(Init!$R$9="Yes",IF('Staging Table'!D33=1,'Staging Table'!H33*-1*'Staging Table'!F33/'Staging Table'!E33,'Staging Table'!H33*SUM(D31:I31)*(-1)),IF('Staging Table'!D33=1,'Staging Table'!BV33*-1*'Staging Table'!BT33/'Staging Table'!BS33,'Staging Table'!BV33*SUM(D31:I31)*(-1)))</f>
        <v>0</v>
      </c>
      <c r="K31" s="250">
        <f>IF(Init!$R$9="Yes",'Staging Table'!K33,'Staging Table'!BY33)*(-1)*Rates_previous!$H$32</f>
        <v>0</v>
      </c>
      <c r="L31" s="250">
        <f>IF(Init!$R$12="No",0,'Staging Table'!$BI33*-1)*('Staging Table'!$F33/'Staging Table'!$E33)</f>
        <v>-132336.57605235174</v>
      </c>
      <c r="M31" s="250">
        <f>IF('Staging Table'!C33=1,"",SUM(D31:L31))</f>
        <v>3223410.0877373992</v>
      </c>
      <c r="N31" s="250">
        <f>IF('Staging Table'!C33=1,"",IF(Init!$R$9="Yes",(RT1SC!$C$3*'Staging Table'!F33*'Staging Table'!$F$2),Z31))</f>
        <v>84928.243940159999</v>
      </c>
      <c r="O31" s="126">
        <f>IF('Staging Table'!C33=1,"",IF(N31=0, 0, M31/N31))</f>
        <v>37.954512400004376</v>
      </c>
      <c r="P31" s="250">
        <f>'Staging Table'!BT33*Rates_current!$E$74*100*12</f>
        <v>3518650.4598000003</v>
      </c>
      <c r="Q31" s="250">
        <f>'Staging Table'!BT33*Rates_current!$E$75*100*12</f>
        <v>-355968.45899999997</v>
      </c>
      <c r="R31" s="251"/>
      <c r="S31" s="251">
        <f>SUMPRODUCT('Staging Table'!CX33:DI33, LS_Demand_Rates_Restatement!$C$11:$N$11)*1000</f>
        <v>309848.99999999994</v>
      </c>
      <c r="T31" s="252"/>
      <c r="U31" s="252">
        <f>IF(Init!$R$18="Yes",(SUM('Staging Table'!DL33:DU33)*IF('Staging Table'!$BT$1=2020, Rates_current!$C$87, Rates_current!$D$87)),0)</f>
        <v>61423.952442677692</v>
      </c>
      <c r="V31" s="252">
        <f>IF('Staging Table'!D33=1, 'Staging Table'!BV33*-1*'Staging Table'!BT33/'Staging Table'!BS33,SUM(P31:U31)*'Staging Table'!BV33*-1)</f>
        <v>0</v>
      </c>
      <c r="W31" s="250">
        <f>'Staging Table'!BY33*Rates_current!$H$32*-1</f>
        <v>0</v>
      </c>
      <c r="X31" s="250">
        <f>IF(Init!$R$12="No",0,'Staging Table'!$DW33*-1)</f>
        <v>0</v>
      </c>
      <c r="Y31" s="250">
        <f>IF('Staging Table'!C33=1,"",SUM(P31:X31))</f>
        <v>3533954.9532426782</v>
      </c>
      <c r="Z31" s="250">
        <f>IF('Staging Table'!C33=1,"",(RT1SC!$C$4*'Staging Table'!BT33*'Staging Table'!$BT$2))</f>
        <v>91351.755500544008</v>
      </c>
      <c r="AA31" s="126">
        <f>IF('Staging Table'!C33=1,"",IF(Z31=0, 0, Y31/Z31))</f>
        <v>38.685134553562392</v>
      </c>
      <c r="AB31" s="118">
        <f ca="1">IF('Staging Table'!C33=1,"",(AA31/O31-1)+(RAND()/100000000000))</f>
        <v>1.9249941776888869E-2</v>
      </c>
      <c r="AC31" s="79">
        <f t="shared" ca="1" si="0"/>
        <v>60</v>
      </c>
      <c r="AF31" s="255"/>
      <c r="AG31" s="255"/>
      <c r="AI31" s="255"/>
      <c r="AJ31" s="255"/>
    </row>
    <row r="32" spans="2:36">
      <c r="B32" s="166">
        <v>10082</v>
      </c>
      <c r="C32" s="167" t="s">
        <v>35</v>
      </c>
      <c r="D32" s="250">
        <f>IF(Init!$R$9="Yes",'Staging Table'!F34,'Staging Table'!BT34)*Rates_previous!$E$75*100*12</f>
        <v>36942.148800000003</v>
      </c>
      <c r="E32" s="250">
        <f>IF(Init!$R$9="Yes",'Staging Table'!F34,'Staging Table'!BT34)*Rates_previous!$E$76*100*12</f>
        <v>-5209.6470000000008</v>
      </c>
      <c r="F32" s="251"/>
      <c r="G32" s="251">
        <f>IF(Init!$R$9="Yes",SUMPRODUCT('Staging Table'!AJ34:AU34,LS_Demand_Rates_Restatement!$C$10:$N$10),SUMPRODUCT(LS_Demand_Rates_Restatement!$C$10:$N$10,'Staging Table'!CX34:DI34))*1000</f>
        <v>1852.46</v>
      </c>
      <c r="H32" s="252"/>
      <c r="I32" s="250">
        <f>IF(Init!$R$9="Yes",IF('Staging Table'!$F$1=2018,(SUM('Staging Table'!BD34:BG34)*Rates_previous!$C$87),(SUM('Staging Table'!BD34:BG34)*Rates_previous!$D$87)),IF('Staging Table'!$F$1=2018,(SUM('Staging Table'!DR34:DU34)*Rates_previous!$C$87),(SUM('Staging Table'!DR34:DU34)*Rates_previous!$D$87)))</f>
        <v>202.98304237205406</v>
      </c>
      <c r="J32" s="252">
        <f>IF(Init!$R$9="Yes",IF('Staging Table'!D34=1,'Staging Table'!H34*-1*'Staging Table'!F34/'Staging Table'!E34,'Staging Table'!H34*SUM(D32:I32)*(-1)),IF('Staging Table'!D34=1,'Staging Table'!BV34*-1*'Staging Table'!BT34/'Staging Table'!BS34,'Staging Table'!BV34*SUM(D32:I32)*(-1)))</f>
        <v>0</v>
      </c>
      <c r="K32" s="250">
        <f>IF(Init!$R$9="Yes",'Staging Table'!K34,'Staging Table'!BY34)*(-1)*Rates_previous!$H$32</f>
        <v>0</v>
      </c>
      <c r="L32" s="250">
        <f>IF(Init!$R$12="No",0,'Staging Table'!$BI34*-1)*('Staging Table'!$F34/'Staging Table'!$E34)</f>
        <v>-575.17635498852121</v>
      </c>
      <c r="M32" s="250">
        <f>IF('Staging Table'!C34=1,"",SUM(D32:L32))</f>
        <v>33212.768487383539</v>
      </c>
      <c r="N32" s="250">
        <f>IF('Staging Table'!C34=1,"",IF(Init!$R$9="Yes",(RT1SC!$C$3*'Staging Table'!F34*'Staging Table'!$F$2),Z32))</f>
        <v>882.13433892</v>
      </c>
      <c r="O32" s="126">
        <f>IF('Staging Table'!C34=1,"",IF(N32=0, 0, M32/N32))</f>
        <v>37.650465492643718</v>
      </c>
      <c r="P32" s="250">
        <f>'Staging Table'!BT34*Rates_current!$E$74*100*12</f>
        <v>31847.292240000002</v>
      </c>
      <c r="Q32" s="250">
        <f>'Staging Table'!BT34*Rates_current!$E$75*100*12</f>
        <v>-3221.8692000000001</v>
      </c>
      <c r="R32" s="251"/>
      <c r="S32" s="251">
        <f>SUMPRODUCT('Staging Table'!CX34:DI34, LS_Demand_Rates_Restatement!$C$11:$N$11)*1000</f>
        <v>2117.5300000000002</v>
      </c>
      <c r="T32" s="252"/>
      <c r="U32" s="252">
        <f>IF(Init!$R$18="Yes",(SUM('Staging Table'!DL34:DU34)*IF('Staging Table'!$BT$1=2020, Rates_current!$C$87, Rates_current!$D$87)),0)</f>
        <v>555.94796537107811</v>
      </c>
      <c r="V32" s="252">
        <f>IF('Staging Table'!D34=1, 'Staging Table'!BV34*-1*'Staging Table'!BT34/'Staging Table'!BS34,SUM(P32:U32)*'Staging Table'!BV34*-1)</f>
        <v>0</v>
      </c>
      <c r="W32" s="250">
        <f>'Staging Table'!BY34*Rates_current!$H$32*-1</f>
        <v>0</v>
      </c>
      <c r="X32" s="250">
        <f>IF(Init!$R$12="No",0,'Staging Table'!$DW34*-1)</f>
        <v>0</v>
      </c>
      <c r="Y32" s="250">
        <f>IF('Staging Table'!C34=1,"",SUM(P32:X32))</f>
        <v>31298.901005371077</v>
      </c>
      <c r="Z32" s="250">
        <f>IF('Staging Table'!C34=1,"",(RT1SC!$C$4*'Staging Table'!BT34*'Staging Table'!$BT$2))</f>
        <v>826.82439966719994</v>
      </c>
      <c r="AA32" s="126">
        <f>IF('Staging Table'!C34=1,"",IF(Z32=0, 0, Y32/Z32))</f>
        <v>37.854350957674939</v>
      </c>
      <c r="AB32" s="118">
        <f ca="1">IF('Staging Table'!C34=1,"",(AA32/O32-1)+(RAND()/100000000000))</f>
        <v>5.4152176529729231E-3</v>
      </c>
      <c r="AC32" s="79">
        <f t="shared" ca="1" si="0"/>
        <v>92</v>
      </c>
      <c r="AF32" s="255"/>
      <c r="AG32" s="255"/>
      <c r="AI32" s="255"/>
      <c r="AJ32" s="255"/>
    </row>
    <row r="33" spans="2:36">
      <c r="B33" s="166">
        <v>10083</v>
      </c>
      <c r="C33" s="167" t="s">
        <v>36</v>
      </c>
      <c r="D33" s="250">
        <f>IF(Init!$R$9="Yes",'Staging Table'!F35,'Staging Table'!BT35)*Rates_previous!$E$75*100*12</f>
        <v>3018810.4905600003</v>
      </c>
      <c r="E33" s="250">
        <f>IF(Init!$R$9="Yes",'Staging Table'!F35,'Staging Table'!BT35)*Rates_previous!$E$76*100*12</f>
        <v>-425717.98139999999</v>
      </c>
      <c r="F33" s="251"/>
      <c r="G33" s="251">
        <f>IF(Init!$R$9="Yes",SUMPRODUCT('Staging Table'!AJ35:AU35,LS_Demand_Rates_Restatement!$C$10:$N$10),SUMPRODUCT(LS_Demand_Rates_Restatement!$C$10:$N$10,'Staging Table'!CX35:DI35))*1000</f>
        <v>138063.65</v>
      </c>
      <c r="H33" s="252"/>
      <c r="I33" s="250">
        <f>IF(Init!$R$9="Yes",IF('Staging Table'!$F$1=2018,(SUM('Staging Table'!BD35:BG35)*Rates_previous!$C$87),(SUM('Staging Table'!BD35:BG35)*Rates_previous!$D$87)),IF('Staging Table'!$F$1=2018,(SUM('Staging Table'!DR35:DU35)*Rates_previous!$C$87),(SUM('Staging Table'!DR35:DU35)*Rates_previous!$D$87)))</f>
        <v>16587.214269423916</v>
      </c>
      <c r="J33" s="252">
        <f>IF(Init!$R$9="Yes",IF('Staging Table'!D35=1,'Staging Table'!H35*-1*'Staging Table'!F35/'Staging Table'!E35,'Staging Table'!H35*SUM(D33:I33)*(-1)),IF('Staging Table'!D35=1,'Staging Table'!BV35*-1*'Staging Table'!BT35/'Staging Table'!BS35,'Staging Table'!BV35*SUM(D33:I33)*(-1)))</f>
        <v>0</v>
      </c>
      <c r="K33" s="250">
        <f>IF(Init!$R$9="Yes",'Staging Table'!K35,'Staging Table'!BY35)*(-1)*Rates_previous!$H$32</f>
        <v>0</v>
      </c>
      <c r="L33" s="250">
        <f>IF(Init!$R$12="No",0,'Staging Table'!$BI35*-1)*('Staging Table'!$F35/'Staging Table'!$E35)</f>
        <v>-106604.71104336144</v>
      </c>
      <c r="M33" s="250">
        <f>IF('Staging Table'!C35=1,"",SUM(D33:L33))</f>
        <v>2641138.6623860626</v>
      </c>
      <c r="N33" s="250">
        <f>IF('Staging Table'!C35=1,"",IF(Init!$R$9="Yes",(RT1SC!$C$3*'Staging Table'!F35*'Staging Table'!$F$2),Z33))</f>
        <v>72085.584702503998</v>
      </c>
      <c r="O33" s="126">
        <f>IF('Staging Table'!C35=1,"",IF(N33=0, 0, M33/N33))</f>
        <v>36.638929590236351</v>
      </c>
      <c r="P33" s="250">
        <f>'Staging Table'!BT35*Rates_current!$E$74*100*12</f>
        <v>2814682.7014799993</v>
      </c>
      <c r="Q33" s="250">
        <f>'Staging Table'!BT35*Rates_current!$E$75*100*12</f>
        <v>-284750.72339999996</v>
      </c>
      <c r="R33" s="251"/>
      <c r="S33" s="251">
        <f>SUMPRODUCT('Staging Table'!CX35:DI35, LS_Demand_Rates_Restatement!$C$11:$N$11)*1000</f>
        <v>158266.59999999998</v>
      </c>
      <c r="T33" s="252"/>
      <c r="U33" s="252">
        <f>IF(Init!$R$18="Yes",(SUM('Staging Table'!DL35:DU35)*IF('Staging Table'!$BT$1=2020, Rates_current!$C$87, Rates_current!$D$87)),0)</f>
        <v>49135.013088728934</v>
      </c>
      <c r="V33" s="252">
        <f>IF('Staging Table'!D35=1, 'Staging Table'!BV35*-1*'Staging Table'!BT35/'Staging Table'!BS35,SUM(P33:U33)*'Staging Table'!BV35*-1)</f>
        <v>0</v>
      </c>
      <c r="W33" s="250">
        <f>'Staging Table'!BY35*Rates_current!$H$32*-1</f>
        <v>0</v>
      </c>
      <c r="X33" s="250">
        <f>IF(Init!$R$12="No",0,'Staging Table'!$DW35*-1)</f>
        <v>0</v>
      </c>
      <c r="Y33" s="250">
        <f>IF('Staging Table'!C35=1,"",SUM(P33:X33))</f>
        <v>2737333.5911687282</v>
      </c>
      <c r="Z33" s="250">
        <f>IF('Staging Table'!C35=1,"",(RT1SC!$C$4*'Staging Table'!BT35*'Staging Table'!$BT$2))</f>
        <v>73075.234069094382</v>
      </c>
      <c r="AA33" s="126">
        <f>IF('Staging Table'!C35=1,"",IF(Z33=0, 0, Y33/Z33))</f>
        <v>37.459114925044425</v>
      </c>
      <c r="AB33" s="118">
        <f ca="1">IF('Staging Table'!C35=1,"",(AA33/O33-1)+(RAND()/100000000000))</f>
        <v>2.238562490785698E-2</v>
      </c>
      <c r="AC33" s="79">
        <f t="shared" ca="1" si="0"/>
        <v>32</v>
      </c>
      <c r="AF33" s="255"/>
      <c r="AG33" s="255"/>
      <c r="AI33" s="255"/>
      <c r="AJ33" s="255"/>
    </row>
    <row r="34" spans="2:36">
      <c r="B34" s="166">
        <v>10086</v>
      </c>
      <c r="C34" s="167" t="s">
        <v>37</v>
      </c>
      <c r="D34" s="250">
        <f>IF(Init!$R$9="Yes",'Staging Table'!F36,'Staging Table'!BT36)*Rates_previous!$E$75*100*12</f>
        <v>1424183.5296</v>
      </c>
      <c r="E34" s="250">
        <f>IF(Init!$R$9="Yes",'Staging Table'!F36,'Staging Table'!BT36)*Rates_previous!$E$76*100*12</f>
        <v>-200840.87400000004</v>
      </c>
      <c r="F34" s="251"/>
      <c r="G34" s="251">
        <f>IF(Init!$R$9="Yes",SUMPRODUCT('Staging Table'!AJ36:AU36,LS_Demand_Rates_Restatement!$C$10:$N$10),SUMPRODUCT(LS_Demand_Rates_Restatement!$C$10:$N$10,'Staging Table'!CX36:DI36))*1000</f>
        <v>79072.74000000002</v>
      </c>
      <c r="H34" s="252"/>
      <c r="I34" s="250">
        <f>IF(Init!$R$9="Yes",IF('Staging Table'!$F$1=2018,(SUM('Staging Table'!BD36:BG36)*Rates_previous!$C$87),(SUM('Staging Table'!BD36:BG36)*Rates_previous!$D$87)),IF('Staging Table'!$F$1=2018,(SUM('Staging Table'!DR36:DU36)*Rates_previous!$C$87),(SUM('Staging Table'!DR36:DU36)*Rates_previous!$D$87)))</f>
        <v>7825.3462542053949</v>
      </c>
      <c r="J34" s="252">
        <f>IF(Init!$R$9="Yes",IF('Staging Table'!D36=1,'Staging Table'!H36*-1*'Staging Table'!F36/'Staging Table'!E36,'Staging Table'!H36*SUM(D34:I34)*(-1)),IF('Staging Table'!D36=1,'Staging Table'!BV36*-1*'Staging Table'!BT36/'Staging Table'!BS36,'Staging Table'!BV36*SUM(D34:I34)*(-1)))</f>
        <v>0</v>
      </c>
      <c r="K34" s="250">
        <f>IF(Init!$R$9="Yes",'Staging Table'!K36,'Staging Table'!BY36)*(-1)*Rates_previous!$H$32</f>
        <v>0</v>
      </c>
      <c r="L34" s="250">
        <f>IF(Init!$R$12="No",0,'Staging Table'!$BI36*-1)*('Staging Table'!$F36/'Staging Table'!$E36)</f>
        <v>-50427.790581798938</v>
      </c>
      <c r="M34" s="250">
        <f>IF('Staging Table'!C36=1,"",SUM(D34:L34))</f>
        <v>1259812.9512724064</v>
      </c>
      <c r="N34" s="250">
        <f>IF('Staging Table'!C36=1,"",IF(Init!$R$9="Yes",(RT1SC!$C$3*'Staging Table'!F36*'Staging Table'!$F$2),Z34))</f>
        <v>34007.799686639999</v>
      </c>
      <c r="O34" s="126">
        <f>IF('Staging Table'!C36=1,"",IF(N34=0, 0, M34/N34))</f>
        <v>37.044823919241246</v>
      </c>
      <c r="P34" s="250">
        <f>'Staging Table'!BT36*Rates_current!$E$74*100*12</f>
        <v>1310492.30904</v>
      </c>
      <c r="Q34" s="250">
        <f>'Staging Table'!BT36*Rates_current!$E$75*100*12</f>
        <v>-132577.51319999999</v>
      </c>
      <c r="R34" s="251"/>
      <c r="S34" s="251">
        <f>SUMPRODUCT('Staging Table'!CX36:DI36, LS_Demand_Rates_Restatement!$C$11:$N$11)*1000</f>
        <v>88349.209999999992</v>
      </c>
      <c r="T34" s="252"/>
      <c r="U34" s="252">
        <f>IF(Init!$R$18="Yes",(SUM('Staging Table'!DL36:DU36)*IF('Staging Table'!$BT$1=2020, Rates_current!$C$87, Rates_current!$D$87)),0)</f>
        <v>22876.843888478536</v>
      </c>
      <c r="V34" s="252">
        <f>IF('Staging Table'!D36=1, 'Staging Table'!BV36*-1*'Staging Table'!BT36/'Staging Table'!BS36,SUM(P34:U34)*'Staging Table'!BV36*-1)</f>
        <v>0</v>
      </c>
      <c r="W34" s="250">
        <f>'Staging Table'!BY36*Rates_current!$H$32*-1</f>
        <v>0</v>
      </c>
      <c r="X34" s="250">
        <f>IF(Init!$R$12="No",0,'Staging Table'!$DW36*-1)</f>
        <v>0</v>
      </c>
      <c r="Y34" s="250">
        <f>IF('Staging Table'!C36=1,"",SUM(P34:X34))</f>
        <v>1289140.8497284786</v>
      </c>
      <c r="Z34" s="250">
        <f>IF('Staging Table'!C36=1,"",(RT1SC!$C$4*'Staging Table'!BT36*'Staging Table'!$BT$2))</f>
        <v>34023.207013171195</v>
      </c>
      <c r="AA34" s="126">
        <f>IF('Staging Table'!C36=1,"",IF(Z34=0, 0, Y34/Z34))</f>
        <v>37.890045145639014</v>
      </c>
      <c r="AB34" s="118">
        <f ca="1">IF('Staging Table'!C36=1,"",(AA34/O34-1)+(RAND()/100000000000))</f>
        <v>2.2816176111904497E-2</v>
      </c>
      <c r="AC34" s="79">
        <f t="shared" ca="1" si="0"/>
        <v>29</v>
      </c>
      <c r="AF34" s="255"/>
      <c r="AG34" s="255"/>
      <c r="AI34" s="255"/>
      <c r="AJ34" s="255"/>
    </row>
    <row r="35" spans="2:36">
      <c r="B35" s="166">
        <v>10087</v>
      </c>
      <c r="C35" s="167" t="s">
        <v>38</v>
      </c>
      <c r="D35" s="250">
        <f>IF(Init!$R$9="Yes",'Staging Table'!F37,'Staging Table'!BT37)*Rates_previous!$E$75*100*12</f>
        <v>11306080.946880002</v>
      </c>
      <c r="E35" s="250">
        <f>IF(Init!$R$9="Yes",'Staging Table'!F37,'Staging Table'!BT37)*Rates_previous!$E$76*100*12</f>
        <v>-1594403.4822</v>
      </c>
      <c r="F35" s="251"/>
      <c r="G35" s="251">
        <f>IF(Init!$R$9="Yes",SUMPRODUCT('Staging Table'!AJ37:AU37,LS_Demand_Rates_Restatement!$C$10:$N$10),SUMPRODUCT(LS_Demand_Rates_Restatement!$C$10:$N$10,'Staging Table'!CX37:DI37))*1000</f>
        <v>18431.14</v>
      </c>
      <c r="H35" s="252"/>
      <c r="I35" s="250">
        <f>IF(Init!$R$9="Yes",IF('Staging Table'!$F$1=2018,(SUM('Staging Table'!BD37:BG37)*Rates_previous!$C$87),(SUM('Staging Table'!BD37:BG37)*Rates_previous!$D$87)),IF('Staging Table'!$F$1=2018,(SUM('Staging Table'!DR37:DU37)*Rates_previous!$C$87),(SUM('Staging Table'!DR37:DU37)*Rates_previous!$D$87)))</f>
        <v>62122.610147204439</v>
      </c>
      <c r="J35" s="252">
        <f>IF(Init!$R$9="Yes",IF('Staging Table'!D37=1,'Staging Table'!H37*-1*'Staging Table'!F37/'Staging Table'!E37,'Staging Table'!H37*SUM(D35:I35)*(-1)),IF('Staging Table'!D37=1,'Staging Table'!BV37*-1*'Staging Table'!BT37/'Staging Table'!BS37,'Staging Table'!BV37*SUM(D35:I35)*(-1)))</f>
        <v>0</v>
      </c>
      <c r="K35" s="250">
        <f>IF(Init!$R$9="Yes",'Staging Table'!K37,'Staging Table'!BY37)*(-1)*Rates_previous!$H$32</f>
        <v>0</v>
      </c>
      <c r="L35" s="250">
        <f>IF(Init!$R$12="No",0,'Staging Table'!$BI37*-1)*('Staging Table'!$F37/'Staging Table'!$E37)</f>
        <v>-693203.97036166384</v>
      </c>
      <c r="M35" s="250">
        <f>IF('Staging Table'!C37=1,"",SUM(D35:L35))</f>
        <v>9099027.244465543</v>
      </c>
      <c r="N35" s="250">
        <f>IF('Staging Table'!C37=1,"",IF(Init!$R$9="Yes",(RT1SC!$C$3*'Staging Table'!F37*'Staging Table'!$F$2),Z35))</f>
        <v>269975.693505192</v>
      </c>
      <c r="O35" s="126">
        <f>IF('Staging Table'!C37=1,"",IF(N35=0, 0, M35/N35))</f>
        <v>33.703134998301451</v>
      </c>
      <c r="P35" s="250">
        <f>'Staging Table'!BT37*Rates_current!$E$74*100*12</f>
        <v>10376513.2776</v>
      </c>
      <c r="Q35" s="250">
        <f>'Staging Table'!BT37*Rates_current!$E$75*100*12</f>
        <v>-1049752.308</v>
      </c>
      <c r="R35" s="251"/>
      <c r="S35" s="251">
        <f>SUMPRODUCT('Staging Table'!CX37:DI37, LS_Demand_Rates_Restatement!$C$11:$N$11)*1000</f>
        <v>28440.82</v>
      </c>
      <c r="T35" s="252"/>
      <c r="U35" s="252">
        <f>IF(Init!$R$18="Yes",(SUM('Staging Table'!DL37:DU37)*IF('Staging Table'!$BT$1=2020, Rates_current!$C$87, Rates_current!$D$87)),0)</f>
        <v>181139.46394105424</v>
      </c>
      <c r="V35" s="252">
        <f>IF('Staging Table'!D37=1, 'Staging Table'!BV37*-1*'Staging Table'!BT37/'Staging Table'!BS37,SUM(P35:U35)*'Staging Table'!BV37*-1)</f>
        <v>0</v>
      </c>
      <c r="W35" s="250">
        <f>'Staging Table'!BY37*Rates_current!$H$32*-1</f>
        <v>0</v>
      </c>
      <c r="X35" s="250">
        <f>IF(Init!$R$12="No",0,'Staging Table'!$DW37*-1)</f>
        <v>0</v>
      </c>
      <c r="Y35" s="250">
        <f>IF('Staging Table'!C37=1,"",SUM(P35:X35))</f>
        <v>9536341.2535410542</v>
      </c>
      <c r="Z35" s="250">
        <f>IF('Staging Table'!C37=1,"",(RT1SC!$C$4*'Staging Table'!BT37*'Staging Table'!$BT$2))</f>
        <v>269396.66633932799</v>
      </c>
      <c r="AA35" s="126">
        <f>IF('Staging Table'!C37=1,"",IF(Z35=0, 0, Y35/Z35))</f>
        <v>35.398883672633211</v>
      </c>
      <c r="AB35" s="118">
        <f ca="1">IF('Staging Table'!C37=1,"",(AA35/O35-1)+(RAND()/100000000000))</f>
        <v>5.0314271194679933E-2</v>
      </c>
      <c r="AC35" s="79">
        <f t="shared" ca="1" si="0"/>
        <v>1</v>
      </c>
      <c r="AF35" s="255"/>
      <c r="AG35" s="255"/>
      <c r="AI35" s="255"/>
      <c r="AJ35" s="255"/>
    </row>
    <row r="36" spans="2:36">
      <c r="B36" s="166">
        <v>10089</v>
      </c>
      <c r="C36" s="167" t="s">
        <v>39</v>
      </c>
      <c r="D36" s="250">
        <f>IF(Init!$R$9="Yes",'Staging Table'!F38,'Staging Table'!BT38)*Rates_previous!$E$75*100*12</f>
        <v>37488637.8288</v>
      </c>
      <c r="E36" s="250">
        <f>IF(Init!$R$9="Yes",'Staging Table'!F38,'Staging Table'!BT38)*Rates_previous!$E$76*100*12</f>
        <v>-5286713.8470000001</v>
      </c>
      <c r="F36" s="251"/>
      <c r="G36" s="251">
        <f>IF(Init!$R$9="Yes",SUMPRODUCT('Staging Table'!AJ38:AU38,LS_Demand_Rates_Restatement!$C$10:$N$10),SUMPRODUCT(LS_Demand_Rates_Restatement!$C$10:$N$10,'Staging Table'!CX38:DI38))*1000</f>
        <v>1351416.64</v>
      </c>
      <c r="H36" s="252"/>
      <c r="I36" s="250">
        <f>IF(Init!$R$9="Yes",IF('Staging Table'!$F$1=2018,(SUM('Staging Table'!BD38:BG38)*Rates_previous!$C$87),(SUM('Staging Table'!BD38:BG38)*Rates_previous!$D$87)),IF('Staging Table'!$F$1=2018,(SUM('Staging Table'!DR38:DU38)*Rates_previous!$C$87),(SUM('Staging Table'!DR38:DU38)*Rates_previous!$D$87)))</f>
        <v>205985.79151610957</v>
      </c>
      <c r="J36" s="252">
        <f>IF(Init!$R$9="Yes",IF('Staging Table'!D38=1,'Staging Table'!H38*-1*'Staging Table'!F38/'Staging Table'!E38,'Staging Table'!H38*SUM(D36:I36)*(-1)),IF('Staging Table'!D38=1,'Staging Table'!BV38*-1*'Staging Table'!BT38/'Staging Table'!BS38,'Staging Table'!BV38*SUM(D36:I36)*(-1)))</f>
        <v>0</v>
      </c>
      <c r="K36" s="250">
        <f>IF(Init!$R$9="Yes",'Staging Table'!K38,'Staging Table'!BY38)*(-1)*Rates_previous!$H$32</f>
        <v>0</v>
      </c>
      <c r="L36" s="250">
        <f>IF(Init!$R$12="No",0,'Staging Table'!$BI38*-1)*('Staging Table'!$F38/'Staging Table'!$E38)</f>
        <v>-1207342.0876217578</v>
      </c>
      <c r="M36" s="250">
        <f>IF('Staging Table'!C38=1,"",SUM(D36:L36))</f>
        <v>32551984.325694352</v>
      </c>
      <c r="N36" s="250">
        <f>IF('Staging Table'!C38=1,"",IF(Init!$R$9="Yes",(RT1SC!$C$3*'Staging Table'!F38*'Staging Table'!$F$2),Z36))</f>
        <v>895183.84345091996</v>
      </c>
      <c r="O36" s="126">
        <f>IF('Staging Table'!C38=1,"",IF(N36=0, 0, M36/N36))</f>
        <v>36.363462727619115</v>
      </c>
      <c r="P36" s="250">
        <f>'Staging Table'!BT38*Rates_current!$E$74*100*12</f>
        <v>34952640.89976</v>
      </c>
      <c r="Q36" s="250">
        <f>'Staging Table'!BT38*Rates_current!$E$75*100*12</f>
        <v>-3536025.4908000003</v>
      </c>
      <c r="R36" s="251"/>
      <c r="S36" s="251">
        <f>SUMPRODUCT('Staging Table'!CX38:DI38, LS_Demand_Rates_Restatement!$C$11:$N$11)*1000</f>
        <v>1546108.52</v>
      </c>
      <c r="T36" s="252"/>
      <c r="U36" s="252">
        <f>IF(Init!$R$18="Yes",(SUM('Staging Table'!DL38:DU38)*IF('Staging Table'!$BT$1=2020, Rates_current!$C$87, Rates_current!$D$87)),0)</f>
        <v>610157.04086017143</v>
      </c>
      <c r="V36" s="252">
        <f>IF('Staging Table'!D38=1, 'Staging Table'!BV38*-1*'Staging Table'!BT38/'Staging Table'!BS38,SUM(P36:U36)*'Staging Table'!BV38*-1)</f>
        <v>0</v>
      </c>
      <c r="W36" s="250">
        <f>'Staging Table'!BY38*Rates_current!$H$32*-1</f>
        <v>0</v>
      </c>
      <c r="X36" s="250">
        <f>IF(Init!$R$12="No",0,'Staging Table'!$DW38*-1)</f>
        <v>0</v>
      </c>
      <c r="Y36" s="250">
        <f>IF('Staging Table'!C38=1,"",SUM(P36:X36))</f>
        <v>33572880.969820172</v>
      </c>
      <c r="Z36" s="250">
        <f>IF('Staging Table'!C38=1,"",(RT1SC!$C$4*'Staging Table'!BT38*'Staging Table'!$BT$2))</f>
        <v>907445.94896609278</v>
      </c>
      <c r="AA36" s="126">
        <f>IF('Staging Table'!C38=1,"",IF(Z36=0, 0, Y36/Z36))</f>
        <v>36.997113721287484</v>
      </c>
      <c r="AB36" s="118">
        <f ca="1">IF('Staging Table'!C38=1,"",(AA36/O36-1)+(RAND()/100000000000))</f>
        <v>1.7425485535472299E-2</v>
      </c>
      <c r="AC36" s="79">
        <f t="shared" ca="1" si="0"/>
        <v>65</v>
      </c>
      <c r="AF36" s="255"/>
      <c r="AG36" s="255"/>
      <c r="AI36" s="255"/>
      <c r="AJ36" s="255"/>
    </row>
    <row r="37" spans="2:36">
      <c r="B37" s="166">
        <v>10091</v>
      </c>
      <c r="C37" s="167" t="s">
        <v>40</v>
      </c>
      <c r="D37" s="250">
        <f>IF(Init!$R$9="Yes",'Staging Table'!F39,'Staging Table'!BT39)*Rates_previous!$E$75*100*12</f>
        <v>3400970.65056</v>
      </c>
      <c r="E37" s="250">
        <f>IF(Init!$R$9="Yes",'Staging Table'!F39,'Staging Table'!BT39)*Rates_previous!$E$76*100*12</f>
        <v>-479610.88139999995</v>
      </c>
      <c r="F37" s="251"/>
      <c r="G37" s="251">
        <f>IF(Init!$R$9="Yes",SUMPRODUCT('Staging Table'!AJ39:AU39,LS_Demand_Rates_Restatement!$C$10:$N$10),SUMPRODUCT(LS_Demand_Rates_Restatement!$C$10:$N$10,'Staging Table'!CX39:DI39))*1000</f>
        <v>210080.75</v>
      </c>
      <c r="H37" s="252"/>
      <c r="I37" s="250">
        <f>IF(Init!$R$9="Yes",IF('Staging Table'!$F$1=2018,(SUM('Staging Table'!BD39:BG39)*Rates_previous!$C$87),(SUM('Staging Table'!BD39:BG39)*Rates_previous!$D$87)),IF('Staging Table'!$F$1=2018,(SUM('Staging Table'!DR39:DU39)*Rates_previous!$C$87),(SUM('Staging Table'!DR39:DU39)*Rates_previous!$D$87)))</f>
        <v>18687.038845686548</v>
      </c>
      <c r="J37" s="252">
        <f>IF(Init!$R$9="Yes",IF('Staging Table'!D39=1,'Staging Table'!H39*-1*'Staging Table'!F39/'Staging Table'!E39,'Staging Table'!H39*SUM(D37:I37)*(-1)),IF('Staging Table'!D39=1,'Staging Table'!BV39*-1*'Staging Table'!BT39/'Staging Table'!BS39,'Staging Table'!BV39*SUM(D37:I37)*(-1)))</f>
        <v>0</v>
      </c>
      <c r="K37" s="250">
        <f>IF(Init!$R$9="Yes",'Staging Table'!K39,'Staging Table'!BY39)*(-1)*Rates_previous!$H$32</f>
        <v>0</v>
      </c>
      <c r="L37" s="250">
        <f>IF(Init!$R$12="No",0,'Staging Table'!$BI39*-1)*('Staging Table'!$F39/'Staging Table'!$E39)</f>
        <v>-125894.70843970538</v>
      </c>
      <c r="M37" s="250">
        <f>IF('Staging Table'!C39=1,"",SUM(D37:L37))</f>
        <v>3024232.8495659814</v>
      </c>
      <c r="N37" s="250">
        <f>IF('Staging Table'!C39=1,"",IF(Init!$R$9="Yes",(RT1SC!$C$3*'Staging Table'!F39*'Staging Table'!$F$2),Z37))</f>
        <v>81211.112346504</v>
      </c>
      <c r="O37" s="126">
        <f>IF('Staging Table'!C39=1,"",IF(N37=0, 0, M37/N37))</f>
        <v>37.239150680050614</v>
      </c>
      <c r="P37" s="250">
        <f>'Staging Table'!BT39*Rates_current!$E$74*100*12</f>
        <v>3171182.2414800003</v>
      </c>
      <c r="Q37" s="250">
        <f>'Staging Table'!BT39*Rates_current!$E$75*100*12</f>
        <v>-320816.42339999997</v>
      </c>
      <c r="R37" s="251"/>
      <c r="S37" s="251">
        <f>SUMPRODUCT('Staging Table'!CX39:DI39, LS_Demand_Rates_Restatement!$C$11:$N$11)*1000</f>
        <v>231275.08000000002</v>
      </c>
      <c r="T37" s="252"/>
      <c r="U37" s="252">
        <f>IF(Init!$R$18="Yes",(SUM('Staging Table'!DL39:DU39)*IF('Staging Table'!$BT$1=2020, Rates_current!$C$87, Rates_current!$D$87)),0)</f>
        <v>55358.311208554434</v>
      </c>
      <c r="V37" s="252">
        <f>IF('Staging Table'!D39=1, 'Staging Table'!BV39*-1*'Staging Table'!BT39/'Staging Table'!BS39,SUM(P37:U37)*'Staging Table'!BV39*-1)</f>
        <v>0</v>
      </c>
      <c r="W37" s="250">
        <f>'Staging Table'!BY39*Rates_current!$H$32*-1</f>
        <v>0</v>
      </c>
      <c r="X37" s="250">
        <f>IF(Init!$R$12="No",0,'Staging Table'!$DW39*-1)</f>
        <v>0</v>
      </c>
      <c r="Y37" s="250">
        <f>IF('Staging Table'!C39=1,"",SUM(P37:X37))</f>
        <v>3136999.2092885552</v>
      </c>
      <c r="Z37" s="250">
        <f>IF('Staging Table'!C39=1,"",(RT1SC!$C$4*'Staging Table'!BT39*'Staging Table'!$BT$2))</f>
        <v>82330.731080294398</v>
      </c>
      <c r="AA37" s="126">
        <f>IF('Staging Table'!C39=1,"",IF(Z37=0, 0, Y37/Z37))</f>
        <v>38.102409247758835</v>
      </c>
      <c r="AB37" s="118">
        <f ca="1">IF('Staging Table'!C39=1,"",(AA37/O37-1)+(RAND()/100000000000))</f>
        <v>2.318147842416881E-2</v>
      </c>
      <c r="AC37" s="79">
        <f t="shared" ca="1" si="0"/>
        <v>27</v>
      </c>
      <c r="AF37" s="255"/>
      <c r="AG37" s="255"/>
      <c r="AI37" s="255"/>
      <c r="AJ37" s="255"/>
    </row>
    <row r="38" spans="2:36">
      <c r="B38" s="166">
        <v>10094</v>
      </c>
      <c r="C38" s="167" t="s">
        <v>41</v>
      </c>
      <c r="D38" s="250">
        <f>IF(Init!$R$9="Yes",'Staging Table'!F40,'Staging Table'!BT40)*Rates_previous!$E$75*100*12</f>
        <v>1096035.3388799999</v>
      </c>
      <c r="E38" s="250">
        <f>IF(Init!$R$9="Yes",'Staging Table'!F40,'Staging Table'!BT40)*Rates_previous!$E$76*100*12</f>
        <v>-154564.83720000001</v>
      </c>
      <c r="F38" s="251"/>
      <c r="G38" s="251">
        <f>IF(Init!$R$9="Yes",SUMPRODUCT('Staging Table'!AJ40:AU40,LS_Demand_Rates_Restatement!$C$10:$N$10),SUMPRODUCT(LS_Demand_Rates_Restatement!$C$10:$N$10,'Staging Table'!CX40:DI40))*1000</f>
        <v>51294.409999999996</v>
      </c>
      <c r="H38" s="252"/>
      <c r="I38" s="250">
        <f>IF(Init!$R$9="Yes",IF('Staging Table'!$F$1=2018,(SUM('Staging Table'!BD40:BG40)*Rates_previous!$C$87),(SUM('Staging Table'!BD40:BG40)*Rates_previous!$D$87)),IF('Staging Table'!$F$1=2018,(SUM('Staging Table'!DR40:DU40)*Rates_previous!$C$87),(SUM('Staging Table'!DR40:DU40)*Rates_previous!$D$87)))</f>
        <v>6022.2968847212169</v>
      </c>
      <c r="J38" s="252">
        <f>IF(Init!$R$9="Yes",IF('Staging Table'!D40=1,'Staging Table'!H40*-1*'Staging Table'!F40/'Staging Table'!E40,'Staging Table'!H40*SUM(D38:I38)*(-1)),IF('Staging Table'!D40=1,'Staging Table'!BV40*-1*'Staging Table'!BT40/'Staging Table'!BS40,'Staging Table'!BV40*SUM(D38:I38)*(-1)))</f>
        <v>0</v>
      </c>
      <c r="K38" s="250">
        <f>IF(Init!$R$9="Yes",'Staging Table'!K40,'Staging Table'!BY40)*(-1)*Rates_previous!$H$32</f>
        <v>0</v>
      </c>
      <c r="L38" s="250">
        <f>IF(Init!$R$12="No",0,'Staging Table'!$BI40*-1)*('Staging Table'!$F40/'Staging Table'!$E40)</f>
        <v>-17064.887442487019</v>
      </c>
      <c r="M38" s="250">
        <f>IF('Staging Table'!C40=1,"",SUM(D38:L38))</f>
        <v>981722.32112223422</v>
      </c>
      <c r="N38" s="250">
        <f>IF('Staging Table'!C40=1,"",IF(Init!$R$9="Yes",(RT1SC!$C$3*'Staging Table'!F40*'Staging Table'!$F$2),Z38))</f>
        <v>26172.013282991997</v>
      </c>
      <c r="O38" s="126">
        <f>IF('Staging Table'!C40=1,"",IF(N38=0, 0, M38/N38))</f>
        <v>37.510386018343148</v>
      </c>
      <c r="P38" s="250">
        <f>'Staging Table'!BT40*Rates_current!$E$74*100*12</f>
        <v>1022203.0143599999</v>
      </c>
      <c r="Q38" s="250">
        <f>'Staging Table'!BT40*Rates_current!$E$75*100*12</f>
        <v>-103412.38380000001</v>
      </c>
      <c r="R38" s="251"/>
      <c r="S38" s="251">
        <f>SUMPRODUCT('Staging Table'!CX40:DI40, LS_Demand_Rates_Restatement!$C$11:$N$11)*1000</f>
        <v>57264.13</v>
      </c>
      <c r="T38" s="252"/>
      <c r="U38" s="252">
        <f>IF(Init!$R$18="Yes",(SUM('Staging Table'!DL40:DU40)*IF('Staging Table'!$BT$1=2020, Rates_current!$C$87, Rates_current!$D$87)),0)</f>
        <v>17844.270142246318</v>
      </c>
      <c r="V38" s="252">
        <f>IF('Staging Table'!D40=1, 'Staging Table'!BV40*-1*'Staging Table'!BT40/'Staging Table'!BS40,SUM(P38:U38)*'Staging Table'!BV40*-1)</f>
        <v>0</v>
      </c>
      <c r="W38" s="250">
        <f>'Staging Table'!BY40*Rates_current!$H$32*-1</f>
        <v>0</v>
      </c>
      <c r="X38" s="250">
        <f>IF(Init!$R$12="No",0,'Staging Table'!$DW40*-1)</f>
        <v>0</v>
      </c>
      <c r="Y38" s="250">
        <f>IF('Staging Table'!C40=1,"",SUM(P38:X38))</f>
        <v>993899.03070224624</v>
      </c>
      <c r="Z38" s="250">
        <f>IF('Staging Table'!C40=1,"",(RT1SC!$C$4*'Staging Table'!BT40*'Staging Table'!$BT$2))</f>
        <v>26538.595096780798</v>
      </c>
      <c r="AA38" s="126">
        <f>IF('Staging Table'!C40=1,"",IF(Z38=0, 0, Y38/Z38))</f>
        <v>37.45107934605057</v>
      </c>
      <c r="AB38" s="118">
        <f ca="1">IF('Staging Table'!C40=1,"",(AA38/O38-1)+(RAND()/100000000000))</f>
        <v>-1.5810733639795604E-3</v>
      </c>
      <c r="AC38" s="79">
        <f t="shared" ca="1" si="0"/>
        <v>111</v>
      </c>
      <c r="AF38" s="255"/>
      <c r="AG38" s="255"/>
      <c r="AI38" s="255"/>
      <c r="AJ38" s="255"/>
    </row>
    <row r="39" spans="2:36">
      <c r="B39" s="166">
        <v>10095</v>
      </c>
      <c r="C39" s="167" t="s">
        <v>42</v>
      </c>
      <c r="D39" s="250">
        <f>IF(Init!$R$9="Yes",'Staging Table'!F41,'Staging Table'!BT41)*Rates_previous!$E$75*100*12</f>
        <v>1314885.7238400001</v>
      </c>
      <c r="E39" s="250">
        <f>IF(Init!$R$9="Yes",'Staging Table'!F41,'Staging Table'!BT41)*Rates_previous!$E$76*100*12</f>
        <v>-185427.50459999999</v>
      </c>
      <c r="F39" s="251"/>
      <c r="G39" s="251">
        <f>IF(Init!$R$9="Yes",SUMPRODUCT('Staging Table'!AJ41:AU41,LS_Demand_Rates_Restatement!$C$10:$N$10),SUMPRODUCT(LS_Demand_Rates_Restatement!$C$10:$N$10,'Staging Table'!CX41:DI41))*1000</f>
        <v>34449.210000000006</v>
      </c>
      <c r="H39" s="252"/>
      <c r="I39" s="250">
        <f>IF(Init!$R$9="Yes",IF('Staging Table'!$F$1=2018,(SUM('Staging Table'!BD41:BG41)*Rates_previous!$C$87),(SUM('Staging Table'!BD41:BG41)*Rates_previous!$D$87)),IF('Staging Table'!$F$1=2018,(SUM('Staging Table'!DR41:DU41)*Rates_previous!$C$87),(SUM('Staging Table'!DR41:DU41)*Rates_previous!$D$87)))</f>
        <v>7224.7964253942828</v>
      </c>
      <c r="J39" s="252">
        <f>IF(Init!$R$9="Yes",IF('Staging Table'!D41=1,'Staging Table'!H41*-1*'Staging Table'!F41/'Staging Table'!E41,'Staging Table'!H41*SUM(D39:I39)*(-1)),IF('Staging Table'!D41=1,'Staging Table'!BV41*-1*'Staging Table'!BT41/'Staging Table'!BS41,'Staging Table'!BV41*SUM(D39:I39)*(-1)))</f>
        <v>0</v>
      </c>
      <c r="K39" s="250">
        <f>IF(Init!$R$9="Yes",'Staging Table'!K41,'Staging Table'!BY41)*(-1)*Rates_previous!$H$32</f>
        <v>0</v>
      </c>
      <c r="L39" s="250">
        <f>IF(Init!$R$12="No",0,'Staging Table'!$BI41*-1)*('Staging Table'!$F41/'Staging Table'!$E41)</f>
        <v>-43901.029034336563</v>
      </c>
      <c r="M39" s="250">
        <f>IF('Staging Table'!C41=1,"",SUM(D39:L39))</f>
        <v>1127231.1966310577</v>
      </c>
      <c r="N39" s="250">
        <f>IF('Staging Table'!C41=1,"",IF(Init!$R$9="Yes",(RT1SC!$C$3*'Staging Table'!F41*'Staging Table'!$F$2),Z39))</f>
        <v>31397.898780455998</v>
      </c>
      <c r="O39" s="126">
        <f>IF('Staging Table'!C41=1,"",IF(N39=0, 0, M39/N39))</f>
        <v>35.901485144372664</v>
      </c>
      <c r="P39" s="250">
        <f>'Staging Table'!BT41*Rates_current!$E$74*100*12</f>
        <v>1225883.0848799997</v>
      </c>
      <c r="Q39" s="250">
        <f>'Staging Table'!BT41*Rates_current!$E$75*100*12</f>
        <v>-124017.9204</v>
      </c>
      <c r="R39" s="251"/>
      <c r="S39" s="251">
        <f>SUMPRODUCT('Staging Table'!CX41:DI41, LS_Demand_Rates_Restatement!$C$11:$N$11)*1000</f>
        <v>41673.61</v>
      </c>
      <c r="T39" s="252"/>
      <c r="U39" s="252">
        <f>IF(Init!$R$18="Yes",(SUM('Staging Table'!DL41:DU41)*IF('Staging Table'!$BT$1=2020, Rates_current!$C$87, Rates_current!$D$87)),0)</f>
        <v>21399.847801373289</v>
      </c>
      <c r="V39" s="252">
        <f>IF('Staging Table'!D41=1, 'Staging Table'!BV41*-1*'Staging Table'!BT41/'Staging Table'!BS41,SUM(P39:U39)*'Staging Table'!BV41*-1)</f>
        <v>0</v>
      </c>
      <c r="W39" s="250">
        <f>'Staging Table'!BY41*Rates_current!$H$32*-1</f>
        <v>0</v>
      </c>
      <c r="X39" s="250">
        <f>IF(Init!$R$12="No",0,'Staging Table'!$DW41*-1)</f>
        <v>0</v>
      </c>
      <c r="Y39" s="250">
        <f>IF('Staging Table'!C41=1,"",SUM(P39:X39))</f>
        <v>1164938.6222813732</v>
      </c>
      <c r="Z39" s="250">
        <f>IF('Staging Table'!C41=1,"",(RT1SC!$C$4*'Staging Table'!BT41*'Staging Table'!$BT$2))</f>
        <v>31826.569055846398</v>
      </c>
      <c r="AA39" s="126">
        <f>IF('Staging Table'!C41=1,"",IF(Z39=0, 0, Y39/Z39))</f>
        <v>36.602708266707729</v>
      </c>
      <c r="AB39" s="118">
        <f ca="1">IF('Staging Table'!C41=1,"",(AA39/O39-1)+(RAND()/100000000000))</f>
        <v>1.9531869494191004E-2</v>
      </c>
      <c r="AC39" s="79">
        <f t="shared" ca="1" si="0"/>
        <v>58</v>
      </c>
      <c r="AF39" s="255"/>
      <c r="AG39" s="255"/>
      <c r="AI39" s="255"/>
      <c r="AJ39" s="255"/>
    </row>
    <row r="40" spans="2:36">
      <c r="B40" s="166">
        <v>10097</v>
      </c>
      <c r="C40" s="167" t="s">
        <v>43</v>
      </c>
      <c r="D40" s="250">
        <f>IF(Init!$R$9="Yes",'Staging Table'!F42,'Staging Table'!BT42)*Rates_previous!$E$75*100*12</f>
        <v>735530.92128000013</v>
      </c>
      <c r="E40" s="250">
        <f>IF(Init!$R$9="Yes",'Staging Table'!F42,'Staging Table'!BT42)*Rates_previous!$E$76*100*12</f>
        <v>-103725.8682</v>
      </c>
      <c r="F40" s="251"/>
      <c r="G40" s="251">
        <f>IF(Init!$R$9="Yes",SUMPRODUCT('Staging Table'!AJ42:AU42,LS_Demand_Rates_Restatement!$C$10:$N$10),SUMPRODUCT(LS_Demand_Rates_Restatement!$C$10:$N$10,'Staging Table'!CX42:DI42))*1000</f>
        <v>37175.69</v>
      </c>
      <c r="H40" s="252"/>
      <c r="I40" s="250">
        <f>IF(Init!$R$9="Yes",IF('Staging Table'!$F$1=2018,(SUM('Staging Table'!BD42:BG42)*Rates_previous!$C$87),(SUM('Staging Table'!BD42:BG42)*Rates_previous!$D$87)),IF('Staging Table'!$F$1=2018,(SUM('Staging Table'!DR42:DU42)*Rates_previous!$C$87),(SUM('Staging Table'!DR42:DU42)*Rates_previous!$D$87)))</f>
        <v>4041.4623677801378</v>
      </c>
      <c r="J40" s="252">
        <f>IF(Init!$R$9="Yes",IF('Staging Table'!D42=1,'Staging Table'!H42*-1*'Staging Table'!F42/'Staging Table'!E42,'Staging Table'!H42*SUM(D40:I40)*(-1)),IF('Staging Table'!D42=1,'Staging Table'!BV42*-1*'Staging Table'!BT42/'Staging Table'!BS42,'Staging Table'!BV42*SUM(D40:I40)*(-1)))</f>
        <v>0</v>
      </c>
      <c r="K40" s="250">
        <f>IF(Init!$R$9="Yes",'Staging Table'!K42,'Staging Table'!BY42)*(-1)*Rates_previous!$H$32</f>
        <v>0</v>
      </c>
      <c r="L40" s="250">
        <f>IF(Init!$R$12="No",0,'Staging Table'!$BI42*-1)*('Staging Table'!$F42/'Staging Table'!$E42)</f>
        <v>-11451.95956449559</v>
      </c>
      <c r="M40" s="250">
        <f>IF('Staging Table'!C42=1,"",SUM(D40:L40))</f>
        <v>661570.24588328472</v>
      </c>
      <c r="N40" s="250">
        <f>IF('Staging Table'!C42=1,"",IF(Init!$R$9="Yes",(RT1SC!$C$3*'Staging Table'!F42*'Staging Table'!$F$2),Z40))</f>
        <v>17563.598872152001</v>
      </c>
      <c r="O40" s="126">
        <f>IF('Staging Table'!C42=1,"",IF(N40=0, 0, M40/N40))</f>
        <v>37.667123389628237</v>
      </c>
      <c r="P40" s="250">
        <f>'Staging Table'!BT42*Rates_current!$E$74*100*12</f>
        <v>680438.78868</v>
      </c>
      <c r="Q40" s="250">
        <f>'Staging Table'!BT42*Rates_current!$E$75*100*12</f>
        <v>-68837.399399999995</v>
      </c>
      <c r="R40" s="251"/>
      <c r="S40" s="251">
        <f>SUMPRODUCT('Staging Table'!CX42:DI42, LS_Demand_Rates_Restatement!$C$11:$N$11)*1000</f>
        <v>41458.859999999993</v>
      </c>
      <c r="T40" s="252"/>
      <c r="U40" s="252">
        <f>IF(Init!$R$18="Yes",(SUM('Staging Table'!DL42:DU42)*IF('Staging Table'!$BT$1=2020, Rates_current!$C$87, Rates_current!$D$87)),0)</f>
        <v>11878.201678040274</v>
      </c>
      <c r="V40" s="252">
        <f>IF('Staging Table'!D42=1, 'Staging Table'!BV42*-1*'Staging Table'!BT42/'Staging Table'!BS42,SUM(P40:U40)*'Staging Table'!BV42*-1)</f>
        <v>0</v>
      </c>
      <c r="W40" s="250">
        <f>'Staging Table'!BY42*Rates_current!$H$32*-1</f>
        <v>0</v>
      </c>
      <c r="X40" s="250">
        <f>IF(Init!$R$12="No",0,'Staging Table'!$DW42*-1)</f>
        <v>0</v>
      </c>
      <c r="Y40" s="250">
        <f>IF('Staging Table'!C42=1,"",SUM(P40:X40))</f>
        <v>664938.45095804031</v>
      </c>
      <c r="Z40" s="250">
        <f>IF('Staging Table'!C42=1,"",(RT1SC!$C$4*'Staging Table'!BT42*'Staging Table'!$BT$2))</f>
        <v>17665.6586287104</v>
      </c>
      <c r="AA40" s="126">
        <f>IF('Staging Table'!C42=1,"",IF(Z40=0, 0, Y40/Z40))</f>
        <v>37.640173227245313</v>
      </c>
      <c r="AB40" s="118">
        <f ca="1">IF('Staging Table'!C42=1,"",(AA40/O40-1)+(RAND()/100000000000))</f>
        <v>-7.1548235465256429E-4</v>
      </c>
      <c r="AC40" s="79">
        <f t="shared" ca="1" si="0"/>
        <v>105</v>
      </c>
      <c r="AF40" s="255"/>
      <c r="AG40" s="255"/>
      <c r="AI40" s="255"/>
      <c r="AJ40" s="255"/>
    </row>
    <row r="41" spans="2:36">
      <c r="B41" s="166">
        <v>10101</v>
      </c>
      <c r="C41" s="167" t="s">
        <v>44</v>
      </c>
      <c r="D41" s="250">
        <f>IF(Init!$R$9="Yes",'Staging Table'!F43,'Staging Table'!BT43)*Rates_previous!$E$75*100*12</f>
        <v>27443430.636480004</v>
      </c>
      <c r="E41" s="250">
        <f>IF(Init!$R$9="Yes",'Staging Table'!F43,'Staging Table'!BT43)*Rates_previous!$E$76*100*12</f>
        <v>-3870121.0061999997</v>
      </c>
      <c r="F41" s="251"/>
      <c r="G41" s="251">
        <f>IF(Init!$R$9="Yes",SUMPRODUCT('Staging Table'!AJ43:AU43,LS_Demand_Rates_Restatement!$C$10:$N$10),SUMPRODUCT(LS_Demand_Rates_Restatement!$C$10:$N$10,'Staging Table'!CX43:DI43))*1000</f>
        <v>2161101.65</v>
      </c>
      <c r="H41" s="252"/>
      <c r="I41" s="250">
        <f>IF(Init!$R$9="Yes",IF('Staging Table'!$F$1=2018,(SUM('Staging Table'!BD43:BG43)*Rates_previous!$C$87),(SUM('Staging Table'!BD43:BG43)*Rates_previous!$D$87)),IF('Staging Table'!$F$1=2018,(SUM('Staging Table'!DR43:DU43)*Rates_previous!$C$87),(SUM('Staging Table'!DR43:DU43)*Rates_previous!$D$87)))</f>
        <v>150791.20258752099</v>
      </c>
      <c r="J41" s="252">
        <f>IF(Init!$R$9="Yes",IF('Staging Table'!D43=1,'Staging Table'!H43*-1*'Staging Table'!F43/'Staging Table'!E43,'Staging Table'!H43*SUM(D41:I41)*(-1)),IF('Staging Table'!D43=1,'Staging Table'!BV43*-1*'Staging Table'!BT43/'Staging Table'!BS43,'Staging Table'!BV43*SUM(D41:I41)*(-1)))</f>
        <v>-1458835.6530091998</v>
      </c>
      <c r="K41" s="250">
        <f>IF(Init!$R$9="Yes",'Staging Table'!K43,'Staging Table'!BY43)*(-1)*Rates_previous!$H$32</f>
        <v>0</v>
      </c>
      <c r="L41" s="250">
        <f>IF(Init!$R$12="No",0,'Staging Table'!$BI43*-1)*('Staging Table'!$F43/'Staging Table'!$E43)</f>
        <v>-947867.86706278101</v>
      </c>
      <c r="M41" s="250">
        <f>IF('Staging Table'!C43=1,"",SUM(D41:L41))</f>
        <v>23478498.962795544</v>
      </c>
      <c r="N41" s="250">
        <f>IF('Staging Table'!C43=1,"",IF(Init!$R$9="Yes",(RT1SC!$C$3*'Staging Table'!F43*'Staging Table'!$F$2),Z41))</f>
        <v>655316.30748583202</v>
      </c>
      <c r="O41" s="126">
        <f>IF('Staging Table'!C43=1,"",IF(N41=0, 0, M41/N41))</f>
        <v>35.827734934405171</v>
      </c>
      <c r="P41" s="250">
        <f>'Staging Table'!BT43*Rates_current!$E$74*100*12</f>
        <v>25586922.651240002</v>
      </c>
      <c r="Q41" s="250">
        <f>'Staging Table'!BT43*Rates_current!$E$75*100*12</f>
        <v>-2588531.4642000003</v>
      </c>
      <c r="R41" s="251"/>
      <c r="S41" s="251">
        <f>SUMPRODUCT('Staging Table'!CX43:DI43, LS_Demand_Rates_Restatement!$C$11:$N$11)*1000</f>
        <v>2370512.6099999994</v>
      </c>
      <c r="T41" s="252"/>
      <c r="U41" s="252">
        <f>IF(Init!$R$18="Yes",(SUM('Staging Table'!DL43:DU43)*IF('Staging Table'!$BT$1=2020, Rates_current!$C$87, Rates_current!$D$87)),0)</f>
        <v>446662.70152152918</v>
      </c>
      <c r="V41" s="252">
        <f>IF('Staging Table'!D43=1, 'Staging Table'!BV43*-1*'Staging Table'!BT43/'Staging Table'!BS43,SUM(P41:U41)*'Staging Table'!BV43*-1)</f>
        <v>-1320561.743997467</v>
      </c>
      <c r="W41" s="250">
        <f>'Staging Table'!BY43*Rates_current!$H$32*-1</f>
        <v>0</v>
      </c>
      <c r="X41" s="250">
        <f>IF(Init!$R$12="No",0,'Staging Table'!$DW43*-1)</f>
        <v>0</v>
      </c>
      <c r="Y41" s="250">
        <f>IF('Staging Table'!C43=1,"",SUM(P41:X41))</f>
        <v>24495004.754564065</v>
      </c>
      <c r="Z41" s="250">
        <f>IF('Staging Table'!C43=1,"",(RT1SC!$C$4*'Staging Table'!BT43*'Staging Table'!$BT$2))</f>
        <v>664291.70181918715</v>
      </c>
      <c r="AA41" s="126">
        <f>IF('Staging Table'!C43=1,"",IF(Z41=0, 0, Y41/Z41))</f>
        <v>36.87386834350572</v>
      </c>
      <c r="AB41" s="118">
        <f ca="1">IF('Staging Table'!C43=1,"",(AA41/O41-1)+(RAND()/100000000000))</f>
        <v>2.9198982606067847E-2</v>
      </c>
      <c r="AC41" s="79">
        <f t="shared" ca="1" si="0"/>
        <v>8</v>
      </c>
      <c r="AF41" s="255"/>
      <c r="AG41" s="255"/>
      <c r="AI41" s="255"/>
      <c r="AJ41" s="255"/>
    </row>
    <row r="42" spans="2:36">
      <c r="B42" s="166">
        <v>10103</v>
      </c>
      <c r="C42" s="167" t="s">
        <v>45</v>
      </c>
      <c r="D42" s="250">
        <f>IF(Init!$R$9="Yes",'Staging Table'!F44,'Staging Table'!BT44)*Rates_previous!$E$75*100*12</f>
        <v>56150027.988479987</v>
      </c>
      <c r="E42" s="250">
        <f>IF(Init!$R$9="Yes",'Staging Table'!F44,'Staging Table'!BT44)*Rates_previous!$E$76*100*12</f>
        <v>-7918376.0111999996</v>
      </c>
      <c r="F42" s="251"/>
      <c r="G42" s="251">
        <f>IF(Init!$R$9="Yes",SUMPRODUCT('Staging Table'!AJ44:AU44,LS_Demand_Rates_Restatement!$C$10:$N$10),SUMPRODUCT(LS_Demand_Rates_Restatement!$C$10:$N$10,'Staging Table'!CX44:DI44))*1000</f>
        <v>0</v>
      </c>
      <c r="H42" s="252"/>
      <c r="I42" s="250">
        <f>IF(Init!$R$9="Yes",IF('Staging Table'!$F$1=2018,(SUM('Staging Table'!BD44:BG44)*Rates_previous!$C$87),(SUM('Staging Table'!BD44:BG44)*Rates_previous!$D$87)),IF('Staging Table'!$F$1=2018,(SUM('Staging Table'!DR44:DU44)*Rates_previous!$C$87),(SUM('Staging Table'!DR44:DU44)*Rates_previous!$D$87)))</f>
        <v>308523.02534111537</v>
      </c>
      <c r="J42" s="252">
        <f>IF(Init!$R$9="Yes",IF('Staging Table'!D44=1,'Staging Table'!H44*-1*'Staging Table'!F44/'Staging Table'!E44,'Staging Table'!H44*SUM(D42:I42)*(-1)),IF('Staging Table'!D44=1,'Staging Table'!BV44*-1*'Staging Table'!BT44/'Staging Table'!BS44,'Staging Table'!BV44*SUM(D42:I42)*(-1)))</f>
        <v>0</v>
      </c>
      <c r="K42" s="250">
        <f>IF(Init!$R$9="Yes",'Staging Table'!K44,'Staging Table'!BY44)*(-1)*Rates_previous!$H$32</f>
        <v>0</v>
      </c>
      <c r="L42" s="250">
        <f>IF(Init!$R$12="No",0,'Staging Table'!$BI44*-1)*('Staging Table'!$F44/'Staging Table'!$E44)</f>
        <v>-2047988.3809839957</v>
      </c>
      <c r="M42" s="250">
        <f>IF('Staging Table'!C44=1,"",SUM(D42:L42))</f>
        <v>46492186.621637113</v>
      </c>
      <c r="N42" s="250">
        <f>IF('Staging Table'!C44=1,"",IF(Init!$R$9="Yes",(RT1SC!$C$3*'Staging Table'!F44*'Staging Table'!$F$2),Z42))</f>
        <v>1340795.5256776318</v>
      </c>
      <c r="O42" s="126">
        <f>IF('Staging Table'!C44=1,"",IF(N42=0, 0, M42/N42))</f>
        <v>34.675075901778669</v>
      </c>
      <c r="P42" s="250">
        <f>'Staging Table'!BT44*Rates_current!$E$74*100*12</f>
        <v>50943071.26692</v>
      </c>
      <c r="Q42" s="250">
        <f>'Staging Table'!BT44*Rates_current!$E$75*100*12</f>
        <v>-5153716.3986000009</v>
      </c>
      <c r="R42" s="251"/>
      <c r="S42" s="251">
        <f>SUMPRODUCT('Staging Table'!CX44:DI44, LS_Demand_Rates_Restatement!$C$11:$N$11)*1000</f>
        <v>0</v>
      </c>
      <c r="T42" s="252"/>
      <c r="U42" s="252">
        <f>IF(Init!$R$18="Yes",(SUM('Staging Table'!DL44:DU44)*IF('Staging Table'!$BT$1=2020, Rates_current!$C$87, Rates_current!$D$87)),0)</f>
        <v>889296.85472682456</v>
      </c>
      <c r="V42" s="252">
        <f>IF('Staging Table'!D44=1, 'Staging Table'!BV44*-1*'Staging Table'!BT44/'Staging Table'!BS44,SUM(P42:U42)*'Staging Table'!BV44*-1)</f>
        <v>0</v>
      </c>
      <c r="W42" s="250">
        <f>'Staging Table'!BY44*Rates_current!$H$32*-1</f>
        <v>0</v>
      </c>
      <c r="X42" s="250">
        <f>IF(Init!$R$12="No",0,'Staging Table'!$DW44*-1)</f>
        <v>0</v>
      </c>
      <c r="Y42" s="250">
        <f>IF('Staging Table'!C44=1,"",SUM(P42:X42))</f>
        <v>46678651.723046824</v>
      </c>
      <c r="Z42" s="250">
        <f>IF('Staging Table'!C44=1,"",(RT1SC!$C$4*'Staging Table'!BT44*'Staging Table'!$BT$2))</f>
        <v>1322592.0119064576</v>
      </c>
      <c r="AA42" s="126">
        <f>IF('Staging Table'!C44=1,"",IF(Z42=0, 0, Y42/Z42))</f>
        <v>35.293311393709104</v>
      </c>
      <c r="AB42" s="118">
        <f ca="1">IF('Staging Table'!C44=1,"",(AA42/O42-1)+(RAND()/100000000000))</f>
        <v>1.782939116871551E-2</v>
      </c>
      <c r="AC42" s="79">
        <f t="shared" ca="1" si="0"/>
        <v>63</v>
      </c>
      <c r="AF42" s="255"/>
      <c r="AG42" s="255"/>
      <c r="AI42" s="255"/>
      <c r="AJ42" s="255"/>
    </row>
    <row r="43" spans="2:36">
      <c r="B43" s="166">
        <v>10105</v>
      </c>
      <c r="C43" s="167" t="s">
        <v>46</v>
      </c>
      <c r="D43" s="250">
        <f>IF(Init!$R$9="Yes",'Staging Table'!F45,'Staging Table'!BT45)*Rates_previous!$E$75*100*12</f>
        <v>13633436.321280001</v>
      </c>
      <c r="E43" s="250">
        <f>IF(Init!$R$9="Yes",'Staging Table'!F45,'Staging Table'!BT45)*Rates_previous!$E$76*100*12</f>
        <v>-1922611.2431999999</v>
      </c>
      <c r="F43" s="251"/>
      <c r="G43" s="251">
        <f>IF(Init!$R$9="Yes",SUMPRODUCT('Staging Table'!AJ45:AU45,LS_Demand_Rates_Restatement!$C$10:$N$10),SUMPRODUCT(LS_Demand_Rates_Restatement!$C$10:$N$10,'Staging Table'!CX45:DI45))*1000</f>
        <v>0</v>
      </c>
      <c r="H43" s="252"/>
      <c r="I43" s="250">
        <f>IF(Init!$R$9="Yes",IF('Staging Table'!$F$1=2018,(SUM('Staging Table'!BD45:BG45)*Rates_previous!$C$87),(SUM('Staging Table'!BD45:BG45)*Rates_previous!$D$87)),IF('Staging Table'!$F$1=2018,(SUM('Staging Table'!DR45:DU45)*Rates_previous!$C$87),(SUM('Staging Table'!DR45:DU45)*Rates_previous!$D$87)))</f>
        <v>74910.541816643818</v>
      </c>
      <c r="J43" s="252">
        <f>IF(Init!$R$9="Yes",IF('Staging Table'!D45=1,'Staging Table'!H45*-1*'Staging Table'!F45/'Staging Table'!E45,'Staging Table'!H45*SUM(D43:I43)*(-1)),IF('Staging Table'!D45=1,'Staging Table'!BV45*-1*'Staging Table'!BT45/'Staging Table'!BS45,'Staging Table'!BV45*SUM(D43:I43)*(-1)))</f>
        <v>0</v>
      </c>
      <c r="K43" s="250">
        <f>IF(Init!$R$9="Yes",'Staging Table'!K45,'Staging Table'!BY45)*(-1)*Rates_previous!$H$32</f>
        <v>0</v>
      </c>
      <c r="L43" s="250">
        <f>IF(Init!$R$12="No",0,'Staging Table'!$BI45*-1)*('Staging Table'!$F45/'Staging Table'!$E45)</f>
        <v>-466919.68361243024</v>
      </c>
      <c r="M43" s="250">
        <f>IF('Staging Table'!C45=1,"",SUM(D43:L43))</f>
        <v>11318815.936284214</v>
      </c>
      <c r="N43" s="250">
        <f>IF('Staging Table'!C45=1,"",IF(Init!$R$9="Yes",(RT1SC!$C$3*'Staging Table'!F45*'Staging Table'!$F$2),Z43))</f>
        <v>325550.156857152</v>
      </c>
      <c r="O43" s="126">
        <f>IF('Staging Table'!C45=1,"",IF(N43=0, 0, M43/N43))</f>
        <v>34.768270565603785</v>
      </c>
      <c r="P43" s="250">
        <f>'Staging Table'!BT45*Rates_current!$E$74*100*12</f>
        <v>12306601.787159998</v>
      </c>
      <c r="Q43" s="250">
        <f>'Staging Table'!BT45*Rates_current!$E$75*100*12</f>
        <v>-1245012.0077999998</v>
      </c>
      <c r="R43" s="251"/>
      <c r="S43" s="251">
        <f>SUMPRODUCT('Staging Table'!CX45:DI45, LS_Demand_Rates_Restatement!$C$11:$N$11)*1000</f>
        <v>0</v>
      </c>
      <c r="T43" s="252"/>
      <c r="U43" s="252">
        <f>IF(Init!$R$18="Yes",(SUM('Staging Table'!DL45:DU45)*IF('Staging Table'!$BT$1=2020, Rates_current!$C$87, Rates_current!$D$87)),0)</f>
        <v>214832.39996178949</v>
      </c>
      <c r="V43" s="252">
        <f>IF('Staging Table'!D45=1, 'Staging Table'!BV45*-1*'Staging Table'!BT45/'Staging Table'!BS45,SUM(P43:U43)*'Staging Table'!BV45*-1)</f>
        <v>0</v>
      </c>
      <c r="W43" s="250">
        <f>'Staging Table'!BY45*Rates_current!$H$32*-1</f>
        <v>0</v>
      </c>
      <c r="X43" s="250">
        <f>IF(Init!$R$12="No",0,'Staging Table'!$DW45*-1)</f>
        <v>0</v>
      </c>
      <c r="Y43" s="250">
        <f>IF('Staging Table'!C45=1,"",SUM(P43:X43))</f>
        <v>11276422.179321788</v>
      </c>
      <c r="Z43" s="250">
        <f>IF('Staging Table'!C45=1,"",(RT1SC!$C$4*'Staging Table'!BT45*'Staging Table'!$BT$2))</f>
        <v>319505.92715796479</v>
      </c>
      <c r="AA43" s="126">
        <f>IF('Staging Table'!C45=1,"",IF(Z43=0, 0, Y43/Z43))</f>
        <v>35.293311393709097</v>
      </c>
      <c r="AB43" s="118">
        <f ca="1">IF('Staging Table'!C45=1,"",(AA43/O43-1)+(RAND()/100000000000))</f>
        <v>1.5101148827137832E-2</v>
      </c>
      <c r="AC43" s="79">
        <f t="shared" ca="1" si="0"/>
        <v>71</v>
      </c>
      <c r="AF43" s="255"/>
      <c r="AG43" s="255"/>
      <c r="AI43" s="255"/>
      <c r="AJ43" s="255"/>
    </row>
    <row r="44" spans="2:36">
      <c r="B44" s="166">
        <v>10106</v>
      </c>
      <c r="C44" s="167" t="s">
        <v>47</v>
      </c>
      <c r="D44" s="250">
        <f>IF(Init!$R$9="Yes",'Staging Table'!F46,'Staging Table'!BT46)*Rates_previous!$E$75*100*12</f>
        <v>8619495.0220799986</v>
      </c>
      <c r="E44" s="250">
        <f>IF(Init!$R$9="Yes",'Staging Table'!F46,'Staging Table'!BT46)*Rates_previous!$E$76*100*12</f>
        <v>-1215536.3951999999</v>
      </c>
      <c r="F44" s="251"/>
      <c r="G44" s="251">
        <f>IF(Init!$R$9="Yes",SUMPRODUCT('Staging Table'!AJ46:AU46,LS_Demand_Rates_Restatement!$C$10:$N$10),SUMPRODUCT(LS_Demand_Rates_Restatement!$C$10:$N$10,'Staging Table'!CX46:DI46))*1000</f>
        <v>0</v>
      </c>
      <c r="H44" s="252"/>
      <c r="I44" s="250">
        <f>IF(Init!$R$9="Yes",IF('Staging Table'!$F$1=2018,(SUM('Staging Table'!BD46:BG46)*Rates_previous!$C$87),(SUM('Staging Table'!BD46:BG46)*Rates_previous!$D$87)),IF('Staging Table'!$F$1=2018,(SUM('Staging Table'!DR46:DU46)*Rates_previous!$C$87),(SUM('Staging Table'!DR46:DU46)*Rates_previous!$D$87)))</f>
        <v>47360.843376078155</v>
      </c>
      <c r="J44" s="252">
        <f>IF(Init!$R$9="Yes",IF('Staging Table'!D46=1,'Staging Table'!H46*-1*'Staging Table'!F46/'Staging Table'!E46,'Staging Table'!H46*SUM(D44:I44)*(-1)),IF('Staging Table'!D46=1,'Staging Table'!BV46*-1*'Staging Table'!BT46/'Staging Table'!BS46,'Staging Table'!BV46*SUM(D44:I44)*(-1)))</f>
        <v>-523213.02490270603</v>
      </c>
      <c r="K44" s="250">
        <f>IF(Init!$R$9="Yes",'Staging Table'!K46,'Staging Table'!BY46)*(-1)*Rates_previous!$H$32</f>
        <v>0</v>
      </c>
      <c r="L44" s="250">
        <f>IF(Init!$R$12="No",0,'Staging Table'!$BI46*-1)*('Staging Table'!$F46/'Staging Table'!$E46)</f>
        <v>-260035.52408878764</v>
      </c>
      <c r="M44" s="250" t="str">
        <f>IF('Staging Table'!C46=1,"",SUM(D44:L44))</f>
        <v/>
      </c>
      <c r="N44" s="250" t="str">
        <f>IF('Staging Table'!C46=1,"",IF(Init!$R$9="Yes",(RT1SC!$C$3*'Staging Table'!F46*'Staging Table'!$F$2),Z44))</f>
        <v/>
      </c>
      <c r="O44" s="126" t="str">
        <f>IF('Staging Table'!C46=1,"",IF(N44=0, 0, M44/N44))</f>
        <v/>
      </c>
      <c r="P44" s="250">
        <f>'Staging Table'!BT46*Rates_current!$E$74*100*12</f>
        <v>8011970.6619600002</v>
      </c>
      <c r="Q44" s="250">
        <f>'Staging Table'!BT46*Rates_current!$E$75*100*12</f>
        <v>-810540.54180000001</v>
      </c>
      <c r="R44" s="251"/>
      <c r="S44" s="251">
        <f>SUMPRODUCT('Staging Table'!CX46:DI46, LS_Demand_Rates_Restatement!$C$11:$N$11)*1000</f>
        <v>0</v>
      </c>
      <c r="T44" s="252"/>
      <c r="U44" s="252">
        <f>IF(Init!$R$18="Yes",(SUM('Staging Table'!DL46:DU46)*IF('Staging Table'!$BT$1=2020, Rates_current!$C$87, Rates_current!$D$87)),0)</f>
        <v>139862.40194495828</v>
      </c>
      <c r="V44" s="252">
        <f>IF('Staging Table'!D46=1, 'Staging Table'!BV46*-1*'Staging Table'!BT46/'Staging Table'!BS46,SUM(P44:U44)*'Staging Table'!BV46*-1)</f>
        <v>-513890.47654734721</v>
      </c>
      <c r="W44" s="250">
        <f>'Staging Table'!BY46*Rates_current!$H$32*-1</f>
        <v>0</v>
      </c>
      <c r="X44" s="250">
        <f>IF(Init!$R$12="No",0,'Staging Table'!$DW46*-1)</f>
        <v>0</v>
      </c>
      <c r="Y44" s="250" t="str">
        <f>IF('Staging Table'!C46=1,"",SUM(P44:X44))</f>
        <v/>
      </c>
      <c r="Z44" s="250" t="str">
        <f>IF('Staging Table'!C46=1,"",(RT1SC!$C$4*'Staging Table'!BT46*'Staging Table'!$BT$2))</f>
        <v/>
      </c>
      <c r="AA44" s="126" t="str">
        <f>IF('Staging Table'!C46=1,"",IF(Z44=0, 0, Y44/Z44))</f>
        <v/>
      </c>
      <c r="AB44" s="118" t="str">
        <f ca="1">IF('Staging Table'!C46=1,"",(AA44/O44-1)+(RAND()/100000000000))</f>
        <v/>
      </c>
      <c r="AC44" s="79" t="str">
        <f t="shared" ca="1" si="0"/>
        <v/>
      </c>
      <c r="AF44" s="255"/>
      <c r="AG44" s="255"/>
      <c r="AI44" s="255"/>
      <c r="AJ44" s="255"/>
    </row>
    <row r="45" spans="2:36">
      <c r="B45" s="166">
        <v>10109</v>
      </c>
      <c r="C45" s="167" t="s">
        <v>48</v>
      </c>
      <c r="D45" s="250">
        <f>IF(Init!$R$9="Yes",'Staging Table'!F47,'Staging Table'!BT47)*Rates_previous!$E$75*100*12</f>
        <v>4374459.9648000002</v>
      </c>
      <c r="E45" s="250">
        <f>IF(Init!$R$9="Yes",'Staging Table'!F47,'Staging Table'!BT47)*Rates_previous!$E$76*100*12</f>
        <v>-616894.06200000003</v>
      </c>
      <c r="F45" s="251"/>
      <c r="G45" s="251">
        <f>IF(Init!$R$9="Yes",SUMPRODUCT('Staging Table'!AJ47:AU47,LS_Demand_Rates_Restatement!$C$10:$N$10),SUMPRODUCT(LS_Demand_Rates_Restatement!$C$10:$N$10,'Staging Table'!CX47:DI47))*1000</f>
        <v>388665.52000000008</v>
      </c>
      <c r="H45" s="252"/>
      <c r="I45" s="250">
        <f>IF(Init!$R$9="Yes",IF('Staging Table'!$F$1=2018,(SUM('Staging Table'!BD47:BG47)*Rates_previous!$C$87),(SUM('Staging Table'!BD47:BG47)*Rates_previous!$D$87)),IF('Staging Table'!$F$1=2018,(SUM('Staging Table'!DR47:DU47)*Rates_previous!$C$87),(SUM('Staging Table'!DR47:DU47)*Rates_previous!$D$87)))</f>
        <v>24035.991982952881</v>
      </c>
      <c r="J45" s="252">
        <f>IF(Init!$R$9="Yes",IF('Staging Table'!D47=1,'Staging Table'!H47*-1*'Staging Table'!F47/'Staging Table'!E47,'Staging Table'!H47*SUM(D45:I45)*(-1)),IF('Staging Table'!D47=1,'Staging Table'!BV47*-1*'Staging Table'!BT47/'Staging Table'!BS47,'Staging Table'!BV47*SUM(D45:I45)*(-1)))</f>
        <v>-346659.73425495514</v>
      </c>
      <c r="K45" s="250">
        <f>IF(Init!$R$9="Yes",'Staging Table'!K47,'Staging Table'!BY47)*(-1)*Rates_previous!$H$32</f>
        <v>-248139.93960000004</v>
      </c>
      <c r="L45" s="250">
        <f>IF(Init!$R$12="No",0,'Staging Table'!$BI47*-1)*('Staging Table'!$F47/'Staging Table'!$E47)</f>
        <v>-68108.813897606262</v>
      </c>
      <c r="M45" s="250">
        <f>IF('Staging Table'!C47=1,"",SUM(D45:L45))</f>
        <v>3507358.9270303911</v>
      </c>
      <c r="N45" s="250">
        <f>IF('Staging Table'!C47=1,"",IF(Init!$R$9="Yes",(RT1SC!$C$3*'Staging Table'!F47*'Staging Table'!$F$2),Z45))</f>
        <v>104456.87309831999</v>
      </c>
      <c r="O45" s="126">
        <f>IF('Staging Table'!C47=1,"",IF(N45=0, 0, M45/N45))</f>
        <v>33.57710051045747</v>
      </c>
      <c r="P45" s="250">
        <f>'Staging Table'!BT47*Rates_current!$E$74*100*12</f>
        <v>4078354.7376000001</v>
      </c>
      <c r="Q45" s="250">
        <f>'Staging Table'!BT47*Rates_current!$E$75*100*12</f>
        <v>-412591.60800000001</v>
      </c>
      <c r="R45" s="251"/>
      <c r="S45" s="251">
        <f>SUMPRODUCT('Staging Table'!CX47:DI47, LS_Demand_Rates_Restatement!$C$11:$N$11)*1000</f>
        <v>425857.21999999991</v>
      </c>
      <c r="T45" s="252"/>
      <c r="U45" s="252">
        <f>IF(Init!$R$18="Yes",(SUM('Staging Table'!DL47:DU47)*IF('Staging Table'!$BT$1=2020, Rates_current!$C$87, Rates_current!$D$87)),0)</f>
        <v>71194.530490803736</v>
      </c>
      <c r="V45" s="252">
        <f>IF('Staging Table'!D47=1, 'Staging Table'!BV47*-1*'Staging Table'!BT47/'Staging Table'!BS47,SUM(P45:U45)*'Staging Table'!BV47*-1)</f>
        <v>-329930.97010689275</v>
      </c>
      <c r="W45" s="250">
        <f>'Staging Table'!BY47*Rates_current!$H$32*-1</f>
        <v>-234424.72185000003</v>
      </c>
      <c r="X45" s="250">
        <f>IF(Init!$R$12="No",0,'Staging Table'!$DW47*-1)</f>
        <v>0</v>
      </c>
      <c r="Y45" s="250">
        <f>IF('Staging Table'!C47=1,"",SUM(P45:X45))</f>
        <v>3598459.1881339108</v>
      </c>
      <c r="Z45" s="250">
        <f>IF('Staging Table'!C47=1,"",(RT1SC!$C$4*'Staging Table'!BT47*'Staging Table'!$BT$2))</f>
        <v>105882.88580812799</v>
      </c>
      <c r="AA45" s="126">
        <f>IF('Staging Table'!C47=1,"",IF(Z45=0, 0, Y45/Z45))</f>
        <v>33.985276852528692</v>
      </c>
      <c r="AB45" s="118">
        <f ca="1">IF('Staging Table'!C47=1,"",(AA45/O45-1)+(RAND()/100000000000))</f>
        <v>1.2156390400534504E-2</v>
      </c>
      <c r="AC45" s="79">
        <f t="shared" ca="1" si="0"/>
        <v>76</v>
      </c>
      <c r="AF45" s="255"/>
      <c r="AG45" s="255"/>
      <c r="AI45" s="255"/>
      <c r="AJ45" s="255"/>
    </row>
    <row r="46" spans="2:36">
      <c r="B46" s="166">
        <v>10111</v>
      </c>
      <c r="C46" s="167" t="s">
        <v>49</v>
      </c>
      <c r="D46" s="250">
        <f>IF(Init!$R$9="Yes",'Staging Table'!F48,'Staging Table'!BT48)*Rates_previous!$E$75*100*12</f>
        <v>1082277.5731200003</v>
      </c>
      <c r="E46" s="250">
        <f>IF(Init!$R$9="Yes",'Staging Table'!F48,'Staging Table'!BT48)*Rates_previous!$E$76*100*12</f>
        <v>-152624.69280000002</v>
      </c>
      <c r="F46" s="251"/>
      <c r="G46" s="251">
        <f>IF(Init!$R$9="Yes",SUMPRODUCT('Staging Table'!AJ48:AU48,LS_Demand_Rates_Restatement!$C$10:$N$10),SUMPRODUCT(LS_Demand_Rates_Restatement!$C$10:$N$10,'Staging Table'!CX48:DI48))*1000</f>
        <v>78914.8</v>
      </c>
      <c r="H46" s="252"/>
      <c r="I46" s="250">
        <f>IF(Init!$R$9="Yes",IF('Staging Table'!$F$1=2018,(SUM('Staging Table'!BD48:BG48)*Rates_previous!$C$87),(SUM('Staging Table'!BD48:BG48)*Rates_previous!$D$87)),IF('Staging Table'!$F$1=2018,(SUM('Staging Table'!DR48:DU48)*Rates_previous!$C$87),(SUM('Staging Table'!DR48:DU48)*Rates_previous!$D$87)))</f>
        <v>5946.7031999757628</v>
      </c>
      <c r="J46" s="252">
        <f>IF(Init!$R$9="Yes",IF('Staging Table'!D48=1,'Staging Table'!H48*-1*'Staging Table'!F48/'Staging Table'!E48,'Staging Table'!H48*SUM(D46:I46)*(-1)),IF('Staging Table'!D48=1,'Staging Table'!BV48*-1*'Staging Table'!BT48/'Staging Table'!BS48,'Staging Table'!BV48*SUM(D46:I46)*(-1)))</f>
        <v>-71016.006846398333</v>
      </c>
      <c r="K46" s="250">
        <f>IF(Init!$R$9="Yes",'Staging Table'!K48,'Staging Table'!BY48)*(-1)*Rates_previous!$H$32</f>
        <v>-61477.152239999996</v>
      </c>
      <c r="L46" s="250">
        <f>IF(Init!$R$12="No",0,'Staging Table'!$BI48*-1)*('Staging Table'!$F48/'Staging Table'!$E48)</f>
        <v>-16850.683834422329</v>
      </c>
      <c r="M46" s="250">
        <f>IF('Staging Table'!C48=1,"",SUM(D46:L46))</f>
        <v>865170.54059915536</v>
      </c>
      <c r="N46" s="250">
        <f>IF('Staging Table'!C48=1,"",IF(Init!$R$9="Yes",(RT1SC!$C$3*'Staging Table'!F48*'Staging Table'!$F$2),Z46))</f>
        <v>25843.494287808</v>
      </c>
      <c r="O46" s="126">
        <f>IF('Staging Table'!C48=1,"",IF(N46=0, 0, M46/N46))</f>
        <v>33.477305002339044</v>
      </c>
      <c r="P46" s="250">
        <f>'Staging Table'!BT48*Rates_current!$E$74*100*12</f>
        <v>1030521.33696</v>
      </c>
      <c r="Q46" s="250">
        <f>'Staging Table'!BT48*Rates_current!$E$75*100*12</f>
        <v>-104253.91680000001</v>
      </c>
      <c r="R46" s="251"/>
      <c r="S46" s="251">
        <f>SUMPRODUCT('Staging Table'!CX48:DI48, LS_Demand_Rates_Restatement!$C$11:$N$11)*1000</f>
        <v>88235.209999999992</v>
      </c>
      <c r="T46" s="252"/>
      <c r="U46" s="252">
        <f>IF(Init!$R$18="Yes",(SUM('Staging Table'!DL48:DU48)*IF('Staging Table'!$BT$1=2020, Rates_current!$C$87, Rates_current!$D$87)),0)</f>
        <v>17989.480431708915</v>
      </c>
      <c r="V46" s="252">
        <f>IF('Staging Table'!D48=1, 'Staging Table'!BV48*-1*'Staging Table'!BT48/'Staging Table'!BS48,SUM(P46:U46)*'Staging Table'!BV48*-1)</f>
        <v>-72274.44774141963</v>
      </c>
      <c r="W46" s="250">
        <f>'Staging Table'!BY48*Rates_current!$H$32*-1</f>
        <v>-58079.180389999994</v>
      </c>
      <c r="X46" s="250">
        <f>IF(Init!$R$12="No",0,'Staging Table'!$DW48*-1)</f>
        <v>0</v>
      </c>
      <c r="Y46" s="250">
        <f>IF('Staging Table'!C48=1,"",SUM(P46:X46))</f>
        <v>902138.48246028926</v>
      </c>
      <c r="Z46" s="250">
        <f>IF('Staging Table'!C48=1,"",(RT1SC!$C$4*'Staging Table'!BT48*'Staging Table'!$BT$2))</f>
        <v>26754.556693708801</v>
      </c>
      <c r="AA46" s="126">
        <f>IF('Staging Table'!C48=1,"",IF(Z46=0, 0, Y46/Z46))</f>
        <v>33.719059253649398</v>
      </c>
      <c r="AB46" s="118">
        <f ca="1">IF('Staging Table'!C48=1,"",(AA46/O46-1)+(RAND()/100000000000))</f>
        <v>7.2214370691878445E-3</v>
      </c>
      <c r="AC46" s="79">
        <f t="shared" ca="1" si="0"/>
        <v>87</v>
      </c>
      <c r="AF46" s="255"/>
      <c r="AG46" s="255"/>
      <c r="AI46" s="255"/>
      <c r="AJ46" s="255"/>
    </row>
    <row r="47" spans="2:36">
      <c r="B47" s="166">
        <v>10112</v>
      </c>
      <c r="C47" s="167" t="s">
        <v>50</v>
      </c>
      <c r="D47" s="250">
        <f>IF(Init!$R$9="Yes",'Staging Table'!F49,'Staging Table'!BT49)*Rates_previous!$E$75*100*12</f>
        <v>20555885.459520001</v>
      </c>
      <c r="E47" s="250">
        <f>IF(Init!$R$9="Yes",'Staging Table'!F49,'Staging Table'!BT49)*Rates_previous!$E$76*100*12</f>
        <v>-2898827.2338000005</v>
      </c>
      <c r="F47" s="251"/>
      <c r="G47" s="251">
        <f>IF(Init!$R$9="Yes",SUMPRODUCT('Staging Table'!AJ49:AU49,LS_Demand_Rates_Restatement!$C$10:$N$10),SUMPRODUCT(LS_Demand_Rates_Restatement!$C$10:$N$10,'Staging Table'!CX49:DI49))*1000</f>
        <v>980605.74999999988</v>
      </c>
      <c r="H47" s="252"/>
      <c r="I47" s="250">
        <f>IF(Init!$R$9="Yes",IF('Staging Table'!$F$1=2018,(SUM('Staging Table'!BD49:BG49)*Rates_previous!$C$87),(SUM('Staging Table'!BD49:BG49)*Rates_previous!$D$87)),IF('Staging Table'!$F$1=2018,(SUM('Staging Table'!DR49:DU49)*Rates_previous!$C$87),(SUM('Staging Table'!DR49:DU49)*Rates_previous!$D$87)))</f>
        <v>112946.76419106509</v>
      </c>
      <c r="J47" s="252">
        <f>IF(Init!$R$9="Yes",IF('Staging Table'!D49=1,'Staging Table'!H49*-1*'Staging Table'!F49/'Staging Table'!E49,'Staging Table'!H49*SUM(D47:I47)*(-1)),IF('Staging Table'!D49=1,'Staging Table'!BV49*-1*'Staging Table'!BT49/'Staging Table'!BS49,'Staging Table'!BV49*SUM(D47:I47)*(-1)))</f>
        <v>0</v>
      </c>
      <c r="K47" s="250">
        <f>IF(Init!$R$9="Yes",'Staging Table'!K49,'Staging Table'!BY49)*(-1)*Rates_previous!$H$32</f>
        <v>0</v>
      </c>
      <c r="L47" s="250">
        <f>IF(Init!$R$12="No",0,'Staging Table'!$BI49*-1)*('Staging Table'!$F49/'Staging Table'!$E49)</f>
        <v>-585492.23640435282</v>
      </c>
      <c r="M47" s="250">
        <f>IF('Staging Table'!C49=1,"",SUM(D47:L47))</f>
        <v>18165118.503506713</v>
      </c>
      <c r="N47" s="250">
        <f>IF('Staging Table'!C49=1,"",IF(Init!$R$9="Yes",(RT1SC!$C$3*'Staging Table'!F49*'Staging Table'!$F$2),Z47))</f>
        <v>490849.964600568</v>
      </c>
      <c r="O47" s="126">
        <f>IF('Staging Table'!C49=1,"",IF(N47=0, 0, M47/N47))</f>
        <v>37.007476446063684</v>
      </c>
      <c r="P47" s="250">
        <f>'Staging Table'!BT49*Rates_current!$E$74*100*12</f>
        <v>18432452.216159999</v>
      </c>
      <c r="Q47" s="250">
        <f>'Staging Table'!BT49*Rates_current!$E$75*100*12</f>
        <v>-1864740.9527999999</v>
      </c>
      <c r="R47" s="251"/>
      <c r="S47" s="251">
        <f>SUMPRODUCT('Staging Table'!CX49:DI49, LS_Demand_Rates_Restatement!$C$11:$N$11)*1000</f>
        <v>1106361.03</v>
      </c>
      <c r="T47" s="252"/>
      <c r="U47" s="252">
        <f>IF(Init!$R$18="Yes",(SUM('Staging Table'!DL49:DU49)*IF('Staging Table'!$BT$1=2020, Rates_current!$C$87, Rates_current!$D$87)),0)</f>
        <v>321769.40598745772</v>
      </c>
      <c r="V47" s="252">
        <f>IF('Staging Table'!D49=1, 'Staging Table'!BV49*-1*'Staging Table'!BT49/'Staging Table'!BS49,SUM(P47:U47)*'Staging Table'!BV49*-1)</f>
        <v>0</v>
      </c>
      <c r="W47" s="250">
        <f>'Staging Table'!BY49*Rates_current!$H$32*-1</f>
        <v>0</v>
      </c>
      <c r="X47" s="250">
        <f>IF(Init!$R$12="No",0,'Staging Table'!$DW49*-1)</f>
        <v>0</v>
      </c>
      <c r="Y47" s="250">
        <f>IF('Staging Table'!C49=1,"",SUM(P47:X47))</f>
        <v>17995841.699347455</v>
      </c>
      <c r="Z47" s="250">
        <f>IF('Staging Table'!C49=1,"",(RT1SC!$C$4*'Staging Table'!BT49*'Staging Table'!$BT$2))</f>
        <v>478546.21746708476</v>
      </c>
      <c r="AA47" s="126">
        <f>IF('Staging Table'!C49=1,"",IF(Z47=0, 0, Y47/Z47))</f>
        <v>37.605232352683345</v>
      </c>
      <c r="AB47" s="118">
        <f ca="1">IF('Staging Table'!C49=1,"",(AA47/O47-1)+(RAND()/100000000000))</f>
        <v>1.615230121709366E-2</v>
      </c>
      <c r="AC47" s="79">
        <f t="shared" ca="1" si="0"/>
        <v>69</v>
      </c>
      <c r="AF47" s="255"/>
      <c r="AG47" s="255"/>
      <c r="AI47" s="255"/>
      <c r="AJ47" s="255"/>
    </row>
    <row r="48" spans="2:36">
      <c r="B48" s="166">
        <v>10113</v>
      </c>
      <c r="C48" s="167" t="s">
        <v>51</v>
      </c>
      <c r="D48" s="250">
        <f>IF(Init!$R$9="Yes",'Staging Table'!F50,'Staging Table'!BT50)*Rates_previous!$E$75*100*12</f>
        <v>13605920.789760001</v>
      </c>
      <c r="E48" s="250">
        <f>IF(Init!$R$9="Yes",'Staging Table'!F50,'Staging Table'!BT50)*Rates_previous!$E$76*100*12</f>
        <v>-1918730.9544000002</v>
      </c>
      <c r="F48" s="251"/>
      <c r="G48" s="251">
        <f>IF(Init!$R$9="Yes",SUMPRODUCT('Staging Table'!AJ50:AU50,LS_Demand_Rates_Restatement!$C$10:$N$10),SUMPRODUCT(LS_Demand_Rates_Restatement!$C$10:$N$10,'Staging Table'!CX50:DI50))*1000</f>
        <v>869255.6100000001</v>
      </c>
      <c r="H48" s="252"/>
      <c r="I48" s="250">
        <f>IF(Init!$R$9="Yes",IF('Staging Table'!$F$1=2018,(SUM('Staging Table'!BD50:BG50)*Rates_previous!$C$87),(SUM('Staging Table'!BD50:BG50)*Rates_previous!$D$87)),IF('Staging Table'!$F$1=2018,(SUM('Staging Table'!DR50:DU50)*Rates_previous!$C$87),(SUM('Staging Table'!DR50:DU50)*Rates_previous!$D$87)))</f>
        <v>74759.354447152931</v>
      </c>
      <c r="J48" s="252">
        <f>IF(Init!$R$9="Yes",IF('Staging Table'!D50=1,'Staging Table'!H50*-1*'Staging Table'!F50/'Staging Table'!E50,'Staging Table'!H50*SUM(D48:I48)*(-1)),IF('Staging Table'!D50=1,'Staging Table'!BV50*-1*'Staging Table'!BT50/'Staging Table'!BS50,'Staging Table'!BV50*SUM(D48:I48)*(-1)))</f>
        <v>-1010418.0705148135</v>
      </c>
      <c r="K48" s="250">
        <f>IF(Init!$R$9="Yes",'Staging Table'!K50,'Staging Table'!BY50)*(-1)*Rates_previous!$H$32</f>
        <v>-1583554.1131199999</v>
      </c>
      <c r="L48" s="250">
        <f>IF(Init!$R$12="No",0,'Staging Table'!$BI50*-1)*('Staging Table'!$F50/'Staging Table'!$E50)</f>
        <v>-211839.43490901371</v>
      </c>
      <c r="M48" s="250">
        <f>IF('Staging Table'!C50=1,"",SUM(D48:L48))</f>
        <v>9825393.1812633257</v>
      </c>
      <c r="N48" s="250">
        <f>IF('Staging Table'!C50=1,"",IF(Init!$R$9="Yes",(RT1SC!$C$3*'Staging Table'!F50*'Staging Table'!$F$2),Z48))</f>
        <v>324893.11886678403</v>
      </c>
      <c r="O48" s="126">
        <f>IF('Staging Table'!C50=1,"",IF(N48=0, 0, M48/N48))</f>
        <v>30.241924530547024</v>
      </c>
      <c r="P48" s="250">
        <f>'Staging Table'!BT50*Rates_current!$E$74*100*12</f>
        <v>12685441.965</v>
      </c>
      <c r="Q48" s="250">
        <f>'Staging Table'!BT50*Rates_current!$E$75*100*12</f>
        <v>-1283337.8250000002</v>
      </c>
      <c r="R48" s="251"/>
      <c r="S48" s="251">
        <f>SUMPRODUCT('Staging Table'!CX50:DI50, LS_Demand_Rates_Restatement!$C$11:$N$11)*1000</f>
        <v>936510.98</v>
      </c>
      <c r="T48" s="252"/>
      <c r="U48" s="252">
        <f>IF(Init!$R$18="Yes",(SUM('Staging Table'!DL50:DU50)*IF('Staging Table'!$BT$1=2020, Rates_current!$C$87, Rates_current!$D$87)),0)</f>
        <v>221445.6914304574</v>
      </c>
      <c r="V48" s="252">
        <f>IF('Staging Table'!D50=1, 'Staging Table'!BV50*-1*'Staging Table'!BT50/'Staging Table'!BS50,SUM(P48:U48)*'Staging Table'!BV50*-1)</f>
        <v>-1026281.3128959016</v>
      </c>
      <c r="W48" s="250">
        <f>'Staging Table'!BY50*Rates_current!$H$32*-1</f>
        <v>-1496027.7378199999</v>
      </c>
      <c r="X48" s="250">
        <f>IF(Init!$R$12="No",0,'Staging Table'!$DW50*-1)</f>
        <v>0</v>
      </c>
      <c r="Y48" s="250">
        <f>IF('Staging Table'!C50=1,"",SUM(P48:X48))</f>
        <v>10037751.760714557</v>
      </c>
      <c r="Z48" s="250">
        <f>IF('Staging Table'!C50=1,"",(RT1SC!$C$4*'Staging Table'!BT50*'Staging Table'!$BT$2))</f>
        <v>329341.43531519995</v>
      </c>
      <c r="AA48" s="126">
        <f>IF('Staging Table'!C50=1,"",IF(Z48=0, 0, Y48/Z48))</f>
        <v>30.478253521631171</v>
      </c>
      <c r="AB48" s="118">
        <f ca="1">IF('Staging Table'!C50=1,"",(AA48/O48-1)+(RAND()/100000000000))</f>
        <v>7.8146148106451475E-3</v>
      </c>
      <c r="AC48" s="79">
        <f t="shared" ca="1" si="0"/>
        <v>85</v>
      </c>
      <c r="AF48" s="255"/>
      <c r="AG48" s="255"/>
      <c r="AI48" s="255"/>
      <c r="AJ48" s="255"/>
    </row>
    <row r="49" spans="2:36">
      <c r="B49" s="166">
        <v>10116</v>
      </c>
      <c r="C49" s="167" t="s">
        <v>52</v>
      </c>
      <c r="D49" s="250">
        <f>IF(Init!$R$9="Yes",'Staging Table'!F51,'Staging Table'!BT51)*Rates_previous!$E$75*100*12</f>
        <v>82291.821120000008</v>
      </c>
      <c r="E49" s="250">
        <f>IF(Init!$R$9="Yes",'Staging Table'!F51,'Staging Table'!BT51)*Rates_previous!$E$76*100*12</f>
        <v>-11604.9378</v>
      </c>
      <c r="F49" s="251"/>
      <c r="G49" s="251">
        <f>IF(Init!$R$9="Yes",SUMPRODUCT('Staging Table'!AJ51:AU51,LS_Demand_Rates_Restatement!$C$10:$N$10),SUMPRODUCT(LS_Demand_Rates_Restatement!$C$10:$N$10,'Staging Table'!CX51:DI51))*1000</f>
        <v>5208.0640251682207</v>
      </c>
      <c r="H49" s="252"/>
      <c r="I49" s="250">
        <f>IF(Init!$R$9="Yes",IF('Staging Table'!$F$1=2018,(SUM('Staging Table'!BD51:BG51)*Rates_previous!$C$87),(SUM('Staging Table'!BD51:BG51)*Rates_previous!$D$87)),IF('Staging Table'!$F$1=2018,(SUM('Staging Table'!DR51:DU51)*Rates_previous!$C$87),(SUM('Staging Table'!DR51:DU51)*Rates_previous!$D$87)))</f>
        <v>452.16222542188586</v>
      </c>
      <c r="J49" s="252">
        <f>IF(Init!$R$9="Yes",IF('Staging Table'!D51=1,'Staging Table'!H51*-1*'Staging Table'!F51/'Staging Table'!E51,'Staging Table'!H51*SUM(D49:I49)*(-1)),IF('Staging Table'!D51=1,'Staging Table'!BV51*-1*'Staging Table'!BT51/'Staging Table'!BS51,'Staging Table'!BV51*SUM(D49:I49)*(-1)))</f>
        <v>0</v>
      </c>
      <c r="K49" s="250">
        <f>IF(Init!$R$9="Yes",'Staging Table'!K51,'Staging Table'!BY51)*(-1)*Rates_previous!$H$32</f>
        <v>0</v>
      </c>
      <c r="L49" s="250">
        <f>IF(Init!$R$12="No",0,'Staging Table'!$BI51*-1)*('Staging Table'!$F51/'Staging Table'!$E51)</f>
        <v>-3106.5164304322193</v>
      </c>
      <c r="M49" s="250">
        <f>IF('Staging Table'!C51=1,"",SUM(D49:L49))</f>
        <v>73240.593140157886</v>
      </c>
      <c r="N49" s="250">
        <f>IF('Staging Table'!C51=1,"",IF(Init!$R$9="Yes",(RT1SC!$C$3*'Staging Table'!F51*'Staging Table'!$F$2),Z49))</f>
        <v>1965.0302860079998</v>
      </c>
      <c r="O49" s="126">
        <f>IF('Staging Table'!C51=1,"",IF(N49=0, 0, M49/N49))</f>
        <v>37.271992020513679</v>
      </c>
      <c r="P49" s="250">
        <f>'Staging Table'!BT51*Rates_current!$E$74*100*12</f>
        <v>76528.567919999987</v>
      </c>
      <c r="Q49" s="250">
        <f>'Staging Table'!BT51*Rates_current!$E$75*100*12</f>
        <v>-7742.1035999999986</v>
      </c>
      <c r="R49" s="251"/>
      <c r="S49" s="251">
        <f>SUMPRODUCT('Staging Table'!CX51:DI51, LS_Demand_Rates_Restatement!$C$11:$N$11)*1000</f>
        <v>5722.4085137716556</v>
      </c>
      <c r="T49" s="252"/>
      <c r="U49" s="252">
        <f>IF(Init!$R$18="Yes",(SUM('Staging Table'!DL51:DU51)*IF('Staging Table'!$BT$1=2020, Rates_current!$C$87, Rates_current!$D$87)),0)</f>
        <v>1335.9346630558739</v>
      </c>
      <c r="V49" s="252">
        <f>IF('Staging Table'!D51=1, 'Staging Table'!BV51*-1*'Staging Table'!BT51/'Staging Table'!BS51,SUM(P49:U49)*'Staging Table'!BV51*-1)</f>
        <v>0</v>
      </c>
      <c r="W49" s="250">
        <f>'Staging Table'!BY51*Rates_current!$H$32*-1</f>
        <v>0</v>
      </c>
      <c r="X49" s="250">
        <f>IF(Init!$R$12="No",0,'Staging Table'!$DW51*-1)</f>
        <v>0</v>
      </c>
      <c r="Y49" s="250">
        <f>IF('Staging Table'!C51=1,"",SUM(P49:X49))</f>
        <v>75844.807496827518</v>
      </c>
      <c r="Z49" s="250">
        <f>IF('Staging Table'!C51=1,"",(RT1SC!$C$4*'Staging Table'!BT51*'Staging Table'!$BT$2))</f>
        <v>1986.8466917375997</v>
      </c>
      <c r="AA49" s="126">
        <f>IF('Staging Table'!C51=1,"",IF(Z49=0, 0, Y49/Z49))</f>
        <v>38.173457374558339</v>
      </c>
      <c r="AB49" s="118">
        <f ca="1">IF('Staging Table'!C51=1,"",(AA49/O49-1)+(RAND()/100000000000))</f>
        <v>2.4186132943188603E-2</v>
      </c>
      <c r="AC49" s="79">
        <f t="shared" ca="1" si="0"/>
        <v>21</v>
      </c>
      <c r="AF49" s="255"/>
      <c r="AG49" s="255"/>
      <c r="AI49" s="255"/>
      <c r="AJ49" s="255"/>
    </row>
    <row r="50" spans="2:36">
      <c r="B50" s="166">
        <v>10118</v>
      </c>
      <c r="C50" s="167" t="s">
        <v>53</v>
      </c>
      <c r="D50" s="250">
        <f>IF(Init!$R$9="Yes",'Staging Table'!F52,'Staging Table'!BT52)*Rates_previous!$E$75*100*12</f>
        <v>16486644.07584</v>
      </c>
      <c r="E50" s="250">
        <f>IF(Init!$R$9="Yes",'Staging Table'!F52,'Staging Table'!BT52)*Rates_previous!$E$76*100*12</f>
        <v>-2324975.6345999995</v>
      </c>
      <c r="F50" s="251"/>
      <c r="G50" s="251">
        <f>IF(Init!$R$9="Yes",SUMPRODUCT('Staging Table'!AJ52:AU52,LS_Demand_Rates_Restatement!$C$10:$N$10),SUMPRODUCT(LS_Demand_Rates_Restatement!$C$10:$N$10,'Staging Table'!CX52:DI52))*1000</f>
        <v>0</v>
      </c>
      <c r="H50" s="252"/>
      <c r="I50" s="250">
        <f>IF(Init!$R$9="Yes",IF('Staging Table'!$F$1=2018,(SUM('Staging Table'!BD52:BG52)*Rates_previous!$C$87),(SUM('Staging Table'!BD52:BG52)*Rates_previous!$D$87)),IF('Staging Table'!$F$1=2018,(SUM('Staging Table'!DR52:DU52)*Rates_previous!$C$87),(SUM('Staging Table'!DR52:DU52)*Rates_previous!$D$87)))</f>
        <v>90587.832103020599</v>
      </c>
      <c r="J50" s="252">
        <f>IF(Init!$R$9="Yes",IF('Staging Table'!D52=1,'Staging Table'!H52*-1*'Staging Table'!F52/'Staging Table'!E52,'Staging Table'!H52*SUM(D50:I50)*(-1)),IF('Staging Table'!D52=1,'Staging Table'!BV52*-1*'Staging Table'!BT52/'Staging Table'!BS52,'Staging Table'!BV52*SUM(D50:I50)*(-1)))</f>
        <v>-953977.62410746992</v>
      </c>
      <c r="K50" s="250">
        <f>IF(Init!$R$9="Yes",'Staging Table'!K52,'Staging Table'!BY52)*(-1)*Rates_previous!$H$32</f>
        <v>0</v>
      </c>
      <c r="L50" s="250">
        <f>IF(Init!$R$12="No",0,'Staging Table'!$BI52*-1)*('Staging Table'!$F52/'Staging Table'!$E52)</f>
        <v>-502767.38362718758</v>
      </c>
      <c r="M50" s="250" t="str">
        <f>IF('Staging Table'!C52=1,"",SUM(D50:L50))</f>
        <v/>
      </c>
      <c r="N50" s="250" t="str">
        <f>IF('Staging Table'!C52=1,"",IF(Init!$R$9="Yes",(RT1SC!$C$3*'Staging Table'!F52*'Staging Table'!$F$2),Z50))</f>
        <v/>
      </c>
      <c r="O50" s="126" t="str">
        <f>IF('Staging Table'!C52=1,"",IF(N50=0, 0, M50/N50))</f>
        <v/>
      </c>
      <c r="P50" s="250">
        <f>'Staging Table'!BT52*Rates_current!$E$74*100*12</f>
        <v>15371309.499360003</v>
      </c>
      <c r="Q50" s="250">
        <f>'Staging Table'!BT52*Rates_current!$E$75*100*12</f>
        <v>-1555056.8088</v>
      </c>
      <c r="R50" s="251"/>
      <c r="S50" s="251">
        <f>SUMPRODUCT('Staging Table'!CX52:DI52, LS_Demand_Rates_Restatement!$C$11:$N$11)*1000</f>
        <v>0</v>
      </c>
      <c r="T50" s="252"/>
      <c r="U50" s="252">
        <f>IF(Init!$R$18="Yes",(SUM('Staging Table'!DL52:DU52)*IF('Staging Table'!$BT$1=2020, Rates_current!$C$87, Rates_current!$D$87)),0)</f>
        <v>268332.01946522272</v>
      </c>
      <c r="V50" s="252">
        <f>IF('Staging Table'!D52=1, 'Staging Table'!BV52*-1*'Staging Table'!BT52/'Staging Table'!BS52,SUM(P50:U50)*'Staging Table'!BV52*-1)</f>
        <v>-947255.9277558045</v>
      </c>
      <c r="W50" s="250">
        <f>'Staging Table'!BY52*Rates_current!$H$32*-1</f>
        <v>0</v>
      </c>
      <c r="X50" s="250">
        <f>IF(Init!$R$12="No",0,'Staging Table'!$DW52*-1)</f>
        <v>0</v>
      </c>
      <c r="Y50" s="250" t="str">
        <f>IF('Staging Table'!C52=1,"",SUM(P50:X50))</f>
        <v/>
      </c>
      <c r="Z50" s="250" t="str">
        <f>IF('Staging Table'!C52=1,"",(RT1SC!$C$4*'Staging Table'!BT52*'Staging Table'!$BT$2))</f>
        <v/>
      </c>
      <c r="AA50" s="126" t="str">
        <f>IF('Staging Table'!C52=1,"",IF(Z50=0, 0, Y50/Z50))</f>
        <v/>
      </c>
      <c r="AB50" s="118" t="str">
        <f ca="1">IF('Staging Table'!C52=1,"",(AA50/O50-1)+(RAND()/100000000000))</f>
        <v/>
      </c>
      <c r="AC50" s="79" t="str">
        <f t="shared" ca="1" si="0"/>
        <v/>
      </c>
      <c r="AF50" s="255"/>
      <c r="AG50" s="255"/>
      <c r="AI50" s="255"/>
      <c r="AJ50" s="255"/>
    </row>
    <row r="51" spans="2:36">
      <c r="B51" s="166">
        <v>10121</v>
      </c>
      <c r="C51" s="167" t="s">
        <v>54</v>
      </c>
      <c r="D51" s="250">
        <f>IF(Init!$R$9="Yes",'Staging Table'!F53,'Staging Table'!BT53)*Rates_previous!$E$75*100*12</f>
        <v>14253045.32736</v>
      </c>
      <c r="E51" s="250">
        <f>IF(Init!$R$9="Yes",'Staging Table'!F53,'Staging Table'!BT53)*Rates_previous!$E$76*100*12</f>
        <v>-2009989.5984</v>
      </c>
      <c r="F51" s="251"/>
      <c r="G51" s="251">
        <f>IF(Init!$R$9="Yes",SUMPRODUCT('Staging Table'!AJ53:AU53,LS_Demand_Rates_Restatement!$C$10:$N$10),SUMPRODUCT(LS_Demand_Rates_Restatement!$C$10:$N$10,'Staging Table'!CX53:DI53))*1000</f>
        <v>0</v>
      </c>
      <c r="H51" s="252"/>
      <c r="I51" s="250">
        <f>IF(Init!$R$9="Yes",IF('Staging Table'!$F$1=2018,(SUM('Staging Table'!BD53:BG53)*Rates_previous!$C$87),(SUM('Staging Table'!BD53:BG53)*Rates_previous!$D$87)),IF('Staging Table'!$F$1=2018,(SUM('Staging Table'!DR53:DU53)*Rates_previous!$C$87),(SUM('Staging Table'!DR53:DU53)*Rates_previous!$D$87)))</f>
        <v>78315.057396290969</v>
      </c>
      <c r="J51" s="252">
        <f>IF(Init!$R$9="Yes",IF('Staging Table'!D53=1,'Staging Table'!H53*-1*'Staging Table'!F53/'Staging Table'!E53,'Staging Table'!H53*SUM(D51:I51)*(-1)),IF('Staging Table'!D53=1,'Staging Table'!BV53*-1*'Staging Table'!BT53/'Staging Table'!BS53,'Staging Table'!BV53*SUM(D51:I51)*(-1)))</f>
        <v>-739282.24718137737</v>
      </c>
      <c r="K51" s="250">
        <f>IF(Init!$R$9="Yes",'Staging Table'!K53,'Staging Table'!BY53)*(-1)*Rates_previous!$H$32</f>
        <v>0</v>
      </c>
      <c r="L51" s="250">
        <f>IF(Init!$R$12="No",0,'Staging Table'!$BI53*-1)*('Staging Table'!$F53/'Staging Table'!$E53)</f>
        <v>-451182.23210318614</v>
      </c>
      <c r="M51" s="250" t="str">
        <f>IF('Staging Table'!C53=1,"",SUM(D51:L51))</f>
        <v/>
      </c>
      <c r="N51" s="250" t="str">
        <f>IF('Staging Table'!C53=1,"",IF(Init!$R$9="Yes",(RT1SC!$C$3*'Staging Table'!F53*'Staging Table'!$F$2),Z51))</f>
        <v/>
      </c>
      <c r="O51" s="126" t="str">
        <f>IF('Staging Table'!C53=1,"",IF(N51=0, 0, M51/N51))</f>
        <v/>
      </c>
      <c r="P51" s="250">
        <f>'Staging Table'!BT53*Rates_current!$E$74*100*12</f>
        <v>13170281.339400001</v>
      </c>
      <c r="Q51" s="250">
        <f>'Staging Table'!BT53*Rates_current!$E$75*100*12</f>
        <v>-1332387.1770000001</v>
      </c>
      <c r="R51" s="251"/>
      <c r="S51" s="251">
        <f>SUMPRODUCT('Staging Table'!CX53:DI53, LS_Demand_Rates_Restatement!$C$11:$N$11)*1000</f>
        <v>0</v>
      </c>
      <c r="T51" s="252"/>
      <c r="U51" s="252">
        <f>IF(Init!$R$18="Yes",(SUM('Staging Table'!DL53:DU53)*IF('Staging Table'!$BT$1=2020, Rates_current!$C$87, Rates_current!$D$87)),0)</f>
        <v>229909.37687342014</v>
      </c>
      <c r="V51" s="252">
        <f>IF('Staging Table'!D53=1, 'Staging Table'!BV53*-1*'Staging Table'!BT53/'Staging Table'!BS53,SUM(P51:U51)*'Staging Table'!BV53*-1)</f>
        <v>-724068.21235640522</v>
      </c>
      <c r="W51" s="250">
        <f>'Staging Table'!BY53*Rates_current!$H$32*-1</f>
        <v>0</v>
      </c>
      <c r="X51" s="250">
        <f>IF(Init!$R$12="No",0,'Staging Table'!$DW53*-1)</f>
        <v>0</v>
      </c>
      <c r="Y51" s="250" t="str">
        <f>IF('Staging Table'!C53=1,"",SUM(P51:X51))</f>
        <v/>
      </c>
      <c r="Z51" s="250" t="str">
        <f>IF('Staging Table'!C53=1,"",(RT1SC!$C$4*'Staging Table'!BT53*'Staging Table'!$BT$2))</f>
        <v/>
      </c>
      <c r="AA51" s="126" t="str">
        <f>IF('Staging Table'!C53=1,"",IF(Z51=0, 0, Y51/Z51))</f>
        <v/>
      </c>
      <c r="AB51" s="118" t="str">
        <f ca="1">IF('Staging Table'!C53=1,"",(AA51/O51-1)+(RAND()/100000000000))</f>
        <v/>
      </c>
      <c r="AC51" s="79" t="str">
        <f t="shared" ca="1" si="0"/>
        <v/>
      </c>
      <c r="AF51" s="255"/>
      <c r="AG51" s="255"/>
      <c r="AI51" s="255"/>
      <c r="AJ51" s="255"/>
    </row>
    <row r="52" spans="2:36">
      <c r="B52" s="166">
        <v>10123</v>
      </c>
      <c r="C52" s="167" t="s">
        <v>55</v>
      </c>
      <c r="D52" s="250">
        <f>IF(Init!$R$9="Yes",'Staging Table'!F54,'Staging Table'!BT54)*Rates_previous!$E$75*100*12</f>
        <v>52293777.200640008</v>
      </c>
      <c r="E52" s="250">
        <f>IF(Init!$R$9="Yes",'Staging Table'!F54,'Staging Table'!BT54)*Rates_previous!$E$76*100*12</f>
        <v>-7374560.7216000007</v>
      </c>
      <c r="F52" s="251"/>
      <c r="G52" s="251">
        <f>IF(Init!$R$9="Yes",SUMPRODUCT('Staging Table'!AJ54:AU54,LS_Demand_Rates_Restatement!$C$10:$N$10),SUMPRODUCT(LS_Demand_Rates_Restatement!$C$10:$N$10,'Staging Table'!CX54:DI54))*1000</f>
        <v>0</v>
      </c>
      <c r="H52" s="252"/>
      <c r="I52" s="250">
        <f>IF(Init!$R$9="Yes",IF('Staging Table'!$F$1=2018,(SUM('Staging Table'!BD54:BG54)*Rates_previous!$C$87),(SUM('Staging Table'!BD54:BG54)*Rates_previous!$D$87)),IF('Staging Table'!$F$1=2018,(SUM('Staging Table'!DR54:DU54)*Rates_previous!$C$87),(SUM('Staging Table'!DR54:DU54)*Rates_previous!$D$87)))</f>
        <v>287334.39548357466</v>
      </c>
      <c r="J52" s="252">
        <f>IF(Init!$R$9="Yes",IF('Staging Table'!D54=1,'Staging Table'!H54*-1*'Staging Table'!F54/'Staging Table'!E54,'Staging Table'!H54*SUM(D52:I52)*(-1)),IF('Staging Table'!D54=1,'Staging Table'!BV54*-1*'Staging Table'!BT54/'Staging Table'!BS54,'Staging Table'!BV54*SUM(D52:I52)*(-1)))</f>
        <v>0</v>
      </c>
      <c r="K52" s="250">
        <f>IF(Init!$R$9="Yes",'Staging Table'!K54,'Staging Table'!BY54)*(-1)*Rates_previous!$H$32</f>
        <v>0</v>
      </c>
      <c r="L52" s="250">
        <f>IF(Init!$R$12="No",0,'Staging Table'!$BI54*-1)*('Staging Table'!$F54/'Staging Table'!$E54)</f>
        <v>-2219086.2176662111</v>
      </c>
      <c r="M52" s="250">
        <f>IF('Staging Table'!C54=1,"",SUM(D52:L52))</f>
        <v>42987464.656857371</v>
      </c>
      <c r="N52" s="250">
        <f>IF('Staging Table'!C54=1,"",IF(Init!$R$9="Yes",(RT1SC!$C$3*'Staging Table'!F54*'Staging Table'!$F$2),Z52))</f>
        <v>1248712.8680645761</v>
      </c>
      <c r="O52" s="126">
        <f>IF('Staging Table'!C54=1,"",IF(N52=0, 0, M52/N52))</f>
        <v>34.425419771228235</v>
      </c>
      <c r="P52" s="250">
        <f>'Staging Table'!BT54*Rates_current!$E$74*100*12</f>
        <v>46815994.925520003</v>
      </c>
      <c r="Q52" s="250">
        <f>'Staging Table'!BT54*Rates_current!$E$75*100*12</f>
        <v>-4736195.8115999997</v>
      </c>
      <c r="R52" s="251"/>
      <c r="S52" s="251">
        <f>SUMPRODUCT('Staging Table'!CX54:DI54, LS_Demand_Rates_Restatement!$C$11:$N$11)*1000</f>
        <v>0</v>
      </c>
      <c r="T52" s="252"/>
      <c r="U52" s="252">
        <f>IF(Init!$R$18="Yes",(SUM('Staging Table'!DL54:DU54)*IF('Staging Table'!$BT$1=2020, Rates_current!$C$87, Rates_current!$D$87)),0)</f>
        <v>817251.80682631105</v>
      </c>
      <c r="V52" s="252">
        <f>IF('Staging Table'!D54=1, 'Staging Table'!BV54*-1*'Staging Table'!BT54/'Staging Table'!BS54,SUM(P52:U52)*'Staging Table'!BV54*-1)</f>
        <v>0</v>
      </c>
      <c r="W52" s="250">
        <f>'Staging Table'!BY54*Rates_current!$H$32*-1</f>
        <v>0</v>
      </c>
      <c r="X52" s="250">
        <f>IF(Init!$R$12="No",0,'Staging Table'!$DW54*-1)</f>
        <v>0</v>
      </c>
      <c r="Y52" s="250">
        <f>IF('Staging Table'!C54=1,"",SUM(P52:X52))</f>
        <v>42897050.920746312</v>
      </c>
      <c r="Z52" s="250">
        <f>IF('Staging Table'!C54=1,"",(RT1SC!$C$4*'Staging Table'!BT54*'Staging Table'!$BT$2))</f>
        <v>1215444.2081734654</v>
      </c>
      <c r="AA52" s="126">
        <f>IF('Staging Table'!C54=1,"",IF(Z52=0, 0, Y52/Z52))</f>
        <v>35.293311393709104</v>
      </c>
      <c r="AB52" s="118">
        <f ca="1">IF('Staging Table'!C54=1,"",(AA52/O52-1)+(RAND()/100000000000))</f>
        <v>2.5210778212289099E-2</v>
      </c>
      <c r="AC52" s="79">
        <f t="shared" ca="1" si="0"/>
        <v>18</v>
      </c>
      <c r="AF52" s="255"/>
      <c r="AG52" s="255"/>
      <c r="AI52" s="255"/>
      <c r="AJ52" s="255"/>
    </row>
    <row r="53" spans="2:36">
      <c r="B53" s="166">
        <v>10136</v>
      </c>
      <c r="C53" s="167" t="s">
        <v>56</v>
      </c>
      <c r="D53" s="250">
        <f>IF(Init!$R$9="Yes",'Staging Table'!F55,'Staging Table'!BT55)*Rates_previous!$E$75*100*12</f>
        <v>6645255.63552</v>
      </c>
      <c r="E53" s="250">
        <f>IF(Init!$R$9="Yes",'Staging Table'!F55,'Staging Table'!BT55)*Rates_previous!$E$76*100*12</f>
        <v>-937125.67379999999</v>
      </c>
      <c r="F53" s="251"/>
      <c r="G53" s="251">
        <f>IF(Init!$R$9="Yes",SUMPRODUCT('Staging Table'!AJ55:AU55,LS_Demand_Rates_Restatement!$C$10:$N$10),SUMPRODUCT(LS_Demand_Rates_Restatement!$C$10:$N$10,'Staging Table'!CX55:DI55))*1000</f>
        <v>0</v>
      </c>
      <c r="H53" s="252"/>
      <c r="I53" s="250">
        <f>IF(Init!$R$9="Yes",IF('Staging Table'!$F$1=2018,(SUM('Staging Table'!BD55:BG55)*Rates_previous!$C$87),(SUM('Staging Table'!BD55:BG55)*Rates_previous!$D$87)),IF('Staging Table'!$F$1=2018,(SUM('Staging Table'!DR55:DU55)*Rates_previous!$C$87),(SUM('Staging Table'!DR55:DU55)*Rates_previous!$D$87)))</f>
        <v>36513.149615105416</v>
      </c>
      <c r="J53" s="252">
        <f>IF(Init!$R$9="Yes",IF('Staging Table'!D55=1,'Staging Table'!H55*-1*'Staging Table'!F55/'Staging Table'!E55,'Staging Table'!H55*SUM(D53:I53)*(-1)),IF('Staging Table'!D55=1,'Staging Table'!BV55*-1*'Staging Table'!BT55/'Staging Table'!BS55,'Staging Table'!BV55*SUM(D53:I53)*(-1)))</f>
        <v>-402125.01779345743</v>
      </c>
      <c r="K53" s="250">
        <f>IF(Init!$R$9="Yes",'Staging Table'!K55,'Staging Table'!BY55)*(-1)*Rates_previous!$H$32</f>
        <v>0</v>
      </c>
      <c r="L53" s="250">
        <f>IF(Init!$R$12="No",0,'Staging Table'!$BI55*-1)*('Staging Table'!$F55/'Staging Table'!$E55)</f>
        <v>-208802.48375921027</v>
      </c>
      <c r="M53" s="250" t="str">
        <f>IF('Staging Table'!C55=1,"",SUM(D53:L53))</f>
        <v/>
      </c>
      <c r="N53" s="250" t="str">
        <f>IF('Staging Table'!C55=1,"",IF(Init!$R$9="Yes",(RT1SC!$C$3*'Staging Table'!F55*'Staging Table'!$F$2),Z53))</f>
        <v/>
      </c>
      <c r="O53" s="126" t="str">
        <f>IF('Staging Table'!C55=1,"",IF(N53=0, 0, M53/N53))</f>
        <v/>
      </c>
      <c r="P53" s="250">
        <f>'Staging Table'!BT55*Rates_current!$E$74*100*12</f>
        <v>6129653.0907599991</v>
      </c>
      <c r="Q53" s="250">
        <f>'Staging Table'!BT55*Rates_current!$E$75*100*12</f>
        <v>-620113.64580000006</v>
      </c>
      <c r="R53" s="251"/>
      <c r="S53" s="251">
        <f>SUMPRODUCT('Staging Table'!CX55:DI55, LS_Demand_Rates_Restatement!$C$11:$N$11)*1000</f>
        <v>0</v>
      </c>
      <c r="T53" s="252"/>
      <c r="U53" s="252">
        <f>IF(Init!$R$18="Yes",(SUM('Staging Table'!DL55:DU55)*IF('Staging Table'!$BT$1=2020, Rates_current!$C$87, Rates_current!$D$87)),0)</f>
        <v>107003.38787227965</v>
      </c>
      <c r="V53" s="252">
        <f>IF('Staging Table'!D55=1, 'Staging Table'!BV55*-1*'Staging Table'!BT55/'Staging Table'!BS55,SUM(P53:U53)*'Staging Table'!BV55*-1)</f>
        <v>-393157.99829825957</v>
      </c>
      <c r="W53" s="250">
        <f>'Staging Table'!BY55*Rates_current!$H$32*-1</f>
        <v>0</v>
      </c>
      <c r="X53" s="250">
        <f>IF(Init!$R$12="No",0,'Staging Table'!$DW55*-1)</f>
        <v>0</v>
      </c>
      <c r="Y53" s="250" t="str">
        <f>IF('Staging Table'!C55=1,"",SUM(P53:X53))</f>
        <v/>
      </c>
      <c r="Z53" s="250" t="str">
        <f>IF('Staging Table'!C55=1,"",(RT1SC!$C$4*'Staging Table'!BT55*'Staging Table'!$BT$2))</f>
        <v/>
      </c>
      <c r="AA53" s="126" t="str">
        <f>IF('Staging Table'!C55=1,"",IF(Z53=0, 0, Y53/Z53))</f>
        <v/>
      </c>
      <c r="AB53" s="118" t="str">
        <f ca="1">IF('Staging Table'!C55=1,"",(AA53/O53-1)+(RAND()/100000000000))</f>
        <v/>
      </c>
      <c r="AC53" s="79" t="str">
        <f t="shared" ca="1" si="0"/>
        <v/>
      </c>
      <c r="AF53" s="255"/>
      <c r="AG53" s="255"/>
      <c r="AI53" s="255"/>
      <c r="AJ53" s="255"/>
    </row>
    <row r="54" spans="2:36">
      <c r="B54" s="166">
        <v>10142</v>
      </c>
      <c r="C54" s="167" t="s">
        <v>57</v>
      </c>
      <c r="D54" s="250">
        <f>IF(Init!$R$9="Yes",'Staging Table'!F56,'Staging Table'!BT56)*Rates_previous!$E$75*100*12</f>
        <v>969922.48607999994</v>
      </c>
      <c r="E54" s="250">
        <f>IF(Init!$R$9="Yes",'Staging Table'!F56,'Staging Table'!BT56)*Rates_previous!$E$76*100*12</f>
        <v>-136780.18019999997</v>
      </c>
      <c r="F54" s="251"/>
      <c r="G54" s="251">
        <f>IF(Init!$R$9="Yes",SUMPRODUCT('Staging Table'!AJ56:AU56,LS_Demand_Rates_Restatement!$C$10:$N$10),SUMPRODUCT(LS_Demand_Rates_Restatement!$C$10:$N$10,'Staging Table'!CX56:DI56))*1000</f>
        <v>63270.179999999993</v>
      </c>
      <c r="H54" s="252"/>
      <c r="I54" s="250">
        <f>IF(Init!$R$9="Yes",IF('Staging Table'!$F$1=2018,(SUM('Staging Table'!BD56:BG56)*Rates_previous!$C$87),(SUM('Staging Table'!BD56:BG56)*Rates_previous!$D$87)),IF('Staging Table'!$F$1=2018,(SUM('Staging Table'!DR56:DU56)*Rates_previous!$C$87),(SUM('Staging Table'!DR56:DU56)*Rates_previous!$D$87)))</f>
        <v>5329.3547745545484</v>
      </c>
      <c r="J54" s="252">
        <f>IF(Init!$R$9="Yes",IF('Staging Table'!D56=1,'Staging Table'!H56*-1*'Staging Table'!F56/'Staging Table'!E56,'Staging Table'!H56*SUM(D54:I54)*(-1)),IF('Staging Table'!D56=1,'Staging Table'!BV56*-1*'Staging Table'!BT56/'Staging Table'!BS56,'Staging Table'!BV56*SUM(D54:I54)*(-1)))</f>
        <v>-29303.183202278538</v>
      </c>
      <c r="K54" s="250">
        <f>IF(Init!$R$9="Yes",'Staging Table'!K56,'Staging Table'!BY56)*(-1)*Rates_previous!$H$32</f>
        <v>-67849.131840000002</v>
      </c>
      <c r="L54" s="250">
        <f>IF(Init!$R$12="No",0,'Staging Table'!$BI56*-1)*('Staging Table'!$F56/'Staging Table'!$E56)</f>
        <v>-15101.354368560689</v>
      </c>
      <c r="M54" s="250">
        <f>IF('Staging Table'!C56=1,"",SUM(D54:L54))</f>
        <v>789488.17124371522</v>
      </c>
      <c r="N54" s="250">
        <f>IF('Staging Table'!C56=1,"",IF(Init!$R$9="Yes",(RT1SC!$C$3*'Staging Table'!F56*'Staging Table'!$F$2),Z54))</f>
        <v>23160.589160471995</v>
      </c>
      <c r="O54" s="126">
        <f>IF('Staging Table'!C56=1,"",IF(N54=0, 0, M54/N54))</f>
        <v>34.087568574944925</v>
      </c>
      <c r="P54" s="250">
        <f>'Staging Table'!BT56*Rates_current!$E$74*100*12</f>
        <v>904320.49979999999</v>
      </c>
      <c r="Q54" s="250">
        <f>'Staging Table'!BT56*Rates_current!$E$75*100*12</f>
        <v>-91486.659</v>
      </c>
      <c r="R54" s="251"/>
      <c r="S54" s="251">
        <f>SUMPRODUCT('Staging Table'!CX56:DI56, LS_Demand_Rates_Restatement!$C$11:$N$11)*1000</f>
        <v>69850.290000000008</v>
      </c>
      <c r="T54" s="252"/>
      <c r="U54" s="252">
        <f>IF(Init!$R$18="Yes",(SUM('Staging Table'!DL56:DU56)*IF('Staging Table'!$BT$1=2020, Rates_current!$C$87, Rates_current!$D$87)),0)</f>
        <v>15786.432897290688</v>
      </c>
      <c r="V54" s="252">
        <f>IF('Staging Table'!D56=1, 'Staging Table'!BV56*-1*'Staging Table'!BT56/'Staging Table'!BS56,SUM(P54:U54)*'Staging Table'!BV56*-1)</f>
        <v>-29616.285191153795</v>
      </c>
      <c r="W54" s="250">
        <f>'Staging Table'!BY56*Rates_current!$H$32*-1</f>
        <v>-64098.967239999998</v>
      </c>
      <c r="X54" s="250">
        <f>IF(Init!$R$12="No",0,'Staging Table'!$DW56*-1)</f>
        <v>0</v>
      </c>
      <c r="Y54" s="250">
        <f>IF('Staging Table'!C56=1,"",SUM(P54:X54))</f>
        <v>804755.31126613694</v>
      </c>
      <c r="Z54" s="250">
        <f>IF('Staging Table'!C56=1,"",(RT1SC!$C$4*'Staging Table'!BT56*'Staging Table'!$BT$2))</f>
        <v>23478.110751743996</v>
      </c>
      <c r="AA54" s="126">
        <f>IF('Staging Table'!C56=1,"",IF(Z54=0, 0, Y54/Z54))</f>
        <v>34.276834272381066</v>
      </c>
      <c r="AB54" s="118">
        <f ca="1">IF('Staging Table'!C56=1,"",(AA54/O54-1)+(RAND()/100000000000))</f>
        <v>5.5523378659292797E-3</v>
      </c>
      <c r="AC54" s="79">
        <f t="shared" ca="1" si="0"/>
        <v>91</v>
      </c>
      <c r="AF54" s="255"/>
      <c r="AG54" s="255"/>
      <c r="AI54" s="255"/>
      <c r="AJ54" s="255"/>
    </row>
    <row r="55" spans="2:36">
      <c r="B55" s="166">
        <v>10144</v>
      </c>
      <c r="C55" s="167" t="s">
        <v>58</v>
      </c>
      <c r="D55" s="250">
        <f>IF(Init!$R$9="Yes",'Staging Table'!F57,'Staging Table'!BT57)*Rates_previous!$E$75*100*12</f>
        <v>1196925.62112</v>
      </c>
      <c r="E55" s="250">
        <f>IF(Init!$R$9="Yes",'Staging Table'!F57,'Staging Table'!BT57)*Rates_previous!$E$76*100*12</f>
        <v>-168792.56280000001</v>
      </c>
      <c r="F55" s="251"/>
      <c r="G55" s="251">
        <f>IF(Init!$R$9="Yes",SUMPRODUCT('Staging Table'!AJ57:AU57,LS_Demand_Rates_Restatement!$C$10:$N$10),SUMPRODUCT(LS_Demand_Rates_Restatement!$C$10:$N$10,'Staging Table'!CX57:DI57))*1000</f>
        <v>96317.88</v>
      </c>
      <c r="H55" s="252"/>
      <c r="I55" s="250">
        <f>IF(Init!$R$9="Yes",IF('Staging Table'!$F$1=2018,(SUM('Staging Table'!BD57:BG57)*Rates_previous!$C$87),(SUM('Staging Table'!BD57:BG57)*Rates_previous!$D$87)),IF('Staging Table'!$F$1=2018,(SUM('Staging Table'!DR57:DU57)*Rates_previous!$C$87),(SUM('Staging Table'!DR57:DU57)*Rates_previous!$D$87)))</f>
        <v>6576.6505728545517</v>
      </c>
      <c r="J55" s="252">
        <f>IF(Init!$R$9="Yes",IF('Staging Table'!D57=1,'Staging Table'!H57*-1*'Staging Table'!F57/'Staging Table'!E57,'Staging Table'!H57*SUM(D55:I55)*(-1)),IF('Staging Table'!D57=1,'Staging Table'!BV57*-1*'Staging Table'!BT57/'Staging Table'!BS57,'Staging Table'!BV57*SUM(D55:I55)*(-1)))</f>
        <v>0</v>
      </c>
      <c r="K55" s="250">
        <f>IF(Init!$R$9="Yes",'Staging Table'!K57,'Staging Table'!BY57)*(-1)*Rates_previous!$H$32</f>
        <v>0</v>
      </c>
      <c r="L55" s="250">
        <f>IF(Init!$R$12="No",0,'Staging Table'!$BI57*-1)*('Staging Table'!$F57/'Staging Table'!$E57)</f>
        <v>-41873.892466229881</v>
      </c>
      <c r="M55" s="250">
        <f>IF('Staging Table'!C57=1,"",SUM(D55:L55))</f>
        <v>1089153.6964266249</v>
      </c>
      <c r="N55" s="250">
        <f>IF('Staging Table'!C57=1,"",IF(Init!$R$9="Yes",(RT1SC!$C$3*'Staging Table'!F57*'Staging Table'!$F$2),Z55))</f>
        <v>28581.152581007995</v>
      </c>
      <c r="O55" s="126">
        <f>IF('Staging Table'!C57=1,"",IF(N55=0, 0, M55/N55))</f>
        <v>38.107409886274532</v>
      </c>
      <c r="P55" s="250">
        <f>'Staging Table'!BT57*Rates_current!$E$74*100*12</f>
        <v>1133430.87084</v>
      </c>
      <c r="Q55" s="250">
        <f>'Staging Table'!BT57*Rates_current!$E$75*100*12</f>
        <v>-114664.88219999999</v>
      </c>
      <c r="R55" s="251"/>
      <c r="S55" s="251">
        <f>SUMPRODUCT('Staging Table'!CX57:DI57, LS_Demand_Rates_Restatement!$C$11:$N$11)*1000</f>
        <v>105890.1</v>
      </c>
      <c r="T55" s="252"/>
      <c r="U55" s="252">
        <f>IF(Init!$R$18="Yes",(SUM('Staging Table'!DL57:DU57)*IF('Staging Table'!$BT$1=2020, Rates_current!$C$87, Rates_current!$D$87)),0)</f>
        <v>19785.939155631877</v>
      </c>
      <c r="V55" s="252">
        <f>IF('Staging Table'!D57=1, 'Staging Table'!BV57*-1*'Staging Table'!BT57/'Staging Table'!BS57,SUM(P55:U55)*'Staging Table'!BV57*-1)</f>
        <v>0</v>
      </c>
      <c r="W55" s="250">
        <f>'Staging Table'!BY57*Rates_current!$H$32*-1</f>
        <v>0</v>
      </c>
      <c r="X55" s="250">
        <f>IF(Init!$R$12="No",0,'Staging Table'!$DW57*-1)</f>
        <v>0</v>
      </c>
      <c r="Y55" s="250">
        <f>IF('Staging Table'!C57=1,"",SUM(P55:X55))</f>
        <v>1144442.0277956319</v>
      </c>
      <c r="Z55" s="250">
        <f>IF('Staging Table'!C57=1,"",(RT1SC!$C$4*'Staging Table'!BT57*'Staging Table'!$BT$2))</f>
        <v>29426.310164275197</v>
      </c>
      <c r="AA55" s="126">
        <f>IF('Staging Table'!C57=1,"",IF(Z55=0, 0, Y55/Z55))</f>
        <v>38.891795179438894</v>
      </c>
      <c r="AB55" s="118">
        <f ca="1">IF('Staging Table'!C57=1,"",(AA55/O55-1)+(RAND()/100000000000))</f>
        <v>2.058353731071878E-2</v>
      </c>
      <c r="AC55" s="79">
        <f t="shared" ca="1" si="0"/>
        <v>53</v>
      </c>
      <c r="AF55" s="255"/>
      <c r="AG55" s="255"/>
      <c r="AI55" s="255"/>
      <c r="AJ55" s="255"/>
    </row>
    <row r="56" spans="2:36">
      <c r="B56" s="166">
        <v>10156</v>
      </c>
      <c r="C56" s="167" t="s">
        <v>59</v>
      </c>
      <c r="D56" s="250">
        <f>IF(Init!$R$9="Yes",'Staging Table'!F58,'Staging Table'!BT58)*Rates_previous!$E$75*100*12</f>
        <v>11600853.81696</v>
      </c>
      <c r="E56" s="250">
        <f>IF(Init!$R$9="Yes",'Staging Table'!F58,'Staging Table'!BT58)*Rates_previous!$E$76*100*12</f>
        <v>-1635972.8724000002</v>
      </c>
      <c r="F56" s="251"/>
      <c r="G56" s="251">
        <f>IF(Init!$R$9="Yes",SUMPRODUCT('Staging Table'!AJ58:AU58,LS_Demand_Rates_Restatement!$C$10:$N$10),SUMPRODUCT(LS_Demand_Rates_Restatement!$C$10:$N$10,'Staging Table'!CX58:DI58))*1000</f>
        <v>738919.24</v>
      </c>
      <c r="H56" s="252"/>
      <c r="I56" s="250">
        <f>IF(Init!$R$9="Yes",IF('Staging Table'!$F$1=2018,(SUM('Staging Table'!BD58:BG58)*Rates_previous!$C$87),(SUM('Staging Table'!BD58:BG58)*Rates_previous!$D$87)),IF('Staging Table'!$F$1=2018,(SUM('Staging Table'!DR58:DU58)*Rates_previous!$C$87),(SUM('Staging Table'!DR58:DU58)*Rates_previous!$D$87)))</f>
        <v>63742.27483702833</v>
      </c>
      <c r="J56" s="252">
        <f>IF(Init!$R$9="Yes",IF('Staging Table'!D58=1,'Staging Table'!H58*-1*'Staging Table'!F58/'Staging Table'!E58,'Staging Table'!H58*SUM(D56:I56)*(-1)),IF('Staging Table'!D58=1,'Staging Table'!BV58*-1*'Staging Table'!BT58/'Staging Table'!BS58,'Staging Table'!BV58*SUM(D56:I56)*(-1)))</f>
        <v>0</v>
      </c>
      <c r="K56" s="250">
        <f>IF(Init!$R$9="Yes",'Staging Table'!K58,'Staging Table'!BY58)*(-1)*Rates_previous!$H$32</f>
        <v>0</v>
      </c>
      <c r="L56" s="250">
        <f>IF(Init!$R$12="No",0,'Staging Table'!$BI58*-1)*('Staging Table'!$F58/'Staging Table'!$E58)</f>
        <v>-180621.24240032636</v>
      </c>
      <c r="M56" s="250">
        <f>IF('Staging Table'!C58=1,"",SUM(D56:L56))</f>
        <v>10586921.216996701</v>
      </c>
      <c r="N56" s="250">
        <f>IF('Staging Table'!C58=1,"",IF(Init!$R$9="Yes",(RT1SC!$C$3*'Staging Table'!F58*'Staging Table'!$F$2),Z56))</f>
        <v>277014.51716126397</v>
      </c>
      <c r="O56" s="126">
        <f>IF('Staging Table'!C58=1,"",IF(N56=0, 0, M56/N56))</f>
        <v>38.217929246045713</v>
      </c>
      <c r="P56" s="250">
        <f>'Staging Table'!BT58*Rates_current!$E$74*100*12</f>
        <v>10849469.333999999</v>
      </c>
      <c r="Q56" s="250">
        <f>'Staging Table'!BT58*Rates_current!$E$75*100*12</f>
        <v>-1097599.47</v>
      </c>
      <c r="R56" s="251"/>
      <c r="S56" s="251">
        <f>SUMPRODUCT('Staging Table'!CX58:DI58, LS_Demand_Rates_Restatement!$C$11:$N$11)*1000</f>
        <v>828244.16999999981</v>
      </c>
      <c r="T56" s="252"/>
      <c r="U56" s="252">
        <f>IF(Init!$R$18="Yes",(SUM('Staging Table'!DL58:DU58)*IF('Staging Table'!$BT$1=2020, Rates_current!$C$87, Rates_current!$D$87)),0)</f>
        <v>189395.70611335602</v>
      </c>
      <c r="V56" s="252">
        <f>IF('Staging Table'!D58=1, 'Staging Table'!BV58*-1*'Staging Table'!BT58/'Staging Table'!BS58,SUM(P56:U56)*'Staging Table'!BV58*-1)</f>
        <v>0</v>
      </c>
      <c r="W56" s="250">
        <f>'Staging Table'!BY58*Rates_current!$H$32*-1</f>
        <v>0</v>
      </c>
      <c r="X56" s="250">
        <f>IF(Init!$R$12="No",0,'Staging Table'!$DW58*-1)</f>
        <v>0</v>
      </c>
      <c r="Y56" s="250">
        <f>IF('Staging Table'!C58=1,"",SUM(P56:X56))</f>
        <v>10769509.740113353</v>
      </c>
      <c r="Z56" s="250">
        <f>IF('Staging Table'!C58=1,"",(RT1SC!$C$4*'Staging Table'!BT58*'Staging Table'!$BT$2))</f>
        <v>281675.62570752</v>
      </c>
      <c r="AA56" s="126">
        <f>IF('Staging Table'!C58=1,"",IF(Z56=0, 0, Y56/Z56))</f>
        <v>38.233729713255187</v>
      </c>
      <c r="AB56" s="118">
        <f ca="1">IF('Staging Table'!C58=1,"",(AA56/O56-1)+(RAND()/100000000000))</f>
        <v>4.1343075754394213E-4</v>
      </c>
      <c r="AC56" s="79">
        <f t="shared" ca="1" si="0"/>
        <v>103</v>
      </c>
      <c r="AF56" s="255"/>
      <c r="AG56" s="255"/>
      <c r="AI56" s="255"/>
      <c r="AJ56" s="255"/>
    </row>
    <row r="57" spans="2:36">
      <c r="B57" s="166">
        <v>10157</v>
      </c>
      <c r="C57" s="167" t="s">
        <v>60</v>
      </c>
      <c r="D57" s="250">
        <f>IF(Init!$R$9="Yes",'Staging Table'!F59,'Staging Table'!BT59)*Rates_previous!$E$75*100*12</f>
        <v>8606501.5766400006</v>
      </c>
      <c r="E57" s="250">
        <f>IF(Init!$R$9="Yes",'Staging Table'!F59,'Staging Table'!BT59)*Rates_previous!$E$76*100*12</f>
        <v>-1213704.0366</v>
      </c>
      <c r="F57" s="251"/>
      <c r="G57" s="251">
        <f>IF(Init!$R$9="Yes",SUMPRODUCT('Staging Table'!AJ59:AU59,LS_Demand_Rates_Restatement!$C$10:$N$10),SUMPRODUCT(LS_Demand_Rates_Restatement!$C$10:$N$10,'Staging Table'!CX59:DI59))*1000</f>
        <v>0</v>
      </c>
      <c r="H57" s="252"/>
      <c r="I57" s="250">
        <f>IF(Init!$R$9="Yes",IF('Staging Table'!$F$1=2018,(SUM('Staging Table'!BD59:BG59)*Rates_previous!$C$87),(SUM('Staging Table'!BD59:BG59)*Rates_previous!$D$87)),IF('Staging Table'!$F$1=2018,(SUM('Staging Table'!DR59:DU59)*Rates_previous!$C$87),(SUM('Staging Table'!DR59:DU59)*Rates_previous!$D$87)))</f>
        <v>47289.449340485226</v>
      </c>
      <c r="J57" s="252">
        <f>IF(Init!$R$9="Yes",IF('Staging Table'!D59=1,'Staging Table'!H59*-1*'Staging Table'!F59/'Staging Table'!E59,'Staging Table'!H59*SUM(D57:I57)*(-1)),IF('Staging Table'!D59=1,'Staging Table'!BV59*-1*'Staging Table'!BT59/'Staging Table'!BS59,'Staging Table'!BV59*SUM(D57:I57)*(-1)))</f>
        <v>-458170.41296393098</v>
      </c>
      <c r="K57" s="250">
        <f>IF(Init!$R$9="Yes",'Staging Table'!K59,'Staging Table'!BY59)*(-1)*Rates_previous!$H$32</f>
        <v>0</v>
      </c>
      <c r="L57" s="250">
        <f>IF(Init!$R$12="No",0,'Staging Table'!$BI59*-1)*('Staging Table'!$F59/'Staging Table'!$E59)</f>
        <v>-313711.73819259874</v>
      </c>
      <c r="M57" s="250">
        <f>IF('Staging Table'!C59=1,"",SUM(D57:L57))</f>
        <v>6668204.8382239556</v>
      </c>
      <c r="N57" s="250">
        <f>IF('Staging Table'!C59=1,"",IF(Init!$R$9="Yes",(RT1SC!$C$3*'Staging Table'!F59*'Staging Table'!$F$2),Z57))</f>
        <v>205512.96622797599</v>
      </c>
      <c r="O57" s="126">
        <f>IF('Staging Table'!C59=1,"",IF(N57=0, 0, M57/N57))</f>
        <v>32.446638091082299</v>
      </c>
      <c r="P57" s="250">
        <f>'Staging Table'!BT59*Rates_current!$E$74*100*12</f>
        <v>8024091.6463200012</v>
      </c>
      <c r="Q57" s="250">
        <f>'Staging Table'!BT59*Rates_current!$E$75*100*12</f>
        <v>-811766.77560000005</v>
      </c>
      <c r="R57" s="251"/>
      <c r="S57" s="251">
        <f>SUMPRODUCT('Staging Table'!CX59:DI59, LS_Demand_Rates_Restatement!$C$11:$N$11)*1000</f>
        <v>0</v>
      </c>
      <c r="T57" s="252"/>
      <c r="U57" s="252">
        <f>IF(Init!$R$18="Yes",(SUM('Staging Table'!DL59:DU59)*IF('Staging Table'!$BT$1=2020, Rates_current!$C$87, Rates_current!$D$87)),0)</f>
        <v>140073.9940810324</v>
      </c>
      <c r="V57" s="252">
        <f>IF('Staging Table'!D59=1, 'Staging Table'!BV59*-1*'Staging Table'!BT59/'Staging Table'!BS59,SUM(P57:U57)*'Staging Table'!BV59*-1)</f>
        <v>-458165.16355206241</v>
      </c>
      <c r="W57" s="250">
        <f>'Staging Table'!BY59*Rates_current!$H$32*-1</f>
        <v>0</v>
      </c>
      <c r="X57" s="250">
        <f>IF(Init!$R$12="No",0,'Staging Table'!$DW59*-1)</f>
        <v>0</v>
      </c>
      <c r="Y57" s="250">
        <f>IF('Staging Table'!C59=1,"",SUM(P57:X57))</f>
        <v>6894233.7012489708</v>
      </c>
      <c r="Z57" s="250">
        <f>IF('Staging Table'!C59=1,"",(RT1SC!$C$4*'Staging Table'!BT59*'Staging Table'!$BT$2))</f>
        <v>208322.72672808962</v>
      </c>
      <c r="AA57" s="126">
        <f>IF('Staging Table'!C59=1,"",IF(Z57=0, 0, Y57/Z57))</f>
        <v>33.094006638303917</v>
      </c>
      <c r="AB57" s="118">
        <f ca="1">IF('Staging Table'!C59=1,"",(AA57/O57-1)+(RAND()/100000000000))</f>
        <v>1.9951791168357942E-2</v>
      </c>
      <c r="AC57" s="79">
        <f t="shared" ca="1" si="0"/>
        <v>55</v>
      </c>
      <c r="AF57" s="255"/>
      <c r="AG57" s="255"/>
      <c r="AI57" s="255"/>
      <c r="AJ57" s="255"/>
    </row>
    <row r="58" spans="2:36">
      <c r="B58" s="166">
        <v>10158</v>
      </c>
      <c r="C58" s="167" t="s">
        <v>61</v>
      </c>
      <c r="D58" s="250">
        <f>IF(Init!$R$9="Yes",'Staging Table'!F60,'Staging Table'!BT60)*Rates_previous!$E$75*100*12</f>
        <v>967374.75167999999</v>
      </c>
      <c r="E58" s="250">
        <f>IF(Init!$R$9="Yes",'Staging Table'!F60,'Staging Table'!BT60)*Rates_previous!$E$76*100*12</f>
        <v>-136420.89419999998</v>
      </c>
      <c r="F58" s="251"/>
      <c r="G58" s="251">
        <f>IF(Init!$R$9="Yes",SUMPRODUCT('Staging Table'!AJ60:AU60,LS_Demand_Rates_Restatement!$C$10:$N$10),SUMPRODUCT(LS_Demand_Rates_Restatement!$C$10:$N$10,'Staging Table'!CX60:DI60))*1000</f>
        <v>15950.710000000001</v>
      </c>
      <c r="H58" s="252"/>
      <c r="I58" s="250">
        <f>IF(Init!$R$9="Yes",IF('Staging Table'!$F$1=2018,(SUM('Staging Table'!BD60:BG60)*Rates_previous!$C$87),(SUM('Staging Table'!BD60:BG60)*Rates_previous!$D$87)),IF('Staging Table'!$F$1=2018,(SUM('Staging Table'!DR60:DU60)*Rates_previous!$C$87),(SUM('Staging Table'!DR60:DU60)*Rates_previous!$D$87)))</f>
        <v>5315.3559440461313</v>
      </c>
      <c r="J58" s="252">
        <f>IF(Init!$R$9="Yes",IF('Staging Table'!D60=1,'Staging Table'!H60*-1*'Staging Table'!F60/'Staging Table'!E60,'Staging Table'!H60*SUM(D58:I58)*(-1)),IF('Staging Table'!D60=1,'Staging Table'!BV60*-1*'Staging Table'!BT60/'Staging Table'!BS60,'Staging Table'!BV60*SUM(D58:I58)*(-1)))</f>
        <v>0</v>
      </c>
      <c r="K58" s="250">
        <f>IF(Init!$R$9="Yes",'Staging Table'!K60,'Staging Table'!BY60)*(-1)*Rates_previous!$H$32</f>
        <v>0</v>
      </c>
      <c r="L58" s="250">
        <f>IF(Init!$R$12="No",0,'Staging Table'!$BI60*-1)*('Staging Table'!$F60/'Staging Table'!$E60)</f>
        <v>-35476.457803994388</v>
      </c>
      <c r="M58" s="250">
        <f>IF('Staging Table'!C60=1,"",SUM(D58:L58))</f>
        <v>816743.46562005172</v>
      </c>
      <c r="N58" s="250">
        <f>IF('Staging Table'!C60=1,"",IF(Init!$R$9="Yes",(RT1SC!$C$3*'Staging Table'!F60*'Staging Table'!$F$2),Z58))</f>
        <v>23099.752309511998</v>
      </c>
      <c r="O58" s="126">
        <f>IF('Staging Table'!C60=1,"",IF(N58=0, 0, M58/N58))</f>
        <v>35.357239102677902</v>
      </c>
      <c r="P58" s="250">
        <f>'Staging Table'!BT60*Rates_current!$E$74*100*12</f>
        <v>817334.61204000015</v>
      </c>
      <c r="Q58" s="250">
        <f>'Staging Table'!BT60*Rates_current!$E$75*100*12</f>
        <v>-82686.628200000006</v>
      </c>
      <c r="R58" s="251"/>
      <c r="S58" s="251">
        <f>SUMPRODUCT('Staging Table'!CX60:DI60, LS_Demand_Rates_Restatement!$C$11:$N$11)*1000</f>
        <v>16655.52</v>
      </c>
      <c r="T58" s="252"/>
      <c r="U58" s="252">
        <f>IF(Init!$R$18="Yes",(SUM('Staging Table'!DL60:DU60)*IF('Staging Table'!$BT$1=2020, Rates_current!$C$87, Rates_current!$D$87)),0)</f>
        <v>14267.948156053266</v>
      </c>
      <c r="V58" s="252">
        <f>IF('Staging Table'!D60=1, 'Staging Table'!BV60*-1*'Staging Table'!BT60/'Staging Table'!BS60,SUM(P58:U58)*'Staging Table'!BV60*-1)</f>
        <v>0</v>
      </c>
      <c r="W58" s="250">
        <f>'Staging Table'!BY60*Rates_current!$H$32*-1</f>
        <v>0</v>
      </c>
      <c r="X58" s="250">
        <f>IF(Init!$R$12="No",0,'Staging Table'!$DW60*-1)</f>
        <v>0</v>
      </c>
      <c r="Y58" s="250">
        <f>IF('Staging Table'!C60=1,"",SUM(P58:X58))</f>
        <v>765571.45199605345</v>
      </c>
      <c r="Z58" s="250">
        <f>IF('Staging Table'!C60=1,"",(RT1SC!$C$4*'Staging Table'!BT60*'Staging Table'!$BT$2))</f>
        <v>21219.769481011197</v>
      </c>
      <c r="AA58" s="126">
        <f>IF('Staging Table'!C60=1,"",IF(Z58=0, 0, Y58/Z58))</f>
        <v>36.078217187096946</v>
      </c>
      <c r="AB58" s="118">
        <f ca="1">IF('Staging Table'!C60=1,"",(AA58/O58-1)+(RAND()/100000000000))</f>
        <v>2.0391243853626641E-2</v>
      </c>
      <c r="AC58" s="79">
        <f t="shared" ca="1" si="0"/>
        <v>54</v>
      </c>
      <c r="AF58" s="255"/>
      <c r="AG58" s="255"/>
      <c r="AI58" s="255"/>
      <c r="AJ58" s="255"/>
    </row>
    <row r="59" spans="2:36">
      <c r="B59" s="166">
        <v>10170</v>
      </c>
      <c r="C59" s="167" t="s">
        <v>62</v>
      </c>
      <c r="D59" s="250">
        <f>IF(Init!$R$9="Yes",'Staging Table'!F61,'Staging Table'!BT61)*Rates_previous!$E$75*100*12</f>
        <v>41872014.864000008</v>
      </c>
      <c r="E59" s="250">
        <f>IF(Init!$R$9="Yes",'Staging Table'!F61,'Staging Table'!BT61)*Rates_previous!$E$76*100*12</f>
        <v>-5904865.4100000001</v>
      </c>
      <c r="F59" s="251"/>
      <c r="G59" s="251">
        <f>IF(Init!$R$9="Yes",SUMPRODUCT('Staging Table'!AJ61:AU61,LS_Demand_Rates_Restatement!$C$10:$N$10),SUMPRODUCT(LS_Demand_Rates_Restatement!$C$10:$N$10,'Staging Table'!CX61:DI61))*1000</f>
        <v>0</v>
      </c>
      <c r="H59" s="252"/>
      <c r="I59" s="250">
        <f>IF(Init!$R$9="Yes",IF('Staging Table'!$F$1=2018,(SUM('Staging Table'!BD61:BG61)*Rates_previous!$C$87),(SUM('Staging Table'!BD61:BG61)*Rates_previous!$D$87)),IF('Staging Table'!$F$1=2018,(SUM('Staging Table'!DR61:DU61)*Rates_previous!$C$87),(SUM('Staging Table'!DR61:DU61)*Rates_previous!$D$87)))</f>
        <v>230070.77940584192</v>
      </c>
      <c r="J59" s="252">
        <f>IF(Init!$R$9="Yes",IF('Staging Table'!D61=1,'Staging Table'!H61*-1*'Staging Table'!F61/'Staging Table'!E61,'Staging Table'!H61*SUM(D59:I59)*(-1)),IF('Staging Table'!D61=1,'Staging Table'!BV61*-1*'Staging Table'!BT61/'Staging Table'!BS61,'Staging Table'!BV61*SUM(D59:I59)*(-1)))</f>
        <v>0</v>
      </c>
      <c r="K59" s="250">
        <f>IF(Init!$R$9="Yes",'Staging Table'!K61,'Staging Table'!BY61)*(-1)*Rates_previous!$H$32</f>
        <v>0</v>
      </c>
      <c r="L59" s="250">
        <f>IF(Init!$R$12="No",0,'Staging Table'!$BI61*-1)*('Staging Table'!$F61/'Staging Table'!$E61)</f>
        <v>-1359744.0253012567</v>
      </c>
      <c r="M59" s="250">
        <f>IF('Staging Table'!C61=1,"",SUM(D59:L59))</f>
        <v>34837476.208104596</v>
      </c>
      <c r="N59" s="250">
        <f>IF('Staging Table'!C61=1,"",IF(Init!$R$9="Yes",(RT1SC!$C$3*'Staging Table'!F61*'Staging Table'!$F$2),Z59))</f>
        <v>999853.64552760008</v>
      </c>
      <c r="O59" s="126">
        <f>IF('Staging Table'!C61=1,"",IF(N59=0, 0, M59/N59))</f>
        <v>34.842575574869912</v>
      </c>
      <c r="P59" s="250">
        <f>'Staging Table'!BT61*Rates_current!$E$74*100*12</f>
        <v>37936304.383200005</v>
      </c>
      <c r="Q59" s="250">
        <f>'Staging Table'!BT61*Rates_current!$E$75*100*12</f>
        <v>-3837871.3560000001</v>
      </c>
      <c r="R59" s="251"/>
      <c r="S59" s="251">
        <f>SUMPRODUCT('Staging Table'!CX61:DI61, LS_Demand_Rates_Restatement!$C$11:$N$11)*1000</f>
        <v>0</v>
      </c>
      <c r="T59" s="252"/>
      <c r="U59" s="252">
        <f>IF(Init!$R$18="Yes",(SUM('Staging Table'!DL61:DU61)*IF('Staging Table'!$BT$1=2020, Rates_current!$C$87, Rates_current!$D$87)),0)</f>
        <v>662241.89725769754</v>
      </c>
      <c r="V59" s="252">
        <f>IF('Staging Table'!D61=1, 'Staging Table'!BV61*-1*'Staging Table'!BT61/'Staging Table'!BS61,SUM(P59:U59)*'Staging Table'!BV61*-1)</f>
        <v>0</v>
      </c>
      <c r="W59" s="250">
        <f>'Staging Table'!BY61*Rates_current!$H$32*-1</f>
        <v>0</v>
      </c>
      <c r="X59" s="250">
        <f>IF(Init!$R$12="No",0,'Staging Table'!$DW61*-1)</f>
        <v>0</v>
      </c>
      <c r="Y59" s="250">
        <f>IF('Staging Table'!C61=1,"",SUM(P59:X59))</f>
        <v>34760674.924457707</v>
      </c>
      <c r="Z59" s="250">
        <f>IF('Staging Table'!C61=1,"",(RT1SC!$C$4*'Staging Table'!BT61*'Staging Table'!$BT$2))</f>
        <v>984908.28861849604</v>
      </c>
      <c r="AA59" s="126">
        <f>IF('Staging Table'!C61=1,"",IF(Z59=0, 0, Y59/Z59))</f>
        <v>35.293311393709111</v>
      </c>
      <c r="AB59" s="118">
        <f ca="1">IF('Staging Table'!C61=1,"",(AA59/O59-1)+(RAND()/100000000000))</f>
        <v>1.2936351906942305E-2</v>
      </c>
      <c r="AC59" s="79">
        <f t="shared" ca="1" si="0"/>
        <v>75</v>
      </c>
      <c r="AF59" s="255"/>
      <c r="AG59" s="255"/>
      <c r="AI59" s="255"/>
      <c r="AJ59" s="255"/>
    </row>
    <row r="60" spans="2:36">
      <c r="B60" s="166">
        <v>10172</v>
      </c>
      <c r="C60" s="167" t="s">
        <v>63</v>
      </c>
      <c r="D60" s="250">
        <f>IF(Init!$R$9="Yes",'Staging Table'!F62,'Staging Table'!BT62)*Rates_previous!$E$75*100*12</f>
        <v>2026213.1683199997</v>
      </c>
      <c r="E60" s="250">
        <f>IF(Init!$R$9="Yes",'Staging Table'!F62,'Staging Table'!BT62)*Rates_previous!$E$76*100*12</f>
        <v>-285740.15579999995</v>
      </c>
      <c r="F60" s="251"/>
      <c r="G60" s="251">
        <f>IF(Init!$R$9="Yes",SUMPRODUCT('Staging Table'!AJ62:AU62,LS_Demand_Rates_Restatement!$C$10:$N$10),SUMPRODUCT(LS_Demand_Rates_Restatement!$C$10:$N$10,'Staging Table'!CX62:DI62))*1000</f>
        <v>108825.61</v>
      </c>
      <c r="H60" s="252"/>
      <c r="I60" s="250">
        <f>IF(Init!$R$9="Yes",IF('Staging Table'!$F$1=2018,(SUM('Staging Table'!BD62:BG62)*Rates_previous!$C$87),(SUM('Staging Table'!BD62:BG62)*Rates_previous!$D$87)),IF('Staging Table'!$F$1=2018,(SUM('Staging Table'!DR62:DU62)*Rates_previous!$C$87),(SUM('Staging Table'!DR62:DU62)*Rates_previous!$D$87)))</f>
        <v>11133.269903344453</v>
      </c>
      <c r="J60" s="252">
        <f>IF(Init!$R$9="Yes",IF('Staging Table'!D62=1,'Staging Table'!H62*-1*'Staging Table'!F62/'Staging Table'!E62,'Staging Table'!H62*SUM(D60:I60)*(-1)),IF('Staging Table'!D62=1,'Staging Table'!BV62*-1*'Staging Table'!BT62/'Staging Table'!BS62,'Staging Table'!BV62*SUM(D60:I60)*(-1)))</f>
        <v>0</v>
      </c>
      <c r="K60" s="250">
        <f>IF(Init!$R$9="Yes",'Staging Table'!K62,'Staging Table'!BY62)*(-1)*Rates_previous!$H$32</f>
        <v>0</v>
      </c>
      <c r="L60" s="250">
        <f>IF(Init!$R$12="No",0,'Staging Table'!$BI62*-1)*('Staging Table'!$F62/'Staging Table'!$E62)</f>
        <v>-92012.840640199531</v>
      </c>
      <c r="M60" s="250">
        <f>IF('Staging Table'!C62=1,"",SUM(D60:L60))</f>
        <v>1768419.0517831449</v>
      </c>
      <c r="N60" s="250">
        <f>IF('Staging Table'!C62=1,"",IF(Init!$R$9="Yes",(RT1SC!$C$3*'Staging Table'!F62*'Staging Table'!$F$2),Z60))</f>
        <v>48383.547568487993</v>
      </c>
      <c r="O60" s="126">
        <f>IF('Staging Table'!C62=1,"",IF(N60=0, 0, M60/N60))</f>
        <v>36.550008022456566</v>
      </c>
      <c r="P60" s="250">
        <f>'Staging Table'!BT62*Rates_current!$E$74*100*12</f>
        <v>1826941.30932</v>
      </c>
      <c r="Q60" s="250">
        <f>'Staging Table'!BT62*Rates_current!$E$75*100*12</f>
        <v>-184824.69060000003</v>
      </c>
      <c r="R60" s="251"/>
      <c r="S60" s="251">
        <f>SUMPRODUCT('Staging Table'!CX62:DI62, LS_Demand_Rates_Restatement!$C$11:$N$11)*1000</f>
        <v>119910.58</v>
      </c>
      <c r="T60" s="252"/>
      <c r="U60" s="252">
        <f>IF(Init!$R$18="Yes",(SUM('Staging Table'!DL62:DU62)*IF('Staging Table'!$BT$1=2020, Rates_current!$C$87, Rates_current!$D$87)),0)</f>
        <v>31892.328431399081</v>
      </c>
      <c r="V60" s="252">
        <f>IF('Staging Table'!D62=1, 'Staging Table'!BV62*-1*'Staging Table'!BT62/'Staging Table'!BS62,SUM(P60:U60)*'Staging Table'!BV62*-1)</f>
        <v>0</v>
      </c>
      <c r="W60" s="250">
        <f>'Staging Table'!BY62*Rates_current!$H$32*-1</f>
        <v>0</v>
      </c>
      <c r="X60" s="250">
        <f>IF(Init!$R$12="No",0,'Staging Table'!$DW62*-1)</f>
        <v>0</v>
      </c>
      <c r="Y60" s="250">
        <f>IF('Staging Table'!C62=1,"",SUM(P60:X60))</f>
        <v>1793919.5271513991</v>
      </c>
      <c r="Z60" s="250">
        <f>IF('Staging Table'!C62=1,"",(RT1SC!$C$4*'Staging Table'!BT62*'Staging Table'!$BT$2))</f>
        <v>47431.337016729594</v>
      </c>
      <c r="AA60" s="126">
        <f>IF('Staging Table'!C62=1,"",IF(Z60=0, 0, Y60/Z60))</f>
        <v>37.82139909989597</v>
      </c>
      <c r="AB60" s="118">
        <f ca="1">IF('Staging Table'!C62=1,"",(AA60/O60-1)+(RAND()/100000000000))</f>
        <v>3.4784973970170711E-2</v>
      </c>
      <c r="AC60" s="79">
        <f t="shared" ca="1" si="0"/>
        <v>2</v>
      </c>
      <c r="AF60" s="255"/>
      <c r="AG60" s="255"/>
      <c r="AI60" s="255"/>
      <c r="AJ60" s="255"/>
    </row>
    <row r="61" spans="2:36">
      <c r="B61" s="166">
        <v>10173</v>
      </c>
      <c r="C61" s="167" t="s">
        <v>64</v>
      </c>
      <c r="D61" s="250">
        <f>IF(Init!$R$9="Yes",'Staging Table'!F63,'Staging Table'!BT63)*Rates_previous!$E$75*100*12</f>
        <v>11958555.72672</v>
      </c>
      <c r="E61" s="250">
        <f>IF(Init!$R$9="Yes",'Staging Table'!F63,'Staging Table'!BT63)*Rates_previous!$E$76*100*12</f>
        <v>-1686416.6267999997</v>
      </c>
      <c r="F61" s="251"/>
      <c r="G61" s="251">
        <f>IF(Init!$R$9="Yes",SUMPRODUCT('Staging Table'!AJ63:AU63,LS_Demand_Rates_Restatement!$C$10:$N$10),SUMPRODUCT(LS_Demand_Rates_Restatement!$C$10:$N$10,'Staging Table'!CX63:DI63))*1000</f>
        <v>0</v>
      </c>
      <c r="H61" s="252"/>
      <c r="I61" s="250">
        <f>IF(Init!$R$9="Yes",IF('Staging Table'!$F$1=2018,(SUM('Staging Table'!BD63:BG63)*Rates_previous!$C$87),(SUM('Staging Table'!BD63:BG63)*Rates_previous!$D$87)),IF('Staging Table'!$F$1=2018,(SUM('Staging Table'!DR63:DU63)*Rates_previous!$C$87),(SUM('Staging Table'!DR63:DU63)*Rates_previous!$D$87)))</f>
        <v>65707.710640410151</v>
      </c>
      <c r="J61" s="252">
        <f>IF(Init!$R$9="Yes",IF('Staging Table'!D63=1,'Staging Table'!H63*-1*'Staging Table'!F63/'Staging Table'!E63,'Staging Table'!H63*SUM(D61:I61)*(-1)),IF('Staging Table'!D63=1,'Staging Table'!BV63*-1*'Staging Table'!BT63/'Staging Table'!BS63,'Staging Table'!BV63*SUM(D61:I61)*(-1)))</f>
        <v>-777660.39118568273</v>
      </c>
      <c r="K61" s="250">
        <f>IF(Init!$R$9="Yes",'Staging Table'!K63,'Staging Table'!BY63)*(-1)*Rates_previous!$H$32</f>
        <v>-521085.55296</v>
      </c>
      <c r="L61" s="250">
        <f>IF(Init!$R$12="No",0,'Staging Table'!$BI63*-1)*('Staging Table'!$F63/'Staging Table'!$E63)</f>
        <v>-338597.0860257973</v>
      </c>
      <c r="M61" s="250" t="str">
        <f>IF('Staging Table'!C63=1,"",SUM(D61:L61))</f>
        <v/>
      </c>
      <c r="N61" s="250" t="str">
        <f>IF('Staging Table'!C63=1,"",IF(Init!$R$9="Yes",(RT1SC!$C$3*'Staging Table'!F63*'Staging Table'!$F$2),Z61))</f>
        <v/>
      </c>
      <c r="O61" s="126" t="str">
        <f>IF('Staging Table'!C63=1,"",IF(N61=0, 0, M61/N61))</f>
        <v/>
      </c>
      <c r="P61" s="250">
        <f>'Staging Table'!BT63*Rates_current!$E$74*100*12</f>
        <v>11149641.946679998</v>
      </c>
      <c r="Q61" s="250">
        <f>'Staging Table'!BT63*Rates_current!$E$75*100*12</f>
        <v>-1127966.7893999999</v>
      </c>
      <c r="R61" s="251"/>
      <c r="S61" s="251">
        <f>SUMPRODUCT('Staging Table'!CX63:DI63, LS_Demand_Rates_Restatement!$C$11:$N$11)*1000</f>
        <v>0</v>
      </c>
      <c r="T61" s="252"/>
      <c r="U61" s="252">
        <f>IF(Init!$R$18="Yes",(SUM('Staging Table'!DL63:DU63)*IF('Staging Table'!$BT$1=2020, Rates_current!$C$87, Rates_current!$D$87)),0)</f>
        <v>194635.72313024916</v>
      </c>
      <c r="V61" s="252">
        <f>IF('Staging Table'!D63=1, 'Staging Table'!BV63*-1*'Staging Table'!BT63/'Staging Table'!BS63,SUM(P61:U61)*'Staging Table'!BV63*-1)</f>
        <v>-796868.16214764712</v>
      </c>
      <c r="W61" s="250">
        <f>'Staging Table'!BY63*Rates_current!$H$32*-1</f>
        <v>-492284.05555999995</v>
      </c>
      <c r="X61" s="250">
        <f>IF(Init!$R$12="No",0,'Staging Table'!$DW63*-1)</f>
        <v>0</v>
      </c>
      <c r="Y61" s="250" t="str">
        <f>IF('Staging Table'!C63=1,"",SUM(P61:X61))</f>
        <v/>
      </c>
      <c r="Z61" s="250" t="str">
        <f>IF('Staging Table'!C63=1,"",(RT1SC!$C$4*'Staging Table'!BT63*'Staging Table'!$BT$2))</f>
        <v/>
      </c>
      <c r="AA61" s="126" t="str">
        <f>IF('Staging Table'!C63=1,"",IF(Z61=0, 0, Y61/Z61))</f>
        <v/>
      </c>
      <c r="AB61" s="118" t="str">
        <f ca="1">IF('Staging Table'!C63=1,"",(AA61/O61-1)+(RAND()/100000000000))</f>
        <v/>
      </c>
      <c r="AC61" s="79" t="str">
        <f t="shared" ca="1" si="0"/>
        <v/>
      </c>
      <c r="AF61" s="255"/>
      <c r="AG61" s="255"/>
      <c r="AI61" s="255"/>
      <c r="AJ61" s="255"/>
    </row>
    <row r="62" spans="2:36">
      <c r="B62" s="166">
        <v>10174</v>
      </c>
      <c r="C62" s="167" t="s">
        <v>65</v>
      </c>
      <c r="D62" s="250">
        <f>IF(Init!$R$9="Yes",'Staging Table'!F64,'Staging Table'!BT64)*Rates_previous!$E$75*100*12</f>
        <v>183182.10336000001</v>
      </c>
      <c r="E62" s="250">
        <f>IF(Init!$R$9="Yes",'Staging Table'!F64,'Staging Table'!BT64)*Rates_previous!$E$76*100*12</f>
        <v>-25832.663400000001</v>
      </c>
      <c r="F62" s="251"/>
      <c r="G62" s="251">
        <f>IF(Init!$R$9="Yes",SUMPRODUCT('Staging Table'!AJ64:AU64,LS_Demand_Rates_Restatement!$C$10:$N$10),SUMPRODUCT(LS_Demand_Rates_Restatement!$C$10:$N$10,'Staging Table'!CX64:DI64))*1000</f>
        <v>11015.039999999997</v>
      </c>
      <c r="H62" s="252"/>
      <c r="I62" s="250">
        <f>IF(Init!$R$9="Yes",IF('Staging Table'!$F$1=2018,(SUM('Staging Table'!BD64:BG64)*Rates_previous!$C$87),(SUM('Staging Table'!BD64:BG64)*Rates_previous!$D$87)),IF('Staging Table'!$F$1=2018,(SUM('Staging Table'!DR64:DU64)*Rates_previous!$C$87),(SUM('Staging Table'!DR64:DU64)*Rates_previous!$D$87)))</f>
        <v>1006.5159135552196</v>
      </c>
      <c r="J62" s="252">
        <f>IF(Init!$R$9="Yes",IF('Staging Table'!D64=1,'Staging Table'!H64*-1*'Staging Table'!F64/'Staging Table'!E64,'Staging Table'!H64*SUM(D62:I62)*(-1)),IF('Staging Table'!D64=1,'Staging Table'!BV64*-1*'Staging Table'!BT64/'Staging Table'!BS64,'Staging Table'!BV64*SUM(D62:I62)*(-1)))</f>
        <v>0</v>
      </c>
      <c r="K62" s="250">
        <f>IF(Init!$R$9="Yes",'Staging Table'!K64,'Staging Table'!BY64)*(-1)*Rates_previous!$H$32</f>
        <v>0</v>
      </c>
      <c r="L62" s="250">
        <f>IF(Init!$R$12="No",0,'Staging Table'!$BI64*-1)*('Staging Table'!$F64/'Staging Table'!$E64)</f>
        <v>-2852.0813740465292</v>
      </c>
      <c r="M62" s="250">
        <f>IF('Staging Table'!C64=1,"",SUM(D62:L62))</f>
        <v>166518.91449950871</v>
      </c>
      <c r="N62" s="250">
        <f>IF('Staging Table'!C64=1,"",IF(Init!$R$9="Yes",(RT1SC!$C$3*'Staging Table'!F64*'Staging Table'!$F$2),Z62))</f>
        <v>4374.169584024</v>
      </c>
      <c r="O62" s="126">
        <f>IF('Staging Table'!C64=1,"",IF(N62=0, 0, M62/N62))</f>
        <v>38.068691965600543</v>
      </c>
      <c r="P62" s="250">
        <f>'Staging Table'!BT64*Rates_current!$E$74*100*12</f>
        <v>168267.78288000001</v>
      </c>
      <c r="Q62" s="250">
        <f>'Staging Table'!BT64*Rates_current!$E$75*100*12</f>
        <v>-17023.010399999999</v>
      </c>
      <c r="R62" s="251"/>
      <c r="S62" s="251">
        <f>SUMPRODUCT('Staging Table'!CX64:DI64, LS_Demand_Rates_Restatement!$C$11:$N$11)*1000</f>
        <v>11941.98</v>
      </c>
      <c r="T62" s="252"/>
      <c r="U62" s="252">
        <f>IF(Init!$R$18="Yes",(SUM('Staging Table'!DL64:DU64)*IF('Staging Table'!$BT$1=2020, Rates_current!$C$87, Rates_current!$D$87)),0)</f>
        <v>2937.3967125576364</v>
      </c>
      <c r="V62" s="252">
        <f>IF('Staging Table'!D64=1, 'Staging Table'!BV64*-1*'Staging Table'!BT64/'Staging Table'!BS64,SUM(P62:U62)*'Staging Table'!BV64*-1)</f>
        <v>0</v>
      </c>
      <c r="W62" s="250">
        <f>'Staging Table'!BY64*Rates_current!$H$32*-1</f>
        <v>0</v>
      </c>
      <c r="X62" s="250">
        <f>IF(Init!$R$12="No",0,'Staging Table'!$DW64*-1)</f>
        <v>0</v>
      </c>
      <c r="Y62" s="250">
        <f>IF('Staging Table'!C64=1,"",SUM(P62:X62))</f>
        <v>166124.14919255767</v>
      </c>
      <c r="Z62" s="250">
        <f>IF('Staging Table'!C64=1,"",(RT1SC!$C$4*'Staging Table'!BT64*'Staging Table'!$BT$2))</f>
        <v>4368.5945892864002</v>
      </c>
      <c r="AA62" s="126">
        <f>IF('Staging Table'!C64=1,"",IF(Z62=0, 0, Y62/Z62))</f>
        <v>38.026909065895644</v>
      </c>
      <c r="AB62" s="118">
        <f ca="1">IF('Staging Table'!C64=1,"",(AA62/O62-1)+(RAND()/100000000000))</f>
        <v>-1.0975659316896586E-3</v>
      </c>
      <c r="AC62" s="79">
        <f t="shared" ca="1" si="0"/>
        <v>107</v>
      </c>
      <c r="AF62" s="255"/>
      <c r="AG62" s="255"/>
      <c r="AI62" s="255"/>
      <c r="AJ62" s="255"/>
    </row>
    <row r="63" spans="2:36">
      <c r="B63" s="166">
        <v>10177</v>
      </c>
      <c r="C63" s="167" t="s">
        <v>66</v>
      </c>
      <c r="D63" s="250">
        <f>IF(Init!$R$9="Yes",'Staging Table'!F65,'Staging Table'!BT65)*Rates_previous!$E$75*100*12</f>
        <v>3624406.95744</v>
      </c>
      <c r="E63" s="250">
        <f>IF(Init!$R$9="Yes",'Staging Table'!F65,'Staging Table'!BT65)*Rates_previous!$E$76*100*12</f>
        <v>-511120.26360000006</v>
      </c>
      <c r="F63" s="251"/>
      <c r="G63" s="251">
        <f>IF(Init!$R$9="Yes",SUMPRODUCT('Staging Table'!AJ65:AU65,LS_Demand_Rates_Restatement!$C$10:$N$10),SUMPRODUCT(LS_Demand_Rates_Restatement!$C$10:$N$10,'Staging Table'!CX65:DI65))*1000</f>
        <v>59249.420000000006</v>
      </c>
      <c r="H63" s="252"/>
      <c r="I63" s="250">
        <f>IF(Init!$R$9="Yes",IF('Staging Table'!$F$1=2018,(SUM('Staging Table'!BD65:BG65)*Rates_previous!$C$87),(SUM('Staging Table'!BD65:BG65)*Rates_previous!$D$87)),IF('Staging Table'!$F$1=2018,(SUM('Staging Table'!DR65:DU65)*Rates_previous!$C$87),(SUM('Staging Table'!DR65:DU65)*Rates_previous!$D$87)))</f>
        <v>19914.73628127476</v>
      </c>
      <c r="J63" s="252">
        <f>IF(Init!$R$9="Yes",IF('Staging Table'!D65=1,'Staging Table'!H65*-1*'Staging Table'!F65/'Staging Table'!E65,'Staging Table'!H65*SUM(D63:I63)*(-1)),IF('Staging Table'!D65=1,'Staging Table'!BV65*-1*'Staging Table'!BT65/'Staging Table'!BS65,'Staging Table'!BV65*SUM(D63:I63)*(-1)))</f>
        <v>-223471.55950848924</v>
      </c>
      <c r="K63" s="250">
        <f>IF(Init!$R$9="Yes",'Staging Table'!K65,'Staging Table'!BY65)*(-1)*Rates_previous!$H$32</f>
        <v>0</v>
      </c>
      <c r="L63" s="250">
        <f>IF(Init!$R$12="No",0,'Staging Table'!$BI65*-1)*('Staging Table'!$F65/'Staging Table'!$E65)</f>
        <v>-124305.72133002119</v>
      </c>
      <c r="M63" s="250">
        <f>IF('Staging Table'!C65=1,"",SUM(D63:L63))</f>
        <v>2844673.5692827641</v>
      </c>
      <c r="N63" s="250">
        <f>IF('Staging Table'!C65=1,"",IF(Init!$R$9="Yes",(RT1SC!$C$3*'Staging Table'!F65*'Staging Table'!$F$2),Z63))</f>
        <v>86546.504175695998</v>
      </c>
      <c r="O63" s="126">
        <f>IF('Staging Table'!C65=1,"",IF(N63=0, 0, M63/N63))</f>
        <v>32.868728741577591</v>
      </c>
      <c r="P63" s="250">
        <f>'Staging Table'!BT65*Rates_current!$E$74*100*12</f>
        <v>3111052.6524</v>
      </c>
      <c r="Q63" s="250">
        <f>'Staging Table'!BT65*Rates_current!$E$75*100*12</f>
        <v>-314733.342</v>
      </c>
      <c r="R63" s="251"/>
      <c r="S63" s="251">
        <f>SUMPRODUCT('Staging Table'!CX65:DI65, LS_Demand_Rates_Restatement!$C$11:$N$11)*1000</f>
        <v>66112.739999999991</v>
      </c>
      <c r="T63" s="252"/>
      <c r="U63" s="252">
        <f>IF(Init!$R$18="Yes",(SUM('Staging Table'!DL65:DU65)*IF('Staging Table'!$BT$1=2020, Rates_current!$C$87, Rates_current!$D$87)),0)</f>
        <v>54308.648259010544</v>
      </c>
      <c r="V63" s="252">
        <f>IF('Staging Table'!D65=1, 'Staging Table'!BV65*-1*'Staging Table'!BT65/'Staging Table'!BS65,SUM(P63:U63)*'Staging Table'!BV65*-1)</f>
        <v>-204171.84890613076</v>
      </c>
      <c r="W63" s="250">
        <f>'Staging Table'!BY65*Rates_current!$H$32*-1</f>
        <v>0</v>
      </c>
      <c r="X63" s="250">
        <f>IF(Init!$R$12="No",0,'Staging Table'!$DW65*-1)</f>
        <v>0</v>
      </c>
      <c r="Y63" s="250">
        <f>IF('Staging Table'!C65=1,"",SUM(P63:X63))</f>
        <v>2712568.8497528797</v>
      </c>
      <c r="Z63" s="250">
        <f>IF('Staging Table'!C65=1,"",(RT1SC!$C$4*'Staging Table'!BT65*'Staging Table'!$BT$2))</f>
        <v>80769.637251071996</v>
      </c>
      <c r="AA63" s="126">
        <f>IF('Staging Table'!C65=1,"",IF(Z63=0, 0, Y63/Z63))</f>
        <v>33.584016742837086</v>
      </c>
      <c r="AB63" s="118">
        <f ca="1">IF('Staging Table'!C65=1,"",(AA63/O63-1)+(RAND()/100000000000))</f>
        <v>2.1761961254969049E-2</v>
      </c>
      <c r="AC63" s="79">
        <f t="shared" ca="1" si="0"/>
        <v>41</v>
      </c>
      <c r="AF63" s="255"/>
      <c r="AG63" s="255"/>
      <c r="AI63" s="255"/>
      <c r="AJ63" s="255"/>
    </row>
    <row r="64" spans="2:36">
      <c r="B64" s="166">
        <v>10179</v>
      </c>
      <c r="C64" s="167" t="s">
        <v>67</v>
      </c>
      <c r="D64" s="250">
        <f>IF(Init!$R$9="Yes",'Staging Table'!F66,'Staging Table'!BT66)*Rates_previous!$E$75*100*12</f>
        <v>60216976.411199994</v>
      </c>
      <c r="E64" s="250">
        <f>IF(Init!$R$9="Yes",'Staging Table'!F66,'Staging Table'!BT66)*Rates_previous!$E$76*100*12</f>
        <v>-8491904.2530000005</v>
      </c>
      <c r="F64" s="251"/>
      <c r="G64" s="251">
        <f>IF(Init!$R$9="Yes",SUMPRODUCT('Staging Table'!AJ66:AU66,LS_Demand_Rates_Restatement!$C$10:$N$10),SUMPRODUCT(LS_Demand_Rates_Restatement!$C$10:$N$10,'Staging Table'!CX66:DI66))*1000</f>
        <v>4047305.5800000005</v>
      </c>
      <c r="H64" s="252"/>
      <c r="I64" s="250">
        <f>IF(Init!$R$9="Yes",IF('Staging Table'!$F$1=2018,(SUM('Staging Table'!BD66:BG66)*Rates_previous!$C$87),(SUM('Staging Table'!BD66:BG66)*Rates_previous!$D$87)),IF('Staging Table'!$F$1=2018,(SUM('Staging Table'!DR66:DU66)*Rates_previous!$C$87),(SUM('Staging Table'!DR66:DU66)*Rates_previous!$D$87)))</f>
        <v>330869.35848170228</v>
      </c>
      <c r="J64" s="252">
        <f>IF(Init!$R$9="Yes",IF('Staging Table'!D66=1,'Staging Table'!H66*-1*'Staging Table'!F66/'Staging Table'!E66,'Staging Table'!H66*SUM(D64:I64)*(-1)),IF('Staging Table'!D66=1,'Staging Table'!BV66*-1*'Staging Table'!BT66/'Staging Table'!BS66,'Staging Table'!BV66*SUM(D64:I64)*(-1)))</f>
        <v>0</v>
      </c>
      <c r="K64" s="250">
        <f>IF(Init!$R$9="Yes",'Staging Table'!K66,'Staging Table'!BY66)*(-1)*Rates_previous!$H$32</f>
        <v>0</v>
      </c>
      <c r="L64" s="250">
        <f>IF(Init!$R$12="No",0,'Staging Table'!$BI66*-1)*('Staging Table'!$F66/'Staging Table'!$E66)</f>
        <v>-1545636.9725373732</v>
      </c>
      <c r="M64" s="250">
        <f>IF('Staging Table'!C66=1,"",SUM(D64:L64))</f>
        <v>54557610.124144323</v>
      </c>
      <c r="N64" s="250">
        <f>IF('Staging Table'!C66=1,"",IF(Init!$R$9="Yes",(RT1SC!$C$3*'Staging Table'!F66*'Staging Table'!$F$2),Z64))</f>
        <v>1437909.3908650801</v>
      </c>
      <c r="O64" s="126">
        <f>IF('Staging Table'!C66=1,"",IF(N64=0, 0, M64/N64))</f>
        <v>37.942314356345626</v>
      </c>
      <c r="P64" s="250">
        <f>'Staging Table'!BT66*Rates_current!$E$74*100*12</f>
        <v>56143448.890080005</v>
      </c>
      <c r="Q64" s="250">
        <f>'Staging Table'!BT66*Rates_current!$E$75*100*12</f>
        <v>-5679818.7863999996</v>
      </c>
      <c r="R64" s="251"/>
      <c r="S64" s="251">
        <f>SUMPRODUCT('Staging Table'!CX66:DI66, LS_Demand_Rates_Restatement!$C$11:$N$11)*1000</f>
        <v>4489316.76</v>
      </c>
      <c r="T64" s="252"/>
      <c r="U64" s="252">
        <f>IF(Init!$R$18="Yes",(SUM('Staging Table'!DL66:DU66)*IF('Staging Table'!$BT$1=2020, Rates_current!$C$87, Rates_current!$D$87)),0)</f>
        <v>980078.17883342563</v>
      </c>
      <c r="V64" s="252">
        <f>IF('Staging Table'!D66=1, 'Staging Table'!BV66*-1*'Staging Table'!BT66/'Staging Table'!BS66,SUM(P64:U64)*'Staging Table'!BV66*-1)</f>
        <v>0</v>
      </c>
      <c r="W64" s="250">
        <f>'Staging Table'!BY66*Rates_current!$H$32*-1</f>
        <v>0</v>
      </c>
      <c r="X64" s="250">
        <f>IF(Init!$R$12="No",0,'Staging Table'!$DW66*-1)</f>
        <v>0</v>
      </c>
      <c r="Y64" s="250">
        <f>IF('Staging Table'!C66=1,"",SUM(P64:X64))</f>
        <v>55933025.04251343</v>
      </c>
      <c r="Z64" s="250">
        <f>IF('Staging Table'!C66=1,"",(RT1SC!$C$4*'Staging Table'!BT66*'Staging Table'!$BT$2))</f>
        <v>1457605.0319745024</v>
      </c>
      <c r="AA64" s="126">
        <f>IF('Staging Table'!C66=1,"",IF(Z64=0, 0, Y64/Z64))</f>
        <v>38.373238165036639</v>
      </c>
      <c r="AB64" s="118">
        <f ca="1">IF('Staging Table'!C66=1,"",(AA64/O64-1)+(RAND()/100000000000))</f>
        <v>1.1357341171552677E-2</v>
      </c>
      <c r="AC64" s="79">
        <f t="shared" ca="1" si="0"/>
        <v>77</v>
      </c>
      <c r="AF64" s="255"/>
      <c r="AG64" s="255"/>
      <c r="AI64" s="255"/>
      <c r="AJ64" s="255"/>
    </row>
    <row r="65" spans="2:36">
      <c r="B65" s="166">
        <v>10183</v>
      </c>
      <c r="C65" s="167" t="s">
        <v>68</v>
      </c>
      <c r="D65" s="250">
        <f>IF(Init!$R$9="Yes",'Staging Table'!F67,'Staging Table'!BT67)*Rates_previous!$E$75*100*12</f>
        <v>22503373.634879999</v>
      </c>
      <c r="E65" s="250">
        <f>IF(Init!$R$9="Yes",'Staging Table'!F67,'Staging Table'!BT67)*Rates_previous!$E$76*100*12</f>
        <v>-3173465.4522000002</v>
      </c>
      <c r="F65" s="251"/>
      <c r="G65" s="251">
        <f>IF(Init!$R$9="Yes",SUMPRODUCT('Staging Table'!AJ67:AU67,LS_Demand_Rates_Restatement!$C$10:$N$10),SUMPRODUCT(LS_Demand_Rates_Restatement!$C$10:$N$10,'Staging Table'!CX67:DI67))*1000</f>
        <v>0</v>
      </c>
      <c r="H65" s="252"/>
      <c r="I65" s="250">
        <f>IF(Init!$R$9="Yes",IF('Staging Table'!$F$1=2018,(SUM('Staging Table'!BD67:BG67)*Rates_previous!$C$87),(SUM('Staging Table'!BD67:BG67)*Rates_previous!$D$87)),IF('Staging Table'!$F$1=2018,(SUM('Staging Table'!DR67:DU67)*Rates_previous!$C$87),(SUM('Staging Table'!DR67:DU67)*Rates_previous!$D$87)))</f>
        <v>123647.47023169942</v>
      </c>
      <c r="J65" s="252">
        <f>IF(Init!$R$9="Yes",IF('Staging Table'!D67=1,'Staging Table'!H67*-1*'Staging Table'!F67/'Staging Table'!E67,'Staging Table'!H67*SUM(D65:I65)*(-1)),IF('Staging Table'!D67=1,'Staging Table'!BV67*-1*'Staging Table'!BT67/'Staging Table'!BS67,'Staging Table'!BV67*SUM(D65:I65)*(-1)))</f>
        <v>0</v>
      </c>
      <c r="K65" s="250">
        <f>IF(Init!$R$9="Yes",'Staging Table'!K67,'Staging Table'!BY67)*(-1)*Rates_previous!$H$32</f>
        <v>-1110229.2247200001</v>
      </c>
      <c r="L65" s="250">
        <f>IF(Init!$R$12="No",0,'Staging Table'!$BI67*-1)*('Staging Table'!$F67/'Staging Table'!$E67)</f>
        <v>-601092.92506797635</v>
      </c>
      <c r="M65" s="250">
        <f>IF('Staging Table'!C67=1,"",SUM(D65:L65))</f>
        <v>17742233.503123723</v>
      </c>
      <c r="N65" s="250">
        <f>IF('Staging Table'!C67=1,"",IF(Init!$R$9="Yes",(RT1SC!$C$3*'Staging Table'!F67*'Staging Table'!$F$2),Z65))</f>
        <v>537353.65347439202</v>
      </c>
      <c r="O65" s="126">
        <f>IF('Staging Table'!C67=1,"",IF(N65=0, 0, M65/N65))</f>
        <v>33.01779635889131</v>
      </c>
      <c r="P65" s="250">
        <f>'Staging Table'!BT67*Rates_current!$E$74*100*12</f>
        <v>20981186.2608</v>
      </c>
      <c r="Q65" s="250">
        <f>'Staging Table'!BT67*Rates_current!$E$75*100*12</f>
        <v>-2122586.6640000003</v>
      </c>
      <c r="R65" s="251"/>
      <c r="S65" s="251">
        <f>SUMPRODUCT('Staging Table'!CX67:DI67, LS_Demand_Rates_Restatement!$C$11:$N$11)*1000</f>
        <v>0</v>
      </c>
      <c r="T65" s="252"/>
      <c r="U65" s="252">
        <f>IF(Init!$R$18="Yes",(SUM('Staging Table'!DL67:DU67)*IF('Staging Table'!$BT$1=2020, Rates_current!$C$87, Rates_current!$D$87)),0)</f>
        <v>366261.83867879683</v>
      </c>
      <c r="V65" s="252">
        <f>IF('Staging Table'!D67=1, 'Staging Table'!BV67*-1*'Staging Table'!BT67/'Staging Table'!BS67,SUM(P65:U65)*'Staging Table'!BV67*-1)</f>
        <v>0</v>
      </c>
      <c r="W65" s="250">
        <f>'Staging Table'!BY67*Rates_current!$H$32*-1</f>
        <v>-1048864.5141699999</v>
      </c>
      <c r="X65" s="250">
        <f>IF(Init!$R$12="No",0,'Staging Table'!$DW67*-1)</f>
        <v>0</v>
      </c>
      <c r="Y65" s="250">
        <f>IF('Staging Table'!C67=1,"",SUM(P65:X65))</f>
        <v>18175996.921308797</v>
      </c>
      <c r="Z65" s="250">
        <f>IF('Staging Table'!C67=1,"",(RT1SC!$C$4*'Staging Table'!BT67*'Staging Table'!$BT$2))</f>
        <v>544716.85076582397</v>
      </c>
      <c r="AA65" s="126">
        <f>IF('Staging Table'!C67=1,"",IF(Z65=0, 0, Y65/Z65))</f>
        <v>33.367788963669739</v>
      </c>
      <c r="AB65" s="118">
        <f ca="1">IF('Staging Table'!C67=1,"",(AA65/O65-1)+(RAND()/100000000000))</f>
        <v>1.0600120046780787E-2</v>
      </c>
      <c r="AC65" s="79">
        <f t="shared" ca="1" si="0"/>
        <v>82</v>
      </c>
      <c r="AF65" s="255"/>
      <c r="AG65" s="255"/>
      <c r="AI65" s="255"/>
      <c r="AJ65" s="255"/>
    </row>
    <row r="66" spans="2:36">
      <c r="B66" s="166">
        <v>10186</v>
      </c>
      <c r="C66" s="167" t="s">
        <v>69</v>
      </c>
      <c r="D66" s="250">
        <f>IF(Init!$R$9="Yes",'Staging Table'!F68,'Staging Table'!BT68)*Rates_previous!$E$75*100*12</f>
        <v>6723216.3081600014</v>
      </c>
      <c r="E66" s="250">
        <f>IF(Init!$R$9="Yes",'Staging Table'!F68,'Staging Table'!BT68)*Rates_previous!$E$76*100*12</f>
        <v>-948119.82539999997</v>
      </c>
      <c r="F66" s="251"/>
      <c r="G66" s="251">
        <f>IF(Init!$R$9="Yes",SUMPRODUCT('Staging Table'!AJ68:AU68,LS_Demand_Rates_Restatement!$C$10:$N$10),SUMPRODUCT(LS_Demand_Rates_Restatement!$C$10:$N$10,'Staging Table'!CX68:DI68))*1000</f>
        <v>329186.25000000006</v>
      </c>
      <c r="H66" s="252"/>
      <c r="I66" s="250">
        <f>IF(Init!$R$9="Yes",IF('Staging Table'!$F$1=2018,(SUM('Staging Table'!BD68:BG68)*Rates_previous!$C$87),(SUM('Staging Table'!BD68:BG68)*Rates_previous!$D$87)),IF('Staging Table'!$F$1=2018,(SUM('Staging Table'!DR68:DU68)*Rates_previous!$C$87),(SUM('Staging Table'!DR68:DU68)*Rates_previous!$D$87)))</f>
        <v>36941.513828662995</v>
      </c>
      <c r="J66" s="252">
        <f>IF(Init!$R$9="Yes",IF('Staging Table'!D68=1,'Staging Table'!H68*-1*'Staging Table'!F68/'Staging Table'!E68,'Staging Table'!H68*SUM(D66:I66)*(-1)),IF('Staging Table'!D68=1,'Staging Table'!BV68*-1*'Staging Table'!BT68/'Staging Table'!BS68,'Staging Table'!BV68*SUM(D66:I66)*(-1)))</f>
        <v>-429885.69726120651</v>
      </c>
      <c r="K66" s="250">
        <f>IF(Init!$R$9="Yes",'Staging Table'!K68,'Staging Table'!BY68)*(-1)*Rates_previous!$H$32</f>
        <v>0</v>
      </c>
      <c r="L66" s="250">
        <f>IF(Init!$R$12="No",0,'Staging Table'!$BI68*-1)*('Staging Table'!$F68/'Staging Table'!$E68)</f>
        <v>-104678.12987442817</v>
      </c>
      <c r="M66" s="250">
        <f>IF('Staging Table'!C68=1,"",SUM(D66:L66))</f>
        <v>5606660.4194530295</v>
      </c>
      <c r="N66" s="250">
        <f>IF('Staging Table'!C68=1,"",IF(Init!$R$9="Yes",(RT1SC!$C$3*'Staging Table'!F68*'Staging Table'!$F$2),Z66))</f>
        <v>160542.365998344</v>
      </c>
      <c r="O66" s="126">
        <f>IF('Staging Table'!C68=1,"",IF(N66=0, 0, M66/N66))</f>
        <v>34.923245241762928</v>
      </c>
      <c r="P66" s="250">
        <f>'Staging Table'!BT68*Rates_current!$E$74*100*12</f>
        <v>6025079.8923599999</v>
      </c>
      <c r="Q66" s="250">
        <f>'Staging Table'!BT68*Rates_current!$E$75*100*12</f>
        <v>-609534.37380000006</v>
      </c>
      <c r="R66" s="251"/>
      <c r="S66" s="251">
        <f>SUMPRODUCT('Staging Table'!CX68:DI68, LS_Demand_Rates_Restatement!$C$11:$N$11)*1000</f>
        <v>366690.63</v>
      </c>
      <c r="T66" s="252"/>
      <c r="U66" s="252">
        <f>IF(Init!$R$18="Yes",(SUM('Staging Table'!DL68:DU68)*IF('Staging Table'!$BT$1=2020, Rates_current!$C$87, Rates_current!$D$87)),0)</f>
        <v>105177.8870904642</v>
      </c>
      <c r="V66" s="252">
        <f>IF('Staging Table'!D68=1, 'Staging Table'!BV68*-1*'Staging Table'!BT68/'Staging Table'!BS68,SUM(P66:U66)*'Staging Table'!BV68*-1)</f>
        <v>-412118.98249553249</v>
      </c>
      <c r="W66" s="250">
        <f>'Staging Table'!BY68*Rates_current!$H$32*-1</f>
        <v>0</v>
      </c>
      <c r="X66" s="250">
        <f>IF(Init!$R$12="No",0,'Staging Table'!$DW68*-1)</f>
        <v>0</v>
      </c>
      <c r="Y66" s="250">
        <f>IF('Staging Table'!C68=1,"",SUM(P66:X66))</f>
        <v>5475295.0531549314</v>
      </c>
      <c r="Z66" s="250">
        <f>IF('Staging Table'!C68=1,"",(RT1SC!$C$4*'Staging Table'!BT68*'Staging Table'!$BT$2))</f>
        <v>156424.06982062082</v>
      </c>
      <c r="AA66" s="126">
        <f>IF('Staging Table'!C68=1,"",IF(Z66=0, 0, Y66/Z66))</f>
        <v>35.002893476903665</v>
      </c>
      <c r="AB66" s="118">
        <f ca="1">IF('Staging Table'!C68=1,"",(AA66/O66-1)+(RAND()/100000000000))</f>
        <v>2.2806653540230785E-3</v>
      </c>
      <c r="AC66" s="79">
        <f t="shared" ca="1" si="0"/>
        <v>98</v>
      </c>
      <c r="AF66" s="255"/>
      <c r="AG66" s="255"/>
      <c r="AI66" s="255"/>
      <c r="AJ66" s="255"/>
    </row>
    <row r="67" spans="2:36">
      <c r="B67" s="166">
        <v>10190</v>
      </c>
      <c r="C67" s="167" t="s">
        <v>70</v>
      </c>
      <c r="D67" s="250">
        <f>IF(Init!$R$9="Yes",'Staging Table'!F69,'Staging Table'!BT69)*Rates_previous!$E$75*100*12</f>
        <v>1873858.6512000002</v>
      </c>
      <c r="E67" s="250">
        <f>IF(Init!$R$9="Yes",'Staging Table'!F69,'Staging Table'!BT69)*Rates_previous!$E$76*100*12</f>
        <v>-264254.853</v>
      </c>
      <c r="F67" s="251"/>
      <c r="G67" s="251">
        <f>IF(Init!$R$9="Yes",SUMPRODUCT('Staging Table'!AJ69:AU69,LS_Demand_Rates_Restatement!$C$10:$N$10),SUMPRODUCT(LS_Demand_Rates_Restatement!$C$10:$N$10,'Staging Table'!CX69:DI69))*1000</f>
        <v>88425.33</v>
      </c>
      <c r="H67" s="252"/>
      <c r="I67" s="250">
        <f>IF(Init!$R$9="Yes",IF('Staging Table'!$F$1=2018,(SUM('Staging Table'!BD69:BG69)*Rates_previous!$C$87),(SUM('Staging Table'!BD69:BG69)*Rates_previous!$D$87)),IF('Staging Table'!$F$1=2018,(SUM('Staging Table'!DR69:DU69)*Rates_previous!$C$87),(SUM('Staging Table'!DR69:DU69)*Rates_previous!$D$87)))</f>
        <v>10296.139838941084</v>
      </c>
      <c r="J67" s="252">
        <f>IF(Init!$R$9="Yes",IF('Staging Table'!D69=1,'Staging Table'!H69*-1*'Staging Table'!F69/'Staging Table'!E69,'Staging Table'!H69*SUM(D67:I67)*(-1)),IF('Staging Table'!D69=1,'Staging Table'!BV69*-1*'Staging Table'!BT69/'Staging Table'!BS69,'Staging Table'!BV69*SUM(D67:I67)*(-1)))</f>
        <v>0</v>
      </c>
      <c r="K67" s="250">
        <f>IF(Init!$R$9="Yes",'Staging Table'!K69,'Staging Table'!BY69)*(-1)*Rates_previous!$H$32</f>
        <v>0</v>
      </c>
      <c r="L67" s="250">
        <f>IF(Init!$R$12="No",0,'Staging Table'!$BI69*-1)*('Staging Table'!$F69/'Staging Table'!$E69)</f>
        <v>-1376110.9197385786</v>
      </c>
      <c r="M67" s="250">
        <f>IF('Staging Table'!C69=1,"",SUM(D67:L67))</f>
        <v>332214.3483003627</v>
      </c>
      <c r="N67" s="250">
        <f>IF('Staging Table'!C69=1,"",IF(Init!$R$9="Yes",(RT1SC!$C$3*'Staging Table'!F69*'Staging Table'!$F$2),Z67))</f>
        <v>44745.503881079996</v>
      </c>
      <c r="O67" s="126">
        <f>IF('Staging Table'!C69=1,"",IF(N67=0, 0, M67/N67))</f>
        <v>7.4245302764561076</v>
      </c>
      <c r="P67" s="250">
        <f>'Staging Table'!BT69*Rates_current!$E$74*100*12</f>
        <v>1747085.41236</v>
      </c>
      <c r="Q67" s="250">
        <f>'Staging Table'!BT69*Rates_current!$E$75*100*12</f>
        <v>-176745.97380000004</v>
      </c>
      <c r="R67" s="251"/>
      <c r="S67" s="251">
        <f>SUMPRODUCT('Staging Table'!CX69:DI69, LS_Demand_Rates_Restatement!$C$11:$N$11)*1000</f>
        <v>95526.97</v>
      </c>
      <c r="T67" s="252"/>
      <c r="U67" s="252">
        <f>IF(Init!$R$18="Yes",(SUM('Staging Table'!DL69:DU69)*IF('Staging Table'!$BT$1=2020, Rates_current!$C$87, Rates_current!$D$87)),0)</f>
        <v>30498.309652558171</v>
      </c>
      <c r="V67" s="252">
        <f>IF('Staging Table'!D69=1, 'Staging Table'!BV69*-1*'Staging Table'!BT69/'Staging Table'!BS69,SUM(P67:U67)*'Staging Table'!BV69*-1)</f>
        <v>0</v>
      </c>
      <c r="W67" s="250">
        <f>'Staging Table'!BY69*Rates_current!$H$32*-1</f>
        <v>0</v>
      </c>
      <c r="X67" s="250">
        <f>IF(Init!$R$12="No",0,'Staging Table'!$DW69*-1)</f>
        <v>0</v>
      </c>
      <c r="Y67" s="250">
        <f>IF('Staging Table'!C69=1,"",SUM(P67:X67))</f>
        <v>1696364.718212558</v>
      </c>
      <c r="Z67" s="250">
        <f>IF('Staging Table'!C69=1,"",(RT1SC!$C$4*'Staging Table'!BT69*'Staging Table'!$BT$2))</f>
        <v>45358.105686220799</v>
      </c>
      <c r="AA67" s="126">
        <f>IF('Staging Table'!C69=1,"",IF(Z67=0, 0, Y67/Z67))</f>
        <v>37.399373112001271</v>
      </c>
      <c r="AB67" s="118"/>
      <c r="AC67" s="79" t="str">
        <f t="shared" si="0"/>
        <v/>
      </c>
      <c r="AF67" s="255"/>
      <c r="AG67" s="255"/>
      <c r="AI67" s="255"/>
      <c r="AJ67" s="255"/>
    </row>
    <row r="68" spans="2:36">
      <c r="B68" s="166">
        <v>10191</v>
      </c>
      <c r="C68" s="167" t="s">
        <v>71</v>
      </c>
      <c r="D68" s="250">
        <f>IF(Init!$R$9="Yes",'Staging Table'!F70,'Staging Table'!BT70)*Rates_previous!$E$75*100*12</f>
        <v>22682734.136640001</v>
      </c>
      <c r="E68" s="250">
        <f>IF(Init!$R$9="Yes",'Staging Table'!F70,'Staging Table'!BT70)*Rates_previous!$E$76*100*12</f>
        <v>-3198759.1866000001</v>
      </c>
      <c r="F68" s="251"/>
      <c r="G68" s="251">
        <f>IF(Init!$R$9="Yes",SUMPRODUCT('Staging Table'!AJ70:AU70,LS_Demand_Rates_Restatement!$C$10:$N$10),SUMPRODUCT(LS_Demand_Rates_Restatement!$C$10:$N$10,'Staging Table'!CX70:DI70))*1000</f>
        <v>0</v>
      </c>
      <c r="H68" s="252"/>
      <c r="I68" s="250">
        <f>IF(Init!$R$9="Yes",IF('Staging Table'!$F$1=2018,(SUM('Staging Table'!BD70:BG70)*Rates_previous!$C$87),(SUM('Staging Table'!BD70:BG70)*Rates_previous!$D$87)),IF('Staging Table'!$F$1=2018,(SUM('Staging Table'!DR70:DU70)*Rates_previous!$C$87),(SUM('Staging Table'!DR70:DU70)*Rates_previous!$D$87)))</f>
        <v>124632.98789949203</v>
      </c>
      <c r="J68" s="252">
        <f>IF(Init!$R$9="Yes",IF('Staging Table'!D70=1,'Staging Table'!H70*-1*'Staging Table'!F70/'Staging Table'!E70,'Staging Table'!H70*SUM(D68:I68)*(-1)),IF('Staging Table'!D70=1,'Staging Table'!BV70*-1*'Staging Table'!BT70/'Staging Table'!BS70,'Staging Table'!BV70*SUM(D68:I68)*(-1)))</f>
        <v>0</v>
      </c>
      <c r="K68" s="250">
        <f>IF(Init!$R$9="Yes",'Staging Table'!K70,'Staging Table'!BY70)*(-1)*Rates_previous!$H$32</f>
        <v>0</v>
      </c>
      <c r="L68" s="250">
        <f>IF(Init!$R$12="No",0,'Staging Table'!$BI70*-1)*('Staging Table'!$F70/'Staging Table'!$E70)</f>
        <v>-702771.59424736782</v>
      </c>
      <c r="M68" s="250">
        <f>IF('Staging Table'!C70=1,"",SUM(D68:L68))</f>
        <v>18905836.343692128</v>
      </c>
      <c r="N68" s="250">
        <f>IF('Staging Table'!C70=1,"",IF(Init!$R$9="Yes",(RT1SC!$C$3*'Staging Table'!F70*'Staging Table'!$F$2),Z68))</f>
        <v>541636.56778197607</v>
      </c>
      <c r="O68" s="126">
        <f>IF('Staging Table'!C70=1,"",IF(N68=0, 0, M68/N68))</f>
        <v>34.90502205401733</v>
      </c>
      <c r="P68" s="250">
        <f>'Staging Table'!BT70*Rates_current!$E$74*100*12</f>
        <v>20729259.919199999</v>
      </c>
      <c r="Q68" s="250">
        <f>'Staging Table'!BT70*Rates_current!$E$75*100*12</f>
        <v>-2097100.236</v>
      </c>
      <c r="R68" s="251"/>
      <c r="S68" s="251">
        <f>SUMPRODUCT('Staging Table'!CX70:DI70, LS_Demand_Rates_Restatement!$C$11:$N$11)*1000</f>
        <v>0</v>
      </c>
      <c r="T68" s="252"/>
      <c r="U68" s="252">
        <f>IF(Init!$R$18="Yes",(SUM('Staging Table'!DL70:DU70)*IF('Staging Table'!$BT$1=2020, Rates_current!$C$87, Rates_current!$D$87)),0)</f>
        <v>361864.04134078679</v>
      </c>
      <c r="V68" s="252">
        <f>IF('Staging Table'!D70=1, 'Staging Table'!BV70*-1*'Staging Table'!BT70/'Staging Table'!BS70,SUM(P68:U68)*'Staging Table'!BV70*-1)</f>
        <v>0</v>
      </c>
      <c r="W68" s="250">
        <f>'Staging Table'!BY70*Rates_current!$H$32*-1</f>
        <v>0</v>
      </c>
      <c r="X68" s="250">
        <f>IF(Init!$R$12="No",0,'Staging Table'!$DW70*-1)</f>
        <v>0</v>
      </c>
      <c r="Y68" s="250">
        <f>IF('Staging Table'!C70=1,"",SUM(P68:X68))</f>
        <v>18994023.724540785</v>
      </c>
      <c r="Z68" s="250">
        <f>IF('Staging Table'!C70=1,"",(RT1SC!$C$4*'Staging Table'!BT70*'Staging Table'!$BT$2))</f>
        <v>538176.29954457597</v>
      </c>
      <c r="AA68" s="126">
        <f>IF('Staging Table'!C70=1,"",IF(Z68=0, 0, Y68/Z68))</f>
        <v>35.293311393709104</v>
      </c>
      <c r="AB68" s="118">
        <f ca="1">IF('Staging Table'!C70=1,"",(AA68/O68-1)+(RAND()/100000000000))</f>
        <v>1.1124168296930468E-2</v>
      </c>
      <c r="AC68" s="79">
        <f t="shared" ref="AC68:AC131" ca="1" si="1">IF(AB68="","",RANK(AB68,$AB$4:$AB$138))</f>
        <v>78</v>
      </c>
      <c r="AF68" s="255"/>
      <c r="AG68" s="255"/>
      <c r="AI68" s="255"/>
      <c r="AJ68" s="255"/>
    </row>
    <row r="69" spans="2:36">
      <c r="B69" s="166">
        <v>10197</v>
      </c>
      <c r="C69" s="167" t="s">
        <v>72</v>
      </c>
      <c r="D69" s="250">
        <f>IF(Init!$R$9="Yes",'Staging Table'!F71,'Staging Table'!BT71)*Rates_previous!$E$75*100*12</f>
        <v>8212621.8383999988</v>
      </c>
      <c r="E69" s="250">
        <f>IF(Init!$R$9="Yes",'Staging Table'!F71,'Staging Table'!BT71)*Rates_previous!$E$76*100*12</f>
        <v>-1158158.4209999999</v>
      </c>
      <c r="F69" s="251"/>
      <c r="G69" s="251">
        <f>IF(Init!$R$9="Yes",SUMPRODUCT('Staging Table'!AJ71:AU71,LS_Demand_Rates_Restatement!$C$10:$N$10),SUMPRODUCT(LS_Demand_Rates_Restatement!$C$10:$N$10,'Staging Table'!CX71:DI71))*1000</f>
        <v>436122.12000000005</v>
      </c>
      <c r="H69" s="252"/>
      <c r="I69" s="250">
        <f>IF(Init!$R$9="Yes",IF('Staging Table'!$F$1=2018,(SUM('Staging Table'!BD71:BG71)*Rates_previous!$C$87),(SUM('Staging Table'!BD71:BG71)*Rates_previous!$D$87)),IF('Staging Table'!$F$1=2018,(SUM('Staging Table'!DR71:DU71)*Rates_previous!$C$87),(SUM('Staging Table'!DR71:DU71)*Rates_previous!$D$87)))</f>
        <v>45125.230143883869</v>
      </c>
      <c r="J69" s="252">
        <f>IF(Init!$R$9="Yes",IF('Staging Table'!D71=1,'Staging Table'!H71*-1*'Staging Table'!F71/'Staging Table'!E71,'Staging Table'!H71*SUM(D69:I69)*(-1)),IF('Staging Table'!D71=1,'Staging Table'!BV71*-1*'Staging Table'!BT71/'Staging Table'!BS71,'Staging Table'!BV71*SUM(D69:I69)*(-1)))</f>
        <v>-541684.22210581962</v>
      </c>
      <c r="K69" s="250">
        <f>IF(Init!$R$9="Yes",'Staging Table'!K71,'Staging Table'!BY71)*(-1)*Rates_previous!$H$32</f>
        <v>-1174814.6507999997</v>
      </c>
      <c r="L69" s="250">
        <f>IF(Init!$R$12="No",0,'Staging Table'!$BI71*-1)*('Staging Table'!$F71/'Staging Table'!$E71)</f>
        <v>-219249.61152246164</v>
      </c>
      <c r="M69" s="250">
        <f>IF('Staging Table'!C71=1,"",SUM(D69:L69))</f>
        <v>5599962.2831156021</v>
      </c>
      <c r="N69" s="250">
        <f>IF('Staging Table'!C71=1,"",IF(Init!$R$9="Yes",(RT1SC!$C$3*'Staging Table'!F71*'Staging Table'!$F$2),Z69))</f>
        <v>196107.58906956</v>
      </c>
      <c r="O69" s="126">
        <f>IF('Staging Table'!C71=1,"",IF(N69=0, 0, M69/N69))</f>
        <v>28.555561310425766</v>
      </c>
      <c r="P69" s="250">
        <f>'Staging Table'!BT71*Rates_current!$E$74*100*12</f>
        <v>7657372.4528400004</v>
      </c>
      <c r="Q69" s="250">
        <f>'Staging Table'!BT71*Rates_current!$E$75*100*12</f>
        <v>-774667.19219999993</v>
      </c>
      <c r="R69" s="251"/>
      <c r="S69" s="251">
        <f>SUMPRODUCT('Staging Table'!CX71:DI71, LS_Demand_Rates_Restatement!$C$11:$N$11)*1000</f>
        <v>470433.50000000012</v>
      </c>
      <c r="T69" s="252"/>
      <c r="U69" s="252">
        <f>IF(Init!$R$18="Yes",(SUM('Staging Table'!DL71:DU71)*IF('Staging Table'!$BT$1=2020, Rates_current!$C$87, Rates_current!$D$87)),0)</f>
        <v>133672.29474843855</v>
      </c>
      <c r="V69" s="252">
        <f>IF('Staging Table'!D71=1, 'Staging Table'!BV71*-1*'Staging Table'!BT71/'Staging Table'!BS71,SUM(P69:U69)*'Staging Table'!BV71*-1)</f>
        <v>-582361.59794338979</v>
      </c>
      <c r="W69" s="250">
        <f>'Staging Table'!BY71*Rates_current!$H$32*-1</f>
        <v>-1109880.1675499999</v>
      </c>
      <c r="X69" s="250">
        <f>IF(Init!$R$12="No",0,'Staging Table'!$DW71*-1)</f>
        <v>0</v>
      </c>
      <c r="Y69" s="250">
        <f>IF('Staging Table'!C71=1,"",SUM(P69:X69))</f>
        <v>5794569.2898950502</v>
      </c>
      <c r="Z69" s="250">
        <f>IF('Staging Table'!C71=1,"",(RT1SC!$C$4*'Staging Table'!BT71*'Staging Table'!$BT$2))</f>
        <v>198801.90546923521</v>
      </c>
      <c r="AA69" s="126">
        <f>IF('Staging Table'!C71=1,"",IF(Z69=0, 0, Y69/Z69))</f>
        <v>29.147453472430453</v>
      </c>
      <c r="AB69" s="118">
        <f ca="1">IF('Staging Table'!C71=1,"",(AA69/O69-1)+(RAND()/100000000000))</f>
        <v>2.072773690535025E-2</v>
      </c>
      <c r="AC69" s="79">
        <f t="shared" ca="1" si="1"/>
        <v>50</v>
      </c>
      <c r="AF69" s="255"/>
      <c r="AG69" s="255"/>
      <c r="AI69" s="255"/>
      <c r="AJ69" s="255"/>
    </row>
    <row r="70" spans="2:36">
      <c r="B70" s="166">
        <v>10202</v>
      </c>
      <c r="C70" s="167" t="s">
        <v>73</v>
      </c>
      <c r="D70" s="250">
        <f>IF(Init!$R$9="Yes",'Staging Table'!F72,'Staging Table'!BT72)*Rates_previous!$E$75*100*12</f>
        <v>4728085.4995200001</v>
      </c>
      <c r="E70" s="250">
        <f>IF(Init!$R$9="Yes",'Staging Table'!F72,'Staging Table'!BT72)*Rates_previous!$E$76*100*12</f>
        <v>-666762.95880000002</v>
      </c>
      <c r="F70" s="251"/>
      <c r="G70" s="251">
        <f>IF(Init!$R$9="Yes",SUMPRODUCT('Staging Table'!AJ72:AU72,LS_Demand_Rates_Restatement!$C$10:$N$10),SUMPRODUCT(LS_Demand_Rates_Restatement!$C$10:$N$10,'Staging Table'!CX72:DI72))*1000</f>
        <v>273645.28000000003</v>
      </c>
      <c r="H70" s="252"/>
      <c r="I70" s="250">
        <f>IF(Init!$R$9="Yes",IF('Staging Table'!$F$1=2018,(SUM('Staging Table'!BD72:BG72)*Rates_previous!$C$87),(SUM('Staging Table'!BD72:BG72)*Rates_previous!$D$87)),IF('Staging Table'!$F$1=2018,(SUM('Staging Table'!DR72:DU72)*Rates_previous!$C$87),(SUM('Staging Table'!DR72:DU72)*Rates_previous!$D$87)))</f>
        <v>25979.029657521231</v>
      </c>
      <c r="J70" s="252">
        <f>IF(Init!$R$9="Yes",IF('Staging Table'!D72=1,'Staging Table'!H72*-1*'Staging Table'!F72/'Staging Table'!E72,'Staging Table'!H72*SUM(D70:I70)*(-1)),IF('Staging Table'!D72=1,'Staging Table'!BV72*-1*'Staging Table'!BT72/'Staging Table'!BS72,'Staging Table'!BV72*SUM(D70:I70)*(-1)))</f>
        <v>0</v>
      </c>
      <c r="K70" s="250">
        <f>IF(Init!$R$9="Yes",'Staging Table'!K72,'Staging Table'!BY72)*(-1)*Rates_previous!$H$32</f>
        <v>0</v>
      </c>
      <c r="L70" s="250">
        <f>IF(Init!$R$12="No",0,'Staging Table'!$BI72*-1)*('Staging Table'!$F72/'Staging Table'!$E72)</f>
        <v>-163397.78896729407</v>
      </c>
      <c r="M70" s="250">
        <f>IF('Staging Table'!C72=1,"",SUM(D70:L70))</f>
        <v>4197549.0614102278</v>
      </c>
      <c r="N70" s="250">
        <f>IF('Staging Table'!C72=1,"",IF(Init!$R$9="Yes",(RT1SC!$C$3*'Staging Table'!F72*'Staging Table'!$F$2),Z70))</f>
        <v>112901.02801156799</v>
      </c>
      <c r="O70" s="126">
        <f>IF('Staging Table'!C72=1,"",IF(N70=0, 0, M70/N70))</f>
        <v>37.179015420303713</v>
      </c>
      <c r="P70" s="250">
        <f>'Staging Table'!BT72*Rates_current!$E$74*100*12</f>
        <v>4408235.6452799998</v>
      </c>
      <c r="Q70" s="250">
        <f>'Staging Table'!BT72*Rates_current!$E$75*100*12</f>
        <v>-445964.40240000002</v>
      </c>
      <c r="R70" s="251"/>
      <c r="S70" s="251">
        <f>SUMPRODUCT('Staging Table'!CX72:DI72, LS_Demand_Rates_Restatement!$C$11:$N$11)*1000</f>
        <v>306590.91999999993</v>
      </c>
      <c r="T70" s="252"/>
      <c r="U70" s="252">
        <f>IF(Init!$R$18="Yes",(SUM('Staging Table'!DL72:DU72)*IF('Staging Table'!$BT$1=2020, Rates_current!$C$87, Rates_current!$D$87)),0)</f>
        <v>76953.155684348923</v>
      </c>
      <c r="V70" s="252">
        <f>IF('Staging Table'!D72=1, 'Staging Table'!BV72*-1*'Staging Table'!BT72/'Staging Table'!BS72,SUM(P70:U70)*'Staging Table'!BV72*-1)</f>
        <v>0</v>
      </c>
      <c r="W70" s="250">
        <f>'Staging Table'!BY72*Rates_current!$H$32*-1</f>
        <v>0</v>
      </c>
      <c r="X70" s="250">
        <f>IF(Init!$R$12="No",0,'Staging Table'!$DW72*-1)</f>
        <v>0</v>
      </c>
      <c r="Y70" s="250">
        <f>IF('Staging Table'!C72=1,"",SUM(P70:X70))</f>
        <v>4345815.3185643489</v>
      </c>
      <c r="Z70" s="250">
        <f>IF('Staging Table'!C72=1,"",(RT1SC!$C$4*'Staging Table'!BT72*'Staging Table'!$BT$2))</f>
        <v>114447.30570915841</v>
      </c>
      <c r="AA70" s="126">
        <f>IF('Staging Table'!C72=1,"",IF(Z70=0, 0, Y70/Z70))</f>
        <v>37.972194204451107</v>
      </c>
      <c r="AB70" s="118">
        <f ca="1">IF('Staging Table'!C72=1,"",(AA70/O70-1)+(RAND()/100000000000))</f>
        <v>2.1334044897713546E-2</v>
      </c>
      <c r="AC70" s="79">
        <f t="shared" ca="1" si="1"/>
        <v>44</v>
      </c>
      <c r="AF70" s="255"/>
      <c r="AG70" s="255"/>
      <c r="AI70" s="255"/>
      <c r="AJ70" s="255"/>
    </row>
    <row r="71" spans="2:36">
      <c r="B71" s="166">
        <v>10203</v>
      </c>
      <c r="C71" s="167" t="s">
        <v>74</v>
      </c>
      <c r="D71" s="250">
        <f>IF(Init!$R$9="Yes",'Staging Table'!F73,'Staging Table'!BT73)*Rates_previous!$E$75*100*12</f>
        <v>2243025.3657600004</v>
      </c>
      <c r="E71" s="250">
        <f>IF(Init!$R$9="Yes",'Staging Table'!F73,'Staging Table'!BT73)*Rates_previous!$E$76*100*12</f>
        <v>-316315.39439999999</v>
      </c>
      <c r="F71" s="251"/>
      <c r="G71" s="251">
        <f>IF(Init!$R$9="Yes",SUMPRODUCT('Staging Table'!AJ73:AU73,LS_Demand_Rates_Restatement!$C$10:$N$10),SUMPRODUCT(LS_Demand_Rates_Restatement!$C$10:$N$10,'Staging Table'!CX73:DI73))*1000</f>
        <v>135623.38000000003</v>
      </c>
      <c r="H71" s="252"/>
      <c r="I71" s="250">
        <f>IF(Init!$R$9="Yes",IF('Staging Table'!$F$1=2018,(SUM('Staging Table'!BD73:BG73)*Rates_previous!$C$87),(SUM('Staging Table'!BD73:BG73)*Rates_previous!$D$87)),IF('Staging Table'!$F$1=2018,(SUM('Staging Table'!DR73:DU73)*Rates_previous!$C$87),(SUM('Staging Table'!DR73:DU73)*Rates_previous!$D$87)))</f>
        <v>12324.570379610785</v>
      </c>
      <c r="J71" s="252">
        <f>IF(Init!$R$9="Yes",IF('Staging Table'!D73=1,'Staging Table'!H73*-1*'Staging Table'!F73/'Staging Table'!E73,'Staging Table'!H73*SUM(D71:I71)*(-1)),IF('Staging Table'!D73=1,'Staging Table'!BV73*-1*'Staging Table'!BT73/'Staging Table'!BS73,'Staging Table'!BV73*SUM(D71:I71)*(-1)))</f>
        <v>-151496.91555602293</v>
      </c>
      <c r="K71" s="250">
        <f>IF(Init!$R$9="Yes",'Staging Table'!K73,'Staging Table'!BY73)*(-1)*Rates_previous!$H$32</f>
        <v>0</v>
      </c>
      <c r="L71" s="250">
        <f>IF(Init!$R$12="No",0,'Staging Table'!$BI73*-1)*('Staging Table'!$F73/'Staging Table'!$E73)</f>
        <v>-73932.85602435912</v>
      </c>
      <c r="M71" s="250">
        <f>IF('Staging Table'!C73=1,"",SUM(D71:L71))</f>
        <v>1849228.1501592293</v>
      </c>
      <c r="N71" s="250">
        <f>IF('Staging Table'!C73=1,"",IF(Init!$R$9="Yes",(RT1SC!$C$3*'Staging Table'!F73*'Staging Table'!$F$2),Z71))</f>
        <v>53560.763585184002</v>
      </c>
      <c r="O71" s="126">
        <f>IF('Staging Table'!C73=1,"",IF(N71=0, 0, M71/N71))</f>
        <v>34.525798856810241</v>
      </c>
      <c r="P71" s="250">
        <f>'Staging Table'!BT73*Rates_current!$E$74*100*12</f>
        <v>2090988.63528</v>
      </c>
      <c r="Q71" s="250">
        <f>'Staging Table'!BT73*Rates_current!$E$75*100*12</f>
        <v>-211537.35240000003</v>
      </c>
      <c r="R71" s="251"/>
      <c r="S71" s="251">
        <f>SUMPRODUCT('Staging Table'!CX73:DI73, LS_Demand_Rates_Restatement!$C$11:$N$11)*1000</f>
        <v>148897.03</v>
      </c>
      <c r="T71" s="252"/>
      <c r="U71" s="252">
        <f>IF(Init!$R$18="Yes",(SUM('Staging Table'!DL73:DU73)*IF('Staging Table'!$BT$1=2020, Rates_current!$C$87, Rates_current!$D$87)),0)</f>
        <v>36501.717905483172</v>
      </c>
      <c r="V71" s="252">
        <f>IF('Staging Table'!D73=1, 'Staging Table'!BV73*-1*'Staging Table'!BT73/'Staging Table'!BS73,SUM(P71:U71)*'Staging Table'!BV73*-1)</f>
        <v>-149731.77404239701</v>
      </c>
      <c r="W71" s="250">
        <f>'Staging Table'!BY73*Rates_current!$H$32*-1</f>
        <v>0</v>
      </c>
      <c r="X71" s="250">
        <f>IF(Init!$R$12="No",0,'Staging Table'!$DW73*-1)</f>
        <v>0</v>
      </c>
      <c r="Y71" s="250">
        <f>IF('Staging Table'!C73=1,"",SUM(P71:X71))</f>
        <v>1915118.2567430863</v>
      </c>
      <c r="Z71" s="250">
        <f>IF('Staging Table'!C73=1,"",(RT1SC!$C$4*'Staging Table'!BT73*'Staging Table'!$BT$2))</f>
        <v>54286.575136358399</v>
      </c>
      <c r="AA71" s="126">
        <f>IF('Staging Table'!C73=1,"",IF(Z71=0, 0, Y71/Z71))</f>
        <v>35.277934773609196</v>
      </c>
      <c r="AB71" s="118">
        <f ca="1">IF('Staging Table'!C73=1,"",(AA71/O71-1)+(RAND()/100000000000))</f>
        <v>2.1784750586435593E-2</v>
      </c>
      <c r="AC71" s="79">
        <f t="shared" ca="1" si="1"/>
        <v>40</v>
      </c>
      <c r="AF71" s="255"/>
      <c r="AG71" s="255"/>
      <c r="AI71" s="255"/>
      <c r="AJ71" s="255"/>
    </row>
    <row r="72" spans="2:36">
      <c r="B72" s="166">
        <v>10204</v>
      </c>
      <c r="C72" s="167" t="s">
        <v>75</v>
      </c>
      <c r="D72" s="250">
        <f>IF(Init!$R$9="Yes",'Staging Table'!F74,'Staging Table'!BT74)*Rates_previous!$E$75*100*12</f>
        <v>9067386.7295999993</v>
      </c>
      <c r="E72" s="250">
        <f>IF(Init!$R$9="Yes",'Staging Table'!F74,'Staging Table'!BT74)*Rates_previous!$E$76*100*12</f>
        <v>-1278698.8740000001</v>
      </c>
      <c r="F72" s="251"/>
      <c r="G72" s="251">
        <f>IF(Init!$R$9="Yes",SUMPRODUCT('Staging Table'!AJ74:AU74,LS_Demand_Rates_Restatement!$C$10:$N$10),SUMPRODUCT(LS_Demand_Rates_Restatement!$C$10:$N$10,'Staging Table'!CX74:DI74))*1000</f>
        <v>0</v>
      </c>
      <c r="H72" s="252"/>
      <c r="I72" s="250">
        <f>IF(Init!$R$9="Yes",IF('Staging Table'!$F$1=2018,(SUM('Staging Table'!BD74:BG74)*Rates_previous!$C$87),(SUM('Staging Table'!BD74:BG74)*Rates_previous!$D$87)),IF('Staging Table'!$F$1=2018,(SUM('Staging Table'!DR74:DU74)*Rates_previous!$C$87),(SUM('Staging Table'!DR74:DU74)*Rates_previous!$D$87)))</f>
        <v>49821.83777945795</v>
      </c>
      <c r="J72" s="252">
        <f>IF(Init!$R$9="Yes",IF('Staging Table'!D74=1,'Staging Table'!H74*-1*'Staging Table'!F74/'Staging Table'!E74,'Staging Table'!H74*SUM(D72:I72)*(-1)),IF('Staging Table'!D74=1,'Staging Table'!BV74*-1*'Staging Table'!BT74/'Staging Table'!BS74,'Staging Table'!BV74*SUM(D72:I72)*(-1)))</f>
        <v>0</v>
      </c>
      <c r="K72" s="250">
        <f>IF(Init!$R$9="Yes",'Staging Table'!K74,'Staging Table'!BY74)*(-1)*Rates_previous!$H$32</f>
        <v>0</v>
      </c>
      <c r="L72" s="250">
        <f>IF(Init!$R$12="No",0,'Staging Table'!$BI74*-1)*('Staging Table'!$F74/'Staging Table'!$E74)</f>
        <v>-318708.75554771518</v>
      </c>
      <c r="M72" s="250">
        <f>IF('Staging Table'!C74=1,"",SUM(D72:L72))</f>
        <v>7519800.9378317418</v>
      </c>
      <c r="N72" s="250">
        <f>IF('Staging Table'!C74=1,"",IF(Init!$R$9="Yes",(RT1SC!$C$3*'Staging Table'!F74*'Staging Table'!$F$2),Z72))</f>
        <v>216518.35256664001</v>
      </c>
      <c r="O72" s="126">
        <f>IF('Staging Table'!C74=1,"",IF(N72=0, 0, M72/N72))</f>
        <v>34.730547543388028</v>
      </c>
      <c r="P72" s="250">
        <f>'Staging Table'!BT74*Rates_current!$E$74*100*12</f>
        <v>8163126.4669199996</v>
      </c>
      <c r="Q72" s="250">
        <f>'Staging Table'!BT74*Rates_current!$E$75*100*12</f>
        <v>-825832.39860000007</v>
      </c>
      <c r="R72" s="251"/>
      <c r="S72" s="251">
        <f>SUMPRODUCT('Staging Table'!CX74:DI74, LS_Demand_Rates_Restatement!$C$11:$N$11)*1000</f>
        <v>0</v>
      </c>
      <c r="T72" s="252"/>
      <c r="U72" s="252">
        <f>IF(Init!$R$18="Yes",(SUM('Staging Table'!DL74:DU74)*IF('Staging Table'!$BT$1=2020, Rates_current!$C$87, Rates_current!$D$87)),0)</f>
        <v>142501.08034776431</v>
      </c>
      <c r="V72" s="252">
        <f>IF('Staging Table'!D74=1, 'Staging Table'!BV74*-1*'Staging Table'!BT74/'Staging Table'!BS74,SUM(P72:U72)*'Staging Table'!BV74*-1)</f>
        <v>0</v>
      </c>
      <c r="W72" s="250">
        <f>'Staging Table'!BY74*Rates_current!$H$32*-1</f>
        <v>0</v>
      </c>
      <c r="X72" s="250">
        <f>IF(Init!$R$12="No",0,'Staging Table'!$DW74*-1)</f>
        <v>0</v>
      </c>
      <c r="Y72" s="250">
        <f>IF('Staging Table'!C74=1,"",SUM(P72:X72))</f>
        <v>7479795.1486677639</v>
      </c>
      <c r="Z72" s="250">
        <f>IF('Staging Table'!C74=1,"",(RT1SC!$C$4*'Staging Table'!BT74*'Staging Table'!$BT$2))</f>
        <v>211932.37056245763</v>
      </c>
      <c r="AA72" s="126">
        <f>IF('Staging Table'!C74=1,"",IF(Z72=0, 0, Y72/Z72))</f>
        <v>35.293311393709097</v>
      </c>
      <c r="AB72" s="118">
        <f ca="1">IF('Staging Table'!C74=1,"",(AA72/O72-1)+(RAND()/100000000000))</f>
        <v>1.6203713743116983E-2</v>
      </c>
      <c r="AC72" s="79">
        <f t="shared" ca="1" si="1"/>
        <v>68</v>
      </c>
      <c r="AF72" s="255"/>
      <c r="AG72" s="255"/>
      <c r="AI72" s="255"/>
      <c r="AJ72" s="255"/>
    </row>
    <row r="73" spans="2:36">
      <c r="B73" s="166">
        <v>10209</v>
      </c>
      <c r="C73" s="167" t="s">
        <v>76</v>
      </c>
      <c r="D73" s="250">
        <f>IF(Init!$R$9="Yes",'Staging Table'!F75,'Staging Table'!BT75)*Rates_previous!$E$75*100*12</f>
        <v>37861880.918399997</v>
      </c>
      <c r="E73" s="250">
        <f>IF(Init!$R$9="Yes",'Staging Table'!F75,'Staging Table'!BT75)*Rates_previous!$E$76*100*12</f>
        <v>-5339349.2459999993</v>
      </c>
      <c r="F73" s="251"/>
      <c r="G73" s="251">
        <f>IF(Init!$R$9="Yes",SUMPRODUCT('Staging Table'!AJ75:AU75,LS_Demand_Rates_Restatement!$C$10:$N$10),SUMPRODUCT(LS_Demand_Rates_Restatement!$C$10:$N$10,'Staging Table'!CX75:DI75))*1000</f>
        <v>2778108.49</v>
      </c>
      <c r="H73" s="252"/>
      <c r="I73" s="250">
        <f>IF(Init!$R$9="Yes",IF('Staging Table'!$F$1=2018,(SUM('Staging Table'!BD75:BG75)*Rates_previous!$C$87),(SUM('Staging Table'!BD75:BG75)*Rates_previous!$D$87)),IF('Staging Table'!$F$1=2018,(SUM('Staging Table'!DR75:DU75)*Rates_previous!$C$87),(SUM('Staging Table'!DR75:DU75)*Rates_previous!$D$87)))</f>
        <v>208036.62018559276</v>
      </c>
      <c r="J73" s="252">
        <f>IF(Init!$R$9="Yes",IF('Staging Table'!D75=1,'Staging Table'!H75*-1*'Staging Table'!F75/'Staging Table'!E75,'Staging Table'!H75*SUM(D73:I73)*(-1)),IF('Staging Table'!D75=1,'Staging Table'!BV75*-1*'Staging Table'!BT75/'Staging Table'!BS75,'Staging Table'!BV75*SUM(D73:I73)*(-1)))</f>
        <v>-2616261.551002515</v>
      </c>
      <c r="K73" s="250">
        <f>IF(Init!$R$9="Yes",'Staging Table'!K75,'Staging Table'!BY75)*(-1)*Rates_previous!$H$32</f>
        <v>-706925.36375999998</v>
      </c>
      <c r="L73" s="250">
        <f>IF(Init!$R$12="No",0,'Staging Table'!$BI75*-1)*('Staging Table'!$F75/'Staging Table'!$E75)</f>
        <v>-589496.26286099397</v>
      </c>
      <c r="M73" s="250">
        <f>IF('Staging Table'!C75=1,"",SUM(D73:L73))</f>
        <v>31595993.604962084</v>
      </c>
      <c r="N73" s="250">
        <f>IF('Staging Table'!C75=1,"",IF(Init!$R$9="Yes",(RT1SC!$C$3*'Staging Table'!F75*'Staging Table'!$F$2),Z73))</f>
        <v>904096.44211655995</v>
      </c>
      <c r="O73" s="126">
        <f>IF('Staging Table'!C75=1,"",IF(N73=0, 0, M73/N73))</f>
        <v>34.947592019047669</v>
      </c>
      <c r="P73" s="250">
        <f>'Staging Table'!BT75*Rates_current!$E$74*100*12</f>
        <v>35300584.450800002</v>
      </c>
      <c r="Q73" s="250">
        <f>'Staging Table'!BT75*Rates_current!$E$75*100*12</f>
        <v>-3571225.6140000001</v>
      </c>
      <c r="R73" s="251"/>
      <c r="S73" s="251">
        <f>SUMPRODUCT('Staging Table'!CX75:DI75, LS_Demand_Rates_Restatement!$C$11:$N$11)*1000</f>
        <v>3028254.38</v>
      </c>
      <c r="T73" s="252"/>
      <c r="U73" s="252">
        <f>IF(Init!$R$18="Yes",(SUM('Staging Table'!DL75:DU75)*IF('Staging Table'!$BT$1=2020, Rates_current!$C$87, Rates_current!$D$87)),0)</f>
        <v>616230.979825121</v>
      </c>
      <c r="V73" s="252">
        <f>IF('Staging Table'!D75=1, 'Staging Table'!BV75*-1*'Staging Table'!BT75/'Staging Table'!BS75,SUM(P73:U73)*'Staging Table'!BV75*-1)</f>
        <v>-2616072.6475614118</v>
      </c>
      <c r="W73" s="250">
        <f>'Staging Table'!BY75*Rates_current!$H$32*-1</f>
        <v>-667852.10811000003</v>
      </c>
      <c r="X73" s="250">
        <f>IF(Init!$R$12="No",0,'Staging Table'!$DW75*-1)</f>
        <v>0</v>
      </c>
      <c r="Y73" s="250">
        <f>IF('Staging Table'!C75=1,"",SUM(P73:X73))</f>
        <v>32089919.440953717</v>
      </c>
      <c r="Z73" s="250">
        <f>IF('Staging Table'!C75=1,"",(RT1SC!$C$4*'Staging Table'!BT75*'Staging Table'!$BT$2))</f>
        <v>916479.3140490239</v>
      </c>
      <c r="AA73" s="126">
        <f>IF('Staging Table'!C75=1,"",IF(Z73=0, 0, Y73/Z73))</f>
        <v>35.01434123938904</v>
      </c>
      <c r="AB73" s="118">
        <f ca="1">IF('Staging Table'!C75=1,"",(AA73/O73-1)+(RAND()/100000000000))</f>
        <v>1.9099805321766924E-3</v>
      </c>
      <c r="AC73" s="79">
        <f t="shared" ca="1" si="1"/>
        <v>100</v>
      </c>
      <c r="AF73" s="255"/>
      <c r="AG73" s="255"/>
      <c r="AI73" s="255"/>
      <c r="AJ73" s="255"/>
    </row>
    <row r="74" spans="2:36">
      <c r="B74" s="166">
        <v>10230</v>
      </c>
      <c r="C74" s="167" t="s">
        <v>77</v>
      </c>
      <c r="D74" s="250">
        <f>IF(Init!$R$9="Yes",'Staging Table'!F76,'Staging Table'!BT76)*Rates_previous!$E$75*100*12</f>
        <v>3502370.4796799999</v>
      </c>
      <c r="E74" s="250">
        <f>IF(Init!$R$9="Yes",'Staging Table'!F76,'Staging Table'!BT76)*Rates_previous!$E$76*100*12</f>
        <v>-493910.46419999993</v>
      </c>
      <c r="F74" s="251"/>
      <c r="G74" s="251">
        <f>IF(Init!$R$9="Yes",SUMPRODUCT('Staging Table'!AJ76:AU76,LS_Demand_Rates_Restatement!$C$10:$N$10),SUMPRODUCT(LS_Demand_Rates_Restatement!$C$10:$N$10,'Staging Table'!CX76:DI76))*1000</f>
        <v>358740.52</v>
      </c>
      <c r="H74" s="252"/>
      <c r="I74" s="250">
        <f>IF(Init!$R$9="Yes",IF('Staging Table'!$F$1=2018,(SUM('Staging Table'!BD76:BG76)*Rates_previous!$C$87),(SUM('Staging Table'!BD76:BG76)*Rates_previous!$D$87)),IF('Staging Table'!$F$1=2018,(SUM('Staging Table'!DR76:DU76)*Rates_previous!$C$87),(SUM('Staging Table'!DR76:DU76)*Rates_previous!$D$87)))</f>
        <v>19244.192299921564</v>
      </c>
      <c r="J74" s="252">
        <f>IF(Init!$R$9="Yes",IF('Staging Table'!D76=1,'Staging Table'!H76*-1*'Staging Table'!F76/'Staging Table'!E76,'Staging Table'!H76*SUM(D74:I74)*(-1)),IF('Staging Table'!D76=1,'Staging Table'!BV76*-1*'Staging Table'!BT76/'Staging Table'!BS76,'Staging Table'!BV76*SUM(D74:I74)*(-1)))</f>
        <v>-252917.30178318897</v>
      </c>
      <c r="K74" s="250">
        <f>IF(Init!$R$9="Yes",'Staging Table'!K76,'Staging Table'!BY76)*(-1)*Rates_previous!$H$32</f>
        <v>0</v>
      </c>
      <c r="L74" s="250">
        <f>IF(Init!$R$12="No",0,'Staging Table'!$BI76*-1)*('Staging Table'!$F76/'Staging Table'!$E76)</f>
        <v>-102591.41358022759</v>
      </c>
      <c r="M74" s="250">
        <f>IF('Staging Table'!C76=1,"",SUM(D74:L74))</f>
        <v>3030936.0124165048</v>
      </c>
      <c r="N74" s="250">
        <f>IF('Staging Table'!C76=1,"",IF(Init!$R$9="Yes",(RT1SC!$C$3*'Staging Table'!F76*'Staging Table'!$F$2),Z74))</f>
        <v>83632.419014711981</v>
      </c>
      <c r="O74" s="126">
        <f>IF('Staging Table'!C76=1,"",IF(N74=0, 0, M74/N74))</f>
        <v>36.241161598869041</v>
      </c>
      <c r="P74" s="250">
        <f>'Staging Table'!BT76*Rates_current!$E$74*100*12</f>
        <v>3265298.1200400004</v>
      </c>
      <c r="Q74" s="250">
        <f>'Staging Table'!BT76*Rates_current!$E$75*100*12</f>
        <v>-330337.76819999999</v>
      </c>
      <c r="R74" s="251"/>
      <c r="S74" s="251">
        <f>SUMPRODUCT('Staging Table'!CX76:DI76, LS_Demand_Rates_Restatement!$C$11:$N$11)*1000</f>
        <v>390753.74999999994</v>
      </c>
      <c r="T74" s="252"/>
      <c r="U74" s="252">
        <f>IF(Init!$R$18="Yes",(SUM('Staging Table'!DL76:DU76)*IF('Staging Table'!$BT$1=2020, Rates_current!$C$87, Rates_current!$D$87)),0)</f>
        <v>57001.261912188376</v>
      </c>
      <c r="V74" s="252">
        <f>IF('Staging Table'!D76=1, 'Staging Table'!BV76*-1*'Staging Table'!BT76/'Staging Table'!BS76,SUM(P74:U74)*'Staging Table'!BV76*-1)</f>
        <v>-296165.52515644988</v>
      </c>
      <c r="W74" s="250">
        <f>'Staging Table'!BY76*Rates_current!$H$32*-1</f>
        <v>0</v>
      </c>
      <c r="X74" s="250">
        <f>IF(Init!$R$12="No",0,'Staging Table'!$DW76*-1)</f>
        <v>0</v>
      </c>
      <c r="Y74" s="250">
        <f>IF('Staging Table'!C76=1,"",SUM(P74:X74))</f>
        <v>3086549.8385957391</v>
      </c>
      <c r="Z74" s="250">
        <f>IF('Staging Table'!C76=1,"",(RT1SC!$C$4*'Staging Table'!BT76*'Staging Table'!$BT$2))</f>
        <v>84774.182291251185</v>
      </c>
      <c r="AA74" s="126">
        <f>IF('Staging Table'!C76=1,"",IF(Z74=0, 0, Y74/Z74))</f>
        <v>36.409078273283157</v>
      </c>
      <c r="AB74" s="118">
        <f ca="1">IF('Staging Table'!C76=1,"",(AA74/O74-1)+(RAND()/100000000000))</f>
        <v>4.6333138126292391E-3</v>
      </c>
      <c r="AC74" s="79">
        <f t="shared" ca="1" si="1"/>
        <v>95</v>
      </c>
      <c r="AF74" s="255"/>
      <c r="AG74" s="255"/>
      <c r="AI74" s="255"/>
      <c r="AJ74" s="255"/>
    </row>
    <row r="75" spans="2:36">
      <c r="B75" s="166">
        <v>10231</v>
      </c>
      <c r="C75" s="167" t="s">
        <v>78</v>
      </c>
      <c r="D75" s="250">
        <f>IF(Init!$R$9="Yes",'Staging Table'!F77,'Staging Table'!BT77)*Rates_previous!$E$75*100*12</f>
        <v>13232677.70016</v>
      </c>
      <c r="E75" s="250">
        <f>IF(Init!$R$9="Yes",'Staging Table'!F77,'Staging Table'!BT77)*Rates_previous!$E$76*100*12</f>
        <v>-1866095.5554000002</v>
      </c>
      <c r="F75" s="251"/>
      <c r="G75" s="251">
        <f>IF(Init!$R$9="Yes",SUMPRODUCT('Staging Table'!AJ77:AU77,LS_Demand_Rates_Restatement!$C$10:$N$10),SUMPRODUCT(LS_Demand_Rates_Restatement!$C$10:$N$10,'Staging Table'!CX77:DI77))*1000</f>
        <v>652865.42000000004</v>
      </c>
      <c r="H75" s="252"/>
      <c r="I75" s="250">
        <f>IF(Init!$R$9="Yes",IF('Staging Table'!$F$1=2018,(SUM('Staging Table'!BD77:BG77)*Rates_previous!$C$87),(SUM('Staging Table'!BD77:BG77)*Rates_previous!$D$87)),IF('Staging Table'!$F$1=2018,(SUM('Staging Table'!DR77:DU77)*Rates_previous!$C$87),(SUM('Staging Table'!DR77:DU77)*Rates_previous!$D$87)))</f>
        <v>72708.525777669754</v>
      </c>
      <c r="J75" s="252">
        <f>IF(Init!$R$9="Yes",IF('Staging Table'!D77=1,'Staging Table'!H77*-1*'Staging Table'!F77/'Staging Table'!E77,'Staging Table'!H77*SUM(D75:I75)*(-1)),IF('Staging Table'!D77=1,'Staging Table'!BV77*-1*'Staging Table'!BT77/'Staging Table'!BS77,'Staging Table'!BV77*SUM(D75:I75)*(-1)))</f>
        <v>-1023128.2097608737</v>
      </c>
      <c r="K75" s="250">
        <f>IF(Init!$R$9="Yes",'Staging Table'!K77,'Staging Table'!BY77)*(-1)*Rates_previous!$H$32</f>
        <v>-254400.89304</v>
      </c>
      <c r="L75" s="250">
        <f>IF(Init!$R$12="No",0,'Staging Table'!$BI77*-1)*('Staging Table'!$F77/'Staging Table'!$E77)</f>
        <v>-425266.0217424545</v>
      </c>
      <c r="M75" s="250">
        <f>IF('Staging Table'!C77=1,"",SUM(D75:L75))</f>
        <v>10389360.965994341</v>
      </c>
      <c r="N75" s="250">
        <f>IF('Staging Table'!C77=1,"",IF(Init!$R$9="Yes",(RT1SC!$C$3*'Staging Table'!F77*'Staging Table'!$F$2),Z75))</f>
        <v>315980.52020114404</v>
      </c>
      <c r="O75" s="126">
        <f>IF('Staging Table'!C77=1,"",IF(N75=0, 0, M75/N75))</f>
        <v>32.879751446009315</v>
      </c>
      <c r="P75" s="250">
        <f>'Staging Table'!BT77*Rates_current!$E$74*100*12</f>
        <v>12337498.413959999</v>
      </c>
      <c r="Q75" s="250">
        <f>'Staging Table'!BT77*Rates_current!$E$75*100*12</f>
        <v>-1248137.7017999999</v>
      </c>
      <c r="R75" s="251"/>
      <c r="S75" s="251">
        <f>SUMPRODUCT('Staging Table'!CX77:DI77, LS_Demand_Rates_Restatement!$C$11:$N$11)*1000</f>
        <v>736424.54</v>
      </c>
      <c r="T75" s="252"/>
      <c r="U75" s="252">
        <f>IF(Init!$R$18="Yes",(SUM('Staging Table'!DL77:DU77)*IF('Staging Table'!$BT$1=2020, Rates_current!$C$87, Rates_current!$D$87)),0)</f>
        <v>215371.75246550768</v>
      </c>
      <c r="V75" s="252">
        <f>IF('Staging Table'!D77=1, 'Staging Table'!BV77*-1*'Staging Table'!BT77/'Staging Table'!BS77,SUM(P75:U75)*'Staging Table'!BV77*-1)</f>
        <v>-1022575.9927666136</v>
      </c>
      <c r="W75" s="250">
        <f>'Staging Table'!BY77*Rates_current!$H$32*-1</f>
        <v>-240339.61918999997</v>
      </c>
      <c r="X75" s="250">
        <f>IF(Init!$R$12="No",0,'Staging Table'!$DW77*-1)</f>
        <v>0</v>
      </c>
      <c r="Y75" s="250">
        <f>IF('Staging Table'!C77=1,"",SUM(P75:X75))</f>
        <v>10778241.392668892</v>
      </c>
      <c r="Z75" s="250">
        <f>IF('Staging Table'!C77=1,"",(RT1SC!$C$4*'Staging Table'!BT77*'Staging Table'!$BT$2))</f>
        <v>320308.07023226877</v>
      </c>
      <c r="AA75" s="126">
        <f>IF('Staging Table'!C77=1,"",IF(Z75=0, 0, Y75/Z75))</f>
        <v>33.649609217941773</v>
      </c>
      <c r="AB75" s="118">
        <f ca="1">IF('Staging Table'!C77=1,"",(AA75/O75-1)+(RAND()/100000000000))</f>
        <v>2.3414342812120507E-2</v>
      </c>
      <c r="AC75" s="79">
        <f t="shared" ca="1" si="1"/>
        <v>26</v>
      </c>
      <c r="AF75" s="255"/>
      <c r="AG75" s="255"/>
      <c r="AI75" s="255"/>
      <c r="AJ75" s="255"/>
    </row>
    <row r="76" spans="2:36">
      <c r="B76" s="166">
        <v>10234</v>
      </c>
      <c r="C76" s="167" t="s">
        <v>79</v>
      </c>
      <c r="D76" s="250">
        <f>IF(Init!$R$9="Yes",'Staging Table'!F78,'Staging Table'!BT78)*Rates_previous!$E$75*100*12</f>
        <v>18408909.680640001</v>
      </c>
      <c r="E76" s="250">
        <f>IF(Init!$R$9="Yes",'Staging Table'!F78,'Staging Table'!BT78)*Rates_previous!$E$76*100*12</f>
        <v>-2596056.9216</v>
      </c>
      <c r="F76" s="251"/>
      <c r="G76" s="251">
        <f>IF(Init!$R$9="Yes",SUMPRODUCT('Staging Table'!AJ78:AU78,LS_Demand_Rates_Restatement!$C$10:$N$10),SUMPRODUCT(LS_Demand_Rates_Restatement!$C$10:$N$10,'Staging Table'!CX78:DI78))*1000</f>
        <v>1033985.3999999998</v>
      </c>
      <c r="H76" s="252"/>
      <c r="I76" s="250">
        <f>IF(Init!$R$9="Yes",IF('Staging Table'!$F$1=2018,(SUM('Staging Table'!BD78:BG78)*Rates_previous!$C$87),(SUM('Staging Table'!BD78:BG78)*Rates_previous!$D$87)),IF('Staging Table'!$F$1=2018,(SUM('Staging Table'!DR78:DU78)*Rates_previous!$C$87),(SUM('Staging Table'!DR78:DU78)*Rates_previous!$D$87)))</f>
        <v>101149.94972162164</v>
      </c>
      <c r="J76" s="252">
        <f>IF(Init!$R$9="Yes",IF('Staging Table'!D78=1,'Staging Table'!H78*-1*'Staging Table'!F78/'Staging Table'!E78,'Staging Table'!H78*SUM(D76:I76)*(-1)),IF('Staging Table'!D78=1,'Staging Table'!BV78*-1*'Staging Table'!BT78/'Staging Table'!BS78,'Staging Table'!BV78*SUM(D76:I76)*(-1)))</f>
        <v>-898938.23727682524</v>
      </c>
      <c r="K76" s="250">
        <f>IF(Init!$R$9="Yes",'Staging Table'!K78,'Staging Table'!BY78)*(-1)*Rates_previous!$H$32</f>
        <v>0</v>
      </c>
      <c r="L76" s="250">
        <f>IF(Init!$R$12="No",0,'Staging Table'!$BI78*-1)*('Staging Table'!$F78/'Staging Table'!$E78)</f>
        <v>-286620.29452448682</v>
      </c>
      <c r="M76" s="250">
        <f>IF('Staging Table'!C78=1,"",SUM(D76:L76))</f>
        <v>15762429.57696031</v>
      </c>
      <c r="N76" s="250">
        <f>IF('Staging Table'!C78=1,"",IF(Init!$R$9="Yes",(RT1SC!$C$3*'Staging Table'!F78*'Staging Table'!$F$2),Z76))</f>
        <v>439582.75029657601</v>
      </c>
      <c r="O76" s="126">
        <f>IF('Staging Table'!C78=1,"",IF(N76=0, 0, M76/N76))</f>
        <v>35.857707260636992</v>
      </c>
      <c r="P76" s="250">
        <f>'Staging Table'!BT78*Rates_current!$E$74*100*12</f>
        <v>17163551.520120002</v>
      </c>
      <c r="Q76" s="250">
        <f>'Staging Table'!BT78*Rates_current!$E$75*100*12</f>
        <v>-1736371.1046000002</v>
      </c>
      <c r="R76" s="251"/>
      <c r="S76" s="251">
        <f>SUMPRODUCT('Staging Table'!CX78:DI78, LS_Demand_Rates_Restatement!$C$11:$N$11)*1000</f>
        <v>1145886.1200000001</v>
      </c>
      <c r="T76" s="252"/>
      <c r="U76" s="252">
        <f>IF(Init!$R$18="Yes",(SUM('Staging Table'!DL78:DU78)*IF('Staging Table'!$BT$1=2020, Rates_current!$C$87, Rates_current!$D$87)),0)</f>
        <v>299618.61354629212</v>
      </c>
      <c r="V76" s="252">
        <f>IF('Staging Table'!D78=1, 'Staging Table'!BV78*-1*'Staging Table'!BT78/'Staging Table'!BS78,SUM(P76:U76)*'Staging Table'!BV78*-1)</f>
        <v>-914079.40521918144</v>
      </c>
      <c r="W76" s="250">
        <f>'Staging Table'!BY78*Rates_current!$H$32*-1</f>
        <v>0</v>
      </c>
      <c r="X76" s="250">
        <f>IF(Init!$R$12="No",0,'Staging Table'!$DW78*-1)</f>
        <v>0</v>
      </c>
      <c r="Y76" s="250">
        <f>IF('Staging Table'!C78=1,"",SUM(P76:X76))</f>
        <v>15958605.743847113</v>
      </c>
      <c r="Z76" s="250">
        <f>IF('Staging Table'!C78=1,"",(RT1SC!$C$4*'Staging Table'!BT78*'Staging Table'!$BT$2))</f>
        <v>445602.8184385536</v>
      </c>
      <c r="AA76" s="126">
        <f>IF('Staging Table'!C78=1,"",IF(Z76=0, 0, Y76/Z76))</f>
        <v>35.813520658976095</v>
      </c>
      <c r="AB76" s="118">
        <f ca="1">IF('Staging Table'!C78=1,"",(AA76/O76-1)+(RAND()/100000000000))</f>
        <v>-1.2322762655073195E-3</v>
      </c>
      <c r="AC76" s="79">
        <f t="shared" ca="1" si="1"/>
        <v>108</v>
      </c>
      <c r="AF76" s="255"/>
      <c r="AG76" s="255"/>
      <c r="AI76" s="255"/>
      <c r="AJ76" s="255"/>
    </row>
    <row r="77" spans="2:36">
      <c r="B77" s="166">
        <v>10235</v>
      </c>
      <c r="C77" s="167" t="s">
        <v>80</v>
      </c>
      <c r="D77" s="250">
        <f>IF(Init!$R$9="Yes",'Staging Table'!F79,'Staging Table'!BT79)*Rates_previous!$E$75*100*12</f>
        <v>11407990.32288</v>
      </c>
      <c r="E77" s="250">
        <f>IF(Init!$R$9="Yes",'Staging Table'!F79,'Staging Table'!BT79)*Rates_previous!$E$76*100*12</f>
        <v>-1608774.9222000001</v>
      </c>
      <c r="F77" s="251"/>
      <c r="G77" s="251">
        <f>IF(Init!$R$9="Yes",SUMPRODUCT('Staging Table'!AJ79:AU79,LS_Demand_Rates_Restatement!$C$10:$N$10),SUMPRODUCT(LS_Demand_Rates_Restatement!$C$10:$N$10,'Staging Table'!CX79:DI79))*1000</f>
        <v>433887.74</v>
      </c>
      <c r="H77" s="252"/>
      <c r="I77" s="250">
        <f>IF(Init!$R$9="Yes",IF('Staging Table'!$F$1=2018,(SUM('Staging Table'!BD79:BG79)*Rates_previous!$C$87),(SUM('Staging Table'!BD79:BG79)*Rates_previous!$D$87)),IF('Staging Table'!$F$1=2018,(SUM('Staging Table'!DR79:DU79)*Rates_previous!$C$87),(SUM('Staging Table'!DR79:DU79)*Rates_previous!$D$87)))</f>
        <v>62682.56336754113</v>
      </c>
      <c r="J77" s="252">
        <f>IF(Init!$R$9="Yes",IF('Staging Table'!D79=1,'Staging Table'!H79*-1*'Staging Table'!F79/'Staging Table'!E79,'Staging Table'!H79*SUM(D77:I77)*(-1)),IF('Staging Table'!D79=1,'Staging Table'!BV79*-1*'Staging Table'!BT79/'Staging Table'!BS79,'Staging Table'!BV79*SUM(D77:I77)*(-1)))</f>
        <v>0</v>
      </c>
      <c r="K77" s="250">
        <f>IF(Init!$R$9="Yes",'Staging Table'!K79,'Staging Table'!BY79)*(-1)*Rates_previous!$H$32</f>
        <v>0</v>
      </c>
      <c r="L77" s="250">
        <f>IF(Init!$R$12="No",0,'Staging Table'!$BI79*-1)*('Staging Table'!$F79/'Staging Table'!$E79)</f>
        <v>-439571.22445567552</v>
      </c>
      <c r="M77" s="250">
        <f>IF('Staging Table'!C79=1,"",SUM(D77:L77))</f>
        <v>9856214.479591867</v>
      </c>
      <c r="N77" s="250">
        <f>IF('Staging Table'!C79=1,"",IF(Init!$R$9="Yes",(RT1SC!$C$3*'Staging Table'!F79*'Staging Table'!$F$2),Z77))</f>
        <v>272409.16754359199</v>
      </c>
      <c r="O77" s="126">
        <f>IF('Staging Table'!C79=1,"",IF(N77=0, 0, M77/N77))</f>
        <v>36.181654855703918</v>
      </c>
      <c r="P77" s="250">
        <f>'Staging Table'!BT79*Rates_current!$E$74*100*12</f>
        <v>10634381.278200001</v>
      </c>
      <c r="Q77" s="250">
        <f>'Staging Table'!BT79*Rates_current!$E$75*100*12</f>
        <v>-1075839.831</v>
      </c>
      <c r="R77" s="251"/>
      <c r="S77" s="251">
        <f>SUMPRODUCT('Staging Table'!CX79:DI79, LS_Demand_Rates_Restatement!$C$11:$N$11)*1000</f>
        <v>498748.99999999994</v>
      </c>
      <c r="T77" s="252"/>
      <c r="U77" s="252">
        <f>IF(Init!$R$18="Yes",(SUM('Staging Table'!DL79:DU79)*IF('Staging Table'!$BT$1=2020, Rates_current!$C$87, Rates_current!$D$87)),0)</f>
        <v>185640.9829143947</v>
      </c>
      <c r="V77" s="252">
        <f>IF('Staging Table'!D79=1, 'Staging Table'!BV79*-1*'Staging Table'!BT79/'Staging Table'!BS79,SUM(P77:U77)*'Staging Table'!BV79*-1)</f>
        <v>0</v>
      </c>
      <c r="W77" s="250">
        <f>'Staging Table'!BY79*Rates_current!$H$32*-1</f>
        <v>0</v>
      </c>
      <c r="X77" s="250">
        <f>IF(Init!$R$12="No",0,'Staging Table'!$DW79*-1)</f>
        <v>0</v>
      </c>
      <c r="Y77" s="250">
        <f>IF('Staging Table'!C79=1,"",SUM(P77:X77))</f>
        <v>10242931.430114396</v>
      </c>
      <c r="Z77" s="250">
        <f>IF('Staging Table'!C79=1,"",(RT1SC!$C$4*'Staging Table'!BT79*'Staging Table'!$BT$2))</f>
        <v>276091.47584409598</v>
      </c>
      <c r="AA77" s="126">
        <f>IF('Staging Table'!C79=1,"",IF(Z77=0, 0, Y77/Z77))</f>
        <v>37.099774264303619</v>
      </c>
      <c r="AB77" s="118">
        <f ca="1">IF('Staging Table'!C79=1,"",(AA77/O77-1)+(RAND()/100000000000))</f>
        <v>2.5375274082032873E-2</v>
      </c>
      <c r="AC77" s="79">
        <f t="shared" ca="1" si="1"/>
        <v>17</v>
      </c>
      <c r="AF77" s="255"/>
      <c r="AG77" s="255"/>
      <c r="AI77" s="255"/>
      <c r="AJ77" s="255"/>
    </row>
    <row r="78" spans="2:36">
      <c r="B78" s="166">
        <v>10236</v>
      </c>
      <c r="C78" s="167" t="s">
        <v>81</v>
      </c>
      <c r="D78" s="250">
        <f>IF(Init!$R$9="Yes",'Staging Table'!F80,'Staging Table'!BT80)*Rates_previous!$E$75*100*12</f>
        <v>10057691.090880001</v>
      </c>
      <c r="E78" s="250">
        <f>IF(Init!$R$9="Yes",'Staging Table'!F80,'Staging Table'!BT80)*Rates_previous!$E$76*100*12</f>
        <v>-1418353.3422000003</v>
      </c>
      <c r="F78" s="251"/>
      <c r="G78" s="251">
        <f>IF(Init!$R$9="Yes",SUMPRODUCT('Staging Table'!AJ80:AU80,LS_Demand_Rates_Restatement!$C$10:$N$10),SUMPRODUCT(LS_Demand_Rates_Restatement!$C$10:$N$10,'Staging Table'!CX80:DI80))*1000</f>
        <v>0</v>
      </c>
      <c r="H78" s="252"/>
      <c r="I78" s="250">
        <f>IF(Init!$R$9="Yes",IF('Staging Table'!$F$1=2018,(SUM('Staging Table'!BD80:BG80)*Rates_previous!$C$87),(SUM('Staging Table'!BD80:BG80)*Rates_previous!$D$87)),IF('Staging Table'!$F$1=2018,(SUM('Staging Table'!DR80:DU80)*Rates_previous!$C$87),(SUM('Staging Table'!DR80:DU80)*Rates_previous!$D$87)))</f>
        <v>55263.183198079852</v>
      </c>
      <c r="J78" s="252">
        <f>IF(Init!$R$9="Yes",IF('Staging Table'!D80=1,'Staging Table'!H80*-1*'Staging Table'!F80/'Staging Table'!E80,'Staging Table'!H80*SUM(D78:I78)*(-1)),IF('Staging Table'!D80=1,'Staging Table'!BV80*-1*'Staging Table'!BT80/'Staging Table'!BS80,'Staging Table'!BV80*SUM(D78:I78)*(-1)))</f>
        <v>-565149.06057207531</v>
      </c>
      <c r="K78" s="250">
        <f>IF(Init!$R$9="Yes",'Staging Table'!K80,'Staging Table'!BY80)*(-1)*Rates_previous!$H$32</f>
        <v>0</v>
      </c>
      <c r="L78" s="250">
        <f>IF(Init!$R$12="No",0,'Staging Table'!$BI80*-1)*('Staging Table'!$F80/'Staging Table'!$E80)</f>
        <v>-310753.25035182608</v>
      </c>
      <c r="M78" s="250" t="str">
        <f>IF('Staging Table'!C80=1,"",SUM(D78:L78))</f>
        <v/>
      </c>
      <c r="N78" s="250" t="str">
        <f>IF('Staging Table'!C80=1,"",IF(Init!$R$9="Yes",(RT1SC!$C$3*'Staging Table'!F80*'Staging Table'!$F$2),Z78))</f>
        <v/>
      </c>
      <c r="O78" s="126" t="str">
        <f>IF('Staging Table'!C80=1,"",IF(N78=0, 0, M78/N78))</f>
        <v/>
      </c>
      <c r="P78" s="250">
        <f>'Staging Table'!BT80*Rates_current!$E$74*100*12</f>
        <v>9283248.0216000006</v>
      </c>
      <c r="Q78" s="250">
        <f>'Staging Table'!BT80*Rates_current!$E$75*100*12</f>
        <v>-939150.82799999998</v>
      </c>
      <c r="R78" s="251"/>
      <c r="S78" s="251">
        <f>SUMPRODUCT('Staging Table'!CX80:DI80, LS_Demand_Rates_Restatement!$C$11:$N$11)*1000</f>
        <v>0</v>
      </c>
      <c r="T78" s="252"/>
      <c r="U78" s="252">
        <f>IF(Init!$R$18="Yes",(SUM('Staging Table'!DL80:DU80)*IF('Staging Table'!$BT$1=2020, Rates_current!$C$87, Rates_current!$D$87)),0)</f>
        <v>162054.68304025603</v>
      </c>
      <c r="V78" s="252">
        <f>IF('Staging Table'!D80=1, 'Staging Table'!BV80*-1*'Staging Table'!BT80/'Staging Table'!BS80,SUM(P78:U78)*'Staging Table'!BV80*-1)</f>
        <v>-552899.87198161671</v>
      </c>
      <c r="W78" s="250">
        <f>'Staging Table'!BY80*Rates_current!$H$32*-1</f>
        <v>0</v>
      </c>
      <c r="X78" s="250">
        <f>IF(Init!$R$12="No",0,'Staging Table'!$DW80*-1)</f>
        <v>0</v>
      </c>
      <c r="Y78" s="250" t="str">
        <f>IF('Staging Table'!C80=1,"",SUM(P78:X78))</f>
        <v/>
      </c>
      <c r="Z78" s="250" t="str">
        <f>IF('Staging Table'!C80=1,"",(RT1SC!$C$4*'Staging Table'!BT80*'Staging Table'!$BT$2))</f>
        <v/>
      </c>
      <c r="AA78" s="126" t="str">
        <f>IF('Staging Table'!C80=1,"",IF(Z78=0, 0, Y78/Z78))</f>
        <v/>
      </c>
      <c r="AB78" s="118" t="str">
        <f ca="1">IF('Staging Table'!C80=1,"",(AA78/O78-1)+(RAND()/100000000000))</f>
        <v/>
      </c>
      <c r="AC78" s="79" t="str">
        <f t="shared" ca="1" si="1"/>
        <v/>
      </c>
      <c r="AF78" s="255"/>
      <c r="AG78" s="255"/>
      <c r="AI78" s="255"/>
      <c r="AJ78" s="255"/>
    </row>
    <row r="79" spans="2:36">
      <c r="B79" s="166">
        <v>10237</v>
      </c>
      <c r="C79" s="167" t="s">
        <v>82</v>
      </c>
      <c r="D79" s="250">
        <f>IF(Init!$R$9="Yes",'Staging Table'!F81,'Staging Table'!BT81)*Rates_previous!$E$75*100*12</f>
        <v>15646401.270719999</v>
      </c>
      <c r="E79" s="250">
        <f>IF(Init!$R$9="Yes",'Staging Table'!F81,'Staging Table'!BT81)*Rates_previous!$E$76*100*12</f>
        <v>-2206483.1118000001</v>
      </c>
      <c r="F79" s="251"/>
      <c r="G79" s="251">
        <f>IF(Init!$R$9="Yes",SUMPRODUCT('Staging Table'!AJ81:AU81,LS_Demand_Rates_Restatement!$C$10:$N$10),SUMPRODUCT(LS_Demand_Rates_Restatement!$C$10:$N$10,'Staging Table'!CX81:DI81))*1000</f>
        <v>0</v>
      </c>
      <c r="H79" s="252"/>
      <c r="I79" s="250">
        <f>IF(Init!$R$9="Yes",IF('Staging Table'!$F$1=2018,(SUM('Staging Table'!BD81:BG81)*Rates_previous!$C$87),(SUM('Staging Table'!BD81:BG81)*Rates_previous!$D$87)),IF('Staging Table'!$F$1=2018,(SUM('Staging Table'!DR81:DU81)*Rates_previous!$C$87),(SUM('Staging Table'!DR81:DU81)*Rates_previous!$D$87)))</f>
        <v>85971.017801344497</v>
      </c>
      <c r="J79" s="252">
        <f>IF(Init!$R$9="Yes",IF('Staging Table'!D81=1,'Staging Table'!H81*-1*'Staging Table'!F81/'Staging Table'!E81,'Staging Table'!H81*SUM(D79:I79)*(-1)),IF('Staging Table'!D81=1,'Staging Table'!BV81*-1*'Staging Table'!BT81/'Staging Table'!BS81,'Staging Table'!BV81*SUM(D79:I79)*(-1)))</f>
        <v>-701804.93038669822</v>
      </c>
      <c r="K79" s="250">
        <f>IF(Init!$R$9="Yes",'Staging Table'!K81,'Staging Table'!BY81)*(-1)*Rates_previous!$H$32</f>
        <v>0</v>
      </c>
      <c r="L79" s="250">
        <f>IF(Init!$R$12="No",0,'Staging Table'!$BI81*-1)*('Staging Table'!$F81/'Staging Table'!$E81)</f>
        <v>-522661.67466203385</v>
      </c>
      <c r="M79" s="250">
        <f>IF('Staging Table'!C81=1,"",SUM(D79:L79))</f>
        <v>12301422.571672613</v>
      </c>
      <c r="N79" s="250">
        <f>IF('Staging Table'!C81=1,"",IF(Init!$R$9="Yes",(RT1SC!$C$3*'Staging Table'!F81*'Staging Table'!$F$2),Z79))</f>
        <v>373617.35280064796</v>
      </c>
      <c r="O79" s="126">
        <f>IF('Staging Table'!C81=1,"",IF(N79=0, 0, M79/N79))</f>
        <v>32.925190651506803</v>
      </c>
      <c r="P79" s="250">
        <f>'Staging Table'!BT81*Rates_current!$E$74*100*12</f>
        <v>14081969.49636</v>
      </c>
      <c r="Q79" s="250">
        <f>'Staging Table'!BT81*Rates_current!$E$75*100*12</f>
        <v>-1424619.1938</v>
      </c>
      <c r="R79" s="251"/>
      <c r="S79" s="251">
        <f>SUMPRODUCT('Staging Table'!CX81:DI81, LS_Demand_Rates_Restatement!$C$11:$N$11)*1000</f>
        <v>0</v>
      </c>
      <c r="T79" s="252"/>
      <c r="U79" s="252">
        <f>IF(Init!$R$18="Yes",(SUM('Staging Table'!DL81:DU81)*IF('Staging Table'!$BT$1=2020, Rates_current!$C$87, Rates_current!$D$87)),0)</f>
        <v>245824.42459852045</v>
      </c>
      <c r="V79" s="252">
        <f>IF('Staging Table'!D81=1, 'Staging Table'!BV81*-1*'Staging Table'!BT81/'Staging Table'!BS81,SUM(P79:U79)*'Staging Table'!BV81*-1)</f>
        <v>-686751.36349879915</v>
      </c>
      <c r="W79" s="250">
        <f>'Staging Table'!BY81*Rates_current!$H$32*-1</f>
        <v>0</v>
      </c>
      <c r="X79" s="250">
        <f>IF(Init!$R$12="No",0,'Staging Table'!$DW81*-1)</f>
        <v>0</v>
      </c>
      <c r="Y79" s="250">
        <f>IF('Staging Table'!C81=1,"",SUM(P79:X79))</f>
        <v>12216423.363659721</v>
      </c>
      <c r="Z79" s="250">
        <f>IF('Staging Table'!C81=1,"",(RT1SC!$C$4*'Staging Table'!BT81*'Staging Table'!$BT$2))</f>
        <v>365598.30227374076</v>
      </c>
      <c r="AA79" s="126">
        <f>IF('Staging Table'!C81=1,"",IF(Z79=0, 0, Y79/Z79))</f>
        <v>33.414879904208924</v>
      </c>
      <c r="AB79" s="118">
        <f ca="1">IF('Staging Table'!C81=1,"",(AA79/O79-1)+(RAND()/100000000000))</f>
        <v>1.4872784121763455E-2</v>
      </c>
      <c r="AC79" s="79">
        <f t="shared" ca="1" si="1"/>
        <v>72</v>
      </c>
      <c r="AF79" s="255"/>
      <c r="AG79" s="255"/>
      <c r="AI79" s="255"/>
      <c r="AJ79" s="255"/>
    </row>
    <row r="80" spans="2:36">
      <c r="B80" s="166">
        <v>10239</v>
      </c>
      <c r="C80" s="167" t="s">
        <v>83</v>
      </c>
      <c r="D80" s="250">
        <f>IF(Init!$R$9="Yes",'Staging Table'!F82,'Staging Table'!BT82)*Rates_previous!$E$75*100*12</f>
        <v>4992540.33024</v>
      </c>
      <c r="E80" s="250">
        <f>IF(Init!$R$9="Yes",'Staging Table'!F82,'Staging Table'!BT82)*Rates_previous!$E$76*100*12</f>
        <v>-704056.84560000012</v>
      </c>
      <c r="F80" s="251"/>
      <c r="G80" s="251">
        <f>IF(Init!$R$9="Yes",SUMPRODUCT('Staging Table'!AJ82:AU82,LS_Demand_Rates_Restatement!$C$10:$N$10),SUMPRODUCT(LS_Demand_Rates_Restatement!$C$10:$N$10,'Staging Table'!CX82:DI82))*1000</f>
        <v>0</v>
      </c>
      <c r="H80" s="252"/>
      <c r="I80" s="250">
        <f>IF(Init!$R$9="Yes",IF('Staging Table'!$F$1=2018,(SUM('Staging Table'!BD82:BG82)*Rates_previous!$C$87),(SUM('Staging Table'!BD82:BG82)*Rates_previous!$D$87)),IF('Staging Table'!$F$1=2018,(SUM('Staging Table'!DR82:DU82)*Rates_previous!$C$87),(SUM('Staging Table'!DR82:DU82)*Rates_previous!$D$87)))</f>
        <v>27432.108264294973</v>
      </c>
      <c r="J80" s="252">
        <f>IF(Init!$R$9="Yes",IF('Staging Table'!D82=1,'Staging Table'!H82*-1*'Staging Table'!F82/'Staging Table'!E82,'Staging Table'!H82*SUM(D80:I80)*(-1)),IF('Staging Table'!D82=1,'Staging Table'!BV82*-1*'Staging Table'!BT82/'Staging Table'!BS82,'Staging Table'!BV82*SUM(D80:I80)*(-1)))</f>
        <v>-302114.0915033007</v>
      </c>
      <c r="K80" s="250">
        <f>IF(Init!$R$9="Yes",'Staging Table'!K82,'Staging Table'!BY82)*(-1)*Rates_previous!$H$32</f>
        <v>0</v>
      </c>
      <c r="L80" s="250">
        <f>IF(Init!$R$12="No",0,'Staging Table'!$BI82*-1)*('Staging Table'!$F82/'Staging Table'!$E82)</f>
        <v>-77732.109326586622</v>
      </c>
      <c r="M80" s="250" t="str">
        <f>IF('Staging Table'!C82=1,"",SUM(D80:L80))</f>
        <v/>
      </c>
      <c r="N80" s="250" t="str">
        <f>IF('Staging Table'!C82=1,"",IF(Init!$R$9="Yes",(RT1SC!$C$3*'Staging Table'!F82*'Staging Table'!$F$2),Z80))</f>
        <v/>
      </c>
      <c r="O80" s="126" t="str">
        <f>IF('Staging Table'!C82=1,"",IF(N80=0, 0, M80/N80))</f>
        <v/>
      </c>
      <c r="P80" s="250">
        <f>'Staging Table'!BT82*Rates_current!$E$74*100*12</f>
        <v>4711735.5870000003</v>
      </c>
      <c r="Q80" s="250">
        <f>'Staging Table'!BT82*Rates_current!$E$75*100*12</f>
        <v>-476668.33500000002</v>
      </c>
      <c r="R80" s="251"/>
      <c r="S80" s="251">
        <f>SUMPRODUCT('Staging Table'!CX82:DI82, LS_Demand_Rates_Restatement!$C$11:$N$11)*1000</f>
        <v>0</v>
      </c>
      <c r="T80" s="252"/>
      <c r="U80" s="252">
        <f>IF(Init!$R$18="Yes",(SUM('Staging Table'!DL82:DU82)*IF('Staging Table'!$BT$1=2020, Rates_current!$C$87, Rates_current!$D$87)),0)</f>
        <v>82251.256817027024</v>
      </c>
      <c r="V80" s="252">
        <f>IF('Staging Table'!D82=1, 'Staging Table'!BV82*-1*'Staging Table'!BT82/'Staging Table'!BS82,SUM(P80:U80)*'Staging Table'!BV82*-1)</f>
        <v>-302429.45673818537</v>
      </c>
      <c r="W80" s="250">
        <f>'Staging Table'!BY82*Rates_current!$H$32*-1</f>
        <v>0</v>
      </c>
      <c r="X80" s="250">
        <f>IF(Init!$R$12="No",0,'Staging Table'!$DW82*-1)</f>
        <v>0</v>
      </c>
      <c r="Y80" s="250" t="str">
        <f>IF('Staging Table'!C82=1,"",SUM(P80:X80))</f>
        <v/>
      </c>
      <c r="Z80" s="250" t="str">
        <f>IF('Staging Table'!C82=1,"",(RT1SC!$C$4*'Staging Table'!BT82*'Staging Table'!$BT$2))</f>
        <v/>
      </c>
      <c r="AA80" s="126" t="str">
        <f>IF('Staging Table'!C82=1,"",IF(Z80=0, 0, Y80/Z80))</f>
        <v/>
      </c>
      <c r="AB80" s="118" t="str">
        <f ca="1">IF('Staging Table'!C82=1,"",(AA80/O80-1)+(RAND()/100000000000))</f>
        <v/>
      </c>
      <c r="AC80" s="79" t="str">
        <f t="shared" ca="1" si="1"/>
        <v/>
      </c>
      <c r="AF80" s="255"/>
      <c r="AG80" s="255"/>
      <c r="AI80" s="255"/>
      <c r="AJ80" s="255"/>
    </row>
    <row r="81" spans="2:36">
      <c r="B81" s="166">
        <v>10242</v>
      </c>
      <c r="C81" s="167" t="s">
        <v>84</v>
      </c>
      <c r="D81" s="250">
        <f>IF(Init!$R$9="Yes",'Staging Table'!F83,'Staging Table'!BT83)*Rates_previous!$E$75*100*12</f>
        <v>3388231.9785599997</v>
      </c>
      <c r="E81" s="250">
        <f>IF(Init!$R$9="Yes",'Staging Table'!F83,'Staging Table'!BT83)*Rates_previous!$E$76*100*12</f>
        <v>-477814.45139999996</v>
      </c>
      <c r="F81" s="251"/>
      <c r="G81" s="251">
        <f>IF(Init!$R$9="Yes",SUMPRODUCT('Staging Table'!AJ83:AU83,LS_Demand_Rates_Restatement!$C$10:$N$10),SUMPRODUCT(LS_Demand_Rates_Restatement!$C$10:$N$10,'Staging Table'!CX83:DI83))*1000</f>
        <v>217489.80999999997</v>
      </c>
      <c r="H81" s="252"/>
      <c r="I81" s="250">
        <f>IF(Init!$R$9="Yes",IF('Staging Table'!$F$1=2018,(SUM('Staging Table'!BD83:BG83)*Rates_previous!$C$87),(SUM('Staging Table'!BD83:BG83)*Rates_previous!$D$87)),IF('Staging Table'!$F$1=2018,(SUM('Staging Table'!DR83:DU83)*Rates_previous!$C$87),(SUM('Staging Table'!DR83:DU83)*Rates_previous!$D$87)))</f>
        <v>18617.04469314446</v>
      </c>
      <c r="J81" s="252">
        <f>IF(Init!$R$9="Yes",IF('Staging Table'!D83=1,'Staging Table'!H83*-1*'Staging Table'!F83/'Staging Table'!E83,'Staging Table'!H83*SUM(D81:I81)*(-1)),IF('Staging Table'!D83=1,'Staging Table'!BV83*-1*'Staging Table'!BT83/'Staging Table'!BS83,'Staging Table'!BV83*SUM(D81:I81)*(-1)))</f>
        <v>-220256.70672972011</v>
      </c>
      <c r="K81" s="250">
        <f>IF(Init!$R$9="Yes",'Staging Table'!K83,'Staging Table'!BY83)*(-1)*Rates_previous!$H$32</f>
        <v>-441692.59343999997</v>
      </c>
      <c r="L81" s="250">
        <f>IF(Init!$R$12="No",0,'Staging Table'!$BI83*-1)*('Staging Table'!$F83/'Staging Table'!$E83)</f>
        <v>-103518.26046054739</v>
      </c>
      <c r="M81" s="250">
        <f>IF('Staging Table'!C83=1,"",SUM(D81:L81))</f>
        <v>2381056.8212228771</v>
      </c>
      <c r="N81" s="250">
        <f>IF('Staging Table'!C83=1,"",IF(Init!$R$9="Yes",(RT1SC!$C$3*'Staging Table'!F83*'Staging Table'!$F$2),Z81))</f>
        <v>80906.928091704001</v>
      </c>
      <c r="O81" s="126">
        <f>IF('Staging Table'!C83=1,"",IF(N81=0, 0, M81/N81))</f>
        <v>29.429578867758604</v>
      </c>
      <c r="P81" s="250">
        <f>'Staging Table'!BT83*Rates_current!$E$74*100*12</f>
        <v>3205643.8636800004</v>
      </c>
      <c r="Q81" s="250">
        <f>'Staging Table'!BT83*Rates_current!$E$75*100*12</f>
        <v>-324302.77439999999</v>
      </c>
      <c r="R81" s="251"/>
      <c r="S81" s="251">
        <f>SUMPRODUCT('Staging Table'!CX83:DI83, LS_Demand_Rates_Restatement!$C$11:$N$11)*1000</f>
        <v>233831.99999999997</v>
      </c>
      <c r="T81" s="252"/>
      <c r="U81" s="252">
        <f>IF(Init!$R$18="Yes",(SUM('Staging Table'!DL83:DU83)*IF('Staging Table'!$BT$1=2020, Rates_current!$C$87, Rates_current!$D$87)),0)</f>
        <v>55959.89669347091</v>
      </c>
      <c r="V81" s="252">
        <f>IF('Staging Table'!D83=1, 'Staging Table'!BV83*-1*'Staging Table'!BT83/'Staging Table'!BS83,SUM(P81:U81)*'Staging Table'!BV83*-1)</f>
        <v>-232334.32667054076</v>
      </c>
      <c r="W81" s="250">
        <f>'Staging Table'!BY83*Rates_current!$H$32*-1</f>
        <v>-417279.31234</v>
      </c>
      <c r="X81" s="250">
        <f>IF(Init!$R$12="No",0,'Staging Table'!$DW83*-1)</f>
        <v>0</v>
      </c>
      <c r="Y81" s="250">
        <f>IF('Staging Table'!C83=1,"",SUM(P81:X81))</f>
        <v>2521519.3469629302</v>
      </c>
      <c r="Z81" s="250">
        <f>IF('Staging Table'!C83=1,"",(RT1SC!$C$4*'Staging Table'!BT83*'Staging Table'!$BT$2))</f>
        <v>83225.429124710397</v>
      </c>
      <c r="AA81" s="126">
        <f>IF('Staging Table'!C83=1,"",IF(Z81=0, 0, Y81/Z81))</f>
        <v>30.297462848578665</v>
      </c>
      <c r="AB81" s="118">
        <f ca="1">IF('Staging Table'!C83=1,"",(AA81/O81-1)+(RAND()/100000000000))</f>
        <v>2.9490193687056999E-2</v>
      </c>
      <c r="AC81" s="79">
        <f t="shared" ca="1" si="1"/>
        <v>7</v>
      </c>
      <c r="AF81" s="255"/>
      <c r="AG81" s="255"/>
      <c r="AI81" s="255"/>
      <c r="AJ81" s="255"/>
    </row>
    <row r="82" spans="2:36">
      <c r="B82" s="166">
        <v>10244</v>
      </c>
      <c r="C82" s="167" t="s">
        <v>85</v>
      </c>
      <c r="D82" s="250">
        <f>IF(Init!$R$9="Yes",'Staging Table'!F84,'Staging Table'!BT84)*Rates_previous!$E$75*100*12</f>
        <v>31056627.56256</v>
      </c>
      <c r="E82" s="250">
        <f>IF(Init!$R$9="Yes",'Staging Table'!F84,'Staging Table'!BT84)*Rates_previous!$E$76*100*12</f>
        <v>-4379660.4114000006</v>
      </c>
      <c r="F82" s="251"/>
      <c r="G82" s="251">
        <f>IF(Init!$R$9="Yes",SUMPRODUCT('Staging Table'!AJ84:AU84,LS_Demand_Rates_Restatement!$C$10:$N$10),SUMPRODUCT(LS_Demand_Rates_Restatement!$C$10:$N$10,'Staging Table'!CX84:DI84))*1000</f>
        <v>1728985.0999999996</v>
      </c>
      <c r="H82" s="252"/>
      <c r="I82" s="250">
        <f>IF(Init!$R$9="Yes",IF('Staging Table'!$F$1=2018,(SUM('Staging Table'!BD84:BG84)*Rates_previous!$C$87),(SUM('Staging Table'!BD84:BG84)*Rates_previous!$D$87)),IF('Staging Table'!$F$1=2018,(SUM('Staging Table'!DR84:DU84)*Rates_previous!$C$87),(SUM('Staging Table'!DR84:DU84)*Rates_previous!$D$87)))</f>
        <v>170644.34401455871</v>
      </c>
      <c r="J82" s="252">
        <f>IF(Init!$R$9="Yes",IF('Staging Table'!D84=1,'Staging Table'!H84*-1*'Staging Table'!F84/'Staging Table'!E84,'Staging Table'!H84*SUM(D82:I82)*(-1)),IF('Staging Table'!D84=1,'Staging Table'!BV84*-1*'Staging Table'!BT84/'Staging Table'!BS84,'Staging Table'!BV84*SUM(D82:I82)*(-1)))</f>
        <v>-1689622.7079459503</v>
      </c>
      <c r="K82" s="250">
        <f>IF(Init!$R$9="Yes",'Staging Table'!K84,'Staging Table'!BY84)*(-1)*Rates_previous!$H$32</f>
        <v>0</v>
      </c>
      <c r="L82" s="250">
        <f>IF(Init!$R$12="No",0,'Staging Table'!$BI84*-1)*('Staging Table'!$F84/'Staging Table'!$E84)</f>
        <v>-483540.84480514302</v>
      </c>
      <c r="M82" s="250">
        <f>IF('Staging Table'!C84=1,"",SUM(D82:L82))</f>
        <v>26403433.042423461</v>
      </c>
      <c r="N82" s="250">
        <f>IF('Staging Table'!C84=1,"",IF(Init!$R$9="Yes",(RT1SC!$C$3*'Staging Table'!F84*'Staging Table'!$F$2),Z82))</f>
        <v>741595.1295173039</v>
      </c>
      <c r="O82" s="126">
        <f>IF('Staging Table'!C84=1,"",IF(N82=0, 0, M82/N82))</f>
        <v>35.603568566596664</v>
      </c>
      <c r="P82" s="250">
        <f>'Staging Table'!BT84*Rates_current!$E$74*100*12</f>
        <v>28955605.637879997</v>
      </c>
      <c r="Q82" s="250">
        <f>'Staging Table'!BT84*Rates_current!$E$75*100*12</f>
        <v>-2929328.2853999999</v>
      </c>
      <c r="R82" s="251"/>
      <c r="S82" s="251">
        <f>SUMPRODUCT('Staging Table'!CX84:DI84, LS_Demand_Rates_Restatement!$C$11:$N$11)*1000</f>
        <v>1935006.0499999996</v>
      </c>
      <c r="T82" s="252"/>
      <c r="U82" s="252">
        <f>IF(Init!$R$18="Yes",(SUM('Staging Table'!DL84:DU84)*IF('Staging Table'!$BT$1=2020, Rates_current!$C$87, Rates_current!$D$87)),0)</f>
        <v>505468.71988846682</v>
      </c>
      <c r="V82" s="252">
        <f>IF('Staging Table'!D84=1, 'Staging Table'!BV84*-1*'Staging Table'!BT84/'Staging Table'!BS84,SUM(P82:U82)*'Staging Table'!BV84*-1)</f>
        <v>-1767221.6651070588</v>
      </c>
      <c r="W82" s="250">
        <f>'Staging Table'!BY84*Rates_current!$H$32*-1</f>
        <v>0</v>
      </c>
      <c r="X82" s="250">
        <f>IF(Init!$R$12="No",0,'Staging Table'!$DW84*-1)</f>
        <v>0</v>
      </c>
      <c r="Y82" s="250">
        <f>IF('Staging Table'!C84=1,"",SUM(P82:X82))</f>
        <v>26699530.457261406</v>
      </c>
      <c r="Z82" s="250">
        <f>IF('Staging Table'!C84=1,"",(RT1SC!$C$4*'Staging Table'!BT84*'Staging Table'!$BT$2))</f>
        <v>751749.97824368638</v>
      </c>
      <c r="AA82" s="126">
        <f>IF('Staging Table'!C84=1,"",IF(Z82=0, 0, Y82/Z82))</f>
        <v>35.51650313264993</v>
      </c>
      <c r="AB82" s="118">
        <f ca="1">IF('Staging Table'!C84=1,"",(AA82/O82-1)+(RAND()/100000000000))</f>
        <v>-2.4454131204706825E-3</v>
      </c>
      <c r="AC82" s="79">
        <f t="shared" ca="1" si="1"/>
        <v>115</v>
      </c>
      <c r="AF82" s="255"/>
      <c r="AG82" s="255"/>
      <c r="AI82" s="255"/>
      <c r="AJ82" s="255"/>
    </row>
    <row r="83" spans="2:36">
      <c r="B83" s="166">
        <v>10246</v>
      </c>
      <c r="C83" s="167" t="s">
        <v>86</v>
      </c>
      <c r="D83" s="250">
        <f>IF(Init!$R$9="Yes",'Staging Table'!F85,'Staging Table'!BT85)*Rates_previous!$E$75*100*12</f>
        <v>3244030.2115200004</v>
      </c>
      <c r="E83" s="250">
        <f>IF(Init!$R$9="Yes",'Staging Table'!F85,'Staging Table'!BT85)*Rates_previous!$E$76*100*12</f>
        <v>-457478.86379999999</v>
      </c>
      <c r="F83" s="251"/>
      <c r="G83" s="251">
        <f>IF(Init!$R$9="Yes",SUMPRODUCT('Staging Table'!AJ85:AU85,LS_Demand_Rates_Restatement!$C$10:$N$10),SUMPRODUCT(LS_Demand_Rates_Restatement!$C$10:$N$10,'Staging Table'!CX85:DI85))*1000</f>
        <v>122720.89000000001</v>
      </c>
      <c r="H83" s="252"/>
      <c r="I83" s="250">
        <f>IF(Init!$R$9="Yes",IF('Staging Table'!$F$1=2018,(SUM('Staging Table'!BD85:BG85)*Rates_previous!$C$87),(SUM('Staging Table'!BD85:BG85)*Rates_previous!$D$87)),IF('Staging Table'!$F$1=2018,(SUM('Staging Table'!DR85:DU85)*Rates_previous!$C$87),(SUM('Staging Table'!DR85:DU85)*Rates_previous!$D$87)))</f>
        <v>17824.710886368026</v>
      </c>
      <c r="J83" s="252">
        <f>IF(Init!$R$9="Yes",IF('Staging Table'!D85=1,'Staging Table'!H85*-1*'Staging Table'!F85/'Staging Table'!E85,'Staging Table'!H85*SUM(D83:I83)*(-1)),IF('Staging Table'!D85=1,'Staging Table'!BV85*-1*'Staging Table'!BT85/'Staging Table'!BS85,'Staging Table'!BV85*SUM(D83:I83)*(-1)))</f>
        <v>-190562.49993542559</v>
      </c>
      <c r="K83" s="250">
        <f>IF(Init!$R$9="Yes",'Staging Table'!K85,'Staging Table'!BY85)*(-1)*Rates_previous!$H$32</f>
        <v>0</v>
      </c>
      <c r="L83" s="250">
        <f>IF(Init!$R$12="No",0,'Staging Table'!$BI85*-1)*('Staging Table'!$F85/'Staging Table'!$E85)</f>
        <v>-102600.73460245307</v>
      </c>
      <c r="M83" s="250">
        <f>IF('Staging Table'!C85=1,"",SUM(D83:L83))</f>
        <v>2633933.7140684901</v>
      </c>
      <c r="N83" s="250">
        <f>IF('Staging Table'!C85=1,"",IF(Init!$R$9="Yes",(RT1SC!$C$3*'Staging Table'!F85*'Staging Table'!$F$2),Z83))</f>
        <v>77463.562327367996</v>
      </c>
      <c r="O83" s="126">
        <f>IF('Staging Table'!C85=1,"",IF(N83=0, 0, M83/N83))</f>
        <v>34.002228079019254</v>
      </c>
      <c r="P83" s="250">
        <f>'Staging Table'!BT85*Rates_current!$E$74*100*12</f>
        <v>2972255.49816</v>
      </c>
      <c r="Q83" s="250">
        <f>'Staging Table'!BT85*Rates_current!$E$75*100*12</f>
        <v>-300691.76279999997</v>
      </c>
      <c r="R83" s="251"/>
      <c r="S83" s="251">
        <f>SUMPRODUCT('Staging Table'!CX85:DI85, LS_Demand_Rates_Restatement!$C$11:$N$11)*1000</f>
        <v>130750.72</v>
      </c>
      <c r="T83" s="252"/>
      <c r="U83" s="252">
        <f>IF(Init!$R$18="Yes",(SUM('Staging Table'!DL85:DU85)*IF('Staging Table'!$BT$1=2020, Rates_current!$C$87, Rates_current!$D$87)),0)</f>
        <v>51885.710857691804</v>
      </c>
      <c r="V83" s="252">
        <f>IF('Staging Table'!D85=1, 'Staging Table'!BV85*-1*'Staging Table'!BT85/'Staging Table'!BS85,SUM(P83:U83)*'Staging Table'!BV85*-1)</f>
        <v>-156981.00914197305</v>
      </c>
      <c r="W83" s="250">
        <f>'Staging Table'!BY85*Rates_current!$H$32*-1</f>
        <v>0</v>
      </c>
      <c r="X83" s="250">
        <f>IF(Init!$R$12="No",0,'Staging Table'!$DW85*-1)</f>
        <v>0</v>
      </c>
      <c r="Y83" s="250">
        <f>IF('Staging Table'!C85=1,"",SUM(P83:X83))</f>
        <v>2697219.1570757185</v>
      </c>
      <c r="Z83" s="250">
        <f>IF('Staging Table'!C85=1,"",(RT1SC!$C$4*'Staging Table'!BT85*'Staging Table'!$BT$2))</f>
        <v>77166.163748044797</v>
      </c>
      <c r="AA83" s="126">
        <f>IF('Staging Table'!C85=1,"",IF(Z83=0, 0, Y83/Z83))</f>
        <v>34.953391824458286</v>
      </c>
      <c r="AB83" s="118">
        <f ca="1">IF('Staging Table'!C85=1,"",(AA83/O83-1)+(RAND()/100000000000))</f>
        <v>2.7973571130742662E-2</v>
      </c>
      <c r="AC83" s="79">
        <f t="shared" ca="1" si="1"/>
        <v>11</v>
      </c>
      <c r="AF83" s="255"/>
      <c r="AG83" s="255"/>
      <c r="AI83" s="255"/>
      <c r="AJ83" s="255"/>
    </row>
    <row r="84" spans="2:36">
      <c r="B84" s="166">
        <v>10247</v>
      </c>
      <c r="C84" s="167" t="s">
        <v>87</v>
      </c>
      <c r="D84" s="250">
        <f>IF(Init!$R$9="Yes",'Staging Table'!F86,'Staging Table'!BT86)*Rates_previous!$E$75*100*12</f>
        <v>28851563.43936</v>
      </c>
      <c r="E84" s="250">
        <f>IF(Init!$R$9="Yes",'Staging Table'!F86,'Staging Table'!BT86)*Rates_previous!$E$76*100*12</f>
        <v>-4068698.3784000007</v>
      </c>
      <c r="F84" s="251"/>
      <c r="G84" s="251">
        <f>IF(Init!$R$9="Yes",SUMPRODUCT('Staging Table'!AJ86:AU86,LS_Demand_Rates_Restatement!$C$10:$N$10),SUMPRODUCT(LS_Demand_Rates_Restatement!$C$10:$N$10,'Staging Table'!CX86:DI86))*1000</f>
        <v>1573693.9699999997</v>
      </c>
      <c r="H84" s="252"/>
      <c r="I84" s="250">
        <f>IF(Init!$R$9="Yes",IF('Staging Table'!$F$1=2018,(SUM('Staging Table'!BD86:BG86)*Rates_previous!$C$87),(SUM('Staging Table'!BD86:BG86)*Rates_previous!$D$87)),IF('Staging Table'!$F$1=2018,(SUM('Staging Table'!DR86:DU86)*Rates_previous!$C$87),(SUM('Staging Table'!DR86:DU86)*Rates_previous!$D$87)))</f>
        <v>158528.35620952336</v>
      </c>
      <c r="J84" s="252">
        <f>IF(Init!$R$9="Yes",IF('Staging Table'!D86=1,'Staging Table'!H86*-1*'Staging Table'!F86/'Staging Table'!E86,'Staging Table'!H86*SUM(D84:I84)*(-1)),IF('Staging Table'!D86=1,'Staging Table'!BV86*-1*'Staging Table'!BT86/'Staging Table'!BS86,'Staging Table'!BV86*SUM(D84:I84)*(-1)))</f>
        <v>-1359046.713081806</v>
      </c>
      <c r="K84" s="250">
        <f>IF(Init!$R$9="Yes",'Staging Table'!K86,'Staging Table'!BY86)*(-1)*Rates_previous!$H$32</f>
        <v>0</v>
      </c>
      <c r="L84" s="250">
        <f>IF(Init!$R$12="No",0,'Staging Table'!$BI86*-1)*('Staging Table'!$F86/'Staging Table'!$E86)</f>
        <v>-993325.82931685599</v>
      </c>
      <c r="M84" s="250">
        <f>IF('Staging Table'!C86=1,"",SUM(D84:L84))</f>
        <v>24162714.84477086</v>
      </c>
      <c r="N84" s="250">
        <f>IF('Staging Table'!C86=1,"",IF(Init!$R$9="Yes",(RT1SC!$C$3*'Staging Table'!F86*'Staging Table'!$F$2),Z84))</f>
        <v>688940.83501142391</v>
      </c>
      <c r="O84" s="126">
        <f>IF('Staging Table'!C86=1,"",IF(N84=0, 0, M84/N84))</f>
        <v>35.072263998359446</v>
      </c>
      <c r="P84" s="250">
        <f>'Staging Table'!BT86*Rates_current!$E$74*100*12</f>
        <v>26804249.747160003</v>
      </c>
      <c r="Q84" s="250">
        <f>'Staging Table'!BT86*Rates_current!$E$75*100*12</f>
        <v>-2711683.8078000001</v>
      </c>
      <c r="R84" s="251"/>
      <c r="S84" s="251">
        <f>SUMPRODUCT('Staging Table'!CX86:DI86, LS_Demand_Rates_Restatement!$C$11:$N$11)*1000</f>
        <v>1723426.3699999999</v>
      </c>
      <c r="T84" s="252"/>
      <c r="U84" s="252">
        <f>IF(Init!$R$18="Yes",(SUM('Staging Table'!DL86:DU86)*IF('Staging Table'!$BT$1=2020, Rates_current!$C$87, Rates_current!$D$87)),0)</f>
        <v>467913.1901680266</v>
      </c>
      <c r="V84" s="252">
        <f>IF('Staging Table'!D86=1, 'Staging Table'!BV86*-1*'Staging Table'!BT86/'Staging Table'!BS86,SUM(P84:U84)*'Staging Table'!BV86*-1)</f>
        <v>-1314195.2749764016</v>
      </c>
      <c r="W84" s="250">
        <f>'Staging Table'!BY86*Rates_current!$H$32*-1</f>
        <v>0</v>
      </c>
      <c r="X84" s="250">
        <f>IF(Init!$R$12="No",0,'Staging Table'!$DW86*-1)</f>
        <v>0</v>
      </c>
      <c r="Y84" s="250">
        <f>IF('Staging Table'!C86=1,"",SUM(P84:X84))</f>
        <v>24969710.224551629</v>
      </c>
      <c r="Z84" s="250">
        <f>IF('Staging Table'!C86=1,"",(RT1SC!$C$4*'Staging Table'!BT86*'Staging Table'!$BT$2))</f>
        <v>695896.13894676475</v>
      </c>
      <c r="AA84" s="126">
        <f>IF('Staging Table'!C86=1,"",IF(Z84=0, 0, Y84/Z84))</f>
        <v>35.881374859103481</v>
      </c>
      <c r="AB84" s="118">
        <f ca="1">IF('Staging Table'!C86=1,"",(AA84/O84-1)+(RAND()/100000000000))</f>
        <v>2.3069821236385967E-2</v>
      </c>
      <c r="AC84" s="79">
        <f t="shared" ca="1" si="1"/>
        <v>28</v>
      </c>
      <c r="AF84" s="255"/>
      <c r="AG84" s="255"/>
      <c r="AI84" s="255"/>
      <c r="AJ84" s="255"/>
    </row>
    <row r="85" spans="2:36">
      <c r="B85" s="166">
        <v>10256</v>
      </c>
      <c r="C85" s="167" t="s">
        <v>88</v>
      </c>
      <c r="D85" s="250">
        <f>IF(Init!$R$9="Yes",'Staging Table'!F87,'Staging Table'!BT87)*Rates_previous!$E$75*100*12</f>
        <v>16402059.293759998</v>
      </c>
      <c r="E85" s="250">
        <f>IF(Init!$R$9="Yes",'Staging Table'!F87,'Staging Table'!BT87)*Rates_previous!$E$76*100*12</f>
        <v>-2313047.3393999999</v>
      </c>
      <c r="F85" s="251"/>
      <c r="G85" s="251">
        <f>IF(Init!$R$9="Yes",SUMPRODUCT('Staging Table'!AJ87:AU87,LS_Demand_Rates_Restatement!$C$10:$N$10),SUMPRODUCT(LS_Demand_Rates_Restatement!$C$10:$N$10,'Staging Table'!CX87:DI87))*1000</f>
        <v>959177.58</v>
      </c>
      <c r="H85" s="252"/>
      <c r="I85" s="250">
        <f>IF(Init!$R$9="Yes",IF('Staging Table'!$F$1=2018,(SUM('Staging Table'!BD87:BG87)*Rates_previous!$C$87),(SUM('Staging Table'!BD87:BG87)*Rates_previous!$D$87)),IF('Staging Table'!$F$1=2018,(SUM('Staging Table'!DR87:DU87)*Rates_previous!$C$87),(SUM('Staging Table'!DR87:DU87)*Rates_previous!$D$87)))</f>
        <v>90123.070930141155</v>
      </c>
      <c r="J85" s="252">
        <f>IF(Init!$R$9="Yes",IF('Staging Table'!D87=1,'Staging Table'!H87*-1*'Staging Table'!F87/'Staging Table'!E87,'Staging Table'!H87*SUM(D85:I85)*(-1)),IF('Staging Table'!D87=1,'Staging Table'!BV87*-1*'Staging Table'!BT87/'Staging Table'!BS87,'Staging Table'!BV87*SUM(D85:I85)*(-1)))</f>
        <v>-983990.3193438591</v>
      </c>
      <c r="K85" s="250">
        <f>IF(Init!$R$9="Yes",'Staging Table'!K87,'Staging Table'!BY87)*(-1)*Rates_previous!$H$32</f>
        <v>-487914.33264000004</v>
      </c>
      <c r="L85" s="250">
        <f>IF(Init!$R$12="No",0,'Staging Table'!$BI87*-1)*('Staging Table'!$F87/'Staging Table'!$E87)</f>
        <v>-542621.00665827445</v>
      </c>
      <c r="M85" s="250">
        <f>IF('Staging Table'!C87=1,"",SUM(D85:L85))</f>
        <v>13123786.946648005</v>
      </c>
      <c r="N85" s="250">
        <f>IF('Staging Table'!C87=1,"",IF(Init!$R$9="Yes",(RT1SC!$C$3*'Staging Table'!F87*'Staging Table'!$F$2),Z85))</f>
        <v>391661.56279538397</v>
      </c>
      <c r="O85" s="126">
        <f>IF('Staging Table'!C87=1,"",IF(N85=0, 0, M85/N85))</f>
        <v>33.507977788221908</v>
      </c>
      <c r="P85" s="250">
        <f>'Staging Table'!BT87*Rates_current!$E$74*100*12</f>
        <v>15674809.44108</v>
      </c>
      <c r="Q85" s="250">
        <f>'Staging Table'!BT87*Rates_current!$E$75*100*12</f>
        <v>-1585760.7413999999</v>
      </c>
      <c r="R85" s="251"/>
      <c r="S85" s="251">
        <f>SUMPRODUCT('Staging Table'!CX87:DI87, LS_Demand_Rates_Restatement!$C$11:$N$11)*1000</f>
        <v>1075677.8400000001</v>
      </c>
      <c r="T85" s="252"/>
      <c r="U85" s="252">
        <f>IF(Init!$R$18="Yes",(SUM('Staging Table'!DL87:DU87)*IF('Staging Table'!$BT$1=2020, Rates_current!$C$87, Rates_current!$D$87)),0)</f>
        <v>273630.12059790082</v>
      </c>
      <c r="V85" s="252">
        <f>IF('Staging Table'!D87=1, 'Staging Table'!BV87*-1*'Staging Table'!BT87/'Staging Table'!BS87,SUM(P85:U85)*'Staging Table'!BV87*-1)</f>
        <v>-1003493.1829180636</v>
      </c>
      <c r="W85" s="250">
        <f>'Staging Table'!BY87*Rates_current!$H$32*-1</f>
        <v>-460946.27854000003</v>
      </c>
      <c r="X85" s="250">
        <f>IF(Init!$R$12="No",0,'Staging Table'!$DW87*-1)</f>
        <v>0</v>
      </c>
      <c r="Y85" s="250">
        <f>IF('Staging Table'!C87=1,"",SUM(P85:X85))</f>
        <v>13973917.198819837</v>
      </c>
      <c r="Z85" s="250">
        <f>IF('Staging Table'!C87=1,"",(RT1SC!$C$4*'Staging Table'!BT87*'Staging Table'!$BT$2))</f>
        <v>406951.8629197824</v>
      </c>
      <c r="AA85" s="126">
        <f>IF('Staging Table'!C87=1,"",IF(Z85=0, 0, Y85/Z85))</f>
        <v>34.338010148326433</v>
      </c>
      <c r="AB85" s="118">
        <f ca="1">IF('Staging Table'!C87=1,"",(AA85/O85-1)+(RAND()/100000000000))</f>
        <v>2.4771186297155266E-2</v>
      </c>
      <c r="AC85" s="79">
        <f t="shared" ca="1" si="1"/>
        <v>19</v>
      </c>
      <c r="AF85" s="255"/>
      <c r="AG85" s="255"/>
      <c r="AI85" s="255"/>
      <c r="AJ85" s="255"/>
    </row>
    <row r="86" spans="2:36">
      <c r="B86" s="166">
        <v>10258</v>
      </c>
      <c r="C86" s="167" t="s">
        <v>89</v>
      </c>
      <c r="D86" s="250">
        <f>IF(Init!$R$9="Yes",'Staging Table'!F88,'Staging Table'!BT88)*Rates_previous!$E$75*100*12</f>
        <v>13699422.642240001</v>
      </c>
      <c r="E86" s="250">
        <f>IF(Init!$R$9="Yes",'Staging Table'!F88,'Staging Table'!BT88)*Rates_previous!$E$76*100*12</f>
        <v>-1931916.7505999999</v>
      </c>
      <c r="F86" s="251"/>
      <c r="G86" s="251">
        <f>IF(Init!$R$9="Yes",SUMPRODUCT('Staging Table'!AJ88:AU88,LS_Demand_Rates_Restatement!$C$10:$N$10),SUMPRODUCT(LS_Demand_Rates_Restatement!$C$10:$N$10,'Staging Table'!CX88:DI88))*1000</f>
        <v>870697.28000000014</v>
      </c>
      <c r="H86" s="252"/>
      <c r="I86" s="250">
        <f>IF(Init!$R$9="Yes",IF('Staging Table'!$F$1=2018,(SUM('Staging Table'!BD88:BG88)*Rates_previous!$C$87),(SUM('Staging Table'!BD88:BG88)*Rates_previous!$D$87)),IF('Staging Table'!$F$1=2018,(SUM('Staging Table'!DR88:DU88)*Rates_previous!$C$87),(SUM('Staging Table'!DR88:DU88)*Rates_previous!$D$87)))</f>
        <v>75273.111526811859</v>
      </c>
      <c r="J86" s="252">
        <f>IF(Init!$R$9="Yes",IF('Staging Table'!D88=1,'Staging Table'!H88*-1*'Staging Table'!F88/'Staging Table'!E88,'Staging Table'!H88*SUM(D86:I86)*(-1)),IF('Staging Table'!D88=1,'Staging Table'!BV88*-1*'Staging Table'!BT88/'Staging Table'!BS88,'Staging Table'!BV88*SUM(D86:I86)*(-1)))</f>
        <v>-864726.15961401525</v>
      </c>
      <c r="K86" s="250">
        <f>IF(Init!$R$9="Yes",'Staging Table'!K88,'Staging Table'!BY88)*(-1)*Rates_previous!$H$32</f>
        <v>-216231.37872000001</v>
      </c>
      <c r="L86" s="250">
        <f>IF(Init!$R$12="No",0,'Staging Table'!$BI88*-1)*('Staging Table'!$F88/'Staging Table'!$E88)</f>
        <v>-213295.22609715705</v>
      </c>
      <c r="M86" s="250">
        <f>IF('Staging Table'!C88=1,"",SUM(D86:L86))</f>
        <v>11419223.518735638</v>
      </c>
      <c r="N86" s="250">
        <f>IF('Staging Table'!C88=1,"",IF(Init!$R$9="Yes",(RT1SC!$C$3*'Staging Table'!F88*'Staging Table'!$F$2),Z86))</f>
        <v>327125.83129701595</v>
      </c>
      <c r="O86" s="126">
        <f>IF('Staging Table'!C88=1,"",IF(N86=0, 0, M86/N86))</f>
        <v>34.907740160597349</v>
      </c>
      <c r="P86" s="250">
        <f>'Staging Table'!BT88*Rates_current!$E$74*100*12</f>
        <v>12772665.51912</v>
      </c>
      <c r="Q86" s="250">
        <f>'Staging Table'!BT88*Rates_current!$E$75*100*12</f>
        <v>-1292161.8995999999</v>
      </c>
      <c r="R86" s="251"/>
      <c r="S86" s="251">
        <f>SUMPRODUCT('Staging Table'!CX88:DI88, LS_Demand_Rates_Restatement!$C$11:$N$11)*1000</f>
        <v>965438.1100000001</v>
      </c>
      <c r="T86" s="252"/>
      <c r="U86" s="252">
        <f>IF(Init!$R$18="Yes",(SUM('Staging Table'!DL88:DU88)*IF('Staging Table'!$BT$1=2020, Rates_current!$C$87, Rates_current!$D$87)),0)</f>
        <v>222968.32503710804</v>
      </c>
      <c r="V86" s="252">
        <f>IF('Staging Table'!D88=1, 'Staging Table'!BV88*-1*'Staging Table'!BT88/'Staging Table'!BS88,SUM(P86:U86)*'Staging Table'!BV88*-1)</f>
        <v>-764040.42824324651</v>
      </c>
      <c r="W86" s="250">
        <f>'Staging Table'!BY88*Rates_current!$H$32*-1</f>
        <v>-204279.81442000001</v>
      </c>
      <c r="X86" s="250">
        <f>IF(Init!$R$12="No",0,'Staging Table'!$DW88*-1)</f>
        <v>0</v>
      </c>
      <c r="Y86" s="250">
        <f>IF('Staging Table'!C88=1,"",SUM(P86:X86))</f>
        <v>11700589.811893864</v>
      </c>
      <c r="Z86" s="250">
        <f>IF('Staging Table'!C88=1,"",(RT1SC!$C$4*'Staging Table'!BT88*'Staging Table'!$BT$2))</f>
        <v>331605.94691727357</v>
      </c>
      <c r="AA86" s="126">
        <f>IF('Staging Table'!C88=1,"",IF(Z86=0, 0, Y86/Z86))</f>
        <v>35.284619955301444</v>
      </c>
      <c r="AB86" s="118">
        <f ca="1">IF('Staging Table'!C88=1,"",(AA86/O86-1)+(RAND()/100000000000))</f>
        <v>1.0796453541871649E-2</v>
      </c>
      <c r="AC86" s="79">
        <f t="shared" ca="1" si="1"/>
        <v>81</v>
      </c>
      <c r="AF86" s="255"/>
      <c r="AG86" s="255"/>
      <c r="AI86" s="255"/>
      <c r="AJ86" s="255"/>
    </row>
    <row r="87" spans="2:36">
      <c r="B87" s="166">
        <v>10259</v>
      </c>
      <c r="C87" s="167" t="s">
        <v>90</v>
      </c>
      <c r="D87" s="250">
        <f>IF(Init!$R$9="Yes",'Staging Table'!F89,'Staging Table'!BT89)*Rates_previous!$E$75*100*12</f>
        <v>9740752.9315200001</v>
      </c>
      <c r="E87" s="250">
        <f>IF(Init!$R$9="Yes",'Staging Table'!F89,'Staging Table'!BT89)*Rates_previous!$E$76*100*12</f>
        <v>-1373658.1638</v>
      </c>
      <c r="F87" s="251"/>
      <c r="G87" s="251">
        <f>IF(Init!$R$9="Yes",SUMPRODUCT('Staging Table'!AJ89:AU89,LS_Demand_Rates_Restatement!$C$10:$N$10),SUMPRODUCT(LS_Demand_Rates_Restatement!$C$10:$N$10,'Staging Table'!CX89:DI89))*1000</f>
        <v>689623.17999999982</v>
      </c>
      <c r="H87" s="252"/>
      <c r="I87" s="250">
        <f>IF(Init!$R$9="Yes",IF('Staging Table'!$F$1=2018,(SUM('Staging Table'!BD89:BG89)*Rates_previous!$C$87),(SUM('Staging Table'!BD89:BG89)*Rates_previous!$D$87)),IF('Staging Table'!$F$1=2018,(SUM('Staging Table'!DR89:DU89)*Rates_previous!$C$87),(SUM('Staging Table'!DR89:DU89)*Rates_previous!$D$87)))</f>
        <v>53521.728682832712</v>
      </c>
      <c r="J87" s="252">
        <f>IF(Init!$R$9="Yes",IF('Staging Table'!D89=1,'Staging Table'!H89*-1*'Staging Table'!F89/'Staging Table'!E89,'Staging Table'!H89*SUM(D87:I87)*(-1)),IF('Staging Table'!D89=1,'Staging Table'!BV89*-1*'Staging Table'!BT89/'Staging Table'!BS89,'Staging Table'!BV89*SUM(D87:I87)*(-1)))</f>
        <v>-607821.5258500824</v>
      </c>
      <c r="K87" s="250">
        <f>IF(Init!$R$9="Yes",'Staging Table'!K89,'Staging Table'!BY89)*(-1)*Rates_previous!$H$32</f>
        <v>0</v>
      </c>
      <c r="L87" s="250">
        <f>IF(Init!$R$12="No",0,'Staging Table'!$BI89*-1)*('Staging Table'!$F89/'Staging Table'!$E89)</f>
        <v>-151660.12124328365</v>
      </c>
      <c r="M87" s="250">
        <f>IF('Staging Table'!C89=1,"",SUM(D87:L87))</f>
        <v>8350758.0293094674</v>
      </c>
      <c r="N87" s="250">
        <f>IF('Staging Table'!C89=1,"",IF(Init!$R$9="Yes",(RT1SC!$C$3*'Staging Table'!F89*'Staging Table'!$F$2),Z87))</f>
        <v>232597.53227536799</v>
      </c>
      <c r="O87" s="126">
        <f>IF('Staging Table'!C89=1,"",IF(N87=0, 0, M87/N87))</f>
        <v>35.902178099736489</v>
      </c>
      <c r="P87" s="250">
        <f>'Staging Table'!BT89*Rates_current!$E$74*100*12</f>
        <v>9081944.6146799996</v>
      </c>
      <c r="Q87" s="250">
        <f>'Staging Table'!BT89*Rates_current!$E$75*100*12</f>
        <v>-918785.72940000007</v>
      </c>
      <c r="R87" s="251"/>
      <c r="S87" s="251">
        <f>SUMPRODUCT('Staging Table'!CX89:DI89, LS_Demand_Rates_Restatement!$C$11:$N$11)*1000</f>
        <v>753274.00999999989</v>
      </c>
      <c r="T87" s="252"/>
      <c r="U87" s="252">
        <f>IF(Init!$R$18="Yes",(SUM('Staging Table'!DL89:DU89)*IF('Staging Table'!$BT$1=2020, Rates_current!$C$87, Rates_current!$D$87)),0)</f>
        <v>158540.59403526125</v>
      </c>
      <c r="V87" s="252">
        <f>IF('Staging Table'!D89=1, 'Staging Table'!BV89*-1*'Staging Table'!BT89/'Staging Table'!BS89,SUM(P87:U87)*'Staging Table'!BV89*-1)</f>
        <v>-592224.60243657348</v>
      </c>
      <c r="W87" s="250">
        <f>'Staging Table'!BY89*Rates_current!$H$32*-1</f>
        <v>0</v>
      </c>
      <c r="X87" s="250">
        <f>IF(Init!$R$12="No",0,'Staging Table'!$DW89*-1)</f>
        <v>0</v>
      </c>
      <c r="Y87" s="250">
        <f>IF('Staging Table'!C89=1,"",SUM(P87:X87))</f>
        <v>8482748.886878686</v>
      </c>
      <c r="Z87" s="250">
        <f>IF('Staging Table'!C89=1,"",(RT1SC!$C$4*'Staging Table'!BT89*'Staging Table'!$BT$2))</f>
        <v>235786.8715259904</v>
      </c>
      <c r="AA87" s="126">
        <f>IF('Staging Table'!C89=1,"",IF(Z87=0, 0, Y87/Z87))</f>
        <v>35.976340972587387</v>
      </c>
      <c r="AB87" s="118">
        <f ca="1">IF('Staging Table'!C89=1,"",(AA87/O87-1)+(RAND()/100000000000))</f>
        <v>2.0656928630825768E-3</v>
      </c>
      <c r="AC87" s="79">
        <f t="shared" ca="1" si="1"/>
        <v>99</v>
      </c>
      <c r="AF87" s="255"/>
      <c r="AG87" s="255"/>
      <c r="AI87" s="255"/>
      <c r="AJ87" s="255"/>
    </row>
    <row r="88" spans="2:36">
      <c r="B88" s="166">
        <v>10260</v>
      </c>
      <c r="C88" s="167" t="s">
        <v>91</v>
      </c>
      <c r="D88" s="250">
        <f>IF(Init!$R$9="Yes",'Staging Table'!F90,'Staging Table'!BT90)*Rates_previous!$E$75*100*12</f>
        <v>9488017.6790400017</v>
      </c>
      <c r="E88" s="250">
        <f>IF(Init!$R$9="Yes",'Staging Table'!F90,'Staging Table'!BT90)*Rates_previous!$E$76*100*12</f>
        <v>-1338016.9926000002</v>
      </c>
      <c r="F88" s="251"/>
      <c r="G88" s="251">
        <f>IF(Init!$R$9="Yes",SUMPRODUCT('Staging Table'!AJ90:AU90,LS_Demand_Rates_Restatement!$C$10:$N$10),SUMPRODUCT(LS_Demand_Rates_Restatement!$C$10:$N$10,'Staging Table'!CX90:DI90))*1000</f>
        <v>404099.24000000005</v>
      </c>
      <c r="H88" s="252"/>
      <c r="I88" s="250">
        <f>IF(Init!$R$9="Yes",IF('Staging Table'!$F$1=2018,(SUM('Staging Table'!BD90:BG90)*Rates_previous!$C$87),(SUM('Staging Table'!BD90:BG90)*Rates_previous!$D$87)),IF('Staging Table'!$F$1=2018,(SUM('Staging Table'!DR90:DU90)*Rates_previous!$C$87),(SUM('Staging Table'!DR90:DU90)*Rates_previous!$D$87)))</f>
        <v>52133.044696397679</v>
      </c>
      <c r="J88" s="252">
        <f>IF(Init!$R$9="Yes",IF('Staging Table'!D90=1,'Staging Table'!H90*-1*'Staging Table'!F90/'Staging Table'!E90,'Staging Table'!H90*SUM(D88:I88)*(-1)),IF('Staging Table'!D90=1,'Staging Table'!BV90*-1*'Staging Table'!BT90/'Staging Table'!BS90,'Staging Table'!BV90*SUM(D88:I88)*(-1)))</f>
        <v>0</v>
      </c>
      <c r="K88" s="250">
        <f>IF(Init!$R$9="Yes",'Staging Table'!K90,'Staging Table'!BY90)*(-1)*Rates_previous!$H$32</f>
        <v>0</v>
      </c>
      <c r="L88" s="250">
        <f>IF(Init!$R$12="No",0,'Staging Table'!$BI90*-1)*('Staging Table'!$F90/'Staging Table'!$E90)</f>
        <v>-147725.12162846563</v>
      </c>
      <c r="M88" s="250">
        <f>IF('Staging Table'!C90=1,"",SUM(D88:L88))</f>
        <v>8458507.8495079335</v>
      </c>
      <c r="N88" s="250">
        <f>IF('Staging Table'!C90=1,"",IF(Init!$R$9="Yes",(RT1SC!$C$3*'Staging Table'!F90*'Staging Table'!$F$2),Z88))</f>
        <v>226562.516660136</v>
      </c>
      <c r="O88" s="126">
        <f>IF('Staging Table'!C90=1,"",IF(N88=0, 0, M88/N88))</f>
        <v>37.334100866280764</v>
      </c>
      <c r="P88" s="250">
        <f>'Staging Table'!BT90*Rates_current!$E$74*100*12</f>
        <v>8846179.5855599996</v>
      </c>
      <c r="Q88" s="250">
        <f>'Staging Table'!BT90*Rates_current!$E$75*100*12</f>
        <v>-894934.27980000002</v>
      </c>
      <c r="R88" s="251"/>
      <c r="S88" s="251">
        <f>SUMPRODUCT('Staging Table'!CX90:DI90, LS_Demand_Rates_Restatement!$C$11:$N$11)*1000</f>
        <v>457968.64999999991</v>
      </c>
      <c r="T88" s="252"/>
      <c r="U88" s="252">
        <f>IF(Init!$R$18="Yes",(SUM('Staging Table'!DL90:DU90)*IF('Staging Table'!$BT$1=2020, Rates_current!$C$87, Rates_current!$D$87)),0)</f>
        <v>154424.91954534999</v>
      </c>
      <c r="V88" s="252">
        <f>IF('Staging Table'!D90=1, 'Staging Table'!BV90*-1*'Staging Table'!BT90/'Staging Table'!BS90,SUM(P88:U88)*'Staging Table'!BV90*-1)</f>
        <v>0</v>
      </c>
      <c r="W88" s="250">
        <f>'Staging Table'!BY90*Rates_current!$H$32*-1</f>
        <v>0</v>
      </c>
      <c r="X88" s="250">
        <f>IF(Init!$R$12="No",0,'Staging Table'!$DW90*-1)</f>
        <v>0</v>
      </c>
      <c r="Y88" s="250">
        <f>IF('Staging Table'!C90=1,"",SUM(P88:X88))</f>
        <v>8563638.8753053509</v>
      </c>
      <c r="Z88" s="250">
        <f>IF('Staging Table'!C90=1,"",(RT1SC!$C$4*'Staging Table'!BT90*'Staging Table'!$BT$2))</f>
        <v>229665.90283591679</v>
      </c>
      <c r="AA88" s="126">
        <f>IF('Staging Table'!C90=1,"",IF(Z88=0, 0, Y88/Z88))</f>
        <v>37.287376008199104</v>
      </c>
      <c r="AB88" s="118">
        <f ca="1">IF('Staging Table'!C90=1,"",(AA88/O88-1)+(RAND()/100000000000))</f>
        <v>-1.2515329668507501E-3</v>
      </c>
      <c r="AC88" s="79">
        <f t="shared" ca="1" si="1"/>
        <v>109</v>
      </c>
      <c r="AF88" s="255"/>
      <c r="AG88" s="255"/>
      <c r="AI88" s="255"/>
      <c r="AJ88" s="255"/>
    </row>
    <row r="89" spans="2:36">
      <c r="B89" s="166">
        <v>10273</v>
      </c>
      <c r="C89" s="167" t="s">
        <v>92</v>
      </c>
      <c r="D89" s="250">
        <f>IF(Init!$R$9="Yes",'Staging Table'!F91,'Staging Table'!BT91)*Rates_previous!$E$75*100*12</f>
        <v>2123027.07552</v>
      </c>
      <c r="E89" s="250">
        <f>IF(Init!$R$9="Yes",'Staging Table'!F91,'Staging Table'!BT91)*Rates_previous!$E$76*100*12</f>
        <v>-299393.02379999997</v>
      </c>
      <c r="F89" s="251"/>
      <c r="G89" s="251">
        <f>IF(Init!$R$9="Yes",SUMPRODUCT('Staging Table'!AJ91:AU91,LS_Demand_Rates_Restatement!$C$10:$N$10),SUMPRODUCT(LS_Demand_Rates_Restatement!$C$10:$N$10,'Staging Table'!CX91:DI91))*1000</f>
        <v>174554.09000000003</v>
      </c>
      <c r="H89" s="252"/>
      <c r="I89" s="250">
        <f>IF(Init!$R$9="Yes",IF('Staging Table'!$F$1=2018,(SUM('Staging Table'!BD91:BG91)*Rates_previous!$C$87),(SUM('Staging Table'!BD91:BG91)*Rates_previous!$D$87)),IF('Staging Table'!$F$1=2018,(SUM('Staging Table'!DR91:DU91)*Rates_previous!$C$87),(SUM('Staging Table'!DR91:DU91)*Rates_previous!$D$87)))</f>
        <v>11665.225462664321</v>
      </c>
      <c r="J89" s="252">
        <f>IF(Init!$R$9="Yes",IF('Staging Table'!D91=1,'Staging Table'!H91*-1*'Staging Table'!F91/'Staging Table'!E91,'Staging Table'!H91*SUM(D89:I89)*(-1)),IF('Staging Table'!D91=1,'Staging Table'!BV91*-1*'Staging Table'!BT91/'Staging Table'!BS91,'Staging Table'!BV91*SUM(D89:I89)*(-1)))</f>
        <v>-193372.41413405194</v>
      </c>
      <c r="K89" s="250">
        <f>IF(Init!$R$9="Yes",'Staging Table'!K91,'Staging Table'!BY91)*(-1)*Rates_previous!$H$32</f>
        <v>-111979.014</v>
      </c>
      <c r="L89" s="250">
        <f>IF(Init!$R$12="No",0,'Staging Table'!$BI91*-1)*('Staging Table'!$F91/'Staging Table'!$E91)</f>
        <v>-68396.315801605931</v>
      </c>
      <c r="M89" s="250">
        <f>IF('Staging Table'!C91=1,"",SUM(D89:L89))</f>
        <v>1636105.6232470064</v>
      </c>
      <c r="N89" s="250">
        <f>IF('Staging Table'!C91=1,"",IF(Init!$R$9="Yes",(RT1SC!$C$3*'Staging Table'!F91*'Staging Table'!$F$2),Z89))</f>
        <v>50695.347904968003</v>
      </c>
      <c r="O89" s="126">
        <f>IF('Staging Table'!C91=1,"",IF(N89=0, 0, M89/N89))</f>
        <v>32.273289184522447</v>
      </c>
      <c r="P89" s="250">
        <f>'Staging Table'!BT91*Rates_current!$E$74*100*12</f>
        <v>1979285.4460799997</v>
      </c>
      <c r="Q89" s="250">
        <f>'Staging Table'!BT91*Rates_current!$E$75*100*12</f>
        <v>-200236.76639999999</v>
      </c>
      <c r="R89" s="251"/>
      <c r="S89" s="251">
        <f>SUMPRODUCT('Staging Table'!CX91:DI91, LS_Demand_Rates_Restatement!$C$11:$N$11)*1000</f>
        <v>190841.52999999997</v>
      </c>
      <c r="T89" s="252"/>
      <c r="U89" s="252">
        <f>IF(Init!$R$18="Yes",(SUM('Staging Table'!DL91:DU91)*IF('Staging Table'!$BT$1=2020, Rates_current!$C$87, Rates_current!$D$87)),0)</f>
        <v>34551.751161271182</v>
      </c>
      <c r="V89" s="252">
        <f>IF('Staging Table'!D91=1, 'Staging Table'!BV91*-1*'Staging Table'!BT91/'Staging Table'!BS91,SUM(P89:U89)*'Staging Table'!BV91*-1)</f>
        <v>-193389.16171455407</v>
      </c>
      <c r="W89" s="250">
        <f>'Staging Table'!BY91*Rates_current!$H$32*-1</f>
        <v>-105789.69774999999</v>
      </c>
      <c r="X89" s="250">
        <f>IF(Init!$R$12="No",0,'Staging Table'!$DW91*-1)</f>
        <v>0</v>
      </c>
      <c r="Y89" s="250">
        <f>IF('Staging Table'!C91=1,"",SUM(P89:X89))</f>
        <v>1705263.1013767167</v>
      </c>
      <c r="Z89" s="250">
        <f>IF('Staging Table'!C91=1,"",(RT1SC!$C$4*'Staging Table'!BT91*'Staging Table'!$BT$2))</f>
        <v>51386.5194061824</v>
      </c>
      <c r="AA89" s="126">
        <f>IF('Staging Table'!C91=1,"",IF(Z89=0, 0, Y89/Z89))</f>
        <v>33.185028312533532</v>
      </c>
      <c r="AB89" s="118">
        <f ca="1">IF('Staging Table'!C91=1,"",(AA89/O89-1)+(RAND()/100000000000))</f>
        <v>2.8250579699155731E-2</v>
      </c>
      <c r="AC89" s="79">
        <f t="shared" ca="1" si="1"/>
        <v>9</v>
      </c>
      <c r="AF89" s="255"/>
      <c r="AG89" s="255"/>
      <c r="AI89" s="255"/>
      <c r="AJ89" s="255"/>
    </row>
    <row r="90" spans="2:36">
      <c r="B90" s="166">
        <v>10278</v>
      </c>
      <c r="C90" s="167" t="s">
        <v>93</v>
      </c>
      <c r="D90" s="250">
        <f>IF(Init!$R$9="Yes",'Staging Table'!F92,'Staging Table'!BT92)*Rates_previous!$E$75*100*12</f>
        <v>12193456.838399999</v>
      </c>
      <c r="E90" s="250">
        <f>IF(Init!$R$9="Yes",'Staging Table'!F92,'Staging Table'!BT92)*Rates_previous!$E$76*100*12</f>
        <v>-1719542.7960000001</v>
      </c>
      <c r="F90" s="251"/>
      <c r="G90" s="251">
        <f>IF(Init!$R$9="Yes",SUMPRODUCT('Staging Table'!AJ92:AU92,LS_Demand_Rates_Restatement!$C$10:$N$10),SUMPRODUCT(LS_Demand_Rates_Restatement!$C$10:$N$10,'Staging Table'!CX92:DI92))*1000</f>
        <v>0</v>
      </c>
      <c r="H90" s="252"/>
      <c r="I90" s="250">
        <f>IF(Init!$R$9="Yes",IF('Staging Table'!$F$1=2018,(SUM('Staging Table'!BD92:BG92)*Rates_previous!$C$87),(SUM('Staging Table'!BD92:BG92)*Rates_previous!$D$87)),IF('Staging Table'!$F$1=2018,(SUM('Staging Table'!DR92:DU92)*Rates_previous!$C$87),(SUM('Staging Table'!DR92:DU92)*Rates_previous!$D$87)))</f>
        <v>66998.402813286259</v>
      </c>
      <c r="J90" s="252">
        <f>IF(Init!$R$9="Yes",IF('Staging Table'!D92=1,'Staging Table'!H92*-1*'Staging Table'!F92/'Staging Table'!E92,'Staging Table'!H92*SUM(D90:I90)*(-1)),IF('Staging Table'!D92=1,'Staging Table'!BV92*-1*'Staging Table'!BT92/'Staging Table'!BS92,'Staging Table'!BV92*SUM(D90:I90)*(-1)))</f>
        <v>-737863.87116492994</v>
      </c>
      <c r="K90" s="250">
        <f>IF(Init!$R$9="Yes",'Staging Table'!K92,'Staging Table'!BY92)*(-1)*Rates_previous!$H$32</f>
        <v>0</v>
      </c>
      <c r="L90" s="250">
        <f>IF(Init!$R$12="No",0,'Staging Table'!$BI92*-1)*('Staging Table'!$F92/'Staging Table'!$E92)</f>
        <v>-324752.59868186503</v>
      </c>
      <c r="M90" s="250" t="str">
        <f>IF('Staging Table'!C92=1,"",SUM(D90:L90))</f>
        <v/>
      </c>
      <c r="N90" s="250" t="str">
        <f>IF('Staging Table'!C92=1,"",IF(Init!$R$9="Yes",(RT1SC!$C$3*'Staging Table'!F92*'Staging Table'!$F$2),Z90))</f>
        <v/>
      </c>
      <c r="O90" s="126" t="str">
        <f>IF('Staging Table'!C92=1,"",IF(N90=0, 0, M90/N90))</f>
        <v/>
      </c>
      <c r="P90" s="250">
        <f>'Staging Table'!BT92*Rates_current!$E$74*100*12</f>
        <v>12062518.43544</v>
      </c>
      <c r="Q90" s="250">
        <f>'Staging Table'!BT92*Rates_current!$E$75*100*12</f>
        <v>-1220319.0252</v>
      </c>
      <c r="R90" s="251"/>
      <c r="S90" s="251">
        <f>SUMPRODUCT('Staging Table'!CX92:DI92, LS_Demand_Rates_Restatement!$C$11:$N$11)*1000</f>
        <v>0</v>
      </c>
      <c r="T90" s="252"/>
      <c r="U90" s="252">
        <f>IF(Init!$R$18="Yes",(SUM('Staging Table'!DL92:DU92)*IF('Staging Table'!$BT$1=2020, Rates_current!$C$87, Rates_current!$D$87)),0)</f>
        <v>210571.51518241563</v>
      </c>
      <c r="V90" s="252">
        <f>IF('Staging Table'!D92=1, 'Staging Table'!BV92*-1*'Staging Table'!BT92/'Staging Table'!BS92,SUM(P90:U90)*'Staging Table'!BV92*-1)</f>
        <v>-718430.11015245703</v>
      </c>
      <c r="W90" s="250">
        <f>'Staging Table'!BY92*Rates_current!$H$32*-1</f>
        <v>0</v>
      </c>
      <c r="X90" s="250">
        <f>IF(Init!$R$12="No",0,'Staging Table'!$DW92*-1)</f>
        <v>0</v>
      </c>
      <c r="Y90" s="250" t="str">
        <f>IF('Staging Table'!C92=1,"",SUM(P90:X90))</f>
        <v/>
      </c>
      <c r="Z90" s="250" t="str">
        <f>IF('Staging Table'!C92=1,"",(RT1SC!$C$4*'Staging Table'!BT92*'Staging Table'!$BT$2))</f>
        <v/>
      </c>
      <c r="AA90" s="126" t="str">
        <f>IF('Staging Table'!C92=1,"",IF(Z90=0, 0, Y90/Z90))</f>
        <v/>
      </c>
      <c r="AB90" s="118" t="str">
        <f ca="1">IF('Staging Table'!C92=1,"",(AA90/O90-1)+(RAND()/100000000000))</f>
        <v/>
      </c>
      <c r="AC90" s="79" t="str">
        <f t="shared" ca="1" si="1"/>
        <v/>
      </c>
      <c r="AF90" s="255"/>
      <c r="AG90" s="255"/>
      <c r="AI90" s="255"/>
      <c r="AJ90" s="255"/>
    </row>
    <row r="91" spans="2:36">
      <c r="B91" s="166">
        <v>10279</v>
      </c>
      <c r="C91" s="167" t="s">
        <v>94</v>
      </c>
      <c r="D91" s="250">
        <f>IF(Init!$R$9="Yes",'Staging Table'!F93,'Staging Table'!BT93)*Rates_previous!$E$75*100*12</f>
        <v>23377756.080960002</v>
      </c>
      <c r="E91" s="250">
        <f>IF(Init!$R$9="Yes",'Staging Table'!F93,'Staging Table'!BT93)*Rates_previous!$E$76*100*12</f>
        <v>-3296772.4073999999</v>
      </c>
      <c r="F91" s="251"/>
      <c r="G91" s="251">
        <f>IF(Init!$R$9="Yes",SUMPRODUCT('Staging Table'!AJ93:AU93,LS_Demand_Rates_Restatement!$C$10:$N$10),SUMPRODUCT(LS_Demand_Rates_Restatement!$C$10:$N$10,'Staging Table'!CX93:DI93))*1000</f>
        <v>0</v>
      </c>
      <c r="H91" s="252"/>
      <c r="I91" s="250">
        <f>IF(Init!$R$9="Yes",IF('Staging Table'!$F$1=2018,(SUM('Staging Table'!BD93:BG93)*Rates_previous!$C$87),(SUM('Staging Table'!BD93:BG93)*Rates_previous!$D$87)),IF('Staging Table'!$F$1=2018,(SUM('Staging Table'!DR93:DU93)*Rates_previous!$C$87),(SUM('Staging Table'!DR93:DU93)*Rates_previous!$D$87)))</f>
        <v>128451.86886218833</v>
      </c>
      <c r="J91" s="252">
        <f>IF(Init!$R$9="Yes",IF('Staging Table'!D93=1,'Staging Table'!H93*-1*'Staging Table'!F93/'Staging Table'!E93,'Staging Table'!H93*SUM(D91:I91)*(-1)),IF('Staging Table'!D93=1,'Staging Table'!BV93*-1*'Staging Table'!BT93/'Staging Table'!BS93,'Staging Table'!BV93*SUM(D91:I91)*(-1)))</f>
        <v>0</v>
      </c>
      <c r="K91" s="250">
        <f>IF(Init!$R$9="Yes",'Staging Table'!K93,'Staging Table'!BY93)*(-1)*Rates_previous!$H$32</f>
        <v>0</v>
      </c>
      <c r="L91" s="250">
        <f>IF(Init!$R$12="No",0,'Staging Table'!$BI93*-1)*('Staging Table'!$F93/'Staging Table'!$E93)</f>
        <v>-533169.08164215623</v>
      </c>
      <c r="M91" s="250">
        <f>IF('Staging Table'!C93=1,"",SUM(D91:L91))</f>
        <v>19676266.460780036</v>
      </c>
      <c r="N91" s="250">
        <f>IF('Staging Table'!C93=1,"",IF(Init!$R$9="Yes",(RT1SC!$C$3*'Staging Table'!F93*'Staging Table'!$F$2),Z91))</f>
        <v>558232.86072386405</v>
      </c>
      <c r="O91" s="126">
        <f>IF('Staging Table'!C93=1,"",IF(N91=0, 0, M91/N91))</f>
        <v>35.247417064028973</v>
      </c>
      <c r="P91" s="250">
        <f>'Staging Table'!BT93*Rates_current!$E$74*100*12</f>
        <v>21796381.875599999</v>
      </c>
      <c r="Q91" s="250">
        <f>'Staging Table'!BT93*Rates_current!$E$75*100*12</f>
        <v>-2205056.898</v>
      </c>
      <c r="R91" s="251"/>
      <c r="S91" s="251">
        <f>SUMPRODUCT('Staging Table'!CX93:DI93, LS_Demand_Rates_Restatement!$C$11:$N$11)*1000</f>
        <v>0</v>
      </c>
      <c r="T91" s="252"/>
      <c r="U91" s="252">
        <f>IF(Init!$R$18="Yes",(SUM('Staging Table'!DL93:DU93)*IF('Staging Table'!$BT$1=2020, Rates_current!$C$87, Rates_current!$D$87)),0)</f>
        <v>380492.44704613107</v>
      </c>
      <c r="V91" s="252">
        <f>IF('Staging Table'!D93=1, 'Staging Table'!BV93*-1*'Staging Table'!BT93/'Staging Table'!BS93,SUM(P91:U91)*'Staging Table'!BV93*-1)</f>
        <v>0</v>
      </c>
      <c r="W91" s="250">
        <f>'Staging Table'!BY93*Rates_current!$H$32*-1</f>
        <v>0</v>
      </c>
      <c r="X91" s="250">
        <f>IF(Init!$R$12="No",0,'Staging Table'!$DW93*-1)</f>
        <v>0</v>
      </c>
      <c r="Y91" s="250">
        <f>IF('Staging Table'!C93=1,"",SUM(P91:X91))</f>
        <v>19971817.424646132</v>
      </c>
      <c r="Z91" s="250">
        <f>IF('Staging Table'!C93=1,"",(RT1SC!$C$4*'Staging Table'!BT93*'Staging Table'!$BT$2))</f>
        <v>565881.08726476796</v>
      </c>
      <c r="AA91" s="126">
        <f>IF('Staging Table'!C93=1,"",IF(Z91=0, 0, Y91/Z91))</f>
        <v>35.293311393709104</v>
      </c>
      <c r="AB91" s="118">
        <f ca="1">IF('Staging Table'!C93=1,"",(AA91/O91-1)+(RAND()/100000000000))</f>
        <v>1.3020622169826132E-3</v>
      </c>
      <c r="AC91" s="79">
        <f t="shared" ca="1" si="1"/>
        <v>102</v>
      </c>
      <c r="AF91" s="255"/>
      <c r="AG91" s="255"/>
      <c r="AI91" s="255"/>
      <c r="AJ91" s="255"/>
    </row>
    <row r="92" spans="2:36">
      <c r="B92" s="166">
        <v>10284</v>
      </c>
      <c r="C92" s="167" t="s">
        <v>95</v>
      </c>
      <c r="D92" s="250">
        <f>IF(Init!$R$9="Yes",'Staging Table'!F94,'Staging Table'!BT94)*Rates_previous!$E$75*100*12</f>
        <v>3587210.0352000003</v>
      </c>
      <c r="E92" s="250">
        <f>IF(Init!$R$9="Yes",'Staging Table'!F94,'Staging Table'!BT94)*Rates_previous!$E$76*100*12</f>
        <v>-505874.68799999997</v>
      </c>
      <c r="F92" s="251"/>
      <c r="G92" s="251">
        <f>IF(Init!$R$9="Yes",SUMPRODUCT('Staging Table'!AJ94:AU94,LS_Demand_Rates_Restatement!$C$10:$N$10),SUMPRODUCT(LS_Demand_Rates_Restatement!$C$10:$N$10,'Staging Table'!CX94:DI94))*1000</f>
        <v>166257.91999999998</v>
      </c>
      <c r="H92" s="252"/>
      <c r="I92" s="250">
        <f>IF(Init!$R$9="Yes",IF('Staging Table'!$F$1=2018,(SUM('Staging Table'!BD94:BG94)*Rates_previous!$C$87),(SUM('Staging Table'!BD94:BG94)*Rates_previous!$D$87)),IF('Staging Table'!$F$1=2018,(SUM('Staging Table'!DR94:DU94)*Rates_previous!$C$87),(SUM('Staging Table'!DR94:DU94)*Rates_previous!$D$87)))</f>
        <v>19710.353355851868</v>
      </c>
      <c r="J92" s="252">
        <f>IF(Init!$R$9="Yes",IF('Staging Table'!D94=1,'Staging Table'!H94*-1*'Staging Table'!F94/'Staging Table'!E94,'Staging Table'!H94*SUM(D92:I92)*(-1)),IF('Staging Table'!D94=1,'Staging Table'!BV94*-1*'Staging Table'!BT94/'Staging Table'!BS94,'Staging Table'!BV94*SUM(D92:I92)*(-1)))</f>
        <v>-179701.69913057185</v>
      </c>
      <c r="K92" s="250">
        <f>IF(Init!$R$9="Yes",'Staging Table'!K94,'Staging Table'!BY94)*(-1)*Rates_previous!$H$32</f>
        <v>0</v>
      </c>
      <c r="L92" s="250">
        <f>IF(Init!$R$12="No",0,'Staging Table'!$BI94*-1)*('Staging Table'!$F94/'Staging Table'!$E94)</f>
        <v>-55851.607436126746</v>
      </c>
      <c r="M92" s="250">
        <f>IF('Staging Table'!C94=1,"",SUM(D92:L92))</f>
        <v>3031750.3139891536</v>
      </c>
      <c r="N92" s="250">
        <f>IF('Staging Table'!C94=1,"",IF(Init!$R$9="Yes",(RT1SC!$C$3*'Staging Table'!F94*'Staging Table'!$F$2),Z92))</f>
        <v>85658.286151679989</v>
      </c>
      <c r="O92" s="126">
        <f>IF('Staging Table'!C94=1,"",IF(N92=0, 0, M92/N92))</f>
        <v>35.393543931297685</v>
      </c>
      <c r="P92" s="250">
        <f>'Staging Table'!BT94*Rates_current!$E$74*100*12</f>
        <v>3324477.0436800001</v>
      </c>
      <c r="Q92" s="250">
        <f>'Staging Table'!BT94*Rates_current!$E$75*100*12</f>
        <v>-336324.67440000002</v>
      </c>
      <c r="R92" s="251"/>
      <c r="S92" s="251">
        <f>SUMPRODUCT('Staging Table'!CX94:DI94, LS_Demand_Rates_Restatement!$C$11:$N$11)*1000</f>
        <v>185351.87</v>
      </c>
      <c r="T92" s="252"/>
      <c r="U92" s="252">
        <f>IF(Init!$R$18="Yes",(SUM('Staging Table'!DL94:DU94)*IF('Staging Table'!$BT$1=2020, Rates_current!$C$87, Rates_current!$D$87)),0)</f>
        <v>58034.329400079405</v>
      </c>
      <c r="V92" s="252">
        <f>IF('Staging Table'!D94=1, 'Staging Table'!BV94*-1*'Staging Table'!BT94/'Staging Table'!BS94,SUM(P92:U92)*'Staging Table'!BV94*-1)</f>
        <v>-161576.92843400399</v>
      </c>
      <c r="W92" s="250">
        <f>'Staging Table'!BY94*Rates_current!$H$32*-1</f>
        <v>0</v>
      </c>
      <c r="X92" s="250">
        <f>IF(Init!$R$12="No",0,'Staging Table'!$DW94*-1)</f>
        <v>0</v>
      </c>
      <c r="Y92" s="250">
        <f>IF('Staging Table'!C94=1,"",SUM(P92:X92))</f>
        <v>3069961.6402460756</v>
      </c>
      <c r="Z92" s="250">
        <f>IF('Staging Table'!C94=1,"",(RT1SC!$C$4*'Staging Table'!BT94*'Staging Table'!$BT$2))</f>
        <v>86310.594795110403</v>
      </c>
      <c r="AA92" s="126">
        <f>IF('Staging Table'!C94=1,"",IF(Z92=0, 0, Y92/Z92))</f>
        <v>35.568769367581659</v>
      </c>
      <c r="AB92" s="118">
        <f ca="1">IF('Staging Table'!C94=1,"",(AA92/O92-1)+(RAND()/100000000000))</f>
        <v>4.9507739847089172E-3</v>
      </c>
      <c r="AC92" s="79">
        <f t="shared" ca="1" si="1"/>
        <v>94</v>
      </c>
      <c r="AF92" s="255"/>
      <c r="AG92" s="255"/>
      <c r="AI92" s="255"/>
      <c r="AJ92" s="255"/>
    </row>
    <row r="93" spans="2:36">
      <c r="B93" s="166">
        <v>10285</v>
      </c>
      <c r="C93" s="167" t="s">
        <v>96</v>
      </c>
      <c r="D93" s="250">
        <f>IF(Init!$R$9="Yes",'Staging Table'!F95,'Staging Table'!BT95)*Rates_previous!$E$75*100*12</f>
        <v>2356654.3199999998</v>
      </c>
      <c r="E93" s="250">
        <f>IF(Init!$R$9="Yes",'Staging Table'!F95,'Staging Table'!BT95)*Rates_previous!$E$76*100*12</f>
        <v>-332339.55000000005</v>
      </c>
      <c r="F93" s="251"/>
      <c r="G93" s="251">
        <f>IF(Init!$R$9="Yes",SUMPRODUCT('Staging Table'!AJ95:AU95,LS_Demand_Rates_Restatement!$C$10:$N$10),SUMPRODUCT(LS_Demand_Rates_Restatement!$C$10:$N$10,'Staging Table'!CX95:DI95))*1000</f>
        <v>0</v>
      </c>
      <c r="H93" s="252"/>
      <c r="I93" s="250">
        <f>IF(Init!$R$9="Yes",IF('Staging Table'!$F$1=2018,(SUM('Staging Table'!BD95:BG95)*Rates_previous!$C$87),(SUM('Staging Table'!BD95:BG95)*Rates_previous!$D$87)),IF('Staging Table'!$F$1=2018,(SUM('Staging Table'!DR95:DU95)*Rates_previous!$C$87),(SUM('Staging Table'!DR95:DU95)*Rates_previous!$D$87)))</f>
        <v>12948.918220286207</v>
      </c>
      <c r="J93" s="252">
        <f>IF(Init!$R$9="Yes",IF('Staging Table'!D95=1,'Staging Table'!H95*-1*'Staging Table'!F95/'Staging Table'!E95,'Staging Table'!H95*SUM(D93:I93)*(-1)),IF('Staging Table'!D95=1,'Staging Table'!BV95*-1*'Staging Table'!BT95/'Staging Table'!BS95,'Staging Table'!BV95*SUM(D93:I93)*(-1)))</f>
        <v>-147181.50397636808</v>
      </c>
      <c r="K93" s="250">
        <f>IF(Init!$R$9="Yes",'Staging Table'!K95,'Staging Table'!BY95)*(-1)*Rates_previous!$H$32</f>
        <v>0</v>
      </c>
      <c r="L93" s="250">
        <f>IF(Init!$R$12="No",0,'Staging Table'!$BI95*-1)*('Staging Table'!$F95/'Staging Table'!$E95)</f>
        <v>-69748.428674868075</v>
      </c>
      <c r="M93" s="250" t="str">
        <f>IF('Staging Table'!C95=1,"",SUM(D93:L93))</f>
        <v/>
      </c>
      <c r="N93" s="250" t="str">
        <f>IF('Staging Table'!C95=1,"",IF(Init!$R$9="Yes",(RT1SC!$C$3*'Staging Table'!F95*'Staging Table'!$F$2),Z93))</f>
        <v/>
      </c>
      <c r="O93" s="126" t="str">
        <f>IF('Staging Table'!C95=1,"",IF(N93=0, 0, M93/N93))</f>
        <v/>
      </c>
      <c r="P93" s="250">
        <f>'Staging Table'!BT95*Rates_current!$E$74*100*12</f>
        <v>2197225.4981999998</v>
      </c>
      <c r="Q93" s="250">
        <f>'Staging Table'!BT95*Rates_current!$E$75*100*12</f>
        <v>-222284.93099999998</v>
      </c>
      <c r="R93" s="251"/>
      <c r="S93" s="251">
        <f>SUMPRODUCT('Staging Table'!CX95:DI95, LS_Demand_Rates_Restatement!$C$11:$N$11)*1000</f>
        <v>0</v>
      </c>
      <c r="T93" s="252"/>
      <c r="U93" s="252">
        <f>IF(Init!$R$18="Yes",(SUM('Staging Table'!DL95:DU95)*IF('Staging Table'!$BT$1=2020, Rates_current!$C$87, Rates_current!$D$87)),0)</f>
        <v>38356.260745191175</v>
      </c>
      <c r="V93" s="252">
        <f>IF('Staging Table'!D95=1, 'Staging Table'!BV95*-1*'Staging Table'!BT95/'Staging Table'!BS95,SUM(P93:U93)*'Staging Table'!BV95*-1)</f>
        <v>-140275.04717930162</v>
      </c>
      <c r="W93" s="250">
        <f>'Staging Table'!BY95*Rates_current!$H$32*-1</f>
        <v>0</v>
      </c>
      <c r="X93" s="250">
        <f>IF(Init!$R$12="No",0,'Staging Table'!$DW95*-1)</f>
        <v>0</v>
      </c>
      <c r="Y93" s="250" t="str">
        <f>IF('Staging Table'!C95=1,"",SUM(P93:X93))</f>
        <v/>
      </c>
      <c r="Z93" s="250" t="str">
        <f>IF('Staging Table'!C95=1,"",(RT1SC!$C$4*'Staging Table'!BT95*'Staging Table'!$BT$2))</f>
        <v/>
      </c>
      <c r="AA93" s="126" t="str">
        <f>IF('Staging Table'!C95=1,"",IF(Z93=0, 0, Y93/Z93))</f>
        <v/>
      </c>
      <c r="AB93" s="118" t="str">
        <f ca="1">IF('Staging Table'!C95=1,"",(AA93/O93-1)+(RAND()/100000000000))</f>
        <v/>
      </c>
      <c r="AC93" s="79" t="str">
        <f t="shared" ca="1" si="1"/>
        <v/>
      </c>
      <c r="AF93" s="255"/>
      <c r="AG93" s="255"/>
      <c r="AI93" s="255"/>
      <c r="AJ93" s="255"/>
    </row>
    <row r="94" spans="2:36">
      <c r="B94" s="166">
        <v>10286</v>
      </c>
      <c r="C94" s="167" t="s">
        <v>97</v>
      </c>
      <c r="D94" s="250">
        <f>IF(Init!$R$9="Yes",'Staging Table'!F96,'Staging Table'!BT96)*Rates_previous!$E$75*100*12</f>
        <v>16572247.951680001</v>
      </c>
      <c r="E94" s="250">
        <f>IF(Init!$R$9="Yes",'Staging Table'!F96,'Staging Table'!BT96)*Rates_previous!$E$76*100*12</f>
        <v>-2337047.6442</v>
      </c>
      <c r="F94" s="251"/>
      <c r="G94" s="251">
        <f>IF(Init!$R$9="Yes",SUMPRODUCT('Staging Table'!AJ96:AU96,LS_Demand_Rates_Restatement!$C$10:$N$10),SUMPRODUCT(LS_Demand_Rates_Restatement!$C$10:$N$10,'Staging Table'!CX96:DI96))*1000</f>
        <v>0</v>
      </c>
      <c r="H94" s="252"/>
      <c r="I94" s="250">
        <f>IF(Init!$R$9="Yes",IF('Staging Table'!$F$1=2018,(SUM('Staging Table'!BD96:BG96)*Rates_previous!$C$87),(SUM('Staging Table'!BD96:BG96)*Rates_previous!$D$87)),IF('Staging Table'!$F$1=2018,(SUM('Staging Table'!DR96:DU96)*Rates_previous!$C$87),(SUM('Staging Table'!DR96:DU96)*Rates_previous!$D$87)))</f>
        <v>91058.192808103442</v>
      </c>
      <c r="J94" s="252">
        <f>IF(Init!$R$9="Yes",IF('Staging Table'!D96=1,'Staging Table'!H96*-1*'Staging Table'!F96/'Staging Table'!E96,'Staging Table'!H96*SUM(D94:I94)*(-1)),IF('Staging Table'!D96=1,'Staging Table'!BV96*-1*'Staging Table'!BT96/'Staging Table'!BS96,'Staging Table'!BV96*SUM(D94:I94)*(-1)))</f>
        <v>0</v>
      </c>
      <c r="K94" s="250">
        <f>IF(Init!$R$9="Yes",'Staging Table'!K96,'Staging Table'!BY96)*(-1)*Rates_previous!$H$32</f>
        <v>-651599.85576000006</v>
      </c>
      <c r="L94" s="250">
        <f>IF(Init!$R$12="No",0,'Staging Table'!$BI96*-1)*('Staging Table'!$F96/'Staging Table'!$E96)</f>
        <v>-560468.65613070945</v>
      </c>
      <c r="M94" s="250">
        <f>IF('Staging Table'!C96=1,"",SUM(D94:L94))</f>
        <v>13114189.988397393</v>
      </c>
      <c r="N94" s="250">
        <f>IF('Staging Table'!C96=1,"",IF(Init!$R$9="Yes",(RT1SC!$C$3*'Staging Table'!F96*'Staging Table'!$F$2),Z94))</f>
        <v>395725.464439512</v>
      </c>
      <c r="O94" s="126">
        <f>IF('Staging Table'!C96=1,"",IF(N94=0, 0, M94/N94))</f>
        <v>33.139616140123181</v>
      </c>
      <c r="P94" s="250">
        <f>'Staging Table'!BT96*Rates_current!$E$74*100*12</f>
        <v>15451165.39632</v>
      </c>
      <c r="Q94" s="250">
        <f>'Staging Table'!BT96*Rates_current!$E$75*100*12</f>
        <v>-1563135.5256000001</v>
      </c>
      <c r="R94" s="251"/>
      <c r="S94" s="251">
        <f>SUMPRODUCT('Staging Table'!CX96:DI96, LS_Demand_Rates_Restatement!$C$11:$N$11)*1000</f>
        <v>0</v>
      </c>
      <c r="T94" s="252"/>
      <c r="U94" s="252">
        <f>IF(Init!$R$18="Yes",(SUM('Staging Table'!DL96:DU96)*IF('Staging Table'!$BT$1=2020, Rates_current!$C$87, Rates_current!$D$87)),0)</f>
        <v>269726.03824406362</v>
      </c>
      <c r="V94" s="252">
        <f>IF('Staging Table'!D96=1, 'Staging Table'!BV96*-1*'Staging Table'!BT96/'Staging Table'!BS96,SUM(P94:U94)*'Staging Table'!BV96*-1)</f>
        <v>0</v>
      </c>
      <c r="W94" s="250">
        <f>'Staging Table'!BY96*Rates_current!$H$32*-1</f>
        <v>-615584.55761000002</v>
      </c>
      <c r="X94" s="250">
        <f>IF(Init!$R$12="No",0,'Staging Table'!$DW96*-1)</f>
        <v>0</v>
      </c>
      <c r="Y94" s="250">
        <f>IF('Staging Table'!C96=1,"",SUM(P94:X94))</f>
        <v>13542171.351354064</v>
      </c>
      <c r="Z94" s="250">
        <f>IF('Staging Table'!C96=1,"",(RT1SC!$C$4*'Staging Table'!BT96*'Staging Table'!$BT$2))</f>
        <v>401145.58112808963</v>
      </c>
      <c r="AA94" s="126">
        <f>IF('Staging Table'!C96=1,"",IF(Z94=0, 0, Y94/Z94))</f>
        <v>33.758744925648124</v>
      </c>
      <c r="AB94" s="118">
        <f ca="1">IF('Staging Table'!C96=1,"",(AA94/O94-1)+(RAND()/100000000000))</f>
        <v>1.868243684741035E-2</v>
      </c>
      <c r="AC94" s="79">
        <f t="shared" ca="1" si="1"/>
        <v>62</v>
      </c>
      <c r="AF94" s="255"/>
      <c r="AG94" s="255"/>
      <c r="AI94" s="255"/>
      <c r="AJ94" s="255"/>
    </row>
    <row r="95" spans="2:36">
      <c r="B95" s="166">
        <v>10288</v>
      </c>
      <c r="C95" s="167" t="s">
        <v>98</v>
      </c>
      <c r="D95" s="250">
        <f>IF(Init!$R$9="Yes",'Staging Table'!F97,'Staging Table'!BT97)*Rates_previous!$E$75*100*12</f>
        <v>8928025.6579200011</v>
      </c>
      <c r="E95" s="250">
        <f>IF(Init!$R$9="Yes",'Staging Table'!F97,'Staging Table'!BT97)*Rates_previous!$E$76*100*12</f>
        <v>-1259045.9298</v>
      </c>
      <c r="F95" s="251"/>
      <c r="G95" s="251">
        <f>IF(Init!$R$9="Yes",SUMPRODUCT('Staging Table'!AJ97:AU97,LS_Demand_Rates_Restatement!$C$10:$N$10),SUMPRODUCT(LS_Demand_Rates_Restatement!$C$10:$N$10,'Staging Table'!CX97:DI97))*1000</f>
        <v>0</v>
      </c>
      <c r="H95" s="252"/>
      <c r="I95" s="250">
        <f>IF(Init!$R$9="Yes",IF('Staging Table'!$F$1=2018,(SUM('Staging Table'!BD97:BG97)*Rates_previous!$C$87),(SUM('Staging Table'!BD97:BG97)*Rates_previous!$D$87)),IF('Staging Table'!$F$1=2018,(SUM('Staging Table'!DR97:DU97)*Rates_previous!$C$87),(SUM('Staging Table'!DR97:DU97)*Rates_previous!$D$87)))</f>
        <v>49056.101750647511</v>
      </c>
      <c r="J95" s="252">
        <f>IF(Init!$R$9="Yes",IF('Staging Table'!D97=1,'Staging Table'!H97*-1*'Staging Table'!F97/'Staging Table'!E97,'Staging Table'!H97*SUM(D95:I95)*(-1)),IF('Staging Table'!D97=1,'Staging Table'!BV97*-1*'Staging Table'!BT97/'Staging Table'!BS97,'Staging Table'!BV97*SUM(D95:I95)*(-1)))</f>
        <v>-432986.44087724132</v>
      </c>
      <c r="K95" s="250">
        <f>IF(Init!$R$9="Yes",'Staging Table'!K97,'Staging Table'!BY97)*(-1)*Rates_previous!$H$32</f>
        <v>0</v>
      </c>
      <c r="L95" s="250">
        <f>IF(Init!$R$12="No",0,'Staging Table'!$BI97*-1)*('Staging Table'!$F97/'Staging Table'!$E97)</f>
        <v>-139006.2414335362</v>
      </c>
      <c r="M95" s="250" t="str">
        <f>IF('Staging Table'!C97=1,"",SUM(D95:L95))</f>
        <v/>
      </c>
      <c r="N95" s="250" t="str">
        <f>IF('Staging Table'!C97=1,"",IF(Init!$R$9="Yes",(RT1SC!$C$3*'Staging Table'!F97*'Staging Table'!$F$2),Z95))</f>
        <v/>
      </c>
      <c r="O95" s="126" t="str">
        <f>IF('Staging Table'!C97=1,"",IF(N95=0, 0, M95/N95))</f>
        <v/>
      </c>
      <c r="P95" s="250">
        <f>'Staging Table'!BT97*Rates_current!$E$74*100*12</f>
        <v>8190933.4310400002</v>
      </c>
      <c r="Q95" s="250">
        <f>'Staging Table'!BT97*Rates_current!$E$75*100*12</f>
        <v>-828645.52320000005</v>
      </c>
      <c r="R95" s="251"/>
      <c r="S95" s="251">
        <f>SUMPRODUCT('Staging Table'!CX97:DI97, LS_Demand_Rates_Restatement!$C$11:$N$11)*1000</f>
        <v>0</v>
      </c>
      <c r="T95" s="252"/>
      <c r="U95" s="252">
        <f>IF(Init!$R$18="Yes",(SUM('Staging Table'!DL97:DU97)*IF('Staging Table'!$BT$1=2020, Rates_current!$C$87, Rates_current!$D$87)),0)</f>
        <v>142986.49760111072</v>
      </c>
      <c r="V95" s="252">
        <f>IF('Staging Table'!D97=1, 'Staging Table'!BV97*-1*'Staging Table'!BT97/'Staging Table'!BS97,SUM(P95:U95)*'Staging Table'!BV97*-1)</f>
        <v>-412790.09229926113</v>
      </c>
      <c r="W95" s="250">
        <f>'Staging Table'!BY97*Rates_current!$H$32*-1</f>
        <v>0</v>
      </c>
      <c r="X95" s="250">
        <f>IF(Init!$R$12="No",0,'Staging Table'!$DW97*-1)</f>
        <v>0</v>
      </c>
      <c r="Y95" s="250" t="str">
        <f>IF('Staging Table'!C97=1,"",SUM(P95:X95))</f>
        <v/>
      </c>
      <c r="Z95" s="250" t="str">
        <f>IF('Staging Table'!C97=1,"",(RT1SC!$C$4*'Staging Table'!BT97*'Staging Table'!$BT$2))</f>
        <v/>
      </c>
      <c r="AA95" s="126" t="str">
        <f>IF('Staging Table'!C97=1,"",IF(Z95=0, 0, Y95/Z95))</f>
        <v/>
      </c>
      <c r="AB95" s="118" t="str">
        <f ca="1">IF('Staging Table'!C97=1,"",(AA95/O95-1)+(RAND()/100000000000))</f>
        <v/>
      </c>
      <c r="AC95" s="79" t="str">
        <f t="shared" ca="1" si="1"/>
        <v/>
      </c>
      <c r="AF95" s="255"/>
      <c r="AG95" s="255"/>
      <c r="AI95" s="255"/>
      <c r="AJ95" s="255"/>
    </row>
    <row r="96" spans="2:36">
      <c r="B96" s="166">
        <v>10291</v>
      </c>
      <c r="C96" s="167" t="s">
        <v>99</v>
      </c>
      <c r="D96" s="250">
        <f>IF(Init!$R$9="Yes",'Staging Table'!F98,'Staging Table'!BT98)*Rates_previous!$E$75*100*12</f>
        <v>28397302.39584</v>
      </c>
      <c r="E96" s="250">
        <f>IF(Init!$R$9="Yes",'Staging Table'!F98,'Staging Table'!BT98)*Rates_previous!$E$76*100*12</f>
        <v>-4004637.6846000003</v>
      </c>
      <c r="F96" s="251"/>
      <c r="G96" s="251">
        <f>IF(Init!$R$9="Yes",SUMPRODUCT('Staging Table'!AJ98:AU98,LS_Demand_Rates_Restatement!$C$10:$N$10),SUMPRODUCT(LS_Demand_Rates_Restatement!$C$10:$N$10,'Staging Table'!CX98:DI98))*1000</f>
        <v>1856822.0699999998</v>
      </c>
      <c r="H96" s="252"/>
      <c r="I96" s="250">
        <f>IF(Init!$R$9="Yes",IF('Staging Table'!$F$1=2018,(SUM('Staging Table'!BD98:BG98)*Rates_previous!$C$87),(SUM('Staging Table'!BD98:BG98)*Rates_previous!$D$87)),IF('Staging Table'!$F$1=2018,(SUM('Staging Table'!DR98:DU98)*Rates_previous!$C$87),(SUM('Staging Table'!DR98:DU98)*Rates_previous!$D$87)))</f>
        <v>156032.36472987253</v>
      </c>
      <c r="J96" s="252">
        <f>IF(Init!$R$9="Yes",IF('Staging Table'!D98=1,'Staging Table'!H98*-1*'Staging Table'!F98/'Staging Table'!E98,'Staging Table'!H98*SUM(D96:I96)*(-1)),IF('Staging Table'!D98=1,'Staging Table'!BV98*-1*'Staging Table'!BT98/'Staging Table'!BS98,'Staging Table'!BV98*SUM(D96:I96)*(-1)))</f>
        <v>-1320275.9572984939</v>
      </c>
      <c r="K96" s="250">
        <f>IF(Init!$R$9="Yes",'Staging Table'!K98,'Staging Table'!BY98)*(-1)*Rates_previous!$H$32</f>
        <v>-426424.66775999992</v>
      </c>
      <c r="L96" s="250">
        <f>IF(Init!$R$12="No",0,'Staging Table'!$BI98*-1)*('Staging Table'!$F98/'Staging Table'!$E98)</f>
        <v>-977820.46724975016</v>
      </c>
      <c r="M96" s="250">
        <f>IF('Staging Table'!C98=1,"",SUM(D96:L96))</f>
        <v>23680998.05366163</v>
      </c>
      <c r="N96" s="250">
        <f>IF('Staging Table'!C98=1,"",IF(Init!$R$9="Yes",(RT1SC!$C$3*'Staging Table'!F98*'Staging Table'!$F$2),Z96))</f>
        <v>678093.62448525603</v>
      </c>
      <c r="O96" s="126">
        <f>IF('Staging Table'!C98=1,"",IF(N96=0, 0, M96/N96))</f>
        <v>34.922903266695634</v>
      </c>
      <c r="P96" s="250">
        <f>'Staging Table'!BT98*Rates_current!$E$74*100*12</f>
        <v>26648578.28136</v>
      </c>
      <c r="Q96" s="250">
        <f>'Staging Table'!BT98*Rates_current!$E$75*100*12</f>
        <v>-2695935.1188000003</v>
      </c>
      <c r="R96" s="251"/>
      <c r="S96" s="251">
        <f>SUMPRODUCT('Staging Table'!CX98:DI98, LS_Demand_Rates_Restatement!$C$11:$N$11)*1000</f>
        <v>2041480.6899999997</v>
      </c>
      <c r="T96" s="252"/>
      <c r="U96" s="252">
        <f>IF(Init!$R$18="Yes",(SUM('Staging Table'!DL98:DU98)*IF('Staging Table'!$BT$1=2020, Rates_current!$C$87, Rates_current!$D$87)),0)</f>
        <v>465195.68332236953</v>
      </c>
      <c r="V96" s="252">
        <f>IF('Staging Table'!D98=1, 'Staging Table'!BV98*-1*'Staging Table'!BT98/'Staging Table'!BS98,SUM(P96:U96)*'Staging Table'!BV98*-1)</f>
        <v>-1328911.3858938313</v>
      </c>
      <c r="W96" s="250">
        <f>'Staging Table'!BY98*Rates_current!$H$32*-1</f>
        <v>-402855.27710999991</v>
      </c>
      <c r="X96" s="250">
        <f>IF(Init!$R$12="No",0,'Staging Table'!$DW98*-1)</f>
        <v>0</v>
      </c>
      <c r="Y96" s="250">
        <f>IF('Staging Table'!C98=1,"",SUM(P96:X96))</f>
        <v>24727552.87287854</v>
      </c>
      <c r="Z96" s="250">
        <f>IF('Staging Table'!C98=1,"",(RT1SC!$C$4*'Staging Table'!BT98*'Staging Table'!$BT$2))</f>
        <v>691854.57191854075</v>
      </c>
      <c r="AA96" s="126">
        <f>IF('Staging Table'!C98=1,"",IF(Z96=0, 0, Y96/Z96))</f>
        <v>35.740969094571469</v>
      </c>
      <c r="AB96" s="118">
        <f ca="1">IF('Staging Table'!C98=1,"",(AA96/O96-1)+(RAND()/100000000000))</f>
        <v>2.3424908918655743E-2</v>
      </c>
      <c r="AC96" s="79">
        <f t="shared" ca="1" si="1"/>
        <v>25</v>
      </c>
      <c r="AF96" s="255"/>
      <c r="AG96" s="255"/>
      <c r="AI96" s="255"/>
      <c r="AJ96" s="255"/>
    </row>
    <row r="97" spans="2:36">
      <c r="B97" s="166">
        <v>10294</v>
      </c>
      <c r="C97" s="167" t="s">
        <v>100</v>
      </c>
      <c r="D97" s="250">
        <f>IF(Init!$R$9="Yes",'Staging Table'!F99,'Staging Table'!BT99)*Rates_previous!$E$75*100*12</f>
        <v>5721192.36864</v>
      </c>
      <c r="E97" s="250">
        <f>IF(Init!$R$9="Yes",'Staging Table'!F99,'Staging Table'!BT99)*Rates_previous!$E$76*100*12</f>
        <v>-806812.64159999997</v>
      </c>
      <c r="F97" s="251"/>
      <c r="G97" s="251">
        <f>IF(Init!$R$9="Yes",SUMPRODUCT('Staging Table'!AJ99:AU99,LS_Demand_Rates_Restatement!$C$10:$N$10),SUMPRODUCT(LS_Demand_Rates_Restatement!$C$10:$N$10,'Staging Table'!CX99:DI99))*1000</f>
        <v>0</v>
      </c>
      <c r="H97" s="252"/>
      <c r="I97" s="250">
        <f>IF(Init!$R$9="Yes",IF('Staging Table'!$F$1=2018,(SUM('Staging Table'!BD99:BG99)*Rates_previous!$C$87),(SUM('Staging Table'!BD99:BG99)*Rates_previous!$D$87)),IF('Staging Table'!$F$1=2018,(SUM('Staging Table'!DR99:DU99)*Rates_previous!$C$87),(SUM('Staging Table'!DR99:DU99)*Rates_previous!$D$87)))</f>
        <v>31435.77378970238</v>
      </c>
      <c r="J97" s="252">
        <f>IF(Init!$R$9="Yes",IF('Staging Table'!D99=1,'Staging Table'!H99*-1*'Staging Table'!F99/'Staging Table'!E99,'Staging Table'!H99*SUM(D97:I97)*(-1)),IF('Staging Table'!D99=1,'Staging Table'!BV99*-1*'Staging Table'!BT99/'Staging Table'!BS99,'Staging Table'!BV99*SUM(D97:I97)*(-1)))</f>
        <v>0</v>
      </c>
      <c r="K97" s="250">
        <f>IF(Init!$R$9="Yes",'Staging Table'!K99,'Staging Table'!BY99)*(-1)*Rates_previous!$H$32</f>
        <v>0</v>
      </c>
      <c r="L97" s="250">
        <f>IF(Init!$R$12="No",0,'Staging Table'!$BI99*-1)*('Staging Table'!$F99/'Staging Table'!$E99)</f>
        <v>-203709.16364041276</v>
      </c>
      <c r="M97" s="250">
        <f>IF('Staging Table'!C99=1,"",SUM(D97:L97))</f>
        <v>4742106.3371892897</v>
      </c>
      <c r="N97" s="250">
        <f>IF('Staging Table'!C99=1,"",IF(Init!$R$9="Yes",(RT1SC!$C$3*'Staging Table'!F99*'Staging Table'!$F$2),Z97))</f>
        <v>136615.23251577598</v>
      </c>
      <c r="O97" s="126">
        <f>IF('Staging Table'!C99=1,"",IF(N97=0, 0, M97/N97))</f>
        <v>34.711402600304353</v>
      </c>
      <c r="P97" s="250">
        <f>'Staging Table'!BT99*Rates_current!$E$74*100*12</f>
        <v>5171619.9936000006</v>
      </c>
      <c r="Q97" s="250">
        <f>'Staging Table'!BT99*Rates_current!$E$75*100*12</f>
        <v>-523193.08799999999</v>
      </c>
      <c r="R97" s="251"/>
      <c r="S97" s="251">
        <f>SUMPRODUCT('Staging Table'!CX99:DI99, LS_Demand_Rates_Restatement!$C$11:$N$11)*1000</f>
        <v>0</v>
      </c>
      <c r="T97" s="252"/>
      <c r="U97" s="252">
        <f>IF(Init!$R$18="Yes",(SUM('Staging Table'!DL99:DU99)*IF('Staging Table'!$BT$1=2020, Rates_current!$C$87, Rates_current!$D$87)),0)</f>
        <v>90279.311391601921</v>
      </c>
      <c r="V97" s="252">
        <f>IF('Staging Table'!D99=1, 'Staging Table'!BV99*-1*'Staging Table'!BT99/'Staging Table'!BS99,SUM(P97:U97)*'Staging Table'!BV99*-1)</f>
        <v>0</v>
      </c>
      <c r="W97" s="250">
        <f>'Staging Table'!BY99*Rates_current!$H$32*-1</f>
        <v>0</v>
      </c>
      <c r="X97" s="250">
        <f>IF(Init!$R$12="No",0,'Staging Table'!$DW99*-1)</f>
        <v>0</v>
      </c>
      <c r="Y97" s="250">
        <f>IF('Staging Table'!C99=1,"",SUM(P97:X97))</f>
        <v>4738706.2169916024</v>
      </c>
      <c r="Z97" s="250">
        <f>IF('Staging Table'!C99=1,"",(RT1SC!$C$4*'Staging Table'!BT99*'Staging Table'!$BT$2))</f>
        <v>134266.409975808</v>
      </c>
      <c r="AA97" s="126">
        <f>IF('Staging Table'!C99=1,"",IF(Z97=0, 0, Y97/Z97))</f>
        <v>35.293311393709104</v>
      </c>
      <c r="AB97" s="118">
        <f ca="1">IF('Staging Table'!C99=1,"",(AA97/O97-1)+(RAND()/100000000000))</f>
        <v>1.6764197064144386E-2</v>
      </c>
      <c r="AC97" s="79">
        <f t="shared" ca="1" si="1"/>
        <v>67</v>
      </c>
      <c r="AF97" s="255"/>
      <c r="AG97" s="255"/>
      <c r="AI97" s="255"/>
      <c r="AJ97" s="255"/>
    </row>
    <row r="98" spans="2:36">
      <c r="B98" s="166">
        <v>10304</v>
      </c>
      <c r="C98" s="167" t="s">
        <v>101</v>
      </c>
      <c r="D98" s="250">
        <f>IF(Init!$R$9="Yes",'Staging Table'!F100,'Staging Table'!BT100)*Rates_previous!$E$75*100*12</f>
        <v>4988463.9551999997</v>
      </c>
      <c r="E98" s="250">
        <f>IF(Init!$R$9="Yes",'Staging Table'!F100,'Staging Table'!BT100)*Rates_previous!$E$76*100*12</f>
        <v>-703481.98800000001</v>
      </c>
      <c r="F98" s="251"/>
      <c r="G98" s="251">
        <f>IF(Init!$R$9="Yes",SUMPRODUCT('Staging Table'!AJ100:AU100,LS_Demand_Rates_Restatement!$C$10:$N$10),SUMPRODUCT(LS_Demand_Rates_Restatement!$C$10:$N$10,'Staging Table'!CX100:DI100))*1000</f>
        <v>248282.59999999998</v>
      </c>
      <c r="H98" s="252"/>
      <c r="I98" s="250">
        <f>IF(Init!$R$9="Yes",IF('Staging Table'!$F$1=2018,(SUM('Staging Table'!BD100:BG100)*Rates_previous!$C$87),(SUM('Staging Table'!BD100:BG100)*Rates_previous!$D$87)),IF('Staging Table'!$F$1=2018,(SUM('Staging Table'!DR100:DU100)*Rates_previous!$C$87),(SUM('Staging Table'!DR100:DU100)*Rates_previous!$D$87)))</f>
        <v>27409.710135481506</v>
      </c>
      <c r="J98" s="252">
        <f>IF(Init!$R$9="Yes",IF('Staging Table'!D100=1,'Staging Table'!H100*-1*'Staging Table'!F100/'Staging Table'!E100,'Staging Table'!H100*SUM(D98:I98)*(-1)),IF('Staging Table'!D100=1,'Staging Table'!BV100*-1*'Staging Table'!BT100/'Staging Table'!BS100,'Staging Table'!BV100*SUM(D98:I98)*(-1)))</f>
        <v>0</v>
      </c>
      <c r="K98" s="250">
        <f>IF(Init!$R$9="Yes",'Staging Table'!K100,'Staging Table'!BY100)*(-1)*Rates_previous!$H$32</f>
        <v>0</v>
      </c>
      <c r="L98" s="250">
        <f>IF(Init!$R$12="No",0,'Staging Table'!$BI100*-1)*('Staging Table'!$F100/'Staging Table'!$E100)</f>
        <v>-77668.641590863757</v>
      </c>
      <c r="M98" s="250">
        <f>IF('Staging Table'!C100=1,"",SUM(D98:L98))</f>
        <v>4483005.6357446173</v>
      </c>
      <c r="N98" s="250">
        <f>IF('Staging Table'!C100=1,"",IF(Init!$R$9="Yes",(RT1SC!$C$3*'Staging Table'!F100*'Staging Table'!$F$2),Z98))</f>
        <v>119118.55417968</v>
      </c>
      <c r="O98" s="126">
        <f>IF('Staging Table'!C100=1,"",IF(N98=0, 0, M98/N98))</f>
        <v>37.634822439016446</v>
      </c>
      <c r="P98" s="250">
        <f>'Staging Table'!BT100*Rates_current!$E$74*100*12</f>
        <v>4625700.3646799996</v>
      </c>
      <c r="Q98" s="250">
        <f>'Staging Table'!BT100*Rates_current!$E$75*100*12</f>
        <v>-467964.47939999995</v>
      </c>
      <c r="R98" s="251"/>
      <c r="S98" s="251">
        <f>SUMPRODUCT('Staging Table'!CX100:DI100, LS_Demand_Rates_Restatement!$C$11:$N$11)*1000</f>
        <v>274064.72000000009</v>
      </c>
      <c r="T98" s="252"/>
      <c r="U98" s="252">
        <f>IF(Init!$R$18="Yes",(SUM('Staging Table'!DL100:DU100)*IF('Staging Table'!$BT$1=2020, Rates_current!$C$87, Rates_current!$D$87)),0)</f>
        <v>80749.367537442478</v>
      </c>
      <c r="V98" s="252">
        <f>IF('Staging Table'!D100=1, 'Staging Table'!BV100*-1*'Staging Table'!BT100/'Staging Table'!BS100,SUM(P98:U98)*'Staging Table'!BV100*-1)</f>
        <v>0</v>
      </c>
      <c r="W98" s="250">
        <f>'Staging Table'!BY100*Rates_current!$H$32*-1</f>
        <v>0</v>
      </c>
      <c r="X98" s="250">
        <f>IF(Init!$R$12="No",0,'Staging Table'!$DW100*-1)</f>
        <v>0</v>
      </c>
      <c r="Y98" s="250">
        <f>IF('Staging Table'!C100=1,"",SUM(P98:X98))</f>
        <v>4512549.9728174424</v>
      </c>
      <c r="Z98" s="250">
        <f>IF('Staging Table'!C100=1,"",(RT1SC!$C$4*'Staging Table'!BT100*'Staging Table'!$BT$2))</f>
        <v>120093.15888599039</v>
      </c>
      <c r="AA98" s="126">
        <f>IF('Staging Table'!C100=1,"",IF(Z98=0, 0, Y98/Z98))</f>
        <v>37.575412410472111</v>
      </c>
      <c r="AB98" s="118">
        <f ca="1">IF('Staging Table'!C100=1,"",(AA98/O98-1)+(RAND()/100000000000))</f>
        <v>-1.5785919703073966E-3</v>
      </c>
      <c r="AC98" s="79">
        <f t="shared" ca="1" si="1"/>
        <v>110</v>
      </c>
      <c r="AF98" s="255"/>
      <c r="AG98" s="255"/>
      <c r="AI98" s="255"/>
      <c r="AJ98" s="255"/>
    </row>
    <row r="99" spans="2:36">
      <c r="B99" s="166">
        <v>10306</v>
      </c>
      <c r="C99" s="167" t="s">
        <v>102</v>
      </c>
      <c r="D99" s="250">
        <f>IF(Init!$R$9="Yes",'Staging Table'!F101,'Staging Table'!BT101)*Rates_previous!$E$75*100*12</f>
        <v>8135935.0329599995</v>
      </c>
      <c r="E99" s="250">
        <f>IF(Init!$R$9="Yes",'Staging Table'!F101,'Staging Table'!BT101)*Rates_previous!$E$76*100*12</f>
        <v>-1147343.9124</v>
      </c>
      <c r="F99" s="251"/>
      <c r="G99" s="251">
        <f>IF(Init!$R$9="Yes",SUMPRODUCT('Staging Table'!AJ101:AU101,LS_Demand_Rates_Restatement!$C$10:$N$10),SUMPRODUCT(LS_Demand_Rates_Restatement!$C$10:$N$10,'Staging Table'!CX101:DI101))*1000</f>
        <v>0</v>
      </c>
      <c r="H99" s="252"/>
      <c r="I99" s="250">
        <f>IF(Init!$R$9="Yes",IF('Staging Table'!$F$1=2018,(SUM('Staging Table'!BD101:BG101)*Rates_previous!$C$87),(SUM('Staging Table'!BD101:BG101)*Rates_previous!$D$87)),IF('Staging Table'!$F$1=2018,(SUM('Staging Table'!DR101:DU101)*Rates_previous!$C$87),(SUM('Staging Table'!DR101:DU101)*Rates_previous!$D$87)))</f>
        <v>44703.865345580503</v>
      </c>
      <c r="J99" s="252">
        <f>IF(Init!$R$9="Yes",IF('Staging Table'!D101=1,'Staging Table'!H101*-1*'Staging Table'!F101/'Staging Table'!E101,'Staging Table'!H101*SUM(D99:I99)*(-1)),IF('Staging Table'!D101=1,'Staging Table'!BV101*-1*'Staging Table'!BT101/'Staging Table'!BS101,'Staging Table'!BV101*SUM(D99:I99)*(-1)))</f>
        <v>0</v>
      </c>
      <c r="K99" s="250">
        <f>IF(Init!$R$9="Yes",'Staging Table'!K101,'Staging Table'!BY101)*(-1)*Rates_previous!$H$32</f>
        <v>0</v>
      </c>
      <c r="L99" s="250">
        <f>IF(Init!$R$12="No",0,'Staging Table'!$BI101*-1)*('Staging Table'!$F101/'Staging Table'!$E101)</f>
        <v>-218511.51253542781</v>
      </c>
      <c r="M99" s="250">
        <f>IF('Staging Table'!C101=1,"",SUM(D99:L99))</f>
        <v>6814783.4733701525</v>
      </c>
      <c r="N99" s="250">
        <f>IF('Staging Table'!C101=1,"",IF(Init!$R$9="Yes",(RT1SC!$C$3*'Staging Table'!F101*'Staging Table'!$F$2),Z99))</f>
        <v>194276.39985566397</v>
      </c>
      <c r="O99" s="126">
        <f>IF('Staging Table'!C101=1,"",IF(N99=0, 0, M99/N99))</f>
        <v>35.077773102822263</v>
      </c>
      <c r="P99" s="250">
        <f>'Staging Table'!BT101*Rates_current!$E$74*100*12</f>
        <v>7483400.6773199998</v>
      </c>
      <c r="Q99" s="250">
        <f>'Staging Table'!BT101*Rates_current!$E$75*100*12</f>
        <v>-757067.13059999992</v>
      </c>
      <c r="R99" s="251"/>
      <c r="S99" s="251">
        <f>SUMPRODUCT('Staging Table'!CX101:DI101, LS_Demand_Rates_Restatement!$C$11:$N$11)*1000</f>
        <v>0</v>
      </c>
      <c r="T99" s="252"/>
      <c r="U99" s="252">
        <f>IF(Init!$R$18="Yes",(SUM('Staging Table'!DL101:DU101)*IF('Staging Table'!$BT$1=2020, Rates_current!$C$87, Rates_current!$D$87)),0)</f>
        <v>130635.32526596369</v>
      </c>
      <c r="V99" s="252">
        <f>IF('Staging Table'!D101=1, 'Staging Table'!BV101*-1*'Staging Table'!BT101/'Staging Table'!BS101,SUM(P99:U99)*'Staging Table'!BV101*-1)</f>
        <v>0</v>
      </c>
      <c r="W99" s="250">
        <f>'Staging Table'!BY101*Rates_current!$H$32*-1</f>
        <v>0</v>
      </c>
      <c r="X99" s="250">
        <f>IF(Init!$R$12="No",0,'Staging Table'!$DW101*-1)</f>
        <v>0</v>
      </c>
      <c r="Y99" s="250">
        <f>IF('Staging Table'!C101=1,"",SUM(P99:X99))</f>
        <v>6856968.8719859635</v>
      </c>
      <c r="Z99" s="250">
        <f>IF('Staging Table'!C101=1,"",(RT1SC!$C$4*'Staging Table'!BT101*'Staging Table'!$BT$2))</f>
        <v>194285.22292776959</v>
      </c>
      <c r="AA99" s="126">
        <f>IF('Staging Table'!C101=1,"",IF(Z99=0, 0, Y99/Z99))</f>
        <v>35.293311393709104</v>
      </c>
      <c r="AB99" s="118">
        <f ca="1">IF('Staging Table'!C101=1,"",(AA99/O99-1)+(RAND()/100000000000))</f>
        <v>6.1445830749762096E-3</v>
      </c>
      <c r="AC99" s="79">
        <f t="shared" ca="1" si="1"/>
        <v>90</v>
      </c>
      <c r="AF99" s="255"/>
      <c r="AG99" s="255"/>
      <c r="AI99" s="255"/>
      <c r="AJ99" s="255"/>
    </row>
    <row r="100" spans="2:36">
      <c r="B100" s="166">
        <v>10307</v>
      </c>
      <c r="C100" s="167" t="s">
        <v>103</v>
      </c>
      <c r="D100" s="250">
        <f>IF(Init!$R$9="Yes",'Staging Table'!F102,'Staging Table'!BT102)*Rates_previous!$E$75*100*12</f>
        <v>24674807.664000001</v>
      </c>
      <c r="E100" s="250">
        <f>IF(Init!$R$9="Yes",'Staging Table'!F102,'Staging Table'!BT102)*Rates_previous!$E$76*100*12</f>
        <v>-3479684.91</v>
      </c>
      <c r="F100" s="251"/>
      <c r="G100" s="251">
        <f>IF(Init!$R$9="Yes",SUMPRODUCT('Staging Table'!AJ102:AU102,LS_Demand_Rates_Restatement!$C$10:$N$10),SUMPRODUCT(LS_Demand_Rates_Restatement!$C$10:$N$10,'Staging Table'!CX102:DI102))*1000</f>
        <v>1633808.2899999998</v>
      </c>
      <c r="H100" s="252"/>
      <c r="I100" s="250">
        <f>IF(Init!$R$9="Yes",IF('Staging Table'!$F$1=2018,(SUM('Staging Table'!BD102:BG102)*Rates_previous!$C$87),(SUM('Staging Table'!BD102:BG102)*Rates_previous!$D$87)),IF('Staging Table'!$F$1=2018,(SUM('Staging Table'!DR102:DU102)*Rates_previous!$C$87),(SUM('Staging Table'!DR102:DU102)*Rates_previous!$D$87)))</f>
        <v>135578.67347402367</v>
      </c>
      <c r="J100" s="252">
        <f>IF(Init!$R$9="Yes",IF('Staging Table'!D102=1,'Staging Table'!H102*-1*'Staging Table'!F102/'Staging Table'!E102,'Staging Table'!H102*SUM(D100:I100)*(-1)),IF('Staging Table'!D102=1,'Staging Table'!BV102*-1*'Staging Table'!BT102/'Staging Table'!BS102,'Staging Table'!BV102*SUM(D100:I100)*(-1)))</f>
        <v>0</v>
      </c>
      <c r="K100" s="250">
        <f>IF(Init!$R$9="Yes",'Staging Table'!K102,'Staging Table'!BY102)*(-1)*Rates_previous!$H$32</f>
        <v>0</v>
      </c>
      <c r="L100" s="250">
        <f>IF(Init!$R$12="No",0,'Staging Table'!$BI102*-1)*('Staging Table'!$F102/'Staging Table'!$E102)</f>
        <v>-868434.3297716591</v>
      </c>
      <c r="M100" s="250">
        <f>IF('Staging Table'!C102=1,"",SUM(D100:L100))</f>
        <v>22096075.387702364</v>
      </c>
      <c r="N100" s="250">
        <f>IF('Staging Table'!C102=1,"",IF(Init!$R$9="Yes",(RT1SC!$C$3*'Staging Table'!F102*'Staging Table'!$F$2),Z100))</f>
        <v>589204.90154759982</v>
      </c>
      <c r="O100" s="126">
        <f>IF('Staging Table'!C102=1,"",IF(N100=0, 0, M100/N100))</f>
        <v>37.50151319119211</v>
      </c>
      <c r="P100" s="250">
        <f>'Staging Table'!BT102*Rates_current!$E$74*100*12</f>
        <v>22820010.888119999</v>
      </c>
      <c r="Q100" s="250">
        <f>'Staging Table'!BT102*Rates_current!$E$75*100*12</f>
        <v>-2308613.5445999997</v>
      </c>
      <c r="R100" s="251"/>
      <c r="S100" s="251">
        <f>SUMPRODUCT('Staging Table'!CX102:DI102, LS_Demand_Rates_Restatement!$C$11:$N$11)*1000</f>
        <v>1798788.1899999997</v>
      </c>
      <c r="T100" s="252"/>
      <c r="U100" s="252">
        <f>IF(Init!$R$18="Yes",(SUM('Staging Table'!DL102:DU102)*IF('Staging Table'!$BT$1=2020, Rates_current!$C$87, Rates_current!$D$87)),0)</f>
        <v>398361.61038085667</v>
      </c>
      <c r="V100" s="252">
        <f>IF('Staging Table'!D102=1, 'Staging Table'!BV102*-1*'Staging Table'!BT102/'Staging Table'!BS102,SUM(P100:U100)*'Staging Table'!BV102*-1)</f>
        <v>0</v>
      </c>
      <c r="W100" s="250">
        <f>'Staging Table'!BY102*Rates_current!$H$32*-1</f>
        <v>0</v>
      </c>
      <c r="X100" s="250">
        <f>IF(Init!$R$12="No",0,'Staging Table'!$DW102*-1)</f>
        <v>0</v>
      </c>
      <c r="Y100" s="250">
        <f>IF('Staging Table'!C102=1,"",SUM(P100:X100))</f>
        <v>22708547.14390086</v>
      </c>
      <c r="Z100" s="250">
        <f>IF('Staging Table'!C102=1,"",(RT1SC!$C$4*'Staging Table'!BT102*'Staging Table'!$BT$2))</f>
        <v>592456.70434959361</v>
      </c>
      <c r="AA100" s="126">
        <f>IF('Staging Table'!C102=1,"",IF(Z100=0, 0, Y100/Z100))</f>
        <v>38.329462688468666</v>
      </c>
      <c r="AB100" s="118">
        <f ca="1">IF('Staging Table'!C102=1,"",(AA100/O100-1)+(RAND()/100000000000))</f>
        <v>2.2077762393359457E-2</v>
      </c>
      <c r="AC100" s="79">
        <f t="shared" ca="1" si="1"/>
        <v>35</v>
      </c>
      <c r="AF100" s="255"/>
      <c r="AG100" s="255"/>
      <c r="AI100" s="255"/>
      <c r="AJ100" s="255"/>
    </row>
    <row r="101" spans="2:36">
      <c r="B101" s="166">
        <v>10326</v>
      </c>
      <c r="C101" s="167" t="s">
        <v>104</v>
      </c>
      <c r="D101" s="250">
        <f>IF(Init!$R$9="Yes",'Staging Table'!F103,'Staging Table'!BT103)*Rates_previous!$E$75*100*12</f>
        <v>10512206.907839999</v>
      </c>
      <c r="E101" s="250">
        <f>IF(Init!$R$9="Yes",'Staging Table'!F103,'Staging Table'!BT103)*Rates_previous!$E$76*100*12</f>
        <v>-1482449.9646000001</v>
      </c>
      <c r="F101" s="251"/>
      <c r="G101" s="251">
        <f>IF(Init!$R$9="Yes",SUMPRODUCT('Staging Table'!AJ103:AU103,LS_Demand_Rates_Restatement!$C$10:$N$10),SUMPRODUCT(LS_Demand_Rates_Restatement!$C$10:$N$10,'Staging Table'!CX103:DI103))*1000</f>
        <v>616211.39</v>
      </c>
      <c r="H101" s="252"/>
      <c r="I101" s="250">
        <f>IF(Init!$R$9="Yes",IF('Staging Table'!$F$1=2018,(SUM('Staging Table'!BD103:BG103)*Rates_previous!$C$87),(SUM('Staging Table'!BD103:BG103)*Rates_previous!$D$87)),IF('Staging Table'!$F$1=2018,(SUM('Staging Table'!DR103:DU103)*Rates_previous!$C$87),(SUM('Staging Table'!DR103:DU103)*Rates_previous!$D$87)))</f>
        <v>57760.574560781519</v>
      </c>
      <c r="J101" s="252">
        <f>IF(Init!$R$9="Yes",IF('Staging Table'!D103=1,'Staging Table'!H103*-1*'Staging Table'!F103/'Staging Table'!E103,'Staging Table'!H103*SUM(D101:I101)*(-1)),IF('Staging Table'!D103=1,'Staging Table'!BV103*-1*'Staging Table'!BT103/'Staging Table'!BS103,'Staging Table'!BV103*SUM(D101:I101)*(-1)))</f>
        <v>0</v>
      </c>
      <c r="K101" s="250">
        <f>IF(Init!$R$9="Yes",'Staging Table'!K103,'Staging Table'!BY103)*(-1)*Rates_previous!$H$32</f>
        <v>0</v>
      </c>
      <c r="L101" s="250">
        <f>IF(Init!$R$12="No",0,'Staging Table'!$BI103*-1)*('Staging Table'!$F103/'Staging Table'!$E103)</f>
        <v>-380651.60016817949</v>
      </c>
      <c r="M101" s="250">
        <f>IF('Staging Table'!C103=1,"",SUM(D101:L101))</f>
        <v>9323077.3076326009</v>
      </c>
      <c r="N101" s="250">
        <f>IF('Staging Table'!C103=1,"",IF(Init!$R$9="Yes",(RT1SC!$C$3*'Staging Table'!F103*'Staging Table'!$F$2),Z101))</f>
        <v>251018.93074605596</v>
      </c>
      <c r="O101" s="126">
        <f>IF('Staging Table'!C103=1,"",IF(N101=0, 0, M101/N101))</f>
        <v>37.140933075937284</v>
      </c>
      <c r="P101" s="250">
        <f>'Staging Table'!BT103*Rates_current!$E$74*100*12</f>
        <v>9988166.4453599993</v>
      </c>
      <c r="Q101" s="250">
        <f>'Staging Table'!BT103*Rates_current!$E$75*100*12</f>
        <v>-1010464.7387999999</v>
      </c>
      <c r="R101" s="251"/>
      <c r="S101" s="251">
        <f>SUMPRODUCT('Staging Table'!CX103:DI103, LS_Demand_Rates_Restatement!$C$11:$N$11)*1000</f>
        <v>682071.38</v>
      </c>
      <c r="T101" s="252"/>
      <c r="U101" s="252">
        <f>IF(Init!$R$18="Yes",(SUM('Staging Table'!DL103:DU103)*IF('Staging Table'!$BT$1=2020, Rates_current!$C$87, Rates_current!$D$87)),0)</f>
        <v>174360.21785585763</v>
      </c>
      <c r="V101" s="252">
        <f>IF('Staging Table'!D103=1, 'Staging Table'!BV103*-1*'Staging Table'!BT103/'Staging Table'!BS103,SUM(P101:U101)*'Staging Table'!BV103*-1)</f>
        <v>0</v>
      </c>
      <c r="W101" s="250">
        <f>'Staging Table'!BY103*Rates_current!$H$32*-1</f>
        <v>0</v>
      </c>
      <c r="X101" s="250">
        <f>IF(Init!$R$12="No",0,'Staging Table'!$DW103*-1)</f>
        <v>0</v>
      </c>
      <c r="Y101" s="250">
        <f>IF('Staging Table'!C103=1,"",SUM(P101:X101))</f>
        <v>9834133.3044158574</v>
      </c>
      <c r="Z101" s="250">
        <f>IF('Staging Table'!C103=1,"",(RT1SC!$C$4*'Staging Table'!BT103*'Staging Table'!$BT$2))</f>
        <v>259314.34492846078</v>
      </c>
      <c r="AA101" s="126">
        <f>IF('Staging Table'!C103=1,"",IF(Z101=0, 0, Y101/Z101))</f>
        <v>37.923599279202556</v>
      </c>
      <c r="AB101" s="118">
        <f ca="1">IF('Staging Table'!C103=1,"",(AA101/O101-1)+(RAND()/100000000000))</f>
        <v>2.1072874014471395E-2</v>
      </c>
      <c r="AC101" s="79">
        <f t="shared" ca="1" si="1"/>
        <v>47</v>
      </c>
      <c r="AF101" s="255"/>
      <c r="AG101" s="255"/>
      <c r="AI101" s="255"/>
      <c r="AJ101" s="255"/>
    </row>
    <row r="102" spans="2:36">
      <c r="B102" s="166">
        <v>10331</v>
      </c>
      <c r="C102" s="167" t="s">
        <v>105</v>
      </c>
      <c r="D102" s="250">
        <f>IF(Init!$R$9="Yes",'Staging Table'!F104,'Staging Table'!BT104)*Rates_previous!$E$75*100*12</f>
        <v>13212295.824960001</v>
      </c>
      <c r="E102" s="250">
        <f>IF(Init!$R$9="Yes",'Staging Table'!F104,'Staging Table'!BT104)*Rates_previous!$E$76*100*12</f>
        <v>-1863221.2674000002</v>
      </c>
      <c r="F102" s="251"/>
      <c r="G102" s="251">
        <f>IF(Init!$R$9="Yes",SUMPRODUCT('Staging Table'!AJ104:AU104,LS_Demand_Rates_Restatement!$C$10:$N$10),SUMPRODUCT(LS_Demand_Rates_Restatement!$C$10:$N$10,'Staging Table'!CX104:DI104))*1000</f>
        <v>0</v>
      </c>
      <c r="H102" s="252"/>
      <c r="I102" s="250">
        <f>IF(Init!$R$9="Yes",IF('Staging Table'!$F$1=2018,(SUM('Staging Table'!BD104:BG104)*Rates_previous!$C$87),(SUM('Staging Table'!BD104:BG104)*Rates_previous!$D$87)),IF('Staging Table'!$F$1=2018,(SUM('Staging Table'!DR104:DU104)*Rates_previous!$C$87),(SUM('Staging Table'!DR104:DU104)*Rates_previous!$D$87)))</f>
        <v>72596.535133602418</v>
      </c>
      <c r="J102" s="252">
        <f>IF(Init!$R$9="Yes",IF('Staging Table'!D104=1,'Staging Table'!H104*-1*'Staging Table'!F104/'Staging Table'!E104,'Staging Table'!H104*SUM(D102:I102)*(-1)),IF('Staging Table'!D104=1,'Staging Table'!BV104*-1*'Staging Table'!BT104/'Staging Table'!BS104,'Staging Table'!BV104*SUM(D102:I102)*(-1)))</f>
        <v>-801359.29203580366</v>
      </c>
      <c r="K102" s="250">
        <f>IF(Init!$R$9="Yes",'Staging Table'!K104,'Staging Table'!BY104)*(-1)*Rates_previous!$H$32</f>
        <v>-1565101.4500800001</v>
      </c>
      <c r="L102" s="250">
        <f>IF(Init!$R$12="No",0,'Staging Table'!$BI104*-1)*('Staging Table'!$F104/'Staging Table'!$E104)</f>
        <v>-287387.68980703596</v>
      </c>
      <c r="M102" s="250" t="str">
        <f>IF('Staging Table'!C104=1,"",SUM(D102:L102))</f>
        <v/>
      </c>
      <c r="N102" s="250" t="str">
        <f>IF('Staging Table'!C104=1,"",IF(Init!$R$9="Yes",(RT1SC!$C$3*'Staging Table'!F104*'Staging Table'!$F$2),Z102))</f>
        <v/>
      </c>
      <c r="O102" s="126" t="str">
        <f>IF('Staging Table'!C104=1,"",IF(N102=0, 0, M102/N102))</f>
        <v/>
      </c>
      <c r="P102" s="250">
        <f>'Staging Table'!BT104*Rates_current!$E$74*100*12</f>
        <v>12158297.978519998</v>
      </c>
      <c r="Q102" s="250">
        <f>'Staging Table'!BT104*Rates_current!$E$75*100*12</f>
        <v>-1230008.6765999999</v>
      </c>
      <c r="R102" s="251"/>
      <c r="S102" s="251">
        <f>SUMPRODUCT('Staging Table'!CX104:DI104, LS_Demand_Rates_Restatement!$C$11:$N$11)*1000</f>
        <v>0</v>
      </c>
      <c r="T102" s="252"/>
      <c r="U102" s="252">
        <f>IF(Init!$R$18="Yes",(SUM('Staging Table'!DL104:DU104)*IF('Staging Table'!$BT$1=2020, Rates_current!$C$87, Rates_current!$D$87)),0)</f>
        <v>212243.5079439421</v>
      </c>
      <c r="V102" s="252">
        <f>IF('Staging Table'!D104=1, 'Staging Table'!BV104*-1*'Staging Table'!BT104/'Staging Table'!BS104,SUM(P102:U102)*'Staging Table'!BV104*-1)</f>
        <v>-779837.29669047589</v>
      </c>
      <c r="W102" s="250">
        <f>'Staging Table'!BY104*Rates_current!$H$32*-1</f>
        <v>-1478594.99238</v>
      </c>
      <c r="X102" s="250">
        <f>IF(Init!$R$12="No",0,'Staging Table'!$DW104*-1)</f>
        <v>0</v>
      </c>
      <c r="Y102" s="250" t="str">
        <f>IF('Staging Table'!C104=1,"",SUM(P102:X102))</f>
        <v/>
      </c>
      <c r="Z102" s="250" t="str">
        <f>IF('Staging Table'!C104=1,"",(RT1SC!$C$4*'Staging Table'!BT104*'Staging Table'!$BT$2))</f>
        <v/>
      </c>
      <c r="AA102" s="126" t="str">
        <f>IF('Staging Table'!C104=1,"",IF(Z102=0, 0, Y102/Z102))</f>
        <v/>
      </c>
      <c r="AB102" s="118" t="str">
        <f ca="1">IF('Staging Table'!C104=1,"",(AA102/O102-1)+(RAND()/100000000000))</f>
        <v/>
      </c>
      <c r="AC102" s="79" t="str">
        <f t="shared" ca="1" si="1"/>
        <v/>
      </c>
      <c r="AF102" s="255"/>
      <c r="AG102" s="255"/>
      <c r="AI102" s="255"/>
      <c r="AJ102" s="255"/>
    </row>
    <row r="103" spans="2:36">
      <c r="B103" s="166">
        <v>10333</v>
      </c>
      <c r="C103" s="167" t="s">
        <v>106</v>
      </c>
      <c r="D103" s="250">
        <f>IF(Init!$R$9="Yes",'Staging Table'!F105,'Staging Table'!BT105)*Rates_previous!$E$75*100*12</f>
        <v>6683216.8780800011</v>
      </c>
      <c r="E103" s="250">
        <f>IF(Init!$R$9="Yes",'Staging Table'!F105,'Staging Table'!BT105)*Rates_previous!$E$76*100*12</f>
        <v>-942479.03519999993</v>
      </c>
      <c r="F103" s="251"/>
      <c r="G103" s="251">
        <f>IF(Init!$R$9="Yes",SUMPRODUCT('Staging Table'!AJ105:AU105,LS_Demand_Rates_Restatement!$C$10:$N$10),SUMPRODUCT(LS_Demand_Rates_Restatement!$C$10:$N$10,'Staging Table'!CX105:DI105))*1000</f>
        <v>389448.82999999996</v>
      </c>
      <c r="H103" s="252"/>
      <c r="I103" s="250">
        <f>IF(Init!$R$9="Yes",IF('Staging Table'!$F$1=2018,(SUM('Staging Table'!BD105:BG105)*Rates_previous!$C$87),(SUM('Staging Table'!BD105:BG105)*Rates_previous!$D$87)),IF('Staging Table'!$F$1=2018,(SUM('Staging Table'!DR105:DU105)*Rates_previous!$C$87),(SUM('Staging Table'!DR105:DU105)*Rates_previous!$D$87)))</f>
        <v>36721.732189680835</v>
      </c>
      <c r="J103" s="252">
        <f>IF(Init!$R$9="Yes",IF('Staging Table'!D105=1,'Staging Table'!H105*-1*'Staging Table'!F105/'Staging Table'!E105,'Staging Table'!H105*SUM(D103:I103)*(-1)),IF('Staging Table'!D105=1,'Staging Table'!BV105*-1*'Staging Table'!BT105/'Staging Table'!BS105,'Staging Table'!BV105*SUM(D103:I103)*(-1)))</f>
        <v>-412422.48333332356</v>
      </c>
      <c r="K103" s="250">
        <f>IF(Init!$R$9="Yes",'Staging Table'!K105,'Staging Table'!BY105)*(-1)*Rates_previous!$H$32</f>
        <v>0</v>
      </c>
      <c r="L103" s="250">
        <f>IF(Init!$R$12="No",0,'Staging Table'!$BI105*-1)*('Staging Table'!$F105/'Staging Table'!$E105)</f>
        <v>-104055.3527176475</v>
      </c>
      <c r="M103" s="250">
        <f>IF('Staging Table'!C105=1,"",SUM(D103:L103))</f>
        <v>5650430.5690187113</v>
      </c>
      <c r="N103" s="250">
        <f>IF('Staging Table'!C105=1,"",IF(Init!$R$9="Yes",(RT1SC!$C$3*'Staging Table'!F105*'Staging Table'!$F$2),Z103))</f>
        <v>159587.22743827198</v>
      </c>
      <c r="O103" s="126">
        <f>IF('Staging Table'!C105=1,"",IF(N103=0, 0, M103/N103))</f>
        <v>35.406533841840734</v>
      </c>
      <c r="P103" s="250">
        <f>'Staging Table'!BT105*Rates_current!$E$74*100*12</f>
        <v>6185742.3517199997</v>
      </c>
      <c r="Q103" s="250">
        <f>'Staging Table'!BT105*Rates_current!$E$75*100*12</f>
        <v>-625787.98259999999</v>
      </c>
      <c r="R103" s="251"/>
      <c r="S103" s="251">
        <f>SUMPRODUCT('Staging Table'!CX105:DI105, LS_Demand_Rates_Restatement!$C$11:$N$11)*1000</f>
        <v>429363.23000000004</v>
      </c>
      <c r="T103" s="252"/>
      <c r="U103" s="252">
        <f>IF(Init!$R$18="Yes",(SUM('Staging Table'!DL105:DU105)*IF('Staging Table'!$BT$1=2020, Rates_current!$C$87, Rates_current!$D$87)),0)</f>
        <v>107982.52010979886</v>
      </c>
      <c r="V103" s="252">
        <f>IF('Staging Table'!D105=1, 'Staging Table'!BV105*-1*'Staging Table'!BT105/'Staging Table'!BS105,SUM(P103:U103)*'Staging Table'!BV105*-1)</f>
        <v>-396324.50774993695</v>
      </c>
      <c r="W103" s="250">
        <f>'Staging Table'!BY105*Rates_current!$H$32*-1</f>
        <v>0</v>
      </c>
      <c r="X103" s="250">
        <f>IF(Init!$R$12="No",0,'Staging Table'!$DW105*-1)</f>
        <v>0</v>
      </c>
      <c r="Y103" s="250">
        <f>IF('Staging Table'!C105=1,"",SUM(P103:X103))</f>
        <v>5700975.6114798626</v>
      </c>
      <c r="Z103" s="250">
        <f>IF('Staging Table'!C105=1,"",(RT1SC!$C$4*'Staging Table'!BT105*'Staging Table'!$BT$2))</f>
        <v>160595.21380700159</v>
      </c>
      <c r="AA103" s="126">
        <f>IF('Staging Table'!C105=1,"",IF(Z103=0, 0, Y103/Z103))</f>
        <v>35.499038086721065</v>
      </c>
      <c r="AB103" s="118">
        <f ca="1">IF('Staging Table'!C105=1,"",(AA103/O103-1)+(RAND()/100000000000))</f>
        <v>2.6126320521155217E-3</v>
      </c>
      <c r="AC103" s="79">
        <f t="shared" ca="1" si="1"/>
        <v>97</v>
      </c>
      <c r="AF103" s="255"/>
      <c r="AG103" s="255"/>
      <c r="AI103" s="255"/>
      <c r="AJ103" s="255"/>
    </row>
    <row r="104" spans="2:36">
      <c r="B104" s="166">
        <v>10338</v>
      </c>
      <c r="C104" s="167" t="s">
        <v>107</v>
      </c>
      <c r="D104" s="250">
        <f>IF(Init!$R$9="Yes",'Staging Table'!F106,'Staging Table'!BT106)*Rates_previous!$E$75*100*12</f>
        <v>856548.30527999997</v>
      </c>
      <c r="E104" s="250">
        <f>IF(Init!$R$9="Yes",'Staging Table'!F106,'Staging Table'!BT106)*Rates_previous!$E$76*100*12</f>
        <v>-120791.9532</v>
      </c>
      <c r="F104" s="251"/>
      <c r="G104" s="251">
        <f>IF(Init!$R$9="Yes",SUMPRODUCT('Staging Table'!AJ106:AU106,LS_Demand_Rates_Restatement!$C$10:$N$10),SUMPRODUCT(LS_Demand_Rates_Restatement!$C$10:$N$10,'Staging Table'!CX106:DI106))*1000</f>
        <v>31057.9</v>
      </c>
      <c r="H104" s="252"/>
      <c r="I104" s="250">
        <f>IF(Init!$R$9="Yes",IF('Staging Table'!$F$1=2018,(SUM('Staging Table'!BD106:BG106)*Rates_previous!$C$87),(SUM('Staging Table'!BD106:BG106)*Rates_previous!$D$87)),IF('Staging Table'!$F$1=2018,(SUM('Staging Table'!DR106:DU106)*Rates_previous!$C$87),(SUM('Staging Table'!DR106:DU106)*Rates_previous!$D$87)))</f>
        <v>4706.4068169299699</v>
      </c>
      <c r="J104" s="252">
        <f>IF(Init!$R$9="Yes",IF('Staging Table'!D106=1,'Staging Table'!H106*-1*'Staging Table'!F106/'Staging Table'!E106,'Staging Table'!H106*SUM(D104:I104)*(-1)),IF('Staging Table'!D106=1,'Staging Table'!BV106*-1*'Staging Table'!BT106/'Staging Table'!BS106,'Staging Table'!BV106*SUM(D104:I104)*(-1)))</f>
        <v>-31680.258447691624</v>
      </c>
      <c r="K104" s="250">
        <f>IF(Init!$R$9="Yes",'Staging Table'!K106,'Staging Table'!BY106)*(-1)*Rates_previous!$H$32</f>
        <v>-48865.2696</v>
      </c>
      <c r="L104" s="250">
        <f>IF(Init!$R$12="No",0,'Staging Table'!$BI106*-1)*('Staging Table'!$F106/'Staging Table'!$E106)</f>
        <v>-13336.157968768332</v>
      </c>
      <c r="M104" s="250">
        <f>IF('Staging Table'!C106=1,"",SUM(D104:L104))</f>
        <v>677638.97288046987</v>
      </c>
      <c r="N104" s="250">
        <f>IF('Staging Table'!C106=1,"",IF(Init!$R$9="Yes",(RT1SC!$C$3*'Staging Table'!F106*'Staging Table'!$F$2),Z104))</f>
        <v>20453.349292751998</v>
      </c>
      <c r="O104" s="126">
        <f>IF('Staging Table'!C106=1,"",IF(N104=0, 0, M104/N104))</f>
        <v>33.13095391768443</v>
      </c>
      <c r="P104" s="250">
        <f>'Staging Table'!BT106*Rates_current!$E$74*100*12</f>
        <v>798558.96959999995</v>
      </c>
      <c r="Q104" s="250">
        <f>'Staging Table'!BT106*Rates_current!$E$75*100*12</f>
        <v>-80787.167999999991</v>
      </c>
      <c r="R104" s="251"/>
      <c r="S104" s="251">
        <f>SUMPRODUCT('Staging Table'!CX106:DI106, LS_Demand_Rates_Restatement!$C$11:$N$11)*1000</f>
        <v>32417.269999999993</v>
      </c>
      <c r="T104" s="252"/>
      <c r="U104" s="252">
        <f>IF(Init!$R$18="Yes",(SUM('Staging Table'!DL106:DU106)*IF('Staging Table'!$BT$1=2020, Rates_current!$C$87, Rates_current!$D$87)),0)</f>
        <v>13940.187788409121</v>
      </c>
      <c r="V104" s="252">
        <f>IF('Staging Table'!D106=1, 'Staging Table'!BV106*-1*'Staging Table'!BT106/'Staging Table'!BS106,SUM(P104:U104)*'Staging Table'!BV106*-1)</f>
        <v>-27571.770414808208</v>
      </c>
      <c r="W104" s="250">
        <f>'Staging Table'!BY106*Rates_current!$H$32*-1</f>
        <v>-46164.383099999999</v>
      </c>
      <c r="X104" s="250">
        <f>IF(Init!$R$12="No",0,'Staging Table'!$DW106*-1)</f>
        <v>0</v>
      </c>
      <c r="Y104" s="250">
        <f>IF('Staging Table'!C106=1,"",SUM(P104:X104))</f>
        <v>690393.10587360093</v>
      </c>
      <c r="Z104" s="250">
        <f>IF('Staging Table'!C106=1,"",(RT1SC!$C$4*'Staging Table'!BT106*'Staging Table'!$BT$2))</f>
        <v>20732.313305087999</v>
      </c>
      <c r="AA104" s="126">
        <f>IF('Staging Table'!C106=1,"",IF(Z104=0, 0, Y104/Z104))</f>
        <v>33.30034114929996</v>
      </c>
      <c r="AB104" s="118">
        <f ca="1">IF('Staging Table'!C106=1,"",(AA104/O104-1)+(RAND()/100000000000))</f>
        <v>5.1126578555765571E-3</v>
      </c>
      <c r="AC104" s="79">
        <f t="shared" ca="1" si="1"/>
        <v>93</v>
      </c>
      <c r="AF104" s="255"/>
      <c r="AG104" s="255"/>
      <c r="AI104" s="255"/>
      <c r="AJ104" s="255"/>
    </row>
    <row r="105" spans="2:36">
      <c r="B105" s="166">
        <v>10342</v>
      </c>
      <c r="C105" s="167" t="s">
        <v>108</v>
      </c>
      <c r="D105" s="250">
        <f>IF(Init!$R$9="Yes",'Staging Table'!F107,'Staging Table'!BT107)*Rates_previous!$E$75*100*12</f>
        <v>13716492.462719999</v>
      </c>
      <c r="E105" s="250">
        <f>IF(Init!$R$9="Yes",'Staging Table'!F107,'Staging Table'!BT107)*Rates_previous!$E$76*100*12</f>
        <v>-1934323.9668000001</v>
      </c>
      <c r="F105" s="251"/>
      <c r="G105" s="251">
        <f>IF(Init!$R$9="Yes",SUMPRODUCT('Staging Table'!AJ107:AU107,LS_Demand_Rates_Restatement!$C$10:$N$10),SUMPRODUCT(LS_Demand_Rates_Restatement!$C$10:$N$10,'Staging Table'!CX107:DI107))*1000</f>
        <v>678160.21</v>
      </c>
      <c r="H105" s="252"/>
      <c r="I105" s="250">
        <f>IF(Init!$R$9="Yes",IF('Staging Table'!$F$1=2018,(SUM('Staging Table'!BD107:BG107)*Rates_previous!$C$87),(SUM('Staging Table'!BD107:BG107)*Rates_previous!$D$87)),IF('Staging Table'!$F$1=2018,(SUM('Staging Table'!DR107:DU107)*Rates_previous!$C$87),(SUM('Staging Table'!DR107:DU107)*Rates_previous!$D$87)))</f>
        <v>75366.903691218235</v>
      </c>
      <c r="J105" s="252">
        <f>IF(Init!$R$9="Yes",IF('Staging Table'!D107=1,'Staging Table'!H107*-1*'Staging Table'!F107/'Staging Table'!E107,'Staging Table'!H107*SUM(D105:I105)*(-1)),IF('Staging Table'!D107=1,'Staging Table'!BV107*-1*'Staging Table'!BT107/'Staging Table'!BS107,'Staging Table'!BV107*SUM(D105:I105)*(-1)))</f>
        <v>0</v>
      </c>
      <c r="K105" s="250">
        <f>IF(Init!$R$9="Yes",'Staging Table'!K107,'Staging Table'!BY107)*(-1)*Rates_previous!$H$32</f>
        <v>0</v>
      </c>
      <c r="L105" s="250">
        <f>IF(Init!$R$12="No",0,'Staging Table'!$BI107*-1)*('Staging Table'!$F107/'Staging Table'!$E107)</f>
        <v>-556029.91397967096</v>
      </c>
      <c r="M105" s="250">
        <f>IF('Staging Table'!C107=1,"",SUM(D105:L105))</f>
        <v>11979665.695631545</v>
      </c>
      <c r="N105" s="250">
        <f>IF('Staging Table'!C107=1,"",IF(Init!$R$9="Yes",(RT1SC!$C$3*'Staging Table'!F107*'Staging Table'!$F$2),Z105))</f>
        <v>327533.43819844798</v>
      </c>
      <c r="O105" s="126">
        <f>IF('Staging Table'!C107=1,"",IF(N105=0, 0, M105/N105))</f>
        <v>36.57539749689078</v>
      </c>
      <c r="P105" s="250">
        <f>'Staging Table'!BT107*Rates_current!$E$74*100*12</f>
        <v>12837548.435399998</v>
      </c>
      <c r="Q105" s="250">
        <f>'Staging Table'!BT107*Rates_current!$E$75*100*12</f>
        <v>-1298725.8570000001</v>
      </c>
      <c r="R105" s="251"/>
      <c r="S105" s="251">
        <f>SUMPRODUCT('Staging Table'!CX107:DI107, LS_Demand_Rates_Restatement!$C$11:$N$11)*1000</f>
        <v>746397.55000000016</v>
      </c>
      <c r="T105" s="252"/>
      <c r="U105" s="252">
        <f>IF(Init!$R$18="Yes",(SUM('Staging Table'!DL107:DU107)*IF('Staging Table'!$BT$1=2020, Rates_current!$C$87, Rates_current!$D$87)),0)</f>
        <v>224100.96529491633</v>
      </c>
      <c r="V105" s="252">
        <f>IF('Staging Table'!D107=1, 'Staging Table'!BV107*-1*'Staging Table'!BT107/'Staging Table'!BS107,SUM(P105:U105)*'Staging Table'!BV107*-1)</f>
        <v>0</v>
      </c>
      <c r="W105" s="250">
        <f>'Staging Table'!BY107*Rates_current!$H$32*-1</f>
        <v>0</v>
      </c>
      <c r="X105" s="250">
        <f>IF(Init!$R$12="No",0,'Staging Table'!$DW107*-1)</f>
        <v>0</v>
      </c>
      <c r="Y105" s="250">
        <f>IF('Staging Table'!C107=1,"",SUM(P105:X105))</f>
        <v>12509321.093694914</v>
      </c>
      <c r="Z105" s="250">
        <f>IF('Staging Table'!C107=1,"",(RT1SC!$C$4*'Staging Table'!BT107*'Staging Table'!$BT$2))</f>
        <v>333290.44737331197</v>
      </c>
      <c r="AA105" s="126">
        <f>IF('Staging Table'!C107=1,"",IF(Z105=0, 0, Y105/Z105))</f>
        <v>37.532792170558295</v>
      </c>
      <c r="AB105" s="118">
        <f ca="1">IF('Staging Table'!C107=1,"",(AA105/O105-1)+(RAND()/100000000000))</f>
        <v>2.6175919863627828E-2</v>
      </c>
      <c r="AC105" s="79">
        <f t="shared" ca="1" si="1"/>
        <v>15</v>
      </c>
      <c r="AF105" s="255"/>
      <c r="AG105" s="255"/>
      <c r="AI105" s="255"/>
      <c r="AJ105" s="255"/>
    </row>
    <row r="106" spans="2:36">
      <c r="B106" s="166">
        <v>10343</v>
      </c>
      <c r="C106" s="167" t="s">
        <v>109</v>
      </c>
      <c r="D106" s="250">
        <f>IF(Init!$R$9="Yes",'Staging Table'!F108,'Staging Table'!BT108)*Rates_previous!$E$75*100*12</f>
        <v>4169367.3456000006</v>
      </c>
      <c r="E106" s="250">
        <f>IF(Init!$R$9="Yes",'Staging Table'!F108,'Staging Table'!BT108)*Rates_previous!$E$76*100*12</f>
        <v>-587971.53899999987</v>
      </c>
      <c r="F106" s="251"/>
      <c r="G106" s="251">
        <f>IF(Init!$R$9="Yes",SUMPRODUCT('Staging Table'!AJ108:AU108,LS_Demand_Rates_Restatement!$C$10:$N$10),SUMPRODUCT(LS_Demand_Rates_Restatement!$C$10:$N$10,'Staging Table'!CX108:DI108))*1000</f>
        <v>0</v>
      </c>
      <c r="H106" s="252"/>
      <c r="I106" s="250">
        <f>IF(Init!$R$9="Yes",IF('Staging Table'!$F$1=2018,(SUM('Staging Table'!BD108:BG108)*Rates_previous!$C$87),(SUM('Staging Table'!BD108:BG108)*Rates_previous!$D$87)),IF('Staging Table'!$F$1=2018,(SUM('Staging Table'!DR108:DU108)*Rates_previous!$C$87),(SUM('Staging Table'!DR108:DU108)*Rates_previous!$D$87)))</f>
        <v>22909.086127025272</v>
      </c>
      <c r="J106" s="252">
        <f>IF(Init!$R$9="Yes",IF('Staging Table'!D108=1,'Staging Table'!H108*-1*'Staging Table'!F108/'Staging Table'!E108,'Staging Table'!H108*SUM(D106:I106)*(-1)),IF('Staging Table'!D108=1,'Staging Table'!BV108*-1*'Staging Table'!BT108/'Staging Table'!BS108,'Staging Table'!BV108*SUM(D106:I106)*(-1)))</f>
        <v>-216258.29356362153</v>
      </c>
      <c r="K106" s="250">
        <f>IF(Init!$R$9="Yes",'Staging Table'!K108,'Staging Table'!BY108)*(-1)*Rates_previous!$H$32</f>
        <v>-123546.57335999999</v>
      </c>
      <c r="L106" s="250">
        <f>IF(Init!$R$12="No",0,'Staging Table'!$BI108*-1)*('Staging Table'!$F108/'Staging Table'!$E108)</f>
        <v>-191610.45666428225</v>
      </c>
      <c r="M106" s="250">
        <f>IF('Staging Table'!C108=1,"",SUM(D106:L106))</f>
        <v>3072889.569139122</v>
      </c>
      <c r="N106" s="250">
        <f>IF('Staging Table'!C108=1,"",IF(Init!$R$9="Yes",(RT1SC!$C$3*'Staging Table'!F108*'Staging Table'!$F$2),Z106))</f>
        <v>99559.506596039995</v>
      </c>
      <c r="O106" s="126">
        <f>IF('Staging Table'!C108=1,"",IF(N106=0, 0, M106/N106))</f>
        <v>30.864853334471498</v>
      </c>
      <c r="P106" s="250">
        <f>'Staging Table'!BT108*Rates_current!$E$74*100*12</f>
        <v>4085722.3947600005</v>
      </c>
      <c r="Q106" s="250">
        <f>'Staging Table'!BT108*Rates_current!$E$75*100*12</f>
        <v>-413336.96580000001</v>
      </c>
      <c r="R106" s="251"/>
      <c r="S106" s="251">
        <f>SUMPRODUCT('Staging Table'!CX108:DI108, LS_Demand_Rates_Restatement!$C$11:$N$11)*1000</f>
        <v>0</v>
      </c>
      <c r="T106" s="252"/>
      <c r="U106" s="252">
        <f>IF(Init!$R$18="Yes",(SUM('Staging Table'!DL108:DU108)*IF('Staging Table'!$BT$1=2020, Rates_current!$C$87, Rates_current!$D$87)),0)</f>
        <v>71323.14531861346</v>
      </c>
      <c r="V106" s="252">
        <f>IF('Staging Table'!D108=1, 'Staging Table'!BV108*-1*'Staging Table'!BT108/'Staging Table'!BS108,SUM(P106:U106)*'Staging Table'!BV108*-1)</f>
        <v>-262059.60019950301</v>
      </c>
      <c r="W106" s="250">
        <f>'Staging Table'!BY108*Rates_current!$H$32*-1</f>
        <v>-116717.89370999999</v>
      </c>
      <c r="X106" s="250">
        <f>IF(Init!$R$12="No",0,'Staging Table'!$DW108*-1)</f>
        <v>0</v>
      </c>
      <c r="Y106" s="250">
        <f>IF('Staging Table'!C108=1,"",SUM(P106:X106))</f>
        <v>3364931.0803691112</v>
      </c>
      <c r="Z106" s="250">
        <f>IF('Staging Table'!C108=1,"",(RT1SC!$C$4*'Staging Table'!BT108*'Staging Table'!$BT$2))</f>
        <v>106074.1660796928</v>
      </c>
      <c r="AA106" s="126">
        <f>IF('Staging Table'!C108=1,"",IF(Z106=0, 0, Y106/Z106))</f>
        <v>31.722437278847529</v>
      </c>
      <c r="AB106" s="118">
        <f ca="1">IF('Staging Table'!C108=1,"",(AA106/O106-1)+(RAND()/100000000000))</f>
        <v>2.7785129419949827E-2</v>
      </c>
      <c r="AC106" s="79">
        <f t="shared" ca="1" si="1"/>
        <v>13</v>
      </c>
      <c r="AF106" s="255"/>
      <c r="AG106" s="255"/>
      <c r="AI106" s="255"/>
      <c r="AJ106" s="255"/>
    </row>
    <row r="107" spans="2:36">
      <c r="B107" s="166">
        <v>10349</v>
      </c>
      <c r="C107" s="167" t="s">
        <v>110</v>
      </c>
      <c r="D107" s="250">
        <f>IF(Init!$R$9="Yes",'Staging Table'!F109,'Staging Table'!BT109)*Rates_previous!$E$75*100*12</f>
        <v>186219767.08512002</v>
      </c>
      <c r="E107" s="250">
        <f>IF(Init!$R$9="Yes",'Staging Table'!F109,'Staging Table'!BT109)*Rates_previous!$E$76*100*12</f>
        <v>-26261040.097800002</v>
      </c>
      <c r="F107" s="251"/>
      <c r="G107" s="251">
        <f>IF(Init!$R$9="Yes",SUMPRODUCT('Staging Table'!AJ109:AU109,LS_Demand_Rates_Restatement!$C$10:$N$10),SUMPRODUCT(LS_Demand_Rates_Restatement!$C$10:$N$10,'Staging Table'!CX109:DI109))*1000</f>
        <v>0</v>
      </c>
      <c r="H107" s="252"/>
      <c r="I107" s="250">
        <f>IF(Init!$R$9="Yes",IF('Staging Table'!$F$1=2018,(SUM('Staging Table'!BD109:BG109)*Rates_previous!$C$87),(SUM('Staging Table'!BD109:BG109)*Rates_previous!$D$87)),IF('Staging Table'!$F$1=2018,(SUM('Staging Table'!DR109:DU109)*Rates_previous!$C$87),(SUM('Staging Table'!DR109:DU109)*Rates_previous!$D$87)))</f>
        <v>1023206.7191704059</v>
      </c>
      <c r="J107" s="252">
        <f>IF(Init!$R$9="Yes",IF('Staging Table'!D109=1,'Staging Table'!H109*-1*'Staging Table'!F109/'Staging Table'!E109,'Staging Table'!H109*SUM(D107:I107)*(-1)),IF('Staging Table'!D109=1,'Staging Table'!BV109*-1*'Staging Table'!BT109/'Staging Table'!BS109,'Staging Table'!BV109*SUM(D107:I107)*(-1)))</f>
        <v>0</v>
      </c>
      <c r="K107" s="250">
        <f>IF(Init!$R$9="Yes",'Staging Table'!K109,'Staging Table'!BY109)*(-1)*Rates_previous!$H$32</f>
        <v>0</v>
      </c>
      <c r="L107" s="250">
        <f>IF(Init!$R$12="No",0,'Staging Table'!$BI109*-1)*('Staging Table'!$F109/'Staging Table'!$E109)</f>
        <v>-5724612.0342393331</v>
      </c>
      <c r="M107" s="250">
        <f>IF('Staging Table'!C109=1,"",SUM(D107:L107))</f>
        <v>155257321.67225108</v>
      </c>
      <c r="N107" s="250">
        <f>IF('Staging Table'!C109=1,"",IF(Init!$R$9="Yes",(RT1SC!$C$3*'Staging Table'!F109*'Staging Table'!$F$2),Z107))</f>
        <v>4446705.3614236079</v>
      </c>
      <c r="O107" s="126">
        <f>IF('Staging Table'!C109=1,"",IF(N107=0, 0, M107/N107))</f>
        <v>34.915135825987271</v>
      </c>
      <c r="P107" s="250">
        <f>'Staging Table'!BT109*Rates_current!$E$74*100*12</f>
        <v>171276638.99760002</v>
      </c>
      <c r="Q107" s="250">
        <f>'Staging Table'!BT109*Rates_current!$E$75*100*12</f>
        <v>-17327404.908</v>
      </c>
      <c r="R107" s="251"/>
      <c r="S107" s="251">
        <f>SUMPRODUCT('Staging Table'!CX109:DI109, LS_Demand_Rates_Restatement!$C$11:$N$11)*1000</f>
        <v>0</v>
      </c>
      <c r="T107" s="252"/>
      <c r="U107" s="252">
        <f>IF(Init!$R$18="Yes",(SUM('Staging Table'!DL109:DU109)*IF('Staging Table'!$BT$1=2020, Rates_current!$C$87, Rates_current!$D$87)),0)</f>
        <v>2989921.3486889638</v>
      </c>
      <c r="V107" s="252">
        <f>IF('Staging Table'!D109=1, 'Staging Table'!BV109*-1*'Staging Table'!BT109/'Staging Table'!BS109,SUM(P107:U107)*'Staging Table'!BV109*-1)</f>
        <v>0</v>
      </c>
      <c r="W107" s="250">
        <f>'Staging Table'!BY109*Rates_current!$H$32*-1</f>
        <v>0</v>
      </c>
      <c r="X107" s="250">
        <f>IF(Init!$R$12="No",0,'Staging Table'!$DW109*-1)</f>
        <v>0</v>
      </c>
      <c r="Y107" s="250">
        <f>IF('Staging Table'!C109=1,"",SUM(P107:X107))</f>
        <v>156939155.43828899</v>
      </c>
      <c r="Z107" s="250">
        <f>IF('Staging Table'!C109=1,"",(RT1SC!$C$4*'Staging Table'!BT109*'Staging Table'!$BT$2))</f>
        <v>4446710.9840609282</v>
      </c>
      <c r="AA107" s="126">
        <f>IF('Staging Table'!C109=1,"",IF(Z107=0, 0, Y107/Z107))</f>
        <v>35.293311393709104</v>
      </c>
      <c r="AB107" s="118">
        <f ca="1">IF('Staging Table'!C109=1,"",(AA107/O107-1)+(RAND()/100000000000))</f>
        <v>1.0831278729281416E-2</v>
      </c>
      <c r="AC107" s="79">
        <f t="shared" ca="1" si="1"/>
        <v>79</v>
      </c>
      <c r="AF107" s="255"/>
      <c r="AG107" s="255"/>
      <c r="AI107" s="255"/>
      <c r="AJ107" s="255"/>
    </row>
    <row r="108" spans="2:36">
      <c r="B108" s="166">
        <v>10352</v>
      </c>
      <c r="C108" s="167" t="s">
        <v>111</v>
      </c>
      <c r="D108" s="250">
        <f>IF(Init!$R$9="Yes",'Staging Table'!F110,'Staging Table'!BT110)*Rates_previous!$E$75*100*12</f>
        <v>5593805.6486399993</v>
      </c>
      <c r="E108" s="250">
        <f>IF(Init!$R$9="Yes",'Staging Table'!F110,'Staging Table'!BT110)*Rates_previous!$E$76*100*12</f>
        <v>-788848.34159999993</v>
      </c>
      <c r="F108" s="251"/>
      <c r="G108" s="251">
        <f>IF(Init!$R$9="Yes",SUMPRODUCT('Staging Table'!AJ110:AU110,LS_Demand_Rates_Restatement!$C$10:$N$10),SUMPRODUCT(LS_Demand_Rates_Restatement!$C$10:$N$10,'Staging Table'!CX110:DI110))*1000</f>
        <v>283728.50999999995</v>
      </c>
      <c r="H108" s="252"/>
      <c r="I108" s="250">
        <f>IF(Init!$R$9="Yes",IF('Staging Table'!$F$1=2018,(SUM('Staging Table'!BD110:BG110)*Rates_previous!$C$87),(SUM('Staging Table'!BD110:BG110)*Rates_previous!$D$87)),IF('Staging Table'!$F$1=2018,(SUM('Staging Table'!DR110:DU110)*Rates_previous!$C$87),(SUM('Staging Table'!DR110:DU110)*Rates_previous!$D$87)))</f>
        <v>30735.8322642815</v>
      </c>
      <c r="J108" s="252">
        <f>IF(Init!$R$9="Yes",IF('Staging Table'!D110=1,'Staging Table'!H110*-1*'Staging Table'!F110/'Staging Table'!E110,'Staging Table'!H110*SUM(D108:I108)*(-1)),IF('Staging Table'!D110=1,'Staging Table'!BV110*-1*'Staging Table'!BT110/'Staging Table'!BS110,'Staging Table'!BV110*SUM(D108:I108)*(-1)))</f>
        <v>-230373.97421869263</v>
      </c>
      <c r="K108" s="250">
        <f>IF(Init!$R$9="Yes",'Staging Table'!K110,'Staging Table'!BY110)*(-1)*Rates_previous!$H$32</f>
        <v>0</v>
      </c>
      <c r="L108" s="250">
        <f>IF(Init!$R$12="No",0,'Staging Table'!$BI110*-1)*('Staging Table'!$F110/'Staging Table'!$E110)</f>
        <v>-197551.89390883379</v>
      </c>
      <c r="M108" s="250">
        <f>IF('Staging Table'!C110=1,"",SUM(D108:L108))</f>
        <v>4691495.7811767543</v>
      </c>
      <c r="N108" s="250">
        <f>IF('Staging Table'!C110=1,"",IF(Init!$R$9="Yes",(RT1SC!$C$3*'Staging Table'!F110*'Staging Table'!$F$2),Z108))</f>
        <v>133573.38996777599</v>
      </c>
      <c r="O108" s="126">
        <f>IF('Staging Table'!C110=1,"",IF(N108=0, 0, M108/N108))</f>
        <v>35.122982072316631</v>
      </c>
      <c r="P108" s="250">
        <f>'Staging Table'!BT110*Rates_current!$E$74*100*12</f>
        <v>5183027.9788800003</v>
      </c>
      <c r="Q108" s="250">
        <f>'Staging Table'!BT110*Rates_current!$E$75*100*12</f>
        <v>-524347.19040000008</v>
      </c>
      <c r="R108" s="251"/>
      <c r="S108" s="251">
        <f>SUMPRODUCT('Staging Table'!CX110:DI110, LS_Demand_Rates_Restatement!$C$11:$N$11)*1000</f>
        <v>317366.93</v>
      </c>
      <c r="T108" s="252"/>
      <c r="U108" s="252">
        <f>IF(Init!$R$18="Yes",(SUM('Staging Table'!DL110:DU110)*IF('Staging Table'!$BT$1=2020, Rates_current!$C$87, Rates_current!$D$87)),0)</f>
        <v>90478.456931436347</v>
      </c>
      <c r="V108" s="252">
        <f>IF('Staging Table'!D110=1, 'Staging Table'!BV110*-1*'Staging Table'!BT110/'Staging Table'!BS110,SUM(P108:U108)*'Staging Table'!BV110*-1)</f>
        <v>-227993.67789351466</v>
      </c>
      <c r="W108" s="250">
        <f>'Staging Table'!BY110*Rates_current!$H$32*-1</f>
        <v>0</v>
      </c>
      <c r="X108" s="250">
        <f>IF(Init!$R$12="No",0,'Staging Table'!$DW110*-1)</f>
        <v>0</v>
      </c>
      <c r="Y108" s="250">
        <f>IF('Staging Table'!C110=1,"",SUM(P108:X108))</f>
        <v>4838532.497517922</v>
      </c>
      <c r="Z108" s="250">
        <f>IF('Staging Table'!C110=1,"",(RT1SC!$C$4*'Staging Table'!BT110*'Staging Table'!$BT$2))</f>
        <v>134562.58588016641</v>
      </c>
      <c r="AA108" s="126">
        <f>IF('Staging Table'!C110=1,"",IF(Z108=0, 0, Y108/Z108))</f>
        <v>35.957487483384398</v>
      </c>
      <c r="AB108" s="118">
        <f ca="1">IF('Staging Table'!C110=1,"",(AA108/O108-1)+(RAND()/100000000000))</f>
        <v>2.3759526154174222E-2</v>
      </c>
      <c r="AC108" s="79">
        <f t="shared" ca="1" si="1"/>
        <v>23</v>
      </c>
      <c r="AF108" s="255"/>
      <c r="AG108" s="255"/>
      <c r="AI108" s="255"/>
      <c r="AJ108" s="255"/>
    </row>
    <row r="109" spans="2:36">
      <c r="B109" s="166">
        <v>10354</v>
      </c>
      <c r="C109" s="167" t="s">
        <v>112</v>
      </c>
      <c r="D109" s="250">
        <f>IF(Init!$R$9="Yes",'Staging Table'!F111,'Staging Table'!BT111)*Rates_previous!$E$75*100*12</f>
        <v>128213969.35968</v>
      </c>
      <c r="E109" s="250">
        <f>IF(Init!$R$9="Yes",'Staging Table'!F111,'Staging Table'!BT111)*Rates_previous!$E$76*100*12</f>
        <v>-18080960.1642</v>
      </c>
      <c r="F109" s="251"/>
      <c r="G109" s="251">
        <f>IF(Init!$R$9="Yes",SUMPRODUCT('Staging Table'!AJ111:AU111,LS_Demand_Rates_Restatement!$C$10:$N$10),SUMPRODUCT(LS_Demand_Rates_Restatement!$C$10:$N$10,'Staging Table'!CX111:DI111))*1000</f>
        <v>0</v>
      </c>
      <c r="H109" s="252"/>
      <c r="I109" s="250">
        <f>IF(Init!$R$9="Yes",IF('Staging Table'!$F$1=2018,(SUM('Staging Table'!BD111:BG111)*Rates_previous!$C$87),(SUM('Staging Table'!BD111:BG111)*Rates_previous!$D$87)),IF('Staging Table'!$F$1=2018,(SUM('Staging Table'!DR111:DU111)*Rates_previous!$C$87),(SUM('Staging Table'!DR111:DU111)*Rates_previous!$D$87)))</f>
        <v>704486.9456869592</v>
      </c>
      <c r="J109" s="252">
        <f>IF(Init!$R$9="Yes",IF('Staging Table'!D111=1,'Staging Table'!H111*-1*'Staging Table'!F111/'Staging Table'!E111,'Staging Table'!H111*SUM(D109:I109)*(-1)),IF('Staging Table'!D111=1,'Staging Table'!BV111*-1*'Staging Table'!BT111/'Staging Table'!BS111,'Staging Table'!BV111*SUM(D109:I109)*(-1)))</f>
        <v>0</v>
      </c>
      <c r="K109" s="250">
        <f>IF(Init!$R$9="Yes",'Staging Table'!K111,'Staging Table'!BY111)*(-1)*Rates_previous!$H$32</f>
        <v>0</v>
      </c>
      <c r="L109" s="250">
        <f>IF(Init!$R$12="No",0,'Staging Table'!$BI111*-1)*('Staging Table'!$F111/'Staging Table'!$E111)</f>
        <v>-4237086.1954335822</v>
      </c>
      <c r="M109" s="250">
        <f>IF('Staging Table'!C111=1,"",SUM(D109:L109))</f>
        <v>106600409.94573337</v>
      </c>
      <c r="N109" s="250">
        <f>IF('Staging Table'!C111=1,"",IF(Init!$R$9="Yes",(RT1SC!$C$3*'Staging Table'!F111*'Staging Table'!$F$2),Z109))</f>
        <v>3061596.2735067117</v>
      </c>
      <c r="O109" s="126">
        <f>IF('Staging Table'!C111=1,"",IF(N109=0, 0, M109/N109))</f>
        <v>34.818571889504774</v>
      </c>
      <c r="P109" s="250">
        <f>'Staging Table'!BT111*Rates_current!$E$74*100*12</f>
        <v>116179397.42424001</v>
      </c>
      <c r="Q109" s="250">
        <f>'Staging Table'!BT111*Rates_current!$E$75*100*12</f>
        <v>-11753426.929200001</v>
      </c>
      <c r="R109" s="251"/>
      <c r="S109" s="251">
        <f>SUMPRODUCT('Staging Table'!CX111:DI111, LS_Demand_Rates_Restatement!$C$11:$N$11)*1000</f>
        <v>0</v>
      </c>
      <c r="T109" s="252"/>
      <c r="U109" s="252">
        <f>IF(Init!$R$18="Yes",(SUM('Staging Table'!DL111:DU111)*IF('Staging Table'!$BT$1=2020, Rates_current!$C$87, Rates_current!$D$87)),0)</f>
        <v>2028106.4754045194</v>
      </c>
      <c r="V109" s="252">
        <f>IF('Staging Table'!D111=1, 'Staging Table'!BV111*-1*'Staging Table'!BT111/'Staging Table'!BS111,SUM(P109:U109)*'Staging Table'!BV111*-1)</f>
        <v>0</v>
      </c>
      <c r="W109" s="250">
        <f>'Staging Table'!BY111*Rates_current!$H$32*-1</f>
        <v>0</v>
      </c>
      <c r="X109" s="250">
        <f>IF(Init!$R$12="No",0,'Staging Table'!$DW111*-1)</f>
        <v>0</v>
      </c>
      <c r="Y109" s="250">
        <f>IF('Staging Table'!C111=1,"",SUM(P109:X109))</f>
        <v>106454076.97044452</v>
      </c>
      <c r="Z109" s="250">
        <f>IF('Staging Table'!C111=1,"",(RT1SC!$C$4*'Staging Table'!BT111*'Staging Table'!$BT$2))</f>
        <v>3016267.7506486271</v>
      </c>
      <c r="AA109" s="126">
        <f>IF('Staging Table'!C111=1,"",IF(Z109=0, 0, Y109/Z109))</f>
        <v>35.293311393709104</v>
      </c>
      <c r="AB109" s="118">
        <f ca="1">IF('Staging Table'!C111=1,"",(AA109/O109-1)+(RAND()/100000000000))</f>
        <v>1.3634663298915996E-2</v>
      </c>
      <c r="AC109" s="79">
        <f t="shared" ca="1" si="1"/>
        <v>74</v>
      </c>
      <c r="AF109" s="255"/>
      <c r="AG109" s="255"/>
      <c r="AI109" s="255"/>
      <c r="AJ109" s="255"/>
    </row>
    <row r="110" spans="2:36">
      <c r="B110" s="166">
        <v>10360</v>
      </c>
      <c r="C110" s="167" t="s">
        <v>113</v>
      </c>
      <c r="D110" s="250">
        <f>IF(Init!$R$9="Yes",'Staging Table'!F112,'Staging Table'!BT112)*Rates_previous!$E$75*100*12</f>
        <v>2442258.1958400002</v>
      </c>
      <c r="E110" s="250">
        <f>IF(Init!$R$9="Yes",'Staging Table'!F112,'Staging Table'!BT112)*Rates_previous!$E$76*100*12</f>
        <v>-344411.55959999998</v>
      </c>
      <c r="F110" s="251"/>
      <c r="G110" s="251">
        <f>IF(Init!$R$9="Yes",SUMPRODUCT('Staging Table'!AJ112:AU112,LS_Demand_Rates_Restatement!$C$10:$N$10),SUMPRODUCT(LS_Demand_Rates_Restatement!$C$10:$N$10,'Staging Table'!CX112:DI112))*1000</f>
        <v>139746.08999999997</v>
      </c>
      <c r="H110" s="252"/>
      <c r="I110" s="250">
        <f>IF(Init!$R$9="Yes",IF('Staging Table'!$F$1=2018,(SUM('Staging Table'!BD112:BG112)*Rates_previous!$C$87),(SUM('Staging Table'!BD112:BG112)*Rates_previous!$D$87)),IF('Staging Table'!$F$1=2018,(SUM('Staging Table'!DR112:DU112)*Rates_previous!$C$87),(SUM('Staging Table'!DR112:DU112)*Rates_previous!$D$87)))</f>
        <v>13419.278925369035</v>
      </c>
      <c r="J110" s="252">
        <f>IF(Init!$R$9="Yes",IF('Staging Table'!D112=1,'Staging Table'!H112*-1*'Staging Table'!F112/'Staging Table'!E112,'Staging Table'!H112*SUM(D110:I110)*(-1)),IF('Staging Table'!D112=1,'Staging Table'!BV112*-1*'Staging Table'!BT112/'Staging Table'!BS112,'Staging Table'!BV112*SUM(D110:I110)*(-1)))</f>
        <v>-105982.14722719591</v>
      </c>
      <c r="K110" s="250">
        <f>IF(Init!$R$9="Yes",'Staging Table'!K112,'Staging Table'!BY112)*(-1)*Rates_previous!$H$32</f>
        <v>-235309.83840000001</v>
      </c>
      <c r="L110" s="250">
        <f>IF(Init!$R$12="No",0,'Staging Table'!$BI112*-1)*('Staging Table'!$F112/'Staging Table'!$E112)</f>
        <v>-38025.107164965273</v>
      </c>
      <c r="M110" s="250">
        <f>IF('Staging Table'!C112=1,"",SUM(D110:L110))</f>
        <v>1871694.912373208</v>
      </c>
      <c r="N110" s="250">
        <f>IF('Staging Table'!C112=1,"",IF(Init!$R$9="Yes",(RT1SC!$C$3*'Staging Table'!F112*'Staging Table'!$F$2),Z110))</f>
        <v>58318.205330256002</v>
      </c>
      <c r="O110" s="126">
        <f>IF('Staging Table'!C112=1,"",IF(N110=0, 0, M110/N110))</f>
        <v>32.094521801104811</v>
      </c>
      <c r="P110" s="250">
        <f>'Staging Table'!BT112*Rates_current!$E$74*100*12</f>
        <v>2276606.0624400005</v>
      </c>
      <c r="Q110" s="250">
        <f>'Staging Table'!BT112*Rates_current!$E$75*100*12</f>
        <v>-230315.56019999998</v>
      </c>
      <c r="R110" s="251"/>
      <c r="S110" s="251">
        <f>SUMPRODUCT('Staging Table'!CX112:DI112, LS_Demand_Rates_Restatement!$C$11:$N$11)*1000</f>
        <v>151909.53</v>
      </c>
      <c r="T110" s="252"/>
      <c r="U110" s="252">
        <f>IF(Init!$R$18="Yes",(SUM('Staging Table'!DL112:DU112)*IF('Staging Table'!$BT$1=2020, Rates_current!$C$87, Rates_current!$D$87)),0)</f>
        <v>39741.981793205654</v>
      </c>
      <c r="V110" s="252">
        <f>IF('Staging Table'!D112=1, 'Staging Table'!BV112*-1*'Staging Table'!BT112/'Staging Table'!BS112,SUM(P110:U110)*'Staging Table'!BV112*-1)</f>
        <v>-106963.33373752271</v>
      </c>
      <c r="W110" s="250">
        <f>'Staging Table'!BY112*Rates_current!$H$32*-1</f>
        <v>-222303.76739999998</v>
      </c>
      <c r="X110" s="250">
        <f>IF(Init!$R$12="No",0,'Staging Table'!$DW112*-1)</f>
        <v>0</v>
      </c>
      <c r="Y110" s="250">
        <f>IF('Staging Table'!C112=1,"",SUM(P110:X110))</f>
        <v>1908674.9128956834</v>
      </c>
      <c r="Z110" s="250">
        <f>IF('Staging Table'!C112=1,"",(RT1SC!$C$4*'Staging Table'!BT112*'Staging Table'!$BT$2))</f>
        <v>59105.603913523199</v>
      </c>
      <c r="AA110" s="126">
        <f>IF('Staging Table'!C112=1,"",IF(Z110=0, 0, Y110/Z110))</f>
        <v>32.292621790790704</v>
      </c>
      <c r="AB110" s="118">
        <f ca="1">IF('Staging Table'!C112=1,"",(AA110/O110-1)+(RAND()/100000000000))</f>
        <v>6.1723926271636063E-3</v>
      </c>
      <c r="AC110" s="79">
        <f t="shared" ca="1" si="1"/>
        <v>89</v>
      </c>
      <c r="AF110" s="255"/>
      <c r="AG110" s="255"/>
      <c r="AI110" s="255"/>
      <c r="AJ110" s="255"/>
    </row>
    <row r="111" spans="2:36">
      <c r="B111" s="166">
        <v>10363</v>
      </c>
      <c r="C111" s="167" t="s">
        <v>114</v>
      </c>
      <c r="D111" s="250">
        <f>IF(Init!$R$9="Yes",'Staging Table'!F113,'Staging Table'!BT113)*Rates_previous!$E$75*100*12</f>
        <v>34626513.003839999</v>
      </c>
      <c r="E111" s="250">
        <f>IF(Init!$R$9="Yes",'Staging Table'!F113,'Staging Table'!BT113)*Rates_previous!$E$76*100*12</f>
        <v>-4883091.9545999998</v>
      </c>
      <c r="F111" s="251"/>
      <c r="G111" s="251">
        <f>IF(Init!$R$9="Yes",SUMPRODUCT('Staging Table'!AJ113:AU113,LS_Demand_Rates_Restatement!$C$10:$N$10),SUMPRODUCT(LS_Demand_Rates_Restatement!$C$10:$N$10,'Staging Table'!CX113:DI113))*1000</f>
        <v>1795314.74</v>
      </c>
      <c r="H111" s="252"/>
      <c r="I111" s="250">
        <f>IF(Init!$R$9="Yes",IF('Staging Table'!$F$1=2018,(SUM('Staging Table'!BD113:BG113)*Rates_previous!$C$87),(SUM('Staging Table'!BD113:BG113)*Rates_previous!$D$87)),IF('Staging Table'!$F$1=2018,(SUM('Staging Table'!DR113:DU113)*Rates_previous!$C$87),(SUM('Staging Table'!DR113:DU113)*Rates_previous!$D$87)))</f>
        <v>190259.50532295337</v>
      </c>
      <c r="J111" s="252">
        <f>IF(Init!$R$9="Yes",IF('Staging Table'!D113=1,'Staging Table'!H113*-1*'Staging Table'!F113/'Staging Table'!E113,'Staging Table'!H113*SUM(D111:I111)*(-1)),IF('Staging Table'!D113=1,'Staging Table'!BV113*-1*'Staging Table'!BT113/'Staging Table'!BS113,'Staging Table'!BV113*SUM(D111:I111)*(-1)))</f>
        <v>0</v>
      </c>
      <c r="K111" s="250">
        <f>IF(Init!$R$9="Yes",'Staging Table'!K113,'Staging Table'!BY113)*(-1)*Rates_previous!$H$32</f>
        <v>0</v>
      </c>
      <c r="L111" s="250">
        <f>IF(Init!$R$12="No",0,'Staging Table'!$BI113*-1)*('Staging Table'!$F113/'Staging Table'!$E113)</f>
        <v>-1029859.1874471301</v>
      </c>
      <c r="M111" s="250">
        <f>IF('Staging Table'!C113=1,"",SUM(D111:L111))</f>
        <v>30699136.10711582</v>
      </c>
      <c r="N111" s="250">
        <f>IF('Staging Table'!C113=1,"",IF(Init!$R$9="Yes",(RT1SC!$C$3*'Staging Table'!F113*'Staging Table'!$F$2),Z111))</f>
        <v>826839.7250824559</v>
      </c>
      <c r="O111" s="126">
        <f>IF('Staging Table'!C113=1,"",IF(N111=0, 0, M111/N111))</f>
        <v>37.128279128164017</v>
      </c>
      <c r="P111" s="250">
        <f>'Staging Table'!BT113*Rates_current!$E$74*100*12</f>
        <v>32081631.270960003</v>
      </c>
      <c r="Q111" s="250">
        <f>'Staging Table'!BT113*Rates_current!$E$75*100*12</f>
        <v>-3245576.3867999995</v>
      </c>
      <c r="R111" s="251"/>
      <c r="S111" s="251">
        <f>SUMPRODUCT('Staging Table'!CX113:DI113, LS_Demand_Rates_Restatement!$C$11:$N$11)*1000</f>
        <v>2018931.69</v>
      </c>
      <c r="T111" s="252"/>
      <c r="U111" s="252">
        <f>IF(Init!$R$18="Yes",(SUM('Staging Table'!DL113:DU113)*IF('Staging Table'!$BT$1=2020, Rates_current!$C$87, Rates_current!$D$87)),0)</f>
        <v>560038.74666851002</v>
      </c>
      <c r="V111" s="252">
        <f>IF('Staging Table'!D113=1, 'Staging Table'!BV113*-1*'Staging Table'!BT113/'Staging Table'!BS113,SUM(P111:U111)*'Staging Table'!BV113*-1)</f>
        <v>0</v>
      </c>
      <c r="W111" s="250">
        <f>'Staging Table'!BY113*Rates_current!$H$32*-1</f>
        <v>0</v>
      </c>
      <c r="X111" s="250">
        <f>IF(Init!$R$12="No",0,'Staging Table'!$DW113*-1)</f>
        <v>0</v>
      </c>
      <c r="Y111" s="250">
        <f>IF('Staging Table'!C113=1,"",SUM(P111:X111))</f>
        <v>31415025.320828516</v>
      </c>
      <c r="Z111" s="250">
        <f>IF('Staging Table'!C113=1,"",(RT1SC!$C$4*'Staging Table'!BT113*'Staging Table'!$BT$2))</f>
        <v>832908.34636922868</v>
      </c>
      <c r="AA111" s="126">
        <f>IF('Staging Table'!C113=1,"",IF(Z111=0, 0, Y111/Z111))</f>
        <v>37.717265600436448</v>
      </c>
      <c r="AB111" s="118">
        <f ca="1">IF('Staging Table'!C113=1,"",(AA111/O111-1)+(RAND()/100000000000))</f>
        <v>1.5863554312928199E-2</v>
      </c>
      <c r="AC111" s="79">
        <f t="shared" ca="1" si="1"/>
        <v>70</v>
      </c>
      <c r="AF111" s="255"/>
      <c r="AG111" s="255"/>
      <c r="AI111" s="255"/>
      <c r="AJ111" s="255"/>
    </row>
    <row r="112" spans="2:36">
      <c r="B112" s="166">
        <v>10369</v>
      </c>
      <c r="C112" s="167" t="s">
        <v>115</v>
      </c>
      <c r="D112" s="250">
        <f>IF(Init!$R$9="Yes",'Staging Table'!F114,'Staging Table'!BT114)*Rates_previous!$E$75*100*12</f>
        <v>5931380.4566400005</v>
      </c>
      <c r="E112" s="250">
        <f>IF(Init!$R$9="Yes",'Staging Table'!F114,'Staging Table'!BT114)*Rates_previous!$E$76*100*12</f>
        <v>-836453.73660000006</v>
      </c>
      <c r="F112" s="251"/>
      <c r="G112" s="251">
        <f>IF(Init!$R$9="Yes",SUMPRODUCT('Staging Table'!AJ114:AU114,LS_Demand_Rates_Restatement!$C$10:$N$10),SUMPRODUCT(LS_Demand_Rates_Restatement!$C$10:$N$10,'Staging Table'!CX114:DI114))*1000</f>
        <v>255655.6</v>
      </c>
      <c r="H112" s="252"/>
      <c r="I112" s="250">
        <f>IF(Init!$R$9="Yes",IF('Staging Table'!$F$1=2018,(SUM('Staging Table'!BD114:BG114)*Rates_previous!$C$87),(SUM('Staging Table'!BD114:BG114)*Rates_previous!$D$87)),IF('Staging Table'!$F$1=2018,(SUM('Staging Table'!DR114:DU114)*Rates_previous!$C$87),(SUM('Staging Table'!DR114:DU114)*Rates_previous!$D$87)))</f>
        <v>32590.677306646827</v>
      </c>
      <c r="J112" s="252">
        <f>IF(Init!$R$9="Yes",IF('Staging Table'!D114=1,'Staging Table'!H114*-1*'Staging Table'!F114/'Staging Table'!E114,'Staging Table'!H114*SUM(D112:I112)*(-1)),IF('Staging Table'!D114=1,'Staging Table'!BV114*-1*'Staging Table'!BT114/'Staging Table'!BS114,'Staging Table'!BV114*SUM(D112:I112)*(-1)))</f>
        <v>-393300.00235914334</v>
      </c>
      <c r="K112" s="250">
        <f>IF(Init!$R$9="Yes",'Staging Table'!K114,'Staging Table'!BY114)*(-1)*Rates_previous!$H$32</f>
        <v>-543440.19576000003</v>
      </c>
      <c r="L112" s="250">
        <f>IF(Init!$R$12="No",0,'Staging Table'!$BI114*-1)*('Staging Table'!$F114/'Staging Table'!$E114)</f>
        <v>-174129.32770838495</v>
      </c>
      <c r="M112" s="250">
        <f>IF('Staging Table'!C114=1,"",SUM(D112:L112))</f>
        <v>4272303.4715191172</v>
      </c>
      <c r="N112" s="250">
        <f>IF('Staging Table'!C114=1,"",IF(Init!$R$9="Yes",(RT1SC!$C$3*'Staging Table'!F114*'Staging Table'!$F$2),Z112))</f>
        <v>141634.272719976</v>
      </c>
      <c r="O112" s="126">
        <f>IF('Staging Table'!C114=1,"",IF(N112=0, 0, M112/N112))</f>
        <v>30.164333741211458</v>
      </c>
      <c r="P112" s="250">
        <f>'Staging Table'!BT114*Rates_current!$E$74*100*12</f>
        <v>5530258.5308399983</v>
      </c>
      <c r="Q112" s="250">
        <f>'Staging Table'!BT114*Rates_current!$E$75*100*12</f>
        <v>-559475.18220000004</v>
      </c>
      <c r="R112" s="251"/>
      <c r="S112" s="251">
        <f>SUMPRODUCT('Staging Table'!CX114:DI114, LS_Demand_Rates_Restatement!$C$11:$N$11)*1000</f>
        <v>289017.43999999994</v>
      </c>
      <c r="T112" s="252"/>
      <c r="U112" s="252">
        <f>IF(Init!$R$18="Yes",(SUM('Staging Table'!DL114:DU114)*IF('Staging Table'!$BT$1=2020, Rates_current!$C$87, Rates_current!$D$87)),0)</f>
        <v>96539.949300146385</v>
      </c>
      <c r="V112" s="252">
        <f>IF('Staging Table'!D114=1, 'Staging Table'!BV114*-1*'Staging Table'!BT114/'Staging Table'!BS114,SUM(P112:U112)*'Staging Table'!BV114*-1)</f>
        <v>-413229.90398245869</v>
      </c>
      <c r="W112" s="250">
        <f>'Staging Table'!BY114*Rates_current!$H$32*-1</f>
        <v>-513403.11011000001</v>
      </c>
      <c r="X112" s="250">
        <f>IF(Init!$R$12="No",0,'Staging Table'!$DW114*-1)</f>
        <v>0</v>
      </c>
      <c r="Y112" s="250">
        <f>IF('Staging Table'!C114=1,"",SUM(P112:X112))</f>
        <v>4429707.7238476863</v>
      </c>
      <c r="Z112" s="250">
        <f>IF('Staging Table'!C114=1,"",(RT1SC!$C$4*'Staging Table'!BT114*'Staging Table'!$BT$2))</f>
        <v>143577.43996907517</v>
      </c>
      <c r="AA112" s="126">
        <f>IF('Staging Table'!C114=1,"",IF(Z112=0, 0, Y112/Z112))</f>
        <v>30.852393835701424</v>
      </c>
      <c r="AB112" s="118">
        <f ca="1">IF('Staging Table'!C114=1,"",(AA112/O112-1)+(RAND()/100000000000))</f>
        <v>2.2810385955916203E-2</v>
      </c>
      <c r="AC112" s="79">
        <f t="shared" ca="1" si="1"/>
        <v>30</v>
      </c>
      <c r="AF112" s="255"/>
      <c r="AG112" s="255"/>
      <c r="AI112" s="255"/>
      <c r="AJ112" s="255"/>
    </row>
    <row r="113" spans="2:36">
      <c r="B113" s="166">
        <v>10370</v>
      </c>
      <c r="C113" s="167" t="s">
        <v>116</v>
      </c>
      <c r="D113" s="250">
        <f>IF(Init!$R$9="Yes",'Staging Table'!F115,'Staging Table'!BT115)*Rates_previous!$E$75*100*12</f>
        <v>65631931.104959995</v>
      </c>
      <c r="E113" s="250">
        <f>IF(Init!$R$9="Yes",'Staging Table'!F115,'Staging Table'!BT115)*Rates_previous!$E$76*100*12</f>
        <v>-9255530.7173999995</v>
      </c>
      <c r="F113" s="251"/>
      <c r="G113" s="251">
        <f>IF(Init!$R$9="Yes",SUMPRODUCT('Staging Table'!AJ115:AU115,LS_Demand_Rates_Restatement!$C$10:$N$10),SUMPRODUCT(LS_Demand_Rates_Restatement!$C$10:$N$10,'Staging Table'!CX115:DI115))*1000</f>
        <v>0</v>
      </c>
      <c r="H113" s="252"/>
      <c r="I113" s="250">
        <f>IF(Init!$R$9="Yes",IF('Staging Table'!$F$1=2018,(SUM('Staging Table'!BD115:BG115)*Rates_previous!$C$87),(SUM('Staging Table'!BD115:BG115)*Rates_previous!$D$87)),IF('Staging Table'!$F$1=2018,(SUM('Staging Table'!DR115:DU115)*Rates_previous!$C$87),(SUM('Staging Table'!DR115:DU115)*Rates_previous!$D$87)))</f>
        <v>360622.47284429282</v>
      </c>
      <c r="J113" s="252">
        <f>IF(Init!$R$9="Yes",IF('Staging Table'!D115=1,'Staging Table'!H115*-1*'Staging Table'!F115/'Staging Table'!E115,'Staging Table'!H115*SUM(D113:I113)*(-1)),IF('Staging Table'!D115=1,'Staging Table'!BV115*-1*'Staging Table'!BT115/'Staging Table'!BS115,'Staging Table'!BV115*SUM(D113:I113)*(-1)))</f>
        <v>0</v>
      </c>
      <c r="K113" s="250">
        <f>IF(Init!$R$9="Yes",'Staging Table'!K115,'Staging Table'!BY115)*(-1)*Rates_previous!$H$32</f>
        <v>0</v>
      </c>
      <c r="L113" s="250">
        <f>IF(Init!$R$12="No",0,'Staging Table'!$BI115*-1)*('Staging Table'!$F115/'Staging Table'!$E115)</f>
        <v>-2383970.808041553</v>
      </c>
      <c r="M113" s="250">
        <f>IF('Staging Table'!C115=1,"",SUM(D113:L113))</f>
        <v>54353052.05236274</v>
      </c>
      <c r="N113" s="250">
        <f>IF('Staging Table'!C115=1,"",IF(Init!$R$9="Yes",(RT1SC!$C$3*'Staging Table'!F115*'Staging Table'!$F$2),Z113))</f>
        <v>1567212.0338954639</v>
      </c>
      <c r="O113" s="126">
        <f>IF('Staging Table'!C115=1,"",IF(N113=0, 0, M113/N113))</f>
        <v>34.681364663377892</v>
      </c>
      <c r="P113" s="250">
        <f>'Staging Table'!BT115*Rates_current!$E$74*100*12</f>
        <v>59413975.670040004</v>
      </c>
      <c r="Q113" s="250">
        <f>'Staging Table'!BT115*Rates_current!$E$75*100*12</f>
        <v>-6010685.5182000007</v>
      </c>
      <c r="R113" s="251"/>
      <c r="S113" s="251">
        <f>SUMPRODUCT('Staging Table'!CX115:DI115, LS_Demand_Rates_Restatement!$C$11:$N$11)*1000</f>
        <v>0</v>
      </c>
      <c r="T113" s="252"/>
      <c r="U113" s="252">
        <f>IF(Init!$R$18="Yes",(SUM('Staging Table'!DL115:DU115)*IF('Staging Table'!$BT$1=2020, Rates_current!$C$87, Rates_current!$D$87)),0)</f>
        <v>1037170.7157847048</v>
      </c>
      <c r="V113" s="252">
        <f>IF('Staging Table'!D115=1, 'Staging Table'!BV115*-1*'Staging Table'!BT115/'Staging Table'!BS115,SUM(P113:U113)*'Staging Table'!BV115*-1)</f>
        <v>0</v>
      </c>
      <c r="W113" s="250">
        <f>'Staging Table'!BY115*Rates_current!$H$32*-1</f>
        <v>0</v>
      </c>
      <c r="X113" s="250">
        <f>IF(Init!$R$12="No",0,'Staging Table'!$DW115*-1)</f>
        <v>0</v>
      </c>
      <c r="Y113" s="250">
        <f>IF('Staging Table'!C115=1,"",SUM(P113:X113))</f>
        <v>54440460.867624708</v>
      </c>
      <c r="Z113" s="250">
        <f>IF('Staging Table'!C115=1,"",(RT1SC!$C$4*'Staging Table'!BT115*'Staging Table'!$BT$2))</f>
        <v>1542514.9615552512</v>
      </c>
      <c r="AA113" s="126">
        <f>IF('Staging Table'!C115=1,"",IF(Z113=0, 0, Y113/Z113))</f>
        <v>35.293311393709104</v>
      </c>
      <c r="AB113" s="118">
        <f ca="1">IF('Staging Table'!C115=1,"",(AA113/O113-1)+(RAND()/100000000000))</f>
        <v>1.7644828472087329E-2</v>
      </c>
      <c r="AC113" s="79">
        <f t="shared" ca="1" si="1"/>
        <v>64</v>
      </c>
      <c r="AF113" s="255"/>
      <c r="AG113" s="255"/>
      <c r="AI113" s="255"/>
      <c r="AJ113" s="255"/>
    </row>
    <row r="114" spans="2:36">
      <c r="B114" s="166">
        <v>10371</v>
      </c>
      <c r="C114" s="167" t="s">
        <v>117</v>
      </c>
      <c r="D114" s="250">
        <f>IF(Init!$R$9="Yes",'Staging Table'!F116,'Staging Table'!BT116)*Rates_previous!$E$75*100*12</f>
        <v>3982108.8672000002</v>
      </c>
      <c r="E114" s="250">
        <f>IF(Init!$R$9="Yes",'Staging Table'!F116,'Staging Table'!BT116)*Rates_previous!$E$76*100*12</f>
        <v>-561564.01799999992</v>
      </c>
      <c r="F114" s="251"/>
      <c r="G114" s="251">
        <f>IF(Init!$R$9="Yes",SUMPRODUCT('Staging Table'!AJ116:AU116,LS_Demand_Rates_Restatement!$C$10:$N$10),SUMPRODUCT(LS_Demand_Rates_Restatement!$C$10:$N$10,'Staging Table'!CX116:DI116))*1000</f>
        <v>65667.98</v>
      </c>
      <c r="H114" s="252"/>
      <c r="I114" s="250">
        <f>IF(Init!$R$9="Yes",IF('Staging Table'!$F$1=2018,(SUM('Staging Table'!BD116:BG116)*Rates_previous!$C$87),(SUM('Staging Table'!BD116:BG116)*Rates_previous!$D$87)),IF('Staging Table'!$F$1=2018,(SUM('Staging Table'!DR116:DU116)*Rates_previous!$C$87),(SUM('Staging Table'!DR116:DU116)*Rates_previous!$D$87)))</f>
        <v>21880.172084656584</v>
      </c>
      <c r="J114" s="252">
        <f>IF(Init!$R$9="Yes",IF('Staging Table'!D116=1,'Staging Table'!H116*-1*'Staging Table'!F116/'Staging Table'!E116,'Staging Table'!H116*SUM(D114:I114)*(-1)),IF('Staging Table'!D116=1,'Staging Table'!BV116*-1*'Staging Table'!BT116/'Staging Table'!BS116,'Staging Table'!BV116*SUM(D114:I114)*(-1)))</f>
        <v>0</v>
      </c>
      <c r="K114" s="250">
        <f>IF(Init!$R$9="Yes",'Staging Table'!K116,'Staging Table'!BY116)*(-1)*Rates_previous!$H$32</f>
        <v>0</v>
      </c>
      <c r="L114" s="250">
        <f>IF(Init!$R$12="No",0,'Staging Table'!$BI116*-1)*('Staging Table'!$F116/'Staging Table'!$E116)</f>
        <v>-121409.34421493355</v>
      </c>
      <c r="M114" s="250">
        <f>IF('Staging Table'!C116=1,"",SUM(D114:L114))</f>
        <v>3386683.6570697231</v>
      </c>
      <c r="N114" s="250">
        <f>IF('Staging Table'!C116=1,"",IF(Init!$R$9="Yes",(RT1SC!$C$3*'Staging Table'!F116*'Staging Table'!$F$2),Z114))</f>
        <v>95087.99805047999</v>
      </c>
      <c r="O114" s="126">
        <f>IF('Staging Table'!C116=1,"",IF(N114=0, 0, M114/N114))</f>
        <v>35.616310433539809</v>
      </c>
      <c r="P114" s="250">
        <f>'Staging Table'!BT116*Rates_current!$E$74*100*12</f>
        <v>3712823.8759199996</v>
      </c>
      <c r="Q114" s="250">
        <f>'Staging Table'!BT116*Rates_current!$E$75*100*12</f>
        <v>-375612.24359999999</v>
      </c>
      <c r="R114" s="251"/>
      <c r="S114" s="251">
        <f>SUMPRODUCT('Staging Table'!CX116:DI116, LS_Demand_Rates_Restatement!$C$11:$N$11)*1000</f>
        <v>64814.11</v>
      </c>
      <c r="T114" s="252"/>
      <c r="U114" s="252">
        <f>IF(Init!$R$18="Yes",(SUM('Staging Table'!DL116:DU116)*IF('Staging Table'!$BT$1=2020, Rates_current!$C$87, Rates_current!$D$87)),0)</f>
        <v>64813.575485275978</v>
      </c>
      <c r="V114" s="252">
        <f>IF('Staging Table'!D116=1, 'Staging Table'!BV116*-1*'Staging Table'!BT116/'Staging Table'!BS116,SUM(P114:U114)*'Staging Table'!BV116*-1)</f>
        <v>0</v>
      </c>
      <c r="W114" s="250">
        <f>'Staging Table'!BY116*Rates_current!$H$32*-1</f>
        <v>0</v>
      </c>
      <c r="X114" s="250">
        <f>IF(Init!$R$12="No",0,'Staging Table'!$DW116*-1)</f>
        <v>0</v>
      </c>
      <c r="Y114" s="250">
        <f>IF('Staging Table'!C116=1,"",SUM(P114:X114))</f>
        <v>3466839.3178052753</v>
      </c>
      <c r="Z114" s="250">
        <f>IF('Staging Table'!C116=1,"",(RT1SC!$C$4*'Staging Table'!BT116*'Staging Table'!$BT$2))</f>
        <v>96392.916205977584</v>
      </c>
      <c r="AA114" s="126">
        <f>IF('Staging Table'!C116=1,"",IF(Z114=0, 0, Y114/Z114))</f>
        <v>35.96570634295518</v>
      </c>
      <c r="AB114" s="118">
        <f ca="1">IF('Staging Table'!C116=1,"",(AA114/O114-1)+(RAND()/100000000000))</f>
        <v>9.8099973159161448E-3</v>
      </c>
      <c r="AC114" s="79">
        <f t="shared" ca="1" si="1"/>
        <v>83</v>
      </c>
      <c r="AF114" s="255"/>
      <c r="AG114" s="255"/>
      <c r="AI114" s="255"/>
      <c r="AJ114" s="255"/>
    </row>
    <row r="115" spans="2:36">
      <c r="B115" s="166">
        <v>10376</v>
      </c>
      <c r="C115" s="167" t="s">
        <v>118</v>
      </c>
      <c r="D115" s="250">
        <f>IF(Init!$R$9="Yes",'Staging Table'!F117,'Staging Table'!BT117)*Rates_previous!$E$75*100*12</f>
        <v>19899843.851519998</v>
      </c>
      <c r="E115" s="250">
        <f>IF(Init!$R$9="Yes",'Staging Table'!F117,'Staging Table'!BT117)*Rates_previous!$E$76*100*12</f>
        <v>-2806311.0887999996</v>
      </c>
      <c r="F115" s="251"/>
      <c r="G115" s="251">
        <f>IF(Init!$R$9="Yes",SUMPRODUCT('Staging Table'!AJ117:AU117,LS_Demand_Rates_Restatement!$C$10:$N$10),SUMPRODUCT(LS_Demand_Rates_Restatement!$C$10:$N$10,'Staging Table'!CX117:DI117))*1000</f>
        <v>787574.33000000007</v>
      </c>
      <c r="H115" s="252"/>
      <c r="I115" s="250">
        <f>IF(Init!$R$9="Yes",IF('Staging Table'!$F$1=2018,(SUM('Staging Table'!BD117:BG117)*Rates_previous!$C$87),(SUM('Staging Table'!BD117:BG117)*Rates_previous!$D$87)),IF('Staging Table'!$F$1=2018,(SUM('Staging Table'!DR117:DU117)*Rates_previous!$C$87),(SUM('Staging Table'!DR117:DU117)*Rates_previous!$D$87)))</f>
        <v>109342.06533514756</v>
      </c>
      <c r="J115" s="252">
        <f>IF(Init!$R$9="Yes",IF('Staging Table'!D117=1,'Staging Table'!H117*-1*'Staging Table'!F117/'Staging Table'!E117,'Staging Table'!H117*SUM(D115:I115)*(-1)),IF('Staging Table'!D117=1,'Staging Table'!BV117*-1*'Staging Table'!BT117/'Staging Table'!BS117,'Staging Table'!BV117*SUM(D115:I115)*(-1)))</f>
        <v>0</v>
      </c>
      <c r="K115" s="250">
        <f>IF(Init!$R$9="Yes",'Staging Table'!K117,'Staging Table'!BY117)*(-1)*Rates_previous!$H$32</f>
        <v>0</v>
      </c>
      <c r="L115" s="250">
        <f>IF(Init!$R$12="No",0,'Staging Table'!$BI117*-1)*('Staging Table'!$F117/'Staging Table'!$E117)</f>
        <v>-597358.67315951898</v>
      </c>
      <c r="M115" s="250">
        <f>IF('Staging Table'!C117=1,"",SUM(D115:L115))</f>
        <v>17393090.484895632</v>
      </c>
      <c r="N115" s="250">
        <f>IF('Staging Table'!C117=1,"",IF(Init!$R$9="Yes",(RT1SC!$C$3*'Staging Table'!F117*'Staging Table'!$F$2),Z115))</f>
        <v>475184.47547836794</v>
      </c>
      <c r="O115" s="126">
        <f>IF('Staging Table'!C117=1,"",IF(N115=0, 0, M115/N115))</f>
        <v>36.602817184601868</v>
      </c>
      <c r="P115" s="250">
        <f>'Staging Table'!BT117*Rates_current!$E$74*100*12</f>
        <v>18441721.2042</v>
      </c>
      <c r="Q115" s="250">
        <f>'Staging Table'!BT117*Rates_current!$E$75*100*12</f>
        <v>-1865678.6609999998</v>
      </c>
      <c r="R115" s="251"/>
      <c r="S115" s="251">
        <f>SUMPRODUCT('Staging Table'!CX117:DI117, LS_Demand_Rates_Restatement!$C$11:$N$11)*1000</f>
        <v>872072.55999999994</v>
      </c>
      <c r="T115" s="252"/>
      <c r="U115" s="252">
        <f>IF(Init!$R$18="Yes",(SUM('Staging Table'!DL117:DU117)*IF('Staging Table'!$BT$1=2020, Rates_current!$C$87, Rates_current!$D$87)),0)</f>
        <v>321931.2117385731</v>
      </c>
      <c r="V115" s="252">
        <f>IF('Staging Table'!D117=1, 'Staging Table'!BV117*-1*'Staging Table'!BT117/'Staging Table'!BS117,SUM(P115:U115)*'Staging Table'!BV117*-1)</f>
        <v>0</v>
      </c>
      <c r="W115" s="250">
        <f>'Staging Table'!BY117*Rates_current!$H$32*-1</f>
        <v>0</v>
      </c>
      <c r="X115" s="250">
        <f>IF(Init!$R$12="No",0,'Staging Table'!$DW117*-1)</f>
        <v>0</v>
      </c>
      <c r="Y115" s="250">
        <f>IF('Staging Table'!C117=1,"",SUM(P115:X115))</f>
        <v>17770046.314938571</v>
      </c>
      <c r="Z115" s="250">
        <f>IF('Staging Table'!C117=1,"",(RT1SC!$C$4*'Staging Table'!BT117*'Staging Table'!$BT$2))</f>
        <v>478786.86038937594</v>
      </c>
      <c r="AA115" s="126">
        <f>IF('Staging Table'!C117=1,"",IF(Z115=0, 0, Y115/Z115))</f>
        <v>37.114732640087468</v>
      </c>
      <c r="AB115" s="118">
        <f ca="1">IF('Staging Table'!C117=1,"",(AA115/O115-1)+(RAND()/100000000000))</f>
        <v>1.398568457228958E-2</v>
      </c>
      <c r="AC115" s="79">
        <f t="shared" ca="1" si="1"/>
        <v>73</v>
      </c>
      <c r="AF115" s="255"/>
      <c r="AG115" s="255"/>
      <c r="AI115" s="255"/>
      <c r="AJ115" s="255"/>
    </row>
    <row r="116" spans="2:36">
      <c r="B116" s="166">
        <v>10378</v>
      </c>
      <c r="C116" s="167" t="s">
        <v>119</v>
      </c>
      <c r="D116" s="250">
        <f>IF(Init!$R$9="Yes",'Staging Table'!F118,'Staging Table'!BT118)*Rates_previous!$E$75*100*12</f>
        <v>690690.79583999992</v>
      </c>
      <c r="E116" s="250">
        <f>IF(Init!$R$9="Yes",'Staging Table'!F118,'Staging Table'!BT118)*Rates_previous!$E$76*100*12</f>
        <v>-97402.434599999993</v>
      </c>
      <c r="F116" s="251"/>
      <c r="G116" s="251">
        <f>IF(Init!$R$9="Yes",SUMPRODUCT('Staging Table'!AJ118:AU118,LS_Demand_Rates_Restatement!$C$10:$N$10),SUMPRODUCT(LS_Demand_Rates_Restatement!$C$10:$N$10,'Staging Table'!CX118:DI118))*1000</f>
        <v>10418.73</v>
      </c>
      <c r="H116" s="252"/>
      <c r="I116" s="250">
        <f>IF(Init!$R$9="Yes",IF('Staging Table'!$F$1=2018,(SUM('Staging Table'!BD118:BG118)*Rates_previous!$C$87),(SUM('Staging Table'!BD118:BG118)*Rates_previous!$D$87)),IF('Staging Table'!$F$1=2018,(SUM('Staging Table'!DR118:DU118)*Rates_previous!$C$87),(SUM('Staging Table'!DR118:DU118)*Rates_previous!$D$87)))</f>
        <v>3795.0829508319889</v>
      </c>
      <c r="J116" s="252">
        <f>IF(Init!$R$9="Yes",IF('Staging Table'!D118=1,'Staging Table'!H118*-1*'Staging Table'!F118/'Staging Table'!E118,'Staging Table'!H118*SUM(D116:I116)*(-1)),IF('Staging Table'!D118=1,'Staging Table'!BV118*-1*'Staging Table'!BT118/'Staging Table'!BS118,'Staging Table'!BV118*SUM(D116:I116)*(-1)))</f>
        <v>0</v>
      </c>
      <c r="K116" s="250">
        <f>IF(Init!$R$9="Yes",'Staging Table'!K118,'Staging Table'!BY118)*(-1)*Rates_previous!$H$32</f>
        <v>0</v>
      </c>
      <c r="L116" s="250">
        <f>IF(Init!$R$12="No",0,'Staging Table'!$BI118*-1)*('Staging Table'!$F118/'Staging Table'!$E118)</f>
        <v>-10753.814471544005</v>
      </c>
      <c r="M116" s="250">
        <f>IF('Staging Table'!C118=1,"",SUM(D116:L116))</f>
        <v>596748.35971928784</v>
      </c>
      <c r="N116" s="250">
        <f>IF('Staging Table'!C118=1,"",IF(Init!$R$9="Yes",(RT1SC!$C$3*'Staging Table'!F118*'Staging Table'!$F$2),Z116))</f>
        <v>16492.870295255998</v>
      </c>
      <c r="O116" s="126">
        <f>IF('Staging Table'!C118=1,"",IF(N116=0, 0, M116/N116))</f>
        <v>36.182201705117166</v>
      </c>
      <c r="P116" s="250">
        <f>'Staging Table'!BT118*Rates_current!$E$74*100*12</f>
        <v>643838.16924000008</v>
      </c>
      <c r="Q116" s="250">
        <f>'Staging Table'!BT118*Rates_current!$E$75*100*12</f>
        <v>-65134.654200000004</v>
      </c>
      <c r="R116" s="251"/>
      <c r="S116" s="251">
        <f>SUMPRODUCT('Staging Table'!CX118:DI118, LS_Demand_Rates_Restatement!$C$11:$N$11)*1000</f>
        <v>11188.45</v>
      </c>
      <c r="T116" s="252"/>
      <c r="U116" s="252">
        <f>IF(Init!$R$18="Yes",(SUM('Staging Table'!DL118:DU118)*IF('Staging Table'!$BT$1=2020, Rates_current!$C$87, Rates_current!$D$87)),0)</f>
        <v>11239.276404404856</v>
      </c>
      <c r="V116" s="252">
        <f>IF('Staging Table'!D118=1, 'Staging Table'!BV118*-1*'Staging Table'!BT118/'Staging Table'!BS118,SUM(P116:U116)*'Staging Table'!BV118*-1)</f>
        <v>0</v>
      </c>
      <c r="W116" s="250">
        <f>'Staging Table'!BY118*Rates_current!$H$32*-1</f>
        <v>0</v>
      </c>
      <c r="X116" s="250">
        <f>IF(Init!$R$12="No",0,'Staging Table'!$DW118*-1)</f>
        <v>0</v>
      </c>
      <c r="Y116" s="250">
        <f>IF('Staging Table'!C118=1,"",SUM(P116:X116))</f>
        <v>601131.24144440494</v>
      </c>
      <c r="Z116" s="250">
        <f>IF('Staging Table'!C118=1,"",(RT1SC!$C$4*'Staging Table'!BT118*'Staging Table'!$BT$2))</f>
        <v>16715.427602227202</v>
      </c>
      <c r="AA116" s="126">
        <f>IF('Staging Table'!C118=1,"",IF(Z116=0, 0, Y116/Z116))</f>
        <v>35.962660109533111</v>
      </c>
      <c r="AB116" s="118">
        <f ca="1">IF('Staging Table'!C118=1,"",(AA116/O116-1)+(RAND()/100000000000))</f>
        <v>-6.0676682216376362E-3</v>
      </c>
      <c r="AC116" s="79">
        <f t="shared" ca="1" si="1"/>
        <v>117</v>
      </c>
      <c r="AF116" s="255"/>
      <c r="AG116" s="255"/>
      <c r="AI116" s="255"/>
      <c r="AJ116" s="255"/>
    </row>
    <row r="117" spans="2:36">
      <c r="B117" s="166">
        <v>10379</v>
      </c>
      <c r="C117" s="167" t="s">
        <v>120</v>
      </c>
      <c r="D117" s="250">
        <f>IF(Init!$R$9="Yes",'Staging Table'!F119,'Staging Table'!BT119)*Rates_previous!$E$75*100*12</f>
        <v>1724561.41536</v>
      </c>
      <c r="E117" s="250">
        <f>IF(Init!$R$9="Yes",'Staging Table'!F119,'Staging Table'!BT119)*Rates_previous!$E$76*100*12</f>
        <v>-243200.69340000002</v>
      </c>
      <c r="F117" s="251"/>
      <c r="G117" s="251">
        <f>IF(Init!$R$9="Yes",SUMPRODUCT('Staging Table'!AJ119:AU119,LS_Demand_Rates_Restatement!$C$10:$N$10),SUMPRODUCT(LS_Demand_Rates_Restatement!$C$10:$N$10,'Staging Table'!CX119:DI119))*1000</f>
        <v>98920.629999999976</v>
      </c>
      <c r="H117" s="252"/>
      <c r="I117" s="250">
        <f>IF(Init!$R$9="Yes",IF('Staging Table'!$F$1=2018,(SUM('Staging Table'!BD119:BG119)*Rates_previous!$C$87),(SUM('Staging Table'!BD119:BG119)*Rates_previous!$D$87)),IF('Staging Table'!$F$1=2018,(SUM('Staging Table'!DR119:DU119)*Rates_previous!$C$87),(SUM('Staging Table'!DR119:DU119)*Rates_previous!$D$87)))</f>
        <v>9475.8083711478193</v>
      </c>
      <c r="J117" s="252">
        <f>IF(Init!$R$9="Yes",IF('Staging Table'!D119=1,'Staging Table'!H119*-1*'Staging Table'!F119/'Staging Table'!E119,'Staging Table'!H119*SUM(D117:I117)*(-1)),IF('Staging Table'!D119=1,'Staging Table'!BV119*-1*'Staging Table'!BT119/'Staging Table'!BS119,'Staging Table'!BV119*SUM(D117:I117)*(-1)))</f>
        <v>0</v>
      </c>
      <c r="K117" s="250">
        <f>IF(Init!$R$9="Yes",'Staging Table'!K119,'Staging Table'!BY119)*(-1)*Rates_previous!$H$32</f>
        <v>0</v>
      </c>
      <c r="L117" s="250">
        <f>IF(Init!$R$12="No",0,'Staging Table'!$BI119*-1)*('Staging Table'!$F119/'Staging Table'!$E119)</f>
        <v>-62377.837502015303</v>
      </c>
      <c r="M117" s="250">
        <f>IF('Staging Table'!C119=1,"",SUM(D117:L117))</f>
        <v>1527379.3228291324</v>
      </c>
      <c r="N117" s="250">
        <f>IF('Staging Table'!C119=1,"",IF(Init!$R$9="Yes",(RT1SC!$C$3*'Staging Table'!F119*'Staging Table'!$F$2),Z117))</f>
        <v>41180.464414824004</v>
      </c>
      <c r="O117" s="126">
        <f>IF('Staging Table'!C119=1,"",IF(N117=0, 0, M117/N117))</f>
        <v>37.089900381971205</v>
      </c>
      <c r="P117" s="250">
        <f>'Staging Table'!BT119*Rates_current!$E$74*100*12</f>
        <v>1605673.9281600004</v>
      </c>
      <c r="Q117" s="250">
        <f>'Staging Table'!BT119*Rates_current!$E$75*100*12</f>
        <v>-162439.91280000002</v>
      </c>
      <c r="R117" s="251"/>
      <c r="S117" s="251">
        <f>SUMPRODUCT('Staging Table'!CX119:DI119, LS_Demand_Rates_Restatement!$C$11:$N$11)*1000</f>
        <v>108849.17000000001</v>
      </c>
      <c r="T117" s="252"/>
      <c r="U117" s="252">
        <f>IF(Init!$R$18="Yes",(SUM('Staging Table'!DL119:DU119)*IF('Staging Table'!$BT$1=2020, Rates_current!$C$87, Rates_current!$D$87)),0)</f>
        <v>28029.734731694058</v>
      </c>
      <c r="V117" s="252">
        <f>IF('Staging Table'!D119=1, 'Staging Table'!BV119*-1*'Staging Table'!BT119/'Staging Table'!BS119,SUM(P117:U117)*'Staging Table'!BV119*-1)</f>
        <v>0</v>
      </c>
      <c r="W117" s="250">
        <f>'Staging Table'!BY119*Rates_current!$H$32*-1</f>
        <v>0</v>
      </c>
      <c r="X117" s="250">
        <f>IF(Init!$R$12="No",0,'Staging Table'!$DW119*-1)</f>
        <v>0</v>
      </c>
      <c r="Y117" s="250">
        <f>IF('Staging Table'!C119=1,"",SUM(P117:X117))</f>
        <v>1580112.9200916942</v>
      </c>
      <c r="Z117" s="250">
        <f>IF('Staging Table'!C119=1,"",(RT1SC!$C$4*'Staging Table'!BT119*'Staging Table'!$BT$2))</f>
        <v>41686.758538444803</v>
      </c>
      <c r="AA117" s="126">
        <f>IF('Staging Table'!C119=1,"",IF(Z117=0, 0, Y117/Z117))</f>
        <v>37.904432378316628</v>
      </c>
      <c r="AB117" s="118">
        <f ca="1">IF('Staging Table'!C119=1,"",(AA117/O117-1)+(RAND()/100000000000))</f>
        <v>2.196101871815833E-2</v>
      </c>
      <c r="AC117" s="79">
        <f t="shared" ca="1" si="1"/>
        <v>39</v>
      </c>
      <c r="AF117" s="255"/>
      <c r="AG117" s="255"/>
      <c r="AI117" s="255"/>
      <c r="AJ117" s="255"/>
    </row>
    <row r="118" spans="2:36">
      <c r="B118" s="166">
        <v>10388</v>
      </c>
      <c r="C118" s="167" t="s">
        <v>121</v>
      </c>
      <c r="D118" s="250">
        <f>IF(Init!$R$9="Yes",'Staging Table'!F120,'Staging Table'!BT120)*Rates_previous!$E$75*100*12</f>
        <v>40869481.377599999</v>
      </c>
      <c r="E118" s="250">
        <f>IF(Init!$R$9="Yes",'Staging Table'!F120,'Staging Table'!BT120)*Rates_previous!$E$76*100*12</f>
        <v>-5763486.3690000009</v>
      </c>
      <c r="F118" s="251"/>
      <c r="G118" s="251">
        <f>IF(Init!$R$9="Yes",SUMPRODUCT('Staging Table'!AJ120:AU120,LS_Demand_Rates_Restatement!$C$10:$N$10),SUMPRODUCT(LS_Demand_Rates_Restatement!$C$10:$N$10,'Staging Table'!CX120:DI120))*1000</f>
        <v>0</v>
      </c>
      <c r="H118" s="252"/>
      <c r="I118" s="250">
        <f>IF(Init!$R$9="Yes",IF('Staging Table'!$F$1=2018,(SUM('Staging Table'!BD120:BG120)*Rates_previous!$C$87),(SUM('Staging Table'!BD120:BG120)*Rates_previous!$D$87)),IF('Staging Table'!$F$1=2018,(SUM('Staging Table'!DR120:DU120)*Rates_previous!$C$87),(SUM('Staging Table'!DR120:DU120)*Rates_previous!$D$87)))</f>
        <v>224562.23960077966</v>
      </c>
      <c r="J118" s="252">
        <f>IF(Init!$R$9="Yes",IF('Staging Table'!D120=1,'Staging Table'!H120*-1*'Staging Table'!F120/'Staging Table'!E120,'Staging Table'!H120*SUM(D118:I118)*(-1)),IF('Staging Table'!D120=1,'Staging Table'!BV120*-1*'Staging Table'!BT120/'Staging Table'!BS120,'Staging Table'!BV120*SUM(D118:I118)*(-1)))</f>
        <v>-3157481.3021045285</v>
      </c>
      <c r="K118" s="250">
        <f>IF(Init!$R$9="Yes",'Staging Table'!K120,'Staging Table'!BY120)*(-1)*Rates_previous!$H$32</f>
        <v>-2690363.7415200002</v>
      </c>
      <c r="L118" s="250">
        <f>IF(Init!$R$12="No",0,'Staging Table'!$BI120*-1)*('Staging Table'!$F120/'Staging Table'!$E120)</f>
        <v>-1194203.9412840679</v>
      </c>
      <c r="M118" s="250" t="str">
        <f>IF('Staging Table'!C120=1,"",SUM(D118:L118))</f>
        <v/>
      </c>
      <c r="N118" s="250" t="str">
        <f>IF('Staging Table'!C120=1,"",IF(Init!$R$9="Yes",(RT1SC!$C$3*'Staging Table'!F120*'Staging Table'!$F$2),Z118))</f>
        <v/>
      </c>
      <c r="O118" s="126" t="str">
        <f>IF('Staging Table'!C120=1,"",IF(N118=0, 0, M118/N118))</f>
        <v/>
      </c>
      <c r="P118" s="250">
        <f>'Staging Table'!BT120*Rates_current!$E$74*100*12</f>
        <v>38105047.498799995</v>
      </c>
      <c r="Q118" s="250">
        <f>'Staging Table'!BT120*Rates_current!$E$75*100*12</f>
        <v>-3854942.453999999</v>
      </c>
      <c r="R118" s="251"/>
      <c r="S118" s="251">
        <f>SUMPRODUCT('Staging Table'!CX120:DI120, LS_Demand_Rates_Restatement!$C$11:$N$11)*1000</f>
        <v>0</v>
      </c>
      <c r="T118" s="252"/>
      <c r="U118" s="252">
        <f>IF(Init!$R$18="Yes",(SUM('Staging Table'!DL120:DU120)*IF('Staging Table'!$BT$1=2020, Rates_current!$C$87, Rates_current!$D$87)),0)</f>
        <v>665187.59170108149</v>
      </c>
      <c r="V118" s="252">
        <f>IF('Staging Table'!D120=1, 'Staging Table'!BV120*-1*'Staging Table'!BT120/'Staging Table'!BS120,SUM(P118:U118)*'Staging Table'!BV120*-1)</f>
        <v>-3754609.0106076165</v>
      </c>
      <c r="W118" s="250">
        <f>'Staging Table'!BY120*Rates_current!$H$32*-1</f>
        <v>-2541661.6639700001</v>
      </c>
      <c r="X118" s="250">
        <f>IF(Init!$R$12="No",0,'Staging Table'!$DW120*-1)</f>
        <v>0</v>
      </c>
      <c r="Y118" s="250" t="str">
        <f>IF('Staging Table'!C120=1,"",SUM(P118:X118))</f>
        <v/>
      </c>
      <c r="Z118" s="250" t="str">
        <f>IF('Staging Table'!C120=1,"",(RT1SC!$C$4*'Staging Table'!BT120*'Staging Table'!$BT$2))</f>
        <v/>
      </c>
      <c r="AA118" s="126" t="str">
        <f>IF('Staging Table'!C120=1,"",IF(Z118=0, 0, Y118/Z118))</f>
        <v/>
      </c>
      <c r="AB118" s="118" t="str">
        <f ca="1">IF('Staging Table'!C120=1,"",(AA118/O118-1)+(RAND()/100000000000))</f>
        <v/>
      </c>
      <c r="AC118" s="79" t="str">
        <f t="shared" ca="1" si="1"/>
        <v/>
      </c>
      <c r="AF118" s="255"/>
      <c r="AG118" s="255"/>
      <c r="AI118" s="255"/>
      <c r="AJ118" s="255"/>
    </row>
    <row r="119" spans="2:36">
      <c r="B119" s="166">
        <v>10391</v>
      </c>
      <c r="C119" s="167" t="s">
        <v>122</v>
      </c>
      <c r="D119" s="250">
        <f>IF(Init!$R$9="Yes",'Staging Table'!F121,'Staging Table'!BT121)*Rates_previous!$E$75*100*12</f>
        <v>10820737.543679999</v>
      </c>
      <c r="E119" s="250">
        <f>IF(Init!$R$9="Yes",'Staging Table'!F121,'Staging Table'!BT121)*Rates_previous!$E$76*100*12</f>
        <v>-1525959.4991999997</v>
      </c>
      <c r="F119" s="251"/>
      <c r="G119" s="251">
        <f>IF(Init!$R$9="Yes",SUMPRODUCT('Staging Table'!AJ121:AU121,LS_Demand_Rates_Restatement!$C$10:$N$10),SUMPRODUCT(LS_Demand_Rates_Restatement!$C$10:$N$10,'Staging Table'!CX121:DI121))*1000</f>
        <v>302703.29000000004</v>
      </c>
      <c r="H119" s="252"/>
      <c r="I119" s="250">
        <f>IF(Init!$R$9="Yes",IF('Staging Table'!$F$1=2018,(SUM('Staging Table'!BD121:BG121)*Rates_previous!$C$87),(SUM('Staging Table'!BD121:BG121)*Rates_previous!$D$87)),IF('Staging Table'!$F$1=2018,(SUM('Staging Table'!DR121:DU121)*Rates_previous!$C$87),(SUM('Staging Table'!DR121:DU121)*Rates_previous!$D$87)))</f>
        <v>59455.832935350882</v>
      </c>
      <c r="J119" s="252">
        <f>IF(Init!$R$9="Yes",IF('Staging Table'!D121=1,'Staging Table'!H121*-1*'Staging Table'!F121/'Staging Table'!E121,'Staging Table'!H121*SUM(D119:I119)*(-1)),IF('Staging Table'!D121=1,'Staging Table'!BV121*-1*'Staging Table'!BT121/'Staging Table'!BS121,'Staging Table'!BV121*SUM(D119:I119)*(-1)))</f>
        <v>-401876.33730313997</v>
      </c>
      <c r="K119" s="250">
        <f>IF(Init!$R$9="Yes",'Staging Table'!K121,'Staging Table'!BY121)*(-1)*Rates_previous!$H$32</f>
        <v>-520616.99927999999</v>
      </c>
      <c r="L119" s="250">
        <f>IF(Init!$R$12="No",0,'Staging Table'!$BI121*-1)*('Staging Table'!$F121/'Staging Table'!$E121)</f>
        <v>-312630.8585849707</v>
      </c>
      <c r="M119" s="250">
        <f>IF('Staging Table'!C121=1,"",SUM(D119:L119))</f>
        <v>8421812.9722472392</v>
      </c>
      <c r="N119" s="250">
        <f>IF('Staging Table'!C121=1,"",IF(Init!$R$9="Yes",(RT1SC!$C$3*'Staging Table'!F121*'Staging Table'!$F$2),Z119))</f>
        <v>258386.27339731195</v>
      </c>
      <c r="O119" s="126">
        <f>IF('Staging Table'!C121=1,"",IF(N119=0, 0, M119/N119))</f>
        <v>32.593886902410247</v>
      </c>
      <c r="P119" s="250">
        <f>'Staging Table'!BT121*Rates_current!$E$74*100*12</f>
        <v>10088461.64928</v>
      </c>
      <c r="Q119" s="250">
        <f>'Staging Table'!BT121*Rates_current!$E$75*100*12</f>
        <v>-1020611.2224000001</v>
      </c>
      <c r="R119" s="251"/>
      <c r="S119" s="251">
        <f>SUMPRODUCT('Staging Table'!CX121:DI121, LS_Demand_Rates_Restatement!$C$11:$N$11)*1000</f>
        <v>319269.20999999996</v>
      </c>
      <c r="T119" s="252"/>
      <c r="U119" s="252">
        <f>IF(Init!$R$18="Yes",(SUM('Staging Table'!DL121:DU121)*IF('Staging Table'!$BT$1=2020, Rates_current!$C$87, Rates_current!$D$87)),0)</f>
        <v>176111.03906023523</v>
      </c>
      <c r="V119" s="252">
        <f>IF('Staging Table'!D121=1, 'Staging Table'!BV121*-1*'Staging Table'!BT121/'Staging Table'!BS121,SUM(P119:U119)*'Staging Table'!BV121*-1)</f>
        <v>-344414.97117864952</v>
      </c>
      <c r="W119" s="250">
        <f>'Staging Table'!BY121*Rates_current!$H$32*-1</f>
        <v>-491841.39982999995</v>
      </c>
      <c r="X119" s="250">
        <f>IF(Init!$R$12="No",0,'Staging Table'!$DW121*-1)</f>
        <v>0</v>
      </c>
      <c r="Y119" s="250">
        <f>IF('Staging Table'!C121=1,"",SUM(P119:X119))</f>
        <v>8726974.3049315847</v>
      </c>
      <c r="Z119" s="250">
        <f>IF('Staging Table'!C121=1,"",(RT1SC!$C$4*'Staging Table'!BT121*'Staging Table'!$BT$2))</f>
        <v>261918.2247542784</v>
      </c>
      <c r="AA119" s="126">
        <f>IF('Staging Table'!C121=1,"",IF(Z119=0, 0, Y119/Z119))</f>
        <v>33.319461878297687</v>
      </c>
      <c r="AB119" s="118">
        <f ca="1">IF('Staging Table'!C121=1,"",(AA119/O119-1)+(RAND()/100000000000))</f>
        <v>2.2261075468099644E-2</v>
      </c>
      <c r="AC119" s="79">
        <f t="shared" ca="1" si="1"/>
        <v>33</v>
      </c>
      <c r="AF119" s="255"/>
      <c r="AG119" s="255"/>
      <c r="AI119" s="255"/>
      <c r="AJ119" s="255"/>
    </row>
    <row r="120" spans="2:36">
      <c r="B120" s="166">
        <v>10406</v>
      </c>
      <c r="C120" s="167" t="s">
        <v>123</v>
      </c>
      <c r="D120" s="250">
        <f>IF(Init!$R$9="Yes",'Staging Table'!F122,'Staging Table'!BT122)*Rates_previous!$E$75*100*12</f>
        <v>165347.96256000001</v>
      </c>
      <c r="E120" s="250">
        <f>IF(Init!$R$9="Yes",'Staging Table'!F122,'Staging Table'!BT122)*Rates_previous!$E$76*100*12</f>
        <v>-23317.661399999997</v>
      </c>
      <c r="F120" s="251"/>
      <c r="G120" s="251">
        <f>IF(Init!$R$9="Yes",SUMPRODUCT('Staging Table'!AJ122:AU122,LS_Demand_Rates_Restatement!$C$10:$N$10),SUMPRODUCT(LS_Demand_Rates_Restatement!$C$10:$N$10,'Staging Table'!CX122:DI122))*1000</f>
        <v>9233.1899999999987</v>
      </c>
      <c r="H120" s="252"/>
      <c r="I120" s="250">
        <f>IF(Init!$R$9="Yes",IF('Staging Table'!$F$1=2018,(SUM('Staging Table'!BD122:BG122)*Rates_previous!$C$87),(SUM('Staging Table'!BD122:BG122)*Rates_previous!$D$87)),IF('Staging Table'!$F$1=2018,(SUM('Staging Table'!DR122:DU122)*Rates_previous!$C$87),(SUM('Staging Table'!DR122:DU122)*Rates_previous!$D$87)))</f>
        <v>908.52409999629708</v>
      </c>
      <c r="J120" s="252">
        <f>IF(Init!$R$9="Yes",IF('Staging Table'!D122=1,'Staging Table'!H122*-1*'Staging Table'!F122/'Staging Table'!E122,'Staging Table'!H122*SUM(D120:I120)*(-1)),IF('Staging Table'!D122=1,'Staging Table'!BV122*-1*'Staging Table'!BT122/'Staging Table'!BS122,'Staging Table'!BV122*SUM(D120:I120)*(-1)))</f>
        <v>0</v>
      </c>
      <c r="K120" s="250">
        <f>IF(Init!$R$9="Yes",'Staging Table'!K122,'Staging Table'!BY122)*(-1)*Rates_previous!$H$32</f>
        <v>0</v>
      </c>
      <c r="L120" s="250">
        <f>IF(Init!$R$12="No",0,'Staging Table'!$BI122*-1)*('Staging Table'!$F122/'Staging Table'!$E122)</f>
        <v>-5878.7207440806742</v>
      </c>
      <c r="M120" s="250">
        <f>IF('Staging Table'!C122=1,"",SUM(D120:L120))</f>
        <v>146293.29451591565</v>
      </c>
      <c r="N120" s="250">
        <f>IF('Staging Table'!C122=1,"",IF(Init!$R$9="Yes",(RT1SC!$C$3*'Staging Table'!F122*'Staging Table'!$F$2),Z120))</f>
        <v>3948.311627304</v>
      </c>
      <c r="O120" s="126">
        <f>IF('Staging Table'!C122=1,"",IF(N120=0, 0, M120/N120))</f>
        <v>37.052114504905013</v>
      </c>
      <c r="P120" s="250">
        <f>'Staging Table'!BT122*Rates_current!$E$74*100*12</f>
        <v>154245.46764000002</v>
      </c>
      <c r="Q120" s="250">
        <f>'Staging Table'!BT122*Rates_current!$E$75*100*12</f>
        <v>-15604.426200000002</v>
      </c>
      <c r="R120" s="251"/>
      <c r="S120" s="251">
        <f>SUMPRODUCT('Staging Table'!CX122:DI122, LS_Demand_Rates_Restatement!$C$11:$N$11)*1000</f>
        <v>10182.320000000002</v>
      </c>
      <c r="T120" s="252"/>
      <c r="U120" s="252">
        <f>IF(Init!$R$18="Yes",(SUM('Staging Table'!DL122:DU122)*IF('Staging Table'!$BT$1=2020, Rates_current!$C$87, Rates_current!$D$87)),0)</f>
        <v>2692.6136531778343</v>
      </c>
      <c r="V120" s="252">
        <f>IF('Staging Table'!D122=1, 'Staging Table'!BV122*-1*'Staging Table'!BT122/'Staging Table'!BS122,SUM(P120:U120)*'Staging Table'!BV122*-1)</f>
        <v>0</v>
      </c>
      <c r="W120" s="250">
        <f>'Staging Table'!BY122*Rates_current!$H$32*-1</f>
        <v>0</v>
      </c>
      <c r="X120" s="250">
        <f>IF(Init!$R$12="No",0,'Staging Table'!$DW122*-1)</f>
        <v>0</v>
      </c>
      <c r="Y120" s="250">
        <f>IF('Staging Table'!C122=1,"",SUM(P120:X120))</f>
        <v>151515.97509317784</v>
      </c>
      <c r="Z120" s="250">
        <f>IF('Staging Table'!C122=1,"",(RT1SC!$C$4*'Staging Table'!BT122*'Staging Table'!$BT$2))</f>
        <v>4004.5450401792004</v>
      </c>
      <c r="AA120" s="126">
        <f>IF('Staging Table'!C122=1,"",IF(Z120=0, 0, Y120/Z120))</f>
        <v>37.83600223569907</v>
      </c>
      <c r="AB120" s="118">
        <f ca="1">IF('Staging Table'!C122=1,"",(AA120/O120-1)+(RAND()/100000000000))</f>
        <v>2.1156356159288101E-2</v>
      </c>
      <c r="AC120" s="79">
        <f t="shared" ca="1" si="1"/>
        <v>46</v>
      </c>
      <c r="AF120" s="255"/>
      <c r="AG120" s="255"/>
      <c r="AI120" s="255"/>
      <c r="AJ120" s="255"/>
    </row>
    <row r="121" spans="2:36">
      <c r="B121" s="166">
        <v>10408</v>
      </c>
      <c r="C121" s="167" t="s">
        <v>124</v>
      </c>
      <c r="D121" s="250">
        <f>IF(Init!$R$9="Yes",'Staging Table'!F123,'Staging Table'!BT123)*Rates_previous!$E$75*100*12</f>
        <v>529419.20832000009</v>
      </c>
      <c r="E121" s="250">
        <f>IF(Init!$R$9="Yes",'Staging Table'!F123,'Staging Table'!BT123)*Rates_previous!$E$76*100*12</f>
        <v>-74659.630799999999</v>
      </c>
      <c r="F121" s="251"/>
      <c r="G121" s="251">
        <f>IF(Init!$R$9="Yes",SUMPRODUCT('Staging Table'!AJ123:AU123,LS_Demand_Rates_Restatement!$C$10:$N$10),SUMPRODUCT(LS_Demand_Rates_Restatement!$C$10:$N$10,'Staging Table'!CX123:DI123))*1000</f>
        <v>24749.62</v>
      </c>
      <c r="H121" s="252"/>
      <c r="I121" s="250">
        <f>IF(Init!$R$9="Yes",IF('Staging Table'!$F$1=2018,(SUM('Staging Table'!BD123:BG123)*Rates_previous!$C$87),(SUM('Staging Table'!BD123:BG123)*Rates_previous!$D$87)),IF('Staging Table'!$F$1=2018,(SUM('Staging Table'!DR123:DU123)*Rates_previous!$C$87),(SUM('Staging Table'!DR123:DU123)*Rates_previous!$D$87)))</f>
        <v>2908.956979649161</v>
      </c>
      <c r="J121" s="252">
        <f>IF(Init!$R$9="Yes",IF('Staging Table'!D123=1,'Staging Table'!H123*-1*'Staging Table'!F123/'Staging Table'!E123,'Staging Table'!H123*SUM(D121:I121)*(-1)),IF('Staging Table'!D123=1,'Staging Table'!BV123*-1*'Staging Table'!BT123/'Staging Table'!BS123,'Staging Table'!BV123*SUM(D121:I121)*(-1)))</f>
        <v>0</v>
      </c>
      <c r="K121" s="250">
        <f>IF(Init!$R$9="Yes",'Staging Table'!K123,'Staging Table'!BY123)*(-1)*Rates_previous!$H$32</f>
        <v>0</v>
      </c>
      <c r="L121" s="250">
        <f>IF(Init!$R$12="No",0,'Staging Table'!$BI123*-1)*('Staging Table'!$F123/'Staging Table'!$E123)</f>
        <v>-19025.561523599932</v>
      </c>
      <c r="M121" s="250">
        <f>IF('Staging Table'!C123=1,"",SUM(D121:L121))</f>
        <v>463392.59297604929</v>
      </c>
      <c r="N121" s="250">
        <f>IF('Staging Table'!C123=1,"",IF(Init!$R$9="Yes",(RT1SC!$C$3*'Staging Table'!F123*'Staging Table'!$F$2),Z121))</f>
        <v>12641.897629488001</v>
      </c>
      <c r="O121" s="126">
        <f>IF('Staging Table'!C123=1,"",IF(N121=0, 0, M121/N121))</f>
        <v>36.655303385399804</v>
      </c>
      <c r="P121" s="250">
        <f>'Staging Table'!BT123*Rates_current!$E$74*100*12</f>
        <v>502664.35140000004</v>
      </c>
      <c r="Q121" s="250">
        <f>'Staging Table'!BT123*Rates_current!$E$75*100*12</f>
        <v>-50852.637000000002</v>
      </c>
      <c r="R121" s="251"/>
      <c r="S121" s="251">
        <f>SUMPRODUCT('Staging Table'!CX123:DI123, LS_Demand_Rates_Restatement!$C$11:$N$11)*1000</f>
        <v>27032.11</v>
      </c>
      <c r="T121" s="252"/>
      <c r="U121" s="252">
        <f>IF(Init!$R$18="Yes",(SUM('Staging Table'!DL123:DU123)*IF('Staging Table'!$BT$1=2020, Rates_current!$C$87, Rates_current!$D$87)),0)</f>
        <v>8774.8503489539562</v>
      </c>
      <c r="V121" s="252">
        <f>IF('Staging Table'!D123=1, 'Staging Table'!BV123*-1*'Staging Table'!BT123/'Staging Table'!BS123,SUM(P121:U121)*'Staging Table'!BV123*-1)</f>
        <v>0</v>
      </c>
      <c r="W121" s="250">
        <f>'Staging Table'!BY123*Rates_current!$H$32*-1</f>
        <v>0</v>
      </c>
      <c r="X121" s="250">
        <f>IF(Init!$R$12="No",0,'Staging Table'!$DW123*-1)</f>
        <v>0</v>
      </c>
      <c r="Y121" s="250">
        <f>IF('Staging Table'!C123=1,"",SUM(P121:X121))</f>
        <v>487618.67474895401</v>
      </c>
      <c r="Z121" s="250">
        <f>IF('Staging Table'!C123=1,"",(RT1SC!$C$4*'Staging Table'!BT123*'Staging Table'!$BT$2))</f>
        <v>13050.250785791999</v>
      </c>
      <c r="AA121" s="126">
        <f>IF('Staging Table'!C123=1,"",IF(Z121=0, 0, Y121/Z121))</f>
        <v>37.364697640893745</v>
      </c>
      <c r="AB121" s="118">
        <f ca="1">IF('Staging Table'!C123=1,"",(AA121/O121-1)+(RAND()/100000000000))</f>
        <v>1.935311374498876E-2</v>
      </c>
      <c r="AC121" s="79">
        <f t="shared" ca="1" si="1"/>
        <v>59</v>
      </c>
      <c r="AF121" s="255"/>
      <c r="AG121" s="255"/>
      <c r="AI121" s="255"/>
      <c r="AJ121" s="255"/>
    </row>
    <row r="122" spans="2:36">
      <c r="B122" s="166">
        <v>10409</v>
      </c>
      <c r="C122" s="167" t="s">
        <v>125</v>
      </c>
      <c r="D122" s="250">
        <f>IF(Init!$R$9="Yes",'Staging Table'!F124,'Staging Table'!BT124)*Rates_previous!$E$75*100*12</f>
        <v>7139006.5622399999</v>
      </c>
      <c r="E122" s="250">
        <f>IF(Init!$R$9="Yes",'Staging Table'!F124,'Staging Table'!BT124)*Rates_previous!$E$76*100*12</f>
        <v>-1006755.3006</v>
      </c>
      <c r="F122" s="251"/>
      <c r="G122" s="251">
        <f>IF(Init!$R$9="Yes",SUMPRODUCT('Staging Table'!AJ124:AU124,LS_Demand_Rates_Restatement!$C$10:$N$10),SUMPRODUCT(LS_Demand_Rates_Restatement!$C$10:$N$10,'Staging Table'!CX124:DI124))*1000</f>
        <v>79749.41</v>
      </c>
      <c r="H122" s="252"/>
      <c r="I122" s="250">
        <f>IF(Init!$R$9="Yes",IF('Staging Table'!$F$1=2018,(SUM('Staging Table'!BD124:BG124)*Rates_previous!$C$87),(SUM('Staging Table'!BD124:BG124)*Rates_previous!$D$87)),IF('Staging Table'!$F$1=2018,(SUM('Staging Table'!DR124:DU124)*Rates_previous!$C$87),(SUM('Staging Table'!DR124:DU124)*Rates_previous!$D$87)))</f>
        <v>39226.122967636737</v>
      </c>
      <c r="J122" s="252">
        <f>IF(Init!$R$9="Yes",IF('Staging Table'!D124=1,'Staging Table'!H124*-1*'Staging Table'!F124/'Staging Table'!E124,'Staging Table'!H124*SUM(D122:I122)*(-1)),IF('Staging Table'!D124=1,'Staging Table'!BV124*-1*'Staging Table'!BT124/'Staging Table'!BS124,'Staging Table'!BV124*SUM(D122:I122)*(-1)))</f>
        <v>0</v>
      </c>
      <c r="K122" s="250">
        <f>IF(Init!$R$9="Yes",'Staging Table'!K124,'Staging Table'!BY124)*(-1)*Rates_previous!$H$32</f>
        <v>0</v>
      </c>
      <c r="L122" s="250">
        <f>IF(Init!$R$12="No",0,'Staging Table'!$BI124*-1)*('Staging Table'!$F124/'Staging Table'!$E124)</f>
        <v>-262699.15804798278</v>
      </c>
      <c r="M122" s="250">
        <f>IF('Staging Table'!C124=1,"",SUM(D122:L122))</f>
        <v>5988527.636559655</v>
      </c>
      <c r="N122" s="250">
        <f>IF('Staging Table'!C124=1,"",IF(Init!$R$9="Yes",(RT1SC!$C$3*'Staging Table'!F124*'Staging Table'!$F$2),Z122))</f>
        <v>170470.940075016</v>
      </c>
      <c r="O122" s="126">
        <f>IF('Staging Table'!C124=1,"",IF(N122=0, 0, M122/N122))</f>
        <v>35.129316667840243</v>
      </c>
      <c r="P122" s="250">
        <f>'Staging Table'!BT124*Rates_current!$E$74*100*12</f>
        <v>6601896.1480800007</v>
      </c>
      <c r="Q122" s="250">
        <f>'Staging Table'!BT124*Rates_current!$E$75*100*12</f>
        <v>-667888.6764</v>
      </c>
      <c r="R122" s="251"/>
      <c r="S122" s="251">
        <f>SUMPRODUCT('Staging Table'!CX124:DI124, LS_Demand_Rates_Restatement!$C$11:$N$11)*1000</f>
        <v>90874.349999999991</v>
      </c>
      <c r="T122" s="252"/>
      <c r="U122" s="252">
        <f>IF(Init!$R$18="Yes",(SUM('Staging Table'!DL124:DU124)*IF('Staging Table'!$BT$1=2020, Rates_current!$C$87, Rates_current!$D$87)),0)</f>
        <v>115247.18344834184</v>
      </c>
      <c r="V122" s="252">
        <f>IF('Staging Table'!D124=1, 'Staging Table'!BV124*-1*'Staging Table'!BT124/'Staging Table'!BS124,SUM(P122:U122)*'Staging Table'!BV124*-1)</f>
        <v>0</v>
      </c>
      <c r="W122" s="250">
        <f>'Staging Table'!BY124*Rates_current!$H$32*-1</f>
        <v>0</v>
      </c>
      <c r="X122" s="250">
        <f>IF(Init!$R$12="No",0,'Staging Table'!$DW124*-1)</f>
        <v>0</v>
      </c>
      <c r="Y122" s="250">
        <f>IF('Staging Table'!C124=1,"",SUM(P122:X122))</f>
        <v>6140129.0051283417</v>
      </c>
      <c r="Z122" s="250">
        <f>IF('Staging Table'!C124=1,"",(RT1SC!$C$4*'Staging Table'!BT124*'Staging Table'!$BT$2))</f>
        <v>171399.46398474238</v>
      </c>
      <c r="AA122" s="126">
        <f>IF('Staging Table'!C124=1,"",IF(Z122=0, 0, Y122/Z122))</f>
        <v>35.823501791551244</v>
      </c>
      <c r="AB122" s="118">
        <f ca="1">IF('Staging Table'!C124=1,"",(AA122/O122-1)+(RAND()/100000000000))</f>
        <v>1.9760849049091103E-2</v>
      </c>
      <c r="AC122" s="79">
        <f t="shared" ca="1" si="1"/>
        <v>56</v>
      </c>
      <c r="AF122" s="255"/>
      <c r="AG122" s="255"/>
      <c r="AI122" s="255"/>
      <c r="AJ122" s="255"/>
    </row>
    <row r="123" spans="2:36">
      <c r="B123" s="166">
        <v>10426</v>
      </c>
      <c r="C123" s="167" t="s">
        <v>126</v>
      </c>
      <c r="D123" s="250">
        <f>IF(Init!$R$9="Yes",'Staging Table'!F125,'Staging Table'!BT125)*Rates_previous!$E$75*100*12</f>
        <v>6644491.3151999991</v>
      </c>
      <c r="E123" s="250">
        <f>IF(Init!$R$9="Yes",'Staging Table'!F125,'Staging Table'!BT125)*Rates_previous!$E$76*100*12</f>
        <v>-937017.88800000004</v>
      </c>
      <c r="F123" s="251"/>
      <c r="G123" s="251">
        <f>IF(Init!$R$9="Yes",SUMPRODUCT('Staging Table'!AJ125:AU125,LS_Demand_Rates_Restatement!$C$10:$N$10),SUMPRODUCT(LS_Demand_Rates_Restatement!$C$10:$N$10,'Staging Table'!CX125:DI125))*1000</f>
        <v>0</v>
      </c>
      <c r="H123" s="252"/>
      <c r="I123" s="250">
        <f>IF(Init!$R$9="Yes",IF('Staging Table'!$F$1=2018,(SUM('Staging Table'!BD125:BG125)*Rates_previous!$C$87),(SUM('Staging Table'!BD125:BG125)*Rates_previous!$D$87)),IF('Staging Table'!$F$1=2018,(SUM('Staging Table'!DR125:DU125)*Rates_previous!$C$87),(SUM('Staging Table'!DR125:DU125)*Rates_previous!$D$87)))</f>
        <v>36508.949965952896</v>
      </c>
      <c r="J123" s="252">
        <f>IF(Init!$R$9="Yes",IF('Staging Table'!D125=1,'Staging Table'!H125*-1*'Staging Table'!F125/'Staging Table'!E125,'Staging Table'!H125*SUM(D123:I123)*(-1)),IF('Staging Table'!D125=1,'Staging Table'!BV125*-1*'Staging Table'!BT125/'Staging Table'!BS125,'Staging Table'!BV125*SUM(D123:I123)*(-1)))</f>
        <v>0</v>
      </c>
      <c r="K123" s="250">
        <f>IF(Init!$R$9="Yes",'Staging Table'!K125,'Staging Table'!BY125)*(-1)*Rates_previous!$H$32</f>
        <v>0</v>
      </c>
      <c r="L123" s="250">
        <f>IF(Init!$R$12="No",0,'Staging Table'!$BI125*-1)*('Staging Table'!$F125/'Staging Table'!$E125)</f>
        <v>-296839.31229325075</v>
      </c>
      <c r="M123" s="250">
        <f>IF('Staging Table'!C125=1,"",SUM(D123:L123))</f>
        <v>5447143.0648727007</v>
      </c>
      <c r="N123" s="250">
        <f>IF('Staging Table'!C125=1,"",IF(Init!$R$9="Yes",(RT1SC!$C$3*'Staging Table'!F125*'Staging Table'!$F$2),Z123))</f>
        <v>158662.50730368</v>
      </c>
      <c r="O123" s="126">
        <f>IF('Staging Table'!C125=1,"",IF(N123=0, 0, M123/N123))</f>
        <v>34.33163358780704</v>
      </c>
      <c r="P123" s="250">
        <f>'Staging Table'!BT125*Rates_current!$E$74*100*12</f>
        <v>10346329.649879999</v>
      </c>
      <c r="Q123" s="250">
        <f>'Staging Table'!BT125*Rates_current!$E$75*100*12</f>
        <v>-1046698.7453999999</v>
      </c>
      <c r="R123" s="251"/>
      <c r="S123" s="251">
        <f>SUMPRODUCT('Staging Table'!CX125:DI125, LS_Demand_Rates_Restatement!$C$11:$N$11)*1000</f>
        <v>0</v>
      </c>
      <c r="T123" s="252"/>
      <c r="U123" s="252">
        <f>IF(Init!$R$18="Yes",(SUM('Staging Table'!DL125:DU125)*IF('Staging Table'!$BT$1=2020, Rates_current!$C$87, Rates_current!$D$87)),0)</f>
        <v>180612.55803357571</v>
      </c>
      <c r="V123" s="252">
        <f>IF('Staging Table'!D125=1, 'Staging Table'!BV125*-1*'Staging Table'!BT125/'Staging Table'!BS125,SUM(P123:U123)*'Staging Table'!BV125*-1)</f>
        <v>0</v>
      </c>
      <c r="W123" s="250">
        <f>'Staging Table'!BY125*Rates_current!$H$32*-1</f>
        <v>0</v>
      </c>
      <c r="X123" s="250">
        <f>IF(Init!$R$12="No",0,'Staging Table'!$DW125*-1)</f>
        <v>0</v>
      </c>
      <c r="Y123" s="250">
        <f>IF('Staging Table'!C125=1,"",SUM(P123:X123))</f>
        <v>9480243.4625135753</v>
      </c>
      <c r="Z123" s="250">
        <f>IF('Staging Table'!C125=1,"",(RT1SC!$C$4*'Staging Table'!BT125*'Staging Table'!$BT$2))</f>
        <v>268613.03425904643</v>
      </c>
      <c r="AA123" s="126">
        <f>IF('Staging Table'!C125=1,"",IF(Z123=0, 0, Y123/Z123))</f>
        <v>35.293311393709097</v>
      </c>
      <c r="AB123" s="118">
        <f ca="1">IF('Staging Table'!C125=1,"",(AA123/O123-1)+(RAND()/100000000000))</f>
        <v>2.8011419953814978E-2</v>
      </c>
      <c r="AC123" s="79">
        <f t="shared" ca="1" si="1"/>
        <v>10</v>
      </c>
      <c r="AF123" s="255"/>
      <c r="AG123" s="255"/>
      <c r="AI123" s="255"/>
      <c r="AJ123" s="255"/>
    </row>
    <row r="124" spans="2:36">
      <c r="B124" s="166">
        <v>10434</v>
      </c>
      <c r="C124" s="167" t="s">
        <v>127</v>
      </c>
      <c r="D124" s="250">
        <f>IF(Init!$R$9="Yes",'Staging Table'!F126,'Staging Table'!BT126)*Rates_previous!$E$75*100*12</f>
        <v>9802662.87744</v>
      </c>
      <c r="E124" s="250">
        <f>IF(Init!$R$9="Yes",'Staging Table'!F126,'Staging Table'!BT126)*Rates_previous!$E$76*100*12</f>
        <v>-1382388.8136000002</v>
      </c>
      <c r="F124" s="251"/>
      <c r="G124" s="251">
        <f>IF(Init!$R$9="Yes",SUMPRODUCT('Staging Table'!AJ126:AU126,LS_Demand_Rates_Restatement!$C$10:$N$10),SUMPRODUCT(LS_Demand_Rates_Restatement!$C$10:$N$10,'Staging Table'!CX126:DI126))*1000</f>
        <v>533892.98</v>
      </c>
      <c r="H124" s="252"/>
      <c r="I124" s="250">
        <f>IF(Init!$R$9="Yes",IF('Staging Table'!$F$1=2018,(SUM('Staging Table'!BD126:BG126)*Rates_previous!$C$87),(SUM('Staging Table'!BD126:BG126)*Rates_previous!$D$87)),IF('Staging Table'!$F$1=2018,(SUM('Staging Table'!DR126:DU126)*Rates_previous!$C$87),(SUM('Staging Table'!DR126:DU126)*Rates_previous!$D$87)))</f>
        <v>53861.90026418725</v>
      </c>
      <c r="J124" s="252">
        <f>IF(Init!$R$9="Yes",IF('Staging Table'!D126=1,'Staging Table'!H126*-1*'Staging Table'!F126/'Staging Table'!E126,'Staging Table'!H126*SUM(D124:I124)*(-1)),IF('Staging Table'!D126=1,'Staging Table'!BV126*-1*'Staging Table'!BT126/'Staging Table'!BS126,'Staging Table'!BV126*SUM(D124:I124)*(-1)))</f>
        <v>0</v>
      </c>
      <c r="K124" s="250">
        <f>IF(Init!$R$9="Yes",'Staging Table'!K126,'Staging Table'!BY126)*(-1)*Rates_previous!$H$32</f>
        <v>0</v>
      </c>
      <c r="L124" s="250">
        <f>IF(Init!$R$12="No",0,'Staging Table'!$BI126*-1)*('Staging Table'!$F126/'Staging Table'!$E126)</f>
        <v>-343118.60597261786</v>
      </c>
      <c r="M124" s="250">
        <f>IF('Staging Table'!C126=1,"",SUM(D124:L124))</f>
        <v>8664910.3381315693</v>
      </c>
      <c r="N124" s="250">
        <f>IF('Staging Table'!C126=1,"",IF(Init!$R$9="Yes",(RT1SC!$C$3*'Staging Table'!F126*'Staging Table'!$F$2),Z124))</f>
        <v>234075.86775369599</v>
      </c>
      <c r="O124" s="126">
        <f>IF('Staging Table'!C126=1,"",IF(N124=0, 0, M124/N124))</f>
        <v>37.017529492827236</v>
      </c>
      <c r="P124" s="250">
        <f>'Staging Table'!BT126*Rates_current!$E$74*100*12</f>
        <v>9139459.8738000002</v>
      </c>
      <c r="Q124" s="250">
        <f>'Staging Table'!BT126*Rates_current!$E$75*100*12</f>
        <v>-924604.32900000014</v>
      </c>
      <c r="R124" s="251"/>
      <c r="S124" s="251">
        <f>SUMPRODUCT('Staging Table'!CX126:DI126, LS_Demand_Rates_Restatement!$C$11:$N$11)*1000</f>
        <v>591646.53</v>
      </c>
      <c r="T124" s="252"/>
      <c r="U124" s="252">
        <f>IF(Init!$R$18="Yes",(SUM('Staging Table'!DL126:DU126)*IF('Staging Table'!$BT$1=2020, Rates_current!$C$87, Rates_current!$D$87)),0)</f>
        <v>159544.61946525975</v>
      </c>
      <c r="V124" s="252">
        <f>IF('Staging Table'!D126=1, 'Staging Table'!BV126*-1*'Staging Table'!BT126/'Staging Table'!BS126,SUM(P124:U124)*'Staging Table'!BV126*-1)</f>
        <v>0</v>
      </c>
      <c r="W124" s="250">
        <f>'Staging Table'!BY126*Rates_current!$H$32*-1</f>
        <v>0</v>
      </c>
      <c r="X124" s="250">
        <f>IF(Init!$R$12="No",0,'Staging Table'!$DW126*-1)</f>
        <v>0</v>
      </c>
      <c r="Y124" s="250">
        <f>IF('Staging Table'!C126=1,"",SUM(P124:X124))</f>
        <v>8966046.6942652594</v>
      </c>
      <c r="Z124" s="250">
        <f>IF('Staging Table'!C126=1,"",(RT1SC!$C$4*'Staging Table'!BT126*'Staging Table'!$BT$2))</f>
        <v>237280.09171046401</v>
      </c>
      <c r="AA124" s="126">
        <f>IF('Staging Table'!C126=1,"",IF(Z124=0, 0, Y124/Z124))</f>
        <v>37.786763439074726</v>
      </c>
      <c r="AB124" s="118">
        <f ca="1">IF('Staging Table'!C126=1,"",(AA124/O124-1)+(RAND()/100000000000))</f>
        <v>2.0780261598947157E-2</v>
      </c>
      <c r="AC124" s="79">
        <f t="shared" ca="1" si="1"/>
        <v>49</v>
      </c>
      <c r="AF124" s="255"/>
      <c r="AG124" s="255"/>
      <c r="AI124" s="255"/>
      <c r="AJ124" s="255"/>
    </row>
    <row r="125" spans="2:36">
      <c r="B125" s="166">
        <v>10436</v>
      </c>
      <c r="C125" s="167" t="s">
        <v>128</v>
      </c>
      <c r="D125" s="250">
        <f>IF(Init!$R$9="Yes",'Staging Table'!F127,'Staging Table'!BT127)*Rates_previous!$E$75*100*12</f>
        <v>6913277.2944000009</v>
      </c>
      <c r="E125" s="250">
        <f>IF(Init!$R$9="Yes",'Staging Table'!F127,'Staging Table'!BT127)*Rates_previous!$E$76*100*12</f>
        <v>-974922.5610000001</v>
      </c>
      <c r="F125" s="251"/>
      <c r="G125" s="251">
        <f>IF(Init!$R$9="Yes",SUMPRODUCT('Staging Table'!AJ127:AU127,LS_Demand_Rates_Restatement!$C$10:$N$10),SUMPRODUCT(LS_Demand_Rates_Restatement!$C$10:$N$10,'Staging Table'!CX127:DI127))*1000</f>
        <v>403927.25</v>
      </c>
      <c r="H125" s="252"/>
      <c r="I125" s="250">
        <f>IF(Init!$R$9="Yes",IF('Staging Table'!$F$1=2018,(SUM('Staging Table'!BD127:BG127)*Rates_previous!$C$87),(SUM('Staging Table'!BD127:BG127)*Rates_previous!$D$87)),IF('Staging Table'!$F$1=2018,(SUM('Staging Table'!DR127:DU127)*Rates_previous!$C$87),(SUM('Staging Table'!DR127:DU127)*Rates_previous!$D$87)))</f>
        <v>37985.826584590941</v>
      </c>
      <c r="J125" s="252">
        <f>IF(Init!$R$9="Yes",IF('Staging Table'!D127=1,'Staging Table'!H127*-1*'Staging Table'!F127/'Staging Table'!E127,'Staging Table'!H127*SUM(D125:I125)*(-1)),IF('Staging Table'!D127=1,'Staging Table'!BV127*-1*'Staging Table'!BT127/'Staging Table'!BS127,'Staging Table'!BV127*SUM(D125:I125)*(-1)))</f>
        <v>-477262.53496349644</v>
      </c>
      <c r="K125" s="250">
        <f>IF(Init!$R$9="Yes",'Staging Table'!K127,'Staging Table'!BY127)*(-1)*Rates_previous!$H$32</f>
        <v>-457031.9140799999</v>
      </c>
      <c r="L125" s="250">
        <f>IF(Init!$R$12="No",0,'Staging Table'!$BI127*-1)*('Staging Table'!$F127/'Staging Table'!$E127)</f>
        <v>-107637.31305250706</v>
      </c>
      <c r="M125" s="250">
        <f>IF('Staging Table'!C127=1,"",SUM(D125:L125))</f>
        <v>5338336.0478885891</v>
      </c>
      <c r="N125" s="250">
        <f>IF('Staging Table'!C127=1,"",IF(Init!$R$9="Yes",(RT1SC!$C$3*'Staging Table'!F127*'Staging Table'!$F$2),Z125))</f>
        <v>165080.79507995999</v>
      </c>
      <c r="O125" s="126">
        <f>IF('Staging Table'!C127=1,"",IF(N125=0, 0, M125/N125))</f>
        <v>32.337717087580451</v>
      </c>
      <c r="P125" s="250">
        <f>'Staging Table'!BT127*Rates_current!$E$74*100*12</f>
        <v>6445749.3495599991</v>
      </c>
      <c r="Q125" s="250">
        <f>'Staging Table'!BT127*Rates_current!$E$75*100*12</f>
        <v>-652091.89980000001</v>
      </c>
      <c r="R125" s="251"/>
      <c r="S125" s="251">
        <f>SUMPRODUCT('Staging Table'!CX127:DI127, LS_Demand_Rates_Restatement!$C$11:$N$11)*1000</f>
        <v>438897.51</v>
      </c>
      <c r="T125" s="252"/>
      <c r="U125" s="252">
        <f>IF(Init!$R$18="Yes",(SUM('Staging Table'!DL127:DU127)*IF('Staging Table'!$BT$1=2020, Rates_current!$C$87, Rates_current!$D$87)),0)</f>
        <v>112521.37887185825</v>
      </c>
      <c r="V125" s="252">
        <f>IF('Staging Table'!D127=1, 'Staging Table'!BV127*-1*'Staging Table'!BT127/'Staging Table'!BS127,SUM(P125:U125)*'Staging Table'!BV127*-1)</f>
        <v>-491762.45147298486</v>
      </c>
      <c r="W125" s="250">
        <f>'Staging Table'!BY127*Rates_current!$H$32*-1</f>
        <v>-431770.7963799999</v>
      </c>
      <c r="X125" s="250">
        <f>IF(Init!$R$12="No",0,'Staging Table'!$DW127*-1)</f>
        <v>0</v>
      </c>
      <c r="Y125" s="250">
        <f>IF('Staging Table'!C127=1,"",SUM(P125:X125))</f>
        <v>5421543.0907788724</v>
      </c>
      <c r="Z125" s="250">
        <f>IF('Staging Table'!C127=1,"",(RT1SC!$C$4*'Staging Table'!BT127*'Staging Table'!$BT$2))</f>
        <v>167345.55629383677</v>
      </c>
      <c r="AA125" s="126">
        <f>IF('Staging Table'!C127=1,"",IF(Z125=0, 0, Y125/Z125))</f>
        <v>32.39729342594169</v>
      </c>
      <c r="AB125" s="118">
        <f ca="1">IF('Staging Table'!C127=1,"",(AA125/O125-1)+(RAND()/100000000000))</f>
        <v>1.8423173934386749E-3</v>
      </c>
      <c r="AC125" s="79">
        <f t="shared" ca="1" si="1"/>
        <v>101</v>
      </c>
      <c r="AF125" s="255"/>
      <c r="AG125" s="255"/>
      <c r="AI125" s="255"/>
      <c r="AJ125" s="255"/>
    </row>
    <row r="126" spans="2:36">
      <c r="B126" s="166">
        <v>10440</v>
      </c>
      <c r="C126" s="167" t="s">
        <v>129</v>
      </c>
      <c r="D126" s="250">
        <f>IF(Init!$R$9="Yes",'Staging Table'!F128,'Staging Table'!BT128)*Rates_previous!$E$75*100*12</f>
        <v>1801248.2208</v>
      </c>
      <c r="E126" s="250">
        <f>IF(Init!$R$9="Yes",'Staging Table'!F128,'Staging Table'!BT128)*Rates_previous!$E$76*100*12</f>
        <v>-254015.20199999999</v>
      </c>
      <c r="F126" s="251"/>
      <c r="G126" s="251">
        <f>IF(Init!$R$9="Yes",SUMPRODUCT('Staging Table'!AJ128:AU128,LS_Demand_Rates_Restatement!$C$10:$N$10),SUMPRODUCT(LS_Demand_Rates_Restatement!$C$10:$N$10,'Staging Table'!CX128:DI128))*1000</f>
        <v>85599.29</v>
      </c>
      <c r="H126" s="252"/>
      <c r="I126" s="250">
        <f>IF(Init!$R$9="Yes",IF('Staging Table'!$F$1=2018,(SUM('Staging Table'!BD128:BG128)*Rates_previous!$C$87),(SUM('Staging Table'!BD128:BG128)*Rates_previous!$D$87)),IF('Staging Table'!$F$1=2018,(SUM('Staging Table'!DR128:DU128)*Rates_previous!$C$87),(SUM('Staging Table'!DR128:DU128)*Rates_previous!$D$87)))</f>
        <v>9897.1731694511855</v>
      </c>
      <c r="J126" s="252">
        <f>IF(Init!$R$9="Yes",IF('Staging Table'!D128=1,'Staging Table'!H128*-1*'Staging Table'!F128/'Staging Table'!E128,'Staging Table'!H128*SUM(D126:I126)*(-1)),IF('Staging Table'!D128=1,'Staging Table'!BV128*-1*'Staging Table'!BT128/'Staging Table'!BS128,'Staging Table'!BV128*SUM(D126:I126)*(-1)))</f>
        <v>-90350.121508319819</v>
      </c>
      <c r="K126" s="250">
        <f>IF(Init!$R$9="Yes",'Staging Table'!K128,'Staging Table'!BY128)*(-1)*Rates_previous!$H$32</f>
        <v>0</v>
      </c>
      <c r="L126" s="250">
        <f>IF(Init!$R$12="No",0,'Staging Table'!$BI128*-1)*('Staging Table'!$F128/'Staging Table'!$E128)</f>
        <v>-60562.174017080499</v>
      </c>
      <c r="M126" s="250">
        <f>IF('Staging Table'!C128=1,"",SUM(D126:L126))</f>
        <v>1491817.1864440509</v>
      </c>
      <c r="N126" s="250">
        <f>IF('Staging Table'!C128=1,"",IF(Init!$R$9="Yes",(RT1SC!$C$3*'Staging Table'!F128*'Staging Table'!$F$2),Z126))</f>
        <v>43011.653628719992</v>
      </c>
      <c r="O126" s="126">
        <f>IF('Staging Table'!C128=1,"",IF(N126=0, 0, M126/N126))</f>
        <v>34.684023063180391</v>
      </c>
      <c r="P126" s="250">
        <f>'Staging Table'!BT128*Rates_current!$E$74*100*12</f>
        <v>1666278.8499599998</v>
      </c>
      <c r="Q126" s="250">
        <f>'Staging Table'!BT128*Rates_current!$E$75*100*12</f>
        <v>-168571.08179999999</v>
      </c>
      <c r="R126" s="251"/>
      <c r="S126" s="251">
        <f>SUMPRODUCT('Staging Table'!CX128:DI128, LS_Demand_Rates_Restatement!$C$11:$N$11)*1000</f>
        <v>96807.65</v>
      </c>
      <c r="T126" s="252"/>
      <c r="U126" s="252">
        <f>IF(Init!$R$18="Yes",(SUM('Staging Table'!DL128:DU128)*IF('Staging Table'!$BT$1=2020, Rates_current!$C$87, Rates_current!$D$87)),0)</f>
        <v>29087.69541206439</v>
      </c>
      <c r="V126" s="252">
        <f>IF('Staging Table'!D128=1, 'Staging Table'!BV128*-1*'Staging Table'!BT128/'Staging Table'!BS128,SUM(P126:U126)*'Staging Table'!BV128*-1)</f>
        <v>-89298.17124646352</v>
      </c>
      <c r="W126" s="250">
        <f>'Staging Table'!BY128*Rates_current!$H$32*-1</f>
        <v>0</v>
      </c>
      <c r="X126" s="250">
        <f>IF(Init!$R$12="No",0,'Staging Table'!$DW128*-1)</f>
        <v>0</v>
      </c>
      <c r="Y126" s="250">
        <f>IF('Staging Table'!C128=1,"",SUM(P126:X126))</f>
        <v>1534304.9423256007</v>
      </c>
      <c r="Z126" s="250">
        <f>IF('Staging Table'!C128=1,"",(RT1SC!$C$4*'Staging Table'!BT128*'Staging Table'!$BT$2))</f>
        <v>43260.193030348797</v>
      </c>
      <c r="AA126" s="126">
        <f>IF('Staging Table'!C128=1,"",IF(Z126=0, 0, Y126/Z126))</f>
        <v>35.466900049410853</v>
      </c>
      <c r="AB126" s="118">
        <f ca="1">IF('Staging Table'!C128=1,"",(AA126/O126-1)+(RAND()/100000000000))</f>
        <v>2.2571689131594318E-2</v>
      </c>
      <c r="AC126" s="79">
        <f t="shared" ca="1" si="1"/>
        <v>31</v>
      </c>
      <c r="AF126" s="255"/>
      <c r="AG126" s="255"/>
      <c r="AI126" s="255"/>
      <c r="AJ126" s="255"/>
    </row>
    <row r="127" spans="2:36">
      <c r="B127" s="166">
        <v>10442</v>
      </c>
      <c r="C127" s="167" t="s">
        <v>130</v>
      </c>
      <c r="D127" s="250">
        <f>IF(Init!$R$9="Yes",'Staging Table'!F129,'Staging Table'!BT129)*Rates_previous!$E$75*100*12</f>
        <v>4787447.7110400004</v>
      </c>
      <c r="E127" s="250">
        <f>IF(Init!$R$9="Yes",'Staging Table'!F129,'Staging Table'!BT129)*Rates_previous!$E$76*100*12</f>
        <v>-675134.32260000007</v>
      </c>
      <c r="F127" s="251"/>
      <c r="G127" s="251">
        <f>IF(Init!$R$9="Yes",SUMPRODUCT('Staging Table'!AJ129:AU129,LS_Demand_Rates_Restatement!$C$10:$N$10),SUMPRODUCT(LS_Demand_Rates_Restatement!$C$10:$N$10,'Staging Table'!CX129:DI129))*1000</f>
        <v>354647.13999999996</v>
      </c>
      <c r="H127" s="252"/>
      <c r="I127" s="250">
        <f>IF(Init!$R$9="Yes",IF('Staging Table'!$F$1=2018,(SUM('Staging Table'!BD129:BG129)*Rates_previous!$C$87),(SUM('Staging Table'!BD129:BG129)*Rates_previous!$D$87)),IF('Staging Table'!$F$1=2018,(SUM('Staging Table'!DR129:DU129)*Rates_previous!$C$87),(SUM('Staging Table'!DR129:DU129)*Rates_previous!$D$87)))</f>
        <v>26305.202408367364</v>
      </c>
      <c r="J127" s="252">
        <f>IF(Init!$R$9="Yes",IF('Staging Table'!D129=1,'Staging Table'!H129*-1*'Staging Table'!F129/'Staging Table'!E129,'Staging Table'!H129*SUM(D127:I127)*(-1)),IF('Staging Table'!D129=1,'Staging Table'!BV129*-1*'Staging Table'!BT129/'Staging Table'!BS129,'Staging Table'!BV129*SUM(D127:I127)*(-1)))</f>
        <v>-314528.60115938581</v>
      </c>
      <c r="K127" s="250">
        <f>IF(Init!$R$9="Yes",'Staging Table'!K129,'Staging Table'!BY129)*(-1)*Rates_previous!$H$32</f>
        <v>-114463.9608</v>
      </c>
      <c r="L127" s="250">
        <f>IF(Init!$R$12="No",0,'Staging Table'!$BI129*-1)*('Staging Table'!$F129/'Staging Table'!$E129)</f>
        <v>-74538.88887302966</v>
      </c>
      <c r="M127" s="250">
        <f>IF('Staging Table'!C129=1,"",SUM(D127:L127))</f>
        <v>3989734.2800159529</v>
      </c>
      <c r="N127" s="250">
        <f>IF('Staging Table'!C129=1,"",IF(Init!$R$9="Yes",(RT1SC!$C$3*'Staging Table'!F129*'Staging Table'!$F$2),Z127))</f>
        <v>114318.52663893599</v>
      </c>
      <c r="O127" s="126">
        <f>IF('Staging Table'!C129=1,"",IF(N127=0, 0, M127/N127))</f>
        <v>34.900154833320613</v>
      </c>
      <c r="P127" s="250">
        <f>'Staging Table'!BT129*Rates_current!$E$74*100*12</f>
        <v>4253514.8449200001</v>
      </c>
      <c r="Q127" s="250">
        <f>'Staging Table'!BT129*Rates_current!$E$75*100*12</f>
        <v>-430311.88859999995</v>
      </c>
      <c r="R127" s="251"/>
      <c r="S127" s="251">
        <f>SUMPRODUCT('Staging Table'!CX129:DI129, LS_Demand_Rates_Restatement!$C$11:$N$11)*1000</f>
        <v>389235.14</v>
      </c>
      <c r="T127" s="252"/>
      <c r="U127" s="252">
        <f>IF(Init!$R$18="Yes",(SUM('Staging Table'!DL129:DU129)*IF('Staging Table'!$BT$1=2020, Rates_current!$C$87, Rates_current!$D$87)),0)</f>
        <v>74252.244300344668</v>
      </c>
      <c r="V127" s="252">
        <f>IF('Staging Table'!D129=1, 'Staging Table'!BV129*-1*'Staging Table'!BT129/'Staging Table'!BS129,SUM(P127:U127)*'Staging Table'!BV129*-1)</f>
        <v>-300068.32384342415</v>
      </c>
      <c r="W127" s="250">
        <f>'Staging Table'!BY129*Rates_current!$H$32*-1</f>
        <v>-108137.29629999999</v>
      </c>
      <c r="X127" s="250">
        <f>IF(Init!$R$12="No",0,'Staging Table'!$DW129*-1)</f>
        <v>0</v>
      </c>
      <c r="Y127" s="250">
        <f>IF('Staging Table'!C129=1,"",SUM(P127:X127))</f>
        <v>3878484.7204769203</v>
      </c>
      <c r="Z127" s="250">
        <f>IF('Staging Table'!C129=1,"",(RT1SC!$C$4*'Staging Table'!BT129*'Staging Table'!$BT$2))</f>
        <v>110430.4200062976</v>
      </c>
      <c r="AA127" s="126">
        <f>IF('Staging Table'!C129=1,"",IF(Z127=0, 0, Y127/Z127))</f>
        <v>35.121524669160351</v>
      </c>
      <c r="AB127" s="118">
        <f ca="1">IF('Staging Table'!C129=1,"",(AA127/O127-1)+(RAND()/100000000000))</f>
        <v>6.3429471011956142E-3</v>
      </c>
      <c r="AC127" s="79">
        <f t="shared" ca="1" si="1"/>
        <v>88</v>
      </c>
      <c r="AF127" s="255"/>
      <c r="AG127" s="255"/>
      <c r="AI127" s="255"/>
      <c r="AJ127" s="255"/>
    </row>
    <row r="128" spans="2:36">
      <c r="B128" s="166">
        <v>10446</v>
      </c>
      <c r="C128" s="167" t="s">
        <v>131</v>
      </c>
      <c r="D128" s="250">
        <f>IF(Init!$R$9="Yes",'Staging Table'!F130,'Staging Table'!BT130)*Rates_previous!$E$75*100*12</f>
        <v>34569953.300160006</v>
      </c>
      <c r="E128" s="250">
        <f>IF(Init!$R$9="Yes",'Staging Table'!F130,'Staging Table'!BT130)*Rates_previous!$E$76*100*12</f>
        <v>-4875115.805399999</v>
      </c>
      <c r="F128" s="251"/>
      <c r="G128" s="251">
        <f>IF(Init!$R$9="Yes",SUMPRODUCT('Staging Table'!AJ130:AU130,LS_Demand_Rates_Restatement!$C$10:$N$10),SUMPRODUCT(LS_Demand_Rates_Restatement!$C$10:$N$10,'Staging Table'!CX130:DI130))*1000</f>
        <v>888463.40000000014</v>
      </c>
      <c r="H128" s="252"/>
      <c r="I128" s="250">
        <f>IF(Init!$R$9="Yes",IF('Staging Table'!$F$1=2018,(SUM('Staging Table'!BD130:BG130)*Rates_previous!$C$87),(SUM('Staging Table'!BD130:BG130)*Rates_previous!$D$87)),IF('Staging Table'!$F$1=2018,(SUM('Staging Table'!DR130:DU130)*Rates_previous!$C$87),(SUM('Staging Table'!DR130:DU130)*Rates_previous!$D$87)))</f>
        <v>189948.73128566649</v>
      </c>
      <c r="J128" s="252">
        <f>IF(Init!$R$9="Yes",IF('Staging Table'!D130=1,'Staging Table'!H130*-1*'Staging Table'!F130/'Staging Table'!E130,'Staging Table'!H130*SUM(D128:I128)*(-1)),IF('Staging Table'!D130=1,'Staging Table'!BV130*-1*'Staging Table'!BT130/'Staging Table'!BS130,'Staging Table'!BV130*SUM(D128:I128)*(-1)))</f>
        <v>-1892656.4037255745</v>
      </c>
      <c r="K128" s="250">
        <f>IF(Init!$R$9="Yes",'Staging Table'!K130,'Staging Table'!BY130)*(-1)*Rates_previous!$H$32</f>
        <v>-84334.958400000003</v>
      </c>
      <c r="L128" s="250">
        <f>IF(Init!$R$12="No",0,'Staging Table'!$BI130*-1)*('Staging Table'!$F130/'Staging Table'!$E130)</f>
        <v>-926750.88589619799</v>
      </c>
      <c r="M128" s="250">
        <f>IF('Staging Table'!C130=1,"",SUM(D128:L128))</f>
        <v>27869507.378023896</v>
      </c>
      <c r="N128" s="250">
        <f>IF('Staging Table'!C130=1,"",IF(Init!$R$9="Yes",(RT1SC!$C$3*'Staging Table'!F130*'Staging Table'!$F$2),Z128))</f>
        <v>825489.14699114393</v>
      </c>
      <c r="O128" s="126">
        <f>IF('Staging Table'!C130=1,"",IF(N128=0, 0, M128/N128))</f>
        <v>33.761203862711582</v>
      </c>
      <c r="P128" s="250">
        <f>'Staging Table'!BT130*Rates_current!$E$74*100*12</f>
        <v>31493644.696319997</v>
      </c>
      <c r="Q128" s="250">
        <f>'Staging Table'!BT130*Rates_current!$E$75*100*12</f>
        <v>-3186092.0255999998</v>
      </c>
      <c r="R128" s="251"/>
      <c r="S128" s="251">
        <f>SUMPRODUCT('Staging Table'!CX130:DI130, LS_Demand_Rates_Restatement!$C$11:$N$11)*1000</f>
        <v>1034172.2</v>
      </c>
      <c r="T128" s="252"/>
      <c r="U128" s="252">
        <f>IF(Init!$R$18="Yes",(SUM('Staging Table'!DL130:DU130)*IF('Staging Table'!$BT$1=2020, Rates_current!$C$87, Rates_current!$D$87)),0)</f>
        <v>549774.45363621111</v>
      </c>
      <c r="V128" s="252">
        <f>IF('Staging Table'!D130=1, 'Staging Table'!BV130*-1*'Staging Table'!BT130/'Staging Table'!BS130,SUM(P128:U128)*'Staging Table'!BV130*-1)</f>
        <v>-1942947.4560831534</v>
      </c>
      <c r="W128" s="250">
        <f>'Staging Table'!BY130*Rates_current!$H$32*-1</f>
        <v>-79673.587400000004</v>
      </c>
      <c r="X128" s="250">
        <f>IF(Init!$R$12="No",0,'Staging Table'!$DW130*-1)</f>
        <v>0</v>
      </c>
      <c r="Y128" s="250">
        <f>IF('Staging Table'!C130=1,"",SUM(P128:X128))</f>
        <v>27868878.280873053</v>
      </c>
      <c r="Z128" s="250">
        <f>IF('Staging Table'!C130=1,"",(RT1SC!$C$4*'Staging Table'!BT130*'Staging Table'!$BT$2))</f>
        <v>817642.94663208956</v>
      </c>
      <c r="AA128" s="126">
        <f>IF('Staging Table'!C130=1,"",IF(Z128=0, 0, Y128/Z128))</f>
        <v>34.084411044779749</v>
      </c>
      <c r="AB128" s="118">
        <f ca="1">IF('Staging Table'!C130=1,"",(AA128/O128-1)+(RAND()/100000000000))</f>
        <v>9.5733310813159323E-3</v>
      </c>
      <c r="AC128" s="79">
        <f t="shared" ca="1" si="1"/>
        <v>84</v>
      </c>
      <c r="AF128" s="255"/>
      <c r="AG128" s="255"/>
      <c r="AI128" s="255"/>
      <c r="AJ128" s="255"/>
    </row>
    <row r="129" spans="1:36">
      <c r="B129" s="166">
        <v>10448</v>
      </c>
      <c r="C129" s="167" t="s">
        <v>132</v>
      </c>
      <c r="D129" s="250">
        <f>IF(Init!$R$9="Yes",'Staging Table'!F131,'Staging Table'!BT131)*Rates_previous!$E$75*100*12</f>
        <v>2990530.6387200002</v>
      </c>
      <c r="E129" s="250">
        <f>IF(Init!$R$9="Yes",'Staging Table'!F131,'Staging Table'!BT131)*Rates_previous!$E$76*100*12</f>
        <v>-421729.9068</v>
      </c>
      <c r="F129" s="251"/>
      <c r="G129" s="251">
        <f>IF(Init!$R$9="Yes",SUMPRODUCT('Staging Table'!AJ131:AU131,LS_Demand_Rates_Restatement!$C$10:$N$10),SUMPRODUCT(LS_Demand_Rates_Restatement!$C$10:$N$10,'Staging Table'!CX131:DI131))*1000</f>
        <v>0</v>
      </c>
      <c r="H129" s="252"/>
      <c r="I129" s="250">
        <f>IF(Init!$R$9="Yes",IF('Staging Table'!$F$1=2018,(SUM('Staging Table'!BD131:BG131)*Rates_previous!$C$87),(SUM('Staging Table'!BD131:BG131)*Rates_previous!$D$87)),IF('Staging Table'!$F$1=2018,(SUM('Staging Table'!DR131:DU131)*Rates_previous!$C$87),(SUM('Staging Table'!DR131:DU131)*Rates_previous!$D$87)))</f>
        <v>16431.827250780483</v>
      </c>
      <c r="J129" s="252">
        <f>IF(Init!$R$9="Yes",IF('Staging Table'!D131=1,'Staging Table'!H131*-1*'Staging Table'!F131/'Staging Table'!E131,'Staging Table'!H131*SUM(D129:I129)*(-1)),IF('Staging Table'!D131=1,'Staging Table'!BV131*-1*'Staging Table'!BT131/'Staging Table'!BS131,'Staging Table'!BV131*SUM(D129:I129)*(-1)))</f>
        <v>-180966.27914195467</v>
      </c>
      <c r="K129" s="250">
        <f>IF(Init!$R$9="Yes",'Staging Table'!K131,'Staging Table'!BY131)*(-1)*Rates_previous!$H$32</f>
        <v>0</v>
      </c>
      <c r="L129" s="250">
        <f>IF(Init!$R$12="No",0,'Staging Table'!$BI131*-1)*('Staging Table'!$F131/'Staging Table'!$E131)</f>
        <v>-95520.794317990891</v>
      </c>
      <c r="M129" s="250" t="str">
        <f>IF('Staging Table'!C131=1,"",SUM(D129:L129))</f>
        <v/>
      </c>
      <c r="N129" s="250" t="str">
        <f>IF('Staging Table'!C131=1,"",IF(Init!$R$9="Yes",(RT1SC!$C$3*'Staging Table'!F131*'Staging Table'!$F$2),Z129))</f>
        <v/>
      </c>
      <c r="O129" s="126" t="str">
        <f>IF('Staging Table'!C131=1,"",IF(N129=0, 0, M129/N129))</f>
        <v/>
      </c>
      <c r="P129" s="250">
        <f>'Staging Table'!BT131*Rates_current!$E$74*100*12</f>
        <v>2752651.7815200002</v>
      </c>
      <c r="Q129" s="250">
        <f>'Staging Table'!BT131*Rates_current!$E$75*100*12</f>
        <v>-278475.2916</v>
      </c>
      <c r="R129" s="251"/>
      <c r="S129" s="251">
        <f>SUMPRODUCT('Staging Table'!CX131:DI131, LS_Demand_Rates_Restatement!$C$11:$N$11)*1000</f>
        <v>0</v>
      </c>
      <c r="T129" s="252"/>
      <c r="U129" s="252">
        <f>IF(Init!$R$18="Yes",(SUM('Staging Table'!DL131:DU131)*IF('Staging Table'!$BT$1=2020, Rates_current!$C$87, Rates_current!$D$87)),0)</f>
        <v>48052.159215879299</v>
      </c>
      <c r="V129" s="252">
        <f>IF('Staging Table'!D131=1, 'Staging Table'!BV131*-1*'Staging Table'!BT131/'Staging Table'!BS131,SUM(P129:U129)*'Staging Table'!BV131*-1)</f>
        <v>-176556.00543951156</v>
      </c>
      <c r="W129" s="250">
        <f>'Staging Table'!BY131*Rates_current!$H$32*-1</f>
        <v>0</v>
      </c>
      <c r="X129" s="250">
        <f>IF(Init!$R$12="No",0,'Staging Table'!$DW131*-1)</f>
        <v>0</v>
      </c>
      <c r="Y129" s="250" t="str">
        <f>IF('Staging Table'!C131=1,"",SUM(P129:X129))</f>
        <v/>
      </c>
      <c r="Z129" s="250" t="str">
        <f>IF('Staging Table'!C131=1,"",(RT1SC!$C$4*'Staging Table'!BT131*'Staging Table'!$BT$2))</f>
        <v/>
      </c>
      <c r="AA129" s="126" t="str">
        <f>IF('Staging Table'!C131=1,"",IF(Z129=0, 0, Y129/Z129))</f>
        <v/>
      </c>
      <c r="AB129" s="118" t="str">
        <f ca="1">IF('Staging Table'!C131=1,"",(AA129/O129-1)+(RAND()/100000000000))</f>
        <v/>
      </c>
      <c r="AC129" s="79" t="str">
        <f t="shared" ca="1" si="1"/>
        <v/>
      </c>
      <c r="AF129" s="255"/>
      <c r="AG129" s="255"/>
      <c r="AI129" s="255"/>
      <c r="AJ129" s="255"/>
    </row>
    <row r="130" spans="1:36">
      <c r="B130" s="166">
        <v>10451</v>
      </c>
      <c r="C130" s="167" t="s">
        <v>133</v>
      </c>
      <c r="D130" s="250">
        <f>IF(Init!$R$9="Yes",'Staging Table'!F132,'Staging Table'!BT132)*Rates_previous!$E$75*100*12</f>
        <v>9605977.7817600016</v>
      </c>
      <c r="E130" s="250">
        <f>IF(Init!$R$9="Yes",'Staging Table'!F132,'Staging Table'!BT132)*Rates_previous!$E$76*100*12</f>
        <v>-1354651.9344000001</v>
      </c>
      <c r="F130" s="251"/>
      <c r="G130" s="251">
        <f>IF(Init!$R$9="Yes",SUMPRODUCT('Staging Table'!AJ132:AU132,LS_Demand_Rates_Restatement!$C$10:$N$10),SUMPRODUCT(LS_Demand_Rates_Restatement!$C$10:$N$10,'Staging Table'!CX132:DI132))*1000</f>
        <v>162656.89999999997</v>
      </c>
      <c r="H130" s="252"/>
      <c r="I130" s="250">
        <f>IF(Init!$R$9="Yes",IF('Staging Table'!$F$1=2018,(SUM('Staging Table'!BD132:BG132)*Rates_previous!$C$87),(SUM('Staging Table'!BD132:BG132)*Rates_previous!$D$87)),IF('Staging Table'!$F$1=2018,(SUM('Staging Table'!DR132:DU132)*Rates_previous!$C$87),(SUM('Staging Table'!DR132:DU132)*Rates_previous!$D$87)))</f>
        <v>52781.190548937418</v>
      </c>
      <c r="J130" s="252">
        <f>IF(Init!$R$9="Yes",IF('Staging Table'!D132=1,'Staging Table'!H132*-1*'Staging Table'!F132/'Staging Table'!E132,'Staging Table'!H132*SUM(D130:I130)*(-1)),IF('Staging Table'!D132=1,'Staging Table'!BV132*-1*'Staging Table'!BT132/'Staging Table'!BS132,'Staging Table'!BV132*SUM(D130:I130)*(-1)))</f>
        <v>0</v>
      </c>
      <c r="K130" s="250">
        <f>IF(Init!$R$9="Yes",'Staging Table'!K132,'Staging Table'!BY132)*(-1)*Rates_previous!$H$32</f>
        <v>0</v>
      </c>
      <c r="L130" s="250">
        <f>IF(Init!$R$12="No",0,'Staging Table'!$BI132*-1)*('Staging Table'!$F132/'Staging Table'!$E132)</f>
        <v>-329541.98011314787</v>
      </c>
      <c r="M130" s="250">
        <f>IF('Staging Table'!C132=1,"",SUM(D130:L130))</f>
        <v>8137221.9577957923</v>
      </c>
      <c r="N130" s="250">
        <f>IF('Staging Table'!C132=1,"",IF(Init!$R$9="Yes",(RT1SC!$C$3*'Staging Table'!F132*'Staging Table'!$F$2),Z130))</f>
        <v>229379.26285958398</v>
      </c>
      <c r="O130" s="126">
        <f>IF('Staging Table'!C132=1,"",IF(N130=0, 0, M130/N130))</f>
        <v>35.474967773250917</v>
      </c>
      <c r="P130" s="250">
        <f>'Staging Table'!BT132*Rates_current!$E$74*100*12</f>
        <v>8913439.1654399987</v>
      </c>
      <c r="Q130" s="250">
        <f>'Staging Table'!BT132*Rates_current!$E$75*100*12</f>
        <v>-901738.67519999994</v>
      </c>
      <c r="R130" s="251"/>
      <c r="S130" s="251">
        <f>SUMPRODUCT('Staging Table'!CX132:DI132, LS_Demand_Rates_Restatement!$C$11:$N$11)*1000</f>
        <v>197045.75999999998</v>
      </c>
      <c r="T130" s="252"/>
      <c r="U130" s="252">
        <f>IF(Init!$R$18="Yes",(SUM('Staging Table'!DL132:DU132)*IF('Staging Table'!$BT$1=2020, Rates_current!$C$87, Rates_current!$D$87)),0)</f>
        <v>155599.0484572904</v>
      </c>
      <c r="V130" s="252">
        <f>IF('Staging Table'!D132=1, 'Staging Table'!BV132*-1*'Staging Table'!BT132/'Staging Table'!BS132,SUM(P130:U130)*'Staging Table'!BV132*-1)</f>
        <v>0</v>
      </c>
      <c r="W130" s="250">
        <f>'Staging Table'!BY132*Rates_current!$H$32*-1</f>
        <v>0</v>
      </c>
      <c r="X130" s="250">
        <f>IF(Init!$R$12="No",0,'Staging Table'!$DW132*-1)</f>
        <v>0</v>
      </c>
      <c r="Y130" s="250">
        <f>IF('Staging Table'!C132=1,"",SUM(P130:X130))</f>
        <v>8364345.2986972881</v>
      </c>
      <c r="Z130" s="250">
        <f>IF('Staging Table'!C132=1,"",(RT1SC!$C$4*'Staging Table'!BT132*'Staging Table'!$BT$2))</f>
        <v>231412.10660536319</v>
      </c>
      <c r="AA130" s="126">
        <f>IF('Staging Table'!C132=1,"",IF(Z130=0, 0, Y130/Z130))</f>
        <v>36.144804268868086</v>
      </c>
      <c r="AB130" s="118">
        <f ca="1">IF('Staging Table'!C132=1,"",(AA130/O130-1)+(RAND()/100000000000))</f>
        <v>1.8881947968968832E-2</v>
      </c>
      <c r="AC130" s="79">
        <f t="shared" ca="1" si="1"/>
        <v>61</v>
      </c>
      <c r="AF130" s="255"/>
      <c r="AG130" s="255"/>
      <c r="AI130" s="255"/>
      <c r="AJ130" s="255"/>
    </row>
    <row r="131" spans="1:36">
      <c r="B131" s="166">
        <v>10482</v>
      </c>
      <c r="C131" s="167" t="s">
        <v>134</v>
      </c>
      <c r="D131" s="250">
        <f>IF(Init!$R$9="Yes",'Staging Table'!F133,'Staging Table'!BT133)*Rates_previous!$E$75*100*12</f>
        <v>994635.50976000004</v>
      </c>
      <c r="E131" s="250">
        <f>IF(Init!$R$9="Yes",'Staging Table'!F133,'Staging Table'!BT133)*Rates_previous!$E$76*100*12</f>
        <v>-140265.25440000001</v>
      </c>
      <c r="F131" s="251"/>
      <c r="G131" s="251">
        <f>IF(Init!$R$9="Yes",SUMPRODUCT('Staging Table'!AJ133:AU133,LS_Demand_Rates_Restatement!$C$10:$N$10),SUMPRODUCT(LS_Demand_Rates_Restatement!$C$10:$N$10,'Staging Table'!CX133:DI133))*1000</f>
        <v>44092.54</v>
      </c>
      <c r="H131" s="252"/>
      <c r="I131" s="250">
        <f>IF(Init!$R$9="Yes",IF('Staging Table'!$F$1=2018,(SUM('Staging Table'!BD133:BG133)*Rates_previous!$C$87),(SUM('Staging Table'!BD133:BG133)*Rates_previous!$D$87)),IF('Staging Table'!$F$1=2018,(SUM('Staging Table'!DR133:DU133)*Rates_previous!$C$87),(SUM('Staging Table'!DR133:DU133)*Rates_previous!$D$87)))</f>
        <v>5465.1434304861996</v>
      </c>
      <c r="J131" s="252">
        <f>IF(Init!$R$9="Yes",IF('Staging Table'!D133=1,'Staging Table'!H133*-1*'Staging Table'!F133/'Staging Table'!E133,'Staging Table'!H133*SUM(D131:I131)*(-1)),IF('Staging Table'!D133=1,'Staging Table'!BV133*-1*'Staging Table'!BT133/'Staging Table'!BS133,'Staging Table'!BV133*SUM(D131:I131)*(-1)))</f>
        <v>0</v>
      </c>
      <c r="K131" s="250">
        <f>IF(Init!$R$9="Yes",'Staging Table'!K133,'Staging Table'!BY133)*(-1)*Rates_previous!$H$32</f>
        <v>0</v>
      </c>
      <c r="L131" s="250">
        <f>IF(Init!$R$12="No",0,'Staging Table'!$BI133*-1)*('Staging Table'!$F133/'Staging Table'!$E133)</f>
        <v>-31167.066926376116</v>
      </c>
      <c r="M131" s="250">
        <f>IF('Staging Table'!C133=1,"",SUM(D131:L131))</f>
        <v>872760.87186411023</v>
      </c>
      <c r="N131" s="250">
        <f>IF('Staging Table'!C133=1,"",IF(Init!$R$9="Yes",(RT1SC!$C$3*'Staging Table'!F133*'Staging Table'!$F$2),Z131))</f>
        <v>23750.706614783998</v>
      </c>
      <c r="O131" s="126">
        <f>IF('Staging Table'!C133=1,"",IF(N131=0, 0, M131/N131))</f>
        <v>36.746732887553193</v>
      </c>
      <c r="P131" s="250">
        <f>'Staging Table'!BT133*Rates_current!$E$74*100*12</f>
        <v>913114.15512000001</v>
      </c>
      <c r="Q131" s="250">
        <f>'Staging Table'!BT133*Rates_current!$E$75*100*12</f>
        <v>-92376.279599999994</v>
      </c>
      <c r="R131" s="251"/>
      <c r="S131" s="251">
        <f>SUMPRODUCT('Staging Table'!CX133:DI133, LS_Demand_Rates_Restatement!$C$11:$N$11)*1000</f>
        <v>49161.069999999992</v>
      </c>
      <c r="T131" s="252"/>
      <c r="U131" s="252">
        <f>IF(Init!$R$18="Yes",(SUM('Staging Table'!DL133:DU133)*IF('Staging Table'!$BT$1=2020, Rates_current!$C$87, Rates_current!$D$87)),0)</f>
        <v>15939.940917579714</v>
      </c>
      <c r="V131" s="252">
        <f>IF('Staging Table'!D133=1, 'Staging Table'!BV133*-1*'Staging Table'!BT133/'Staging Table'!BS133,SUM(P131:U131)*'Staging Table'!BV133*-1)</f>
        <v>0</v>
      </c>
      <c r="W131" s="250">
        <f>'Staging Table'!BY133*Rates_current!$H$32*-1</f>
        <v>0</v>
      </c>
      <c r="X131" s="250">
        <f>IF(Init!$R$12="No",0,'Staging Table'!$DW133*-1)</f>
        <v>0</v>
      </c>
      <c r="Y131" s="250">
        <f>IF('Staging Table'!C133=1,"",SUM(P131:X131))</f>
        <v>885838.88643757964</v>
      </c>
      <c r="Z131" s="250">
        <f>IF('Staging Table'!C133=1,"",(RT1SC!$C$4*'Staging Table'!BT133*'Staging Table'!$BT$2))</f>
        <v>23706.413011353601</v>
      </c>
      <c r="AA131" s="126">
        <f>IF('Staging Table'!C133=1,"",IF(Z131=0, 0, Y131/Z131))</f>
        <v>37.36705700745739</v>
      </c>
      <c r="AB131" s="118">
        <f ca="1">IF('Staging Table'!C133=1,"",(AA131/O131-1)+(RAND()/100000000000))</f>
        <v>1.6881068635987418E-2</v>
      </c>
      <c r="AC131" s="79">
        <f t="shared" ca="1" si="1"/>
        <v>66</v>
      </c>
      <c r="AF131" s="255"/>
      <c r="AG131" s="255"/>
      <c r="AI131" s="255"/>
      <c r="AJ131" s="255"/>
    </row>
    <row r="132" spans="1:36">
      <c r="B132" s="166">
        <v>10502</v>
      </c>
      <c r="C132" s="167" t="s">
        <v>135</v>
      </c>
      <c r="D132" s="250">
        <f>IF(Init!$R$9="Yes",'Staging Table'!F134,'Staging Table'!BT134)*Rates_previous!$E$75*100*12</f>
        <v>6091632.9503999986</v>
      </c>
      <c r="E132" s="250">
        <f>IF(Init!$R$9="Yes",'Staging Table'!F134,'Staging Table'!BT134)*Rates_previous!$E$76*100*12</f>
        <v>-859052.82599999988</v>
      </c>
      <c r="F132" s="251"/>
      <c r="G132" s="251">
        <f>IF(Init!$R$9="Yes",SUMPRODUCT('Staging Table'!AJ134:AU134,LS_Demand_Rates_Restatement!$C$10:$N$10),SUMPRODUCT(LS_Demand_Rates_Restatement!$C$10:$N$10,'Staging Table'!CX134:DI134))*1000</f>
        <v>319324.89</v>
      </c>
      <c r="H132" s="252"/>
      <c r="I132" s="250">
        <f>IF(Init!$R$9="Yes",IF('Staging Table'!$F$1=2018,(SUM('Staging Table'!BD134:BG134)*Rates_previous!$C$87),(SUM('Staging Table'!BD134:BG134)*Rates_previous!$D$87)),IF('Staging Table'!$F$1=2018,(SUM('Staging Table'!DR134:DU134)*Rates_previous!$C$87),(SUM('Staging Table'!DR134:DU134)*Rates_previous!$D$87)))</f>
        <v>33471.203745626284</v>
      </c>
      <c r="J132" s="252">
        <f>IF(Init!$R$9="Yes",IF('Staging Table'!D134=1,'Staging Table'!H134*-1*'Staging Table'!F134/'Staging Table'!E134,'Staging Table'!H134*SUM(D132:I132)*(-1)),IF('Staging Table'!D134=1,'Staging Table'!BV134*-1*'Staging Table'!BT134/'Staging Table'!BS134,'Staging Table'!BV134*SUM(D132:I132)*(-1)))</f>
        <v>-390976.33527019375</v>
      </c>
      <c r="K132" s="250">
        <f>IF(Init!$R$9="Yes",'Staging Table'!K134,'Staging Table'!BY134)*(-1)*Rates_previous!$H$32</f>
        <v>-84550.836720000007</v>
      </c>
      <c r="L132" s="250">
        <f>IF(Init!$R$12="No",0,'Staging Table'!$BI134*-1)*('Staging Table'!$F134/'Staging Table'!$E134)</f>
        <v>-102741.50983559954</v>
      </c>
      <c r="M132" s="250">
        <f>IF('Staging Table'!C134=1,"",SUM(D132:L132))</f>
        <v>5007107.5363198314</v>
      </c>
      <c r="N132" s="250">
        <f>IF('Staging Table'!C134=1,"",IF(Init!$R$9="Yes",(RT1SC!$C$3*'Staging Table'!F134*'Staging Table'!$F$2),Z132))</f>
        <v>145460.91064536001</v>
      </c>
      <c r="O132" s="126">
        <f>IF('Staging Table'!C134=1,"",IF(N132=0, 0, M132/N132))</f>
        <v>34.422357966171241</v>
      </c>
      <c r="P132" s="250">
        <f>'Staging Table'!BT134*Rates_current!$E$74*100*12</f>
        <v>6295781.8763999995</v>
      </c>
      <c r="Q132" s="250">
        <f>'Staging Table'!BT134*Rates_current!$E$75*100*12</f>
        <v>-636920.2620000001</v>
      </c>
      <c r="R132" s="251"/>
      <c r="S132" s="251">
        <f>SUMPRODUCT('Staging Table'!CX134:DI134, LS_Demand_Rates_Restatement!$C$11:$N$11)*1000</f>
        <v>355041.8</v>
      </c>
      <c r="T132" s="252"/>
      <c r="U132" s="252">
        <f>IF(Init!$R$18="Yes",(SUM('Staging Table'!DL134:DU134)*IF('Staging Table'!$BT$1=2020, Rates_current!$C$87, Rates_current!$D$87)),0)</f>
        <v>109903.44479611835</v>
      </c>
      <c r="V132" s="252">
        <f>IF('Staging Table'!D134=1, 'Staging Table'!BV134*-1*'Staging Table'!BT134/'Staging Table'!BS134,SUM(P132:U132)*'Staging Table'!BV134*-1)</f>
        <v>-430578.33264516928</v>
      </c>
      <c r="W132" s="250">
        <f>'Staging Table'!BY134*Rates_current!$H$32*-1</f>
        <v>-79877.53366999999</v>
      </c>
      <c r="X132" s="250">
        <f>IF(Init!$R$12="No",0,'Staging Table'!$DW134*-1)</f>
        <v>0</v>
      </c>
      <c r="Y132" s="250">
        <f>IF('Staging Table'!C134=1,"",SUM(P132:X132))</f>
        <v>5613350.9928809479</v>
      </c>
      <c r="Z132" s="250">
        <f>IF('Staging Table'!C134=1,"",(RT1SC!$C$4*'Staging Table'!BT134*'Staging Table'!$BT$2))</f>
        <v>163452.07721779199</v>
      </c>
      <c r="AA132" s="126">
        <f>IF('Staging Table'!C134=1,"",IF(Z132=0, 0, Y132/Z132))</f>
        <v>34.342487953832666</v>
      </c>
      <c r="AB132" s="118">
        <f ca="1">IF('Staging Table'!C134=1,"",(AA132/O132-1)+(RAND()/100000000000))</f>
        <v>-2.3202946219850738E-3</v>
      </c>
      <c r="AC132" s="79">
        <f t="shared" ref="AC132:AC138" ca="1" si="2">IF(AB132="","",RANK(AB132,$AB$4:$AB$138))</f>
        <v>114</v>
      </c>
      <c r="AF132" s="255"/>
      <c r="AG132" s="255"/>
      <c r="AI132" s="255"/>
      <c r="AJ132" s="255"/>
    </row>
    <row r="133" spans="1:36">
      <c r="B133" s="186">
        <v>13927</v>
      </c>
      <c r="C133" s="187" t="s">
        <v>269</v>
      </c>
      <c r="D133" s="250">
        <f>IF(Init!$R$9="Yes",'Staging Table'!F135,'Staging Table'!BT135)*Rates_previous!$E$75*100*12</f>
        <v>1470297.5222400001</v>
      </c>
      <c r="E133" s="250">
        <f>IF(Init!$R$9="Yes",'Staging Table'!F135,'Staging Table'!BT135)*Rates_previous!$E$76*100*12</f>
        <v>-207343.95059999998</v>
      </c>
      <c r="F133" s="251"/>
      <c r="G133" s="251">
        <f>IF(Init!$R$9="Yes",SUMPRODUCT('Staging Table'!AJ135:AU135,LS_Demand_Rates_Restatement!$C$10:$N$10),SUMPRODUCT(LS_Demand_Rates_Restatement!$C$10:$N$10,'Staging Table'!CX135:DI135))*1000</f>
        <v>31746.43</v>
      </c>
      <c r="H133" s="252"/>
      <c r="I133" s="250">
        <f>IF(Init!$R$9="Yes",IF('Staging Table'!$F$1=2018,(SUM('Staging Table'!BD135:BG135)*Rates_previous!$C$87),(SUM('Staging Table'!BD135:BG135)*Rates_previous!$D$87)),IF('Staging Table'!$F$1=2018,(SUM('Staging Table'!DR135:DU135)*Rates_previous!$C$87),(SUM('Staging Table'!DR135:DU135)*Rates_previous!$D$87)))</f>
        <v>8078.7250864077496</v>
      </c>
      <c r="J133" s="252">
        <f>IF(Init!$R$9="Yes",IF('Staging Table'!D135=1,'Staging Table'!H135*-1*'Staging Table'!F135/'Staging Table'!E135,'Staging Table'!H135*SUM(D133:I133)*(-1)),IF('Staging Table'!D135=1,'Staging Table'!BV135*-1*'Staging Table'!BT135/'Staging Table'!BS135,'Staging Table'!BV135*SUM(D133:I133)*(-1)))</f>
        <v>0</v>
      </c>
      <c r="K133" s="250">
        <f>IF(Init!$R$9="Yes",'Staging Table'!K135,'Staging Table'!BY135)*(-1)*Rates_previous!$H$32</f>
        <v>0</v>
      </c>
      <c r="L133" s="250">
        <f>IF(Init!$R$12="No",0,'Staging Table'!$BI135*-1)*('Staging Table'!$F135/'Staging Table'!$E135)</f>
        <v>0</v>
      </c>
      <c r="M133" s="250">
        <f>IF('Staging Table'!C135=1,"",SUM(D133:L133))</f>
        <v>1302778.7267264079</v>
      </c>
      <c r="N133" s="250">
        <f>IF('Staging Table'!C135=1,"",IF(Init!$R$9="Yes",(RT1SC!$C$3*'Staging Table'!F135*'Staging Table'!$F$2),Z133))</f>
        <v>35108.946689015997</v>
      </c>
      <c r="O133" s="126">
        <f>IF('Staging Table'!C135=1,"",IF(N133=0, 0, M133/N133))</f>
        <v>37.106744849568173</v>
      </c>
      <c r="P133" s="250">
        <f>'Staging Table'!BT135*Rates_current!$E$74*100*12</f>
        <v>1021490.0152799999</v>
      </c>
      <c r="Q133" s="250">
        <f>'Staging Table'!BT135*Rates_current!$E$75*100*12</f>
        <v>-103340.2524</v>
      </c>
      <c r="R133" s="251"/>
      <c r="S133" s="251">
        <f>SUMPRODUCT('Staging Table'!CX135:DI135, LS_Demand_Rates_Restatement!$C$11:$N$11)*1000</f>
        <v>33998.909999999996</v>
      </c>
      <c r="T133" s="252"/>
      <c r="U133" s="252">
        <f>IF(Init!$R$18="Yes",(SUM('Staging Table'!DL135:DU135)*IF('Staging Table'!$BT$1=2020, Rates_current!$C$87, Rates_current!$D$87)),0)</f>
        <v>17831.823546006668</v>
      </c>
      <c r="V133" s="252">
        <f>IF('Staging Table'!D135=1, 'Staging Table'!BV135*-1*'Staging Table'!BT135/'Staging Table'!BS135,SUM(P133:U133)*'Staging Table'!BV135*-1)</f>
        <v>0</v>
      </c>
      <c r="W133" s="250">
        <f>'Staging Table'!BY135*Rates_current!$H$32*-1</f>
        <v>0</v>
      </c>
      <c r="X133" s="250">
        <f>IF(Init!$R$12="No",0,'Staging Table'!$DW135*-1)</f>
        <v>0</v>
      </c>
      <c r="Y133" s="250">
        <f>IF('Staging Table'!C135=1,"",SUM(P133:X133))</f>
        <v>969980.49642600666</v>
      </c>
      <c r="Z133" s="250">
        <f>IF('Staging Table'!C135=1,"",(RT1SC!$C$4*'Staging Table'!BT135*'Staging Table'!$BT$2))</f>
        <v>26520.084102758399</v>
      </c>
      <c r="AA133" s="126">
        <f>IF('Staging Table'!C135=1,"",IF(Z133=0, 0, Y133/Z133))</f>
        <v>36.575317509084272</v>
      </c>
      <c r="AB133" s="118">
        <f ca="1">IF('Staging Table'!C135=1,"",(AA133/O133-1)+(RAND()/100000000000))</f>
        <v>-1.4321583381865493E-2</v>
      </c>
      <c r="AC133" s="79">
        <f t="shared" ca="1" si="2"/>
        <v>118</v>
      </c>
      <c r="AF133" s="255"/>
      <c r="AG133" s="255"/>
      <c r="AI133" s="255"/>
      <c r="AJ133" s="255"/>
    </row>
    <row r="134" spans="1:36">
      <c r="B134" s="166">
        <v>10597</v>
      </c>
      <c r="C134" s="167" t="s">
        <v>136</v>
      </c>
      <c r="D134" s="250">
        <f>IF(Init!$R$9="Yes",'Staging Table'!F136,'Staging Table'!BT136)*Rates_previous!$E$75*100*12</f>
        <v>4563247.0838399995</v>
      </c>
      <c r="E134" s="250">
        <f>IF(Init!$R$9="Yes",'Staging Table'!F136,'Staging Table'!BT136)*Rates_previous!$E$76*100*12</f>
        <v>-643517.15460000001</v>
      </c>
      <c r="F134" s="251"/>
      <c r="G134" s="251">
        <f>IF(Init!$R$9="Yes",SUMPRODUCT('Staging Table'!AJ136:AU136,LS_Demand_Rates_Restatement!$C$10:$N$10),SUMPRODUCT(LS_Demand_Rates_Restatement!$C$10:$N$10,'Staging Table'!CX136:DI136))*1000</f>
        <v>200116.44</v>
      </c>
      <c r="H134" s="252"/>
      <c r="I134" s="250">
        <f>IF(Init!$R$9="Yes",IF('Staging Table'!$F$1=2018,(SUM('Staging Table'!BD136:BG136)*Rates_previous!$C$87),(SUM('Staging Table'!BD136:BG136)*Rates_previous!$D$87)),IF('Staging Table'!$F$1=2018,(SUM('Staging Table'!DR136:DU136)*Rates_previous!$C$87),(SUM('Staging Table'!DR136:DU136)*Rates_previous!$D$87)))</f>
        <v>25073.305323626621</v>
      </c>
      <c r="J134" s="252">
        <f>IF(Init!$R$9="Yes",IF('Staging Table'!D136=1,'Staging Table'!H136*-1*'Staging Table'!F136/'Staging Table'!E136,'Staging Table'!H136*SUM(D134:I134)*(-1)),IF('Staging Table'!D136=1,'Staging Table'!BV136*-1*'Staging Table'!BT136/'Staging Table'!BS136,'Staging Table'!BV136*SUM(D134:I134)*(-1)))</f>
        <v>0</v>
      </c>
      <c r="K134" s="250">
        <f>IF(Init!$R$9="Yes",'Staging Table'!K136,'Staging Table'!BY136)*(-1)*Rates_previous!$H$32</f>
        <v>0</v>
      </c>
      <c r="L134" s="250">
        <f>IF(Init!$R$12="No",0,'Staging Table'!$BI136*-1)*('Staging Table'!$F136/'Staging Table'!$E136)</f>
        <v>-171214.66523174982</v>
      </c>
      <c r="M134" s="250">
        <f>IF('Staging Table'!C136=1,"",SUM(D134:L134))</f>
        <v>3973705.0093318764</v>
      </c>
      <c r="N134" s="250">
        <f>IF('Staging Table'!C136=1,"",IF(Init!$R$9="Yes",(RT1SC!$C$3*'Staging Table'!F136*'Staging Table'!$F$2),Z134))</f>
        <v>108964.88375445598</v>
      </c>
      <c r="O134" s="126">
        <f>IF('Staging Table'!C136=1,"",IF(N134=0, 0, M134/N134))</f>
        <v>36.467757982345177</v>
      </c>
      <c r="P134" s="250">
        <f>'Staging Table'!BT136*Rates_current!$E$74*100*12</f>
        <v>4160824.9645199999</v>
      </c>
      <c r="Q134" s="250">
        <f>'Staging Table'!BT136*Rates_current!$E$75*100*12</f>
        <v>-420934.80660000001</v>
      </c>
      <c r="R134" s="251"/>
      <c r="S134" s="251">
        <f>SUMPRODUCT('Staging Table'!CX136:DI136, LS_Demand_Rates_Restatement!$C$11:$N$11)*1000</f>
        <v>223938.67</v>
      </c>
      <c r="T134" s="252"/>
      <c r="U134" s="252">
        <f>IF(Init!$R$18="Yes",(SUM('Staging Table'!DL136:DU136)*IF('Staging Table'!$BT$1=2020, Rates_current!$C$87, Rates_current!$D$87)),0)</f>
        <v>72634.186789190033</v>
      </c>
      <c r="V134" s="252">
        <f>IF('Staging Table'!D136=1, 'Staging Table'!BV136*-1*'Staging Table'!BT136/'Staging Table'!BS136,SUM(P134:U134)*'Staging Table'!BV136*-1)</f>
        <v>0</v>
      </c>
      <c r="W134" s="250">
        <f>'Staging Table'!BY136*Rates_current!$H$32*-1</f>
        <v>0</v>
      </c>
      <c r="X134" s="250">
        <f>IF(Init!$R$12="No",0,'Staging Table'!$DW136*-1)</f>
        <v>0</v>
      </c>
      <c r="Y134" s="250">
        <f>IF('Staging Table'!C136=1,"",SUM(P134:X134))</f>
        <v>4036463.01470919</v>
      </c>
      <c r="Z134" s="250">
        <f>IF('Staging Table'!C136=1,"",(RT1SC!$C$4*'Staging Table'!BT136*'Staging Table'!$BT$2))</f>
        <v>108023.9907833856</v>
      </c>
      <c r="AA134" s="126">
        <f>IF('Staging Table'!C136=1,"",IF(Z134=0, 0, Y134/Z134))</f>
        <v>37.366357097501435</v>
      </c>
      <c r="AB134" s="118">
        <f ca="1">IF('Staging Table'!C136=1,"",(AA134/O134-1)+(RAND()/100000000000))</f>
        <v>2.4640920223567404E-2</v>
      </c>
      <c r="AC134" s="79">
        <f t="shared" ca="1" si="2"/>
        <v>20</v>
      </c>
      <c r="AF134" s="255"/>
      <c r="AG134" s="255"/>
      <c r="AI134" s="255"/>
      <c r="AJ134" s="255"/>
    </row>
    <row r="135" spans="1:36">
      <c r="B135" s="166">
        <v>10706</v>
      </c>
      <c r="C135" s="167" t="s">
        <v>137</v>
      </c>
      <c r="D135" s="250">
        <f>IF(Init!$R$9="Yes",'Staging Table'!F137,'Staging Table'!BT137)*Rates_previous!$E$75*100*12</f>
        <v>6236853.8112000003</v>
      </c>
      <c r="E135" s="250">
        <f>IF(Init!$R$9="Yes",'Staging Table'!F137,'Staging Table'!BT137)*Rates_previous!$E$76*100*12</f>
        <v>-879532.12800000003</v>
      </c>
      <c r="F135" s="251"/>
      <c r="G135" s="251">
        <f>IF(Init!$R$9="Yes",SUMPRODUCT('Staging Table'!AJ137:AU137,LS_Demand_Rates_Restatement!$C$10:$N$10),SUMPRODUCT(LS_Demand_Rates_Restatement!$C$10:$N$10,'Staging Table'!CX137:DI137))*1000</f>
        <v>196056.17</v>
      </c>
      <c r="H135" s="252"/>
      <c r="I135" s="250">
        <f>IF(Init!$R$9="Yes",IF('Staging Table'!$F$1=2018,(SUM('Staging Table'!BD137:BG137)*Rates_previous!$C$87),(SUM('Staging Table'!BD137:BG137)*Rates_previous!$D$87)),IF('Staging Table'!$F$1=2018,(SUM('Staging Table'!DR137:DU137)*Rates_previous!$C$87),(SUM('Staging Table'!DR137:DU137)*Rates_previous!$D$87)))</f>
        <v>34269.137084606089</v>
      </c>
      <c r="J135" s="252">
        <f>IF(Init!$R$9="Yes",IF('Staging Table'!D137=1,'Staging Table'!H137*-1*'Staging Table'!F137/'Staging Table'!E137,'Staging Table'!H137*SUM(D135:I135)*(-1)),IF('Staging Table'!D137=1,'Staging Table'!BV137*-1*'Staging Table'!BT137/'Staging Table'!BS137,'Staging Table'!BV137*SUM(D135:I135)*(-1)))</f>
        <v>0</v>
      </c>
      <c r="K135" s="250">
        <f>IF(Init!$R$9="Yes",'Staging Table'!K137,'Staging Table'!BY137)*(-1)*Rates_previous!$H$32</f>
        <v>0</v>
      </c>
      <c r="L135" s="250">
        <f>IF(Init!$R$12="No",0,'Staging Table'!$BI137*-1)*('Staging Table'!$F137/'Staging Table'!$E137)</f>
        <v>-97105.635655993086</v>
      </c>
      <c r="M135" s="250">
        <f>IF('Staging Table'!C137=1,"",SUM(D135:L135))</f>
        <v>5490541.3546286132</v>
      </c>
      <c r="N135" s="250">
        <f>IF('Staging Table'!C137=1,"",IF(Init!$R$9="Yes",(RT1SC!$C$3*'Staging Table'!F137*'Staging Table'!$F$2),Z135))</f>
        <v>148928.61115007999</v>
      </c>
      <c r="O135" s="126">
        <f>IF('Staging Table'!C137=1,"",IF(N135=0, 0, M135/N135))</f>
        <v>36.866934514655647</v>
      </c>
      <c r="P135" s="250">
        <f>'Staging Table'!BT137*Rates_current!$E$74*100*12</f>
        <v>5814982.8301200001</v>
      </c>
      <c r="Q135" s="250">
        <f>'Staging Table'!BT137*Rates_current!$E$75*100*12</f>
        <v>-588279.65460000001</v>
      </c>
      <c r="R135" s="251"/>
      <c r="S135" s="251">
        <f>SUMPRODUCT('Staging Table'!CX137:DI137, LS_Demand_Rates_Restatement!$C$11:$N$11)*1000</f>
        <v>226410.48</v>
      </c>
      <c r="T135" s="252"/>
      <c r="U135" s="252">
        <f>IF(Init!$R$18="Yes",(SUM('Staging Table'!DL137:DU137)*IF('Staging Table'!$BT$1=2020, Rates_current!$C$87, Rates_current!$D$87)),0)</f>
        <v>101510.29006518034</v>
      </c>
      <c r="V135" s="252">
        <f>IF('Staging Table'!D137=1, 'Staging Table'!BV137*-1*'Staging Table'!BT137/'Staging Table'!BS137,SUM(P135:U135)*'Staging Table'!BV137*-1)</f>
        <v>0</v>
      </c>
      <c r="W135" s="250">
        <f>'Staging Table'!BY137*Rates_current!$H$32*-1</f>
        <v>0</v>
      </c>
      <c r="X135" s="250">
        <f>IF(Init!$R$12="No",0,'Staging Table'!$DW137*-1)</f>
        <v>0</v>
      </c>
      <c r="Y135" s="250">
        <f>IF('Staging Table'!C137=1,"",SUM(P135:X135))</f>
        <v>5554623.945585181</v>
      </c>
      <c r="Z135" s="250">
        <f>IF('Staging Table'!C137=1,"",(RT1SC!$C$4*'Staging Table'!BT137*'Staging Table'!$BT$2))</f>
        <v>150969.49691535358</v>
      </c>
      <c r="AA135" s="126">
        <f>IF('Staging Table'!C137=1,"",IF(Z135=0, 0, Y135/Z135))</f>
        <v>36.793021498240655</v>
      </c>
      <c r="AB135" s="118">
        <f ca="1">IF('Staging Table'!C137=1,"",(AA135/O135-1)+(RAND()/100000000000))</f>
        <v>-2.0048592927646497E-3</v>
      </c>
      <c r="AC135" s="79">
        <f t="shared" ca="1" si="2"/>
        <v>113</v>
      </c>
      <c r="AF135" s="255"/>
      <c r="AG135" s="255"/>
      <c r="AI135" s="255"/>
      <c r="AJ135" s="255"/>
    </row>
    <row r="136" spans="1:36">
      <c r="B136" s="166">
        <v>11680</v>
      </c>
      <c r="C136" s="167" t="s">
        <v>138</v>
      </c>
      <c r="D136" s="250">
        <f>IF(Init!$R$9="Yes",'Staging Table'!F138,'Staging Table'!BT138)*Rates_previous!$E$75*100*12</f>
        <v>2284298.66304</v>
      </c>
      <c r="E136" s="250">
        <f>IF(Init!$R$9="Yes",'Staging Table'!F138,'Staging Table'!BT138)*Rates_previous!$E$76*100*12</f>
        <v>-322135.82760000002</v>
      </c>
      <c r="F136" s="251"/>
      <c r="G136" s="251">
        <f>IF(Init!$R$9="Yes",SUMPRODUCT('Staging Table'!AJ138:AU138,LS_Demand_Rates_Restatement!$C$10:$N$10),SUMPRODUCT(LS_Demand_Rates_Restatement!$C$10:$N$10,'Staging Table'!CX138:DI138))*1000</f>
        <v>71239.600000000006</v>
      </c>
      <c r="H136" s="252"/>
      <c r="I136" s="250">
        <f>IF(Init!$R$9="Yes",IF('Staging Table'!$F$1=2018,(SUM('Staging Table'!BD138:BG138)*Rates_previous!$C$87),(SUM('Staging Table'!BD138:BG138)*Rates_previous!$D$87)),IF('Staging Table'!$F$1=2018,(SUM('Staging Table'!DR138:DU138)*Rates_previous!$C$87),(SUM('Staging Table'!DR138:DU138)*Rates_previous!$D$87)))</f>
        <v>12551.351433847149</v>
      </c>
      <c r="J136" s="252">
        <f>IF(Init!$R$9="Yes",IF('Staging Table'!D138=1,'Staging Table'!H138*-1*'Staging Table'!F138/'Staging Table'!E138,'Staging Table'!H138*SUM(D136:I136)*(-1)),IF('Staging Table'!D138=1,'Staging Table'!BV138*-1*'Staging Table'!BT138/'Staging Table'!BS138,'Staging Table'!BV138*SUM(D136:I136)*(-1)))</f>
        <v>0</v>
      </c>
      <c r="K136" s="250">
        <f>IF(Init!$R$9="Yes",'Staging Table'!K138,'Staging Table'!BY138)*(-1)*Rates_previous!$H$32</f>
        <v>0</v>
      </c>
      <c r="L136" s="250">
        <f>IF(Init!$R$12="No",0,'Staging Table'!$BI138*-1)*('Staging Table'!$F138/'Staging Table'!$E138)</f>
        <v>-35565.732405704002</v>
      </c>
      <c r="M136" s="250">
        <f>IF('Staging Table'!C138=1,"",SUM(D136:L136))</f>
        <v>2010388.0544681433</v>
      </c>
      <c r="N136" s="250">
        <f>IF('Staging Table'!C138=1,"",IF(Init!$R$9="Yes",(RT1SC!$C$3*'Staging Table'!F138*'Staging Table'!$F$2),Z136))</f>
        <v>54546.320570735996</v>
      </c>
      <c r="O136" s="126">
        <f>IF('Staging Table'!C138=1,"",IF(N136=0, 0, M136/N136))</f>
        <v>36.856529156005308</v>
      </c>
      <c r="P136" s="250">
        <f>'Staging Table'!BT138*Rates_current!$E$74*100*12</f>
        <v>2129728.25196</v>
      </c>
      <c r="Q136" s="250">
        <f>'Staging Table'!BT138*Rates_current!$E$75*100*12</f>
        <v>-215456.49180000002</v>
      </c>
      <c r="R136" s="251"/>
      <c r="S136" s="251">
        <f>SUMPRODUCT('Staging Table'!CX138:DI138, LS_Demand_Rates_Restatement!$C$11:$N$11)*1000</f>
        <v>78440.36</v>
      </c>
      <c r="T136" s="252"/>
      <c r="U136" s="252">
        <f>IF(Init!$R$18="Yes",(SUM('Staging Table'!DL138:DU138)*IF('Staging Table'!$BT$1=2020, Rates_current!$C$87, Rates_current!$D$87)),0)</f>
        <v>37177.982967837546</v>
      </c>
      <c r="V136" s="252">
        <f>IF('Staging Table'!D138=1, 'Staging Table'!BV138*-1*'Staging Table'!BT138/'Staging Table'!BS138,SUM(P136:U136)*'Staging Table'!BV138*-1)</f>
        <v>0</v>
      </c>
      <c r="W136" s="250">
        <f>'Staging Table'!BY138*Rates_current!$H$32*-1</f>
        <v>0</v>
      </c>
      <c r="X136" s="250">
        <f>IF(Init!$R$12="No",0,'Staging Table'!$DW138*-1)</f>
        <v>0</v>
      </c>
      <c r="Y136" s="250">
        <f>IF('Staging Table'!C138=1,"",SUM(P136:X136))</f>
        <v>2029890.1031278376</v>
      </c>
      <c r="Z136" s="250">
        <f>IF('Staging Table'!C138=1,"",(RT1SC!$C$4*'Staging Table'!BT138*'Staging Table'!$BT$2))</f>
        <v>55292.339144908801</v>
      </c>
      <c r="AA136" s="126">
        <f>IF('Staging Table'!C138=1,"",IF(Z136=0, 0, Y136/Z136))</f>
        <v>36.711959278987123</v>
      </c>
      <c r="AB136" s="118">
        <f ca="1">IF('Staging Table'!C138=1,"",(AA136/O136-1)+(RAND()/100000000000))</f>
        <v>-3.9225038315210039E-3</v>
      </c>
      <c r="AC136" s="79">
        <f t="shared" ca="1" si="2"/>
        <v>116</v>
      </c>
      <c r="AF136" s="255"/>
      <c r="AG136" s="255"/>
      <c r="AI136" s="255"/>
      <c r="AJ136" s="255"/>
    </row>
    <row r="137" spans="1:36">
      <c r="B137" s="166">
        <v>12026</v>
      </c>
      <c r="C137" s="167" t="s">
        <v>139</v>
      </c>
      <c r="D137" s="250">
        <f>IF(Init!$R$9="Yes",'Staging Table'!F139,'Staging Table'!BT139)*Rates_previous!$E$75*100*12</f>
        <v>16075439.743679998</v>
      </c>
      <c r="E137" s="250">
        <f>IF(Init!$R$9="Yes",'Staging Table'!F139,'Staging Table'!BT139)*Rates_previous!$E$76*100*12</f>
        <v>-2266986.8742</v>
      </c>
      <c r="F137" s="251"/>
      <c r="G137" s="251">
        <f>IF(Init!$R$9="Yes",SUMPRODUCT('Staging Table'!AJ139:AU139,LS_Demand_Rates_Restatement!$C$10:$N$10),SUMPRODUCT(LS_Demand_Rates_Restatement!$C$10:$N$10,'Staging Table'!CX139:DI139))*1000</f>
        <v>656003.78999999992</v>
      </c>
      <c r="H137" s="252"/>
      <c r="I137" s="250">
        <f>IF(Init!$R$9="Yes",IF('Staging Table'!$F$1=2018,(SUM('Staging Table'!BD139:BG139)*Rates_previous!$C$87),(SUM('Staging Table'!BD139:BG139)*Rates_previous!$D$87)),IF('Staging Table'!$F$1=2018,(SUM('Staging Table'!DR139:DU139)*Rates_previous!$C$87),(SUM('Staging Table'!DR139:DU139)*Rates_previous!$D$87)))</f>
        <v>88328.420858962025</v>
      </c>
      <c r="J137" s="252">
        <f>IF(Init!$R$9="Yes",IF('Staging Table'!D139=1,'Staging Table'!H139*-1*'Staging Table'!F139/'Staging Table'!E139,'Staging Table'!H139*SUM(D137:I137)*(-1)),IF('Staging Table'!D139=1,'Staging Table'!BV139*-1*'Staging Table'!BT139/'Staging Table'!BS139,'Staging Table'!BV139*SUM(D137:I137)*(-1)))</f>
        <v>0</v>
      </c>
      <c r="K137" s="250">
        <f>IF(Init!$R$9="Yes",'Staging Table'!K139,'Staging Table'!BY139)*(-1)*Rates_previous!$H$32</f>
        <v>0</v>
      </c>
      <c r="L137" s="250">
        <f>IF(Init!$R$12="No",0,'Staging Table'!$BI139*-1)*('Staging Table'!$F139/'Staging Table'!$E139)</f>
        <v>0</v>
      </c>
      <c r="M137" s="250">
        <f>IF('Staging Table'!C139=1,"",SUM(D137:L137))</f>
        <v>14552785.080338961</v>
      </c>
      <c r="N137" s="250">
        <f>IF('Staging Table'!C139=1,"",IF(Init!$R$9="Yes",(RT1SC!$C$3*'Staging Table'!F139*'Staging Table'!$F$2),Z137))</f>
        <v>383862.27850231196</v>
      </c>
      <c r="O137" s="126">
        <f>IF('Staging Table'!C139=1,"",IF(N137=0, 0, M137/N137))</f>
        <v>37.911474753702088</v>
      </c>
      <c r="P137" s="250">
        <f>'Staging Table'!BT139*Rates_current!$E$74*100*12</f>
        <v>15050935.246080004</v>
      </c>
      <c r="Q137" s="250">
        <f>'Staging Table'!BT139*Rates_current!$E$75*100*12</f>
        <v>-1522645.7664000001</v>
      </c>
      <c r="R137" s="251"/>
      <c r="S137" s="251">
        <f>SUMPRODUCT('Staging Table'!CX139:DI139, LS_Demand_Rates_Restatement!$C$11:$N$11)*1000</f>
        <v>723876.25</v>
      </c>
      <c r="T137" s="252"/>
      <c r="U137" s="252">
        <f>IF(Init!$R$18="Yes",(SUM('Staging Table'!DL139:DU139)*IF('Staging Table'!$BT$1=2020, Rates_current!$C$87, Rates_current!$D$87)),0)</f>
        <v>262739.34888820624</v>
      </c>
      <c r="V137" s="252">
        <f>IF('Staging Table'!D139=1, 'Staging Table'!BV139*-1*'Staging Table'!BT139/'Staging Table'!BS139,SUM(P137:U137)*'Staging Table'!BV139*-1)</f>
        <v>0</v>
      </c>
      <c r="W137" s="250">
        <f>'Staging Table'!BY139*Rates_current!$H$32*-1</f>
        <v>0</v>
      </c>
      <c r="X137" s="250">
        <f>IF(Init!$R$12="No",0,'Staging Table'!$DW139*-1)</f>
        <v>0</v>
      </c>
      <c r="Y137" s="250">
        <f>IF('Staging Table'!C139=1,"",SUM(P137:X137))</f>
        <v>14514905.078568209</v>
      </c>
      <c r="Z137" s="250">
        <f>IF('Staging Table'!C139=1,"",(RT1SC!$C$4*'Staging Table'!BT139*'Staging Table'!$BT$2))</f>
        <v>390754.74315018242</v>
      </c>
      <c r="AA137" s="126">
        <f>IF('Staging Table'!C139=1,"",IF(Z137=0, 0, Y137/Z137))</f>
        <v>37.145819297168607</v>
      </c>
      <c r="AB137" s="118">
        <f ca="1">IF('Staging Table'!C139=1,"",(AA137/O137-1)+(RAND()/100000000000))</f>
        <v>-2.0195876353023501E-2</v>
      </c>
      <c r="AC137" s="79">
        <f t="shared" ca="1" si="2"/>
        <v>119</v>
      </c>
      <c r="AF137" s="255"/>
      <c r="AG137" s="255"/>
      <c r="AI137" s="255"/>
      <c r="AJ137" s="255"/>
    </row>
    <row r="138" spans="1:36">
      <c r="B138" s="166">
        <v>10298</v>
      </c>
      <c r="C138" s="167" t="s">
        <v>140</v>
      </c>
      <c r="D138" s="250">
        <f>IF(Init!$R$9="Yes",'Staging Table'!F140,'Staging Table'!BT140)*Rates_previous!$E$75*100*12</f>
        <v>189467618.89824003</v>
      </c>
      <c r="E138" s="250">
        <f>IF(Init!$R$9="Yes",'Staging Table'!F140,'Staging Table'!BT140)*Rates_previous!$E$76*100*12</f>
        <v>-26719057.890600003</v>
      </c>
      <c r="F138" s="251"/>
      <c r="G138" s="251">
        <f>IF(Init!$R$9="Yes",SUMPRODUCT('Staging Table'!AJ140:AU140,LS_Demand_Rates_Restatement!$C$10:$N$10),SUMPRODUCT(LS_Demand_Rates_Restatement!$C$10:$N$10,'Staging Table'!CX140:DI140))*1000</f>
        <v>11438142.120000001</v>
      </c>
      <c r="H138" s="252"/>
      <c r="I138" s="250">
        <f>IF(Init!$R$9="Yes",IF('Staging Table'!$F$1=2018,(SUM('Staging Table'!BD140:BG140)*Rates_previous!$C$87),(SUM('Staging Table'!BD140:BG140)*Rates_previous!$D$87)),IF('Staging Table'!$F$1=2018,(SUM('Staging Table'!DR140:DU140)*Rates_previous!$C$87),(SUM('Staging Table'!DR140:DU140)*Rates_previous!$D$87)))</f>
        <v>1041052.4283025365</v>
      </c>
      <c r="J138" s="252">
        <f>IF(Init!$R$9="Yes",IF('Staging Table'!D140=1,'Staging Table'!H140*-1*'Staging Table'!F140/'Staging Table'!E140,'Staging Table'!H140*SUM(D138:I138)*(-1)),IF('Staging Table'!D140=1,'Staging Table'!BV140*-1*'Staging Table'!BT140/'Staging Table'!BS140,'Staging Table'!BV140*SUM(D138:I138)*(-1)))</f>
        <v>-12735797.136074763</v>
      </c>
      <c r="K138" s="250">
        <f>IF(Init!$R$9="Yes",'Staging Table'!K140,'Staging Table'!BY140)*(-1)*Rates_previous!$H$32</f>
        <v>-5259715.7188799996</v>
      </c>
      <c r="L138" s="250">
        <f>IF(Init!$R$12="No",0,'Staging Table'!$BI140*-1)*('Staging Table'!$F140/'Staging Table'!$E140)</f>
        <v>-5322915.4195733145</v>
      </c>
      <c r="M138" s="250">
        <f>IF('Staging Table'!C140=1,"",SUM(D138:L138))</f>
        <v>151909327.28141451</v>
      </c>
      <c r="N138" s="250">
        <f>IF('Staging Table'!C140=1,"",IF(Init!$R$9="Yes",(RT1SC!$C$3*'Staging Table'!F140*'Staging Table'!$F$2),Z138))</f>
        <v>4524260.1790274158</v>
      </c>
      <c r="O138" s="126">
        <f>IF('Staging Table'!C140=1,"",IF(N138=0, 0, M138/N138))</f>
        <v>33.576611704517532</v>
      </c>
      <c r="P138" s="250">
        <f>'Staging Table'!BT140*Rates_current!$E$74*100*12</f>
        <v>176770059.24264002</v>
      </c>
      <c r="Q138" s="250">
        <f>'Staging Table'!BT140*Rates_current!$E$75*100*12</f>
        <v>-17883153.301199999</v>
      </c>
      <c r="R138" s="251"/>
      <c r="S138" s="251">
        <f>SUMPRODUCT('Staging Table'!CX140:DI140, LS_Demand_Rates_Restatement!$C$11:$N$11)*1000</f>
        <v>12120795.35</v>
      </c>
      <c r="T138" s="252"/>
      <c r="U138" s="252">
        <f>IF(Init!$R$18="Yes",(SUM('Staging Table'!DL140:DU140)*IF('Staging Table'!$BT$1=2020, Rates_current!$C$87, Rates_current!$D$87)),0)</f>
        <v>3085818.2238500607</v>
      </c>
      <c r="V138" s="252">
        <f>IF('Staging Table'!D140=1, 'Staging Table'!BV140*-1*'Staging Table'!BT140/'Staging Table'!BS140,SUM(P138:U138)*'Staging Table'!BV140*-1)</f>
        <v>-13362683.36150595</v>
      </c>
      <c r="W138" s="250">
        <f>'Staging Table'!BY140*Rates_current!$H$32*-1</f>
        <v>-4969000.1391799999</v>
      </c>
      <c r="X138" s="250">
        <f>IF(Init!$R$12="No",0,'Staging Table'!$DW140*-1)</f>
        <v>0</v>
      </c>
      <c r="Y138" s="250">
        <f>IF('Staging Table'!C140=1,"",SUM(P138:X138))</f>
        <v>155761836.01460412</v>
      </c>
      <c r="Z138" s="250">
        <f>IF('Staging Table'!C140=1,"",(RT1SC!$C$4*'Staging Table'!BT140*'Staging Table'!$BT$2))</f>
        <v>4589332.0226721792</v>
      </c>
      <c r="AA138" s="126">
        <f>IF('Staging Table'!C140=1,"",IF(Z138=0, 0, Y138/Z138))</f>
        <v>33.939979771590032</v>
      </c>
      <c r="AB138" s="118">
        <f ca="1">IF('Staging Table'!C140=1,"",(AA138/O138-1)+(RAND()/100000000000))</f>
        <v>1.0822058835758146E-2</v>
      </c>
      <c r="AC138" s="79">
        <f t="shared" ca="1" si="2"/>
        <v>80</v>
      </c>
      <c r="AF138" s="255"/>
      <c r="AG138" s="255"/>
      <c r="AI138" s="255"/>
      <c r="AJ138" s="255"/>
    </row>
    <row r="139" spans="1:36">
      <c r="B139" s="302"/>
      <c r="C139" s="302"/>
      <c r="D139" s="302"/>
      <c r="E139" s="302"/>
      <c r="F139" s="302"/>
      <c r="G139" s="302"/>
      <c r="H139" s="302"/>
      <c r="I139" s="302"/>
      <c r="J139" s="302"/>
      <c r="K139" s="302"/>
      <c r="L139" s="250"/>
      <c r="M139" s="302"/>
      <c r="P139" s="302"/>
      <c r="Q139" s="302"/>
      <c r="R139" s="302"/>
      <c r="S139" s="302"/>
      <c r="T139" s="302"/>
      <c r="U139" s="302"/>
      <c r="V139" s="302"/>
      <c r="W139" s="302"/>
      <c r="X139" s="250"/>
      <c r="Y139" s="302"/>
      <c r="AF139" s="255"/>
      <c r="AG139" s="255"/>
      <c r="AI139" s="255"/>
      <c r="AJ139" s="255"/>
    </row>
    <row r="140" spans="1:36">
      <c r="A140" s="18"/>
      <c r="B140" s="302"/>
      <c r="C140" s="302"/>
      <c r="D140" s="302"/>
      <c r="E140" s="302"/>
      <c r="F140" s="302"/>
      <c r="G140" s="302"/>
      <c r="H140" s="302"/>
      <c r="I140" s="302"/>
      <c r="J140" s="302"/>
      <c r="K140" s="302"/>
      <c r="L140" s="302"/>
      <c r="M140" s="302"/>
      <c r="P140" s="302"/>
      <c r="Q140" s="302"/>
      <c r="R140" s="302"/>
      <c r="S140" s="302"/>
      <c r="T140" s="302"/>
      <c r="U140" s="302"/>
      <c r="V140" s="302"/>
      <c r="W140" s="302"/>
      <c r="X140" s="302"/>
      <c r="Y140" s="304"/>
      <c r="AF140" s="255"/>
      <c r="AG140" s="255"/>
      <c r="AI140" s="255"/>
      <c r="AJ140" s="255"/>
    </row>
    <row r="141" spans="1:36">
      <c r="A141" s="18"/>
      <c r="D141" s="302"/>
      <c r="E141" s="302"/>
      <c r="F141" s="302"/>
      <c r="G141" s="302"/>
      <c r="H141" s="302"/>
      <c r="I141" s="302"/>
      <c r="J141" s="302"/>
      <c r="K141" s="302"/>
      <c r="L141" s="302"/>
      <c r="M141" s="302"/>
      <c r="P141" s="302"/>
      <c r="Q141" s="302"/>
      <c r="R141" s="302"/>
      <c r="S141" s="302"/>
      <c r="T141" s="302"/>
      <c r="U141" s="302"/>
      <c r="V141" s="302"/>
      <c r="W141" s="302"/>
      <c r="X141" s="302"/>
      <c r="Y141" s="302"/>
      <c r="AF141" s="255"/>
      <c r="AG141" s="255"/>
      <c r="AI141" s="255"/>
      <c r="AJ141" s="255"/>
    </row>
    <row r="142" spans="1:36">
      <c r="A142" s="18"/>
      <c r="B142" s="302"/>
      <c r="C142" s="302"/>
      <c r="D142" s="302"/>
      <c r="E142" s="302"/>
      <c r="F142" s="302"/>
      <c r="G142" s="302"/>
      <c r="H142" s="302"/>
      <c r="I142" s="302"/>
      <c r="J142" s="302"/>
      <c r="K142" s="302"/>
      <c r="L142" s="302"/>
      <c r="M142" s="302"/>
      <c r="P142" s="302"/>
      <c r="Q142" s="302"/>
      <c r="R142" s="302"/>
      <c r="S142" s="302"/>
      <c r="T142" s="302"/>
      <c r="U142" s="302"/>
      <c r="V142" s="302"/>
      <c r="W142" s="302"/>
      <c r="X142" s="302"/>
      <c r="Y142" s="302"/>
    </row>
    <row r="143" spans="1:36">
      <c r="B143" s="302"/>
      <c r="C143" s="302"/>
      <c r="D143" s="302"/>
      <c r="E143" s="302"/>
      <c r="F143" s="302"/>
      <c r="G143" s="302"/>
      <c r="H143" s="302"/>
      <c r="I143" s="302"/>
      <c r="J143" s="302"/>
      <c r="K143" s="302"/>
      <c r="L143" s="302"/>
      <c r="M143" s="302"/>
      <c r="P143" s="302"/>
      <c r="Q143" s="302"/>
      <c r="R143" s="302"/>
      <c r="S143" s="302"/>
      <c r="T143" s="127"/>
      <c r="U143" s="127"/>
      <c r="V143" s="302"/>
      <c r="W143" s="302"/>
      <c r="X143" s="302"/>
      <c r="Y143" s="302"/>
    </row>
    <row r="144" spans="1:36">
      <c r="B144" s="166"/>
      <c r="C144" s="167"/>
      <c r="G144" s="190"/>
    </row>
    <row r="145" spans="2:3">
      <c r="B145" s="166"/>
      <c r="C145" s="167"/>
    </row>
    <row r="146" spans="2:3">
      <c r="B146" s="166"/>
      <c r="C146" s="167"/>
    </row>
    <row r="147" spans="2:3">
      <c r="B147" s="166"/>
      <c r="C147" s="167"/>
    </row>
    <row r="148" spans="2:3">
      <c r="B148" s="166"/>
      <c r="C148" s="167"/>
    </row>
    <row r="149" spans="2:3">
      <c r="B149" s="166"/>
      <c r="C149" s="167"/>
    </row>
    <row r="150" spans="2:3">
      <c r="B150" s="166"/>
      <c r="C150" s="167"/>
    </row>
    <row r="151" spans="2:3">
      <c r="B151" s="166"/>
      <c r="C151" s="167"/>
    </row>
    <row r="152" spans="2:3">
      <c r="B152" s="166"/>
      <c r="C152" s="167"/>
    </row>
    <row r="153" spans="2:3">
      <c r="B153" s="166"/>
      <c r="C153" s="167"/>
    </row>
    <row r="154" spans="2:3">
      <c r="B154" s="166"/>
      <c r="C154" s="167"/>
    </row>
    <row r="155" spans="2:3">
      <c r="B155" s="166"/>
      <c r="C155" s="167"/>
    </row>
    <row r="156" spans="2:3">
      <c r="B156" s="166"/>
      <c r="C156" s="167"/>
    </row>
    <row r="157" spans="2:3">
      <c r="B157" s="166"/>
      <c r="C157" s="167"/>
    </row>
    <row r="158" spans="2:3">
      <c r="B158" s="166"/>
      <c r="C158" s="167"/>
    </row>
    <row r="159" spans="2:3">
      <c r="B159" s="166"/>
      <c r="C159" s="167"/>
    </row>
    <row r="160" spans="2:3">
      <c r="B160" s="166"/>
      <c r="C160" s="167"/>
    </row>
    <row r="161" spans="2:3">
      <c r="B161" s="166"/>
      <c r="C161" s="167"/>
    </row>
    <row r="162" spans="2:3">
      <c r="B162" s="166"/>
      <c r="C162" s="167"/>
    </row>
    <row r="163" spans="2:3">
      <c r="B163" s="166"/>
      <c r="C163" s="167"/>
    </row>
    <row r="164" spans="2:3">
      <c r="B164" s="166"/>
      <c r="C164" s="167"/>
    </row>
    <row r="165" spans="2:3">
      <c r="B165" s="166"/>
      <c r="C165" s="167"/>
    </row>
    <row r="166" spans="2:3">
      <c r="B166" s="166"/>
      <c r="C166" s="167"/>
    </row>
    <row r="167" spans="2:3">
      <c r="B167" s="166"/>
      <c r="C167" s="167"/>
    </row>
    <row r="168" spans="2:3">
      <c r="B168" s="183"/>
      <c r="C168" s="183"/>
    </row>
    <row r="169" spans="2:3">
      <c r="B169" s="183"/>
      <c r="C169" s="183"/>
    </row>
    <row r="170" spans="2:3">
      <c r="B170" s="183"/>
      <c r="C170" s="183"/>
    </row>
  </sheetData>
  <conditionalFormatting sqref="B2">
    <cfRule type="expression" dxfId="0" priority="1" stopIfTrue="1">
      <formula>A1 &gt; 30</formula>
    </cfRule>
  </conditionalFormatting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7"/>
  </sheetPr>
  <dimension ref="A1:Z164"/>
  <sheetViews>
    <sheetView workbookViewId="0"/>
  </sheetViews>
  <sheetFormatPr defaultRowHeight="15"/>
  <cols>
    <col min="2" max="2" width="35.28515625" bestFit="1" customWidth="1"/>
    <col min="8" max="8" width="35.28515625" bestFit="1" customWidth="1"/>
    <col min="10" max="10" width="11.5703125" bestFit="1" customWidth="1"/>
    <col min="11" max="11" width="9.5703125" bestFit="1" customWidth="1"/>
    <col min="12" max="12" width="10.5703125" bestFit="1" customWidth="1"/>
    <col min="14" max="14" width="31.5703125" customWidth="1"/>
    <col min="20" max="20" width="35.28515625" bestFit="1" customWidth="1"/>
    <col min="22" max="22" width="13.28515625" bestFit="1" customWidth="1"/>
    <col min="25" max="25" width="30.5703125" style="102" bestFit="1" customWidth="1"/>
    <col min="26" max="26" width="9.140625" style="102"/>
  </cols>
  <sheetData>
    <row r="1" spans="1:26">
      <c r="Y1"/>
      <c r="Z1"/>
    </row>
    <row r="2" spans="1:26">
      <c r="X2" s="84"/>
      <c r="Y2" s="84" t="s">
        <v>3</v>
      </c>
      <c r="Z2" s="84" t="s">
        <v>422</v>
      </c>
    </row>
    <row r="3" spans="1:26">
      <c r="B3" s="84" t="s">
        <v>231</v>
      </c>
      <c r="H3" s="84" t="s">
        <v>239</v>
      </c>
      <c r="N3" s="84" t="s">
        <v>238</v>
      </c>
      <c r="T3" s="84" t="s">
        <v>240</v>
      </c>
      <c r="Y3" s="103" t="s">
        <v>70</v>
      </c>
      <c r="Z3" s="104">
        <v>8.9556911876724659</v>
      </c>
    </row>
    <row r="4" spans="1:26">
      <c r="A4" t="s">
        <v>230</v>
      </c>
      <c r="B4" t="s">
        <v>233</v>
      </c>
      <c r="C4" t="s">
        <v>232</v>
      </c>
      <c r="D4" t="s">
        <v>236</v>
      </c>
      <c r="E4" t="s">
        <v>234</v>
      </c>
      <c r="F4" t="s">
        <v>235</v>
      </c>
      <c r="H4" t="s">
        <v>233</v>
      </c>
      <c r="I4" t="s">
        <v>232</v>
      </c>
      <c r="J4" t="s">
        <v>236</v>
      </c>
      <c r="K4" t="s">
        <v>234</v>
      </c>
      <c r="L4" t="s">
        <v>235</v>
      </c>
      <c r="N4" t="s">
        <v>233</v>
      </c>
      <c r="O4" t="s">
        <v>232</v>
      </c>
      <c r="P4" t="s">
        <v>236</v>
      </c>
      <c r="Q4" t="s">
        <v>234</v>
      </c>
      <c r="R4" t="s">
        <v>235</v>
      </c>
      <c r="T4" t="s">
        <v>233</v>
      </c>
      <c r="U4" t="s">
        <v>232</v>
      </c>
      <c r="V4" t="s">
        <v>410</v>
      </c>
      <c r="W4" t="s">
        <v>278</v>
      </c>
      <c r="Y4" s="103" t="s">
        <v>38</v>
      </c>
      <c r="Z4" s="104">
        <v>34.216828566924605</v>
      </c>
    </row>
    <row r="5" spans="1:26">
      <c r="A5">
        <v>1</v>
      </c>
      <c r="B5" t="str">
        <f ca="1">+INDEX('Charges_Including Slice and LS'!$C$4:$C$138,MATCH($A5,'Charges_Including Slice and LS'!$AC$4:$AC$138,0),1)</f>
        <v>Port of Seattle - SETAC In'tl. Airport</v>
      </c>
      <c r="C5" s="100">
        <f ca="1">+INDEX('Charges_Including Slice and LS'!$AB$4:$AB$138,MATCH($A5,'Charges_Including Slice and LS'!$AC$4:$AC$138,0),1)</f>
        <v>0.10620721619444629</v>
      </c>
      <c r="D5" s="86">
        <f ca="1">+INDEX('Charges_Including Slice and LS'!$AA$4:$AA$138,MATCH($A5,'Charges_Including Slice and LS'!$AC$4:$AC$138,0),1)</f>
        <v>40.601279638916715</v>
      </c>
      <c r="E5" s="65">
        <f ca="1">+INDEX('Charges_Including Slice and LS'!$Z$4:$Z$138,MATCH($A5,'Charges_Including Slice and LS'!$AC$4:$AC$138,0),1)/1000</f>
        <v>123.11349691535358</v>
      </c>
      <c r="F5" s="65">
        <f ca="1">+SUM(E$5:E5)</f>
        <v>123.11349691535358</v>
      </c>
      <c r="H5" t="str">
        <f ca="1">+INDEX(Charges_NonSlice!$C$4:$C$138,MATCH($A5,Charges_NonSlice!$AC$4:$AC$138,0),1)</f>
        <v>Port of Seattle - SETAC In'tl. Airport</v>
      </c>
      <c r="I5" s="100">
        <f ca="1">+INDEX(Charges_NonSlice!$AB$4:$AB$138,MATCH($A5,Charges_NonSlice!$AC$4:$AC$138,0),1)</f>
        <v>0.1062072161944561</v>
      </c>
      <c r="J5" s="86">
        <f ca="1">+INDEX(Charges_NonSlice!$AA$4:$AA$138,MATCH($A5,Charges_NonSlice!$AC$4:$AC$138,0),1)</f>
        <v>40.601279638916715</v>
      </c>
      <c r="K5" s="65">
        <f ca="1">+INDEX(Charges_NonSlice!$Z$4:$Z$138,MATCH($A5,Charges_NonSlice!$AC$4:$AC$138,0),1)/1000</f>
        <v>123.11349691535358</v>
      </c>
      <c r="L5" s="65">
        <f ca="1">+SUM(K$5:K5)</f>
        <v>123.11349691535358</v>
      </c>
      <c r="N5" t="str">
        <f ca="1">+INDEX('Charges_NonSlice &amp; Excl LS'!$C$4:$C$138,MATCH($A5,'Charges_NonSlice &amp; Excl LS'!$AC$4:$AC$138,0),1)</f>
        <v>Port Angeles, City of</v>
      </c>
      <c r="O5" s="100">
        <f ca="1">+INDEX('Charges_NonSlice &amp; Excl LS'!$AB$4:$AB$138,MATCH($A5,'Charges_NonSlice &amp; Excl LS'!$AC$4:$AC$138,0),1)</f>
        <v>5.0314271194679933E-2</v>
      </c>
      <c r="P5" s="129">
        <f ca="1">+INDEX('Charges_NonSlice &amp; Excl LS'!$AA$4:$AA$138,MATCH($A5,'Charges_NonSlice &amp; Excl LS'!$AC$4:$AC$138,0),1)</f>
        <v>35.398883672633211</v>
      </c>
      <c r="Q5" s="297">
        <f ca="1">+INDEX('Charges_NonSlice &amp; Excl LS'!$Z$4:$Z$138,MATCH($A5,'Charges_NonSlice &amp; Excl LS'!$AC$4:$AC$138,0),1)/1000</f>
        <v>269.39666633932796</v>
      </c>
      <c r="R5" s="297">
        <f ca="1">+SUM(Q$5:Q5)</f>
        <v>269.39666633932796</v>
      </c>
      <c r="T5" t="str">
        <f ca="1">+INDEX(Charges_NonSlice!$C$4:$C$138,MATCH($A5,Charges_NonSlice!$AC$4:$AC$138,0),1)</f>
        <v>Port of Seattle - SETAC In'tl. Airport</v>
      </c>
      <c r="U5" s="100">
        <f ca="1">IFERROR(+V5/W5-1,"")</f>
        <v>9.7645106014701E-2</v>
      </c>
      <c r="V5" s="86">
        <f ca="1">+INDEX(Charges_NonSlice!$AA$4:$AA$138,MATCH($A5,Charges_NonSlice!$AC$4:$AC$138,0),1)</f>
        <v>40.601279638916715</v>
      </c>
      <c r="W5" s="119">
        <f ca="1">+VLOOKUP(T5,Y:Z,2,FALSE)</f>
        <v>36.98944168423499</v>
      </c>
      <c r="Y5" s="103" t="s">
        <v>23</v>
      </c>
      <c r="Z5" s="104">
        <v>38.153054457170199</v>
      </c>
    </row>
    <row r="6" spans="1:26">
      <c r="A6">
        <f>+A5+1</f>
        <v>2</v>
      </c>
      <c r="B6" s="112" t="str">
        <f ca="1">+INDEX('Charges_Including Slice and LS'!$C$4:$C$138,MATCH($A6,'Charges_Including Slice and LS'!$AC$4:$AC$138,0),1)</f>
        <v>Port Angeles, City of</v>
      </c>
      <c r="C6" s="100">
        <f ca="1">+INDEX('Charges_Including Slice and LS'!$AB$4:$AB$138,MATCH($A6,'Charges_Including Slice and LS'!$AC$4:$AC$138,0),1)</f>
        <v>4.7763559914407228E-2</v>
      </c>
      <c r="D6" s="86">
        <f ca="1">+INDEX('Charges_Including Slice and LS'!$AA$4:$AA$138,MATCH($A6,'Charges_Including Slice and LS'!$AC$4:$AC$138,0),1)</f>
        <v>35.909950865230471</v>
      </c>
      <c r="E6" s="107">
        <f ca="1">+INDEX('Charges_Including Slice and LS'!$Z$4:$Z$138,MATCH($A6,'Charges_Including Slice and LS'!$AC$4:$AC$138,0),1)/1000</f>
        <v>281.90666633932801</v>
      </c>
      <c r="F6" s="107">
        <f ca="1">+SUM(E$5:E6)</f>
        <v>405.02016325468162</v>
      </c>
      <c r="H6" s="295" t="str">
        <f ca="1">+INDEX(Charges_NonSlice!$C$4:$C$138,MATCH($A6,Charges_NonSlice!$AC$4:$AC$138,0),1)</f>
        <v>Port Angeles, City of</v>
      </c>
      <c r="I6" s="100">
        <f ca="1">+INDEX(Charges_NonSlice!$AB$4:$AB$138,MATCH($A6,Charges_NonSlice!$AC$4:$AC$138,0),1)</f>
        <v>4.7763559914399192E-2</v>
      </c>
      <c r="J6" s="129">
        <f ca="1">+INDEX(Charges_NonSlice!$AA$4:$AA$138,MATCH($A6,Charges_NonSlice!$AC$4:$AC$138,0),1)</f>
        <v>35.909950865230471</v>
      </c>
      <c r="K6" s="297">
        <f ca="1">+INDEX(Charges_NonSlice!$Z$4:$Z$138,MATCH($A6,Charges_NonSlice!$AC$4:$AC$138,0),1)/1000</f>
        <v>281.90666633932801</v>
      </c>
      <c r="L6" s="107">
        <f ca="1">+SUM(K$5:K6)</f>
        <v>405.02016325468162</v>
      </c>
      <c r="N6" s="295" t="str">
        <f ca="1">+INDEX('Charges_NonSlice &amp; Excl LS'!$C$4:$C$138,MATCH($A6,'Charges_NonSlice &amp; Excl LS'!$AC$4:$AC$138,0),1)</f>
        <v>U.S. Airforce Base, Fairchild</v>
      </c>
      <c r="O6" s="100">
        <f ca="1">+INDEX('Charges_NonSlice &amp; Excl LS'!$AB$4:$AB$138,MATCH($A6,'Charges_NonSlice &amp; Excl LS'!$AC$4:$AC$138,0),1)</f>
        <v>3.4784973970170711E-2</v>
      </c>
      <c r="P6" s="129">
        <f ca="1">+INDEX('Charges_NonSlice &amp; Excl LS'!$AA$4:$AA$138,MATCH($A6,'Charges_NonSlice &amp; Excl LS'!$AC$4:$AC$138,0),1)</f>
        <v>37.82139909989597</v>
      </c>
      <c r="Q6" s="297">
        <f ca="1">+INDEX('Charges_NonSlice &amp; Excl LS'!$Z$4:$Z$138,MATCH($A6,'Charges_NonSlice &amp; Excl LS'!$AC$4:$AC$138,0),1)/1000</f>
        <v>47.431337016729593</v>
      </c>
      <c r="R6" s="107">
        <f ca="1">+SUM(Q$5:Q6)</f>
        <v>316.82800335605754</v>
      </c>
      <c r="T6" s="295" t="str">
        <f ca="1">+INDEX(Charges_NonSlice!$C$4:$C$138,MATCH($A6,Charges_NonSlice!$AC$4:$AC$138,0),1)</f>
        <v>Port Angeles, City of</v>
      </c>
      <c r="U6" s="100">
        <f t="shared" ref="U6:U69" ca="1" si="0">IFERROR(+V6/W6-1,"")</f>
        <v>4.948215159667102E-2</v>
      </c>
      <c r="V6" s="129">
        <f ca="1">+INDEX(Charges_NonSlice!$AA$4:$AA$138,MATCH($A6,Charges_NonSlice!$AC$4:$AC$138,0),1)</f>
        <v>35.909950865230471</v>
      </c>
      <c r="W6" s="120">
        <f t="shared" ref="W6:W68" ca="1" si="1">+VLOOKUP(T6,Y:Z,2,FALSE)</f>
        <v>34.216828566924605</v>
      </c>
      <c r="Y6" s="103" t="s">
        <v>97</v>
      </c>
      <c r="Z6" s="104">
        <v>30.052718422327704</v>
      </c>
    </row>
    <row r="7" spans="1:26">
      <c r="A7">
        <f t="shared" ref="A7:A70" si="2">+A6+1</f>
        <v>3</v>
      </c>
      <c r="B7" s="112" t="str">
        <f ca="1">+INDEX('Charges_Including Slice and LS'!$C$4:$C$138,MATCH($A7,'Charges_Including Slice and LS'!$AC$4:$AC$138,0),1)</f>
        <v>Surprise Valley Elec Coop</v>
      </c>
      <c r="C7" s="100">
        <f ca="1">+INDEX('Charges_Including Slice and LS'!$AB$4:$AB$138,MATCH($A7,'Charges_Including Slice and LS'!$AC$4:$AC$138,0),1)</f>
        <v>4.585784736921128E-2</v>
      </c>
      <c r="D7" s="86">
        <f ca="1">+INDEX('Charges_Including Slice and LS'!$AA$4:$AA$138,MATCH($A7,'Charges_Including Slice and LS'!$AC$4:$AC$138,0),1)</f>
        <v>30.906232750289544</v>
      </c>
      <c r="E7" s="107">
        <f ca="1">+INDEX('Charges_Including Slice and LS'!$Z$4:$Z$138,MATCH($A7,'Charges_Including Slice and LS'!$AC$4:$AC$138,0),1)/1000</f>
        <v>135.70143996907518</v>
      </c>
      <c r="F7" s="107">
        <f ca="1">+SUM(E$5:E7)</f>
        <v>540.7216032237568</v>
      </c>
      <c r="H7" s="295" t="str">
        <f ca="1">+INDEX(Charges_NonSlice!$C$4:$C$138,MATCH($A7,Charges_NonSlice!$AC$4:$AC$138,0),1)</f>
        <v>Surprise Valley Elec Coop</v>
      </c>
      <c r="I7" s="100">
        <f ca="1">+INDEX(Charges_NonSlice!$AB$4:$AB$138,MATCH($A7,Charges_NonSlice!$AC$4:$AC$138,0),1)</f>
        <v>4.5857847369213486E-2</v>
      </c>
      <c r="J7" s="129">
        <f ca="1">+INDEX(Charges_NonSlice!$AA$4:$AA$138,MATCH($A7,Charges_NonSlice!$AC$4:$AC$138,0),1)</f>
        <v>30.906232750289544</v>
      </c>
      <c r="K7" s="297">
        <f ca="1">+INDEX(Charges_NonSlice!$Z$4:$Z$138,MATCH($A7,Charges_NonSlice!$AC$4:$AC$138,0),1)/1000</f>
        <v>135.70143996907518</v>
      </c>
      <c r="L7" s="107">
        <f ca="1">+SUM(K$5:K7)</f>
        <v>540.7216032237568</v>
      </c>
      <c r="N7" s="295" t="str">
        <f ca="1">+INDEX('Charges_NonSlice &amp; Excl LS'!$C$4:$C$138,MATCH($A7,'Charges_NonSlice &amp; Excl LS'!$AC$4:$AC$138,0),1)</f>
        <v>Drain, City of</v>
      </c>
      <c r="O7" s="100">
        <f ca="1">+INDEX('Charges_NonSlice &amp; Excl LS'!$AB$4:$AB$138,MATCH($A7,'Charges_NonSlice &amp; Excl LS'!$AC$4:$AC$138,0),1)</f>
        <v>3.1355776768618941E-2</v>
      </c>
      <c r="P7" s="129">
        <f ca="1">+INDEX('Charges_NonSlice &amp; Excl LS'!$AA$4:$AA$138,MATCH($A7,'Charges_NonSlice &amp; Excl LS'!$AC$4:$AC$138,0),1)</f>
        <v>36.848317034050879</v>
      </c>
      <c r="Q7" s="297">
        <f ca="1">+INDEX('Charges_NonSlice &amp; Excl LS'!$Z$4:$Z$138,MATCH($A7,'Charges_NonSlice &amp; Excl LS'!$AC$4:$AC$138,0),1)/1000</f>
        <v>16.357548384460799</v>
      </c>
      <c r="R7" s="107">
        <f ca="1">+SUM(Q$5:Q7)</f>
        <v>333.18555174051835</v>
      </c>
      <c r="T7" s="295" t="str">
        <f ca="1">+INDEX(Charges_NonSlice!$C$4:$C$138,MATCH($A7,Charges_NonSlice!$AC$4:$AC$138,0),1)</f>
        <v>Surprise Valley Elec Coop</v>
      </c>
      <c r="U7" s="100">
        <f t="shared" ca="1" si="0"/>
        <v>4.3091978945020593E-2</v>
      </c>
      <c r="V7" s="129">
        <f ca="1">+INDEX(Charges_NonSlice!$AA$4:$AA$138,MATCH($A7,Charges_NonSlice!$AC$4:$AC$138,0),1)</f>
        <v>30.906232750289544</v>
      </c>
      <c r="W7" s="120">
        <f t="shared" ca="1" si="1"/>
        <v>29.629441481802971</v>
      </c>
      <c r="Y7" s="103" t="s">
        <v>110</v>
      </c>
      <c r="Z7" s="104">
        <v>36.791786443771471</v>
      </c>
    </row>
    <row r="8" spans="1:26">
      <c r="A8">
        <f t="shared" si="2"/>
        <v>4</v>
      </c>
      <c r="B8" s="112" t="str">
        <f ca="1">+INDEX('Charges_Including Slice and LS'!$C$4:$C$138,MATCH($A8,'Charges_Including Slice and LS'!$AC$4:$AC$138,0),1)</f>
        <v>Centralia, City of</v>
      </c>
      <c r="C8" s="100">
        <f ca="1">+INDEX('Charges_Including Slice and LS'!$AB$4:$AB$138,MATCH($A8,'Charges_Including Slice and LS'!$AC$4:$AC$138,0),1)</f>
        <v>4.5411251950770531E-2</v>
      </c>
      <c r="D8" s="86">
        <f ca="1">+INDEX('Charges_Including Slice and LS'!$AA$4:$AA$138,MATCH($A8,'Charges_Including Slice and LS'!$AC$4:$AC$138,0),1)</f>
        <v>40.23230360570976</v>
      </c>
      <c r="E8" s="107">
        <f ca="1">+INDEX('Charges_Including Slice and LS'!$Z$4:$Z$138,MATCH($A8,'Charges_Including Slice and LS'!$AC$4:$AC$138,0),1)/1000</f>
        <v>204.01330490234878</v>
      </c>
      <c r="F8" s="107">
        <f ca="1">+SUM(E$5:E8)</f>
        <v>744.73490812610555</v>
      </c>
      <c r="H8" s="295" t="str">
        <f ca="1">+INDEX(Charges_NonSlice!$C$4:$C$138,MATCH($A8,Charges_NonSlice!$AC$4:$AC$138,0),1)</f>
        <v>Centralia, City of</v>
      </c>
      <c r="I8" s="100">
        <f ca="1">+INDEX(Charges_NonSlice!$AB$4:$AB$138,MATCH($A8,Charges_NonSlice!$AC$4:$AC$138,0),1)</f>
        <v>4.5411251950768956E-2</v>
      </c>
      <c r="J8" s="129">
        <f ca="1">+INDEX(Charges_NonSlice!$AA$4:$AA$138,MATCH($A8,Charges_NonSlice!$AC$4:$AC$138,0),1)</f>
        <v>40.23230360570976</v>
      </c>
      <c r="K8" s="297">
        <f ca="1">+INDEX(Charges_NonSlice!$Z$4:$Z$138,MATCH($A8,Charges_NonSlice!$AC$4:$AC$138,0),1)/1000</f>
        <v>204.01330490234878</v>
      </c>
      <c r="L8" s="107">
        <f ca="1">+SUM(K$5:K8)</f>
        <v>744.73490812610555</v>
      </c>
      <c r="N8" s="295" t="str">
        <f ca="1">+INDEX('Charges_NonSlice &amp; Excl LS'!$C$4:$C$138,MATCH($A8,'Charges_NonSlice &amp; Excl LS'!$AC$4:$AC$138,0),1)</f>
        <v>Cascade Locks, City of</v>
      </c>
      <c r="O8" s="100">
        <f ca="1">+INDEX('Charges_NonSlice &amp; Excl LS'!$AB$4:$AB$138,MATCH($A8,'Charges_NonSlice &amp; Excl LS'!$AC$4:$AC$138,0),1)</f>
        <v>3.1256650766619126E-2</v>
      </c>
      <c r="P8" s="129">
        <f ca="1">+INDEX('Charges_NonSlice &amp; Excl LS'!$AA$4:$AA$138,MATCH($A8,'Charges_NonSlice &amp; Excl LS'!$AC$4:$AC$138,0),1)</f>
        <v>36.226795625736266</v>
      </c>
      <c r="Q8" s="297">
        <f ca="1">+INDEX('Charges_NonSlice &amp; Excl LS'!$Z$4:$Z$138,MATCH($A8,'Charges_NonSlice &amp; Excl LS'!$AC$4:$AC$138,0),1)/1000</f>
        <v>20.775505624473599</v>
      </c>
      <c r="R8" s="107">
        <f ca="1">+SUM(Q$5:Q8)</f>
        <v>353.96105736499197</v>
      </c>
      <c r="T8" s="295" t="str">
        <f ca="1">+INDEX(Charges_NonSlice!$C$4:$C$138,MATCH($A8,Charges_NonSlice!$AC$4:$AC$138,0),1)</f>
        <v>Centralia, City of</v>
      </c>
      <c r="U8" s="100">
        <f t="shared" ca="1" si="0"/>
        <v>5.4497580288720648E-2</v>
      </c>
      <c r="V8" s="129">
        <f ca="1">+INDEX(Charges_NonSlice!$AA$4:$AA$138,MATCH($A8,Charges_NonSlice!$AC$4:$AC$138,0),1)</f>
        <v>40.23230360570976</v>
      </c>
      <c r="W8" s="120">
        <f t="shared" ca="1" si="1"/>
        <v>38.153054457170199</v>
      </c>
      <c r="Y8" s="103" t="s">
        <v>60</v>
      </c>
      <c r="Z8" s="104">
        <v>31.331481790427091</v>
      </c>
    </row>
    <row r="9" spans="1:26">
      <c r="A9">
        <f t="shared" si="2"/>
        <v>5</v>
      </c>
      <c r="B9" s="112" t="str">
        <f ca="1">+INDEX('Charges_Including Slice and LS'!$C$4:$C$138,MATCH($A9,'Charges_Including Slice and LS'!$AC$4:$AC$138,0),1)</f>
        <v>Hood River Elec Coop</v>
      </c>
      <c r="C9" s="100">
        <f ca="1">+INDEX('Charges_Including Slice and LS'!$AB$4:$AB$138,MATCH($A9,'Charges_Including Slice and LS'!$AC$4:$AC$138,0),1)</f>
        <v>4.1741234371664812E-2</v>
      </c>
      <c r="D9" s="86">
        <f ca="1">+INDEX('Charges_Including Slice and LS'!$AA$4:$AA$138,MATCH($A9,'Charges_Including Slice and LS'!$AC$4:$AC$138,0),1)</f>
        <v>39.813547936479452</v>
      </c>
      <c r="E9" s="107">
        <f ca="1">+INDEX('Charges_Including Slice and LS'!$Z$4:$Z$138,MATCH($A9,'Charges_Including Slice and LS'!$AC$4:$AC$138,0),1)/1000</f>
        <v>110.73430570915841</v>
      </c>
      <c r="F9" s="107">
        <f ca="1">+SUM(E$5:E9)</f>
        <v>855.46921383526399</v>
      </c>
      <c r="H9" s="295" t="str">
        <f ca="1">+INDEX(Charges_NonSlice!$C$4:$C$138,MATCH($A9,Charges_NonSlice!$AC$4:$AC$138,0),1)</f>
        <v>Hood River Elec Coop</v>
      </c>
      <c r="I9" s="100">
        <f ca="1">+INDEX(Charges_NonSlice!$AB$4:$AB$138,MATCH($A9,Charges_NonSlice!$AC$4:$AC$138,0),1)</f>
        <v>4.1741234371665846E-2</v>
      </c>
      <c r="J9" s="129">
        <f ca="1">+INDEX(Charges_NonSlice!$AA$4:$AA$138,MATCH($A9,Charges_NonSlice!$AC$4:$AC$138,0),1)</f>
        <v>39.813547936479452</v>
      </c>
      <c r="K9" s="297">
        <f ca="1">+INDEX(Charges_NonSlice!$Z$4:$Z$138,MATCH($A9,Charges_NonSlice!$AC$4:$AC$138,0),1)/1000</f>
        <v>110.73430570915841</v>
      </c>
      <c r="L9" s="107">
        <f ca="1">+SUM(K$5:K9)</f>
        <v>855.46921383526399</v>
      </c>
      <c r="N9" s="295" t="str">
        <f ca="1">+INDEX('Charges_NonSlice &amp; Excl LS'!$C$4:$C$138,MATCH($A9,'Charges_NonSlice &amp; Excl LS'!$AC$4:$AC$138,0),1)</f>
        <v>Heyburn, City of</v>
      </c>
      <c r="O9" s="100">
        <f ca="1">+INDEX('Charges_NonSlice &amp; Excl LS'!$AB$4:$AB$138,MATCH($A9,'Charges_NonSlice &amp; Excl LS'!$AC$4:$AC$138,0),1)</f>
        <v>3.0710186954334574E-2</v>
      </c>
      <c r="P9" s="129">
        <f ca="1">+INDEX('Charges_NonSlice &amp; Excl LS'!$AA$4:$AA$138,MATCH($A9,'Charges_NonSlice &amp; Excl LS'!$AC$4:$AC$138,0),1)</f>
        <v>36.585447315079875</v>
      </c>
      <c r="Q9" s="297">
        <f ca="1">+INDEX('Charges_NonSlice &amp; Excl LS'!$Z$4:$Z$138,MATCH($A9,'Charges_NonSlice &amp; Excl LS'!$AC$4:$AC$138,0),1)/1000</f>
        <v>42.094000406937603</v>
      </c>
      <c r="R9" s="107">
        <f ca="1">+SUM(Q$5:Q9)</f>
        <v>396.05505777192957</v>
      </c>
      <c r="T9" s="295" t="str">
        <f ca="1">+INDEX(Charges_NonSlice!$C$4:$C$138,MATCH($A9,Charges_NonSlice!$AC$4:$AC$138,0),1)</f>
        <v>Hood River Elec Coop</v>
      </c>
      <c r="U9" s="100">
        <f t="shared" ca="1" si="0"/>
        <v>6.2220449541899869E-2</v>
      </c>
      <c r="V9" s="129">
        <f ca="1">+INDEX(Charges_NonSlice!$AA$4:$AA$138,MATCH($A9,Charges_NonSlice!$AC$4:$AC$138,0),1)</f>
        <v>39.813547936479452</v>
      </c>
      <c r="W9" s="120">
        <f t="shared" ca="1" si="1"/>
        <v>37.481436130936572</v>
      </c>
      <c r="Y9" s="103" t="s">
        <v>7</v>
      </c>
      <c r="Z9" s="104">
        <v>35.787307377689011</v>
      </c>
    </row>
    <row r="10" spans="1:26">
      <c r="A10">
        <f t="shared" si="2"/>
        <v>6</v>
      </c>
      <c r="B10" s="112" t="str">
        <f ca="1">+INDEX('Charges_Including Slice and LS'!$C$4:$C$138,MATCH($A10,'Charges_Including Slice and LS'!$AC$4:$AC$138,0),1)</f>
        <v>Forest Grove, City of</v>
      </c>
      <c r="C10" s="100">
        <f ca="1">+INDEX('Charges_Including Slice and LS'!$AB$4:$AB$138,MATCH($A10,'Charges_Including Slice and LS'!$AC$4:$AC$138,0),1)</f>
        <v>3.9962240885022073E-2</v>
      </c>
      <c r="D10" s="86">
        <f ca="1">+INDEX('Charges_Including Slice and LS'!$AA$4:$AA$138,MATCH($A10,'Charges_Including Slice and LS'!$AC$4:$AC$138,0),1)</f>
        <v>39.198993400874187</v>
      </c>
      <c r="E10" s="107">
        <f ca="1">+INDEX('Charges_Including Slice and LS'!$Z$4:$Z$138,MATCH($A10,'Charges_Including Slice and LS'!$AC$4:$AC$138,0),1)/1000</f>
        <v>224.98762904944641</v>
      </c>
      <c r="F10" s="107">
        <f ca="1">+SUM(E$5:E10)</f>
        <v>1080.4568428847103</v>
      </c>
      <c r="H10" s="295" t="str">
        <f ca="1">+INDEX(Charges_NonSlice!$C$4:$C$138,MATCH($A10,Charges_NonSlice!$AC$4:$AC$138,0),1)</f>
        <v>Forest Grove, City of</v>
      </c>
      <c r="I10" s="100">
        <f ca="1">+INDEX(Charges_NonSlice!$AB$4:$AB$138,MATCH($A10,Charges_NonSlice!$AC$4:$AC$138,0),1)</f>
        <v>3.9962240885026458E-2</v>
      </c>
      <c r="J10" s="129">
        <f ca="1">+INDEX(Charges_NonSlice!$AA$4:$AA$138,MATCH($A10,Charges_NonSlice!$AC$4:$AC$138,0),1)</f>
        <v>39.198993400874187</v>
      </c>
      <c r="K10" s="297">
        <f ca="1">+INDEX(Charges_NonSlice!$Z$4:$Z$138,MATCH($A10,Charges_NonSlice!$AC$4:$AC$138,0),1)/1000</f>
        <v>224.98762904944641</v>
      </c>
      <c r="L10" s="107">
        <f ca="1">+SUM(K$5:K10)</f>
        <v>1080.4568428847103</v>
      </c>
      <c r="N10" s="295" t="str">
        <f ca="1">+INDEX('Charges_NonSlice &amp; Excl LS'!$C$4:$C$138,MATCH($A10,'Charges_NonSlice &amp; Excl LS'!$AC$4:$AC$138,0),1)</f>
        <v>McCleary, City of</v>
      </c>
      <c r="O10" s="100">
        <f ca="1">+INDEX('Charges_NonSlice &amp; Excl LS'!$AB$4:$AB$138,MATCH($A10,'Charges_NonSlice &amp; Excl LS'!$AC$4:$AC$138,0),1)</f>
        <v>2.9598583665469691E-2</v>
      </c>
      <c r="P10" s="129">
        <f ca="1">+INDEX('Charges_NonSlice &amp; Excl LS'!$AA$4:$AA$138,MATCH($A10,'Charges_NonSlice &amp; Excl LS'!$AC$4:$AC$138,0),1)</f>
        <v>38.668877066315837</v>
      </c>
      <c r="Q10" s="297">
        <f ca="1">+INDEX('Charges_NonSlice &amp; Excl LS'!$Z$4:$Z$138,MATCH($A10,'Charges_NonSlice &amp; Excl LS'!$AC$4:$AC$138,0),1)/1000</f>
        <v>32.480624177971201</v>
      </c>
      <c r="R10" s="107">
        <f ca="1">+SUM(Q$5:Q10)</f>
        <v>428.53568194990078</v>
      </c>
      <c r="T10" s="295" t="str">
        <f ca="1">+INDEX(Charges_NonSlice!$C$4:$C$138,MATCH($A10,Charges_NonSlice!$AC$4:$AC$138,0),1)</f>
        <v>Forest Grove, City of</v>
      </c>
      <c r="U10" s="100">
        <f t="shared" ca="1" si="0"/>
        <v>2.9974155181159645E-2</v>
      </c>
      <c r="V10" s="129">
        <f ca="1">+INDEX(Charges_NonSlice!$AA$4:$AA$138,MATCH($A10,Charges_NonSlice!$AC$4:$AC$138,0),1)</f>
        <v>39.198993400874187</v>
      </c>
      <c r="W10" s="120">
        <f t="shared" ca="1" si="1"/>
        <v>38.058230105763741</v>
      </c>
      <c r="Y10" s="103" t="s">
        <v>100</v>
      </c>
      <c r="Z10" s="104">
        <v>33.019393212989549</v>
      </c>
    </row>
    <row r="11" spans="1:26">
      <c r="A11">
        <f t="shared" si="2"/>
        <v>7</v>
      </c>
      <c r="B11" s="112" t="str">
        <f ca="1">+INDEX('Charges_Including Slice and LS'!$C$4:$C$138,MATCH($A11,'Charges_Including Slice and LS'!$AC$4:$AC$138,0),1)</f>
        <v>Nespelem Valley Elec Coop</v>
      </c>
      <c r="C11" s="100">
        <f ca="1">+INDEX('Charges_Including Slice and LS'!$AB$4:$AB$138,MATCH($A11,'Charges_Including Slice and LS'!$AC$4:$AC$138,0),1)</f>
        <v>3.7714275196472427E-2</v>
      </c>
      <c r="D11" s="86">
        <f ca="1">+INDEX('Charges_Including Slice and LS'!$AA$4:$AA$138,MATCH($A11,'Charges_Including Slice and LS'!$AC$4:$AC$138,0),1)</f>
        <v>33.170962435691997</v>
      </c>
      <c r="E11" s="107">
        <f ca="1">+INDEX('Charges_Including Slice and LS'!$Z$4:$Z$138,MATCH($A11,'Charges_Including Slice and LS'!$AC$4:$AC$138,0),1)/1000</f>
        <v>50.303519406182403</v>
      </c>
      <c r="F11" s="107">
        <f ca="1">+SUM(E$5:E11)</f>
        <v>1130.7603622908928</v>
      </c>
      <c r="H11" s="295" t="str">
        <f ca="1">+INDEX(Charges_NonSlice!$C$4:$C$138,MATCH($A11,Charges_NonSlice!$AC$4:$AC$138,0),1)</f>
        <v>Nespelem Valley Elec Coop</v>
      </c>
      <c r="I11" s="100">
        <f ca="1">+INDEX(Charges_NonSlice!$AB$4:$AB$138,MATCH($A11,Charges_NonSlice!$AC$4:$AC$138,0),1)</f>
        <v>3.7714275196477111E-2</v>
      </c>
      <c r="J11" s="129">
        <f ca="1">+INDEX(Charges_NonSlice!$AA$4:$AA$138,MATCH($A11,Charges_NonSlice!$AC$4:$AC$138,0),1)</f>
        <v>33.170962435691997</v>
      </c>
      <c r="K11" s="297">
        <f ca="1">+INDEX(Charges_NonSlice!$Z$4:$Z$138,MATCH($A11,Charges_NonSlice!$AC$4:$AC$138,0),1)/1000</f>
        <v>50.303519406182403</v>
      </c>
      <c r="L11" s="107">
        <f ca="1">+SUM(K$5:K11)</f>
        <v>1130.7603622908928</v>
      </c>
      <c r="N11" s="295" t="str">
        <f ca="1">+INDEX('Charges_NonSlice &amp; Excl LS'!$C$4:$C$138,MATCH($A11,'Charges_NonSlice &amp; Excl LS'!$AC$4:$AC$138,0),1)</f>
        <v>Lost River Elec Coop</v>
      </c>
      <c r="O11" s="100">
        <f ca="1">+INDEX('Charges_NonSlice &amp; Excl LS'!$AB$4:$AB$138,MATCH($A11,'Charges_NonSlice &amp; Excl LS'!$AC$4:$AC$138,0),1)</f>
        <v>2.9490193687056999E-2</v>
      </c>
      <c r="P11" s="129">
        <f ca="1">+INDEX('Charges_NonSlice &amp; Excl LS'!$AA$4:$AA$138,MATCH($A11,'Charges_NonSlice &amp; Excl LS'!$AC$4:$AC$138,0),1)</f>
        <v>30.297462848578665</v>
      </c>
      <c r="Q11" s="297">
        <f ca="1">+INDEX('Charges_NonSlice &amp; Excl LS'!$Z$4:$Z$138,MATCH($A11,'Charges_NonSlice &amp; Excl LS'!$AC$4:$AC$138,0),1)/1000</f>
        <v>83.225429124710402</v>
      </c>
      <c r="R11" s="107">
        <f ca="1">+SUM(Q$5:Q11)</f>
        <v>511.76111107461116</v>
      </c>
      <c r="T11" s="295" t="str">
        <f ca="1">+INDEX(Charges_NonSlice!$C$4:$C$138,MATCH($A11,Charges_NonSlice!$AC$4:$AC$138,0),1)</f>
        <v>Nespelem Valley Elec Coop</v>
      </c>
      <c r="U11" s="100">
        <f t="shared" ca="1" si="0"/>
        <v>7.2666712820081081E-2</v>
      </c>
      <c r="V11" s="129">
        <f ca="1">+INDEX(Charges_NonSlice!$AA$4:$AA$138,MATCH($A11,Charges_NonSlice!$AC$4:$AC$138,0),1)</f>
        <v>33.170962435691997</v>
      </c>
      <c r="W11" s="120">
        <f t="shared" ca="1" si="1"/>
        <v>30.923829405020218</v>
      </c>
      <c r="Y11" s="103" t="s">
        <v>82</v>
      </c>
      <c r="Z11" s="104">
        <v>30.767301401724328</v>
      </c>
    </row>
    <row r="12" spans="1:26">
      <c r="A12">
        <f t="shared" si="2"/>
        <v>8</v>
      </c>
      <c r="B12" s="112" t="str">
        <f ca="1">+INDEX('Charges_Including Slice and LS'!$C$4:$C$138,MATCH($A12,'Charges_Including Slice and LS'!$AC$4:$AC$138,0),1)</f>
        <v>U.S. Airforce Base, Fairchild</v>
      </c>
      <c r="C12" s="100">
        <f ca="1">+INDEX('Charges_Including Slice and LS'!$AB$4:$AB$138,MATCH($A12,'Charges_Including Slice and LS'!$AC$4:$AC$138,0),1)</f>
        <v>3.5074813504639618E-2</v>
      </c>
      <c r="D12" s="86">
        <f ca="1">+INDEX('Charges_Including Slice and LS'!$AA$4:$AA$138,MATCH($A12,'Charges_Including Slice and LS'!$AC$4:$AC$138,0),1)</f>
        <v>38.11365571009371</v>
      </c>
      <c r="E12" s="107">
        <f ca="1">+INDEX('Charges_Including Slice and LS'!$Z$4:$Z$138,MATCH($A12,'Charges_Including Slice and LS'!$AC$4:$AC$138,0),1)/1000</f>
        <v>47.673337016729597</v>
      </c>
      <c r="F12" s="107">
        <f ca="1">+SUM(E$5:E12)</f>
        <v>1178.4336993076224</v>
      </c>
      <c r="H12" s="295" t="str">
        <f ca="1">+INDEX(Charges_NonSlice!$C$4:$C$138,MATCH($A12,Charges_NonSlice!$AC$4:$AC$138,0),1)</f>
        <v>U.S. Airforce Base, Fairchild</v>
      </c>
      <c r="I12" s="100">
        <f ca="1">+INDEX(Charges_NonSlice!$AB$4:$AB$138,MATCH($A12,Charges_NonSlice!$AC$4:$AC$138,0),1)</f>
        <v>3.5074813504646113E-2</v>
      </c>
      <c r="J12" s="129">
        <f ca="1">+INDEX(Charges_NonSlice!$AA$4:$AA$138,MATCH($A12,Charges_NonSlice!$AC$4:$AC$138,0),1)</f>
        <v>38.11365571009371</v>
      </c>
      <c r="K12" s="297">
        <f ca="1">+INDEX(Charges_NonSlice!$Z$4:$Z$138,MATCH($A12,Charges_NonSlice!$AC$4:$AC$138,0),1)/1000</f>
        <v>47.673337016729597</v>
      </c>
      <c r="L12" s="107">
        <f ca="1">+SUM(K$5:K12)</f>
        <v>1178.4336993076224</v>
      </c>
      <c r="N12" s="295" t="str">
        <f ca="1">+INDEX('Charges_NonSlice &amp; Excl LS'!$C$4:$C$138,MATCH($A12,'Charges_NonSlice &amp; Excl LS'!$AC$4:$AC$138,0),1)</f>
        <v>Clallam County PUD #1</v>
      </c>
      <c r="O12" s="100">
        <f ca="1">+INDEX('Charges_NonSlice &amp; Excl LS'!$AB$4:$AB$138,MATCH($A12,'Charges_NonSlice &amp; Excl LS'!$AC$4:$AC$138,0),1)</f>
        <v>2.9198982606067847E-2</v>
      </c>
      <c r="P12" s="129">
        <f ca="1">+INDEX('Charges_NonSlice &amp; Excl LS'!$AA$4:$AA$138,MATCH($A12,'Charges_NonSlice &amp; Excl LS'!$AC$4:$AC$138,0),1)</f>
        <v>36.87386834350572</v>
      </c>
      <c r="Q12" s="297">
        <f ca="1">+INDEX('Charges_NonSlice &amp; Excl LS'!$Z$4:$Z$138,MATCH($A12,'Charges_NonSlice &amp; Excl LS'!$AC$4:$AC$138,0),1)/1000</f>
        <v>664.2917018191871</v>
      </c>
      <c r="R12" s="107">
        <f ca="1">+SUM(Q$5:Q12)</f>
        <v>1176.0528128937983</v>
      </c>
      <c r="T12" s="295" t="str">
        <f ca="1">+INDEX(Charges_NonSlice!$C$4:$C$138,MATCH($A12,Charges_NonSlice!$AC$4:$AC$138,0),1)</f>
        <v>U.S. Airforce Base, Fairchild</v>
      </c>
      <c r="U12" s="100">
        <f t="shared" ca="1" si="0"/>
        <v>4.1285014469130576E-2</v>
      </c>
      <c r="V12" s="129">
        <f ca="1">+INDEX(Charges_NonSlice!$AA$4:$AA$138,MATCH($A12,Charges_NonSlice!$AC$4:$AC$138,0),1)</f>
        <v>38.11365571009371</v>
      </c>
      <c r="W12" s="120">
        <f t="shared" ca="1" si="1"/>
        <v>36.602520136645651</v>
      </c>
      <c r="Y12" s="103" t="s">
        <v>126</v>
      </c>
      <c r="Z12" s="104">
        <v>34.968727809019228</v>
      </c>
    </row>
    <row r="13" spans="1:26">
      <c r="A13">
        <f t="shared" si="2"/>
        <v>9</v>
      </c>
      <c r="B13" s="112" t="str">
        <f ca="1">+INDEX('Charges_Including Slice and LS'!$C$4:$C$138,MATCH($A13,'Charges_Including Slice and LS'!$AC$4:$AC$138,0),1)</f>
        <v>Bonners Ferry, City of</v>
      </c>
      <c r="C13" s="100">
        <f ca="1">+INDEX('Charges_Including Slice and LS'!$AB$4:$AB$138,MATCH($A13,'Charges_Including Slice and LS'!$AC$4:$AC$138,0),1)</f>
        <v>3.2640688120084339E-2</v>
      </c>
      <c r="D13" s="86">
        <f ca="1">+INDEX('Charges_Including Slice and LS'!$AA$4:$AA$138,MATCH($A13,'Charges_Including Slice and LS'!$AC$4:$AC$138,0),1)</f>
        <v>39.630313755414576</v>
      </c>
      <c r="E13" s="107">
        <f ca="1">+INDEX('Charges_Including Slice and LS'!$Z$4:$Z$138,MATCH($A13,'Charges_Including Slice and LS'!$AC$4:$AC$138,0),1)/1000</f>
        <v>46.476143999999998</v>
      </c>
      <c r="F13" s="107">
        <f ca="1">+SUM(E$5:E13)</f>
        <v>1224.9098433076224</v>
      </c>
      <c r="H13" s="295" t="str">
        <f ca="1">+INDEX(Charges_NonSlice!$C$4:$C$138,MATCH($A13,Charges_NonSlice!$AC$4:$AC$138,0),1)</f>
        <v>Bonners Ferry, City of</v>
      </c>
      <c r="I13" s="100">
        <f ca="1">+INDEX(Charges_NonSlice!$AB$4:$AB$138,MATCH($A13,Charges_NonSlice!$AC$4:$AC$138,0),1)</f>
        <v>3.2640688120083888E-2</v>
      </c>
      <c r="J13" s="129">
        <f ca="1">+INDEX(Charges_NonSlice!$AA$4:$AA$138,MATCH($A13,Charges_NonSlice!$AC$4:$AC$138,0),1)</f>
        <v>39.630313755414576</v>
      </c>
      <c r="K13" s="297">
        <f ca="1">+INDEX(Charges_NonSlice!$Z$4:$Z$138,MATCH($A13,Charges_NonSlice!$AC$4:$AC$138,0),1)/1000</f>
        <v>46.476143999999998</v>
      </c>
      <c r="L13" s="107">
        <f ca="1">+SUM(K$5:K13)</f>
        <v>1224.9098433076224</v>
      </c>
      <c r="N13" s="295" t="str">
        <f ca="1">+INDEX('Charges_NonSlice &amp; Excl LS'!$C$4:$C$138,MATCH($A13,'Charges_NonSlice &amp; Excl LS'!$AC$4:$AC$138,0),1)</f>
        <v>Nespelem Valley Elec Coop</v>
      </c>
      <c r="O13" s="100">
        <f ca="1">+INDEX('Charges_NonSlice &amp; Excl LS'!$AB$4:$AB$138,MATCH($A13,'Charges_NonSlice &amp; Excl LS'!$AC$4:$AC$138,0),1)</f>
        <v>2.8250579699155731E-2</v>
      </c>
      <c r="P13" s="129">
        <f ca="1">+INDEX('Charges_NonSlice &amp; Excl LS'!$AA$4:$AA$138,MATCH($A13,'Charges_NonSlice &amp; Excl LS'!$AC$4:$AC$138,0),1)</f>
        <v>33.185028312533532</v>
      </c>
      <c r="Q13" s="297">
        <f ca="1">+INDEX('Charges_NonSlice &amp; Excl LS'!$Z$4:$Z$138,MATCH($A13,'Charges_NonSlice &amp; Excl LS'!$AC$4:$AC$138,0),1)/1000</f>
        <v>51.386519406182401</v>
      </c>
      <c r="R13" s="107">
        <f ca="1">+SUM(Q$5:Q13)</f>
        <v>1227.4393322999808</v>
      </c>
      <c r="T13" s="295" t="str">
        <f ca="1">+INDEX(Charges_NonSlice!$C$4:$C$138,MATCH($A13,Charges_NonSlice!$AC$4:$AC$138,0),1)</f>
        <v>Bonners Ferry, City of</v>
      </c>
      <c r="U13" s="100">
        <f t="shared" ca="1" si="0"/>
        <v>2.9298603890128838E-3</v>
      </c>
      <c r="V13" s="129">
        <f ca="1">+INDEX(Charges_NonSlice!$AA$4:$AA$138,MATCH($A13,Charges_NonSlice!$AC$4:$AC$138,0),1)</f>
        <v>39.630313755414576</v>
      </c>
      <c r="W13" s="120">
        <f t="shared" ca="1" si="1"/>
        <v>39.514541665000294</v>
      </c>
      <c r="Y13" s="103" t="s">
        <v>111</v>
      </c>
      <c r="Z13" s="104">
        <v>35.281466220330117</v>
      </c>
    </row>
    <row r="14" spans="1:26">
      <c r="A14">
        <f t="shared" si="2"/>
        <v>10</v>
      </c>
      <c r="B14" s="112" t="str">
        <f ca="1">+INDEX('Charges_Including Slice and LS'!$C$4:$C$138,MATCH($A14,'Charges_Including Slice and LS'!$AC$4:$AC$138,0),1)</f>
        <v>Drain, City of</v>
      </c>
      <c r="C14" s="100">
        <f ca="1">+INDEX('Charges_Including Slice and LS'!$AB$4:$AB$138,MATCH($A14,'Charges_Including Slice and LS'!$AC$4:$AC$138,0),1)</f>
        <v>3.233533947108698E-2</v>
      </c>
      <c r="D14" s="86">
        <f ca="1">+INDEX('Charges_Including Slice and LS'!$AA$4:$AA$138,MATCH($A14,'Charges_Including Slice and LS'!$AC$4:$AC$138,0),1)</f>
        <v>37.552116508671041</v>
      </c>
      <c r="E14" s="107">
        <f ca="1">+INDEX('Charges_Including Slice and LS'!$Z$4:$Z$138,MATCH($A14,'Charges_Including Slice and LS'!$AC$4:$AC$138,0),1)/1000</f>
        <v>16.511548384460799</v>
      </c>
      <c r="F14" s="107">
        <f ca="1">+SUM(E$5:E14)</f>
        <v>1241.4213916920833</v>
      </c>
      <c r="H14" s="295" t="str">
        <f ca="1">+INDEX(Charges_NonSlice!$C$4:$C$138,MATCH($A14,Charges_NonSlice!$AC$4:$AC$138,0),1)</f>
        <v>Drain, City of</v>
      </c>
      <c r="I14" s="100">
        <f ca="1">+INDEX(Charges_NonSlice!$AB$4:$AB$138,MATCH($A14,Charges_NonSlice!$AC$4:$AC$138,0),1)</f>
        <v>3.2335339471080311E-2</v>
      </c>
      <c r="J14" s="129">
        <f ca="1">+INDEX(Charges_NonSlice!$AA$4:$AA$138,MATCH($A14,Charges_NonSlice!$AC$4:$AC$138,0),1)</f>
        <v>37.552116508671041</v>
      </c>
      <c r="K14" s="297">
        <f ca="1">+INDEX(Charges_NonSlice!$Z$4:$Z$138,MATCH($A14,Charges_NonSlice!$AC$4:$AC$138,0),1)/1000</f>
        <v>16.511548384460799</v>
      </c>
      <c r="L14" s="107">
        <f ca="1">+SUM(K$5:K14)</f>
        <v>1241.4213916920833</v>
      </c>
      <c r="N14" s="295" t="str">
        <f ca="1">+INDEX('Charges_NonSlice &amp; Excl LS'!$C$4:$C$138,MATCH($A14,'Charges_NonSlice &amp; Excl LS'!$AC$4:$AC$138,0),1)</f>
        <v>U.S. DOE Richland Operations Office</v>
      </c>
      <c r="O14" s="100">
        <f ca="1">+INDEX('Charges_NonSlice &amp; Excl LS'!$AB$4:$AB$138,MATCH($A14,'Charges_NonSlice &amp; Excl LS'!$AC$4:$AC$138,0),1)</f>
        <v>2.8011419953814978E-2</v>
      </c>
      <c r="P14" s="129">
        <f ca="1">+INDEX('Charges_NonSlice &amp; Excl LS'!$AA$4:$AA$138,MATCH($A14,'Charges_NonSlice &amp; Excl LS'!$AC$4:$AC$138,0),1)</f>
        <v>35.293311393709097</v>
      </c>
      <c r="Q14" s="297">
        <f ca="1">+INDEX('Charges_NonSlice &amp; Excl LS'!$Z$4:$Z$138,MATCH($A14,'Charges_NonSlice &amp; Excl LS'!$AC$4:$AC$138,0),1)/1000</f>
        <v>268.6130342590464</v>
      </c>
      <c r="R14" s="107">
        <f ca="1">+SUM(Q$5:Q14)</f>
        <v>1496.0523665590272</v>
      </c>
      <c r="T14" s="295" t="str">
        <f ca="1">+INDEX(Charges_NonSlice!$C$4:$C$138,MATCH($A14,Charges_NonSlice!$AC$4:$AC$138,0),1)</f>
        <v>Drain, City of</v>
      </c>
      <c r="U14" s="100">
        <f t="shared" ca="1" si="0"/>
        <v>3.6034666996846321E-2</v>
      </c>
      <c r="V14" s="129">
        <f ca="1">+INDEX(Charges_NonSlice!$AA$4:$AA$138,MATCH($A14,Charges_NonSlice!$AC$4:$AC$138,0),1)</f>
        <v>37.552116508671041</v>
      </c>
      <c r="W14" s="120">
        <f t="shared" ca="1" si="1"/>
        <v>36.246003830666552</v>
      </c>
      <c r="Y14" s="103" t="s">
        <v>116</v>
      </c>
      <c r="Z14" s="104">
        <v>32.855945011961538</v>
      </c>
    </row>
    <row r="15" spans="1:26">
      <c r="A15">
        <f t="shared" si="2"/>
        <v>11</v>
      </c>
      <c r="B15" s="112" t="str">
        <f ca="1">+INDEX('Charges_Including Slice and LS'!$C$4:$C$138,MATCH($A15,'Charges_Including Slice and LS'!$AC$4:$AC$138,0),1)</f>
        <v>Cascade Locks, City of</v>
      </c>
      <c r="C15" s="100">
        <f ca="1">+INDEX('Charges_Including Slice and LS'!$AB$4:$AB$138,MATCH($A15,'Charges_Including Slice and LS'!$AC$4:$AC$138,0),1)</f>
        <v>3.2081630866683426E-2</v>
      </c>
      <c r="D15" s="86">
        <f ca="1">+INDEX('Charges_Including Slice and LS'!$AA$4:$AA$138,MATCH($A15,'Charges_Including Slice and LS'!$AC$4:$AC$138,0),1)</f>
        <v>36.90169885794505</v>
      </c>
      <c r="E15" s="107">
        <f ca="1">+INDEX('Charges_Including Slice and LS'!$Z$4:$Z$138,MATCH($A15,'Charges_Including Slice and LS'!$AC$4:$AC$138,0),1)/1000</f>
        <v>20.774160000000002</v>
      </c>
      <c r="F15" s="107">
        <f ca="1">+SUM(E$5:E15)</f>
        <v>1262.1955516920832</v>
      </c>
      <c r="H15" s="295" t="str">
        <f ca="1">+INDEX(Charges_NonSlice!$C$4:$C$138,MATCH($A15,Charges_NonSlice!$AC$4:$AC$138,0),1)</f>
        <v>Cascade Locks, City of</v>
      </c>
      <c r="I15" s="100">
        <f ca="1">+INDEX(Charges_NonSlice!$AB$4:$AB$138,MATCH($A15,Charges_NonSlice!$AC$4:$AC$138,0),1)</f>
        <v>3.2081630866684578E-2</v>
      </c>
      <c r="J15" s="129">
        <f ca="1">+INDEX(Charges_NonSlice!$AA$4:$AA$138,MATCH($A15,Charges_NonSlice!$AC$4:$AC$138,0),1)</f>
        <v>36.90169885794505</v>
      </c>
      <c r="K15" s="297">
        <f ca="1">+INDEX(Charges_NonSlice!$Z$4:$Z$138,MATCH($A15,Charges_NonSlice!$AC$4:$AC$138,0),1)/1000</f>
        <v>20.774160000000002</v>
      </c>
      <c r="L15" s="107">
        <f ca="1">+SUM(K$5:K15)</f>
        <v>1262.1955516920832</v>
      </c>
      <c r="N15" s="295" t="str">
        <f ca="1">+INDEX('Charges_NonSlice &amp; Excl LS'!$C$4:$C$138,MATCH($A15,'Charges_NonSlice &amp; Excl LS'!$AC$4:$AC$138,0),1)</f>
        <v>Mason County PUD #1</v>
      </c>
      <c r="O15" s="100">
        <f ca="1">+INDEX('Charges_NonSlice &amp; Excl LS'!$AB$4:$AB$138,MATCH($A15,'Charges_NonSlice &amp; Excl LS'!$AC$4:$AC$138,0),1)</f>
        <v>2.7973571130742662E-2</v>
      </c>
      <c r="P15" s="129">
        <f ca="1">+INDEX('Charges_NonSlice &amp; Excl LS'!$AA$4:$AA$138,MATCH($A15,'Charges_NonSlice &amp; Excl LS'!$AC$4:$AC$138,0),1)</f>
        <v>34.953391824458286</v>
      </c>
      <c r="Q15" s="297">
        <f ca="1">+INDEX('Charges_NonSlice &amp; Excl LS'!$Z$4:$Z$138,MATCH($A15,'Charges_NonSlice &amp; Excl LS'!$AC$4:$AC$138,0),1)/1000</f>
        <v>77.166163748044795</v>
      </c>
      <c r="R15" s="107">
        <f ca="1">+SUM(Q$5:Q15)</f>
        <v>1573.2185303070719</v>
      </c>
      <c r="T15" s="295" t="str">
        <f ca="1">+INDEX(Charges_NonSlice!$C$4:$C$138,MATCH($A15,Charges_NonSlice!$AC$4:$AC$138,0),1)</f>
        <v>Cascade Locks, City of</v>
      </c>
      <c r="U15" s="100">
        <f t="shared" ca="1" si="0"/>
        <v>3.8286426141906027E-2</v>
      </c>
      <c r="V15" s="129">
        <f ca="1">+INDEX(Charges_NonSlice!$AA$4:$AA$138,MATCH($A15,Charges_NonSlice!$AC$4:$AC$138,0),1)</f>
        <v>36.90169885794505</v>
      </c>
      <c r="W15" s="120">
        <f t="shared" ca="1" si="1"/>
        <v>35.54096242504626</v>
      </c>
      <c r="Y15" s="103" t="s">
        <v>46</v>
      </c>
      <c r="Z15" s="104">
        <v>32.478850938207536</v>
      </c>
    </row>
    <row r="16" spans="1:26">
      <c r="A16">
        <f t="shared" si="2"/>
        <v>12</v>
      </c>
      <c r="B16" s="112" t="str">
        <f ca="1">+INDEX('Charges_Including Slice and LS'!$C$4:$C$138,MATCH($A16,'Charges_Including Slice and LS'!$AC$4:$AC$138,0),1)</f>
        <v>Mason County PUD #1</v>
      </c>
      <c r="C16" s="100">
        <f ca="1">+INDEX('Charges_Including Slice and LS'!$AB$4:$AB$138,MATCH($A16,'Charges_Including Slice and LS'!$AC$4:$AC$138,0),1)</f>
        <v>3.0787719333783947E-2</v>
      </c>
      <c r="D16" s="86">
        <f ca="1">+INDEX('Charges_Including Slice and LS'!$AA$4:$AA$138,MATCH($A16,'Charges_Including Slice and LS'!$AC$4:$AC$138,0),1)</f>
        <v>35.791547673160707</v>
      </c>
      <c r="E16" s="107">
        <f ca="1">+INDEX('Charges_Including Slice and LS'!$Z$4:$Z$138,MATCH($A16,'Charges_Including Slice and LS'!$AC$4:$AC$138,0),1)/1000</f>
        <v>76.2891637480448</v>
      </c>
      <c r="F16" s="107">
        <f ca="1">+SUM(E$5:E16)</f>
        <v>1338.484715440128</v>
      </c>
      <c r="H16" s="295" t="str">
        <f ca="1">+INDEX(Charges_NonSlice!$C$4:$C$138,MATCH($A16,Charges_NonSlice!$AC$4:$AC$138,0),1)</f>
        <v>Mason County PUD #1</v>
      </c>
      <c r="I16" s="100">
        <f ca="1">+INDEX(Charges_NonSlice!$AB$4:$AB$138,MATCH($A16,Charges_NonSlice!$AC$4:$AC$138,0),1)</f>
        <v>3.0787719333790504E-2</v>
      </c>
      <c r="J16" s="129">
        <f ca="1">+INDEX(Charges_NonSlice!$AA$4:$AA$138,MATCH($A16,Charges_NonSlice!$AC$4:$AC$138,0),1)</f>
        <v>35.791547673160707</v>
      </c>
      <c r="K16" s="297">
        <f ca="1">+INDEX(Charges_NonSlice!$Z$4:$Z$138,MATCH($A16,Charges_NonSlice!$AC$4:$AC$138,0),1)/1000</f>
        <v>76.2891637480448</v>
      </c>
      <c r="L16" s="107">
        <f ca="1">+SUM(K$5:K16)</f>
        <v>1338.484715440128</v>
      </c>
      <c r="N16" s="295" t="str">
        <f ca="1">+INDEX('Charges_NonSlice &amp; Excl LS'!$C$4:$C$138,MATCH($A16,'Charges_NonSlice &amp; Excl LS'!$AC$4:$AC$138,0),1)</f>
        <v>Alder Mutual</v>
      </c>
      <c r="O16" s="100">
        <f ca="1">+INDEX('Charges_NonSlice &amp; Excl LS'!$AB$4:$AB$138,MATCH($A16,'Charges_NonSlice &amp; Excl LS'!$AC$4:$AC$138,0),1)</f>
        <v>2.7909684792978708E-2</v>
      </c>
      <c r="P16" s="129">
        <f ca="1">+INDEX('Charges_NonSlice &amp; Excl LS'!$AA$4:$AA$138,MATCH($A16,'Charges_NonSlice &amp; Excl LS'!$AC$4:$AC$138,0),1)</f>
        <v>35.834878239312253</v>
      </c>
      <c r="Q16" s="297">
        <f ca="1">+INDEX('Charges_NonSlice &amp; Excl LS'!$Z$4:$Z$138,MATCH($A16,'Charges_NonSlice &amp; Excl LS'!$AC$4:$AC$138,0),1)/1000</f>
        <v>4.7758364577791994</v>
      </c>
      <c r="R16" s="107">
        <f ca="1">+SUM(Q$5:Q16)</f>
        <v>1577.9943667648511</v>
      </c>
      <c r="T16" s="295" t="str">
        <f ca="1">+INDEX(Charges_NonSlice!$C$4:$C$138,MATCH($A16,Charges_NonSlice!$AC$4:$AC$138,0),1)</f>
        <v>Mason County PUD #1</v>
      </c>
      <c r="U16" s="100">
        <f t="shared" ca="1" si="0"/>
        <v>3.3365533628058719E-2</v>
      </c>
      <c r="V16" s="129">
        <f ca="1">+INDEX(Charges_NonSlice!$AA$4:$AA$138,MATCH($A16,Charges_NonSlice!$AC$4:$AC$138,0),1)</f>
        <v>35.791547673160707</v>
      </c>
      <c r="W16" s="120">
        <f t="shared" ca="1" si="1"/>
        <v>34.635902309901532</v>
      </c>
      <c r="Y16" s="103" t="s">
        <v>62</v>
      </c>
      <c r="Z16" s="104">
        <v>33.534629931375456</v>
      </c>
    </row>
    <row r="17" spans="1:26">
      <c r="A17">
        <f t="shared" si="2"/>
        <v>13</v>
      </c>
      <c r="B17" s="112" t="str">
        <f ca="1">+INDEX('Charges_Including Slice and LS'!$C$4:$C$138,MATCH($A17,'Charges_Including Slice and LS'!$AC$4:$AC$138,0),1)</f>
        <v>McCleary, City of</v>
      </c>
      <c r="C17" s="100">
        <f ca="1">+INDEX('Charges_Including Slice and LS'!$AB$4:$AB$138,MATCH($A17,'Charges_Including Slice and LS'!$AC$4:$AC$138,0),1)</f>
        <v>3.0708962421694307E-2</v>
      </c>
      <c r="D17" s="86">
        <f ca="1">+INDEX('Charges_Including Slice and LS'!$AA$4:$AA$138,MATCH($A17,'Charges_Including Slice and LS'!$AC$4:$AC$138,0),1)</f>
        <v>39.604670496687298</v>
      </c>
      <c r="E17" s="107">
        <f ca="1">+INDEX('Charges_Including Slice and LS'!$Z$4:$Z$138,MATCH($A17,'Charges_Including Slice and LS'!$AC$4:$AC$138,0),1)/1000</f>
        <v>32.483232000000001</v>
      </c>
      <c r="F17" s="107">
        <f ca="1">+SUM(E$5:E17)</f>
        <v>1370.967947440128</v>
      </c>
      <c r="H17" s="295" t="str">
        <f ca="1">+INDEX(Charges_NonSlice!$C$4:$C$138,MATCH($A17,Charges_NonSlice!$AC$4:$AC$138,0),1)</f>
        <v>McCleary, City of</v>
      </c>
      <c r="I17" s="100">
        <f ca="1">+INDEX(Charges_NonSlice!$AB$4:$AB$138,MATCH($A17,Charges_NonSlice!$AC$4:$AC$138,0),1)</f>
        <v>3.0708962421697381E-2</v>
      </c>
      <c r="J17" s="129">
        <f ca="1">+INDEX(Charges_NonSlice!$AA$4:$AA$138,MATCH($A17,Charges_NonSlice!$AC$4:$AC$138,0),1)</f>
        <v>39.604670496687298</v>
      </c>
      <c r="K17" s="297">
        <f ca="1">+INDEX(Charges_NonSlice!$Z$4:$Z$138,MATCH($A17,Charges_NonSlice!$AC$4:$AC$138,0),1)/1000</f>
        <v>32.483232000000001</v>
      </c>
      <c r="L17" s="107">
        <f ca="1">+SUM(K$5:K17)</f>
        <v>1370.967947440128</v>
      </c>
      <c r="N17" s="295" t="str">
        <f ca="1">+INDEX('Charges_NonSlice &amp; Excl LS'!$C$4:$C$138,MATCH($A17,'Charges_NonSlice &amp; Excl LS'!$AC$4:$AC$138,0),1)</f>
        <v>Salmon River Elec Coop</v>
      </c>
      <c r="O17" s="100">
        <f ca="1">+INDEX('Charges_NonSlice &amp; Excl LS'!$AB$4:$AB$138,MATCH($A17,'Charges_NonSlice &amp; Excl LS'!$AC$4:$AC$138,0),1)</f>
        <v>2.7785129419949827E-2</v>
      </c>
      <c r="P17" s="129">
        <f ca="1">+INDEX('Charges_NonSlice &amp; Excl LS'!$AA$4:$AA$138,MATCH($A17,'Charges_NonSlice &amp; Excl LS'!$AC$4:$AC$138,0),1)</f>
        <v>31.722437278847529</v>
      </c>
      <c r="Q17" s="297">
        <f ca="1">+INDEX('Charges_NonSlice &amp; Excl LS'!$Z$4:$Z$138,MATCH($A17,'Charges_NonSlice &amp; Excl LS'!$AC$4:$AC$138,0),1)/1000</f>
        <v>106.0741660796928</v>
      </c>
      <c r="R17" s="107">
        <f ca="1">+SUM(Q$5:Q17)</f>
        <v>1684.0685328445438</v>
      </c>
      <c r="T17" s="295" t="str">
        <f ca="1">+INDEX(Charges_NonSlice!$C$4:$C$138,MATCH($A17,Charges_NonSlice!$AC$4:$AC$138,0),1)</f>
        <v>McCleary, City of</v>
      </c>
      <c r="U17" s="100">
        <f t="shared" ca="1" si="0"/>
        <v>3.959265677024093E-2</v>
      </c>
      <c r="V17" s="129">
        <f ca="1">+INDEX(Charges_NonSlice!$AA$4:$AA$138,MATCH($A17,Charges_NonSlice!$AC$4:$AC$138,0),1)</f>
        <v>39.604670496687298</v>
      </c>
      <c r="W17" s="120">
        <f t="shared" ca="1" si="1"/>
        <v>38.096335366324425</v>
      </c>
      <c r="Y17" s="103" t="s">
        <v>66</v>
      </c>
      <c r="Z17" s="104">
        <v>33.537955431375671</v>
      </c>
    </row>
    <row r="18" spans="1:26">
      <c r="A18">
        <f t="shared" si="2"/>
        <v>14</v>
      </c>
      <c r="B18" s="112" t="str">
        <f ca="1">+INDEX('Charges_Including Slice and LS'!$C$4:$C$138,MATCH($A18,'Charges_Including Slice and LS'!$AC$4:$AC$138,0),1)</f>
        <v>Clallam County PUD #1</v>
      </c>
      <c r="C18" s="100">
        <f ca="1">+INDEX('Charges_Including Slice and LS'!$AB$4:$AB$138,MATCH($A18,'Charges_Including Slice and LS'!$AC$4:$AC$138,0),1)</f>
        <v>3.0518612103085499E-2</v>
      </c>
      <c r="D18" s="86">
        <f ca="1">+INDEX('Charges_Including Slice and LS'!$AA$4:$AA$138,MATCH($A18,'Charges_Including Slice and LS'!$AC$4:$AC$138,0),1)</f>
        <v>37.74661162349949</v>
      </c>
      <c r="E18" s="107">
        <f ca="1">+INDEX('Charges_Including Slice and LS'!$Z$4:$Z$138,MATCH($A18,'Charges_Including Slice and LS'!$AC$4:$AC$138,0),1)/1000</f>
        <v>664.29</v>
      </c>
      <c r="F18" s="107">
        <f ca="1">+SUM(E$5:E18)</f>
        <v>2035.257947440128</v>
      </c>
      <c r="H18" s="295" t="str">
        <f ca="1">+INDEX(Charges_NonSlice!$C$4:$C$138,MATCH($A18,Charges_NonSlice!$AC$4:$AC$138,0),1)</f>
        <v>Clallam County PUD #1</v>
      </c>
      <c r="I18" s="100">
        <f ca="1">+INDEX(Charges_NonSlice!$AB$4:$AB$138,MATCH($A18,Charges_NonSlice!$AC$4:$AC$138,0),1)</f>
        <v>3.0518612103087411E-2</v>
      </c>
      <c r="J18" s="129">
        <f ca="1">+INDEX(Charges_NonSlice!$AA$4:$AA$138,MATCH($A18,Charges_NonSlice!$AC$4:$AC$138,0),1)</f>
        <v>37.74661162349949</v>
      </c>
      <c r="K18" s="297">
        <f ca="1">+INDEX(Charges_NonSlice!$Z$4:$Z$138,MATCH($A18,Charges_NonSlice!$AC$4:$AC$138,0),1)/1000</f>
        <v>664.29</v>
      </c>
      <c r="L18" s="107">
        <f ca="1">+SUM(K$5:K18)</f>
        <v>2035.257947440128</v>
      </c>
      <c r="N18" s="295" t="str">
        <f ca="1">+INDEX('Charges_NonSlice &amp; Excl LS'!$C$4:$C$138,MATCH($A18,'Charges_NonSlice &amp; Excl LS'!$AC$4:$AC$138,0),1)</f>
        <v>Bonners Ferry, City of</v>
      </c>
      <c r="O18" s="100">
        <f ca="1">+INDEX('Charges_NonSlice &amp; Excl LS'!$AB$4:$AB$138,MATCH($A18,'Charges_NonSlice &amp; Excl LS'!$AC$4:$AC$138,0),1)</f>
        <v>2.7596221227031783E-2</v>
      </c>
      <c r="P18" s="129">
        <f ca="1">+INDEX('Charges_NonSlice &amp; Excl LS'!$AA$4:$AA$138,MATCH($A18,'Charges_NonSlice &amp; Excl LS'!$AC$4:$AC$138,0),1)</f>
        <v>36.964185573501965</v>
      </c>
      <c r="Q18" s="297">
        <f ca="1">+INDEX('Charges_NonSlice &amp; Excl LS'!$Z$4:$Z$138,MATCH($A18,'Charges_NonSlice &amp; Excl LS'!$AC$4:$AC$138,0),1)/1000</f>
        <v>46.474935658905594</v>
      </c>
      <c r="R18" s="107">
        <f ca="1">+SUM(Q$5:Q18)</f>
        <v>1730.5434685034495</v>
      </c>
      <c r="T18" s="295" t="str">
        <f ca="1">+INDEX(Charges_NonSlice!$C$4:$C$138,MATCH($A18,Charges_NonSlice!$AC$4:$AC$138,0),1)</f>
        <v>Clallam County PUD #1</v>
      </c>
      <c r="U18" s="100">
        <f t="shared" ca="1" si="0"/>
        <v>3.0294987889338376E-2</v>
      </c>
      <c r="V18" s="129">
        <f ca="1">+INDEX(Charges_NonSlice!$AA$4:$AA$138,MATCH($A18,Charges_NonSlice!$AC$4:$AC$138,0),1)</f>
        <v>37.74661162349949</v>
      </c>
      <c r="W18" s="120">
        <f t="shared" ca="1" si="1"/>
        <v>36.636703145404184</v>
      </c>
      <c r="Y18" s="103" t="s">
        <v>24</v>
      </c>
      <c r="Z18" s="104">
        <v>38.565737704234799</v>
      </c>
    </row>
    <row r="19" spans="1:26">
      <c r="A19">
        <f t="shared" si="2"/>
        <v>15</v>
      </c>
      <c r="B19" s="112" t="str">
        <f ca="1">+INDEX('Charges_Including Slice and LS'!$C$4:$C$138,MATCH($A19,'Charges_Including Slice and LS'!$AC$4:$AC$138,0),1)</f>
        <v>Heyburn, City of</v>
      </c>
      <c r="C19" s="100">
        <f ca="1">+INDEX('Charges_Including Slice and LS'!$AB$4:$AB$138,MATCH($A19,'Charges_Including Slice and LS'!$AC$4:$AC$138,0),1)</f>
        <v>3.0208410988636671E-2</v>
      </c>
      <c r="D19" s="86">
        <f ca="1">+INDEX('Charges_Including Slice and LS'!$AA$4:$AA$138,MATCH($A19,'Charges_Including Slice and LS'!$AC$4:$AC$138,0),1)</f>
        <v>37.085881495612476</v>
      </c>
      <c r="E19" s="107">
        <f ca="1">+INDEX('Charges_Including Slice and LS'!$Z$4:$Z$138,MATCH($A19,'Charges_Including Slice and LS'!$AC$4:$AC$138,0),1)/1000</f>
        <v>42.092928000000001</v>
      </c>
      <c r="F19" s="107">
        <f ca="1">+SUM(E$5:E19)</f>
        <v>2077.3508754401278</v>
      </c>
      <c r="H19" s="295" t="str">
        <f ca="1">+INDEX(Charges_NonSlice!$C$4:$C$138,MATCH($A19,Charges_NonSlice!$AC$4:$AC$138,0),1)</f>
        <v>Heyburn, City of</v>
      </c>
      <c r="I19" s="100">
        <f ca="1">+INDEX(Charges_NonSlice!$AB$4:$AB$138,MATCH($A19,Charges_NonSlice!$AC$4:$AC$138,0),1)</f>
        <v>3.0208410988634176E-2</v>
      </c>
      <c r="J19" s="129">
        <f ca="1">+INDEX(Charges_NonSlice!$AA$4:$AA$138,MATCH($A19,Charges_NonSlice!$AC$4:$AC$138,0),1)</f>
        <v>37.085881495612476</v>
      </c>
      <c r="K19" s="297">
        <f ca="1">+INDEX(Charges_NonSlice!$Z$4:$Z$138,MATCH($A19,Charges_NonSlice!$AC$4:$AC$138,0),1)/1000</f>
        <v>42.092928000000001</v>
      </c>
      <c r="L19" s="107">
        <f ca="1">+SUM(K$5:K19)</f>
        <v>2077.3508754401278</v>
      </c>
      <c r="N19" s="295" t="str">
        <f ca="1">+INDEX('Charges_NonSlice &amp; Excl LS'!$C$4:$C$138,MATCH($A19,'Charges_NonSlice &amp; Excl LS'!$AC$4:$AC$138,0),1)</f>
        <v>Salem Elec Coop</v>
      </c>
      <c r="O19" s="100">
        <f ca="1">+INDEX('Charges_NonSlice &amp; Excl LS'!$AB$4:$AB$138,MATCH($A19,'Charges_NonSlice &amp; Excl LS'!$AC$4:$AC$138,0),1)</f>
        <v>2.6175919863627828E-2</v>
      </c>
      <c r="P19" s="129">
        <f ca="1">+INDEX('Charges_NonSlice &amp; Excl LS'!$AA$4:$AA$138,MATCH($A19,'Charges_NonSlice &amp; Excl LS'!$AC$4:$AC$138,0),1)</f>
        <v>37.532792170558295</v>
      </c>
      <c r="Q19" s="297">
        <f ca="1">+INDEX('Charges_NonSlice &amp; Excl LS'!$Z$4:$Z$138,MATCH($A19,'Charges_NonSlice &amp; Excl LS'!$AC$4:$AC$138,0),1)/1000</f>
        <v>333.29044737331196</v>
      </c>
      <c r="R19" s="107">
        <f ca="1">+SUM(Q$5:Q19)</f>
        <v>2063.8339158767612</v>
      </c>
      <c r="T19" s="295" t="str">
        <f ca="1">+INDEX(Charges_NonSlice!$C$4:$C$138,MATCH($A19,Charges_NonSlice!$AC$4:$AC$138,0),1)</f>
        <v>Heyburn, City of</v>
      </c>
      <c r="U19" s="100">
        <f t="shared" ca="1" si="0"/>
        <v>3.9255709386001536E-2</v>
      </c>
      <c r="V19" s="129">
        <f ca="1">+INDEX(Charges_NonSlice!$AA$4:$AA$138,MATCH($A19,Charges_NonSlice!$AC$4:$AC$138,0),1)</f>
        <v>37.085881495612476</v>
      </c>
      <c r="W19" s="120">
        <f t="shared" ca="1" si="1"/>
        <v>35.685039938364191</v>
      </c>
      <c r="Y19" s="103" t="s">
        <v>48</v>
      </c>
      <c r="Z19" s="104">
        <v>33.695712069850892</v>
      </c>
    </row>
    <row r="20" spans="1:26">
      <c r="A20">
        <f t="shared" si="2"/>
        <v>16</v>
      </c>
      <c r="B20" s="112" t="str">
        <f ca="1">+INDEX('Charges_Including Slice and LS'!$C$4:$C$138,MATCH($A20,'Charges_Including Slice and LS'!$AC$4:$AC$138,0),1)</f>
        <v>Milton-Freewater, City of</v>
      </c>
      <c r="C20" s="100">
        <f ca="1">+INDEX('Charges_Including Slice and LS'!$AB$4:$AB$138,MATCH($A20,'Charges_Including Slice and LS'!$AC$4:$AC$138,0),1)</f>
        <v>2.9894245934106934E-2</v>
      </c>
      <c r="D20" s="86">
        <f ca="1">+INDEX('Charges_Including Slice and LS'!$AA$4:$AA$138,MATCH($A20,'Charges_Including Slice and LS'!$AC$4:$AC$138,0),1)</f>
        <v>40.198215339873947</v>
      </c>
      <c r="E20" s="107">
        <f ca="1">+INDEX('Charges_Including Slice and LS'!$Z$4:$Z$138,MATCH($A20,'Charges_Including Slice and LS'!$AC$4:$AC$138,0),1)/1000</f>
        <v>83.18675550054401</v>
      </c>
      <c r="F20" s="107">
        <f ca="1">+SUM(E$5:E20)</f>
        <v>2160.537630940672</v>
      </c>
      <c r="H20" s="295" t="str">
        <f ca="1">+INDEX(Charges_NonSlice!$C$4:$C$138,MATCH($A20,Charges_NonSlice!$AC$4:$AC$138,0),1)</f>
        <v>Cowlitz County PUD #1</v>
      </c>
      <c r="I20" s="100">
        <f ca="1">+INDEX(Charges_NonSlice!$AB$4:$AB$138,MATCH($A20,Charges_NonSlice!$AC$4:$AC$138,0),1)</f>
        <v>3.0206688657360876E-2</v>
      </c>
      <c r="J20" s="129">
        <f ca="1">+INDEX(Charges_NonSlice!$AA$4:$AA$138,MATCH($A20,Charges_NonSlice!$AC$4:$AC$138,0),1)</f>
        <v>35.434536879259319</v>
      </c>
      <c r="K20" s="297">
        <f ca="1">+INDEX(Charges_NonSlice!$Z$4:$Z$138,MATCH($A20,Charges_NonSlice!$AC$4:$AC$138,0),1)/1000</f>
        <v>1205.0872081734653</v>
      </c>
      <c r="L20" s="107">
        <f ca="1">+SUM(K$5:K20)</f>
        <v>3282.4380836135933</v>
      </c>
      <c r="N20" s="295" t="str">
        <f ca="1">+INDEX('Charges_NonSlice &amp; Excl LS'!$C$4:$C$138,MATCH($A20,'Charges_NonSlice &amp; Excl LS'!$AC$4:$AC$138,0),1)</f>
        <v>Ashland, City of</v>
      </c>
      <c r="O20" s="100">
        <f ca="1">+INDEX('Charges_NonSlice &amp; Excl LS'!$AB$4:$AB$138,MATCH($A20,'Charges_NonSlice &amp; Excl LS'!$AC$4:$AC$138,0),1)</f>
        <v>2.5483161665819421E-2</v>
      </c>
      <c r="P20" s="129">
        <f ca="1">+INDEX('Charges_NonSlice &amp; Excl LS'!$AA$4:$AA$138,MATCH($A20,'Charges_NonSlice &amp; Excl LS'!$AC$4:$AC$138,0),1)</f>
        <v>37.179799357431619</v>
      </c>
      <c r="Q20" s="297">
        <f ca="1">+INDEX('Charges_NonSlice &amp; Excl LS'!$Z$4:$Z$138,MATCH($A20,'Charges_NonSlice &amp; Excl LS'!$AC$4:$AC$138,0),1)/1000</f>
        <v>175.60145962782718</v>
      </c>
      <c r="R20" s="107">
        <f ca="1">+SUM(Q$5:Q20)</f>
        <v>2239.4353755045886</v>
      </c>
      <c r="T20" s="295" t="str">
        <f ca="1">+INDEX(Charges_NonSlice!$C$4:$C$138,MATCH($A20,Charges_NonSlice!$AC$4:$AC$138,0),1)</f>
        <v>Cowlitz County PUD #1</v>
      </c>
      <c r="U20" s="100">
        <f t="shared" ca="1" si="0"/>
        <v>6.6414736130322005E-2</v>
      </c>
      <c r="V20" s="129">
        <f ca="1">+INDEX(Charges_NonSlice!$AA$4:$AA$138,MATCH($A20,Charges_NonSlice!$AC$4:$AC$138,0),1)</f>
        <v>35.434536879259319</v>
      </c>
      <c r="W20" s="120">
        <f t="shared" ca="1" si="1"/>
        <v>33.227726210761041</v>
      </c>
      <c r="Y20" s="103" t="s">
        <v>45</v>
      </c>
      <c r="Z20" s="104">
        <v>33.190534337460974</v>
      </c>
    </row>
    <row r="21" spans="1:26">
      <c r="A21">
        <f t="shared" si="2"/>
        <v>17</v>
      </c>
      <c r="B21" s="112" t="str">
        <f ca="1">+INDEX('Charges_Including Slice and LS'!$C$4:$C$138,MATCH($A21,'Charges_Including Slice and LS'!$AC$4:$AC$138,0),1)</f>
        <v>Alder Mutual</v>
      </c>
      <c r="C21" s="100">
        <f ca="1">+INDEX('Charges_Including Slice and LS'!$AB$4:$AB$138,MATCH($A21,'Charges_Including Slice and LS'!$AC$4:$AC$138,0),1)</f>
        <v>2.9064975042657936E-2</v>
      </c>
      <c r="D21" s="86">
        <f ca="1">+INDEX('Charges_Including Slice and LS'!$AA$4:$AA$138,MATCH($A21,'Charges_Including Slice and LS'!$AC$4:$AC$138,0),1)</f>
        <v>36.629537272511214</v>
      </c>
      <c r="E21" s="107">
        <f ca="1">+INDEX('Charges_Including Slice and LS'!$Z$4:$Z$138,MATCH($A21,'Charges_Including Slice and LS'!$AC$4:$AC$138,0),1)/1000</f>
        <v>4.7872800000000009</v>
      </c>
      <c r="F21" s="107">
        <f ca="1">+SUM(E$5:E21)</f>
        <v>2165.324910940672</v>
      </c>
      <c r="H21" s="295" t="str">
        <f ca="1">+INDEX(Charges_NonSlice!$C$4:$C$138,MATCH($A21,Charges_NonSlice!$AC$4:$AC$138,0),1)</f>
        <v>Milton-Freewater, City of</v>
      </c>
      <c r="I21" s="100">
        <f ca="1">+INDEX(Charges_NonSlice!$AB$4:$AB$138,MATCH($A21,Charges_NonSlice!$AC$4:$AC$138,0),1)</f>
        <v>2.9894245934101484E-2</v>
      </c>
      <c r="J21" s="129">
        <f ca="1">+INDEX(Charges_NonSlice!$AA$4:$AA$138,MATCH($A21,Charges_NonSlice!$AC$4:$AC$138,0),1)</f>
        <v>40.198215339873947</v>
      </c>
      <c r="K21" s="297">
        <f ca="1">+INDEX(Charges_NonSlice!$Z$4:$Z$138,MATCH($A21,Charges_NonSlice!$AC$4:$AC$138,0),1)/1000</f>
        <v>83.18675550054401</v>
      </c>
      <c r="L21" s="107">
        <f ca="1">+SUM(K$5:K21)</f>
        <v>3365.6248391141376</v>
      </c>
      <c r="N21" s="295" t="str">
        <f ca="1">+INDEX('Charges_NonSlice &amp; Excl LS'!$C$4:$C$138,MATCH($A21,'Charges_NonSlice &amp; Excl LS'!$AC$4:$AC$138,0),1)</f>
        <v>Lakeview L &amp; P (WA)</v>
      </c>
      <c r="O21" s="100">
        <f ca="1">+INDEX('Charges_NonSlice &amp; Excl LS'!$AB$4:$AB$138,MATCH($A21,'Charges_NonSlice &amp; Excl LS'!$AC$4:$AC$138,0),1)</f>
        <v>2.5375274082032873E-2</v>
      </c>
      <c r="P21" s="129">
        <f ca="1">+INDEX('Charges_NonSlice &amp; Excl LS'!$AA$4:$AA$138,MATCH($A21,'Charges_NonSlice &amp; Excl LS'!$AC$4:$AC$138,0),1)</f>
        <v>37.099774264303619</v>
      </c>
      <c r="Q21" s="297">
        <f ca="1">+INDEX('Charges_NonSlice &amp; Excl LS'!$Z$4:$Z$138,MATCH($A21,'Charges_NonSlice &amp; Excl LS'!$AC$4:$AC$138,0),1)/1000</f>
        <v>276.09147584409601</v>
      </c>
      <c r="R21" s="107">
        <f ca="1">+SUM(Q$5:Q21)</f>
        <v>2515.5268513486844</v>
      </c>
      <c r="T21" s="295" t="str">
        <f ca="1">+INDEX(Charges_NonSlice!$C$4:$C$138,MATCH($A21,Charges_NonSlice!$AC$4:$AC$138,0),1)</f>
        <v>Milton-Freewater, City of</v>
      </c>
      <c r="U21" s="100">
        <f t="shared" ca="1" si="0"/>
        <v>6.544550438235075E-2</v>
      </c>
      <c r="V21" s="129">
        <f ca="1">+INDEX(Charges_NonSlice!$AA$4:$AA$138,MATCH($A21,Charges_NonSlice!$AC$4:$AC$138,0),1)</f>
        <v>40.198215339873947</v>
      </c>
      <c r="W21" s="120">
        <f t="shared" ca="1" si="1"/>
        <v>37.729020559505059</v>
      </c>
      <c r="Y21" s="103" t="s">
        <v>129</v>
      </c>
      <c r="Z21" s="104">
        <v>35.278911922551373</v>
      </c>
    </row>
    <row r="22" spans="1:26">
      <c r="A22">
        <f t="shared" si="2"/>
        <v>18</v>
      </c>
      <c r="B22" s="112" t="str">
        <f ca="1">+INDEX('Charges_Including Slice and LS'!$C$4:$C$138,MATCH($A22,'Charges_Including Slice and LS'!$AC$4:$AC$138,0),1)</f>
        <v>Salem Elec Coop</v>
      </c>
      <c r="C22" s="100">
        <f ca="1">+INDEX('Charges_Including Slice and LS'!$AB$4:$AB$138,MATCH($A22,'Charges_Including Slice and LS'!$AC$4:$AC$138,0),1)</f>
        <v>2.8180424817611405E-2</v>
      </c>
      <c r="D22" s="86">
        <f ca="1">+INDEX('Charges_Including Slice and LS'!$AA$4:$AA$138,MATCH($A22,'Charges_Including Slice and LS'!$AC$4:$AC$138,0),1)</f>
        <v>38.200436274606965</v>
      </c>
      <c r="E22" s="107">
        <f ca="1">+INDEX('Charges_Including Slice and LS'!$Z$4:$Z$138,MATCH($A22,'Charges_Including Slice and LS'!$AC$4:$AC$138,0),1)/1000</f>
        <v>332.52544737331198</v>
      </c>
      <c r="F22" s="107">
        <f ca="1">+SUM(E$5:E22)</f>
        <v>2497.8503583139841</v>
      </c>
      <c r="H22" s="295" t="str">
        <f ca="1">+INDEX(Charges_NonSlice!$C$4:$C$138,MATCH($A22,Charges_NonSlice!$AC$4:$AC$138,0),1)</f>
        <v>Alder Mutual</v>
      </c>
      <c r="I22" s="100">
        <f ca="1">+INDEX(Charges_NonSlice!$AB$4:$AB$138,MATCH($A22,Charges_NonSlice!$AC$4:$AC$138,0),1)</f>
        <v>2.9064975042651198E-2</v>
      </c>
      <c r="J22" s="129">
        <f ca="1">+INDEX(Charges_NonSlice!$AA$4:$AA$138,MATCH($A22,Charges_NonSlice!$AC$4:$AC$138,0),1)</f>
        <v>36.629537272511214</v>
      </c>
      <c r="K22" s="297">
        <f ca="1">+INDEX(Charges_NonSlice!$Z$4:$Z$138,MATCH($A22,Charges_NonSlice!$AC$4:$AC$138,0),1)/1000</f>
        <v>4.7872800000000009</v>
      </c>
      <c r="L22" s="107">
        <f ca="1">+SUM(K$5:K22)</f>
        <v>3370.4121191141376</v>
      </c>
      <c r="N22" s="295" t="str">
        <f ca="1">+INDEX('Charges_NonSlice &amp; Excl LS'!$C$4:$C$138,MATCH($A22,'Charges_NonSlice &amp; Excl LS'!$AC$4:$AC$138,0),1)</f>
        <v>Cowlitz County PUD #1</v>
      </c>
      <c r="O22" s="100">
        <f ca="1">+INDEX('Charges_NonSlice &amp; Excl LS'!$AB$4:$AB$138,MATCH($A22,'Charges_NonSlice &amp; Excl LS'!$AC$4:$AC$138,0),1)</f>
        <v>2.5210778212289099E-2</v>
      </c>
      <c r="P22" s="129">
        <f ca="1">+INDEX('Charges_NonSlice &amp; Excl LS'!$AA$4:$AA$138,MATCH($A22,'Charges_NonSlice &amp; Excl LS'!$AC$4:$AC$138,0),1)</f>
        <v>35.293311393709104</v>
      </c>
      <c r="Q22" s="297">
        <f ca="1">+INDEX('Charges_NonSlice &amp; Excl LS'!$Z$4:$Z$138,MATCH($A22,'Charges_NonSlice &amp; Excl LS'!$AC$4:$AC$138,0),1)/1000</f>
        <v>1215.4442081734655</v>
      </c>
      <c r="R22" s="107">
        <f ca="1">+SUM(Q$5:Q22)</f>
        <v>3730.97105952215</v>
      </c>
      <c r="T22" s="295" t="str">
        <f ca="1">+INDEX(Charges_NonSlice!$C$4:$C$138,MATCH($A22,Charges_NonSlice!$AC$4:$AC$138,0),1)</f>
        <v>Alder Mutual</v>
      </c>
      <c r="U22" s="100">
        <f t="shared" ca="1" si="0"/>
        <v>2.3534318632400852E-2</v>
      </c>
      <c r="V22" s="129">
        <f ca="1">+INDEX(Charges_NonSlice!$AA$4:$AA$138,MATCH($A22,Charges_NonSlice!$AC$4:$AC$138,0),1)</f>
        <v>36.629537272511214</v>
      </c>
      <c r="W22" s="120">
        <f t="shared" ca="1" si="1"/>
        <v>35.787307377689011</v>
      </c>
      <c r="Y22" s="103" t="s">
        <v>20</v>
      </c>
      <c r="Z22" s="104">
        <v>39.514541665000294</v>
      </c>
    </row>
    <row r="23" spans="1:26">
      <c r="A23">
        <f t="shared" si="2"/>
        <v>19</v>
      </c>
      <c r="B23" s="112" t="str">
        <f ca="1">+INDEX('Charges_Including Slice and LS'!$C$4:$C$138,MATCH($A23,'Charges_Including Slice and LS'!$AC$4:$AC$138,0),1)</f>
        <v>Lakeview L &amp; P (WA)</v>
      </c>
      <c r="C23" s="100">
        <f ca="1">+INDEX('Charges_Including Slice and LS'!$AB$4:$AB$138,MATCH($A23,'Charges_Including Slice and LS'!$AC$4:$AC$138,0),1)</f>
        <v>2.7412146213747657E-2</v>
      </c>
      <c r="D23" s="86">
        <f ca="1">+INDEX('Charges_Including Slice and LS'!$AA$4:$AA$138,MATCH($A23,'Charges_Including Slice and LS'!$AC$4:$AC$138,0),1)</f>
        <v>37.771484696529235</v>
      </c>
      <c r="E23" s="107">
        <f ca="1">+INDEX('Charges_Including Slice and LS'!$Z$4:$Z$138,MATCH($A23,'Charges_Including Slice and LS'!$AC$4:$AC$138,0),1)/1000</f>
        <v>272.589475844096</v>
      </c>
      <c r="F23" s="107">
        <f ca="1">+SUM(E$5:E23)</f>
        <v>2770.43983415808</v>
      </c>
      <c r="H23" s="295" t="str">
        <f ca="1">+INDEX(Charges_NonSlice!$C$4:$C$138,MATCH($A23,Charges_NonSlice!$AC$4:$AC$138,0),1)</f>
        <v>Salem Elec Coop</v>
      </c>
      <c r="I23" s="100">
        <f ca="1">+INDEX(Charges_NonSlice!$AB$4:$AB$138,MATCH($A23,Charges_NonSlice!$AC$4:$AC$138,0),1)</f>
        <v>2.8180424817611748E-2</v>
      </c>
      <c r="J23" s="129">
        <f ca="1">+INDEX(Charges_NonSlice!$AA$4:$AA$138,MATCH($A23,Charges_NonSlice!$AC$4:$AC$138,0),1)</f>
        <v>38.200436274606965</v>
      </c>
      <c r="K23" s="297">
        <f ca="1">+INDEX(Charges_NonSlice!$Z$4:$Z$138,MATCH($A23,Charges_NonSlice!$AC$4:$AC$138,0),1)/1000</f>
        <v>332.52544737331198</v>
      </c>
      <c r="L23" s="107">
        <f ca="1">+SUM(K$5:K23)</f>
        <v>3702.9375664874497</v>
      </c>
      <c r="N23" s="295" t="str">
        <f ca="1">+INDEX('Charges_NonSlice &amp; Excl LS'!$C$4:$C$138,MATCH($A23,'Charges_NonSlice &amp; Excl LS'!$AC$4:$AC$138,0),1)</f>
        <v>Midstate Elec Coop</v>
      </c>
      <c r="O23" s="100">
        <f ca="1">+INDEX('Charges_NonSlice &amp; Excl LS'!$AB$4:$AB$138,MATCH($A23,'Charges_NonSlice &amp; Excl LS'!$AC$4:$AC$138,0),1)</f>
        <v>2.4771186297155266E-2</v>
      </c>
      <c r="P23" s="129">
        <f ca="1">+INDEX('Charges_NonSlice &amp; Excl LS'!$AA$4:$AA$138,MATCH($A23,'Charges_NonSlice &amp; Excl LS'!$AC$4:$AC$138,0),1)</f>
        <v>34.338010148326433</v>
      </c>
      <c r="Q23" s="297">
        <f ca="1">+INDEX('Charges_NonSlice &amp; Excl LS'!$Z$4:$Z$138,MATCH($A23,'Charges_NonSlice &amp; Excl LS'!$AC$4:$AC$138,0),1)/1000</f>
        <v>406.9518629197824</v>
      </c>
      <c r="R23" s="107">
        <f ca="1">+SUM(Q$5:Q23)</f>
        <v>4137.9229224419323</v>
      </c>
      <c r="T23" s="295" t="str">
        <f ca="1">+INDEX(Charges_NonSlice!$C$4:$C$138,MATCH($A23,Charges_NonSlice!$AC$4:$AC$138,0),1)</f>
        <v>Salem Elec Coop</v>
      </c>
      <c r="U23" s="100">
        <f t="shared" ca="1" si="0"/>
        <v>3.2939017759177736E-2</v>
      </c>
      <c r="V23" s="129">
        <f ca="1">+INDEX(Charges_NonSlice!$AA$4:$AA$138,MATCH($A23,Charges_NonSlice!$AC$4:$AC$138,0),1)</f>
        <v>38.200436274606965</v>
      </c>
      <c r="W23" s="120">
        <f t="shared" ca="1" si="1"/>
        <v>36.982276414998509</v>
      </c>
      <c r="Y23" s="103" t="s">
        <v>71</v>
      </c>
      <c r="Z23" s="104">
        <v>33.580351655229315</v>
      </c>
    </row>
    <row r="24" spans="1:26">
      <c r="A24">
        <f t="shared" si="2"/>
        <v>20</v>
      </c>
      <c r="B24" s="112" t="str">
        <f ca="1">+INDEX('Charges_Including Slice and LS'!$C$4:$C$138,MATCH($A24,'Charges_Including Slice and LS'!$AC$4:$AC$138,0),1)</f>
        <v>Ashland, City of</v>
      </c>
      <c r="C24" s="100">
        <f ca="1">+INDEX('Charges_Including Slice and LS'!$AB$4:$AB$138,MATCH($A24,'Charges_Including Slice and LS'!$AC$4:$AC$138,0),1)</f>
        <v>2.7358914502505688E-2</v>
      </c>
      <c r="D24" s="86">
        <f ca="1">+INDEX('Charges_Including Slice and LS'!$AA$4:$AA$138,MATCH($A24,'Charges_Including Slice and LS'!$AC$4:$AC$138,0),1)</f>
        <v>37.899574243776428</v>
      </c>
      <c r="E24" s="107">
        <f ca="1">+INDEX('Charges_Including Slice and LS'!$Z$4:$Z$138,MATCH($A24,'Charges_Including Slice and LS'!$AC$4:$AC$138,0),1)/1000</f>
        <v>175.47845962782719</v>
      </c>
      <c r="F24" s="107">
        <f ca="1">+SUM(E$5:E24)</f>
        <v>2945.9182937859073</v>
      </c>
      <c r="H24" s="295" t="str">
        <f ca="1">+INDEX(Charges_NonSlice!$C$4:$C$138,MATCH($A24,Charges_NonSlice!$AC$4:$AC$138,0),1)</f>
        <v>Lakeview L &amp; P (WA)</v>
      </c>
      <c r="I24" s="100">
        <f ca="1">+INDEX(Charges_NonSlice!$AB$4:$AB$138,MATCH($A24,Charges_NonSlice!$AC$4:$AC$138,0),1)</f>
        <v>2.7412146213754426E-2</v>
      </c>
      <c r="J24" s="129">
        <f ca="1">+INDEX(Charges_NonSlice!$AA$4:$AA$138,MATCH($A24,Charges_NonSlice!$AC$4:$AC$138,0),1)</f>
        <v>37.771484696529235</v>
      </c>
      <c r="K24" s="297">
        <f ca="1">+INDEX(Charges_NonSlice!$Z$4:$Z$138,MATCH($A24,Charges_NonSlice!$AC$4:$AC$138,0),1)/1000</f>
        <v>272.589475844096</v>
      </c>
      <c r="L24" s="107">
        <f ca="1">+SUM(K$5:K24)</f>
        <v>3975.5270423315455</v>
      </c>
      <c r="N24" s="295" t="str">
        <f ca="1">+INDEX('Charges_NonSlice &amp; Excl LS'!$C$4:$C$138,MATCH($A24,'Charges_NonSlice &amp; Excl LS'!$AC$4:$AC$138,0),1)</f>
        <v>Hermiston, City of</v>
      </c>
      <c r="O24" s="100">
        <f ca="1">+INDEX('Charges_NonSlice &amp; Excl LS'!$AB$4:$AB$138,MATCH($A24,'Charges_NonSlice &amp; Excl LS'!$AC$4:$AC$138,0),1)</f>
        <v>2.4640920223567404E-2</v>
      </c>
      <c r="P24" s="129">
        <f ca="1">+INDEX('Charges_NonSlice &amp; Excl LS'!$AA$4:$AA$138,MATCH($A24,'Charges_NonSlice &amp; Excl LS'!$AC$4:$AC$138,0),1)</f>
        <v>37.366357097501435</v>
      </c>
      <c r="Q24" s="297">
        <f ca="1">+INDEX('Charges_NonSlice &amp; Excl LS'!$Z$4:$Z$138,MATCH($A24,'Charges_NonSlice &amp; Excl LS'!$AC$4:$AC$138,0),1)/1000</f>
        <v>108.0239907833856</v>
      </c>
      <c r="R24" s="107">
        <f ca="1">+SUM(Q$5:Q24)</f>
        <v>4245.946913225318</v>
      </c>
      <c r="T24" s="295" t="str">
        <f ca="1">+INDEX(Charges_NonSlice!$C$4:$C$138,MATCH($A24,Charges_NonSlice!$AC$4:$AC$138,0),1)</f>
        <v>Lakeview L &amp; P (WA)</v>
      </c>
      <c r="U24" s="100">
        <f t="shared" ca="1" si="0"/>
        <v>2.7019502184043587E-2</v>
      </c>
      <c r="V24" s="129">
        <f ca="1">+INDEX(Charges_NonSlice!$AA$4:$AA$138,MATCH($A24,Charges_NonSlice!$AC$4:$AC$138,0),1)</f>
        <v>37.771484696529235</v>
      </c>
      <c r="W24" s="120">
        <f t="shared" ca="1" si="1"/>
        <v>36.777767721260389</v>
      </c>
      <c r="Y24" s="103" t="s">
        <v>119</v>
      </c>
      <c r="Z24" s="104">
        <v>37.106775795366723</v>
      </c>
    </row>
    <row r="25" spans="1:26">
      <c r="A25">
        <f t="shared" si="2"/>
        <v>21</v>
      </c>
      <c r="B25" s="112" t="str">
        <f ca="1">+INDEX('Charges_Including Slice and LS'!$C$4:$C$138,MATCH($A25,'Charges_Including Slice and LS'!$AC$4:$AC$138,0),1)</f>
        <v>Ferry County PUD #1</v>
      </c>
      <c r="C25" s="100">
        <f ca="1">+INDEX('Charges_Including Slice and LS'!$AB$4:$AB$138,MATCH($A25,'Charges_Including Slice and LS'!$AC$4:$AC$138,0),1)</f>
        <v>2.6898812228672509E-2</v>
      </c>
      <c r="D25" s="86">
        <f ca="1">+INDEX('Charges_Including Slice and LS'!$AA$4:$AA$138,MATCH($A25,'Charges_Including Slice and LS'!$AC$4:$AC$138,0),1)</f>
        <v>34.247096745502887</v>
      </c>
      <c r="E25" s="107">
        <f ca="1">+INDEX('Charges_Including Slice and LS'!$Z$4:$Z$138,MATCH($A25,'Charges_Including Slice and LS'!$AC$4:$AC$138,0),1)/1000</f>
        <v>77.647637251071998</v>
      </c>
      <c r="F25" s="107">
        <f ca="1">+SUM(E$5:E25)</f>
        <v>3023.5659310369792</v>
      </c>
      <c r="H25" s="295" t="str">
        <f ca="1">+INDEX(Charges_NonSlice!$C$4:$C$138,MATCH($A25,Charges_NonSlice!$AC$4:$AC$138,0),1)</f>
        <v>Ashland, City of</v>
      </c>
      <c r="I25" s="100">
        <f ca="1">+INDEX(Charges_NonSlice!$AB$4:$AB$138,MATCH($A25,Charges_NonSlice!$AC$4:$AC$138,0),1)</f>
        <v>2.7358914502510566E-2</v>
      </c>
      <c r="J25" s="129">
        <f ca="1">+INDEX(Charges_NonSlice!$AA$4:$AA$138,MATCH($A25,Charges_NonSlice!$AC$4:$AC$138,0),1)</f>
        <v>37.899574243776428</v>
      </c>
      <c r="K25" s="297">
        <f ca="1">+INDEX(Charges_NonSlice!$Z$4:$Z$138,MATCH($A25,Charges_NonSlice!$AC$4:$AC$138,0),1)/1000</f>
        <v>175.47845962782719</v>
      </c>
      <c r="L25" s="107">
        <f ca="1">+SUM(K$5:K25)</f>
        <v>4151.0055019593729</v>
      </c>
      <c r="N25" s="295" t="str">
        <f ca="1">+INDEX('Charges_NonSlice &amp; Excl LS'!$C$4:$C$138,MATCH($A25,'Charges_NonSlice &amp; Excl LS'!$AC$4:$AC$138,0),1)</f>
        <v>Consolidated Irrigation District #19</v>
      </c>
      <c r="O25" s="100">
        <f ca="1">+INDEX('Charges_NonSlice &amp; Excl LS'!$AB$4:$AB$138,MATCH($A25,'Charges_NonSlice &amp; Excl LS'!$AC$4:$AC$138,0),1)</f>
        <v>2.4186132943188603E-2</v>
      </c>
      <c r="P25" s="129">
        <f ca="1">+INDEX('Charges_NonSlice &amp; Excl LS'!$AA$4:$AA$138,MATCH($A25,'Charges_NonSlice &amp; Excl LS'!$AC$4:$AC$138,0),1)</f>
        <v>38.173457374558339</v>
      </c>
      <c r="Q25" s="297">
        <f ca="1">+INDEX('Charges_NonSlice &amp; Excl LS'!$Z$4:$Z$138,MATCH($A25,'Charges_NonSlice &amp; Excl LS'!$AC$4:$AC$138,0),1)/1000</f>
        <v>1.9868466917375998</v>
      </c>
      <c r="R25" s="107">
        <f ca="1">+SUM(Q$5:Q25)</f>
        <v>4247.9337599170558</v>
      </c>
      <c r="T25" s="295" t="str">
        <f ca="1">+INDEX(Charges_NonSlice!$C$4:$C$138,MATCH($A25,Charges_NonSlice!$AC$4:$AC$138,0),1)</f>
        <v>Ashland, City of</v>
      </c>
      <c r="U25" s="100">
        <f t="shared" ca="1" si="0"/>
        <v>2.2456041679838501E-2</v>
      </c>
      <c r="V25" s="129">
        <f ca="1">+INDEX(Charges_NonSlice!$AA$4:$AA$138,MATCH($A25,Charges_NonSlice!$AC$4:$AC$138,0),1)</f>
        <v>37.899574243776428</v>
      </c>
      <c r="W25" s="120">
        <f t="shared" ca="1" si="1"/>
        <v>37.067191838887794</v>
      </c>
      <c r="Y25" s="103" t="s">
        <v>112</v>
      </c>
      <c r="Z25" s="104">
        <v>33.796831337820379</v>
      </c>
    </row>
    <row r="26" spans="1:26">
      <c r="A26">
        <f t="shared" si="2"/>
        <v>22</v>
      </c>
      <c r="B26" s="112" t="str">
        <f ca="1">+INDEX('Charges_Including Slice and LS'!$C$4:$C$138,MATCH($A26,'Charges_Including Slice and LS'!$AC$4:$AC$138,0),1)</f>
        <v>Milton, Town of</v>
      </c>
      <c r="C26" s="100">
        <f ca="1">+INDEX('Charges_Including Slice and LS'!$AB$4:$AB$138,MATCH($A26,'Charges_Including Slice and LS'!$AC$4:$AC$138,0),1)</f>
        <v>2.6089119795720532E-2</v>
      </c>
      <c r="D26" s="86">
        <f ca="1">+INDEX('Charges_Including Slice and LS'!$AA$4:$AA$138,MATCH($A26,'Charges_Including Slice and LS'!$AC$4:$AC$138,0),1)</f>
        <v>37.715772641054414</v>
      </c>
      <c r="E26" s="107">
        <f ca="1">+INDEX('Charges_Including Slice and LS'!$Z$4:$Z$138,MATCH($A26,'Charges_Including Slice and LS'!$AC$4:$AC$138,0),1)/1000</f>
        <v>60.215439459225593</v>
      </c>
      <c r="F26" s="107">
        <f ca="1">+SUM(E$5:E26)</f>
        <v>3083.781370496205</v>
      </c>
      <c r="H26" s="295" t="str">
        <f ca="1">+INDEX(Charges_NonSlice!$C$4:$C$138,MATCH($A26,Charges_NonSlice!$AC$4:$AC$138,0),1)</f>
        <v>Ferry County PUD #1</v>
      </c>
      <c r="I26" s="100">
        <f ca="1">+INDEX(Charges_NonSlice!$AB$4:$AB$138,MATCH($A26,Charges_NonSlice!$AC$4:$AC$138,0),1)</f>
        <v>2.6898812228666889E-2</v>
      </c>
      <c r="J26" s="129">
        <f ca="1">+INDEX(Charges_NonSlice!$AA$4:$AA$138,MATCH($A26,Charges_NonSlice!$AC$4:$AC$138,0),1)</f>
        <v>34.247096745502887</v>
      </c>
      <c r="K26" s="297">
        <f ca="1">+INDEX(Charges_NonSlice!$Z$4:$Z$138,MATCH($A26,Charges_NonSlice!$AC$4:$AC$138,0),1)/1000</f>
        <v>77.647637251071998</v>
      </c>
      <c r="L26" s="107">
        <f ca="1">+SUM(K$5:K26)</f>
        <v>4228.6531392104453</v>
      </c>
      <c r="N26" s="295" t="str">
        <f ca="1">+INDEX('Charges_NonSlice &amp; Excl LS'!$C$4:$C$138,MATCH($A26,'Charges_NonSlice &amp; Excl LS'!$AC$4:$AC$138,0),1)</f>
        <v>Milton, Town of</v>
      </c>
      <c r="O26" s="100">
        <f ca="1">+INDEX('Charges_NonSlice &amp; Excl LS'!$AB$4:$AB$138,MATCH($A26,'Charges_NonSlice &amp; Excl LS'!$AC$4:$AC$138,0),1)</f>
        <v>2.4179085797522475E-2</v>
      </c>
      <c r="P26" s="129">
        <f ca="1">+INDEX('Charges_NonSlice &amp; Excl LS'!$AA$4:$AA$138,MATCH($A26,'Charges_NonSlice &amp; Excl LS'!$AC$4:$AC$138,0),1)</f>
        <v>37.000413948541755</v>
      </c>
      <c r="Q26" s="297">
        <f ca="1">+INDEX('Charges_NonSlice &amp; Excl LS'!$Z$4:$Z$138,MATCH($A26,'Charges_NonSlice &amp; Excl LS'!$AC$4:$AC$138,0),1)/1000</f>
        <v>60.51243945922559</v>
      </c>
      <c r="R26" s="107">
        <f ca="1">+SUM(Q$5:Q26)</f>
        <v>4308.4461993762816</v>
      </c>
      <c r="T26" s="295" t="str">
        <f ca="1">+INDEX(Charges_NonSlice!$C$4:$C$138,MATCH($A26,Charges_NonSlice!$AC$4:$AC$138,0),1)</f>
        <v>Ferry County PUD #1</v>
      </c>
      <c r="U26" s="100">
        <f t="shared" ca="1" si="0"/>
        <v>2.1144440828488653E-2</v>
      </c>
      <c r="V26" s="129">
        <f ca="1">+INDEX(Charges_NonSlice!$AA$4:$AA$138,MATCH($A26,Charges_NonSlice!$AC$4:$AC$138,0),1)</f>
        <v>34.247096745502887</v>
      </c>
      <c r="W26" s="120">
        <f t="shared" ca="1" si="1"/>
        <v>33.537955431375671</v>
      </c>
      <c r="Y26" s="103" t="s">
        <v>123</v>
      </c>
      <c r="Z26" s="104">
        <v>38.146532449217666</v>
      </c>
    </row>
    <row r="27" spans="1:26">
      <c r="A27">
        <f t="shared" si="2"/>
        <v>23</v>
      </c>
      <c r="B27" s="112" t="str">
        <f ca="1">+INDEX('Charges_Including Slice and LS'!$C$4:$C$138,MATCH($A27,'Charges_Including Slice and LS'!$AC$4:$AC$138,0),1)</f>
        <v>Klickitat County PUD #1</v>
      </c>
      <c r="C27" s="100">
        <f ca="1">+INDEX('Charges_Including Slice and LS'!$AB$4:$AB$138,MATCH($A27,'Charges_Including Slice and LS'!$AC$4:$AC$138,0),1)</f>
        <v>2.5993582771108453E-2</v>
      </c>
      <c r="D27" s="86">
        <f ca="1">+INDEX('Charges_Including Slice and LS'!$AA$4:$AA$138,MATCH($A27,'Charges_Including Slice and LS'!$AC$4:$AC$138,0),1)</f>
        <v>34.387564870662715</v>
      </c>
      <c r="E27" s="107">
        <f ca="1">+INDEX('Charges_Including Slice and LS'!$Z$4:$Z$138,MATCH($A27,'Charges_Including Slice and LS'!$AC$4:$AC$138,0),1)/1000</f>
        <v>320.30856000000006</v>
      </c>
      <c r="F27" s="107">
        <f ca="1">+SUM(E$5:E27)</f>
        <v>3404.0899304962049</v>
      </c>
      <c r="H27" s="295" t="str">
        <f ca="1">+INDEX(Charges_NonSlice!$C$4:$C$138,MATCH($A27,Charges_NonSlice!$AC$4:$AC$138,0),1)</f>
        <v>Milton, Town of</v>
      </c>
      <c r="I27" s="100">
        <f ca="1">+INDEX(Charges_NonSlice!$AB$4:$AB$138,MATCH($A27,Charges_NonSlice!$AC$4:$AC$138,0),1)</f>
        <v>2.6089119795719581E-2</v>
      </c>
      <c r="J27" s="129">
        <f ca="1">+INDEX(Charges_NonSlice!$AA$4:$AA$138,MATCH($A27,Charges_NonSlice!$AC$4:$AC$138,0),1)</f>
        <v>37.715772641054414</v>
      </c>
      <c r="K27" s="297">
        <f ca="1">+INDEX(Charges_NonSlice!$Z$4:$Z$138,MATCH($A27,Charges_NonSlice!$AC$4:$AC$138,0),1)/1000</f>
        <v>60.215439459225593</v>
      </c>
      <c r="L27" s="107">
        <f ca="1">+SUM(K$5:K27)</f>
        <v>4288.8685786696706</v>
      </c>
      <c r="N27" s="295" t="str">
        <f ca="1">+INDEX('Charges_NonSlice &amp; Excl LS'!$C$4:$C$138,MATCH($A27,'Charges_NonSlice &amp; Excl LS'!$AC$4:$AC$138,0),1)</f>
        <v>Skamania County PUD #1</v>
      </c>
      <c r="O27" s="100">
        <f ca="1">+INDEX('Charges_NonSlice &amp; Excl LS'!$AB$4:$AB$138,MATCH($A27,'Charges_NonSlice &amp; Excl LS'!$AC$4:$AC$138,0),1)</f>
        <v>2.3759526154174222E-2</v>
      </c>
      <c r="P27" s="129">
        <f ca="1">+INDEX('Charges_NonSlice &amp; Excl LS'!$AA$4:$AA$138,MATCH($A27,'Charges_NonSlice &amp; Excl LS'!$AC$4:$AC$138,0),1)</f>
        <v>35.957487483384398</v>
      </c>
      <c r="Q27" s="297">
        <f ca="1">+INDEX('Charges_NonSlice &amp; Excl LS'!$Z$4:$Z$138,MATCH($A27,'Charges_NonSlice &amp; Excl LS'!$AC$4:$AC$138,0),1)/1000</f>
        <v>134.56258588016641</v>
      </c>
      <c r="R27" s="107">
        <f ca="1">+SUM(Q$5:Q27)</f>
        <v>4443.0087852564484</v>
      </c>
      <c r="T27" s="295" t="str">
        <f ca="1">+INDEX(Charges_NonSlice!$C$4:$C$138,MATCH($A27,Charges_NonSlice!$AC$4:$AC$138,0),1)</f>
        <v>Milton, Town of</v>
      </c>
      <c r="U27" s="100">
        <f t="shared" ca="1" si="0"/>
        <v>2.9441114785144329E-2</v>
      </c>
      <c r="V27" s="129">
        <f ca="1">+INDEX(Charges_NonSlice!$AA$4:$AA$138,MATCH($A27,Charges_NonSlice!$AC$4:$AC$138,0),1)</f>
        <v>37.715772641054414</v>
      </c>
      <c r="W27" s="120">
        <f t="shared" ca="1" si="1"/>
        <v>36.63713455715834</v>
      </c>
      <c r="Y27" s="103" t="s">
        <v>85</v>
      </c>
      <c r="Z27" s="104">
        <v>36.158165513402018</v>
      </c>
    </row>
    <row r="28" spans="1:26">
      <c r="A28">
        <f t="shared" si="2"/>
        <v>24</v>
      </c>
      <c r="B28" s="112" t="str">
        <f ca="1">+INDEX('Charges_Including Slice and LS'!$C$4:$C$138,MATCH($A28,'Charges_Including Slice and LS'!$AC$4:$AC$138,0),1)</f>
        <v>Kittitas County PUD #1</v>
      </c>
      <c r="C28" s="100">
        <f ca="1">+INDEX('Charges_Including Slice and LS'!$AB$4:$AB$138,MATCH($A28,'Charges_Including Slice and LS'!$AC$4:$AC$138,0),1)</f>
        <v>2.584291841509927E-2</v>
      </c>
      <c r="D28" s="86">
        <f ca="1">+INDEX('Charges_Including Slice and LS'!$AA$4:$AA$138,MATCH($A28,'Charges_Including Slice and LS'!$AC$4:$AC$138,0),1)</f>
        <v>38.016603943284451</v>
      </c>
      <c r="E28" s="107">
        <f ca="1">+INDEX('Charges_Including Slice and LS'!$Z$4:$Z$138,MATCH($A28,'Charges_Including Slice and LS'!$AC$4:$AC$138,0),1)/1000</f>
        <v>81.729182291251192</v>
      </c>
      <c r="F28" s="107">
        <f ca="1">+SUM(E$5:E28)</f>
        <v>3485.8191127874561</v>
      </c>
      <c r="H28" s="295" t="str">
        <f ca="1">+INDEX(Charges_NonSlice!$C$4:$C$138,MATCH($A28,Charges_NonSlice!$AC$4:$AC$138,0),1)</f>
        <v>Klickitat County PUD #1</v>
      </c>
      <c r="I28" s="100">
        <f ca="1">+INDEX(Charges_NonSlice!$AB$4:$AB$138,MATCH($A28,Charges_NonSlice!$AC$4:$AC$138,0),1)</f>
        <v>2.5993582771107599E-2</v>
      </c>
      <c r="J28" s="129">
        <f ca="1">+INDEX(Charges_NonSlice!$AA$4:$AA$138,MATCH($A28,Charges_NonSlice!$AC$4:$AC$138,0),1)</f>
        <v>34.387564870662715</v>
      </c>
      <c r="K28" s="297">
        <f ca="1">+INDEX(Charges_NonSlice!$Z$4:$Z$138,MATCH($A28,Charges_NonSlice!$AC$4:$AC$138,0),1)/1000</f>
        <v>320.30856000000006</v>
      </c>
      <c r="L28" s="107">
        <f ca="1">+SUM(K$5:K28)</f>
        <v>4609.177138669671</v>
      </c>
      <c r="N28" s="295" t="str">
        <f ca="1">+INDEX('Charges_NonSlice &amp; Excl LS'!$C$4:$C$138,MATCH($A28,'Charges_NonSlice &amp; Excl LS'!$AC$4:$AC$138,0),1)</f>
        <v>Benton REA</v>
      </c>
      <c r="O28" s="100">
        <f ca="1">+INDEX('Charges_NonSlice &amp; Excl LS'!$AB$4:$AB$138,MATCH($A28,'Charges_NonSlice &amp; Excl LS'!$AC$4:$AC$138,0),1)</f>
        <v>2.3663424235392055E-2</v>
      </c>
      <c r="P28" s="129">
        <f ca="1">+INDEX('Charges_NonSlice &amp; Excl LS'!$AA$4:$AA$138,MATCH($A28,'Charges_NonSlice &amp; Excl LS'!$AC$4:$AC$138,0),1)</f>
        <v>33.039100976987449</v>
      </c>
      <c r="Q28" s="297">
        <f ca="1">+INDEX('Charges_NonSlice &amp; Excl LS'!$Z$4:$Z$138,MATCH($A28,'Charges_NonSlice &amp; Excl LS'!$AC$4:$AC$138,0),1)/1000</f>
        <v>521.26959167078405</v>
      </c>
      <c r="R28" s="107">
        <f ca="1">+SUM(Q$5:Q28)</f>
        <v>4964.2783769272328</v>
      </c>
      <c r="T28" s="295" t="str">
        <f ca="1">+INDEX(Charges_NonSlice!$C$4:$C$138,MATCH($A28,Charges_NonSlice!$AC$4:$AC$138,0),1)</f>
        <v>Klickitat County PUD #1</v>
      </c>
      <c r="U28" s="100">
        <f t="shared" ca="1" si="0"/>
        <v>3.3894089764969104E-2</v>
      </c>
      <c r="V28" s="129">
        <f ca="1">+INDEX(Charges_NonSlice!$AA$4:$AA$138,MATCH($A28,Charges_NonSlice!$AC$4:$AC$138,0),1)</f>
        <v>34.387564870662715</v>
      </c>
      <c r="W28" s="120">
        <f t="shared" ca="1" si="1"/>
        <v>33.260239333102191</v>
      </c>
      <c r="Y28" s="103" t="s">
        <v>86</v>
      </c>
      <c r="Z28" s="104">
        <v>34.635902309901532</v>
      </c>
    </row>
    <row r="29" spans="1:26">
      <c r="A29">
        <f t="shared" si="2"/>
        <v>25</v>
      </c>
      <c r="B29" s="112" t="str">
        <f ca="1">+INDEX('Charges_Including Slice and LS'!$C$4:$C$138,MATCH($A29,'Charges_Including Slice and LS'!$AC$4:$AC$138,0),1)</f>
        <v>Skamania County PUD #1</v>
      </c>
      <c r="C29" s="100">
        <f ca="1">+INDEX('Charges_Including Slice and LS'!$AB$4:$AB$138,MATCH($A29,'Charges_Including Slice and LS'!$AC$4:$AC$138,0),1)</f>
        <v>2.5559845524082636E-2</v>
      </c>
      <c r="D29" s="86">
        <f ca="1">+INDEX('Charges_Including Slice and LS'!$AA$4:$AA$138,MATCH($A29,'Charges_Including Slice and LS'!$AC$4:$AC$138,0),1)</f>
        <v>36.765759963337793</v>
      </c>
      <c r="E29" s="107">
        <f ca="1">+INDEX('Charges_Including Slice and LS'!$Z$4:$Z$138,MATCH($A29,'Charges_Including Slice and LS'!$AC$4:$AC$138,0),1)/1000</f>
        <v>134.5075858801664</v>
      </c>
      <c r="F29" s="107">
        <f ca="1">+SUM(E$5:E29)</f>
        <v>3620.3266986676226</v>
      </c>
      <c r="H29" s="295" t="str">
        <f ca="1">+INDEX(Charges_NonSlice!$C$4:$C$138,MATCH($A29,Charges_NonSlice!$AC$4:$AC$138,0),1)</f>
        <v>Kittitas County PUD #1</v>
      </c>
      <c r="I29" s="100">
        <f ca="1">+INDEX(Charges_NonSlice!$AB$4:$AB$138,MATCH($A29,Charges_NonSlice!$AC$4:$AC$138,0),1)</f>
        <v>2.5842918415102129E-2</v>
      </c>
      <c r="J29" s="129">
        <f ca="1">+INDEX(Charges_NonSlice!$AA$4:$AA$138,MATCH($A29,Charges_NonSlice!$AC$4:$AC$138,0),1)</f>
        <v>38.016603943284451</v>
      </c>
      <c r="K29" s="297">
        <f ca="1">+INDEX(Charges_NonSlice!$Z$4:$Z$138,MATCH($A29,Charges_NonSlice!$AC$4:$AC$138,0),1)/1000</f>
        <v>81.729182291251192</v>
      </c>
      <c r="L29" s="107">
        <f ca="1">+SUM(K$5:K29)</f>
        <v>4690.9063209609221</v>
      </c>
      <c r="N29" s="295" t="str">
        <f ca="1">+INDEX('Charges_NonSlice &amp; Excl LS'!$C$4:$C$138,MATCH($A29,'Charges_NonSlice &amp; Excl LS'!$AC$4:$AC$138,0),1)</f>
        <v>Oregon Trail Coop</v>
      </c>
      <c r="O29" s="100">
        <f ca="1">+INDEX('Charges_NonSlice &amp; Excl LS'!$AB$4:$AB$138,MATCH($A29,'Charges_NonSlice &amp; Excl LS'!$AC$4:$AC$138,0),1)</f>
        <v>2.3424908918655743E-2</v>
      </c>
      <c r="P29" s="129">
        <f ca="1">+INDEX('Charges_NonSlice &amp; Excl LS'!$AA$4:$AA$138,MATCH($A29,'Charges_NonSlice &amp; Excl LS'!$AC$4:$AC$138,0),1)</f>
        <v>35.740969094571469</v>
      </c>
      <c r="Q29" s="297">
        <f ca="1">+INDEX('Charges_NonSlice &amp; Excl LS'!$Z$4:$Z$138,MATCH($A29,'Charges_NonSlice &amp; Excl LS'!$AC$4:$AC$138,0),1)/1000</f>
        <v>691.85457191854073</v>
      </c>
      <c r="R29" s="107">
        <f ca="1">+SUM(Q$5:Q29)</f>
        <v>5656.1329488457732</v>
      </c>
      <c r="T29" s="295" t="str">
        <f ca="1">+INDEX(Charges_NonSlice!$C$4:$C$138,MATCH($A29,Charges_NonSlice!$AC$4:$AC$138,0),1)</f>
        <v>Kittitas County PUD #1</v>
      </c>
      <c r="U29" s="100">
        <f t="shared" ca="1" si="0"/>
        <v>5.8171124480449921E-2</v>
      </c>
      <c r="V29" s="129">
        <f ca="1">+INDEX(Charges_NonSlice!$AA$4:$AA$138,MATCH($A29,Charges_NonSlice!$AC$4:$AC$138,0),1)</f>
        <v>38.016603943284451</v>
      </c>
      <c r="W29" s="120">
        <f t="shared" ca="1" si="1"/>
        <v>35.926706998312937</v>
      </c>
      <c r="Y29" s="103" t="s">
        <v>58</v>
      </c>
      <c r="Z29" s="104">
        <v>37.727474473424259</v>
      </c>
    </row>
    <row r="30" spans="1:26">
      <c r="A30">
        <f t="shared" si="2"/>
        <v>26</v>
      </c>
      <c r="B30" s="112" t="str">
        <f ca="1">+INDEX('Charges_Including Slice and LS'!$C$4:$C$138,MATCH($A30,'Charges_Including Slice and LS'!$AC$4:$AC$138,0),1)</f>
        <v>Hermiston, City of</v>
      </c>
      <c r="C30" s="100">
        <f ca="1">+INDEX('Charges_Including Slice and LS'!$AB$4:$AB$138,MATCH($A30,'Charges_Including Slice and LS'!$AC$4:$AC$138,0),1)</f>
        <v>2.5382575685902964E-2</v>
      </c>
      <c r="D30" s="86">
        <f ca="1">+INDEX('Charges_Including Slice and LS'!$AA$4:$AA$138,MATCH($A30,'Charges_Including Slice and LS'!$AC$4:$AC$138,0),1)</f>
        <v>37.901094449630108</v>
      </c>
      <c r="E30" s="107">
        <f ca="1">+INDEX('Charges_Including Slice and LS'!$Z$4:$Z$138,MATCH($A30,'Charges_Including Slice and LS'!$AC$4:$AC$138,0),1)/1000</f>
        <v>108.0249907833856</v>
      </c>
      <c r="F30" s="107">
        <f ca="1">+SUM(E$5:E30)</f>
        <v>3728.351689451008</v>
      </c>
      <c r="H30" s="295" t="str">
        <f ca="1">+INDEX(Charges_NonSlice!$C$4:$C$138,MATCH($A30,Charges_NonSlice!$AC$4:$AC$138,0),1)</f>
        <v>Skamania County PUD #1</v>
      </c>
      <c r="I30" s="100">
        <f ca="1">+INDEX(Charges_NonSlice!$AB$4:$AB$138,MATCH($A30,Charges_NonSlice!$AC$4:$AC$138,0),1)</f>
        <v>2.5559845524092403E-2</v>
      </c>
      <c r="J30" s="129">
        <f ca="1">+INDEX(Charges_NonSlice!$AA$4:$AA$138,MATCH($A30,Charges_NonSlice!$AC$4:$AC$138,0),1)</f>
        <v>36.765759963337793</v>
      </c>
      <c r="K30" s="297">
        <f ca="1">+INDEX(Charges_NonSlice!$Z$4:$Z$138,MATCH($A30,Charges_NonSlice!$AC$4:$AC$138,0),1)/1000</f>
        <v>134.5075858801664</v>
      </c>
      <c r="L30" s="107">
        <f ca="1">+SUM(K$5:K30)</f>
        <v>4825.4139068410886</v>
      </c>
      <c r="N30" s="295" t="str">
        <f ca="1">+INDEX('Charges_NonSlice &amp; Excl LS'!$C$4:$C$138,MATCH($A30,'Charges_NonSlice &amp; Excl LS'!$AC$4:$AC$138,0),1)</f>
        <v>Klickitat County PUD #1</v>
      </c>
      <c r="O30" s="100">
        <f ca="1">+INDEX('Charges_NonSlice &amp; Excl LS'!$AB$4:$AB$138,MATCH($A30,'Charges_NonSlice &amp; Excl LS'!$AC$4:$AC$138,0),1)</f>
        <v>2.3414342812120507E-2</v>
      </c>
      <c r="P30" s="129">
        <f ca="1">+INDEX('Charges_NonSlice &amp; Excl LS'!$AA$4:$AA$138,MATCH($A30,'Charges_NonSlice &amp; Excl LS'!$AC$4:$AC$138,0),1)</f>
        <v>33.649609217941773</v>
      </c>
      <c r="Q30" s="297">
        <f ca="1">+INDEX('Charges_NonSlice &amp; Excl LS'!$Z$4:$Z$138,MATCH($A30,'Charges_NonSlice &amp; Excl LS'!$AC$4:$AC$138,0),1)/1000</f>
        <v>320.30807023226879</v>
      </c>
      <c r="R30" s="107">
        <f ca="1">+SUM(Q$5:Q30)</f>
        <v>5976.4410190780418</v>
      </c>
      <c r="T30" s="295" t="str">
        <f ca="1">+INDEX(Charges_NonSlice!$C$4:$C$138,MATCH($A30,Charges_NonSlice!$AC$4:$AC$138,0),1)</f>
        <v>Skamania County PUD #1</v>
      </c>
      <c r="U30" s="100">
        <f t="shared" ca="1" si="0"/>
        <v>4.2070069700005375E-2</v>
      </c>
      <c r="V30" s="129">
        <f ca="1">+INDEX(Charges_NonSlice!$AA$4:$AA$138,MATCH($A30,Charges_NonSlice!$AC$4:$AC$138,0),1)</f>
        <v>36.765759963337793</v>
      </c>
      <c r="W30" s="120">
        <f t="shared" ca="1" si="1"/>
        <v>35.281466220330117</v>
      </c>
      <c r="Y30" s="103" t="s">
        <v>35</v>
      </c>
      <c r="Z30" s="104">
        <v>40.421532614701327</v>
      </c>
    </row>
    <row r="31" spans="1:26">
      <c r="A31">
        <f t="shared" si="2"/>
        <v>27</v>
      </c>
      <c r="B31" s="112" t="str">
        <f ca="1">+INDEX('Charges_Including Slice and LS'!$C$4:$C$138,MATCH($A31,'Charges_Including Slice and LS'!$AC$4:$AC$138,0),1)</f>
        <v>Steilacoom, Town of</v>
      </c>
      <c r="C31" s="100">
        <f ca="1">+INDEX('Charges_Including Slice and LS'!$AB$4:$AB$138,MATCH($A31,'Charges_Including Slice and LS'!$AC$4:$AC$138,0),1)</f>
        <v>2.5299479104239131E-2</v>
      </c>
      <c r="D31" s="86">
        <f ca="1">+INDEX('Charges_Including Slice and LS'!$AA$4:$AA$138,MATCH($A31,'Charges_Including Slice and LS'!$AC$4:$AC$138,0),1)</f>
        <v>38.774253732027979</v>
      </c>
      <c r="E31" s="107">
        <f ca="1">+INDEX('Charges_Including Slice and LS'!$Z$4:$Z$138,MATCH($A31,'Charges_Including Slice and LS'!$AC$4:$AC$138,0),1)/1000</f>
        <v>40.636758538444802</v>
      </c>
      <c r="F31" s="107">
        <f ca="1">+SUM(E$5:E31)</f>
        <v>3768.9884479894527</v>
      </c>
      <c r="H31" s="295" t="str">
        <f ca="1">+INDEX(Charges_NonSlice!$C$4:$C$138,MATCH($A31,Charges_NonSlice!$AC$4:$AC$138,0),1)</f>
        <v>Hermiston, City of</v>
      </c>
      <c r="I31" s="100">
        <f ca="1">+INDEX(Charges_NonSlice!$AB$4:$AB$138,MATCH($A31,Charges_NonSlice!$AC$4:$AC$138,0),1)</f>
        <v>2.5382575685908553E-2</v>
      </c>
      <c r="J31" s="129">
        <f ca="1">+INDEX(Charges_NonSlice!$AA$4:$AA$138,MATCH($A31,Charges_NonSlice!$AC$4:$AC$138,0),1)</f>
        <v>37.901094449630108</v>
      </c>
      <c r="K31" s="297">
        <f ca="1">+INDEX(Charges_NonSlice!$Z$4:$Z$138,MATCH($A31,Charges_NonSlice!$AC$4:$AC$138,0),1)/1000</f>
        <v>108.0249907833856</v>
      </c>
      <c r="L31" s="107">
        <f ca="1">+SUM(K$5:K31)</f>
        <v>4933.4388976244745</v>
      </c>
      <c r="N31" s="295" t="str">
        <f ca="1">+INDEX('Charges_NonSlice &amp; Excl LS'!$C$4:$C$138,MATCH($A31,'Charges_NonSlice &amp; Excl LS'!$AC$4:$AC$138,0),1)</f>
        <v>Rupert, City of</v>
      </c>
      <c r="O31" s="100">
        <f ca="1">+INDEX('Charges_NonSlice &amp; Excl LS'!$AB$4:$AB$138,MATCH($A31,'Charges_NonSlice &amp; Excl LS'!$AC$4:$AC$138,0),1)</f>
        <v>2.318147842416881E-2</v>
      </c>
      <c r="P31" s="129">
        <f ca="1">+INDEX('Charges_NonSlice &amp; Excl LS'!$AA$4:$AA$138,MATCH($A31,'Charges_NonSlice &amp; Excl LS'!$AC$4:$AC$138,0),1)</f>
        <v>38.102409247758835</v>
      </c>
      <c r="Q31" s="297">
        <f ca="1">+INDEX('Charges_NonSlice &amp; Excl LS'!$Z$4:$Z$138,MATCH($A31,'Charges_NonSlice &amp; Excl LS'!$AC$4:$AC$138,0),1)/1000</f>
        <v>82.330731080294399</v>
      </c>
      <c r="R31" s="107">
        <f ca="1">+SUM(Q$5:Q31)</f>
        <v>6058.7717501583365</v>
      </c>
      <c r="T31" s="295" t="str">
        <f ca="1">+INDEX(Charges_NonSlice!$C$4:$C$138,MATCH($A31,Charges_NonSlice!$AC$4:$AC$138,0),1)</f>
        <v>Hermiston, City of</v>
      </c>
      <c r="U31" s="100">
        <f t="shared" ca="1" si="0"/>
        <v>3.5130737737932849E-2</v>
      </c>
      <c r="V31" s="129">
        <f ca="1">+INDEX(Charges_NonSlice!$AA$4:$AA$138,MATCH($A31,Charges_NonSlice!$AC$4:$AC$138,0),1)</f>
        <v>37.901094449630108</v>
      </c>
      <c r="W31" s="120">
        <f t="shared" ca="1" si="1"/>
        <v>36.614789869398741</v>
      </c>
      <c r="Y31" s="103" t="s">
        <v>16</v>
      </c>
      <c r="Z31" s="104">
        <v>40.400965012148305</v>
      </c>
    </row>
    <row r="32" spans="1:26">
      <c r="A32">
        <f t="shared" si="2"/>
        <v>28</v>
      </c>
      <c r="B32" s="112" t="str">
        <f ca="1">+INDEX('Charges_Including Slice and LS'!$C$4:$C$138,MATCH($A32,'Charges_Including Slice and LS'!$AC$4:$AC$138,0),1)</f>
        <v>Midstate Elec Coop</v>
      </c>
      <c r="C32" s="100">
        <f ca="1">+INDEX('Charges_Including Slice and LS'!$AB$4:$AB$138,MATCH($A32,'Charges_Including Slice and LS'!$AC$4:$AC$138,0),1)</f>
        <v>2.4605378978967214E-2</v>
      </c>
      <c r="D32" s="86">
        <f ca="1">+INDEX('Charges_Including Slice and LS'!$AA$4:$AA$138,MATCH($A32,'Charges_Including Slice and LS'!$AC$4:$AC$138,0),1)</f>
        <v>34.629191742648018</v>
      </c>
      <c r="E32" s="107">
        <f ca="1">+INDEX('Charges_Including Slice and LS'!$Z$4:$Z$138,MATCH($A32,'Charges_Including Slice and LS'!$AC$4:$AC$138,0),1)/1000</f>
        <v>408.43843199999998</v>
      </c>
      <c r="F32" s="107">
        <f ca="1">+SUM(E$5:E32)</f>
        <v>4177.4268799894526</v>
      </c>
      <c r="H32" s="295" t="str">
        <f ca="1">+INDEX(Charges_NonSlice!$C$4:$C$138,MATCH($A32,Charges_NonSlice!$AC$4:$AC$138,0),1)</f>
        <v>Steilacoom, Town of</v>
      </c>
      <c r="I32" s="100">
        <f ca="1">+INDEX(Charges_NonSlice!$AB$4:$AB$138,MATCH($A32,Charges_NonSlice!$AC$4:$AC$138,0),1)</f>
        <v>2.5299479104244016E-2</v>
      </c>
      <c r="J32" s="129">
        <f ca="1">+INDEX(Charges_NonSlice!$AA$4:$AA$138,MATCH($A32,Charges_NonSlice!$AC$4:$AC$138,0),1)</f>
        <v>38.774253732027979</v>
      </c>
      <c r="K32" s="297">
        <f ca="1">+INDEX(Charges_NonSlice!$Z$4:$Z$138,MATCH($A32,Charges_NonSlice!$AC$4:$AC$138,0),1)/1000</f>
        <v>40.636758538444802</v>
      </c>
      <c r="L32" s="107">
        <f ca="1">+SUM(K$5:K32)</f>
        <v>4974.0756561629196</v>
      </c>
      <c r="N32" s="295" t="str">
        <f ca="1">+INDEX('Charges_NonSlice &amp; Excl LS'!$C$4:$C$138,MATCH($A32,'Charges_NonSlice &amp; Excl LS'!$AC$4:$AC$138,0),1)</f>
        <v>Mason County PUD #3</v>
      </c>
      <c r="O32" s="100">
        <f ca="1">+INDEX('Charges_NonSlice &amp; Excl LS'!$AB$4:$AB$138,MATCH($A32,'Charges_NonSlice &amp; Excl LS'!$AC$4:$AC$138,0),1)</f>
        <v>2.3069821236385967E-2</v>
      </c>
      <c r="P32" s="129">
        <f ca="1">+INDEX('Charges_NonSlice &amp; Excl LS'!$AA$4:$AA$138,MATCH($A32,'Charges_NonSlice &amp; Excl LS'!$AC$4:$AC$138,0),1)</f>
        <v>35.881374859103481</v>
      </c>
      <c r="Q32" s="297">
        <f ca="1">+INDEX('Charges_NonSlice &amp; Excl LS'!$Z$4:$Z$138,MATCH($A32,'Charges_NonSlice &amp; Excl LS'!$AC$4:$AC$138,0),1)/1000</f>
        <v>695.89613894676472</v>
      </c>
      <c r="R32" s="107">
        <f ca="1">+SUM(Q$5:Q32)</f>
        <v>6754.6678891051015</v>
      </c>
      <c r="T32" s="295" t="str">
        <f ca="1">+INDEX(Charges_NonSlice!$C$4:$C$138,MATCH($A32,Charges_NonSlice!$AC$4:$AC$138,0),1)</f>
        <v>Steilacoom, Town of</v>
      </c>
      <c r="U32" s="100">
        <f t="shared" ca="1" si="0"/>
        <v>1.5634994093722154E-2</v>
      </c>
      <c r="V32" s="129">
        <f ca="1">+INDEX(Charges_NonSlice!$AA$4:$AA$138,MATCH($A32,Charges_NonSlice!$AC$4:$AC$138,0),1)</f>
        <v>38.774253732027979</v>
      </c>
      <c r="W32" s="120">
        <f t="shared" ca="1" si="1"/>
        <v>38.17735107348016</v>
      </c>
      <c r="Y32" s="103" t="s">
        <v>61</v>
      </c>
      <c r="Z32" s="104">
        <v>36.162488287430179</v>
      </c>
    </row>
    <row r="33" spans="1:26">
      <c r="A33">
        <f t="shared" si="2"/>
        <v>29</v>
      </c>
      <c r="B33" s="112" t="str">
        <f ca="1">+INDEX('Charges_Including Slice and LS'!$C$4:$C$138,MATCH($A33,'Charges_Including Slice and LS'!$AC$4:$AC$138,0),1)</f>
        <v>Eatonville, City of</v>
      </c>
      <c r="C33" s="100">
        <f ca="1">+INDEX('Charges_Including Slice and LS'!$AB$4:$AB$138,MATCH($A33,'Charges_Including Slice and LS'!$AC$4:$AC$138,0),1)</f>
        <v>2.45876020336133E-2</v>
      </c>
      <c r="D33" s="86">
        <f ca="1">+INDEX('Charges_Including Slice and LS'!$AA$4:$AA$138,MATCH($A33,'Charges_Including Slice and LS'!$AC$4:$AC$138,0),1)</f>
        <v>39.833719694865394</v>
      </c>
      <c r="E33" s="107">
        <f ca="1">+INDEX('Charges_Including Slice and LS'!$Z$4:$Z$138,MATCH($A33,'Charges_Including Slice and LS'!$AC$4:$AC$138,0),1)/1000</f>
        <v>28.886310164275198</v>
      </c>
      <c r="F33" s="107">
        <f ca="1">+SUM(E$5:E33)</f>
        <v>4206.3131901537281</v>
      </c>
      <c r="H33" s="295" t="str">
        <f ca="1">+INDEX(Charges_NonSlice!$C$4:$C$138,MATCH($A33,Charges_NonSlice!$AC$4:$AC$138,0),1)</f>
        <v>Midstate Elec Coop</v>
      </c>
      <c r="I33" s="100">
        <f ca="1">+INDEX(Charges_NonSlice!$AB$4:$AB$138,MATCH($A33,Charges_NonSlice!$AC$4:$AC$138,0),1)</f>
        <v>2.4605378978970208E-2</v>
      </c>
      <c r="J33" s="129">
        <f ca="1">+INDEX(Charges_NonSlice!$AA$4:$AA$138,MATCH($A33,Charges_NonSlice!$AC$4:$AC$138,0),1)</f>
        <v>34.629191742648018</v>
      </c>
      <c r="K33" s="297">
        <f ca="1">+INDEX(Charges_NonSlice!$Z$4:$Z$138,MATCH($A33,Charges_NonSlice!$AC$4:$AC$138,0),1)/1000</f>
        <v>408.43843199999998</v>
      </c>
      <c r="L33" s="107">
        <f ca="1">+SUM(K$5:K33)</f>
        <v>5382.5140881629195</v>
      </c>
      <c r="N33" s="295" t="str">
        <f ca="1">+INDEX('Charges_NonSlice &amp; Excl LS'!$C$4:$C$138,MATCH($A33,'Charges_NonSlice &amp; Excl LS'!$AC$4:$AC$138,0),1)</f>
        <v>Plummer, City of</v>
      </c>
      <c r="O33" s="100">
        <f ca="1">+INDEX('Charges_NonSlice &amp; Excl LS'!$AB$4:$AB$138,MATCH($A33,'Charges_NonSlice &amp; Excl LS'!$AC$4:$AC$138,0),1)</f>
        <v>2.2816176111904497E-2</v>
      </c>
      <c r="P33" s="129">
        <f ca="1">+INDEX('Charges_NonSlice &amp; Excl LS'!$AA$4:$AA$138,MATCH($A33,'Charges_NonSlice &amp; Excl LS'!$AC$4:$AC$138,0),1)</f>
        <v>37.890045145639014</v>
      </c>
      <c r="Q33" s="297">
        <f ca="1">+INDEX('Charges_NonSlice &amp; Excl LS'!$Z$4:$Z$138,MATCH($A33,'Charges_NonSlice &amp; Excl LS'!$AC$4:$AC$138,0),1)/1000</f>
        <v>34.023207013171195</v>
      </c>
      <c r="R33" s="107">
        <f ca="1">+SUM(Q$5:Q33)</f>
        <v>6788.691096118273</v>
      </c>
      <c r="T33" s="295" t="str">
        <f ca="1">+INDEX(Charges_NonSlice!$C$4:$C$138,MATCH($A33,Charges_NonSlice!$AC$4:$AC$138,0),1)</f>
        <v>Midstate Elec Coop</v>
      </c>
      <c r="U33" s="100">
        <f t="shared" ca="1" si="0"/>
        <v>2.9177082387893405E-2</v>
      </c>
      <c r="V33" s="129">
        <f ca="1">+INDEX(Charges_NonSlice!$AA$4:$AA$138,MATCH($A33,Charges_NonSlice!$AC$4:$AC$138,0),1)</f>
        <v>34.629191742648018</v>
      </c>
      <c r="W33" s="120">
        <f t="shared" ca="1" si="1"/>
        <v>33.647457114281515</v>
      </c>
      <c r="Y33" s="103" t="s">
        <v>59</v>
      </c>
      <c r="Z33" s="104">
        <v>38.562072255906919</v>
      </c>
    </row>
    <row r="34" spans="1:26">
      <c r="A34">
        <f t="shared" si="2"/>
        <v>30</v>
      </c>
      <c r="B34" s="112" t="str">
        <f ca="1">+INDEX('Charges_Including Slice and LS'!$C$4:$C$138,MATCH($A34,'Charges_Including Slice and LS'!$AC$4:$AC$138,0),1)</f>
        <v>Wahkiakum County PUD #1</v>
      </c>
      <c r="C34" s="100">
        <f ca="1">+INDEX('Charges_Including Slice and LS'!$AB$4:$AB$138,MATCH($A34,'Charges_Including Slice and LS'!$AC$4:$AC$138,0),1)</f>
        <v>2.453130085911126E-2</v>
      </c>
      <c r="D34" s="86">
        <f ca="1">+INDEX('Charges_Including Slice and LS'!$AA$4:$AA$138,MATCH($A34,'Charges_Including Slice and LS'!$AC$4:$AC$138,0),1)</f>
        <v>36.299948770432813</v>
      </c>
      <c r="E34" s="107">
        <f ca="1">+INDEX('Charges_Including Slice and LS'!$Z$4:$Z$138,MATCH($A34,'Charges_Including Slice and LS'!$AC$4:$AC$138,0),1)/1000</f>
        <v>43.260193030348795</v>
      </c>
      <c r="F34" s="107">
        <f ca="1">+SUM(E$5:E34)</f>
        <v>4249.5733831840771</v>
      </c>
      <c r="H34" s="295" t="str">
        <f ca="1">+INDEX(Charges_NonSlice!$C$4:$C$138,MATCH($A34,Charges_NonSlice!$AC$4:$AC$138,0),1)</f>
        <v>Eatonville, City of</v>
      </c>
      <c r="I34" s="100">
        <f ca="1">+INDEX(Charges_NonSlice!$AB$4:$AB$138,MATCH($A34,Charges_NonSlice!$AC$4:$AC$138,0),1)</f>
        <v>2.4587602033614535E-2</v>
      </c>
      <c r="J34" s="129">
        <f ca="1">+INDEX(Charges_NonSlice!$AA$4:$AA$138,MATCH($A34,Charges_NonSlice!$AC$4:$AC$138,0),1)</f>
        <v>39.833719694865394</v>
      </c>
      <c r="K34" s="297">
        <f ca="1">+INDEX(Charges_NonSlice!$Z$4:$Z$138,MATCH($A34,Charges_NonSlice!$AC$4:$AC$138,0),1)/1000</f>
        <v>28.886310164275198</v>
      </c>
      <c r="L34" s="107">
        <f ca="1">+SUM(K$5:K34)</f>
        <v>5411.400398327195</v>
      </c>
      <c r="N34" s="295" t="str">
        <f ca="1">+INDEX('Charges_NonSlice &amp; Excl LS'!$C$4:$C$138,MATCH($A34,'Charges_NonSlice &amp; Excl LS'!$AC$4:$AC$138,0),1)</f>
        <v>Surprise Valley Elec Coop</v>
      </c>
      <c r="O34" s="100">
        <f ca="1">+INDEX('Charges_NonSlice &amp; Excl LS'!$AB$4:$AB$138,MATCH($A34,'Charges_NonSlice &amp; Excl LS'!$AC$4:$AC$138,0),1)</f>
        <v>2.2810385955916203E-2</v>
      </c>
      <c r="P34" s="129">
        <f ca="1">+INDEX('Charges_NonSlice &amp; Excl LS'!$AA$4:$AA$138,MATCH($A34,'Charges_NonSlice &amp; Excl LS'!$AC$4:$AC$138,0),1)</f>
        <v>30.852393835701424</v>
      </c>
      <c r="Q34" s="297">
        <f ca="1">+INDEX('Charges_NonSlice &amp; Excl LS'!$Z$4:$Z$138,MATCH($A34,'Charges_NonSlice &amp; Excl LS'!$AC$4:$AC$138,0),1)/1000</f>
        <v>143.57743996907519</v>
      </c>
      <c r="R34" s="107">
        <f ca="1">+SUM(Q$5:Q34)</f>
        <v>6932.2685360873484</v>
      </c>
      <c r="T34" s="295" t="str">
        <f ca="1">+INDEX(Charges_NonSlice!$C$4:$C$138,MATCH($A34,Charges_NonSlice!$AC$4:$AC$138,0),1)</f>
        <v>Eatonville, City of</v>
      </c>
      <c r="U34" s="100">
        <f t="shared" ca="1" si="0"/>
        <v>5.5827888053434416E-2</v>
      </c>
      <c r="V34" s="129">
        <f ca="1">+INDEX(Charges_NonSlice!$AA$4:$AA$138,MATCH($A34,Charges_NonSlice!$AC$4:$AC$138,0),1)</f>
        <v>39.833719694865394</v>
      </c>
      <c r="W34" s="120">
        <f t="shared" ca="1" si="1"/>
        <v>37.727474473424259</v>
      </c>
      <c r="Y34" s="103" t="s">
        <v>95</v>
      </c>
      <c r="Z34" s="104">
        <v>36.042928344651543</v>
      </c>
    </row>
    <row r="35" spans="1:26">
      <c r="A35">
        <f t="shared" si="2"/>
        <v>31</v>
      </c>
      <c r="B35" s="112" t="str">
        <f ca="1">+INDEX('Charges_Including Slice and LS'!$C$4:$C$138,MATCH($A35,'Charges_Including Slice and LS'!$AC$4:$AC$138,0),1)</f>
        <v>Oregon Trail Coop</v>
      </c>
      <c r="C35" s="100">
        <f ca="1">+INDEX('Charges_Including Slice and LS'!$AB$4:$AB$138,MATCH($A35,'Charges_Including Slice and LS'!$AC$4:$AC$138,0),1)</f>
        <v>2.4264552775859496E-2</v>
      </c>
      <c r="D35" s="86">
        <f ca="1">+INDEX('Charges_Including Slice and LS'!$AA$4:$AA$138,MATCH($A35,'Charges_Including Slice and LS'!$AC$4:$AC$138,0),1)</f>
        <v>36.140569436576506</v>
      </c>
      <c r="E35" s="107">
        <f ca="1">+INDEX('Charges_Including Slice and LS'!$Z$4:$Z$138,MATCH($A35,'Charges_Including Slice and LS'!$AC$4:$AC$138,0),1)/1000</f>
        <v>691.85419200000001</v>
      </c>
      <c r="F35" s="107">
        <f ca="1">+SUM(E$5:E35)</f>
        <v>4941.4275751840769</v>
      </c>
      <c r="H35" s="295" t="str">
        <f ca="1">+INDEX(Charges_NonSlice!$C$4:$C$138,MATCH($A35,Charges_NonSlice!$AC$4:$AC$138,0),1)</f>
        <v>Wahkiakum County PUD #1</v>
      </c>
      <c r="I35" s="100">
        <f ca="1">+INDEX(Charges_NonSlice!$AB$4:$AB$138,MATCH($A35,Charges_NonSlice!$AC$4:$AC$138,0),1)</f>
        <v>2.4531300859117353E-2</v>
      </c>
      <c r="J35" s="129">
        <f ca="1">+INDEX(Charges_NonSlice!$AA$4:$AA$138,MATCH($A35,Charges_NonSlice!$AC$4:$AC$138,0),1)</f>
        <v>36.299948770432813</v>
      </c>
      <c r="K35" s="297">
        <f ca="1">+INDEX(Charges_NonSlice!$Z$4:$Z$138,MATCH($A35,Charges_NonSlice!$AC$4:$AC$138,0),1)/1000</f>
        <v>43.260193030348795</v>
      </c>
      <c r="L35" s="107">
        <f ca="1">+SUM(K$5:K35)</f>
        <v>5454.660591357544</v>
      </c>
      <c r="N35" s="295" t="str">
        <f ca="1">+INDEX('Charges_NonSlice &amp; Excl LS'!$C$4:$C$138,MATCH($A35,'Charges_NonSlice &amp; Excl LS'!$AC$4:$AC$138,0),1)</f>
        <v>Wahkiakum County PUD #1</v>
      </c>
      <c r="O35" s="100">
        <f ca="1">+INDEX('Charges_NonSlice &amp; Excl LS'!$AB$4:$AB$138,MATCH($A35,'Charges_NonSlice &amp; Excl LS'!$AC$4:$AC$138,0),1)</f>
        <v>2.2571689131594318E-2</v>
      </c>
      <c r="P35" s="129">
        <f ca="1">+INDEX('Charges_NonSlice &amp; Excl LS'!$AA$4:$AA$138,MATCH($A35,'Charges_NonSlice &amp; Excl LS'!$AC$4:$AC$138,0),1)</f>
        <v>35.466900049410853</v>
      </c>
      <c r="Q35" s="297">
        <f ca="1">+INDEX('Charges_NonSlice &amp; Excl LS'!$Z$4:$Z$138,MATCH($A35,'Charges_NonSlice &amp; Excl LS'!$AC$4:$AC$138,0),1)/1000</f>
        <v>43.260193030348795</v>
      </c>
      <c r="R35" s="107">
        <f ca="1">+SUM(Q$5:Q35)</f>
        <v>6975.5287291176974</v>
      </c>
      <c r="T35" s="295" t="str">
        <f ca="1">+INDEX(Charges_NonSlice!$C$4:$C$138,MATCH($A35,Charges_NonSlice!$AC$4:$AC$138,0),1)</f>
        <v>Wahkiakum County PUD #1</v>
      </c>
      <c r="U35" s="100">
        <f t="shared" ca="1" si="0"/>
        <v>2.8941846339335608E-2</v>
      </c>
      <c r="V35" s="129">
        <f ca="1">+INDEX(Charges_NonSlice!$AA$4:$AA$138,MATCH($A35,Charges_NonSlice!$AC$4:$AC$138,0),1)</f>
        <v>36.299948770432813</v>
      </c>
      <c r="W35" s="120">
        <f t="shared" ca="1" si="1"/>
        <v>35.278911922551373</v>
      </c>
      <c r="Y35" s="103" t="s">
        <v>67</v>
      </c>
      <c r="Z35" s="104">
        <v>38.920087636809107</v>
      </c>
    </row>
    <row r="36" spans="1:26">
      <c r="A36">
        <f t="shared" si="2"/>
        <v>32</v>
      </c>
      <c r="B36" s="112" t="str">
        <f ca="1">+INDEX('Charges_Including Slice and LS'!$C$4:$C$138,MATCH($A36,'Charges_Including Slice and LS'!$AC$4:$AC$138,0),1)</f>
        <v>Benton REA</v>
      </c>
      <c r="C36" s="100">
        <f ca="1">+INDEX('Charges_Including Slice and LS'!$AB$4:$AB$138,MATCH($A36,'Charges_Including Slice and LS'!$AC$4:$AC$138,0),1)</f>
        <v>2.4129671377733277E-2</v>
      </c>
      <c r="D36" s="86">
        <f ca="1">+INDEX('Charges_Including Slice and LS'!$AA$4:$AA$138,MATCH($A36,'Charges_Including Slice and LS'!$AC$4:$AC$138,0),1)</f>
        <v>32.961292691669605</v>
      </c>
      <c r="E36" s="107">
        <f ca="1">+INDEX('Charges_Including Slice and LS'!$Z$4:$Z$138,MATCH($A36,'Charges_Including Slice and LS'!$AC$4:$AC$138,0),1)/1000</f>
        <v>521.268912</v>
      </c>
      <c r="F36" s="107">
        <f ca="1">+SUM(E$5:E36)</f>
        <v>5462.6964871840773</v>
      </c>
      <c r="H36" s="295" t="str">
        <f ca="1">+INDEX(Charges_NonSlice!$C$4:$C$138,MATCH($A36,Charges_NonSlice!$AC$4:$AC$138,0),1)</f>
        <v>Oregon Trail Coop</v>
      </c>
      <c r="I36" s="100">
        <f ca="1">+INDEX(Charges_NonSlice!$AB$4:$AB$138,MATCH($A36,Charges_NonSlice!$AC$4:$AC$138,0),1)</f>
        <v>2.4264552775850795E-2</v>
      </c>
      <c r="J36" s="129">
        <f ca="1">+INDEX(Charges_NonSlice!$AA$4:$AA$138,MATCH($A36,Charges_NonSlice!$AC$4:$AC$138,0),1)</f>
        <v>36.140569436576506</v>
      </c>
      <c r="K36" s="297">
        <f ca="1">+INDEX(Charges_NonSlice!$Z$4:$Z$138,MATCH($A36,Charges_NonSlice!$AC$4:$AC$138,0),1)/1000</f>
        <v>691.85419200000001</v>
      </c>
      <c r="L36" s="107">
        <f ca="1">+SUM(K$5:K36)</f>
        <v>6146.5147833575438</v>
      </c>
      <c r="N36" s="295" t="str">
        <f ca="1">+INDEX('Charges_NonSlice &amp; Excl LS'!$C$4:$C$138,MATCH($A36,'Charges_NonSlice &amp; Excl LS'!$AC$4:$AC$138,0),1)</f>
        <v>Monmouth, City of</v>
      </c>
      <c r="O36" s="100">
        <f ca="1">+INDEX('Charges_NonSlice &amp; Excl LS'!$AB$4:$AB$138,MATCH($A36,'Charges_NonSlice &amp; Excl LS'!$AC$4:$AC$138,0),1)</f>
        <v>2.238562490785698E-2</v>
      </c>
      <c r="P36" s="129">
        <f ca="1">+INDEX('Charges_NonSlice &amp; Excl LS'!$AA$4:$AA$138,MATCH($A36,'Charges_NonSlice &amp; Excl LS'!$AC$4:$AC$138,0),1)</f>
        <v>37.459114925044425</v>
      </c>
      <c r="Q36" s="297">
        <f ca="1">+INDEX('Charges_NonSlice &amp; Excl LS'!$Z$4:$Z$138,MATCH($A36,'Charges_NonSlice &amp; Excl LS'!$AC$4:$AC$138,0),1)/1000</f>
        <v>73.075234069094378</v>
      </c>
      <c r="R36" s="107">
        <f ca="1">+SUM(Q$5:Q36)</f>
        <v>7048.6039631867916</v>
      </c>
      <c r="T36" s="295" t="str">
        <f ca="1">+INDEX(Charges_NonSlice!$C$4:$C$138,MATCH($A36,Charges_NonSlice!$AC$4:$AC$138,0),1)</f>
        <v>Oregon Trail Coop</v>
      </c>
      <c r="U36" s="100">
        <f t="shared" ca="1" si="0"/>
        <v>4.9949479076486725E-2</v>
      </c>
      <c r="V36" s="129">
        <f ca="1">+INDEX(Charges_NonSlice!$AA$4:$AA$138,MATCH($A36,Charges_NonSlice!$AC$4:$AC$138,0),1)</f>
        <v>36.140569436576506</v>
      </c>
      <c r="W36" s="120">
        <f t="shared" ca="1" si="1"/>
        <v>34.421246123542041</v>
      </c>
      <c r="Y36" s="103" t="s">
        <v>55</v>
      </c>
      <c r="Z36" s="104">
        <v>33.227726210761041</v>
      </c>
    </row>
    <row r="37" spans="1:26">
      <c r="A37">
        <f t="shared" si="2"/>
        <v>33</v>
      </c>
      <c r="B37" s="112" t="str">
        <f ca="1">+INDEX('Charges_Including Slice and LS'!$C$4:$C$138,MATCH($A37,'Charges_Including Slice and LS'!$AC$4:$AC$138,0),1)</f>
        <v>Peninsula Light Company</v>
      </c>
      <c r="C37" s="100">
        <f ca="1">+INDEX('Charges_Including Slice and LS'!$AB$4:$AB$138,MATCH($A37,'Charges_Including Slice and LS'!$AC$4:$AC$138,0),1)</f>
        <v>2.4066474972687324E-2</v>
      </c>
      <c r="D37" s="86">
        <f ca="1">+INDEX('Charges_Including Slice and LS'!$AA$4:$AA$138,MATCH($A37,'Charges_Including Slice and LS'!$AC$4:$AC$138,0),1)</f>
        <v>39.118762969886298</v>
      </c>
      <c r="E37" s="107">
        <f ca="1">+INDEX('Charges_Including Slice and LS'!$Z$4:$Z$138,MATCH($A37,'Charges_Including Slice and LS'!$AC$4:$AC$138,0),1)/1000</f>
        <v>593.11570434959356</v>
      </c>
      <c r="F37" s="107">
        <f ca="1">+SUM(E$5:E37)</f>
        <v>6055.8121915336706</v>
      </c>
      <c r="H37" s="295" t="str">
        <f ca="1">+INDEX(Charges_NonSlice!$C$4:$C$138,MATCH($A37,Charges_NonSlice!$AC$4:$AC$138,0),1)</f>
        <v>Benton REA</v>
      </c>
      <c r="I37" s="100">
        <f ca="1">+INDEX(Charges_NonSlice!$AB$4:$AB$138,MATCH($A37,Charges_NonSlice!$AC$4:$AC$138,0),1)</f>
        <v>2.4129671377734328E-2</v>
      </c>
      <c r="J37" s="129">
        <f ca="1">+INDEX(Charges_NonSlice!$AA$4:$AA$138,MATCH($A37,Charges_NonSlice!$AC$4:$AC$138,0),1)</f>
        <v>32.961292691669605</v>
      </c>
      <c r="K37" s="297">
        <f ca="1">+INDEX(Charges_NonSlice!$Z$4:$Z$138,MATCH($A37,Charges_NonSlice!$AC$4:$AC$138,0),1)/1000</f>
        <v>521.268912</v>
      </c>
      <c r="L37" s="107">
        <f ca="1">+SUM(K$5:K37)</f>
        <v>6667.7836953575443</v>
      </c>
      <c r="N37" s="295" t="str">
        <f ca="1">+INDEX('Charges_NonSlice &amp; Excl LS'!$C$4:$C$138,MATCH($A37,'Charges_NonSlice &amp; Excl LS'!$AC$4:$AC$138,0),1)</f>
        <v>United Electric Coop</v>
      </c>
      <c r="O37" s="100">
        <f ca="1">+INDEX('Charges_NonSlice &amp; Excl LS'!$AB$4:$AB$138,MATCH($A37,'Charges_NonSlice &amp; Excl LS'!$AC$4:$AC$138,0),1)</f>
        <v>2.2261075468099644E-2</v>
      </c>
      <c r="P37" s="129">
        <f ca="1">+INDEX('Charges_NonSlice &amp; Excl LS'!$AA$4:$AA$138,MATCH($A37,'Charges_NonSlice &amp; Excl LS'!$AC$4:$AC$138,0),1)</f>
        <v>33.319461878297687</v>
      </c>
      <c r="Q37" s="297">
        <f ca="1">+INDEX('Charges_NonSlice &amp; Excl LS'!$Z$4:$Z$138,MATCH($A37,'Charges_NonSlice &amp; Excl LS'!$AC$4:$AC$138,0),1)/1000</f>
        <v>261.91822475427841</v>
      </c>
      <c r="R37" s="107">
        <f ca="1">+SUM(Q$5:Q37)</f>
        <v>7310.5221879410701</v>
      </c>
      <c r="T37" s="295" t="str">
        <f ca="1">+INDEX(Charges_NonSlice!$C$4:$C$138,MATCH($A37,Charges_NonSlice!$AC$4:$AC$138,0),1)</f>
        <v>Benton REA</v>
      </c>
      <c r="U37" s="100">
        <f t="shared" ca="1" si="0"/>
        <v>3.3966036696902568E-2</v>
      </c>
      <c r="V37" s="129">
        <f ca="1">+INDEX(Charges_NonSlice!$AA$4:$AA$138,MATCH($A37,Charges_NonSlice!$AC$4:$AC$138,0),1)</f>
        <v>32.961292691669605</v>
      </c>
      <c r="W37" s="120">
        <f t="shared" ca="1" si="1"/>
        <v>31.878506180887154</v>
      </c>
      <c r="Y37" s="103" t="s">
        <v>34</v>
      </c>
      <c r="Z37" s="104">
        <v>37.729020559505059</v>
      </c>
    </row>
    <row r="38" spans="1:26">
      <c r="A38">
        <f t="shared" si="2"/>
        <v>34</v>
      </c>
      <c r="B38" s="112" t="str">
        <f ca="1">+INDEX('Charges_Including Slice and LS'!$C$4:$C$138,MATCH($A38,'Charges_Including Slice and LS'!$AC$4:$AC$138,0),1)</f>
        <v>Plummer, City of</v>
      </c>
      <c r="C38" s="100">
        <f ca="1">+INDEX('Charges_Including Slice and LS'!$AB$4:$AB$138,MATCH($A38,'Charges_Including Slice and LS'!$AC$4:$AC$138,0),1)</f>
        <v>2.403044797444373E-2</v>
      </c>
      <c r="D38" s="86">
        <f ca="1">+INDEX('Charges_Including Slice and LS'!$AA$4:$AA$138,MATCH($A38,'Charges_Including Slice and LS'!$AC$4:$AC$138,0),1)</f>
        <v>38.520851388725703</v>
      </c>
      <c r="E38" s="107">
        <f ca="1">+INDEX('Charges_Including Slice and LS'!$Z$4:$Z$138,MATCH($A38,'Charges_Including Slice and LS'!$AC$4:$AC$138,0),1)/1000</f>
        <v>33.962207013171195</v>
      </c>
      <c r="F38" s="107">
        <f ca="1">+SUM(E$5:E38)</f>
        <v>6089.7743985468414</v>
      </c>
      <c r="H38" s="295" t="str">
        <f ca="1">+INDEX(Charges_NonSlice!$C$4:$C$138,MATCH($A38,Charges_NonSlice!$AC$4:$AC$138,0),1)</f>
        <v>Peninsula Light Company</v>
      </c>
      <c r="I38" s="100">
        <f ca="1">+INDEX(Charges_NonSlice!$AB$4:$AB$138,MATCH($A38,Charges_NonSlice!$AC$4:$AC$138,0),1)</f>
        <v>2.4066474972693635E-2</v>
      </c>
      <c r="J38" s="129">
        <f ca="1">+INDEX(Charges_NonSlice!$AA$4:$AA$138,MATCH($A38,Charges_NonSlice!$AC$4:$AC$138,0),1)</f>
        <v>39.118762969886298</v>
      </c>
      <c r="K38" s="297">
        <f ca="1">+INDEX(Charges_NonSlice!$Z$4:$Z$138,MATCH($A38,Charges_NonSlice!$AC$4:$AC$138,0),1)/1000</f>
        <v>593.11570434959356</v>
      </c>
      <c r="L38" s="107">
        <f ca="1">+SUM(K$5:K38)</f>
        <v>7260.8993997071375</v>
      </c>
      <c r="N38" s="295" t="str">
        <f ca="1">+INDEX('Charges_NonSlice &amp; Excl LS'!$C$4:$C$138,MATCH($A38,'Charges_NonSlice &amp; Excl LS'!$AC$4:$AC$138,0),1)</f>
        <v>Bandon, City of</v>
      </c>
      <c r="O38" s="100">
        <f ca="1">+INDEX('Charges_NonSlice &amp; Excl LS'!$AB$4:$AB$138,MATCH($A38,'Charges_NonSlice &amp; Excl LS'!$AC$4:$AC$138,0),1)</f>
        <v>2.2112315569523727E-2</v>
      </c>
      <c r="P38" s="129">
        <f ca="1">+INDEX('Charges_NonSlice &amp; Excl LS'!$AA$4:$AA$138,MATCH($A38,'Charges_NonSlice &amp; Excl LS'!$AC$4:$AC$138,0),1)</f>
        <v>37.565647428546754</v>
      </c>
      <c r="Q38" s="297">
        <f ca="1">+INDEX('Charges_NonSlice &amp; Excl LS'!$Z$4:$Z$138,MATCH($A38,'Charges_NonSlice &amp; Excl LS'!$AC$4:$AC$138,0),1)/1000</f>
        <v>65.565940827340796</v>
      </c>
      <c r="R38" s="107">
        <f ca="1">+SUM(Q$5:Q38)</f>
        <v>7376.0881287684106</v>
      </c>
      <c r="T38" s="295" t="str">
        <f ca="1">+INDEX(Charges_NonSlice!$C$4:$C$138,MATCH($A38,Charges_NonSlice!$AC$4:$AC$138,0),1)</f>
        <v>Peninsula Light Company</v>
      </c>
      <c r="U38" s="100">
        <f t="shared" ca="1" si="0"/>
        <v>2.7993928402806789E-2</v>
      </c>
      <c r="V38" s="129">
        <f ca="1">+INDEX(Charges_NonSlice!$AA$4:$AA$138,MATCH($A38,Charges_NonSlice!$AC$4:$AC$138,0),1)</f>
        <v>39.118762969886298</v>
      </c>
      <c r="W38" s="120">
        <f t="shared" ca="1" si="1"/>
        <v>38.053496123916887</v>
      </c>
      <c r="Y38" s="103" t="s">
        <v>73</v>
      </c>
      <c r="Z38" s="104">
        <v>37.481436130936572</v>
      </c>
    </row>
    <row r="39" spans="1:26">
      <c r="A39">
        <f t="shared" si="2"/>
        <v>35</v>
      </c>
      <c r="B39" s="112" t="str">
        <f ca="1">+INDEX('Charges_Including Slice and LS'!$C$4:$C$138,MATCH($A39,'Charges_Including Slice and LS'!$AC$4:$AC$138,0),1)</f>
        <v>Burley, City of</v>
      </c>
      <c r="C39" s="100">
        <f ca="1">+INDEX('Charges_Including Slice and LS'!$AB$4:$AB$138,MATCH($A39,'Charges_Including Slice and LS'!$AC$4:$AC$138,0),1)</f>
        <v>2.3704150743431719E-2</v>
      </c>
      <c r="D39" s="86">
        <f ca="1">+INDEX('Charges_Including Slice and LS'!$AA$4:$AA$138,MATCH($A39,'Charges_Including Slice and LS'!$AC$4:$AC$138,0),1)</f>
        <v>37.844200732678274</v>
      </c>
      <c r="E39" s="107">
        <f ca="1">+INDEX('Charges_Including Slice and LS'!$Z$4:$Z$138,MATCH($A39,'Charges_Including Slice and LS'!$AC$4:$AC$138,0),1)/1000</f>
        <v>120.2541978971136</v>
      </c>
      <c r="F39" s="107">
        <f ca="1">+SUM(E$5:E39)</f>
        <v>6210.0285964439554</v>
      </c>
      <c r="H39" s="295" t="str">
        <f ca="1">+INDEX(Charges_NonSlice!$C$4:$C$138,MATCH($A39,Charges_NonSlice!$AC$4:$AC$138,0),1)</f>
        <v>Plummer, City of</v>
      </c>
      <c r="I39" s="100">
        <f ca="1">+INDEX(Charges_NonSlice!$AB$4:$AB$138,MATCH($A39,Charges_NonSlice!$AC$4:$AC$138,0),1)</f>
        <v>2.4030447974436545E-2</v>
      </c>
      <c r="J39" s="129">
        <f ca="1">+INDEX(Charges_NonSlice!$AA$4:$AA$138,MATCH($A39,Charges_NonSlice!$AC$4:$AC$138,0),1)</f>
        <v>38.520851388725703</v>
      </c>
      <c r="K39" s="297">
        <f ca="1">+INDEX(Charges_NonSlice!$Z$4:$Z$138,MATCH($A39,Charges_NonSlice!$AC$4:$AC$138,0),1)/1000</f>
        <v>33.962207013171195</v>
      </c>
      <c r="L39" s="107">
        <f ca="1">+SUM(K$5:K39)</f>
        <v>7294.8616067203084</v>
      </c>
      <c r="N39" s="295" t="str">
        <f ca="1">+INDEX('Charges_NonSlice &amp; Excl LS'!$C$4:$C$138,MATCH($A39,'Charges_NonSlice &amp; Excl LS'!$AC$4:$AC$138,0),1)</f>
        <v>Peninsula Light Company</v>
      </c>
      <c r="O39" s="100">
        <f ca="1">+INDEX('Charges_NonSlice &amp; Excl LS'!$AB$4:$AB$138,MATCH($A39,'Charges_NonSlice &amp; Excl LS'!$AC$4:$AC$138,0),1)</f>
        <v>2.2077762393359457E-2</v>
      </c>
      <c r="P39" s="129">
        <f ca="1">+INDEX('Charges_NonSlice &amp; Excl LS'!$AA$4:$AA$138,MATCH($A39,'Charges_NonSlice &amp; Excl LS'!$AC$4:$AC$138,0),1)</f>
        <v>38.329462688468666</v>
      </c>
      <c r="Q39" s="297">
        <f ca="1">+INDEX('Charges_NonSlice &amp; Excl LS'!$Z$4:$Z$138,MATCH($A39,'Charges_NonSlice &amp; Excl LS'!$AC$4:$AC$138,0),1)/1000</f>
        <v>592.45670434959356</v>
      </c>
      <c r="R39" s="107">
        <f ca="1">+SUM(Q$5:Q39)</f>
        <v>7968.5448331180041</v>
      </c>
      <c r="T39" s="295" t="str">
        <f ca="1">+INDEX(Charges_NonSlice!$C$4:$C$138,MATCH($A39,Charges_NonSlice!$AC$4:$AC$138,0),1)</f>
        <v>Plummer, City of</v>
      </c>
      <c r="U39" s="100">
        <f t="shared" ca="1" si="0"/>
        <v>3.9838054914967502E-2</v>
      </c>
      <c r="V39" s="129">
        <f ca="1">+INDEX(Charges_NonSlice!$AA$4:$AA$138,MATCH($A39,Charges_NonSlice!$AC$4:$AC$138,0),1)</f>
        <v>38.520851388725703</v>
      </c>
      <c r="W39" s="120">
        <f t="shared" ca="1" si="1"/>
        <v>37.045048704123197</v>
      </c>
      <c r="Y39" s="103" t="s">
        <v>101</v>
      </c>
      <c r="Z39" s="104">
        <v>37.97095906435834</v>
      </c>
    </row>
    <row r="40" spans="1:26">
      <c r="A40">
        <f t="shared" si="2"/>
        <v>36</v>
      </c>
      <c r="B40" s="112" t="str">
        <f ca="1">+INDEX('Charges_Including Slice and LS'!$C$4:$C$138,MATCH($A40,'Charges_Including Slice and LS'!$AC$4:$AC$138,0),1)</f>
        <v>Consolidated Irrigation District #19</v>
      </c>
      <c r="C40" s="100">
        <f ca="1">+INDEX('Charges_Including Slice and LS'!$AB$4:$AB$138,MATCH($A40,'Charges_Including Slice and LS'!$AC$4:$AC$138,0),1)</f>
        <v>2.3689943873145138E-2</v>
      </c>
      <c r="D40" s="86">
        <f ca="1">+INDEX('Charges_Including Slice and LS'!$AA$4:$AA$138,MATCH($A40,'Charges_Including Slice and LS'!$AC$4:$AC$138,0),1)</f>
        <v>37.974477111033949</v>
      </c>
      <c r="E40" s="107">
        <f ca="1">+INDEX('Charges_Including Slice and LS'!$Z$4:$Z$138,MATCH($A40,'Charges_Including Slice and LS'!$AC$4:$AC$138,0),1)/1000</f>
        <v>1.9851840000000001</v>
      </c>
      <c r="F40" s="107">
        <f ca="1">+SUM(E$5:E40)</f>
        <v>6212.0137804439555</v>
      </c>
      <c r="H40" s="295" t="str">
        <f ca="1">+INDEX(Charges_NonSlice!$C$4:$C$138,MATCH($A40,Charges_NonSlice!$AC$4:$AC$138,0),1)</f>
        <v>Burley, City of</v>
      </c>
      <c r="I40" s="100">
        <f ca="1">+INDEX(Charges_NonSlice!$AB$4:$AB$138,MATCH($A40,Charges_NonSlice!$AC$4:$AC$138,0),1)</f>
        <v>2.3704150743427306E-2</v>
      </c>
      <c r="J40" s="129">
        <f ca="1">+INDEX(Charges_NonSlice!$AA$4:$AA$138,MATCH($A40,Charges_NonSlice!$AC$4:$AC$138,0),1)</f>
        <v>37.844200732678274</v>
      </c>
      <c r="K40" s="297">
        <f ca="1">+INDEX(Charges_NonSlice!$Z$4:$Z$138,MATCH($A40,Charges_NonSlice!$AC$4:$AC$138,0),1)/1000</f>
        <v>120.2541978971136</v>
      </c>
      <c r="L40" s="107">
        <f ca="1">+SUM(K$5:K40)</f>
        <v>7415.1158046174223</v>
      </c>
      <c r="N40" s="295" t="str">
        <f ca="1">+INDEX('Charges_NonSlice &amp; Excl LS'!$C$4:$C$138,MATCH($A40,'Charges_NonSlice &amp; Excl LS'!$AC$4:$AC$138,0),1)</f>
        <v>Ellensburg, City of</v>
      </c>
      <c r="O40" s="100">
        <f ca="1">+INDEX('Charges_NonSlice &amp; Excl LS'!$AB$4:$AB$138,MATCH($A40,'Charges_NonSlice &amp; Excl LS'!$AC$4:$AC$138,0),1)</f>
        <v>2.2067613594784468E-2</v>
      </c>
      <c r="P40" s="129">
        <f ca="1">+INDEX('Charges_NonSlice &amp; Excl LS'!$AA$4:$AA$138,MATCH($A40,'Charges_NonSlice &amp; Excl LS'!$AC$4:$AC$138,0),1)</f>
        <v>37.632085026426708</v>
      </c>
      <c r="Q40" s="297">
        <f ca="1">+INDEX('Charges_NonSlice &amp; Excl LS'!$Z$4:$Z$138,MATCH($A40,'Charges_NonSlice &amp; Excl LS'!$AC$4:$AC$138,0),1)/1000</f>
        <v>209.54445233356799</v>
      </c>
      <c r="R40" s="107">
        <f ca="1">+SUM(Q$5:Q40)</f>
        <v>8178.0892854515723</v>
      </c>
      <c r="T40" s="295" t="str">
        <f ca="1">+INDEX(Charges_NonSlice!$C$4:$C$138,MATCH($A40,Charges_NonSlice!$AC$4:$AC$138,0),1)</f>
        <v>Burley, City of</v>
      </c>
      <c r="U40" s="100">
        <f t="shared" ca="1" si="0"/>
        <v>3.6384593828357126E-2</v>
      </c>
      <c r="V40" s="129">
        <f ca="1">+INDEX(Charges_NonSlice!$AA$4:$AA$138,MATCH($A40,Charges_NonSlice!$AC$4:$AC$138,0),1)</f>
        <v>37.844200732678274</v>
      </c>
      <c r="W40" s="120">
        <f t="shared" ca="1" si="1"/>
        <v>36.515595617726746</v>
      </c>
      <c r="Y40" s="103" t="s">
        <v>77</v>
      </c>
      <c r="Z40" s="104">
        <v>35.926706998312937</v>
      </c>
    </row>
    <row r="41" spans="1:26">
      <c r="A41">
        <f t="shared" si="2"/>
        <v>37</v>
      </c>
      <c r="B41" s="112" t="str">
        <f ca="1">+INDEX('Charges_Including Slice and LS'!$C$4:$C$138,MATCH($A41,'Charges_Including Slice and LS'!$AC$4:$AC$138,0),1)</f>
        <v>Monmouth, City of</v>
      </c>
      <c r="C41" s="100">
        <f ca="1">+INDEX('Charges_Including Slice and LS'!$AB$4:$AB$138,MATCH($A41,'Charges_Including Slice and LS'!$AC$4:$AC$138,0),1)</f>
        <v>2.3676917774225325E-2</v>
      </c>
      <c r="D41" s="86">
        <f ca="1">+INDEX('Charges_Including Slice and LS'!$AA$4:$AA$138,MATCH($A41,'Charges_Including Slice and LS'!$AC$4:$AC$138,0),1)</f>
        <v>38.193690305220748</v>
      </c>
      <c r="E41" s="107">
        <f ca="1">+INDEX('Charges_Including Slice and LS'!$Z$4:$Z$138,MATCH($A41,'Charges_Including Slice and LS'!$AC$4:$AC$138,0),1)/1000</f>
        <v>73.074096000000011</v>
      </c>
      <c r="F41" s="107">
        <f ca="1">+SUM(E$5:E41)</f>
        <v>6285.0878764439558</v>
      </c>
      <c r="H41" s="295" t="str">
        <f ca="1">+INDEX(Charges_NonSlice!$C$4:$C$138,MATCH($A41,Charges_NonSlice!$AC$4:$AC$138,0),1)</f>
        <v>Consolidated Irrigation District #19</v>
      </c>
      <c r="I41" s="100">
        <f ca="1">+INDEX(Charges_NonSlice!$AB$4:$AB$138,MATCH($A41,Charges_NonSlice!$AC$4:$AC$138,0),1)</f>
        <v>2.3689943873142751E-2</v>
      </c>
      <c r="J41" s="129">
        <f ca="1">+INDEX(Charges_NonSlice!$AA$4:$AA$138,MATCH($A41,Charges_NonSlice!$AC$4:$AC$138,0),1)</f>
        <v>37.974477111033949</v>
      </c>
      <c r="K41" s="297">
        <f ca="1">+INDEX(Charges_NonSlice!$Z$4:$Z$138,MATCH($A41,Charges_NonSlice!$AC$4:$AC$138,0),1)/1000</f>
        <v>1.9851840000000001</v>
      </c>
      <c r="L41" s="107">
        <f ca="1">+SUM(K$5:K41)</f>
        <v>7417.1009886174224</v>
      </c>
      <c r="N41" s="295" t="str">
        <f ca="1">+INDEX('Charges_NonSlice &amp; Excl LS'!$C$4:$C$138,MATCH($A41,'Charges_NonSlice &amp; Excl LS'!$AC$4:$AC$138,0),1)</f>
        <v>Burley, City of</v>
      </c>
      <c r="O41" s="100">
        <f ca="1">+INDEX('Charges_NonSlice &amp; Excl LS'!$AB$4:$AB$138,MATCH($A41,'Charges_NonSlice &amp; Excl LS'!$AC$4:$AC$138,0),1)</f>
        <v>2.2056830814786616E-2</v>
      </c>
      <c r="P41" s="129">
        <f ca="1">+INDEX('Charges_NonSlice &amp; Excl LS'!$AA$4:$AA$138,MATCH($A41,'Charges_NonSlice &amp; Excl LS'!$AC$4:$AC$138,0),1)</f>
        <v>37.202526547053125</v>
      </c>
      <c r="Q41" s="297">
        <f ca="1">+INDEX('Charges_NonSlice &amp; Excl LS'!$Z$4:$Z$138,MATCH($A41,'Charges_NonSlice &amp; Excl LS'!$AC$4:$AC$138,0),1)/1000</f>
        <v>122.1231978971136</v>
      </c>
      <c r="R41" s="107">
        <f ca="1">+SUM(Q$5:Q41)</f>
        <v>8300.2124833486851</v>
      </c>
      <c r="T41" s="295" t="str">
        <f ca="1">+INDEX(Charges_NonSlice!$C$4:$C$138,MATCH($A41,Charges_NonSlice!$AC$4:$AC$138,0),1)</f>
        <v>Consolidated Irrigation District #19</v>
      </c>
      <c r="U41" s="100">
        <f t="shared" ca="1" si="0"/>
        <v>-0.23351494359946401</v>
      </c>
      <c r="V41" s="129">
        <f ca="1">+INDEX(Charges_NonSlice!$AA$4:$AA$138,MATCH($A41,Charges_NonSlice!$AC$4:$AC$138,0),1)</f>
        <v>37.974477111033949</v>
      </c>
      <c r="W41" s="120">
        <f t="shared" ca="1" si="1"/>
        <v>49.543662715832426</v>
      </c>
      <c r="Y41" s="103" t="s">
        <v>43</v>
      </c>
      <c r="Z41" s="104">
        <v>38.14062152793035</v>
      </c>
    </row>
    <row r="42" spans="1:26">
      <c r="A42">
        <f t="shared" si="2"/>
        <v>38</v>
      </c>
      <c r="B42" s="112" t="str">
        <f ca="1">+INDEX('Charges_Including Slice and LS'!$C$4:$C$138,MATCH($A42,'Charges_Including Slice and LS'!$AC$4:$AC$138,0),1)</f>
        <v>Energy Northwest</v>
      </c>
      <c r="C42" s="100">
        <f ca="1">+INDEX('Charges_Including Slice and LS'!$AB$4:$AB$138,MATCH($A42,'Charges_Including Slice and LS'!$AC$4:$AC$138,0),1)</f>
        <v>2.365445690946924E-2</v>
      </c>
      <c r="D42" s="86">
        <f ca="1">+INDEX('Charges_Including Slice and LS'!$AA$4:$AA$138,MATCH($A42,'Charges_Including Slice and LS'!$AC$4:$AC$138,0),1)</f>
        <v>36.632902192796223</v>
      </c>
      <c r="E42" s="107">
        <f ca="1">+INDEX('Charges_Including Slice and LS'!$Z$4:$Z$138,MATCH($A42,'Charges_Including Slice and LS'!$AC$4:$AC$138,0),1)/1000</f>
        <v>20.867769481011198</v>
      </c>
      <c r="F42" s="107">
        <f ca="1">+SUM(E$5:E42)</f>
        <v>6305.955645924967</v>
      </c>
      <c r="H42" s="295" t="str">
        <f ca="1">+INDEX(Charges_NonSlice!$C$4:$C$138,MATCH($A42,Charges_NonSlice!$AC$4:$AC$138,0),1)</f>
        <v>Monmouth, City of</v>
      </c>
      <c r="I42" s="100">
        <f ca="1">+INDEX(Charges_NonSlice!$AB$4:$AB$138,MATCH($A42,Charges_NonSlice!$AC$4:$AC$138,0),1)</f>
        <v>2.3676917774226841E-2</v>
      </c>
      <c r="J42" s="129">
        <f ca="1">+INDEX(Charges_NonSlice!$AA$4:$AA$138,MATCH($A42,Charges_NonSlice!$AC$4:$AC$138,0),1)</f>
        <v>38.193690305220748</v>
      </c>
      <c r="K42" s="297">
        <f ca="1">+INDEX(Charges_NonSlice!$Z$4:$Z$138,MATCH($A42,Charges_NonSlice!$AC$4:$AC$138,0),1)/1000</f>
        <v>73.074096000000011</v>
      </c>
      <c r="L42" s="107">
        <f ca="1">+SUM(K$5:K42)</f>
        <v>7490.1750846174227</v>
      </c>
      <c r="N42" s="295" t="str">
        <f ca="1">+INDEX('Charges_NonSlice &amp; Excl LS'!$C$4:$C$138,MATCH($A42,'Charges_NonSlice &amp; Excl LS'!$AC$4:$AC$138,0),1)</f>
        <v>Centralia, City of</v>
      </c>
      <c r="O42" s="100">
        <f ca="1">+INDEX('Charges_NonSlice &amp; Excl LS'!$AB$4:$AB$138,MATCH($A42,'Charges_NonSlice &amp; Excl LS'!$AC$4:$AC$138,0),1)</f>
        <v>2.2055660553333377E-2</v>
      </c>
      <c r="P42" s="129">
        <f ca="1">+INDEX('Charges_NonSlice &amp; Excl LS'!$AA$4:$AA$138,MATCH($A42,'Charges_NonSlice &amp; Excl LS'!$AC$4:$AC$138,0),1)</f>
        <v>38.3590657011529</v>
      </c>
      <c r="Q42" s="297">
        <f ca="1">+INDEX('Charges_NonSlice &amp; Excl LS'!$Z$4:$Z$138,MATCH($A42,'Charges_NonSlice &amp; Excl LS'!$AC$4:$AC$138,0),1)/1000</f>
        <v>212.94430490234879</v>
      </c>
      <c r="R42" s="107">
        <f ca="1">+SUM(Q$5:Q42)</f>
        <v>8513.1567882510335</v>
      </c>
      <c r="T42" s="295" t="str">
        <f ca="1">+INDEX(Charges_NonSlice!$C$4:$C$138,MATCH($A42,Charges_NonSlice!$AC$4:$AC$138,0),1)</f>
        <v>Monmouth, City of</v>
      </c>
      <c r="U42" s="100">
        <f t="shared" ca="1" si="0"/>
        <v>3.4356080514393428E-2</v>
      </c>
      <c r="V42" s="129">
        <f ca="1">+INDEX(Charges_NonSlice!$AA$4:$AA$138,MATCH($A42,Charges_NonSlice!$AC$4:$AC$138,0),1)</f>
        <v>38.193690305220748</v>
      </c>
      <c r="W42" s="120">
        <f t="shared" ca="1" si="1"/>
        <v>36.925088975381406</v>
      </c>
      <c r="Y42" s="103" t="s">
        <v>68</v>
      </c>
      <c r="Z42" s="104">
        <v>31.740902942243935</v>
      </c>
    </row>
    <row r="43" spans="1:26">
      <c r="A43">
        <f t="shared" si="2"/>
        <v>39</v>
      </c>
      <c r="B43" s="112" t="str">
        <f ca="1">+INDEX('Charges_Including Slice and LS'!$C$4:$C$138,MATCH($A43,'Charges_Including Slice and LS'!$AC$4:$AC$138,0),1)</f>
        <v>Rupert, City of</v>
      </c>
      <c r="C43" s="100">
        <f ca="1">+INDEX('Charges_Including Slice and LS'!$AB$4:$AB$138,MATCH($A43,'Charges_Including Slice and LS'!$AC$4:$AC$138,0),1)</f>
        <v>2.3608223463519165E-2</v>
      </c>
      <c r="D43" s="86">
        <f ca="1">+INDEX('Charges_Including Slice and LS'!$AA$4:$AA$138,MATCH($A43,'Charges_Including Slice and LS'!$AC$4:$AC$138,0),1)</f>
        <v>38.747138053714785</v>
      </c>
      <c r="E43" s="107">
        <f ca="1">+INDEX('Charges_Including Slice and LS'!$Z$4:$Z$138,MATCH($A43,'Charges_Including Slice and LS'!$AC$4:$AC$138,0),1)/1000</f>
        <v>82.332431999999997</v>
      </c>
      <c r="F43" s="107">
        <f ca="1">+SUM(E$5:E43)</f>
        <v>6388.2880779249672</v>
      </c>
      <c r="H43" s="295" t="str">
        <f ca="1">+INDEX(Charges_NonSlice!$C$4:$C$138,MATCH($A43,Charges_NonSlice!$AC$4:$AC$138,0),1)</f>
        <v>Energy Northwest</v>
      </c>
      <c r="I43" s="100">
        <f ca="1">+INDEX(Charges_NonSlice!$AB$4:$AB$138,MATCH($A43,Charges_NonSlice!$AC$4:$AC$138,0),1)</f>
        <v>2.365445690946226E-2</v>
      </c>
      <c r="J43" s="129">
        <f ca="1">+INDEX(Charges_NonSlice!$AA$4:$AA$138,MATCH($A43,Charges_NonSlice!$AC$4:$AC$138,0),1)</f>
        <v>36.632902192796223</v>
      </c>
      <c r="K43" s="297">
        <f ca="1">+INDEX(Charges_NonSlice!$Z$4:$Z$138,MATCH($A43,Charges_NonSlice!$AC$4:$AC$138,0),1)/1000</f>
        <v>20.867769481011198</v>
      </c>
      <c r="L43" s="107">
        <f ca="1">+SUM(K$5:K43)</f>
        <v>7511.042854098434</v>
      </c>
      <c r="N43" s="295" t="str">
        <f ca="1">+INDEX('Charges_NonSlice &amp; Excl LS'!$C$4:$C$138,MATCH($A43,'Charges_NonSlice &amp; Excl LS'!$AC$4:$AC$138,0),1)</f>
        <v>Steilacoom, Town of</v>
      </c>
      <c r="O43" s="100">
        <f ca="1">+INDEX('Charges_NonSlice &amp; Excl LS'!$AB$4:$AB$138,MATCH($A43,'Charges_NonSlice &amp; Excl LS'!$AC$4:$AC$138,0),1)</f>
        <v>2.196101871815833E-2</v>
      </c>
      <c r="P43" s="129">
        <f ca="1">+INDEX('Charges_NonSlice &amp; Excl LS'!$AA$4:$AA$138,MATCH($A43,'Charges_NonSlice &amp; Excl LS'!$AC$4:$AC$138,0),1)</f>
        <v>37.904432378316628</v>
      </c>
      <c r="Q43" s="297">
        <f ca="1">+INDEX('Charges_NonSlice &amp; Excl LS'!$Z$4:$Z$138,MATCH($A43,'Charges_NonSlice &amp; Excl LS'!$AC$4:$AC$138,0),1)/1000</f>
        <v>41.686758538444806</v>
      </c>
      <c r="R43" s="107">
        <f ca="1">+SUM(Q$5:Q43)</f>
        <v>8554.8435467894778</v>
      </c>
      <c r="T43" s="295" t="str">
        <f ca="1">+INDEX(Charges_NonSlice!$C$4:$C$138,MATCH($A43,Charges_NonSlice!$AC$4:$AC$138,0),1)</f>
        <v>Energy Northwest</v>
      </c>
      <c r="U43" s="100">
        <f t="shared" ca="1" si="0"/>
        <v>1.3008338962381627E-2</v>
      </c>
      <c r="V43" s="129">
        <f ca="1">+INDEX(Charges_NonSlice!$AA$4:$AA$138,MATCH($A43,Charges_NonSlice!$AC$4:$AC$138,0),1)</f>
        <v>36.632902192796223</v>
      </c>
      <c r="W43" s="120">
        <f t="shared" ca="1" si="1"/>
        <v>36.162488287430179</v>
      </c>
      <c r="Y43" s="103" t="s">
        <v>118</v>
      </c>
      <c r="Z43" s="104">
        <v>36.997199574388553</v>
      </c>
    </row>
    <row r="44" spans="1:26">
      <c r="A44">
        <f t="shared" si="2"/>
        <v>40</v>
      </c>
      <c r="B44" s="112" t="str">
        <f ca="1">+INDEX('Charges_Including Slice and LS'!$C$4:$C$138,MATCH($A44,'Charges_Including Slice and LS'!$AC$4:$AC$138,0),1)</f>
        <v>Columbia REA</v>
      </c>
      <c r="C44" s="100">
        <f ca="1">+INDEX('Charges_Including Slice and LS'!$AB$4:$AB$138,MATCH($A44,'Charges_Including Slice and LS'!$AC$4:$AC$138,0),1)</f>
        <v>2.3425898817690194E-2</v>
      </c>
      <c r="D44" s="86">
        <f ca="1">+INDEX('Charges_Including Slice and LS'!$AA$4:$AA$138,MATCH($A44,'Charges_Including Slice and LS'!$AC$4:$AC$138,0),1)</f>
        <v>30.069803287568615</v>
      </c>
      <c r="E44" s="107">
        <f ca="1">+INDEX('Charges_Including Slice and LS'!$Z$4:$Z$138,MATCH($A44,'Charges_Including Slice and LS'!$AC$4:$AC$138,0),1)/1000</f>
        <v>310.21543531519995</v>
      </c>
      <c r="F44" s="107">
        <f ca="1">+SUM(E$5:E44)</f>
        <v>6698.5035132401672</v>
      </c>
      <c r="H44" s="295" t="str">
        <f ca="1">+INDEX(Charges_NonSlice!$C$4:$C$138,MATCH($A44,Charges_NonSlice!$AC$4:$AC$138,0),1)</f>
        <v>Rupert, City of</v>
      </c>
      <c r="I44" s="100">
        <f ca="1">+INDEX(Charges_NonSlice!$AB$4:$AB$138,MATCH($A44,Charges_NonSlice!$AC$4:$AC$138,0),1)</f>
        <v>2.3608223463518582E-2</v>
      </c>
      <c r="J44" s="129">
        <f ca="1">+INDEX(Charges_NonSlice!$AA$4:$AA$138,MATCH($A44,Charges_NonSlice!$AC$4:$AC$138,0),1)</f>
        <v>38.747138053714785</v>
      </c>
      <c r="K44" s="297">
        <f ca="1">+INDEX(Charges_NonSlice!$Z$4:$Z$138,MATCH($A44,Charges_NonSlice!$AC$4:$AC$138,0),1)/1000</f>
        <v>82.332431999999997</v>
      </c>
      <c r="L44" s="107">
        <f ca="1">+SUM(K$5:K44)</f>
        <v>7593.3752860984341</v>
      </c>
      <c r="N44" s="295" t="str">
        <f ca="1">+INDEX('Charges_NonSlice &amp; Excl LS'!$C$4:$C$138,MATCH($A44,'Charges_NonSlice &amp; Excl LS'!$AC$4:$AC$138,0),1)</f>
        <v>Idaho County L &amp; P</v>
      </c>
      <c r="O44" s="100">
        <f ca="1">+INDEX('Charges_NonSlice &amp; Excl LS'!$AB$4:$AB$138,MATCH($A44,'Charges_NonSlice &amp; Excl LS'!$AC$4:$AC$138,0),1)</f>
        <v>2.1784750586435593E-2</v>
      </c>
      <c r="P44" s="129">
        <f ca="1">+INDEX('Charges_NonSlice &amp; Excl LS'!$AA$4:$AA$138,MATCH($A44,'Charges_NonSlice &amp; Excl LS'!$AC$4:$AC$138,0),1)</f>
        <v>35.277934773609196</v>
      </c>
      <c r="Q44" s="297">
        <f ca="1">+INDEX('Charges_NonSlice &amp; Excl LS'!$Z$4:$Z$138,MATCH($A44,'Charges_NonSlice &amp; Excl LS'!$AC$4:$AC$138,0),1)/1000</f>
        <v>54.286575136358401</v>
      </c>
      <c r="R44" s="107">
        <f ca="1">+SUM(Q$5:Q44)</f>
        <v>8609.1301219258366</v>
      </c>
      <c r="T44" s="295" t="str">
        <f ca="1">+INDEX(Charges_NonSlice!$C$4:$C$138,MATCH($A44,Charges_NonSlice!$AC$4:$AC$138,0),1)</f>
        <v>Rupert, City of</v>
      </c>
      <c r="U44" s="100">
        <f t="shared" ca="1" si="0"/>
        <v>3.718381028029194E-2</v>
      </c>
      <c r="V44" s="129">
        <f ca="1">+INDEX(Charges_NonSlice!$AA$4:$AA$138,MATCH($A44,Charges_NonSlice!$AC$4:$AC$138,0),1)</f>
        <v>38.747138053714785</v>
      </c>
      <c r="W44" s="120">
        <f t="shared" ca="1" si="1"/>
        <v>37.358024363341762</v>
      </c>
      <c r="Y44" s="103" t="s">
        <v>87</v>
      </c>
      <c r="Z44" s="104">
        <v>34.993882005742634</v>
      </c>
    </row>
    <row r="45" spans="1:26">
      <c r="A45">
        <f t="shared" si="2"/>
        <v>41</v>
      </c>
      <c r="B45" s="112" t="str">
        <f ca="1">+INDEX('Charges_Including Slice and LS'!$C$4:$C$138,MATCH($A45,'Charges_Including Slice and LS'!$AC$4:$AC$138,0),1)</f>
        <v>Idaho County L &amp; P</v>
      </c>
      <c r="C45" s="100">
        <f ca="1">+INDEX('Charges_Including Slice and LS'!$AB$4:$AB$138,MATCH($A45,'Charges_Including Slice and LS'!$AC$4:$AC$138,0),1)</f>
        <v>2.3130384753896619E-2</v>
      </c>
      <c r="D45" s="86">
        <f ca="1">+INDEX('Charges_Including Slice and LS'!$AA$4:$AA$138,MATCH($A45,'Charges_Including Slice and LS'!$AC$4:$AC$138,0),1)</f>
        <v>36.064673046946197</v>
      </c>
      <c r="E45" s="107">
        <f ca="1">+INDEX('Charges_Including Slice and LS'!$Z$4:$Z$138,MATCH($A45,'Charges_Including Slice and LS'!$AC$4:$AC$138,0),1)/1000</f>
        <v>54.285119999999992</v>
      </c>
      <c r="F45" s="107">
        <f ca="1">+SUM(E$5:E45)</f>
        <v>6752.7886332401667</v>
      </c>
      <c r="H45" s="295" t="str">
        <f ca="1">+INDEX(Charges_NonSlice!$C$4:$C$138,MATCH($A45,Charges_NonSlice!$AC$4:$AC$138,0),1)</f>
        <v>Columbia REA</v>
      </c>
      <c r="I45" s="100">
        <f ca="1">+INDEX(Charges_NonSlice!$AB$4:$AB$138,MATCH($A45,Charges_NonSlice!$AC$4:$AC$138,0),1)</f>
        <v>2.3425898817692446E-2</v>
      </c>
      <c r="J45" s="129">
        <f ca="1">+INDEX(Charges_NonSlice!$AA$4:$AA$138,MATCH($A45,Charges_NonSlice!$AC$4:$AC$138,0),1)</f>
        <v>30.069803287568615</v>
      </c>
      <c r="K45" s="297">
        <f ca="1">+INDEX(Charges_NonSlice!$Z$4:$Z$138,MATCH($A45,Charges_NonSlice!$AC$4:$AC$138,0),1)/1000</f>
        <v>310.21543531519995</v>
      </c>
      <c r="L45" s="107">
        <f ca="1">+SUM(K$5:K45)</f>
        <v>7903.5907214136341</v>
      </c>
      <c r="N45" s="295" t="str">
        <f ca="1">+INDEX('Charges_NonSlice &amp; Excl LS'!$C$4:$C$138,MATCH($A45,'Charges_NonSlice &amp; Excl LS'!$AC$4:$AC$138,0),1)</f>
        <v>Ferry County PUD #1</v>
      </c>
      <c r="O45" s="100">
        <f ca="1">+INDEX('Charges_NonSlice &amp; Excl LS'!$AB$4:$AB$138,MATCH($A45,'Charges_NonSlice &amp; Excl LS'!$AC$4:$AC$138,0),1)</f>
        <v>2.1761961254969049E-2</v>
      </c>
      <c r="P45" s="129">
        <f ca="1">+INDEX('Charges_NonSlice &amp; Excl LS'!$AA$4:$AA$138,MATCH($A45,'Charges_NonSlice &amp; Excl LS'!$AC$4:$AC$138,0),1)</f>
        <v>33.584016742837086</v>
      </c>
      <c r="Q45" s="297">
        <f ca="1">+INDEX('Charges_NonSlice &amp; Excl LS'!$Z$4:$Z$138,MATCH($A45,'Charges_NonSlice &amp; Excl LS'!$AC$4:$AC$138,0),1)/1000</f>
        <v>80.769637251071998</v>
      </c>
      <c r="R45" s="107">
        <f ca="1">+SUM(Q$5:Q45)</f>
        <v>8689.8997591769094</v>
      </c>
      <c r="T45" s="295" t="str">
        <f ca="1">+INDEX(Charges_NonSlice!$C$4:$C$138,MATCH($A45,Charges_NonSlice!$AC$4:$AC$138,0),1)</f>
        <v>Columbia REA</v>
      </c>
      <c r="U45" s="100">
        <f t="shared" ca="1" si="0"/>
        <v>4.4830765403323092E-2</v>
      </c>
      <c r="V45" s="129">
        <f ca="1">+INDEX(Charges_NonSlice!$AA$4:$AA$138,MATCH($A45,Charges_NonSlice!$AC$4:$AC$138,0),1)</f>
        <v>30.069803287568615</v>
      </c>
      <c r="W45" s="120">
        <f t="shared" ca="1" si="1"/>
        <v>28.779592143768031</v>
      </c>
      <c r="Y45" s="103" t="s">
        <v>25</v>
      </c>
      <c r="Z45" s="104">
        <v>37.644413536768525</v>
      </c>
    </row>
    <row r="46" spans="1:26">
      <c r="A46">
        <f t="shared" si="2"/>
        <v>42</v>
      </c>
      <c r="B46" s="112" t="str">
        <f ca="1">+INDEX('Charges_Including Slice and LS'!$C$4:$C$138,MATCH($A46,'Charges_Including Slice and LS'!$AC$4:$AC$138,0),1)</f>
        <v>Ellensburg, City of</v>
      </c>
      <c r="C46" s="100">
        <f ca="1">+INDEX('Charges_Including Slice and LS'!$AB$4:$AB$138,MATCH($A46,'Charges_Including Slice and LS'!$AC$4:$AC$138,0),1)</f>
        <v>2.294678721268124E-2</v>
      </c>
      <c r="D46" s="86">
        <f ca="1">+INDEX('Charges_Including Slice and LS'!$AA$4:$AA$138,MATCH($A46,'Charges_Including Slice and LS'!$AC$4:$AC$138,0),1)</f>
        <v>38.260654927788956</v>
      </c>
      <c r="E46" s="107">
        <f ca="1">+INDEX('Charges_Including Slice and LS'!$Z$4:$Z$138,MATCH($A46,'Charges_Including Slice and LS'!$AC$4:$AC$138,0),1)/1000</f>
        <v>209.54232000000002</v>
      </c>
      <c r="F46" s="107">
        <f ca="1">+SUM(E$5:E46)</f>
        <v>6962.3309532401672</v>
      </c>
      <c r="H46" s="295" t="str">
        <f ca="1">+INDEX(Charges_NonSlice!$C$4:$C$138,MATCH($A46,Charges_NonSlice!$AC$4:$AC$138,0),1)</f>
        <v>Emerald PUD</v>
      </c>
      <c r="I46" s="100">
        <f ca="1">+INDEX(Charges_NonSlice!$AB$4:$AB$138,MATCH($A46,Charges_NonSlice!$AC$4:$AC$138,0),1)</f>
        <v>2.3380444053685598E-2</v>
      </c>
      <c r="J46" s="129">
        <f ca="1">+INDEX(Charges_NonSlice!$AA$4:$AA$138,MATCH($A46,Charges_NonSlice!$AC$4:$AC$138,0),1)</f>
        <v>33.590666074961831</v>
      </c>
      <c r="K46" s="297">
        <f ca="1">+INDEX(Charges_NonSlice!$Z$4:$Z$138,MATCH($A46,Charges_NonSlice!$AC$4:$AC$138,0),1)/1000</f>
        <v>207.36472672808961</v>
      </c>
      <c r="L46" s="107">
        <f ca="1">+SUM(K$5:K46)</f>
        <v>8110.9554481417235</v>
      </c>
      <c r="N46" s="295" t="str">
        <f ca="1">+INDEX('Charges_NonSlice &amp; Excl LS'!$C$4:$C$138,MATCH($A46,'Charges_NonSlice &amp; Excl LS'!$AC$4:$AC$138,0),1)</f>
        <v>Cheney, City of</v>
      </c>
      <c r="O46" s="100">
        <f ca="1">+INDEX('Charges_NonSlice &amp; Excl LS'!$AB$4:$AB$138,MATCH($A46,'Charges_NonSlice &amp; Excl LS'!$AC$4:$AC$138,0),1)</f>
        <v>2.1566597294868147E-2</v>
      </c>
      <c r="P46" s="129">
        <f ca="1">+INDEX('Charges_NonSlice &amp; Excl LS'!$AA$4:$AA$138,MATCH($A46,'Charges_NonSlice &amp; Excl LS'!$AC$4:$AC$138,0),1)</f>
        <v>39.245826510651945</v>
      </c>
      <c r="Q46" s="297">
        <f ca="1">+INDEX('Charges_NonSlice &amp; Excl LS'!$Z$4:$Z$138,MATCH($A46,'Charges_NonSlice &amp; Excl LS'!$AC$4:$AC$138,0),1)/1000</f>
        <v>138.1969110398976</v>
      </c>
      <c r="R46" s="107">
        <f ca="1">+SUM(Q$5:Q46)</f>
        <v>8828.0966702168062</v>
      </c>
      <c r="T46" s="295" t="str">
        <f ca="1">+INDEX(Charges_NonSlice!$C$4:$C$138,MATCH($A46,Charges_NonSlice!$AC$4:$AC$138,0),1)</f>
        <v>Emerald PUD</v>
      </c>
      <c r="U46" s="100">
        <f t="shared" ca="1" si="0"/>
        <v>7.2105886968454991E-2</v>
      </c>
      <c r="V46" s="129">
        <f ca="1">+INDEX(Charges_NonSlice!$AA$4:$AA$138,MATCH($A46,Charges_NonSlice!$AC$4:$AC$138,0),1)</f>
        <v>33.590666074961831</v>
      </c>
      <c r="W46" s="120">
        <f t="shared" ca="1" si="1"/>
        <v>31.331481790427091</v>
      </c>
      <c r="Y46" s="103" t="s">
        <v>31</v>
      </c>
      <c r="Z46" s="104">
        <v>38.096335366324425</v>
      </c>
    </row>
    <row r="47" spans="1:26">
      <c r="A47">
        <f t="shared" si="2"/>
        <v>43</v>
      </c>
      <c r="B47" s="112" t="str">
        <f ca="1">+INDEX('Charges_Including Slice and LS'!$C$4:$C$138,MATCH($A47,'Charges_Including Slice and LS'!$AC$4:$AC$138,0),1)</f>
        <v>Canby, City of</v>
      </c>
      <c r="C47" s="100">
        <f ca="1">+INDEX('Charges_Including Slice and LS'!$AB$4:$AB$138,MATCH($A47,'Charges_Including Slice and LS'!$AC$4:$AC$138,0),1)</f>
        <v>2.2840073649007087E-2</v>
      </c>
      <c r="D47" s="86">
        <f ca="1">+INDEX('Charges_Including Slice and LS'!$AA$4:$AA$138,MATCH($A47,'Charges_Including Slice and LS'!$AC$4:$AC$138,0),1)</f>
        <v>37.571495136257298</v>
      </c>
      <c r="E47" s="107">
        <f ca="1">+INDEX('Charges_Including Slice and LS'!$Z$4:$Z$138,MATCH($A47,'Charges_Including Slice and LS'!$AC$4:$AC$138,0),1)/1000</f>
        <v>177.45436800000002</v>
      </c>
      <c r="F47" s="107">
        <f ca="1">+SUM(E$5:E47)</f>
        <v>7139.7853212401669</v>
      </c>
      <c r="H47" s="295" t="str">
        <f ca="1">+INDEX(Charges_NonSlice!$C$4:$C$138,MATCH($A47,Charges_NonSlice!$AC$4:$AC$138,0),1)</f>
        <v>Idaho County L &amp; P</v>
      </c>
      <c r="I47" s="100">
        <f ca="1">+INDEX(Charges_NonSlice!$AB$4:$AB$138,MATCH($A47,Charges_NonSlice!$AC$4:$AC$138,0),1)</f>
        <v>2.3130384753898899E-2</v>
      </c>
      <c r="J47" s="129">
        <f ca="1">+INDEX(Charges_NonSlice!$AA$4:$AA$138,MATCH($A47,Charges_NonSlice!$AC$4:$AC$138,0),1)</f>
        <v>36.064673046946197</v>
      </c>
      <c r="K47" s="297">
        <f ca="1">+INDEX(Charges_NonSlice!$Z$4:$Z$138,MATCH($A47,Charges_NonSlice!$AC$4:$AC$138,0),1)/1000</f>
        <v>54.285119999999992</v>
      </c>
      <c r="L47" s="107">
        <f ca="1">+SUM(K$5:K47)</f>
        <v>8165.2405681417231</v>
      </c>
      <c r="N47" s="295" t="str">
        <f ca="1">+INDEX('Charges_NonSlice &amp; Excl LS'!$C$4:$C$138,MATCH($A47,'Charges_NonSlice &amp; Excl LS'!$AC$4:$AC$138,0),1)</f>
        <v>Canby, City of</v>
      </c>
      <c r="O47" s="100">
        <f ca="1">+INDEX('Charges_NonSlice &amp; Excl LS'!$AB$4:$AB$138,MATCH($A47,'Charges_NonSlice &amp; Excl LS'!$AC$4:$AC$138,0),1)</f>
        <v>2.1405928432200995E-2</v>
      </c>
      <c r="P47" s="129">
        <f ca="1">+INDEX('Charges_NonSlice &amp; Excl LS'!$AA$4:$AA$138,MATCH($A47,'Charges_NonSlice &amp; Excl LS'!$AC$4:$AC$138,0),1)</f>
        <v>36.912197035991241</v>
      </c>
      <c r="Q47" s="297">
        <f ca="1">+INDEX('Charges_NonSlice &amp; Excl LS'!$Z$4:$Z$138,MATCH($A47,'Charges_NonSlice &amp; Excl LS'!$AC$4:$AC$138,0),1)/1000</f>
        <v>177.45255903006716</v>
      </c>
      <c r="R47" s="107">
        <f ca="1">+SUM(Q$5:Q47)</f>
        <v>9005.5492292468734</v>
      </c>
      <c r="T47" s="295" t="str">
        <f ca="1">+INDEX(Charges_NonSlice!$C$4:$C$138,MATCH($A47,Charges_NonSlice!$AC$4:$AC$138,0),1)</f>
        <v>Idaho County L &amp; P</v>
      </c>
      <c r="U47" s="100">
        <f t="shared" ca="1" si="0"/>
        <v>3.3409381879063504E-2</v>
      </c>
      <c r="V47" s="129">
        <f ca="1">+INDEX(Charges_NonSlice!$AA$4:$AA$138,MATCH($A47,Charges_NonSlice!$AC$4:$AC$138,0),1)</f>
        <v>36.064673046946197</v>
      </c>
      <c r="W47" s="120">
        <f t="shared" ca="1" si="1"/>
        <v>34.898728112347179</v>
      </c>
      <c r="Y47" s="103" t="s">
        <v>65</v>
      </c>
      <c r="Z47" s="104">
        <v>38.398772661447559</v>
      </c>
    </row>
    <row r="48" spans="1:26">
      <c r="A48">
        <f t="shared" si="2"/>
        <v>44</v>
      </c>
      <c r="B48" s="112" t="str">
        <f ca="1">+INDEX('Charges_Including Slice and LS'!$C$4:$C$138,MATCH($A48,'Charges_Including Slice and LS'!$AC$4:$AC$138,0),1)</f>
        <v>Bandon, City of</v>
      </c>
      <c r="C48" s="100">
        <f ca="1">+INDEX('Charges_Including Slice and LS'!$AB$4:$AB$138,MATCH($A48,'Charges_Including Slice and LS'!$AC$4:$AC$138,0),1)</f>
        <v>2.2349281981225048E-2</v>
      </c>
      <c r="D48" s="86">
        <f ca="1">+INDEX('Charges_Including Slice and LS'!$AA$4:$AA$138,MATCH($A48,'Charges_Including Slice and LS'!$AC$4:$AC$138,0),1)</f>
        <v>38.161520825322199</v>
      </c>
      <c r="E48" s="107">
        <f ca="1">+INDEX('Charges_Including Slice and LS'!$Z$4:$Z$138,MATCH($A48,'Charges_Including Slice and LS'!$AC$4:$AC$138,0),1)/1000</f>
        <v>66.749615999999989</v>
      </c>
      <c r="F48" s="107">
        <f ca="1">+SUM(E$5:E48)</f>
        <v>7206.534937240167</v>
      </c>
      <c r="H48" s="295" t="str">
        <f ca="1">+INDEX(Charges_NonSlice!$C$4:$C$138,MATCH($A48,Charges_NonSlice!$AC$4:$AC$138,0),1)</f>
        <v>Ellensburg, City of</v>
      </c>
      <c r="I48" s="100">
        <f ca="1">+INDEX(Charges_NonSlice!$AB$4:$AB$138,MATCH($A48,Charges_NonSlice!$AC$4:$AC$138,0),1)</f>
        <v>2.2946787212685577E-2</v>
      </c>
      <c r="J48" s="129">
        <f ca="1">+INDEX(Charges_NonSlice!$AA$4:$AA$138,MATCH($A48,Charges_NonSlice!$AC$4:$AC$138,0),1)</f>
        <v>38.260654927788956</v>
      </c>
      <c r="K48" s="297">
        <f ca="1">+INDEX(Charges_NonSlice!$Z$4:$Z$138,MATCH($A48,Charges_NonSlice!$AC$4:$AC$138,0),1)/1000</f>
        <v>209.54232000000002</v>
      </c>
      <c r="L48" s="107">
        <f ca="1">+SUM(K$5:K48)</f>
        <v>8374.7828881417227</v>
      </c>
      <c r="N48" s="295" t="str">
        <f ca="1">+INDEX('Charges_NonSlice &amp; Excl LS'!$C$4:$C$138,MATCH($A48,'Charges_NonSlice &amp; Excl LS'!$AC$4:$AC$138,0),1)</f>
        <v>Hood River Elec Coop</v>
      </c>
      <c r="O48" s="100">
        <f ca="1">+INDEX('Charges_NonSlice &amp; Excl LS'!$AB$4:$AB$138,MATCH($A48,'Charges_NonSlice &amp; Excl LS'!$AC$4:$AC$138,0),1)</f>
        <v>2.1334044897713546E-2</v>
      </c>
      <c r="P48" s="129">
        <f ca="1">+INDEX('Charges_NonSlice &amp; Excl LS'!$AA$4:$AA$138,MATCH($A48,'Charges_NonSlice &amp; Excl LS'!$AC$4:$AC$138,0),1)</f>
        <v>37.972194204451107</v>
      </c>
      <c r="Q48" s="297">
        <f ca="1">+INDEX('Charges_NonSlice &amp; Excl LS'!$Z$4:$Z$138,MATCH($A48,'Charges_NonSlice &amp; Excl LS'!$AC$4:$AC$138,0),1)/1000</f>
        <v>114.4473057091584</v>
      </c>
      <c r="R48" s="107">
        <f ca="1">+SUM(Q$5:Q48)</f>
        <v>9119.9965349560316</v>
      </c>
      <c r="T48" s="295" t="str">
        <f ca="1">+INDEX(Charges_NonSlice!$C$4:$C$138,MATCH($A48,Charges_NonSlice!$AC$4:$AC$138,0),1)</f>
        <v>Ellensburg, City of</v>
      </c>
      <c r="U48" s="100">
        <f t="shared" ca="1" si="0"/>
        <v>3.936477488791823E-2</v>
      </c>
      <c r="V48" s="129">
        <f ca="1">+INDEX(Charges_NonSlice!$AA$4:$AA$138,MATCH($A48,Charges_NonSlice!$AC$4:$AC$138,0),1)</f>
        <v>38.260654927788956</v>
      </c>
      <c r="W48" s="120">
        <f t="shared" ca="1" si="1"/>
        <v>36.811575543258968</v>
      </c>
      <c r="Y48" s="103" t="s">
        <v>120</v>
      </c>
      <c r="Z48" s="104">
        <v>38.17735107348016</v>
      </c>
    </row>
    <row r="49" spans="1:26">
      <c r="A49">
        <f t="shared" si="2"/>
        <v>45</v>
      </c>
      <c r="B49" s="112" t="str">
        <f ca="1">+INDEX('Charges_Including Slice and LS'!$C$4:$C$138,MATCH($A49,'Charges_Including Slice and LS'!$AC$4:$AC$138,0),1)</f>
        <v>U.S. DOE Albany Research Center</v>
      </c>
      <c r="C49" s="100">
        <f ca="1">+INDEX('Charges_Including Slice and LS'!$AB$4:$AB$138,MATCH($A49,'Charges_Including Slice and LS'!$AC$4:$AC$138,0),1)</f>
        <v>2.219881154814507E-2</v>
      </c>
      <c r="D49" s="86">
        <f ca="1">+INDEX('Charges_Including Slice and LS'!$AA$4:$AA$138,MATCH($A49,'Charges_Including Slice and LS'!$AC$4:$AC$138,0),1)</f>
        <v>38.786221324289386</v>
      </c>
      <c r="E49" s="107">
        <f ca="1">+INDEX('Charges_Including Slice and LS'!$Z$4:$Z$138,MATCH($A49,'Charges_Including Slice and LS'!$AC$4:$AC$138,0),1)/1000</f>
        <v>4.0055040000000002</v>
      </c>
      <c r="F49" s="107">
        <f ca="1">+SUM(E$5:E49)</f>
        <v>7210.5404412401667</v>
      </c>
      <c r="H49" s="295" t="str">
        <f ca="1">+INDEX(Charges_NonSlice!$C$4:$C$138,MATCH($A49,Charges_NonSlice!$AC$4:$AC$138,0),1)</f>
        <v>Canby, City of</v>
      </c>
      <c r="I49" s="100">
        <f ca="1">+INDEX(Charges_NonSlice!$AB$4:$AB$138,MATCH($A49,Charges_NonSlice!$AC$4:$AC$138,0),1)</f>
        <v>2.2840073649008457E-2</v>
      </c>
      <c r="J49" s="129">
        <f ca="1">+INDEX(Charges_NonSlice!$AA$4:$AA$138,MATCH($A49,Charges_NonSlice!$AC$4:$AC$138,0),1)</f>
        <v>37.571495136257298</v>
      </c>
      <c r="K49" s="297">
        <f ca="1">+INDEX(Charges_NonSlice!$Z$4:$Z$138,MATCH($A49,Charges_NonSlice!$AC$4:$AC$138,0),1)/1000</f>
        <v>177.45436800000002</v>
      </c>
      <c r="L49" s="107">
        <f ca="1">+SUM(K$5:K49)</f>
        <v>8552.2372561417233</v>
      </c>
      <c r="N49" s="295" t="str">
        <f ca="1">+INDEX('Charges_NonSlice &amp; Excl LS'!$C$4:$C$138,MATCH($A49,'Charges_NonSlice &amp; Excl LS'!$AC$4:$AC$138,0),1)</f>
        <v>Big Bend Elec Coop</v>
      </c>
      <c r="O49" s="100">
        <f ca="1">+INDEX('Charges_NonSlice &amp; Excl LS'!$AB$4:$AB$138,MATCH($A49,'Charges_NonSlice &amp; Excl LS'!$AC$4:$AC$138,0),1)</f>
        <v>2.1241253053791858E-2</v>
      </c>
      <c r="P49" s="129">
        <f ca="1">+INDEX('Charges_NonSlice &amp; Excl LS'!$AA$4:$AA$138,MATCH($A49,'Charges_NonSlice &amp; Excl LS'!$AC$4:$AC$138,0),1)</f>
        <v>30.937331948419846</v>
      </c>
      <c r="Q49" s="297">
        <f ca="1">+INDEX('Charges_NonSlice &amp; Excl LS'!$Z$4:$Z$138,MATCH($A49,'Charges_NonSlice &amp; Excl LS'!$AC$4:$AC$138,0),1)/1000</f>
        <v>534.68389200568311</v>
      </c>
      <c r="R49" s="107">
        <f ca="1">+SUM(Q$5:Q49)</f>
        <v>9654.6804269617151</v>
      </c>
      <c r="T49" s="295" t="str">
        <f ca="1">+INDEX(Charges_NonSlice!$C$4:$C$138,MATCH($A49,Charges_NonSlice!$AC$4:$AC$138,0),1)</f>
        <v>Canby, City of</v>
      </c>
      <c r="U49" s="100">
        <f t="shared" ca="1" si="0"/>
        <v>2.9254463904044181E-2</v>
      </c>
      <c r="V49" s="129">
        <f ca="1">+INDEX(Charges_NonSlice!$AA$4:$AA$138,MATCH($A49,Charges_NonSlice!$AC$4:$AC$138,0),1)</f>
        <v>37.571495136257298</v>
      </c>
      <c r="W49" s="120">
        <f t="shared" ca="1" si="1"/>
        <v>36.503601834035891</v>
      </c>
      <c r="Y49" s="103" t="s">
        <v>103</v>
      </c>
      <c r="Z49" s="104">
        <v>38.053496123916887</v>
      </c>
    </row>
    <row r="50" spans="1:26">
      <c r="A50">
        <f t="shared" si="2"/>
        <v>46</v>
      </c>
      <c r="B50" s="112" t="str">
        <f ca="1">+INDEX('Charges_Including Slice and LS'!$C$4:$C$138,MATCH($A50,'Charges_Including Slice and LS'!$AC$4:$AC$138,0),1)</f>
        <v>Blaine, City of</v>
      </c>
      <c r="C50" s="100">
        <f ca="1">+INDEX('Charges_Including Slice and LS'!$AB$4:$AB$138,MATCH($A50,'Charges_Including Slice and LS'!$AC$4:$AC$138,0),1)</f>
        <v>2.2013678034998988E-2</v>
      </c>
      <c r="D50" s="86">
        <f ca="1">+INDEX('Charges_Including Slice and LS'!$AA$4:$AA$138,MATCH($A50,'Charges_Including Slice and LS'!$AC$4:$AC$138,0),1)</f>
        <v>37.712702671678805</v>
      </c>
      <c r="E50" s="107">
        <f ca="1">+INDEX('Charges_Including Slice and LS'!$Z$4:$Z$138,MATCH($A50,'Charges_Including Slice and LS'!$AC$4:$AC$138,0),1)/1000</f>
        <v>76.420799999999986</v>
      </c>
      <c r="F50" s="107">
        <f ca="1">+SUM(E$5:E50)</f>
        <v>7286.9612412401666</v>
      </c>
      <c r="H50" s="295" t="str">
        <f ca="1">+INDEX(Charges_NonSlice!$C$4:$C$138,MATCH($A50,Charges_NonSlice!$AC$4:$AC$138,0),1)</f>
        <v>Bandon, City of</v>
      </c>
      <c r="I50" s="100">
        <f ca="1">+INDEX(Charges_NonSlice!$AB$4:$AB$138,MATCH($A50,Charges_NonSlice!$AC$4:$AC$138,0),1)</f>
        <v>2.2349281981221127E-2</v>
      </c>
      <c r="J50" s="129">
        <f ca="1">+INDEX(Charges_NonSlice!$AA$4:$AA$138,MATCH($A50,Charges_NonSlice!$AC$4:$AC$138,0),1)</f>
        <v>38.161520825322199</v>
      </c>
      <c r="K50" s="297">
        <f ca="1">+INDEX(Charges_NonSlice!$Z$4:$Z$138,MATCH($A50,Charges_NonSlice!$AC$4:$AC$138,0),1)/1000</f>
        <v>66.749615999999989</v>
      </c>
      <c r="L50" s="107">
        <f ca="1">+SUM(K$5:K50)</f>
        <v>8618.9868721417224</v>
      </c>
      <c r="N50" s="295" t="str">
        <f ca="1">+INDEX('Charges_NonSlice &amp; Excl LS'!$C$4:$C$138,MATCH($A50,'Charges_NonSlice &amp; Excl LS'!$AC$4:$AC$138,0),1)</f>
        <v>U.S. DOE Albany Research Center</v>
      </c>
      <c r="O50" s="100">
        <f ca="1">+INDEX('Charges_NonSlice &amp; Excl LS'!$AB$4:$AB$138,MATCH($A50,'Charges_NonSlice &amp; Excl LS'!$AC$4:$AC$138,0),1)</f>
        <v>2.1156356159288101E-2</v>
      </c>
      <c r="P50" s="129">
        <f ca="1">+INDEX('Charges_NonSlice &amp; Excl LS'!$AA$4:$AA$138,MATCH($A50,'Charges_NonSlice &amp; Excl LS'!$AC$4:$AC$138,0),1)</f>
        <v>37.83600223569907</v>
      </c>
      <c r="Q50" s="297">
        <f ca="1">+INDEX('Charges_NonSlice &amp; Excl LS'!$Z$4:$Z$138,MATCH($A50,'Charges_NonSlice &amp; Excl LS'!$AC$4:$AC$138,0),1)/1000</f>
        <v>4.0045450401792007</v>
      </c>
      <c r="R50" s="107">
        <f ca="1">+SUM(Q$5:Q50)</f>
        <v>9658.6849720018945</v>
      </c>
      <c r="T50" s="295" t="str">
        <f ca="1">+INDEX(Charges_NonSlice!$C$4:$C$138,MATCH($A50,Charges_NonSlice!$AC$4:$AC$138,0),1)</f>
        <v>Bandon, City of</v>
      </c>
      <c r="U50" s="100">
        <f t="shared" ca="1" si="0"/>
        <v>2.8708472525939444E-2</v>
      </c>
      <c r="V50" s="129">
        <f ca="1">+INDEX(Charges_NonSlice!$AA$4:$AA$138,MATCH($A50,Charges_NonSlice!$AC$4:$AC$138,0),1)</f>
        <v>38.161520825322199</v>
      </c>
      <c r="W50" s="120">
        <f t="shared" ca="1" si="1"/>
        <v>37.09653594241194</v>
      </c>
      <c r="Y50" s="103" t="s">
        <v>18</v>
      </c>
      <c r="Z50" s="104">
        <v>37.09653594241194</v>
      </c>
    </row>
    <row r="51" spans="1:26">
      <c r="A51">
        <f t="shared" si="2"/>
        <v>47</v>
      </c>
      <c r="B51" s="112" t="str">
        <f ca="1">+INDEX('Charges_Including Slice and LS'!$C$4:$C$138,MATCH($A51,'Charges_Including Slice and LS'!$AC$4:$AC$138,0),1)</f>
        <v>Okanogan County PUD #1</v>
      </c>
      <c r="C51" s="100">
        <f ca="1">+INDEX('Charges_Including Slice and LS'!$AB$4:$AB$138,MATCH($A51,'Charges_Including Slice and LS'!$AC$4:$AC$138,0),1)</f>
        <v>2.1968044616025376E-2</v>
      </c>
      <c r="D51" s="86">
        <f ca="1">+INDEX('Charges_Including Slice and LS'!$AA$4:$AA$138,MATCH($A51,'Charges_Including Slice and LS'!$AC$4:$AC$138,0),1)</f>
        <v>34.780899242166313</v>
      </c>
      <c r="E51" s="107">
        <f ca="1">+INDEX('Charges_Including Slice and LS'!$Z$4:$Z$138,MATCH($A51,'Charges_Including Slice and LS'!$AC$4:$AC$138,0),1)/1000</f>
        <v>401.14858112808963</v>
      </c>
      <c r="F51" s="107">
        <f ca="1">+SUM(E$5:E51)</f>
        <v>7688.1098223682566</v>
      </c>
      <c r="H51" s="295" t="str">
        <f ca="1">+INDEX(Charges_NonSlice!$C$4:$C$138,MATCH($A51,Charges_NonSlice!$AC$4:$AC$138,0),1)</f>
        <v>U.S. DOE Albany Research Center</v>
      </c>
      <c r="I51" s="100">
        <f ca="1">+INDEX(Charges_NonSlice!$AB$4:$AB$138,MATCH($A51,Charges_NonSlice!$AC$4:$AC$138,0),1)</f>
        <v>2.2198811548148744E-2</v>
      </c>
      <c r="J51" s="129">
        <f ca="1">+INDEX(Charges_NonSlice!$AA$4:$AA$138,MATCH($A51,Charges_NonSlice!$AC$4:$AC$138,0),1)</f>
        <v>38.786221324289386</v>
      </c>
      <c r="K51" s="297">
        <f ca="1">+INDEX(Charges_NonSlice!$Z$4:$Z$138,MATCH($A51,Charges_NonSlice!$AC$4:$AC$138,0),1)/1000</f>
        <v>4.0055040000000002</v>
      </c>
      <c r="L51" s="107">
        <f ca="1">+SUM(K$5:K51)</f>
        <v>8622.9923761417231</v>
      </c>
      <c r="N51" s="295" t="str">
        <f ca="1">+INDEX('Charges_NonSlice &amp; Excl LS'!$C$4:$C$138,MATCH($A51,'Charges_NonSlice &amp; Excl LS'!$AC$4:$AC$138,0),1)</f>
        <v>U.S. Naval Base,  Bremerton</v>
      </c>
      <c r="O51" s="100">
        <f ca="1">+INDEX('Charges_NonSlice &amp; Excl LS'!$AB$4:$AB$138,MATCH($A51,'Charges_NonSlice &amp; Excl LS'!$AC$4:$AC$138,0),1)</f>
        <v>2.1072874014471395E-2</v>
      </c>
      <c r="P51" s="129">
        <f ca="1">+INDEX('Charges_NonSlice &amp; Excl LS'!$AA$4:$AA$138,MATCH($A51,'Charges_NonSlice &amp; Excl LS'!$AC$4:$AC$138,0),1)</f>
        <v>37.923599279202556</v>
      </c>
      <c r="Q51" s="297">
        <f ca="1">+INDEX('Charges_NonSlice &amp; Excl LS'!$Z$4:$Z$138,MATCH($A51,'Charges_NonSlice &amp; Excl LS'!$AC$4:$AC$138,0),1)/1000</f>
        <v>259.3143449284608</v>
      </c>
      <c r="R51" s="107">
        <f ca="1">+SUM(Q$5:Q51)</f>
        <v>9917.9993169303561</v>
      </c>
      <c r="T51" s="295" t="str">
        <f ca="1">+INDEX(Charges_NonSlice!$C$4:$C$138,MATCH($A51,Charges_NonSlice!$AC$4:$AC$138,0),1)</f>
        <v>U.S. DOE Albany Research Center</v>
      </c>
      <c r="U51" s="100">
        <f t="shared" ca="1" si="0"/>
        <v>1.676925355989578E-2</v>
      </c>
      <c r="V51" s="129">
        <f ca="1">+INDEX(Charges_NonSlice!$AA$4:$AA$138,MATCH($A51,Charges_NonSlice!$AC$4:$AC$138,0),1)</f>
        <v>38.786221324289386</v>
      </c>
      <c r="W51" s="120">
        <f t="shared" ca="1" si="1"/>
        <v>38.146532449217666</v>
      </c>
      <c r="Y51" s="103" t="s">
        <v>89</v>
      </c>
      <c r="Z51" s="104">
        <v>35.620518027887186</v>
      </c>
    </row>
    <row r="52" spans="1:26">
      <c r="A52">
        <f t="shared" si="2"/>
        <v>48</v>
      </c>
      <c r="B52" s="112" t="str">
        <f ca="1">+INDEX('Charges_Including Slice and LS'!$C$4:$C$138,MATCH($A52,'Charges_Including Slice and LS'!$AC$4:$AC$138,0),1)</f>
        <v>Lost River Elec Coop</v>
      </c>
      <c r="C52" s="100">
        <f ca="1">+INDEX('Charges_Including Slice and LS'!$AB$4:$AB$138,MATCH($A52,'Charges_Including Slice and LS'!$AC$4:$AC$138,0),1)</f>
        <v>2.1234158526744967E-2</v>
      </c>
      <c r="D52" s="86">
        <f ca="1">+INDEX('Charges_Including Slice and LS'!$AA$4:$AA$138,MATCH($A52,'Charges_Including Slice and LS'!$AC$4:$AC$138,0),1)</f>
        <v>29.153421104580374</v>
      </c>
      <c r="E52" s="107">
        <f ca="1">+INDEX('Charges_Including Slice and LS'!$Z$4:$Z$138,MATCH($A52,'Charges_Including Slice and LS'!$AC$4:$AC$138,0),1)/1000</f>
        <v>82.980429124710398</v>
      </c>
      <c r="F52" s="107">
        <f ca="1">+SUM(E$5:E52)</f>
        <v>7771.0902514929667</v>
      </c>
      <c r="H52" s="295" t="str">
        <f ca="1">+INDEX(Charges_NonSlice!$C$4:$C$138,MATCH($A52,Charges_NonSlice!$AC$4:$AC$138,0),1)</f>
        <v>Blaine, City of</v>
      </c>
      <c r="I52" s="100">
        <f ca="1">+INDEX(Charges_NonSlice!$AB$4:$AB$138,MATCH($A52,Charges_NonSlice!$AC$4:$AC$138,0),1)</f>
        <v>2.2013678034998641E-2</v>
      </c>
      <c r="J52" s="129">
        <f ca="1">+INDEX(Charges_NonSlice!$AA$4:$AA$138,MATCH($A52,Charges_NonSlice!$AC$4:$AC$138,0),1)</f>
        <v>37.712702671678805</v>
      </c>
      <c r="K52" s="297">
        <f ca="1">+INDEX(Charges_NonSlice!$Z$4:$Z$138,MATCH($A52,Charges_NonSlice!$AC$4:$AC$138,0),1)/1000</f>
        <v>76.420799999999986</v>
      </c>
      <c r="L52" s="107">
        <f ca="1">+SUM(K$5:K52)</f>
        <v>8699.4131761417229</v>
      </c>
      <c r="N52" s="295" t="str">
        <f ca="1">+INDEX('Charges_NonSlice &amp; Excl LS'!$C$4:$C$138,MATCH($A52,'Charges_NonSlice &amp; Excl LS'!$AC$4:$AC$138,0),1)</f>
        <v>Blaine, City of</v>
      </c>
      <c r="O52" s="100">
        <f ca="1">+INDEX('Charges_NonSlice &amp; Excl LS'!$AB$4:$AB$138,MATCH($A52,'Charges_NonSlice &amp; Excl LS'!$AC$4:$AC$138,0),1)</f>
        <v>2.0942440188659012E-2</v>
      </c>
      <c r="P52" s="129">
        <f ca="1">+INDEX('Charges_NonSlice &amp; Excl LS'!$AA$4:$AA$138,MATCH($A52,'Charges_NonSlice &amp; Excl LS'!$AC$4:$AC$138,0),1)</f>
        <v>37.176057930649463</v>
      </c>
      <c r="Q52" s="297">
        <f ca="1">+INDEX('Charges_NonSlice &amp; Excl LS'!$Z$4:$Z$138,MATCH($A52,'Charges_NonSlice &amp; Excl LS'!$AC$4:$AC$138,0),1)/1000</f>
        <v>76.419553655807988</v>
      </c>
      <c r="R52" s="107">
        <f ca="1">+SUM(Q$5:Q52)</f>
        <v>9994.4188705861634</v>
      </c>
      <c r="T52" s="295" t="str">
        <f ca="1">+INDEX(Charges_NonSlice!$C$4:$C$138,MATCH($A52,Charges_NonSlice!$AC$4:$AC$138,0),1)</f>
        <v>Blaine, City of</v>
      </c>
      <c r="U52" s="100">
        <f t="shared" ca="1" si="0"/>
        <v>3.181715530466156E-2</v>
      </c>
      <c r="V52" s="129">
        <f ca="1">+INDEX(Charges_NonSlice!$AA$4:$AA$138,MATCH($A52,Charges_NonSlice!$AC$4:$AC$138,0),1)</f>
        <v>37.712702671678805</v>
      </c>
      <c r="W52" s="120">
        <f t="shared" ca="1" si="1"/>
        <v>36.549792255143778</v>
      </c>
      <c r="Y52" s="103" t="s">
        <v>36</v>
      </c>
      <c r="Z52" s="104">
        <v>36.925088975381406</v>
      </c>
    </row>
    <row r="53" spans="1:26">
      <c r="A53">
        <f t="shared" si="2"/>
        <v>49</v>
      </c>
      <c r="B53" s="112" t="str">
        <f ca="1">+INDEX('Charges_Including Slice and LS'!$C$4:$C$138,MATCH($A53,'Charges_Including Slice and LS'!$AC$4:$AC$138,0),1)</f>
        <v>U.S. Naval Submarine Base, Bangor</v>
      </c>
      <c r="C53" s="100">
        <f ca="1">+INDEX('Charges_Including Slice and LS'!$AB$4:$AB$138,MATCH($A53,'Charges_Including Slice and LS'!$AC$4:$AC$138,0),1)</f>
        <v>2.0593154556973747E-2</v>
      </c>
      <c r="D53" s="86">
        <f ca="1">+INDEX('Charges_Including Slice and LS'!$AA$4:$AA$138,MATCH($A53,'Charges_Including Slice and LS'!$AC$4:$AC$138,0),1)</f>
        <v>36.158402116324936</v>
      </c>
      <c r="E53" s="107">
        <f ca="1">+INDEX('Charges_Including Slice and LS'!$Z$4:$Z$138,MATCH($A53,'Charges_Including Slice and LS'!$AC$4:$AC$138,0),1)/1000</f>
        <v>172.08146398474238</v>
      </c>
      <c r="F53" s="107">
        <f ca="1">+SUM(E$5:E53)</f>
        <v>7943.1717154777089</v>
      </c>
      <c r="H53" s="295" t="str">
        <f ca="1">+INDEX(Charges_NonSlice!$C$4:$C$138,MATCH($A53,Charges_NonSlice!$AC$4:$AC$138,0),1)</f>
        <v>Okanogan County PUD #1</v>
      </c>
      <c r="I53" s="100">
        <f ca="1">+INDEX(Charges_NonSlice!$AB$4:$AB$138,MATCH($A53,Charges_NonSlice!$AC$4:$AC$138,0),1)</f>
        <v>2.196804461602115E-2</v>
      </c>
      <c r="J53" s="129">
        <f ca="1">+INDEX(Charges_NonSlice!$AA$4:$AA$138,MATCH($A53,Charges_NonSlice!$AC$4:$AC$138,0),1)</f>
        <v>34.780899242166313</v>
      </c>
      <c r="K53" s="297">
        <f ca="1">+INDEX(Charges_NonSlice!$Z$4:$Z$138,MATCH($A53,Charges_NonSlice!$AC$4:$AC$138,0),1)/1000</f>
        <v>401.14858112808963</v>
      </c>
      <c r="L53" s="107">
        <f ca="1">+SUM(K$5:K53)</f>
        <v>9100.561757269812</v>
      </c>
      <c r="N53" s="295" t="str">
        <f ca="1">+INDEX('Charges_NonSlice &amp; Excl LS'!$C$4:$C$138,MATCH($A53,'Charges_NonSlice &amp; Excl LS'!$AC$4:$AC$138,0),1)</f>
        <v>Vera Irrigation District</v>
      </c>
      <c r="O53" s="100">
        <f ca="1">+INDEX('Charges_NonSlice &amp; Excl LS'!$AB$4:$AB$138,MATCH($A53,'Charges_NonSlice &amp; Excl LS'!$AC$4:$AC$138,0),1)</f>
        <v>2.0780261598947157E-2</v>
      </c>
      <c r="P53" s="129">
        <f ca="1">+INDEX('Charges_NonSlice &amp; Excl LS'!$AA$4:$AA$138,MATCH($A53,'Charges_NonSlice &amp; Excl LS'!$AC$4:$AC$138,0),1)</f>
        <v>37.786763439074726</v>
      </c>
      <c r="Q53" s="297">
        <f ca="1">+INDEX('Charges_NonSlice &amp; Excl LS'!$Z$4:$Z$138,MATCH($A53,'Charges_NonSlice &amp; Excl LS'!$AC$4:$AC$138,0),1)/1000</f>
        <v>237.28009171046401</v>
      </c>
      <c r="R53" s="107">
        <f ca="1">+SUM(Q$5:Q53)</f>
        <v>10231.698962296627</v>
      </c>
      <c r="T53" s="295" t="str">
        <f ca="1">+INDEX(Charges_NonSlice!$C$4:$C$138,MATCH($A53,Charges_NonSlice!$AC$4:$AC$138,0),1)</f>
        <v>Okanogan County PUD #1</v>
      </c>
      <c r="U53" s="100">
        <f t="shared" ca="1" si="0"/>
        <v>0.15732955513022073</v>
      </c>
      <c r="V53" s="129">
        <f ca="1">+INDEX(Charges_NonSlice!$AA$4:$AA$138,MATCH($A53,Charges_NonSlice!$AC$4:$AC$138,0),1)</f>
        <v>34.780899242166313</v>
      </c>
      <c r="W53" s="120">
        <f t="shared" ca="1" si="1"/>
        <v>30.052718422327704</v>
      </c>
      <c r="Y53" s="103" t="s">
        <v>80</v>
      </c>
      <c r="Z53" s="104">
        <v>36.777767721260389</v>
      </c>
    </row>
    <row r="54" spans="1:26">
      <c r="A54">
        <f t="shared" si="2"/>
        <v>50</v>
      </c>
      <c r="B54" s="112" t="str">
        <f ca="1">+INDEX('Charges_Including Slice and LS'!$C$4:$C$138,MATCH($A54,'Charges_Including Slice and LS'!$AC$4:$AC$138,0),1)</f>
        <v>U.S. Naval Base,  Bremerton</v>
      </c>
      <c r="C54" s="100">
        <f ca="1">+INDEX('Charges_Including Slice and LS'!$AB$4:$AB$138,MATCH($A54,'Charges_Including Slice and LS'!$AC$4:$AC$138,0),1)</f>
        <v>2.03453168175598E-2</v>
      </c>
      <c r="D54" s="86">
        <f ca="1">+INDEX('Charges_Including Slice and LS'!$AA$4:$AA$138,MATCH($A54,'Charges_Including Slice and LS'!$AC$4:$AC$138,0),1)</f>
        <v>37.903656216395973</v>
      </c>
      <c r="E54" s="107">
        <f ca="1">+INDEX('Charges_Including Slice and LS'!$Z$4:$Z$138,MATCH($A54,'Charges_Including Slice and LS'!$AC$4:$AC$138,0),1)/1000</f>
        <v>266.137632</v>
      </c>
      <c r="F54" s="107">
        <f ca="1">+SUM(E$5:E54)</f>
        <v>8209.3093474777088</v>
      </c>
      <c r="H54" s="295" t="str">
        <f ca="1">+INDEX(Charges_NonSlice!$C$4:$C$138,MATCH($A54,Charges_NonSlice!$AC$4:$AC$138,0),1)</f>
        <v>Lost River Elec Coop</v>
      </c>
      <c r="I54" s="100">
        <f ca="1">+INDEX(Charges_NonSlice!$AB$4:$AB$138,MATCH($A54,Charges_NonSlice!$AC$4:$AC$138,0),1)</f>
        <v>2.1234158526746504E-2</v>
      </c>
      <c r="J54" s="129">
        <f ca="1">+INDEX(Charges_NonSlice!$AA$4:$AA$138,MATCH($A54,Charges_NonSlice!$AC$4:$AC$138,0),1)</f>
        <v>29.153421104580374</v>
      </c>
      <c r="K54" s="297">
        <f ca="1">+INDEX(Charges_NonSlice!$Z$4:$Z$138,MATCH($A54,Charges_NonSlice!$AC$4:$AC$138,0),1)/1000</f>
        <v>82.980429124710398</v>
      </c>
      <c r="L54" s="107">
        <f ca="1">+SUM(K$5:K54)</f>
        <v>9183.542186394523</v>
      </c>
      <c r="N54" s="295" t="str">
        <f ca="1">+INDEX('Charges_NonSlice &amp; Excl LS'!$C$4:$C$138,MATCH($A54,'Charges_NonSlice &amp; Excl LS'!$AC$4:$AC$138,0),1)</f>
        <v>Harney Elec Coop</v>
      </c>
      <c r="O54" s="100">
        <f ca="1">+INDEX('Charges_NonSlice &amp; Excl LS'!$AB$4:$AB$138,MATCH($A54,'Charges_NonSlice &amp; Excl LS'!$AC$4:$AC$138,0),1)</f>
        <v>2.072773690535025E-2</v>
      </c>
      <c r="P54" s="129">
        <f ca="1">+INDEX('Charges_NonSlice &amp; Excl LS'!$AA$4:$AA$138,MATCH($A54,'Charges_NonSlice &amp; Excl LS'!$AC$4:$AC$138,0),1)</f>
        <v>29.147453472430453</v>
      </c>
      <c r="Q54" s="297">
        <f ca="1">+INDEX('Charges_NonSlice &amp; Excl LS'!$Z$4:$Z$138,MATCH($A54,'Charges_NonSlice &amp; Excl LS'!$AC$4:$AC$138,0),1)/1000</f>
        <v>198.80190546923521</v>
      </c>
      <c r="R54" s="107">
        <f ca="1">+SUM(Q$5:Q54)</f>
        <v>10430.500867765862</v>
      </c>
      <c r="T54" s="295" t="str">
        <f ca="1">+INDEX(Charges_NonSlice!$C$4:$C$138,MATCH($A54,Charges_NonSlice!$AC$4:$AC$138,0),1)</f>
        <v>Lost River Elec Coop</v>
      </c>
      <c r="U54" s="100">
        <f t="shared" ca="1" si="0"/>
        <v>4.5290310158897951E-2</v>
      </c>
      <c r="V54" s="129">
        <f ca="1">+INDEX(Charges_NonSlice!$AA$4:$AA$138,MATCH($A54,Charges_NonSlice!$AC$4:$AC$138,0),1)</f>
        <v>29.153421104580374</v>
      </c>
      <c r="W54" s="120">
        <f t="shared" ca="1" si="1"/>
        <v>27.890262467035278</v>
      </c>
      <c r="Y54" s="103" t="s">
        <v>9</v>
      </c>
      <c r="Z54" s="104">
        <v>29.068994819104574</v>
      </c>
    </row>
    <row r="55" spans="1:26">
      <c r="A55">
        <f t="shared" si="2"/>
        <v>51</v>
      </c>
      <c r="B55" s="112" t="str">
        <f ca="1">+INDEX('Charges_Including Slice and LS'!$C$4:$C$138,MATCH($A55,'Charges_Including Slice and LS'!$AC$4:$AC$138,0),1)</f>
        <v>Sumas, Town of</v>
      </c>
      <c r="C55" s="100">
        <f ca="1">+INDEX('Charges_Including Slice and LS'!$AB$4:$AB$138,MATCH($A55,'Charges_Including Slice and LS'!$AC$4:$AC$138,0),1)</f>
        <v>1.9858047668188047E-2</v>
      </c>
      <c r="D55" s="86">
        <f ca="1">+INDEX('Charges_Including Slice and LS'!$AA$4:$AA$138,MATCH($A55,'Charges_Including Slice and LS'!$AC$4:$AC$138,0),1)</f>
        <v>36.931192128920685</v>
      </c>
      <c r="E55" s="107">
        <f ca="1">+INDEX('Charges_Including Slice and LS'!$Z$4:$Z$138,MATCH($A55,'Charges_Including Slice and LS'!$AC$4:$AC$138,0),1)/1000</f>
        <v>31.824432000000002</v>
      </c>
      <c r="F55" s="107">
        <f ca="1">+SUM(E$5:E55)</f>
        <v>8241.1337794777082</v>
      </c>
      <c r="H55" s="295" t="str">
        <f ca="1">+INDEX(Charges_NonSlice!$C$4:$C$138,MATCH($A55,Charges_NonSlice!$AC$4:$AC$138,0),1)</f>
        <v>Tacoma Public Utilities</v>
      </c>
      <c r="I55" s="100">
        <f ca="1">+INDEX(Charges_NonSlice!$AB$4:$AB$138,MATCH($A55,Charges_NonSlice!$AC$4:$AC$138,0),1)</f>
        <v>2.1045264108393223E-2</v>
      </c>
      <c r="J55" s="129">
        <f ca="1">+INDEX(Charges_NonSlice!$AA$4:$AA$138,MATCH($A55,Charges_NonSlice!$AC$4:$AC$138,0),1)</f>
        <v>35.599857597515488</v>
      </c>
      <c r="K55" s="297">
        <f ca="1">+INDEX(Charges_NonSlice!$Z$4:$Z$138,MATCH($A55,Charges_NonSlice!$AC$4:$AC$138,0),1)/1000</f>
        <v>1534.8309615552512</v>
      </c>
      <c r="L55" s="107">
        <f ca="1">+SUM(K$5:K55)</f>
        <v>10718.373147949775</v>
      </c>
      <c r="N55" s="295" t="str">
        <f ca="1">+INDEX('Charges_NonSlice &amp; Excl LS'!$C$4:$C$138,MATCH($A55,'Charges_NonSlice &amp; Excl LS'!$AC$4:$AC$138,0),1)</f>
        <v>Benton County PUD #1</v>
      </c>
      <c r="O55" s="100">
        <f ca="1">+INDEX('Charges_NonSlice &amp; Excl LS'!$AB$4:$AB$138,MATCH($A55,'Charges_NonSlice &amp; Excl LS'!$AC$4:$AC$138,0),1)</f>
        <v>2.0709796808526391E-2</v>
      </c>
      <c r="P55" s="129">
        <f ca="1">+INDEX('Charges_NonSlice &amp; Excl LS'!$AA$4:$AA$138,MATCH($A55,'Charges_NonSlice &amp; Excl LS'!$AC$4:$AC$138,0),1)</f>
        <v>31.50053804990878</v>
      </c>
      <c r="Q55" s="297">
        <f ca="1">+INDEX('Charges_NonSlice &amp; Excl LS'!$Z$4:$Z$138,MATCH($A55,'Charges_NonSlice &amp; Excl LS'!$AC$4:$AC$138,0),1)/1000</f>
        <v>914.62821464678393</v>
      </c>
      <c r="R55" s="107">
        <f ca="1">+SUM(Q$5:Q55)</f>
        <v>11345.129082412646</v>
      </c>
      <c r="T55" s="295" t="str">
        <f ca="1">+INDEX(Charges_NonSlice!$C$4:$C$138,MATCH($A55,Charges_NonSlice!$AC$4:$AC$138,0),1)</f>
        <v>Tacoma Public Utilities</v>
      </c>
      <c r="U55" s="100">
        <f t="shared" ca="1" si="0"/>
        <v>8.3513427617285085E-2</v>
      </c>
      <c r="V55" s="129">
        <f ca="1">+INDEX(Charges_NonSlice!$AA$4:$AA$138,MATCH($A55,Charges_NonSlice!$AC$4:$AC$138,0),1)</f>
        <v>35.599857597515488</v>
      </c>
      <c r="W55" s="120">
        <f t="shared" ca="1" si="1"/>
        <v>32.855945011961538</v>
      </c>
      <c r="Y55" s="103" t="s">
        <v>37</v>
      </c>
      <c r="Z55" s="104">
        <v>37.045048704123197</v>
      </c>
    </row>
    <row r="56" spans="1:26">
      <c r="A56">
        <f t="shared" si="2"/>
        <v>52</v>
      </c>
      <c r="B56" s="112" t="str">
        <f ca="1">+INDEX('Charges_Including Slice and LS'!$C$4:$C$138,MATCH($A56,'Charges_Including Slice and LS'!$AC$4:$AC$138,0),1)</f>
        <v>Salmon River Elec Coop</v>
      </c>
      <c r="C56" s="100">
        <f ca="1">+INDEX('Charges_Including Slice and LS'!$AB$4:$AB$138,MATCH($A56,'Charges_Including Slice and LS'!$AC$4:$AC$138,0),1)</f>
        <v>1.985352767607429E-2</v>
      </c>
      <c r="D56" s="86">
        <f ca="1">+INDEX('Charges_Including Slice and LS'!$AA$4:$AA$138,MATCH($A56,'Charges_Including Slice and LS'!$AC$4:$AC$138,0),1)</f>
        <v>31.591761918372757</v>
      </c>
      <c r="E56" s="107">
        <f ca="1">+INDEX('Charges_Including Slice and LS'!$Z$4:$Z$138,MATCH($A56,'Charges_Including Slice and LS'!$AC$4:$AC$138,0),1)/1000</f>
        <v>106.07516607969281</v>
      </c>
      <c r="F56" s="107">
        <f ca="1">+SUM(E$5:E56)</f>
        <v>8347.2089455574005</v>
      </c>
      <c r="H56" s="295" t="str">
        <f ca="1">+INDEX(Charges_NonSlice!$C$4:$C$138,MATCH($A56,Charges_NonSlice!$AC$4:$AC$138,0),1)</f>
        <v>Pacific County PUD #2</v>
      </c>
      <c r="I56" s="100">
        <f ca="1">+INDEX(Charges_NonSlice!$AB$4:$AB$138,MATCH($A56,Charges_NonSlice!$AC$4:$AC$138,0),1)</f>
        <v>2.0960339193335713E-2</v>
      </c>
      <c r="J56" s="129">
        <f ca="1">+INDEX(Charges_NonSlice!$AA$4:$AA$138,MATCH($A56,Charges_NonSlice!$AC$4:$AC$138,0),1)</f>
        <v>35.877473045639803</v>
      </c>
      <c r="K56" s="297">
        <f ca="1">+INDEX(Charges_NonSlice!$Z$4:$Z$138,MATCH($A56,Charges_NonSlice!$AC$4:$AC$138,0),1)/1000</f>
        <v>133.537409975808</v>
      </c>
      <c r="L56" s="107">
        <f ca="1">+SUM(K$5:K56)</f>
        <v>10851.910557925583</v>
      </c>
      <c r="N56" s="295" t="str">
        <f ca="1">+INDEX('Charges_NonSlice &amp; Excl LS'!$C$4:$C$138,MATCH($A56,'Charges_NonSlice &amp; Excl LS'!$AC$4:$AC$138,0),1)</f>
        <v>McMinnville, City of</v>
      </c>
      <c r="O56" s="100">
        <f ca="1">+INDEX('Charges_NonSlice &amp; Excl LS'!$AB$4:$AB$138,MATCH($A56,'Charges_NonSlice &amp; Excl LS'!$AC$4:$AC$138,0),1)</f>
        <v>2.0683252116034997E-2</v>
      </c>
      <c r="P56" s="129">
        <f ca="1">+INDEX('Charges_NonSlice &amp; Excl LS'!$AA$4:$AA$138,MATCH($A56,'Charges_NonSlice &amp; Excl LS'!$AC$4:$AC$138,0),1)</f>
        <v>38.194109800191228</v>
      </c>
      <c r="Q56" s="297">
        <f ca="1">+INDEX('Charges_NonSlice &amp; Excl LS'!$Z$4:$Z$138,MATCH($A56,'Charges_NonSlice &amp; Excl LS'!$AC$4:$AC$138,0),1)/1000</f>
        <v>760.78334332661757</v>
      </c>
      <c r="R56" s="107">
        <f ca="1">+SUM(Q$5:Q56)</f>
        <v>12105.912425739263</v>
      </c>
      <c r="T56" s="295" t="str">
        <f ca="1">+INDEX(Charges_NonSlice!$C$4:$C$138,MATCH($A56,Charges_NonSlice!$AC$4:$AC$138,0),1)</f>
        <v>Pacific County PUD #2</v>
      </c>
      <c r="U56" s="100">
        <f t="shared" ca="1" si="0"/>
        <v>8.6557612195184541E-2</v>
      </c>
      <c r="V56" s="129">
        <f ca="1">+INDEX(Charges_NonSlice!$AA$4:$AA$138,MATCH($A56,Charges_NonSlice!$AC$4:$AC$138,0),1)</f>
        <v>35.877473045639803</v>
      </c>
      <c r="W56" s="120">
        <f t="shared" ca="1" si="1"/>
        <v>33.019393212989549</v>
      </c>
      <c r="Y56" s="103" t="s">
        <v>69</v>
      </c>
      <c r="Z56" s="104">
        <v>35.130793806096733</v>
      </c>
    </row>
    <row r="57" spans="1:26">
      <c r="A57">
        <f t="shared" si="2"/>
        <v>53</v>
      </c>
      <c r="B57" s="112" t="str">
        <f ca="1">+INDEX('Charges_Including Slice and LS'!$C$4:$C$138,MATCH($A57,'Charges_Including Slice and LS'!$AC$4:$AC$138,0),1)</f>
        <v>Seattle City Light</v>
      </c>
      <c r="C57" s="100">
        <f ca="1">+INDEX('Charges_Including Slice and LS'!$AB$4:$AB$138,MATCH($A57,'Charges_Including Slice and LS'!$AC$4:$AC$138,0),1)</f>
        <v>1.9427076608069305E-2</v>
      </c>
      <c r="D57" s="86">
        <f ca="1">+INDEX('Charges_Including Slice and LS'!$AA$4:$AA$138,MATCH($A57,'Charges_Including Slice and LS'!$AC$4:$AC$138,0),1)</f>
        <v>37.731803299671533</v>
      </c>
      <c r="E57" s="107">
        <f ca="1">+INDEX('Charges_Including Slice and LS'!$Z$4:$Z$138,MATCH($A57,'Charges_Including Slice and LS'!$AC$4:$AC$138,0),1)/1000</f>
        <v>4446.7149840609281</v>
      </c>
      <c r="F57" s="107">
        <f ca="1">+SUM(E$5:E57)</f>
        <v>12793.92392961833</v>
      </c>
      <c r="H57" s="295" t="str">
        <f ca="1">+INDEX(Charges_NonSlice!$C$4:$C$138,MATCH($A57,Charges_NonSlice!$AC$4:$AC$138,0),1)</f>
        <v>Benton County PUD #1</v>
      </c>
      <c r="I57" s="100">
        <f ca="1">+INDEX(Charges_NonSlice!$AB$4:$AB$138,MATCH($A57,Charges_NonSlice!$AC$4:$AC$138,0),1)</f>
        <v>2.060653928477401E-2</v>
      </c>
      <c r="J57" s="129">
        <f ca="1">+INDEX(Charges_NonSlice!$AA$4:$AA$138,MATCH($A57,Charges_NonSlice!$AC$4:$AC$138,0),1)</f>
        <v>31.037083110601301</v>
      </c>
      <c r="K57" s="297">
        <f ca="1">+INDEX(Charges_NonSlice!$Z$4:$Z$138,MATCH($A57,Charges_NonSlice!$AC$4:$AC$138,0),1)/1000</f>
        <v>911.07521464678393</v>
      </c>
      <c r="L57" s="107">
        <f ca="1">+SUM(K$5:K57)</f>
        <v>11762.985772572367</v>
      </c>
      <c r="N57" s="295" t="str">
        <f ca="1">+INDEX('Charges_NonSlice &amp; Excl LS'!$C$4:$C$138,MATCH($A57,'Charges_NonSlice &amp; Excl LS'!$AC$4:$AC$138,0),1)</f>
        <v>Eatonville, City of</v>
      </c>
      <c r="O57" s="100">
        <f ca="1">+INDEX('Charges_NonSlice &amp; Excl LS'!$AB$4:$AB$138,MATCH($A57,'Charges_NonSlice &amp; Excl LS'!$AC$4:$AC$138,0),1)</f>
        <v>2.058353731071878E-2</v>
      </c>
      <c r="P57" s="129">
        <f ca="1">+INDEX('Charges_NonSlice &amp; Excl LS'!$AA$4:$AA$138,MATCH($A57,'Charges_NonSlice &amp; Excl LS'!$AC$4:$AC$138,0),1)</f>
        <v>38.891795179438894</v>
      </c>
      <c r="Q57" s="297">
        <f ca="1">+INDEX('Charges_NonSlice &amp; Excl LS'!$Z$4:$Z$138,MATCH($A57,'Charges_NonSlice &amp; Excl LS'!$AC$4:$AC$138,0),1)/1000</f>
        <v>29.426310164275197</v>
      </c>
      <c r="R57" s="107">
        <f ca="1">+SUM(Q$5:Q57)</f>
        <v>12135.338735903539</v>
      </c>
      <c r="T57" s="295" t="str">
        <f ca="1">+INDEX(Charges_NonSlice!$C$4:$C$138,MATCH($A57,Charges_NonSlice!$AC$4:$AC$138,0),1)</f>
        <v>Benton County PUD #1</v>
      </c>
      <c r="U57" s="100">
        <f t="shared" ca="1" si="0"/>
        <v>6.7704036680458879E-2</v>
      </c>
      <c r="V57" s="129">
        <f ca="1">+INDEX(Charges_NonSlice!$AA$4:$AA$138,MATCH($A57,Charges_NonSlice!$AC$4:$AC$138,0),1)</f>
        <v>31.037083110601301</v>
      </c>
      <c r="W57" s="120">
        <f t="shared" ca="1" si="1"/>
        <v>29.068994819104574</v>
      </c>
      <c r="Y57" s="103" t="s">
        <v>108</v>
      </c>
      <c r="Z57" s="104">
        <v>36.982276414998509</v>
      </c>
    </row>
    <row r="58" spans="1:26">
      <c r="A58">
        <f t="shared" si="2"/>
        <v>54</v>
      </c>
      <c r="B58" s="112" t="str">
        <f ca="1">+INDEX('Charges_Including Slice and LS'!$C$4:$C$138,MATCH($A58,'Charges_Including Slice and LS'!$AC$4:$AC$138,0),1)</f>
        <v>McMinnville, City of</v>
      </c>
      <c r="C58" s="100">
        <f ca="1">+INDEX('Charges_Including Slice and LS'!$AB$4:$AB$138,MATCH($A58,'Charges_Including Slice and LS'!$AC$4:$AC$138,0),1)</f>
        <v>1.9333128247220013E-2</v>
      </c>
      <c r="D58" s="86">
        <f ca="1">+INDEX('Charges_Including Slice and LS'!$AA$4:$AA$138,MATCH($A58,'Charges_Including Slice and LS'!$AC$4:$AC$138,0),1)</f>
        <v>38.645966787243303</v>
      </c>
      <c r="E58" s="107">
        <f ca="1">+INDEX('Charges_Including Slice and LS'!$Z$4:$Z$138,MATCH($A58,'Charges_Including Slice and LS'!$AC$4:$AC$138,0),1)/1000</f>
        <v>756.73434332661759</v>
      </c>
      <c r="F58" s="107">
        <f ca="1">+SUM(E$5:E58)</f>
        <v>13550.658272944947</v>
      </c>
      <c r="H58" s="295" t="str">
        <f ca="1">+INDEX(Charges_NonSlice!$C$4:$C$138,MATCH($A58,Charges_NonSlice!$AC$4:$AC$138,0),1)</f>
        <v>U.S. Naval Submarine Base, Bangor</v>
      </c>
      <c r="I58" s="100">
        <f ca="1">+INDEX(Charges_NonSlice!$AB$4:$AB$138,MATCH($A58,Charges_NonSlice!$AC$4:$AC$138,0),1)</f>
        <v>2.0593154556978511E-2</v>
      </c>
      <c r="J58" s="129">
        <f ca="1">+INDEX(Charges_NonSlice!$AA$4:$AA$138,MATCH($A58,Charges_NonSlice!$AC$4:$AC$138,0),1)</f>
        <v>36.158402116324936</v>
      </c>
      <c r="K58" s="297">
        <f ca="1">+INDEX(Charges_NonSlice!$Z$4:$Z$138,MATCH($A58,Charges_NonSlice!$AC$4:$AC$138,0),1)/1000</f>
        <v>172.08146398474238</v>
      </c>
      <c r="L58" s="107">
        <f ca="1">+SUM(K$5:K58)</f>
        <v>11935.06723655711</v>
      </c>
      <c r="N58" s="295" t="str">
        <f ca="1">+INDEX('Charges_NonSlice &amp; Excl LS'!$C$4:$C$138,MATCH($A58,'Charges_NonSlice &amp; Excl LS'!$AC$4:$AC$138,0),1)</f>
        <v>Energy Northwest</v>
      </c>
      <c r="O58" s="100">
        <f ca="1">+INDEX('Charges_NonSlice &amp; Excl LS'!$AB$4:$AB$138,MATCH($A58,'Charges_NonSlice &amp; Excl LS'!$AC$4:$AC$138,0),1)</f>
        <v>2.0391243853626641E-2</v>
      </c>
      <c r="P58" s="129">
        <f ca="1">+INDEX('Charges_NonSlice &amp; Excl LS'!$AA$4:$AA$138,MATCH($A58,'Charges_NonSlice &amp; Excl LS'!$AC$4:$AC$138,0),1)</f>
        <v>36.078217187096946</v>
      </c>
      <c r="Q58" s="297">
        <f ca="1">+INDEX('Charges_NonSlice &amp; Excl LS'!$Z$4:$Z$138,MATCH($A58,'Charges_NonSlice &amp; Excl LS'!$AC$4:$AC$138,0),1)/1000</f>
        <v>21.219769481011198</v>
      </c>
      <c r="R58" s="107">
        <f ca="1">+SUM(Q$5:Q58)</f>
        <v>12156.55850538455</v>
      </c>
      <c r="T58" s="295" t="str">
        <f ca="1">+INDEX(Charges_NonSlice!$C$4:$C$138,MATCH($A58,Charges_NonSlice!$AC$4:$AC$138,0),1)</f>
        <v>U.S. Naval Submarine Base, Bangor</v>
      </c>
      <c r="U58" s="100">
        <f t="shared" ca="1" si="0"/>
        <v>1.3874954323668698E-2</v>
      </c>
      <c r="V58" s="129">
        <f ca="1">+INDEX(Charges_NonSlice!$AA$4:$AA$138,MATCH($A58,Charges_NonSlice!$AC$4:$AC$138,0),1)</f>
        <v>36.158402116324936</v>
      </c>
      <c r="W58" s="120">
        <f t="shared" ca="1" si="1"/>
        <v>35.663571688133203</v>
      </c>
      <c r="Y58" s="103" t="s">
        <v>27</v>
      </c>
      <c r="Z58" s="104">
        <v>36.246003830666552</v>
      </c>
    </row>
    <row r="59" spans="1:26">
      <c r="A59">
        <f t="shared" si="2"/>
        <v>55</v>
      </c>
      <c r="B59" s="112" t="str">
        <f ca="1">+INDEX('Charges_Including Slice and LS'!$C$4:$C$138,MATCH($A59,'Charges_Including Slice and LS'!$AC$4:$AC$138,0),1)</f>
        <v>Whatcom County PUD #1</v>
      </c>
      <c r="C59" s="100">
        <f ca="1">+INDEX('Charges_Including Slice and LS'!$AB$4:$AB$138,MATCH($A59,'Charges_Including Slice and LS'!$AC$4:$AC$138,0),1)</f>
        <v>1.9038316078117568E-2</v>
      </c>
      <c r="D59" s="86">
        <f ca="1">+INDEX('Charges_Including Slice and LS'!$AA$4:$AA$138,MATCH($A59,'Charges_Including Slice and LS'!$AC$4:$AC$138,0),1)</f>
        <v>36.023431712689082</v>
      </c>
      <c r="E59" s="107">
        <f ca="1">+INDEX('Charges_Including Slice and LS'!$Z$4:$Z$138,MATCH($A59,'Charges_Including Slice and LS'!$AC$4:$AC$138,0),1)/1000</f>
        <v>231.41010660536318</v>
      </c>
      <c r="F59" s="107">
        <f ca="1">+SUM(E$5:E59)</f>
        <v>13782.06837955031</v>
      </c>
      <c r="H59" s="295" t="str">
        <f ca="1">+INDEX(Charges_NonSlice!$C$4:$C$138,MATCH($A59,Charges_NonSlice!$AC$4:$AC$138,0),1)</f>
        <v>Clark County PUD #1</v>
      </c>
      <c r="I59" s="100">
        <f ca="1">+INDEX(Charges_NonSlice!$AB$4:$AB$138,MATCH($A59,Charges_NonSlice!$AC$4:$AC$138,0),1)</f>
        <v>2.0541443642166313E-2</v>
      </c>
      <c r="J59" s="129">
        <f ca="1">+INDEX(Charges_NonSlice!$AA$4:$AA$138,MATCH($A59,Charges_NonSlice!$AC$4:$AC$138,0),1)</f>
        <v>35.646365123628257</v>
      </c>
      <c r="K59" s="297">
        <f ca="1">+INDEX(Charges_NonSlice!$Z$4:$Z$138,MATCH($A59,Charges_NonSlice!$AC$4:$AC$138,0),1)/1000</f>
        <v>1316.9310119064576</v>
      </c>
      <c r="L59" s="107">
        <f ca="1">+SUM(K$5:K59)</f>
        <v>13251.998248463568</v>
      </c>
      <c r="N59" s="295" t="str">
        <f ca="1">+INDEX('Charges_NonSlice &amp; Excl LS'!$C$4:$C$138,MATCH($A59,'Charges_NonSlice &amp; Excl LS'!$AC$4:$AC$138,0),1)</f>
        <v>Emerald PUD</v>
      </c>
      <c r="O59" s="100">
        <f ca="1">+INDEX('Charges_NonSlice &amp; Excl LS'!$AB$4:$AB$138,MATCH($A59,'Charges_NonSlice &amp; Excl LS'!$AC$4:$AC$138,0),1)</f>
        <v>1.9951791168357942E-2</v>
      </c>
      <c r="P59" s="129">
        <f ca="1">+INDEX('Charges_NonSlice &amp; Excl LS'!$AA$4:$AA$138,MATCH($A59,'Charges_NonSlice &amp; Excl LS'!$AC$4:$AC$138,0),1)</f>
        <v>33.094006638303917</v>
      </c>
      <c r="Q59" s="297">
        <f ca="1">+INDEX('Charges_NonSlice &amp; Excl LS'!$Z$4:$Z$138,MATCH($A59,'Charges_NonSlice &amp; Excl LS'!$AC$4:$AC$138,0),1)/1000</f>
        <v>208.32272672808961</v>
      </c>
      <c r="R59" s="107">
        <f ca="1">+SUM(Q$5:Q59)</f>
        <v>12364.881232112639</v>
      </c>
      <c r="T59" s="295" t="str">
        <f ca="1">+INDEX(Charges_NonSlice!$C$4:$C$138,MATCH($A59,Charges_NonSlice!$AC$4:$AC$138,0),1)</f>
        <v>Clark County PUD #1</v>
      </c>
      <c r="U59" s="100">
        <f t="shared" ca="1" si="0"/>
        <v>7.3991902667124965E-2</v>
      </c>
      <c r="V59" s="129">
        <f ca="1">+INDEX(Charges_NonSlice!$AA$4:$AA$138,MATCH($A59,Charges_NonSlice!$AC$4:$AC$138,0),1)</f>
        <v>35.646365123628257</v>
      </c>
      <c r="W59" s="120">
        <f t="shared" ca="1" si="1"/>
        <v>33.190534337460974</v>
      </c>
      <c r="Y59" s="103" t="s">
        <v>125</v>
      </c>
      <c r="Z59" s="104">
        <v>35.663571688133203</v>
      </c>
    </row>
    <row r="60" spans="1:26">
      <c r="A60">
        <f t="shared" si="2"/>
        <v>56</v>
      </c>
      <c r="B60" s="112" t="str">
        <f ca="1">+INDEX('Charges_Including Slice and LS'!$C$4:$C$138,MATCH($A60,'Charges_Including Slice and LS'!$AC$4:$AC$138,0),1)</f>
        <v>United Electric Coop</v>
      </c>
      <c r="C60" s="100">
        <f ca="1">+INDEX('Charges_Including Slice and LS'!$AB$4:$AB$138,MATCH($A60,'Charges_Including Slice and LS'!$AC$4:$AC$138,0),1)</f>
        <v>1.8231252817154875E-2</v>
      </c>
      <c r="D60" s="86">
        <f ca="1">+INDEX('Charges_Including Slice and LS'!$AA$4:$AA$138,MATCH($A60,'Charges_Including Slice and LS'!$AC$4:$AC$138,0),1)</f>
        <v>32.855538857247645</v>
      </c>
      <c r="E60" s="107">
        <f ca="1">+INDEX('Charges_Including Slice and LS'!$Z$4:$Z$138,MATCH($A60,'Charges_Including Slice and LS'!$AC$4:$AC$138,0),1)/1000</f>
        <v>261.9162247542784</v>
      </c>
      <c r="F60" s="107">
        <f ca="1">+SUM(E$5:E60)</f>
        <v>14043.984604304589</v>
      </c>
      <c r="H60" s="295" t="str">
        <f ca="1">+INDEX(Charges_NonSlice!$C$4:$C$138,MATCH($A60,Charges_NonSlice!$AC$4:$AC$138,0),1)</f>
        <v>U.S. Naval Base,  Bremerton</v>
      </c>
      <c r="I60" s="100">
        <f ca="1">+INDEX(Charges_NonSlice!$AB$4:$AB$138,MATCH($A60,Charges_NonSlice!$AC$4:$AC$138,0),1)</f>
        <v>2.034531681756328E-2</v>
      </c>
      <c r="J60" s="129">
        <f ca="1">+INDEX(Charges_NonSlice!$AA$4:$AA$138,MATCH($A60,Charges_NonSlice!$AC$4:$AC$138,0),1)</f>
        <v>37.903656216395973</v>
      </c>
      <c r="K60" s="297">
        <f ca="1">+INDEX(Charges_NonSlice!$Z$4:$Z$138,MATCH($A60,Charges_NonSlice!$AC$4:$AC$138,0),1)/1000</f>
        <v>266.137632</v>
      </c>
      <c r="L60" s="107">
        <f ca="1">+SUM(K$5:K60)</f>
        <v>13518.135880463567</v>
      </c>
      <c r="N60" s="295" t="str">
        <f ca="1">+INDEX('Charges_NonSlice &amp; Excl LS'!$C$4:$C$138,MATCH($A60,'Charges_NonSlice &amp; Excl LS'!$AC$4:$AC$138,0),1)</f>
        <v>U.S. Naval Submarine Base, Bangor</v>
      </c>
      <c r="O60" s="100">
        <f ca="1">+INDEX('Charges_NonSlice &amp; Excl LS'!$AB$4:$AB$138,MATCH($A60,'Charges_NonSlice &amp; Excl LS'!$AC$4:$AC$138,0),1)</f>
        <v>1.9760849049091103E-2</v>
      </c>
      <c r="P60" s="129">
        <f ca="1">+INDEX('Charges_NonSlice &amp; Excl LS'!$AA$4:$AA$138,MATCH($A60,'Charges_NonSlice &amp; Excl LS'!$AC$4:$AC$138,0),1)</f>
        <v>35.823501791551244</v>
      </c>
      <c r="Q60" s="297">
        <f ca="1">+INDEX('Charges_NonSlice &amp; Excl LS'!$Z$4:$Z$138,MATCH($A60,'Charges_NonSlice &amp; Excl LS'!$AC$4:$AC$138,0),1)/1000</f>
        <v>171.39946398474237</v>
      </c>
      <c r="R60" s="107">
        <f ca="1">+SUM(Q$5:Q60)</f>
        <v>12536.280696097381</v>
      </c>
      <c r="T60" s="295" t="str">
        <f ca="1">+INDEX(Charges_NonSlice!$C$4:$C$138,MATCH($A60,Charges_NonSlice!$AC$4:$AC$138,0),1)</f>
        <v>U.S. Naval Base,  Bremerton</v>
      </c>
      <c r="U60" s="100">
        <f t="shared" ca="1" si="0"/>
        <v>5.7887494599530465E-2</v>
      </c>
      <c r="V60" s="129">
        <f ca="1">+INDEX(Charges_NonSlice!$AA$4:$AA$138,MATCH($A60,Charges_NonSlice!$AC$4:$AC$138,0),1)</f>
        <v>37.903656216395973</v>
      </c>
      <c r="W60" s="120">
        <f t="shared" ca="1" si="1"/>
        <v>35.829572057418666</v>
      </c>
      <c r="Y60" s="103" t="s">
        <v>26</v>
      </c>
      <c r="Z60" s="104">
        <v>38.138975533732172</v>
      </c>
    </row>
    <row r="61" spans="1:26">
      <c r="A61">
        <f t="shared" si="2"/>
        <v>57</v>
      </c>
      <c r="B61" s="112" t="str">
        <f ca="1">+INDEX('Charges_Including Slice and LS'!$C$4:$C$138,MATCH($A61,'Charges_Including Slice and LS'!$AC$4:$AC$138,0),1)</f>
        <v>Big Bend Elec Coop</v>
      </c>
      <c r="C61" s="100">
        <f ca="1">+INDEX('Charges_Including Slice and LS'!$AB$4:$AB$138,MATCH($A61,'Charges_Including Slice and LS'!$AC$4:$AC$138,0),1)</f>
        <v>1.8070681827190991E-2</v>
      </c>
      <c r="D61" s="86">
        <f ca="1">+INDEX('Charges_Including Slice and LS'!$AA$4:$AA$138,MATCH($A61,'Charges_Including Slice and LS'!$AC$4:$AC$138,0),1)</f>
        <v>29.770555553258362</v>
      </c>
      <c r="E61" s="107">
        <f ca="1">+INDEX('Charges_Including Slice and LS'!$Z$4:$Z$138,MATCH($A61,'Charges_Including Slice and LS'!$AC$4:$AC$138,0),1)/1000</f>
        <v>534.6798920056832</v>
      </c>
      <c r="F61" s="107">
        <f ca="1">+SUM(E$5:E61)</f>
        <v>14578.664496310272</v>
      </c>
      <c r="H61" s="295" t="str">
        <f ca="1">+INDEX(Charges_NonSlice!$C$4:$C$138,MATCH($A61,Charges_NonSlice!$AC$4:$AC$138,0),1)</f>
        <v>Sumas, Town of</v>
      </c>
      <c r="I61" s="100">
        <f ca="1">+INDEX(Charges_NonSlice!$AB$4:$AB$138,MATCH($A61,Charges_NonSlice!$AC$4:$AC$138,0),1)</f>
        <v>1.9858047668185625E-2</v>
      </c>
      <c r="J61" s="129">
        <f ca="1">+INDEX(Charges_NonSlice!$AA$4:$AA$138,MATCH($A61,Charges_NonSlice!$AC$4:$AC$138,0),1)</f>
        <v>36.931192128920685</v>
      </c>
      <c r="K61" s="297">
        <f ca="1">+INDEX(Charges_NonSlice!$Z$4:$Z$138,MATCH($A61,Charges_NonSlice!$AC$4:$AC$138,0),1)/1000</f>
        <v>31.824432000000002</v>
      </c>
      <c r="L61" s="107">
        <f ca="1">+SUM(K$5:K61)</f>
        <v>13549.960312463567</v>
      </c>
      <c r="N61" s="295" t="str">
        <f ca="1">+INDEX('Charges_NonSlice &amp; Excl LS'!$C$4:$C$138,MATCH($A61,'Charges_NonSlice &amp; Excl LS'!$AC$4:$AC$138,0),1)</f>
        <v>Forest Grove, City of</v>
      </c>
      <c r="O61" s="100">
        <f ca="1">+INDEX('Charges_NonSlice &amp; Excl LS'!$AB$4:$AB$138,MATCH($A61,'Charges_NonSlice &amp; Excl LS'!$AC$4:$AC$138,0),1)</f>
        <v>1.9541272702450232E-2</v>
      </c>
      <c r="P61" s="129">
        <f ca="1">+INDEX('Charges_NonSlice &amp; Excl LS'!$AA$4:$AA$138,MATCH($A61,'Charges_NonSlice &amp; Excl LS'!$AC$4:$AC$138,0),1)</f>
        <v>37.75946744482971</v>
      </c>
      <c r="Q61" s="297">
        <f ca="1">+INDEX('Charges_NonSlice &amp; Excl LS'!$Z$4:$Z$138,MATCH($A61,'Charges_NonSlice &amp; Excl LS'!$AC$4:$AC$138,0),1)/1000</f>
        <v>233.1336290494464</v>
      </c>
      <c r="R61" s="107">
        <f ca="1">+SUM(Q$5:Q61)</f>
        <v>12769.414325146827</v>
      </c>
      <c r="T61" s="295" t="str">
        <f ca="1">+INDEX(Charges_NonSlice!$C$4:$C$138,MATCH($A61,Charges_NonSlice!$AC$4:$AC$138,0),1)</f>
        <v>Sumas, Town of</v>
      </c>
      <c r="U61" s="100">
        <f t="shared" ca="1" si="0"/>
        <v>5.083892673087842E-3</v>
      </c>
      <c r="V61" s="129">
        <f ca="1">+INDEX(Charges_NonSlice!$AA$4:$AA$138,MATCH($A61,Charges_NonSlice!$AC$4:$AC$138,0),1)</f>
        <v>36.931192128920685</v>
      </c>
      <c r="W61" s="120">
        <f t="shared" ca="1" si="1"/>
        <v>36.744387605993474</v>
      </c>
      <c r="Y61" s="103" t="s">
        <v>117</v>
      </c>
      <c r="Z61" s="104">
        <v>36.847198267541081</v>
      </c>
    </row>
    <row r="62" spans="1:26">
      <c r="A62">
        <f t="shared" si="2"/>
        <v>58</v>
      </c>
      <c r="B62" s="112" t="str">
        <f ca="1">+INDEX('Charges_Including Slice and LS'!$C$4:$C$138,MATCH($A62,'Charges_Including Slice and LS'!$AC$4:$AC$138,0),1)</f>
        <v>U.S. Naval Station, Everett (Jim Creek)</v>
      </c>
      <c r="C62" s="100">
        <f ca="1">+INDEX('Charges_Including Slice and LS'!$AB$4:$AB$138,MATCH($A62,'Charges_Including Slice and LS'!$AC$4:$AC$138,0),1)</f>
        <v>1.8016160892768252E-2</v>
      </c>
      <c r="D62" s="86">
        <f ca="1">+INDEX('Charges_Including Slice and LS'!$AA$4:$AA$138,MATCH($A62,'Charges_Including Slice and LS'!$AC$4:$AC$138,0),1)</f>
        <v>37.177767121515458</v>
      </c>
      <c r="E62" s="107">
        <f ca="1">+INDEX('Charges_Including Slice and LS'!$Z$4:$Z$138,MATCH($A62,'Charges_Including Slice and LS'!$AC$4:$AC$138,0),1)/1000</f>
        <v>13.342896</v>
      </c>
      <c r="F62" s="107">
        <f ca="1">+SUM(E$5:E62)</f>
        <v>14592.007392310272</v>
      </c>
      <c r="H62" s="295" t="str">
        <f ca="1">+INDEX(Charges_NonSlice!$C$4:$C$138,MATCH($A62,Charges_NonSlice!$AC$4:$AC$138,0),1)</f>
        <v>Salmon River Elec Coop</v>
      </c>
      <c r="I62" s="100">
        <f ca="1">+INDEX(Charges_NonSlice!$AB$4:$AB$138,MATCH($A62,Charges_NonSlice!$AC$4:$AC$138,0),1)</f>
        <v>1.9853527676081218E-2</v>
      </c>
      <c r="J62" s="129">
        <f ca="1">+INDEX(Charges_NonSlice!$AA$4:$AA$138,MATCH($A62,Charges_NonSlice!$AC$4:$AC$138,0),1)</f>
        <v>31.591761918372757</v>
      </c>
      <c r="K62" s="297">
        <f ca="1">+INDEX(Charges_NonSlice!$Z$4:$Z$138,MATCH($A62,Charges_NonSlice!$AC$4:$AC$138,0),1)/1000</f>
        <v>106.07516607969281</v>
      </c>
      <c r="L62" s="107">
        <f ca="1">+SUM(K$5:K62)</f>
        <v>13656.035478543259</v>
      </c>
      <c r="N62" s="295" t="str">
        <f ca="1">+INDEX('Charges_NonSlice &amp; Excl LS'!$C$4:$C$138,MATCH($A62,'Charges_NonSlice &amp; Excl LS'!$AC$4:$AC$138,0),1)</f>
        <v>Sumas, Town of</v>
      </c>
      <c r="O62" s="100">
        <f ca="1">+INDEX('Charges_NonSlice &amp; Excl LS'!$AB$4:$AB$138,MATCH($A62,'Charges_NonSlice &amp; Excl LS'!$AC$4:$AC$138,0),1)</f>
        <v>1.9531869494191004E-2</v>
      </c>
      <c r="P62" s="129">
        <f ca="1">+INDEX('Charges_NonSlice &amp; Excl LS'!$AA$4:$AA$138,MATCH($A62,'Charges_NonSlice &amp; Excl LS'!$AC$4:$AC$138,0),1)</f>
        <v>36.602708266707729</v>
      </c>
      <c r="Q62" s="297">
        <f ca="1">+INDEX('Charges_NonSlice &amp; Excl LS'!$Z$4:$Z$138,MATCH($A62,'Charges_NonSlice &amp; Excl LS'!$AC$4:$AC$138,0),1)/1000</f>
        <v>31.826569055846399</v>
      </c>
      <c r="R62" s="107">
        <f ca="1">+SUM(Q$5:Q62)</f>
        <v>12801.240894202672</v>
      </c>
      <c r="T62" s="295" t="str">
        <f ca="1">+INDEX(Charges_NonSlice!$C$4:$C$138,MATCH($A62,Charges_NonSlice!$AC$4:$AC$138,0),1)</f>
        <v>Salmon River Elec Coop</v>
      </c>
      <c r="U62" s="100">
        <f t="shared" ca="1" si="0"/>
        <v>2.9454298998142781E-2</v>
      </c>
      <c r="V62" s="129">
        <f ca="1">+INDEX(Charges_NonSlice!$AA$4:$AA$138,MATCH($A62,Charges_NonSlice!$AC$4:$AC$138,0),1)</f>
        <v>31.591761918372757</v>
      </c>
      <c r="W62" s="120">
        <f t="shared" ca="1" si="1"/>
        <v>30.687872156265339</v>
      </c>
      <c r="Y62" s="103" t="s">
        <v>33</v>
      </c>
      <c r="Z62" s="104">
        <v>36.63713455715834</v>
      </c>
    </row>
    <row r="63" spans="1:26">
      <c r="A63">
        <f t="shared" si="2"/>
        <v>59</v>
      </c>
      <c r="B63" s="112" t="str">
        <f ca="1">+INDEX('Charges_Including Slice and LS'!$C$4:$C$138,MATCH($A63,'Charges_Including Slice and LS'!$AC$4:$AC$138,0),1)</f>
        <v>Springfield Utility Board</v>
      </c>
      <c r="C63" s="100">
        <f ca="1">+INDEX('Charges_Including Slice and LS'!$AB$4:$AB$138,MATCH($A63,'Charges_Including Slice and LS'!$AC$4:$AC$138,0),1)</f>
        <v>1.7539179260301463E-2</v>
      </c>
      <c r="D63" s="86">
        <f ca="1">+INDEX('Charges_Including Slice and LS'!$AA$4:$AA$138,MATCH($A63,'Charges_Including Slice and LS'!$AC$4:$AC$138,0),1)</f>
        <v>38.31561025957982</v>
      </c>
      <c r="E63" s="107">
        <f ca="1">+INDEX('Charges_Including Slice and LS'!$Z$4:$Z$138,MATCH($A63,'Charges_Including Slice and LS'!$AC$4:$AC$138,0),1)/1000</f>
        <v>832.53734636922866</v>
      </c>
      <c r="F63" s="107">
        <f ca="1">+SUM(E$5:E63)</f>
        <v>15424.5447386795</v>
      </c>
      <c r="H63" s="295" t="str">
        <f ca="1">+INDEX(Charges_NonSlice!$C$4:$C$138,MATCH($A63,Charges_NonSlice!$AC$4:$AC$138,0),1)</f>
        <v>Idaho Falls Power</v>
      </c>
      <c r="I63" s="100">
        <f ca="1">+INDEX(Charges_NonSlice!$AB$4:$AB$138,MATCH($A63,Charges_NonSlice!$AC$4:$AC$138,0),1)</f>
        <v>1.984101639741194E-2</v>
      </c>
      <c r="J63" s="129">
        <f ca="1">+INDEX(Charges_NonSlice!$AA$4:$AA$138,MATCH($A63,Charges_NonSlice!$AC$4:$AC$138,0),1)</f>
        <v>35.602071283438946</v>
      </c>
      <c r="K63" s="297">
        <f ca="1">+INDEX(Charges_NonSlice!$Z$4:$Z$138,MATCH($A63,Charges_NonSlice!$AC$4:$AC$138,0),1)/1000</f>
        <v>210.51037056245764</v>
      </c>
      <c r="L63" s="107">
        <f ca="1">+SUM(K$5:K63)</f>
        <v>13866.545849105716</v>
      </c>
      <c r="N63" s="295" t="str">
        <f ca="1">+INDEX('Charges_NonSlice &amp; Excl LS'!$C$4:$C$138,MATCH($A63,'Charges_NonSlice &amp; Excl LS'!$AC$4:$AC$138,0),1)</f>
        <v>U.S. Naval Station, Everett (Jim Creek)</v>
      </c>
      <c r="O63" s="100">
        <f ca="1">+INDEX('Charges_NonSlice &amp; Excl LS'!$AB$4:$AB$138,MATCH($A63,'Charges_NonSlice &amp; Excl LS'!$AC$4:$AC$138,0),1)</f>
        <v>1.935311374498876E-2</v>
      </c>
      <c r="P63" s="129">
        <f ca="1">+INDEX('Charges_NonSlice &amp; Excl LS'!$AA$4:$AA$138,MATCH($A63,'Charges_NonSlice &amp; Excl LS'!$AC$4:$AC$138,0),1)</f>
        <v>37.364697640893745</v>
      </c>
      <c r="Q63" s="297">
        <f ca="1">+INDEX('Charges_NonSlice &amp; Excl LS'!$Z$4:$Z$138,MATCH($A63,'Charges_NonSlice &amp; Excl LS'!$AC$4:$AC$138,0),1)/1000</f>
        <v>13.050250785791999</v>
      </c>
      <c r="R63" s="107">
        <f ca="1">+SUM(Q$5:Q63)</f>
        <v>12814.291144988465</v>
      </c>
      <c r="T63" s="295" t="str">
        <f ca="1">+INDEX(Charges_NonSlice!$C$4:$C$138,MATCH($A63,Charges_NonSlice!$AC$4:$AC$138,0),1)</f>
        <v>Idaho Falls Power</v>
      </c>
      <c r="U63" s="100">
        <f t="shared" ca="1" si="0"/>
        <v>8.0516499138989728E-2</v>
      </c>
      <c r="V63" s="129">
        <f ca="1">+INDEX(Charges_NonSlice!$AA$4:$AA$138,MATCH($A63,Charges_NonSlice!$AC$4:$AC$138,0),1)</f>
        <v>35.602071283438946</v>
      </c>
      <c r="W63" s="120">
        <f t="shared" ca="1" si="1"/>
        <v>32.949123231166283</v>
      </c>
      <c r="Y63" s="103" t="s">
        <v>139</v>
      </c>
      <c r="Z63" s="104">
        <v>39.320115744485499</v>
      </c>
    </row>
    <row r="64" spans="1:26">
      <c r="A64">
        <f t="shared" si="2"/>
        <v>60</v>
      </c>
      <c r="B64" s="112" t="str">
        <f ca="1">+INDEX('Charges_Including Slice and LS'!$C$4:$C$138,MATCH($A64,'Charges_Including Slice and LS'!$AC$4:$AC$138,0),1)</f>
        <v>Columbia River PUD</v>
      </c>
      <c r="C64" s="100">
        <f ca="1">+INDEX('Charges_Including Slice and LS'!$AB$4:$AB$138,MATCH($A64,'Charges_Including Slice and LS'!$AC$4:$AC$138,0),1)</f>
        <v>1.6860088850391804E-2</v>
      </c>
      <c r="D64" s="86">
        <f ca="1">+INDEX('Charges_Including Slice and LS'!$AA$4:$AA$138,MATCH($A64,'Charges_Including Slice and LS'!$AC$4:$AC$138,0),1)</f>
        <v>38.081974323531021</v>
      </c>
      <c r="E64" s="107">
        <f ca="1">+INDEX('Charges_Including Slice and LS'!$Z$4:$Z$138,MATCH($A64,'Charges_Including Slice and LS'!$AC$4:$AC$138,0),1)/1000</f>
        <v>478.54521746708474</v>
      </c>
      <c r="F64" s="107">
        <f ca="1">+SUM(E$5:E64)</f>
        <v>15903.089956146585</v>
      </c>
      <c r="H64" s="295" t="str">
        <f ca="1">+INDEX(Charges_NonSlice!$C$4:$C$138,MATCH($A64,Charges_NonSlice!$AC$4:$AC$138,0),1)</f>
        <v>Seattle City Light</v>
      </c>
      <c r="I64" s="100">
        <f ca="1">+INDEX(Charges_NonSlice!$AB$4:$AB$138,MATCH($A64,Charges_NonSlice!$AC$4:$AC$138,0),1)</f>
        <v>1.9427076608073399E-2</v>
      </c>
      <c r="J64" s="129">
        <f ca="1">+INDEX(Charges_NonSlice!$AA$4:$AA$138,MATCH($A64,Charges_NonSlice!$AC$4:$AC$138,0),1)</f>
        <v>37.731803299671533</v>
      </c>
      <c r="K64" s="297">
        <f ca="1">+INDEX(Charges_NonSlice!$Z$4:$Z$138,MATCH($A64,Charges_NonSlice!$AC$4:$AC$138,0),1)/1000</f>
        <v>4446.7149840609281</v>
      </c>
      <c r="L64" s="107">
        <f ca="1">+SUM(K$5:K64)</f>
        <v>18313.260833166645</v>
      </c>
      <c r="N64" s="295" t="str">
        <f ca="1">+INDEX('Charges_NonSlice &amp; Excl LS'!$C$4:$C$138,MATCH($A64,'Charges_NonSlice &amp; Excl LS'!$AC$4:$AC$138,0),1)</f>
        <v>Milton-Freewater, City of</v>
      </c>
      <c r="O64" s="100">
        <f ca="1">+INDEX('Charges_NonSlice &amp; Excl LS'!$AB$4:$AB$138,MATCH($A64,'Charges_NonSlice &amp; Excl LS'!$AC$4:$AC$138,0),1)</f>
        <v>1.9249941776888869E-2</v>
      </c>
      <c r="P64" s="129">
        <f ca="1">+INDEX('Charges_NonSlice &amp; Excl LS'!$AA$4:$AA$138,MATCH($A64,'Charges_NonSlice &amp; Excl LS'!$AC$4:$AC$138,0),1)</f>
        <v>38.685134553562392</v>
      </c>
      <c r="Q64" s="297">
        <f ca="1">+INDEX('Charges_NonSlice &amp; Excl LS'!$Z$4:$Z$138,MATCH($A64,'Charges_NonSlice &amp; Excl LS'!$AC$4:$AC$138,0),1)/1000</f>
        <v>91.351755500544002</v>
      </c>
      <c r="R64" s="107">
        <f ca="1">+SUM(Q$5:Q64)</f>
        <v>12905.642900489009</v>
      </c>
      <c r="T64" s="295" t="str">
        <f ca="1">+INDEX(Charges_NonSlice!$C$4:$C$138,MATCH($A64,Charges_NonSlice!$AC$4:$AC$138,0),1)</f>
        <v>Seattle City Light</v>
      </c>
      <c r="U64" s="100">
        <f t="shared" ca="1" si="0"/>
        <v>2.5549638839545974E-2</v>
      </c>
      <c r="V64" s="129">
        <f ca="1">+INDEX(Charges_NonSlice!$AA$4:$AA$138,MATCH($A64,Charges_NonSlice!$AC$4:$AC$138,0),1)</f>
        <v>37.731803299671533</v>
      </c>
      <c r="W64" s="120">
        <f t="shared" ca="1" si="1"/>
        <v>36.791786443771471</v>
      </c>
      <c r="Y64" s="103" t="s">
        <v>74</v>
      </c>
      <c r="Z64" s="104">
        <v>34.898728112347179</v>
      </c>
    </row>
    <row r="65" spans="1:26">
      <c r="A65">
        <f t="shared" si="2"/>
        <v>61</v>
      </c>
      <c r="B65" s="112" t="str">
        <f ca="1">+INDEX('Charges_Including Slice and LS'!$C$4:$C$138,MATCH($A65,'Charges_Including Slice and LS'!$AC$4:$AC$138,0),1)</f>
        <v>Mason County PUD #3</v>
      </c>
      <c r="C65" s="100">
        <f ca="1">+INDEX('Charges_Including Slice and LS'!$AB$4:$AB$138,MATCH($A65,'Charges_Including Slice and LS'!$AC$4:$AC$138,0),1)</f>
        <v>1.6397327270177869E-2</v>
      </c>
      <c r="D65" s="86">
        <f ca="1">+INDEX('Charges_Including Slice and LS'!$AA$4:$AA$138,MATCH($A65,'Charges_Including Slice and LS'!$AC$4:$AC$138,0),1)</f>
        <v>36.760457326645813</v>
      </c>
      <c r="E65" s="107">
        <f ca="1">+INDEX('Charges_Including Slice and LS'!$Z$4:$Z$138,MATCH($A65,'Charges_Including Slice and LS'!$AC$4:$AC$138,0),1)/1000</f>
        <v>666.92713894676479</v>
      </c>
      <c r="F65" s="107">
        <f ca="1">+SUM(E$5:E65)</f>
        <v>16570.01709509335</v>
      </c>
      <c r="H65" s="295" t="str">
        <f ca="1">+INDEX(Charges_NonSlice!$C$4:$C$138,MATCH($A65,Charges_NonSlice!$AC$4:$AC$138,0),1)</f>
        <v>McMinnville, City of</v>
      </c>
      <c r="I65" s="100">
        <f ca="1">+INDEX(Charges_NonSlice!$AB$4:$AB$138,MATCH($A65,Charges_NonSlice!$AC$4:$AC$138,0),1)</f>
        <v>1.9333128247223254E-2</v>
      </c>
      <c r="J65" s="129">
        <f ca="1">+INDEX(Charges_NonSlice!$AA$4:$AA$138,MATCH($A65,Charges_NonSlice!$AC$4:$AC$138,0),1)</f>
        <v>38.645966787243303</v>
      </c>
      <c r="K65" s="297">
        <f ca="1">+INDEX(Charges_NonSlice!$Z$4:$Z$138,MATCH($A65,Charges_NonSlice!$AC$4:$AC$138,0),1)/1000</f>
        <v>756.73434332661759</v>
      </c>
      <c r="L65" s="107">
        <f ca="1">+SUM(K$5:K65)</f>
        <v>19069.995176493263</v>
      </c>
      <c r="N65" s="295" t="str">
        <f ca="1">+INDEX('Charges_NonSlice &amp; Excl LS'!$C$4:$C$138,MATCH($A65,'Charges_NonSlice &amp; Excl LS'!$AC$4:$AC$138,0),1)</f>
        <v>Whatcom County PUD #1</v>
      </c>
      <c r="O65" s="100">
        <f ca="1">+INDEX('Charges_NonSlice &amp; Excl LS'!$AB$4:$AB$138,MATCH($A65,'Charges_NonSlice &amp; Excl LS'!$AC$4:$AC$138,0),1)</f>
        <v>1.8881947968968832E-2</v>
      </c>
      <c r="P65" s="129">
        <f ca="1">+INDEX('Charges_NonSlice &amp; Excl LS'!$AA$4:$AA$138,MATCH($A65,'Charges_NonSlice &amp; Excl LS'!$AC$4:$AC$138,0),1)</f>
        <v>36.144804268868086</v>
      </c>
      <c r="Q65" s="297">
        <f ca="1">+INDEX('Charges_NonSlice &amp; Excl LS'!$Z$4:$Z$138,MATCH($A65,'Charges_NonSlice &amp; Excl LS'!$AC$4:$AC$138,0),1)/1000</f>
        <v>231.41210660536319</v>
      </c>
      <c r="R65" s="107">
        <f ca="1">+SUM(Q$5:Q65)</f>
        <v>13137.055007094372</v>
      </c>
      <c r="T65" s="295" t="str">
        <f ca="1">+INDEX(Charges_NonSlice!$C$4:$C$138,MATCH($A65,Charges_NonSlice!$AC$4:$AC$138,0),1)</f>
        <v>McMinnville, City of</v>
      </c>
      <c r="U65" s="100">
        <f t="shared" ca="1" si="0"/>
        <v>4.5180426139344032E-2</v>
      </c>
      <c r="V65" s="129">
        <f ca="1">+INDEX(Charges_NonSlice!$AA$4:$AA$138,MATCH($A65,Charges_NonSlice!$AC$4:$AC$138,0),1)</f>
        <v>38.645966787243303</v>
      </c>
      <c r="W65" s="120">
        <f t="shared" ca="1" si="1"/>
        <v>36.975402352293003</v>
      </c>
      <c r="Y65" s="103" t="s">
        <v>40</v>
      </c>
      <c r="Z65" s="104">
        <v>37.358024363341762</v>
      </c>
    </row>
    <row r="66" spans="1:26">
      <c r="A66">
        <f t="shared" si="2"/>
        <v>62</v>
      </c>
      <c r="B66" s="112" t="str">
        <f ca="1">+INDEX('Charges_Including Slice and LS'!$C$4:$C$138,MATCH($A66,'Charges_Including Slice and LS'!$AC$4:$AC$138,0),1)</f>
        <v>Umpqua Indian Utility Cooperative</v>
      </c>
      <c r="C66" s="100">
        <f ca="1">+INDEX('Charges_Including Slice and LS'!$AB$4:$AB$138,MATCH($A66,'Charges_Including Slice and LS'!$AC$4:$AC$138,0),1)</f>
        <v>1.6251388370116748E-2</v>
      </c>
      <c r="D66" s="86">
        <f ca="1">+INDEX('Charges_Including Slice and LS'!$AA$4:$AA$138,MATCH($A66,'Charges_Including Slice and LS'!$AC$4:$AC$138,0),1)</f>
        <v>37.307873709927641</v>
      </c>
      <c r="E66" s="107">
        <f ca="1">+INDEX('Charges_Including Slice and LS'!$Z$4:$Z$138,MATCH($A66,'Charges_Including Slice and LS'!$AC$4:$AC$138,0),1)/1000</f>
        <v>24.179413011353603</v>
      </c>
      <c r="F66" s="107">
        <f ca="1">+SUM(E$5:E66)</f>
        <v>16594.196508104702</v>
      </c>
      <c r="H66" s="295" t="str">
        <f ca="1">+INDEX(Charges_NonSlice!$C$4:$C$138,MATCH($A66,Charges_NonSlice!$AC$4:$AC$138,0),1)</f>
        <v>Whatcom County PUD #1</v>
      </c>
      <c r="I66" s="100">
        <f ca="1">+INDEX(Charges_NonSlice!$AB$4:$AB$138,MATCH($A66,Charges_NonSlice!$AC$4:$AC$138,0),1)</f>
        <v>1.9038316078125214E-2</v>
      </c>
      <c r="J66" s="129">
        <f ca="1">+INDEX(Charges_NonSlice!$AA$4:$AA$138,MATCH($A66,Charges_NonSlice!$AC$4:$AC$138,0),1)</f>
        <v>36.023431712689082</v>
      </c>
      <c r="K66" s="297">
        <f ca="1">+INDEX(Charges_NonSlice!$Z$4:$Z$138,MATCH($A66,Charges_NonSlice!$AC$4:$AC$138,0),1)/1000</f>
        <v>231.41010660536318</v>
      </c>
      <c r="L66" s="107">
        <f ca="1">+SUM(K$5:K66)</f>
        <v>19301.405283098626</v>
      </c>
      <c r="N66" s="295" t="str">
        <f ca="1">+INDEX('Charges_NonSlice &amp; Excl LS'!$C$4:$C$138,MATCH($A66,'Charges_NonSlice &amp; Excl LS'!$AC$4:$AC$138,0),1)</f>
        <v>Okanogan County PUD #1</v>
      </c>
      <c r="O66" s="100">
        <f ca="1">+INDEX('Charges_NonSlice &amp; Excl LS'!$AB$4:$AB$138,MATCH($A66,'Charges_NonSlice &amp; Excl LS'!$AC$4:$AC$138,0),1)</f>
        <v>1.868243684741035E-2</v>
      </c>
      <c r="P66" s="129">
        <f ca="1">+INDEX('Charges_NonSlice &amp; Excl LS'!$AA$4:$AA$138,MATCH($A66,'Charges_NonSlice &amp; Excl LS'!$AC$4:$AC$138,0),1)</f>
        <v>33.758744925648124</v>
      </c>
      <c r="Q66" s="297">
        <f ca="1">+INDEX('Charges_NonSlice &amp; Excl LS'!$Z$4:$Z$138,MATCH($A66,'Charges_NonSlice &amp; Excl LS'!$AC$4:$AC$138,0),1)/1000</f>
        <v>401.14558112808965</v>
      </c>
      <c r="R66" s="107">
        <f ca="1">+SUM(Q$5:Q66)</f>
        <v>13538.200588222462</v>
      </c>
      <c r="T66" s="295" t="str">
        <f ca="1">+INDEX(Charges_NonSlice!$C$4:$C$138,MATCH($A66,Charges_NonSlice!$AC$4:$AC$138,0),1)</f>
        <v>Whatcom County PUD #1</v>
      </c>
      <c r="U66" s="100">
        <f t="shared" ca="1" si="0"/>
        <v>2.3545764738253316E-2</v>
      </c>
      <c r="V66" s="129">
        <f ca="1">+INDEX(Charges_NonSlice!$AA$4:$AA$138,MATCH($A66,Charges_NonSlice!$AC$4:$AC$138,0),1)</f>
        <v>36.023431712689082</v>
      </c>
      <c r="W66" s="120">
        <f t="shared" ca="1" si="1"/>
        <v>35.194744537779599</v>
      </c>
      <c r="Y66" s="103" t="s">
        <v>19</v>
      </c>
      <c r="Z66" s="104">
        <v>36.549792255143778</v>
      </c>
    </row>
    <row r="67" spans="1:26">
      <c r="A67">
        <f t="shared" si="2"/>
        <v>63</v>
      </c>
      <c r="B67" s="112" t="str">
        <f ca="1">+INDEX('Charges_Including Slice and LS'!$C$4:$C$138,MATCH($A67,'Charges_Including Slice and LS'!$AC$4:$AC$138,0),1)</f>
        <v>Cheney, City of</v>
      </c>
      <c r="C67" s="100">
        <f ca="1">+INDEX('Charges_Including Slice and LS'!$AB$4:$AB$138,MATCH($A67,'Charges_Including Slice and LS'!$AC$4:$AC$138,0),1)</f>
        <v>1.5729134548600015E-2</v>
      </c>
      <c r="D67" s="86">
        <f ca="1">+INDEX('Charges_Including Slice and LS'!$AA$4:$AA$138,MATCH($A67,'Charges_Including Slice and LS'!$AC$4:$AC$138,0),1)</f>
        <v>40.648522632553224</v>
      </c>
      <c r="E67" s="107">
        <f ca="1">+INDEX('Charges_Including Slice and LS'!$Z$4:$Z$138,MATCH($A67,'Charges_Including Slice and LS'!$AC$4:$AC$138,0),1)/1000</f>
        <v>132.59991103989759</v>
      </c>
      <c r="F67" s="107">
        <f ca="1">+SUM(E$5:E67)</f>
        <v>16726.796419144601</v>
      </c>
      <c r="H67" s="295" t="str">
        <f ca="1">+INDEX(Charges_NonSlice!$C$4:$C$138,MATCH($A67,Charges_NonSlice!$AC$4:$AC$138,0),1)</f>
        <v>Lewis County PUD #1</v>
      </c>
      <c r="I67" s="100">
        <f ca="1">+INDEX(Charges_NonSlice!$AB$4:$AB$138,MATCH($A67,Charges_NonSlice!$AC$4:$AC$138,0),1)</f>
        <v>1.8416782787384442E-2</v>
      </c>
      <c r="J67" s="129">
        <f ca="1">+INDEX(Charges_NonSlice!$AA$4:$AA$138,MATCH($A67,Charges_NonSlice!$AC$4:$AC$138,0),1)</f>
        <v>33.85452632770162</v>
      </c>
      <c r="K67" s="297">
        <f ca="1">+INDEX(Charges_NonSlice!$Z$4:$Z$138,MATCH($A67,Charges_NonSlice!$AC$4:$AC$138,0),1)/1000</f>
        <v>363.10930227374075</v>
      </c>
      <c r="L67" s="107">
        <f ca="1">+SUM(K$5:K67)</f>
        <v>19664.514585372366</v>
      </c>
      <c r="N67" s="295" t="str">
        <f ca="1">+INDEX('Charges_NonSlice &amp; Excl LS'!$C$4:$C$138,MATCH($A67,'Charges_NonSlice &amp; Excl LS'!$AC$4:$AC$138,0),1)</f>
        <v>Clark County PUD #1</v>
      </c>
      <c r="O67" s="100">
        <f ca="1">+INDEX('Charges_NonSlice &amp; Excl LS'!$AB$4:$AB$138,MATCH($A67,'Charges_NonSlice &amp; Excl LS'!$AC$4:$AC$138,0),1)</f>
        <v>1.782939116871551E-2</v>
      </c>
      <c r="P67" s="129">
        <f ca="1">+INDEX('Charges_NonSlice &amp; Excl LS'!$AA$4:$AA$138,MATCH($A67,'Charges_NonSlice &amp; Excl LS'!$AC$4:$AC$138,0),1)</f>
        <v>35.293311393709104</v>
      </c>
      <c r="Q67" s="297">
        <f ca="1">+INDEX('Charges_NonSlice &amp; Excl LS'!$Z$4:$Z$138,MATCH($A67,'Charges_NonSlice &amp; Excl LS'!$AC$4:$AC$138,0),1)/1000</f>
        <v>1322.5920119064576</v>
      </c>
      <c r="R67" s="107">
        <f ca="1">+SUM(Q$5:Q67)</f>
        <v>14860.79260012892</v>
      </c>
      <c r="T67" s="295" t="str">
        <f ca="1">+INDEX(Charges_NonSlice!$C$4:$C$138,MATCH($A67,Charges_NonSlice!$AC$4:$AC$138,0),1)</f>
        <v>Lewis County PUD #1</v>
      </c>
      <c r="U67" s="100">
        <f t="shared" ca="1" si="0"/>
        <v>0.10034110192726464</v>
      </c>
      <c r="V67" s="129">
        <f ca="1">+INDEX(Charges_NonSlice!$AA$4:$AA$138,MATCH($A67,Charges_NonSlice!$AC$4:$AC$138,0),1)</f>
        <v>33.85452632770162</v>
      </c>
      <c r="W67" s="120">
        <f t="shared" ca="1" si="1"/>
        <v>30.767301401724328</v>
      </c>
      <c r="Y67" s="103" t="s">
        <v>88</v>
      </c>
      <c r="Z67" s="104">
        <v>33.647457114281515</v>
      </c>
    </row>
    <row r="68" spans="1:26">
      <c r="A68">
        <f t="shared" si="2"/>
        <v>64</v>
      </c>
      <c r="B68" s="112" t="str">
        <f ca="1">+INDEX('Charges_Including Slice and LS'!$C$4:$C$138,MATCH($A68,'Charges_Including Slice and LS'!$AC$4:$AC$138,0),1)</f>
        <v>Harney Elec Coop</v>
      </c>
      <c r="C68" s="100">
        <f ca="1">+INDEX('Charges_Including Slice and LS'!$AB$4:$AB$138,MATCH($A68,'Charges_Including Slice and LS'!$AC$4:$AC$138,0),1)</f>
        <v>1.505501457190815E-2</v>
      </c>
      <c r="D68" s="86">
        <f ca="1">+INDEX('Charges_Including Slice and LS'!$AA$4:$AA$138,MATCH($A68,'Charges_Including Slice and LS'!$AC$4:$AC$138,0),1)</f>
        <v>27.005969471244633</v>
      </c>
      <c r="E68" s="107">
        <f ca="1">+INDEX('Charges_Including Slice and LS'!$Z$4:$Z$138,MATCH($A68,'Charges_Including Slice and LS'!$AC$4:$AC$138,0),1)/1000</f>
        <v>198.79948800000003</v>
      </c>
      <c r="F68" s="107">
        <f ca="1">+SUM(E$5:E68)</f>
        <v>16925.595907144601</v>
      </c>
      <c r="H68" s="295" t="str">
        <f ca="1">+INDEX(Charges_NonSlice!$C$4:$C$138,MATCH($A68,Charges_NonSlice!$AC$4:$AC$138,0),1)</f>
        <v>Clatskanie PUD</v>
      </c>
      <c r="I68" s="100">
        <f ca="1">+INDEX(Charges_NonSlice!$AB$4:$AB$138,MATCH($A68,Charges_NonSlice!$AC$4:$AC$138,0),1)</f>
        <v>1.8318616108992221E-2</v>
      </c>
      <c r="J68" s="129">
        <f ca="1">+INDEX(Charges_NonSlice!$AA$4:$AA$138,MATCH($A68,Charges_NonSlice!$AC$4:$AC$138,0),1)</f>
        <v>35.427705927933403</v>
      </c>
      <c r="K68" s="297">
        <f ca="1">+INDEX(Charges_NonSlice!$Z$4:$Z$138,MATCH($A68,Charges_NonSlice!$AC$4:$AC$138,0),1)/1000</f>
        <v>317.6229271579648</v>
      </c>
      <c r="L68" s="107">
        <f ca="1">+SUM(K$5:K68)</f>
        <v>19982.137512530331</v>
      </c>
      <c r="N68" s="295" t="str">
        <f ca="1">+INDEX('Charges_NonSlice &amp; Excl LS'!$C$4:$C$138,MATCH($A68,'Charges_NonSlice &amp; Excl LS'!$AC$4:$AC$138,0),1)</f>
        <v>Tacoma Public Utilities</v>
      </c>
      <c r="O68" s="100">
        <f ca="1">+INDEX('Charges_NonSlice &amp; Excl LS'!$AB$4:$AB$138,MATCH($A68,'Charges_NonSlice &amp; Excl LS'!$AC$4:$AC$138,0),1)</f>
        <v>1.7644828472087329E-2</v>
      </c>
      <c r="P68" s="129">
        <f ca="1">+INDEX('Charges_NonSlice &amp; Excl LS'!$AA$4:$AA$138,MATCH($A68,'Charges_NonSlice &amp; Excl LS'!$AC$4:$AC$138,0),1)</f>
        <v>35.293311393709104</v>
      </c>
      <c r="Q68" s="297">
        <f ca="1">+INDEX('Charges_NonSlice &amp; Excl LS'!$Z$4:$Z$138,MATCH($A68,'Charges_NonSlice &amp; Excl LS'!$AC$4:$AC$138,0),1)/1000</f>
        <v>1542.5149615552511</v>
      </c>
      <c r="R68" s="107">
        <f ca="1">+SUM(Q$5:Q68)</f>
        <v>16403.307561684171</v>
      </c>
      <c r="T68" s="295" t="str">
        <f ca="1">+INDEX(Charges_NonSlice!$C$4:$C$138,MATCH($A68,Charges_NonSlice!$AC$4:$AC$138,0),1)</f>
        <v>Clatskanie PUD</v>
      </c>
      <c r="U68" s="100">
        <f t="shared" ca="1" si="0"/>
        <v>9.0793082407262249E-2</v>
      </c>
      <c r="V68" s="129">
        <f ca="1">+INDEX(Charges_NonSlice!$AA$4:$AA$138,MATCH($A68,Charges_NonSlice!$AC$4:$AC$138,0),1)</f>
        <v>35.427705927933403</v>
      </c>
      <c r="W68" s="120">
        <f t="shared" ca="1" si="1"/>
        <v>32.478850938207536</v>
      </c>
      <c r="Y68" s="103" t="s">
        <v>15</v>
      </c>
      <c r="Z68" s="104">
        <v>36.528666321703916</v>
      </c>
    </row>
    <row r="69" spans="1:26">
      <c r="A69">
        <f t="shared" si="2"/>
        <v>65</v>
      </c>
      <c r="B69" s="112" t="str">
        <f ca="1">+INDEX('Charges_Including Slice and LS'!$C$4:$C$138,MATCH($A69,'Charges_Including Slice and LS'!$AC$4:$AC$138,0),1)</f>
        <v>Tillamook PUD #1</v>
      </c>
      <c r="C69" s="100">
        <f ca="1">+INDEX('Charges_Including Slice and LS'!$AB$4:$AB$138,MATCH($A69,'Charges_Including Slice and LS'!$AC$4:$AC$138,0),1)</f>
        <v>1.4928190524116536E-2</v>
      </c>
      <c r="D69" s="86">
        <f ca="1">+INDEX('Charges_Including Slice and LS'!$AA$4:$AA$138,MATCH($A69,'Charges_Including Slice and LS'!$AC$4:$AC$138,0),1)</f>
        <v>37.691549537861619</v>
      </c>
      <c r="E69" s="107">
        <f ca="1">+INDEX('Charges_Including Slice and LS'!$Z$4:$Z$138,MATCH($A69,'Charges_Including Slice and LS'!$AC$4:$AC$138,0),1)/1000</f>
        <v>485.78786038937596</v>
      </c>
      <c r="F69" s="107">
        <f ca="1">+SUM(E$5:E69)</f>
        <v>17411.383767533978</v>
      </c>
      <c r="H69" s="295" t="str">
        <f ca="1">+INDEX(Charges_NonSlice!$C$4:$C$138,MATCH($A69,Charges_NonSlice!$AC$4:$AC$138,0),1)</f>
        <v>United Electric Coop</v>
      </c>
      <c r="I69" s="100">
        <f ca="1">+INDEX(Charges_NonSlice!$AB$4:$AB$138,MATCH($A69,Charges_NonSlice!$AC$4:$AC$138,0),1)</f>
        <v>1.8231252817155558E-2</v>
      </c>
      <c r="J69" s="129">
        <f ca="1">+INDEX(Charges_NonSlice!$AA$4:$AA$138,MATCH($A69,Charges_NonSlice!$AC$4:$AC$138,0),1)</f>
        <v>32.855538857247645</v>
      </c>
      <c r="K69" s="297">
        <f ca="1">+INDEX(Charges_NonSlice!$Z$4:$Z$138,MATCH($A69,Charges_NonSlice!$AC$4:$AC$138,0),1)/1000</f>
        <v>261.9162247542784</v>
      </c>
      <c r="L69" s="107">
        <f ca="1">+SUM(K$5:K69)</f>
        <v>20244.053737284608</v>
      </c>
      <c r="N69" s="295" t="str">
        <f ca="1">+INDEX('Charges_NonSlice &amp; Excl LS'!$C$4:$C$138,MATCH($A69,'Charges_NonSlice &amp; Excl LS'!$AC$4:$AC$138,0),1)</f>
        <v>Richland, City of</v>
      </c>
      <c r="O69" s="100">
        <f ca="1">+INDEX('Charges_NonSlice &amp; Excl LS'!$AB$4:$AB$138,MATCH($A69,'Charges_NonSlice &amp; Excl LS'!$AC$4:$AC$138,0),1)</f>
        <v>1.7425485535472299E-2</v>
      </c>
      <c r="P69" s="129">
        <f ca="1">+INDEX('Charges_NonSlice &amp; Excl LS'!$AA$4:$AA$138,MATCH($A69,'Charges_NonSlice &amp; Excl LS'!$AC$4:$AC$138,0),1)</f>
        <v>36.997113721287484</v>
      </c>
      <c r="Q69" s="297">
        <f ca="1">+INDEX('Charges_NonSlice &amp; Excl LS'!$Z$4:$Z$138,MATCH($A69,'Charges_NonSlice &amp; Excl LS'!$AC$4:$AC$138,0),1)/1000</f>
        <v>907.44594896609283</v>
      </c>
      <c r="R69" s="107">
        <f ca="1">+SUM(Q$5:Q69)</f>
        <v>17310.753510650262</v>
      </c>
      <c r="T69" s="295" t="str">
        <f ca="1">+INDEX(Charges_NonSlice!$C$4:$C$138,MATCH($A69,Charges_NonSlice!$AC$4:$AC$138,0),1)</f>
        <v>United Electric Coop</v>
      </c>
      <c r="U69" s="100">
        <f t="shared" ca="1" si="0"/>
        <v>3.3621674341921537E-3</v>
      </c>
      <c r="V69" s="129">
        <f ca="1">+INDEX(Charges_NonSlice!$AA$4:$AA$138,MATCH($A69,Charges_NonSlice!$AC$4:$AC$138,0),1)</f>
        <v>32.855538857247645</v>
      </c>
      <c r="W69" s="120">
        <f t="shared" ref="W69:W122" ca="1" si="3">+VLOOKUP(T69,Y:Z,2,FALSE)</f>
        <v>32.745443194520838</v>
      </c>
      <c r="Y69" s="103" t="s">
        <v>109</v>
      </c>
      <c r="Z69" s="104">
        <v>30.687872156265339</v>
      </c>
    </row>
    <row r="70" spans="1:26">
      <c r="A70">
        <f t="shared" si="2"/>
        <v>66</v>
      </c>
      <c r="B70" s="112" t="str">
        <f ca="1">+INDEX('Charges_Including Slice and LS'!$C$4:$C$138,MATCH($A70,'Charges_Including Slice and LS'!$AC$4:$AC$138,0),1)</f>
        <v>Richland, City of</v>
      </c>
      <c r="C70" s="100">
        <f ca="1">+INDEX('Charges_Including Slice and LS'!$AB$4:$AB$138,MATCH($A70,'Charges_Including Slice and LS'!$AC$4:$AC$138,0),1)</f>
        <v>1.3871622754165206E-2</v>
      </c>
      <c r="D70" s="86">
        <f ca="1">+INDEX('Charges_Including Slice and LS'!$AA$4:$AA$138,MATCH($A70,'Charges_Including Slice and LS'!$AC$4:$AC$138,0),1)</f>
        <v>37.796098647108487</v>
      </c>
      <c r="E70" s="107">
        <f ca="1">+INDEX('Charges_Including Slice and LS'!$Z$4:$Z$138,MATCH($A70,'Charges_Including Slice and LS'!$AC$4:$AC$138,0),1)/1000</f>
        <v>890.53494896609277</v>
      </c>
      <c r="F70" s="107">
        <f ca="1">+SUM(E$5:E70)</f>
        <v>18301.918716500069</v>
      </c>
      <c r="H70" s="295" t="str">
        <f ca="1">+INDEX(Charges_NonSlice!$C$4:$C$138,MATCH($A70,Charges_NonSlice!$AC$4:$AC$138,0),1)</f>
        <v>Big Bend Elec Coop</v>
      </c>
      <c r="I70" s="100">
        <f ca="1">+INDEX(Charges_NonSlice!$AB$4:$AB$138,MATCH($A70,Charges_NonSlice!$AC$4:$AC$138,0),1)</f>
        <v>1.8070681827188954E-2</v>
      </c>
      <c r="J70" s="129">
        <f ca="1">+INDEX(Charges_NonSlice!$AA$4:$AA$138,MATCH($A70,Charges_NonSlice!$AC$4:$AC$138,0),1)</f>
        <v>29.770555553258362</v>
      </c>
      <c r="K70" s="297">
        <f ca="1">+INDEX(Charges_NonSlice!$Z$4:$Z$138,MATCH($A70,Charges_NonSlice!$AC$4:$AC$138,0),1)/1000</f>
        <v>534.6798920056832</v>
      </c>
      <c r="L70" s="107">
        <f ca="1">+SUM(K$5:K70)</f>
        <v>20778.733629290291</v>
      </c>
      <c r="N70" s="295" t="str">
        <f ca="1">+INDEX('Charges_NonSlice &amp; Excl LS'!$C$4:$C$138,MATCH($A70,'Charges_NonSlice &amp; Excl LS'!$AC$4:$AC$138,0),1)</f>
        <v>Umpqua Indian Utility Cooperative</v>
      </c>
      <c r="O70" s="100">
        <f ca="1">+INDEX('Charges_NonSlice &amp; Excl LS'!$AB$4:$AB$138,MATCH($A70,'Charges_NonSlice &amp; Excl LS'!$AC$4:$AC$138,0),1)</f>
        <v>1.6881068635987418E-2</v>
      </c>
      <c r="P70" s="129">
        <f ca="1">+INDEX('Charges_NonSlice &amp; Excl LS'!$AA$4:$AA$138,MATCH($A70,'Charges_NonSlice &amp; Excl LS'!$AC$4:$AC$138,0),1)</f>
        <v>37.36705700745739</v>
      </c>
      <c r="Q70" s="297">
        <f ca="1">+INDEX('Charges_NonSlice &amp; Excl LS'!$Z$4:$Z$138,MATCH($A70,'Charges_NonSlice &amp; Excl LS'!$AC$4:$AC$138,0),1)/1000</f>
        <v>23.7064130113536</v>
      </c>
      <c r="R70" s="107">
        <f ca="1">+SUM(Q$5:Q70)</f>
        <v>17334.459923661616</v>
      </c>
      <c r="T70" s="295" t="str">
        <f ca="1">+INDEX(Charges_NonSlice!$C$4:$C$138,MATCH($A70,Charges_NonSlice!$AC$4:$AC$138,0),1)</f>
        <v>Big Bend Elec Coop</v>
      </c>
      <c r="U70" s="100">
        <f t="shared" ref="U70:U123" ca="1" si="4">IFERROR(+V70/W70-1,"")</f>
        <v>6.1978380522262899E-2</v>
      </c>
      <c r="V70" s="129">
        <f ca="1">+INDEX(Charges_NonSlice!$AA$4:$AA$138,MATCH($A70,Charges_NonSlice!$AC$4:$AC$138,0),1)</f>
        <v>29.770555553258362</v>
      </c>
      <c r="W70" s="120">
        <f t="shared" ca="1" si="3"/>
        <v>28.033108864812963</v>
      </c>
      <c r="Y70" s="103" t="s">
        <v>79</v>
      </c>
      <c r="Z70" s="104">
        <v>35.645607385063649</v>
      </c>
    </row>
    <row r="71" spans="1:26">
      <c r="A71">
        <f t="shared" ref="A71:A123" si="5">+A70+1</f>
        <v>67</v>
      </c>
      <c r="B71" s="112" t="str">
        <f ca="1">+INDEX('Charges_Including Slice and LS'!$C$4:$C$138,MATCH($A71,'Charges_Including Slice and LS'!$AC$4:$AC$138,0),1)</f>
        <v>Modern Elec Coop</v>
      </c>
      <c r="C71" s="100">
        <f ca="1">+INDEX('Charges_Including Slice and LS'!$AB$4:$AB$138,MATCH($A71,'Charges_Including Slice and LS'!$AC$4:$AC$138,0),1)</f>
        <v>1.31268885634327E-2</v>
      </c>
      <c r="D71" s="86">
        <f ca="1">+INDEX('Charges_Including Slice and LS'!$AA$4:$AA$138,MATCH($A71,'Charges_Including Slice and LS'!$AC$4:$AC$138,0),1)</f>
        <v>38.363381926896977</v>
      </c>
      <c r="E71" s="107">
        <f ca="1">+INDEX('Charges_Including Slice and LS'!$Z$4:$Z$138,MATCH($A71,'Charges_Including Slice and LS'!$AC$4:$AC$138,0),1)/1000</f>
        <v>223.54490283591679</v>
      </c>
      <c r="F71" s="107">
        <f ca="1">+SUM(E$5:E71)</f>
        <v>18525.463619335987</v>
      </c>
      <c r="H71" s="295" t="str">
        <f ca="1">+INDEX(Charges_NonSlice!$C$4:$C$138,MATCH($A71,Charges_NonSlice!$AC$4:$AC$138,0),1)</f>
        <v>U.S. Naval Station, Everett (Jim Creek)</v>
      </c>
      <c r="I71" s="100">
        <f ca="1">+INDEX(Charges_NonSlice!$AB$4:$AB$138,MATCH($A71,Charges_NonSlice!$AC$4:$AC$138,0),1)</f>
        <v>1.8016160892773678E-2</v>
      </c>
      <c r="J71" s="129">
        <f ca="1">+INDEX(Charges_NonSlice!$AA$4:$AA$138,MATCH($A71,Charges_NonSlice!$AC$4:$AC$138,0),1)</f>
        <v>37.177767121515458</v>
      </c>
      <c r="K71" s="297">
        <f ca="1">+INDEX(Charges_NonSlice!$Z$4:$Z$138,MATCH($A71,Charges_NonSlice!$AC$4:$AC$138,0),1)/1000</f>
        <v>13.342896</v>
      </c>
      <c r="L71" s="107">
        <f ca="1">+SUM(K$5:K71)</f>
        <v>20792.076525290289</v>
      </c>
      <c r="N71" s="295" t="str">
        <f ca="1">+INDEX('Charges_NonSlice &amp; Excl LS'!$C$4:$C$138,MATCH($A71,'Charges_NonSlice &amp; Excl LS'!$AC$4:$AC$138,0),1)</f>
        <v>Pacific County PUD #2</v>
      </c>
      <c r="O71" s="100">
        <f ca="1">+INDEX('Charges_NonSlice &amp; Excl LS'!$AB$4:$AB$138,MATCH($A71,'Charges_NonSlice &amp; Excl LS'!$AC$4:$AC$138,0),1)</f>
        <v>1.6764197064144386E-2</v>
      </c>
      <c r="P71" s="129">
        <f ca="1">+INDEX('Charges_NonSlice &amp; Excl LS'!$AA$4:$AA$138,MATCH($A71,'Charges_NonSlice &amp; Excl LS'!$AC$4:$AC$138,0),1)</f>
        <v>35.293311393709104</v>
      </c>
      <c r="Q71" s="297">
        <f ca="1">+INDEX('Charges_NonSlice &amp; Excl LS'!$Z$4:$Z$138,MATCH($A71,'Charges_NonSlice &amp; Excl LS'!$AC$4:$AC$138,0),1)/1000</f>
        <v>134.26640997580799</v>
      </c>
      <c r="R71" s="107">
        <f ca="1">+SUM(Q$5:Q71)</f>
        <v>17468.726333637424</v>
      </c>
      <c r="T71" s="295" t="str">
        <f ca="1">+INDEX(Charges_NonSlice!$C$4:$C$138,MATCH($A71,Charges_NonSlice!$AC$4:$AC$138,0),1)</f>
        <v>U.S. Naval Station, Everett (Jim Creek)</v>
      </c>
      <c r="U71" s="100">
        <f t="shared" ca="1" si="4"/>
        <v>1.5372414901013043E-2</v>
      </c>
      <c r="V71" s="129">
        <f ca="1">+INDEX(Charges_NonSlice!$AA$4:$AA$138,MATCH($A71,Charges_NonSlice!$AC$4:$AC$138,0),1)</f>
        <v>37.177767121515458</v>
      </c>
      <c r="W71" s="120">
        <f t="shared" ca="1" si="3"/>
        <v>36.614907570775259</v>
      </c>
      <c r="Y71" s="103" t="s">
        <v>127</v>
      </c>
      <c r="Z71" s="104">
        <v>37.400696009557279</v>
      </c>
    </row>
    <row r="72" spans="1:26">
      <c r="A72">
        <f t="shared" si="5"/>
        <v>68</v>
      </c>
      <c r="B72" s="112" t="str">
        <f ca="1">+INDEX('Charges_Including Slice and LS'!$C$4:$C$138,MATCH($A72,'Charges_Including Slice and LS'!$AC$4:$AC$138,0),1)</f>
        <v>Flathead Elec Coop</v>
      </c>
      <c r="C72" s="100">
        <f ca="1">+INDEX('Charges_Including Slice and LS'!$AB$4:$AB$138,MATCH($A72,'Charges_Including Slice and LS'!$AC$4:$AC$138,0),1)</f>
        <v>1.2203733740678154E-2</v>
      </c>
      <c r="D72" s="86">
        <f ca="1">+INDEX('Charges_Including Slice and LS'!$AA$4:$AA$138,MATCH($A72,'Charges_Including Slice and LS'!$AC$4:$AC$138,0),1)</f>
        <v>39.048676281771691</v>
      </c>
      <c r="E72" s="107">
        <f ca="1">+INDEX('Charges_Including Slice and LS'!$Z$4:$Z$138,MATCH($A72,'Charges_Including Slice and LS'!$AC$4:$AC$138,0),1)/1000</f>
        <v>1457.608176</v>
      </c>
      <c r="F72" s="107">
        <f ca="1">+SUM(E$5:E72)</f>
        <v>19983.071795335989</v>
      </c>
      <c r="H72" s="295" t="str">
        <f ca="1">+INDEX(Charges_NonSlice!$C$4:$C$138,MATCH($A72,Charges_NonSlice!$AC$4:$AC$138,0),1)</f>
        <v>Springfield Utility Board</v>
      </c>
      <c r="I72" s="100">
        <f ca="1">+INDEX(Charges_NonSlice!$AB$4:$AB$138,MATCH($A72,Charges_NonSlice!$AC$4:$AC$138,0),1)</f>
        <v>1.7539179260307559E-2</v>
      </c>
      <c r="J72" s="129">
        <f ca="1">+INDEX(Charges_NonSlice!$AA$4:$AA$138,MATCH($A72,Charges_NonSlice!$AC$4:$AC$138,0),1)</f>
        <v>38.31561025957982</v>
      </c>
      <c r="K72" s="297">
        <f ca="1">+INDEX(Charges_NonSlice!$Z$4:$Z$138,MATCH($A72,Charges_NonSlice!$AC$4:$AC$138,0),1)/1000</f>
        <v>832.53734636922866</v>
      </c>
      <c r="L72" s="107">
        <f ca="1">+SUM(K$5:K72)</f>
        <v>21624.61387165952</v>
      </c>
      <c r="N72" s="295" t="str">
        <f ca="1">+INDEX('Charges_NonSlice &amp; Excl LS'!$C$4:$C$138,MATCH($A72,'Charges_NonSlice &amp; Excl LS'!$AC$4:$AC$138,0),1)</f>
        <v>Idaho Falls Power</v>
      </c>
      <c r="O72" s="100">
        <f ca="1">+INDEX('Charges_NonSlice &amp; Excl LS'!$AB$4:$AB$138,MATCH($A72,'Charges_NonSlice &amp; Excl LS'!$AC$4:$AC$138,0),1)</f>
        <v>1.6203713743116983E-2</v>
      </c>
      <c r="P72" s="129">
        <f ca="1">+INDEX('Charges_NonSlice &amp; Excl LS'!$AA$4:$AA$138,MATCH($A72,'Charges_NonSlice &amp; Excl LS'!$AC$4:$AC$138,0),1)</f>
        <v>35.293311393709097</v>
      </c>
      <c r="Q72" s="297">
        <f ca="1">+INDEX('Charges_NonSlice &amp; Excl LS'!$Z$4:$Z$138,MATCH($A72,'Charges_NonSlice &amp; Excl LS'!$AC$4:$AC$138,0),1)/1000</f>
        <v>211.93237056245763</v>
      </c>
      <c r="R72" s="107">
        <f ca="1">+SUM(Q$5:Q72)</f>
        <v>17680.658704199883</v>
      </c>
      <c r="T72" s="295" t="str">
        <f ca="1">+INDEX(Charges_NonSlice!$C$4:$C$138,MATCH($A72,Charges_NonSlice!$AC$4:$AC$138,0),1)</f>
        <v>Springfield Utility Board</v>
      </c>
      <c r="U72" s="100">
        <f t="shared" ca="1" si="4"/>
        <v>3.8582516696826996E-2</v>
      </c>
      <c r="V72" s="129">
        <f ca="1">+INDEX(Charges_NonSlice!$AA$4:$AA$138,MATCH($A72,Charges_NonSlice!$AC$4:$AC$138,0),1)</f>
        <v>38.31561025957982</v>
      </c>
      <c r="W72" s="120">
        <f t="shared" ca="1" si="3"/>
        <v>36.89221573018694</v>
      </c>
      <c r="Y72" s="103" t="s">
        <v>114</v>
      </c>
      <c r="Z72" s="104">
        <v>36.89221573018694</v>
      </c>
    </row>
    <row r="73" spans="1:26">
      <c r="A73">
        <f t="shared" si="5"/>
        <v>69</v>
      </c>
      <c r="B73" s="112" t="str">
        <f ca="1">+INDEX('Charges_Including Slice and LS'!$C$4:$C$138,MATCH($A73,'Charges_Including Slice and LS'!$AC$4:$AC$138,0),1)</f>
        <v>Vera Irrigation District</v>
      </c>
      <c r="C73" s="100">
        <f ca="1">+INDEX('Charges_Including Slice and LS'!$AB$4:$AB$138,MATCH($A73,'Charges_Including Slice and LS'!$AC$4:$AC$138,0),1)</f>
        <v>1.1841368979351508E-2</v>
      </c>
      <c r="D73" s="86">
        <f ca="1">+INDEX('Charges_Including Slice and LS'!$AA$4:$AA$138,MATCH($A73,'Charges_Including Slice and LS'!$AC$4:$AC$138,0),1)</f>
        <v>38.31369126024309</v>
      </c>
      <c r="E73" s="107">
        <f ca="1">+INDEX('Charges_Including Slice and LS'!$Z$4:$Z$138,MATCH($A73,'Charges_Including Slice and LS'!$AC$4:$AC$138,0),1)/1000</f>
        <v>237.28219200000001</v>
      </c>
      <c r="F73" s="107">
        <f ca="1">+SUM(E$5:E73)</f>
        <v>20220.353987335988</v>
      </c>
      <c r="H73" s="295" t="str">
        <f ca="1">+INDEX(Charges_NonSlice!$C$4:$C$138,MATCH($A73,Charges_NonSlice!$AC$4:$AC$138,0),1)</f>
        <v>Eugene Water &amp; Electric Board</v>
      </c>
      <c r="I73" s="100">
        <f ca="1">+INDEX(Charges_NonSlice!$AB$4:$AB$138,MATCH($A73,Charges_NonSlice!$AC$4:$AC$138,0),1)</f>
        <v>1.7220597183645284E-2</v>
      </c>
      <c r="J73" s="129">
        <f ca="1">+INDEX(Charges_NonSlice!$AA$4:$AA$138,MATCH($A73,Charges_NonSlice!$AC$4:$AC$138,0),1)</f>
        <v>35.743973731332112</v>
      </c>
      <c r="K73" s="297">
        <f ca="1">+INDEX(Charges_NonSlice!$Z$4:$Z$138,MATCH($A73,Charges_NonSlice!$AC$4:$AC$138,0),1)/1000</f>
        <v>980.25228861849598</v>
      </c>
      <c r="L73" s="107">
        <f ca="1">+SUM(K$5:K73)</f>
        <v>22604.866160278016</v>
      </c>
      <c r="N73" s="295" t="str">
        <f ca="1">+INDEX('Charges_NonSlice &amp; Excl LS'!$C$4:$C$138,MATCH($A73,'Charges_NonSlice &amp; Excl LS'!$AC$4:$AC$138,0),1)</f>
        <v>Columbia River PUD</v>
      </c>
      <c r="O73" s="100">
        <f ca="1">+INDEX('Charges_NonSlice &amp; Excl LS'!$AB$4:$AB$138,MATCH($A73,'Charges_NonSlice &amp; Excl LS'!$AC$4:$AC$138,0),1)</f>
        <v>1.615230121709366E-2</v>
      </c>
      <c r="P73" s="129">
        <f ca="1">+INDEX('Charges_NonSlice &amp; Excl LS'!$AA$4:$AA$138,MATCH($A73,'Charges_NonSlice &amp; Excl LS'!$AC$4:$AC$138,0),1)</f>
        <v>37.605232352683345</v>
      </c>
      <c r="Q73" s="297">
        <f ca="1">+INDEX('Charges_NonSlice &amp; Excl LS'!$Z$4:$Z$138,MATCH($A73,'Charges_NonSlice &amp; Excl LS'!$AC$4:$AC$138,0),1)/1000</f>
        <v>478.54621746708477</v>
      </c>
      <c r="R73" s="107">
        <f ca="1">+SUM(Q$5:Q73)</f>
        <v>18159.204921666969</v>
      </c>
      <c r="T73" s="295" t="str">
        <f ca="1">+INDEX(Charges_NonSlice!$C$4:$C$138,MATCH($A73,Charges_NonSlice!$AC$4:$AC$138,0),1)</f>
        <v>Eugene Water &amp; Electric Board</v>
      </c>
      <c r="U73" s="100">
        <f t="shared" ca="1" si="4"/>
        <v>6.5882456567369685E-2</v>
      </c>
      <c r="V73" s="129">
        <f ca="1">+INDEX(Charges_NonSlice!$AA$4:$AA$138,MATCH($A73,Charges_NonSlice!$AC$4:$AC$138,0),1)</f>
        <v>35.743973731332112</v>
      </c>
      <c r="W73" s="120">
        <f t="shared" ca="1" si="3"/>
        <v>33.534629931375456</v>
      </c>
      <c r="Y73" s="103" t="s">
        <v>21</v>
      </c>
      <c r="Z73" s="104">
        <v>36.515595617726746</v>
      </c>
    </row>
    <row r="74" spans="1:26">
      <c r="A74">
        <f t="shared" si="5"/>
        <v>70</v>
      </c>
      <c r="B74" s="112" t="str">
        <f ca="1">+INDEX('Charges_Including Slice and LS'!$C$4:$C$138,MATCH($A74,'Charges_Including Slice and LS'!$AC$4:$AC$138,0),1)</f>
        <v>Pend Oreille County PUD  #1</v>
      </c>
      <c r="C74" s="100">
        <f ca="1">+INDEX('Charges_Including Slice and LS'!$AB$4:$AB$138,MATCH($A74,'Charges_Including Slice and LS'!$AC$4:$AC$138,0),1)</f>
        <v>1.1706346790982404E-2</v>
      </c>
      <c r="D74" s="86">
        <f ca="1">+INDEX('Charges_Including Slice and LS'!$AA$4:$AA$138,MATCH($A74,'Charges_Including Slice and LS'!$AC$4:$AC$138,0),1)</f>
        <v>38.061181245453668</v>
      </c>
      <c r="E74" s="107">
        <f ca="1">+INDEX('Charges_Including Slice and LS'!$Z$4:$Z$138,MATCH($A74,'Charges_Including Slice and LS'!$AC$4:$AC$138,0),1)/1000</f>
        <v>194.28422292776958</v>
      </c>
      <c r="F74" s="107">
        <f ca="1">+SUM(E$5:E74)</f>
        <v>20414.638210263758</v>
      </c>
      <c r="H74" s="295" t="str">
        <f ca="1">+INDEX(Charges_NonSlice!$C$4:$C$138,MATCH($A74,Charges_NonSlice!$AC$4:$AC$138,0),1)</f>
        <v>Snohomish County PUD #1</v>
      </c>
      <c r="I74" s="100">
        <f ca="1">+INDEX(Charges_NonSlice!$AB$4:$AB$138,MATCH($A74,Charges_NonSlice!$AC$4:$AC$138,0),1)</f>
        <v>1.7001063117070159E-2</v>
      </c>
      <c r="J74" s="129">
        <f ca="1">+INDEX(Charges_NonSlice!$AA$4:$AA$138,MATCH($A74,Charges_NonSlice!$AC$4:$AC$138,0),1)</f>
        <v>35.668571847849307</v>
      </c>
      <c r="K74" s="297">
        <f ca="1">+INDEX(Charges_NonSlice!$Z$4:$Z$138,MATCH($A74,Charges_NonSlice!$AC$4:$AC$138,0),1)/1000</f>
        <v>3002.155750648627</v>
      </c>
      <c r="L74" s="107">
        <f ca="1">+SUM(K$5:K74)</f>
        <v>25607.021910926644</v>
      </c>
      <c r="N74" s="295" t="str">
        <f ca="1">+INDEX('Charges_NonSlice &amp; Excl LS'!$C$4:$C$138,MATCH($A74,'Charges_NonSlice &amp; Excl LS'!$AC$4:$AC$138,0),1)</f>
        <v>Springfield Utility Board</v>
      </c>
      <c r="O74" s="100">
        <f ca="1">+INDEX('Charges_NonSlice &amp; Excl LS'!$AB$4:$AB$138,MATCH($A74,'Charges_NonSlice &amp; Excl LS'!$AC$4:$AC$138,0),1)</f>
        <v>1.5863554312928199E-2</v>
      </c>
      <c r="P74" s="129">
        <f ca="1">+INDEX('Charges_NonSlice &amp; Excl LS'!$AA$4:$AA$138,MATCH($A74,'Charges_NonSlice &amp; Excl LS'!$AC$4:$AC$138,0),1)</f>
        <v>37.717265600436448</v>
      </c>
      <c r="Q74" s="297">
        <f ca="1">+INDEX('Charges_NonSlice &amp; Excl LS'!$Z$4:$Z$138,MATCH($A74,'Charges_NonSlice &amp; Excl LS'!$AC$4:$AC$138,0),1)/1000</f>
        <v>832.90834636922864</v>
      </c>
      <c r="R74" s="107">
        <f ca="1">+SUM(Q$5:Q74)</f>
        <v>18992.113268036199</v>
      </c>
      <c r="T74" s="295" t="str">
        <f ca="1">+INDEX(Charges_NonSlice!$C$4:$C$138,MATCH($A74,Charges_NonSlice!$AC$4:$AC$138,0),1)</f>
        <v>Snohomish County PUD #1</v>
      </c>
      <c r="U74" s="100">
        <f t="shared" ca="1" si="4"/>
        <v>5.5382130097337168E-2</v>
      </c>
      <c r="V74" s="129">
        <f ca="1">+INDEX(Charges_NonSlice!$AA$4:$AA$138,MATCH($A74,Charges_NonSlice!$AC$4:$AC$138,0),1)</f>
        <v>35.668571847849307</v>
      </c>
      <c r="W74" s="120">
        <f t="shared" ca="1" si="3"/>
        <v>33.796831337820379</v>
      </c>
      <c r="Y74" s="103" t="s">
        <v>138</v>
      </c>
      <c r="Z74" s="104">
        <v>36.688443952615664</v>
      </c>
    </row>
    <row r="75" spans="1:26">
      <c r="A75">
        <f t="shared" si="5"/>
        <v>71</v>
      </c>
      <c r="B75" s="112" t="str">
        <f ca="1">+INDEX('Charges_Including Slice and LS'!$C$4:$C$138,MATCH($A75,'Charges_Including Slice and LS'!$AC$4:$AC$138,0),1)</f>
        <v>PNGC Aggregate</v>
      </c>
      <c r="C75" s="100">
        <f ca="1">+INDEX('Charges_Including Slice and LS'!$AB$4:$AB$138,MATCH($A75,'Charges_Including Slice and LS'!$AC$4:$AC$138,0),1)</f>
        <v>9.8265636837071568E-3</v>
      </c>
      <c r="D75" s="86">
        <f ca="1">+INDEX('Charges_Including Slice and LS'!$AA$4:$AA$138,MATCH($A75,'Charges_Including Slice and LS'!$AC$4:$AC$138,0),1)</f>
        <v>33.957523593713105</v>
      </c>
      <c r="E75" s="107">
        <f ca="1">+INDEX('Charges_Including Slice and LS'!$Z$4:$Z$138,MATCH($A75,'Charges_Including Slice and LS'!$AC$4:$AC$138,0),1)/1000</f>
        <v>4632.2951040000007</v>
      </c>
      <c r="F75" s="107">
        <f ca="1">+SUM(E$5:E75)</f>
        <v>25046.933314263759</v>
      </c>
      <c r="H75" s="295" t="str">
        <f ca="1">+INDEX(Charges_NonSlice!$C$4:$C$138,MATCH($A75,Charges_NonSlice!$AC$4:$AC$138,0),1)</f>
        <v>Columbia River PUD</v>
      </c>
      <c r="I75" s="100">
        <f ca="1">+INDEX(Charges_NonSlice!$AB$4:$AB$138,MATCH($A75,Charges_NonSlice!$AC$4:$AC$138,0),1)</f>
        <v>1.6860088850394184E-2</v>
      </c>
      <c r="J75" s="129">
        <f ca="1">+INDEX(Charges_NonSlice!$AA$4:$AA$138,MATCH($A75,Charges_NonSlice!$AC$4:$AC$138,0),1)</f>
        <v>38.081974323531021</v>
      </c>
      <c r="K75" s="297">
        <f ca="1">+INDEX(Charges_NonSlice!$Z$4:$Z$138,MATCH($A75,Charges_NonSlice!$AC$4:$AC$138,0),1)/1000</f>
        <v>478.54521746708474</v>
      </c>
      <c r="L75" s="107">
        <f ca="1">+SUM(K$5:K75)</f>
        <v>26085.56712839373</v>
      </c>
      <c r="N75" s="295" t="str">
        <f ca="1">+INDEX('Charges_NonSlice &amp; Excl LS'!$C$4:$C$138,MATCH($A75,'Charges_NonSlice &amp; Excl LS'!$AC$4:$AC$138,0),1)</f>
        <v>Clatskanie PUD</v>
      </c>
      <c r="O75" s="100">
        <f ca="1">+INDEX('Charges_NonSlice &amp; Excl LS'!$AB$4:$AB$138,MATCH($A75,'Charges_NonSlice &amp; Excl LS'!$AC$4:$AC$138,0),1)</f>
        <v>1.5101148827137832E-2</v>
      </c>
      <c r="P75" s="129">
        <f ca="1">+INDEX('Charges_NonSlice &amp; Excl LS'!$AA$4:$AA$138,MATCH($A75,'Charges_NonSlice &amp; Excl LS'!$AC$4:$AC$138,0),1)</f>
        <v>35.293311393709097</v>
      </c>
      <c r="Q75" s="297">
        <f ca="1">+INDEX('Charges_NonSlice &amp; Excl LS'!$Z$4:$Z$138,MATCH($A75,'Charges_NonSlice &amp; Excl LS'!$AC$4:$AC$138,0),1)/1000</f>
        <v>319.50592715796478</v>
      </c>
      <c r="R75" s="107">
        <f ca="1">+SUM(Q$5:Q75)</f>
        <v>19311.619195194162</v>
      </c>
      <c r="T75" s="295" t="str">
        <f ca="1">+INDEX(Charges_NonSlice!$C$4:$C$138,MATCH($A75,Charges_NonSlice!$AC$4:$AC$138,0),1)</f>
        <v>Columbia River PUD</v>
      </c>
      <c r="U75" s="100">
        <f t="shared" ca="1" si="4"/>
        <v>1.1971313021736929E-2</v>
      </c>
      <c r="V75" s="129">
        <f ca="1">+INDEX(Charges_NonSlice!$AA$4:$AA$138,MATCH($A75,Charges_NonSlice!$AC$4:$AC$138,0),1)</f>
        <v>38.081974323531021</v>
      </c>
      <c r="W75" s="120">
        <f t="shared" ca="1" si="3"/>
        <v>37.631476143151332</v>
      </c>
      <c r="Y75" s="103" t="s">
        <v>76</v>
      </c>
      <c r="Z75" s="104">
        <v>35.118005191082709</v>
      </c>
    </row>
    <row r="76" spans="1:26">
      <c r="A76">
        <f t="shared" si="5"/>
        <v>72</v>
      </c>
      <c r="B76" s="112" t="str">
        <f ca="1">+INDEX('Charges_Including Slice and LS'!$C$4:$C$138,MATCH($A76,'Charges_Including Slice and LS'!$AC$4:$AC$138,0),1)</f>
        <v>Central Lincoln PUD</v>
      </c>
      <c r="C76" s="100">
        <f ca="1">+INDEX('Charges_Including Slice and LS'!$AB$4:$AB$138,MATCH($A76,'Charges_Including Slice and LS'!$AC$4:$AC$138,0),1)</f>
        <v>9.0206287211080788E-3</v>
      </c>
      <c r="D76" s="86">
        <f ca="1">+INDEX('Charges_Including Slice and LS'!$AA$4:$AA$138,MATCH($A76,'Charges_Including Slice and LS'!$AC$4:$AC$138,0),1)</f>
        <v>36.920424253891781</v>
      </c>
      <c r="E76" s="107">
        <f ca="1">+INDEX('Charges_Including Slice and LS'!$Z$4:$Z$138,MATCH($A76,'Charges_Including Slice and LS'!$AC$4:$AC$138,0),1)/1000</f>
        <v>1340.9077952697342</v>
      </c>
      <c r="F76" s="107">
        <f ca="1">+SUM(E$5:E76)</f>
        <v>26387.841109533492</v>
      </c>
      <c r="H76" s="295" t="str">
        <f ca="1">+INDEX(Charges_NonSlice!$C$4:$C$138,MATCH($A76,Charges_NonSlice!$AC$4:$AC$138,0),1)</f>
        <v>Mason County PUD #3</v>
      </c>
      <c r="I76" s="100">
        <f ca="1">+INDEX(Charges_NonSlice!$AB$4:$AB$138,MATCH($A76,Charges_NonSlice!$AC$4:$AC$138,0),1)</f>
        <v>1.6397327270184139E-2</v>
      </c>
      <c r="J76" s="129">
        <f ca="1">+INDEX(Charges_NonSlice!$AA$4:$AA$138,MATCH($A76,Charges_NonSlice!$AC$4:$AC$138,0),1)</f>
        <v>36.760457326645813</v>
      </c>
      <c r="K76" s="297">
        <f ca="1">+INDEX(Charges_NonSlice!$Z$4:$Z$138,MATCH($A76,Charges_NonSlice!$AC$4:$AC$138,0),1)/1000</f>
        <v>666.92713894676479</v>
      </c>
      <c r="L76" s="107">
        <f ca="1">+SUM(K$5:K76)</f>
        <v>26752.494267340495</v>
      </c>
      <c r="N76" s="295" t="str">
        <f ca="1">+INDEX('Charges_NonSlice &amp; Excl LS'!$C$4:$C$138,MATCH($A76,'Charges_NonSlice &amp; Excl LS'!$AC$4:$AC$138,0),1)</f>
        <v>Lewis County PUD #1</v>
      </c>
      <c r="O76" s="100">
        <f ca="1">+INDEX('Charges_NonSlice &amp; Excl LS'!$AB$4:$AB$138,MATCH($A76,'Charges_NonSlice &amp; Excl LS'!$AC$4:$AC$138,0),1)</f>
        <v>1.4872784121763455E-2</v>
      </c>
      <c r="P76" s="129">
        <f ca="1">+INDEX('Charges_NonSlice &amp; Excl LS'!$AA$4:$AA$138,MATCH($A76,'Charges_NonSlice &amp; Excl LS'!$AC$4:$AC$138,0),1)</f>
        <v>33.414879904208924</v>
      </c>
      <c r="Q76" s="297">
        <f ca="1">+INDEX('Charges_NonSlice &amp; Excl LS'!$Z$4:$Z$138,MATCH($A76,'Charges_NonSlice &amp; Excl LS'!$AC$4:$AC$138,0),1)/1000</f>
        <v>365.59830227374079</v>
      </c>
      <c r="R76" s="107">
        <f ca="1">+SUM(Q$5:Q76)</f>
        <v>19677.217497467904</v>
      </c>
      <c r="T76" s="295" t="str">
        <f ca="1">+INDEX(Charges_NonSlice!$C$4:$C$138,MATCH($A76,Charges_NonSlice!$AC$4:$AC$138,0),1)</f>
        <v>Mason County PUD #3</v>
      </c>
      <c r="U76" s="100">
        <f t="shared" ca="1" si="4"/>
        <v>5.048240491332967E-2</v>
      </c>
      <c r="V76" s="129">
        <f ca="1">+INDEX(Charges_NonSlice!$AA$4:$AA$138,MATCH($A76,Charges_NonSlice!$AC$4:$AC$138,0),1)</f>
        <v>36.760457326645813</v>
      </c>
      <c r="W76" s="120">
        <f t="shared" ca="1" si="3"/>
        <v>34.993882005742634</v>
      </c>
      <c r="Y76" s="103" t="s">
        <v>124</v>
      </c>
      <c r="Z76" s="104">
        <v>36.614907570775259</v>
      </c>
    </row>
    <row r="77" spans="1:26">
      <c r="A77">
        <f t="shared" si="5"/>
        <v>73</v>
      </c>
      <c r="B77" s="112" t="str">
        <f ca="1">+INDEX('Charges_Including Slice and LS'!$C$4:$C$138,MATCH($A77,'Charges_Including Slice and LS'!$AC$4:$AC$138,0),1)</f>
        <v>Columbia Power Coop</v>
      </c>
      <c r="C77" s="100">
        <f ca="1">+INDEX('Charges_Including Slice and LS'!$AB$4:$AB$138,MATCH($A77,'Charges_Including Slice and LS'!$AC$4:$AC$138,0),1)</f>
        <v>8.3521563376110705E-3</v>
      </c>
      <c r="D77" s="86">
        <f ca="1">+INDEX('Charges_Including Slice and LS'!$AA$4:$AA$138,MATCH($A77,'Charges_Including Slice and LS'!$AC$4:$AC$138,0),1)</f>
        <v>33.942542137033769</v>
      </c>
      <c r="E77" s="107">
        <f ca="1">+INDEX('Charges_Including Slice and LS'!$Z$4:$Z$138,MATCH($A77,'Charges_Including Slice and LS'!$AC$4:$AC$138,0),1)/1000</f>
        <v>26.755556693708801</v>
      </c>
      <c r="F77" s="107">
        <f ca="1">+SUM(E$5:E77)</f>
        <v>26414.5966662272</v>
      </c>
      <c r="H77" s="295" t="str">
        <f ca="1">+INDEX(Charges_NonSlice!$C$4:$C$138,MATCH($A77,Charges_NonSlice!$AC$4:$AC$138,0),1)</f>
        <v>Umpqua Indian Utility Cooperative</v>
      </c>
      <c r="I77" s="100">
        <f ca="1">+INDEX(Charges_NonSlice!$AB$4:$AB$138,MATCH($A77,Charges_NonSlice!$AC$4:$AC$138,0),1)</f>
        <v>1.6251388370118743E-2</v>
      </c>
      <c r="J77" s="129">
        <f ca="1">+INDEX(Charges_NonSlice!$AA$4:$AA$138,MATCH($A77,Charges_NonSlice!$AC$4:$AC$138,0),1)</f>
        <v>37.307873709927641</v>
      </c>
      <c r="K77" s="297">
        <f ca="1">+INDEX(Charges_NonSlice!$Z$4:$Z$138,MATCH($A77,Charges_NonSlice!$AC$4:$AC$138,0),1)/1000</f>
        <v>24.179413011353603</v>
      </c>
      <c r="L77" s="107">
        <f ca="1">+SUM(K$5:K77)</f>
        <v>26776.673680351847</v>
      </c>
      <c r="N77" s="295" t="str">
        <f ca="1">+INDEX('Charges_NonSlice &amp; Excl LS'!$C$4:$C$138,MATCH($A77,'Charges_NonSlice &amp; Excl LS'!$AC$4:$AC$138,0),1)</f>
        <v>Tillamook PUD #1</v>
      </c>
      <c r="O77" s="100">
        <f ca="1">+INDEX('Charges_NonSlice &amp; Excl LS'!$AB$4:$AB$138,MATCH($A77,'Charges_NonSlice &amp; Excl LS'!$AC$4:$AC$138,0),1)</f>
        <v>1.398568457228958E-2</v>
      </c>
      <c r="P77" s="129">
        <f ca="1">+INDEX('Charges_NonSlice &amp; Excl LS'!$AA$4:$AA$138,MATCH($A77,'Charges_NonSlice &amp; Excl LS'!$AC$4:$AC$138,0),1)</f>
        <v>37.114732640087468</v>
      </c>
      <c r="Q77" s="297">
        <f ca="1">+INDEX('Charges_NonSlice &amp; Excl LS'!$Z$4:$Z$138,MATCH($A77,'Charges_NonSlice &amp; Excl LS'!$AC$4:$AC$138,0),1)/1000</f>
        <v>478.78686038937593</v>
      </c>
      <c r="R77" s="107">
        <f ca="1">+SUM(Q$5:Q77)</f>
        <v>20156.00435785728</v>
      </c>
      <c r="T77" s="295" t="str">
        <f ca="1">+INDEX(Charges_NonSlice!$C$4:$C$138,MATCH($A77,Charges_NonSlice!$AC$4:$AC$138,0),1)</f>
        <v>Umpqua Indian Utility Cooperative</v>
      </c>
      <c r="U77" s="100">
        <f t="shared" ca="1" si="4"/>
        <v>9.5753474767203972E-3</v>
      </c>
      <c r="V77" s="129">
        <f ca="1">+INDEX(Charges_NonSlice!$AA$4:$AA$138,MATCH($A77,Charges_NonSlice!$AC$4:$AC$138,0),1)</f>
        <v>37.307873709927641</v>
      </c>
      <c r="W77" s="120">
        <f t="shared" ca="1" si="3"/>
        <v>36.954026069646986</v>
      </c>
      <c r="Y77" s="103" t="s">
        <v>17</v>
      </c>
      <c r="Z77" s="104">
        <v>37.067191838887794</v>
      </c>
    </row>
    <row r="78" spans="1:26">
      <c r="A78">
        <f t="shared" si="5"/>
        <v>74</v>
      </c>
      <c r="B78" s="112" t="str">
        <f ca="1">+INDEX('Charges_Including Slice and LS'!$C$4:$C$138,MATCH($A78,'Charges_Including Slice and LS'!$AC$4:$AC$138,0),1)</f>
        <v>Ohop Mutual Light Company</v>
      </c>
      <c r="C78" s="100">
        <f ca="1">+INDEX('Charges_Including Slice and LS'!$AB$4:$AB$138,MATCH($A78,'Charges_Including Slice and LS'!$AC$4:$AC$138,0),1)</f>
        <v>7.4177726239568094E-3</v>
      </c>
      <c r="D78" s="86">
        <f ca="1">+INDEX('Charges_Including Slice and LS'!$AA$4:$AA$138,MATCH($A78,'Charges_Including Slice and LS'!$AC$4:$AC$138,0),1)</f>
        <v>36.387586092128309</v>
      </c>
      <c r="E78" s="107">
        <f ca="1">+INDEX('Charges_Including Slice and LS'!$Z$4:$Z$138,MATCH($A78,'Charges_Including Slice and LS'!$AC$4:$AC$138,0),1)/1000</f>
        <v>85.970594795110401</v>
      </c>
      <c r="F78" s="107">
        <f ca="1">+SUM(E$5:E78)</f>
        <v>26500.567261022312</v>
      </c>
      <c r="H78" s="295" t="str">
        <f ca="1">+INDEX(Charges_NonSlice!$C$4:$C$138,MATCH($A78,Charges_NonSlice!$AC$4:$AC$138,0),1)</f>
        <v>Cheney, City of</v>
      </c>
      <c r="I78" s="100">
        <f ca="1">+INDEX(Charges_NonSlice!$AB$4:$AB$138,MATCH($A78,Charges_NonSlice!$AC$4:$AC$138,0),1)</f>
        <v>1.5729134548604664E-2</v>
      </c>
      <c r="J78" s="129">
        <f ca="1">+INDEX(Charges_NonSlice!$AA$4:$AA$138,MATCH($A78,Charges_NonSlice!$AC$4:$AC$138,0),1)</f>
        <v>40.648522632553224</v>
      </c>
      <c r="K78" s="297">
        <f ca="1">+INDEX(Charges_NonSlice!$Z$4:$Z$138,MATCH($A78,Charges_NonSlice!$AC$4:$AC$138,0),1)/1000</f>
        <v>132.59991103989759</v>
      </c>
      <c r="L78" s="107">
        <f ca="1">+SUM(K$5:K78)</f>
        <v>26909.273591391746</v>
      </c>
      <c r="N78" s="295" t="str">
        <f ca="1">+INDEX('Charges_NonSlice &amp; Excl LS'!$C$4:$C$138,MATCH($A78,'Charges_NonSlice &amp; Excl LS'!$AC$4:$AC$138,0),1)</f>
        <v>Snohomish County PUD #1</v>
      </c>
      <c r="O78" s="100">
        <f ca="1">+INDEX('Charges_NonSlice &amp; Excl LS'!$AB$4:$AB$138,MATCH($A78,'Charges_NonSlice &amp; Excl LS'!$AC$4:$AC$138,0),1)</f>
        <v>1.3634663298915996E-2</v>
      </c>
      <c r="P78" s="129">
        <f ca="1">+INDEX('Charges_NonSlice &amp; Excl LS'!$AA$4:$AA$138,MATCH($A78,'Charges_NonSlice &amp; Excl LS'!$AC$4:$AC$138,0),1)</f>
        <v>35.293311393709104</v>
      </c>
      <c r="Q78" s="297">
        <f ca="1">+INDEX('Charges_NonSlice &amp; Excl LS'!$Z$4:$Z$138,MATCH($A78,'Charges_NonSlice &amp; Excl LS'!$AC$4:$AC$138,0),1)/1000</f>
        <v>3016.267750648627</v>
      </c>
      <c r="R78" s="107">
        <f ca="1">+SUM(Q$5:Q78)</f>
        <v>23172.272108505909</v>
      </c>
      <c r="T78" s="295" t="str">
        <f ca="1">+INDEX(Charges_NonSlice!$C$4:$C$138,MATCH($A78,Charges_NonSlice!$AC$4:$AC$138,0),1)</f>
        <v>Cheney, City of</v>
      </c>
      <c r="U78" s="100">
        <f t="shared" ca="1" si="4"/>
        <v>5.4006095884682637E-2</v>
      </c>
      <c r="V78" s="129">
        <f ca="1">+INDEX(Charges_NonSlice!$AA$4:$AA$138,MATCH($A78,Charges_NonSlice!$AC$4:$AC$138,0),1)</f>
        <v>40.648522632553224</v>
      </c>
      <c r="W78" s="120">
        <f t="shared" ca="1" si="3"/>
        <v>38.565737704234799</v>
      </c>
      <c r="Y78" s="103" t="s">
        <v>130</v>
      </c>
      <c r="Z78" s="104">
        <v>35.375916054609171</v>
      </c>
    </row>
    <row r="79" spans="1:26">
      <c r="A79">
        <f t="shared" si="5"/>
        <v>75</v>
      </c>
      <c r="B79" s="112" t="str">
        <f ca="1">+INDEX('Charges_Including Slice and LS'!$C$4:$C$138,MATCH($A79,'Charges_Including Slice and LS'!$AC$4:$AC$138,0),1)</f>
        <v>U.S. DOE Richland Operations Office</v>
      </c>
      <c r="C79" s="100">
        <f ca="1">+INDEX('Charges_Including Slice and LS'!$AB$4:$AB$138,MATCH($A79,'Charges_Including Slice and LS'!$AC$4:$AC$138,0),1)</f>
        <v>7.1268362627301407E-3</v>
      </c>
      <c r="D79" s="86">
        <f ca="1">+INDEX('Charges_Including Slice and LS'!$AA$4:$AA$138,MATCH($A79,'Charges_Including Slice and LS'!$AC$4:$AC$138,0),1)</f>
        <v>35.597154191606116</v>
      </c>
      <c r="E79" s="107">
        <f ca="1">+INDEX('Charges_Including Slice and LS'!$Z$4:$Z$138,MATCH($A79,'Charges_Including Slice and LS'!$AC$4:$AC$138,0),1)/1000</f>
        <v>267.3510342590464</v>
      </c>
      <c r="F79" s="107">
        <f ca="1">+SUM(E$5:E79)</f>
        <v>26767.918295281357</v>
      </c>
      <c r="H79" s="295" t="str">
        <f ca="1">+INDEX(Charges_NonSlice!$C$4:$C$138,MATCH($A79,Charges_NonSlice!$AC$4:$AC$138,0),1)</f>
        <v>Harney Elec Coop</v>
      </c>
      <c r="I79" s="100">
        <f ca="1">+INDEX(Charges_NonSlice!$AB$4:$AB$138,MATCH($A79,Charges_NonSlice!$AC$4:$AC$138,0),1)</f>
        <v>1.5055014571912103E-2</v>
      </c>
      <c r="J79" s="129">
        <f ca="1">+INDEX(Charges_NonSlice!$AA$4:$AA$138,MATCH($A79,Charges_NonSlice!$AC$4:$AC$138,0),1)</f>
        <v>27.005969471244633</v>
      </c>
      <c r="K79" s="297">
        <f ca="1">+INDEX(Charges_NonSlice!$Z$4:$Z$138,MATCH($A79,Charges_NonSlice!$AC$4:$AC$138,0),1)/1000</f>
        <v>198.79948800000003</v>
      </c>
      <c r="L79" s="107">
        <f ca="1">+SUM(K$5:K79)</f>
        <v>27108.073079391746</v>
      </c>
      <c r="N79" s="295" t="str">
        <f ca="1">+INDEX('Charges_NonSlice &amp; Excl LS'!$C$4:$C$138,MATCH($A79,'Charges_NonSlice &amp; Excl LS'!$AC$4:$AC$138,0),1)</f>
        <v>Eugene Water &amp; Electric Board</v>
      </c>
      <c r="O79" s="100">
        <f ca="1">+INDEX('Charges_NonSlice &amp; Excl LS'!$AB$4:$AB$138,MATCH($A79,'Charges_NonSlice &amp; Excl LS'!$AC$4:$AC$138,0),1)</f>
        <v>1.2936351906942305E-2</v>
      </c>
      <c r="P79" s="129">
        <f ca="1">+INDEX('Charges_NonSlice &amp; Excl LS'!$AA$4:$AA$138,MATCH($A79,'Charges_NonSlice &amp; Excl LS'!$AC$4:$AC$138,0),1)</f>
        <v>35.293311393709111</v>
      </c>
      <c r="Q79" s="297">
        <f ca="1">+INDEX('Charges_NonSlice &amp; Excl LS'!$Z$4:$Z$138,MATCH($A79,'Charges_NonSlice &amp; Excl LS'!$AC$4:$AC$138,0),1)/1000</f>
        <v>984.90828861849604</v>
      </c>
      <c r="R79" s="107">
        <f ca="1">+SUM(Q$5:Q79)</f>
        <v>24157.180397124404</v>
      </c>
      <c r="T79" s="295" t="str">
        <f ca="1">+INDEX(Charges_NonSlice!$C$4:$C$138,MATCH($A79,Charges_NonSlice!$AC$4:$AC$138,0),1)</f>
        <v>Harney Elec Coop</v>
      </c>
      <c r="U79" s="100">
        <f t="shared" ca="1" si="4"/>
        <v>4.4890336739049852E-2</v>
      </c>
      <c r="V79" s="129">
        <f ca="1">+INDEX(Charges_NonSlice!$AA$4:$AA$138,MATCH($A79,Charges_NonSlice!$AC$4:$AC$138,0),1)</f>
        <v>27.005969471244633</v>
      </c>
      <c r="W79" s="120">
        <f t="shared" ca="1" si="3"/>
        <v>25.845745263111841</v>
      </c>
      <c r="Y79" s="103" t="s">
        <v>39</v>
      </c>
      <c r="Z79" s="104">
        <v>36.967398578288396</v>
      </c>
    </row>
    <row r="80" spans="1:26">
      <c r="A80">
        <f t="shared" si="5"/>
        <v>76</v>
      </c>
      <c r="B80" s="112" t="str">
        <f ca="1">+INDEX('Charges_Including Slice and LS'!$C$4:$C$138,MATCH($A80,'Charges_Including Slice and LS'!$AC$4:$AC$138,0),1)</f>
        <v>Mission Valley</v>
      </c>
      <c r="C80" s="100">
        <f ca="1">+INDEX('Charges_Including Slice and LS'!$AB$4:$AB$138,MATCH($A80,'Charges_Including Slice and LS'!$AC$4:$AC$138,0),1)</f>
        <v>6.0490965553259522E-3</v>
      </c>
      <c r="D80" s="86">
        <f ca="1">+INDEX('Charges_Including Slice and LS'!$AA$4:$AA$138,MATCH($A80,'Charges_Including Slice and LS'!$AC$4:$AC$138,0),1)</f>
        <v>36.339843707962423</v>
      </c>
      <c r="E80" s="107">
        <f ca="1">+INDEX('Charges_Including Slice and LS'!$Z$4:$Z$138,MATCH($A80,'Charges_Including Slice and LS'!$AC$4:$AC$138,0),1)/1000</f>
        <v>331.604784</v>
      </c>
      <c r="F80" s="107">
        <f ca="1">+SUM(E$5:E80)</f>
        <v>27099.523079281356</v>
      </c>
      <c r="H80" s="295" t="str">
        <f ca="1">+INDEX(Charges_NonSlice!$C$4:$C$138,MATCH($A80,Charges_NonSlice!$AC$4:$AC$138,0),1)</f>
        <v>Tillamook PUD #1</v>
      </c>
      <c r="I80" s="100">
        <f ca="1">+INDEX(Charges_NonSlice!$AB$4:$AB$138,MATCH($A80,Charges_NonSlice!$AC$4:$AC$138,0),1)</f>
        <v>1.4928190524117851E-2</v>
      </c>
      <c r="J80" s="129">
        <f ca="1">+INDEX(Charges_NonSlice!$AA$4:$AA$138,MATCH($A80,Charges_NonSlice!$AC$4:$AC$138,0),1)</f>
        <v>37.691549537861619</v>
      </c>
      <c r="K80" s="297">
        <f ca="1">+INDEX(Charges_NonSlice!$Z$4:$Z$138,MATCH($A80,Charges_NonSlice!$AC$4:$AC$138,0),1)/1000</f>
        <v>485.78786038937596</v>
      </c>
      <c r="L80" s="107">
        <f ca="1">+SUM(K$5:K80)</f>
        <v>27593.860939781123</v>
      </c>
      <c r="N80" s="295" t="str">
        <f ca="1">+INDEX('Charges_NonSlice &amp; Excl LS'!$C$4:$C$138,MATCH($A80,'Charges_NonSlice &amp; Excl LS'!$AC$4:$AC$138,0),1)</f>
        <v>Columbia Basin Elec Coop</v>
      </c>
      <c r="O80" s="100">
        <f ca="1">+INDEX('Charges_NonSlice &amp; Excl LS'!$AB$4:$AB$138,MATCH($A80,'Charges_NonSlice &amp; Excl LS'!$AC$4:$AC$138,0),1)</f>
        <v>1.2156390400534504E-2</v>
      </c>
      <c r="P80" s="129">
        <f ca="1">+INDEX('Charges_NonSlice &amp; Excl LS'!$AA$4:$AA$138,MATCH($A80,'Charges_NonSlice &amp; Excl LS'!$AC$4:$AC$138,0),1)</f>
        <v>33.985276852528692</v>
      </c>
      <c r="Q80" s="297">
        <f ca="1">+INDEX('Charges_NonSlice &amp; Excl LS'!$Z$4:$Z$138,MATCH($A80,'Charges_NonSlice &amp; Excl LS'!$AC$4:$AC$138,0),1)/1000</f>
        <v>105.88288580812799</v>
      </c>
      <c r="R80" s="107">
        <f ca="1">+SUM(Q$5:Q80)</f>
        <v>24263.063282932533</v>
      </c>
      <c r="T80" s="295" t="str">
        <f ca="1">+INDEX(Charges_NonSlice!$C$4:$C$138,MATCH($A80,Charges_NonSlice!$AC$4:$AC$138,0),1)</f>
        <v>Tillamook PUD #1</v>
      </c>
      <c r="U80" s="100">
        <f t="shared" ca="1" si="4"/>
        <v>1.8767635698398344E-2</v>
      </c>
      <c r="V80" s="129">
        <f ca="1">+INDEX(Charges_NonSlice!$AA$4:$AA$138,MATCH($A80,Charges_NonSlice!$AC$4:$AC$138,0),1)</f>
        <v>37.691549537861619</v>
      </c>
      <c r="W80" s="120">
        <f t="shared" ca="1" si="3"/>
        <v>36.997199574388553</v>
      </c>
      <c r="Y80" s="103" t="s">
        <v>104</v>
      </c>
      <c r="Z80" s="104">
        <v>35.829572057418666</v>
      </c>
    </row>
    <row r="81" spans="1:26">
      <c r="A81">
        <f t="shared" si="5"/>
        <v>77</v>
      </c>
      <c r="B81" s="112" t="str">
        <f ca="1">+INDEX('Charges_Including Slice and LS'!$C$4:$C$138,MATCH($A81,'Charges_Including Slice and LS'!$AC$4:$AC$138,0),1)</f>
        <v>Minidoka, City of</v>
      </c>
      <c r="C81" s="100">
        <f ca="1">+INDEX('Charges_Including Slice and LS'!$AB$4:$AB$138,MATCH($A81,'Charges_Including Slice and LS'!$AC$4:$AC$138,0),1)</f>
        <v>5.9604219589634092E-3</v>
      </c>
      <c r="D81" s="86">
        <f ca="1">+INDEX('Charges_Including Slice and LS'!$AA$4:$AA$138,MATCH($A81,'Charges_Including Slice and LS'!$AC$4:$AC$138,0),1)</f>
        <v>38.822592194416309</v>
      </c>
      <c r="E81" s="107">
        <f ca="1">+INDEX('Charges_Including Slice and LS'!$Z$4:$Z$138,MATCH($A81,'Charges_Including Slice and LS'!$AC$4:$AC$138,0),1)/1000</f>
        <v>0.82382439966719989</v>
      </c>
      <c r="F81" s="107">
        <f ca="1">+SUM(E$5:E81)</f>
        <v>27100.346903681024</v>
      </c>
      <c r="H81" s="295" t="str">
        <f ca="1">+INDEX(Charges_NonSlice!$C$4:$C$138,MATCH($A81,Charges_NonSlice!$AC$4:$AC$138,0),1)</f>
        <v>Grays Harbor PUD #1</v>
      </c>
      <c r="I81" s="100">
        <f ca="1">+INDEX(Charges_NonSlice!$AB$4:$AB$138,MATCH($A81,Charges_NonSlice!$AC$4:$AC$138,0),1)</f>
        <v>1.4161460965822119E-2</v>
      </c>
      <c r="J81" s="129">
        <f ca="1">+INDEX(Charges_NonSlice!$AA$4:$AA$138,MATCH($A81,Charges_NonSlice!$AC$4:$AC$138,0),1)</f>
        <v>35.653841549912137</v>
      </c>
      <c r="K81" s="297">
        <f ca="1">+INDEX(Charges_NonSlice!$Z$4:$Z$138,MATCH($A81,Charges_NonSlice!$AC$4:$AC$138,0),1)/1000</f>
        <v>535.66029954457599</v>
      </c>
      <c r="L81" s="107">
        <f ca="1">+SUM(K$5:K81)</f>
        <v>28129.521239325699</v>
      </c>
      <c r="N81" s="295" t="str">
        <f ca="1">+INDEX('Charges_NonSlice &amp; Excl LS'!$C$4:$C$138,MATCH($A81,'Charges_NonSlice &amp; Excl LS'!$AC$4:$AC$138,0),1)</f>
        <v>Flathead Elec Coop</v>
      </c>
      <c r="O81" s="100">
        <f ca="1">+INDEX('Charges_NonSlice &amp; Excl LS'!$AB$4:$AB$138,MATCH($A81,'Charges_NonSlice &amp; Excl LS'!$AC$4:$AC$138,0),1)</f>
        <v>1.1357341171552677E-2</v>
      </c>
      <c r="P81" s="129">
        <f ca="1">+INDEX('Charges_NonSlice &amp; Excl LS'!$AA$4:$AA$138,MATCH($A81,'Charges_NonSlice &amp; Excl LS'!$AC$4:$AC$138,0),1)</f>
        <v>38.373238165036639</v>
      </c>
      <c r="Q81" s="297">
        <f ca="1">+INDEX('Charges_NonSlice &amp; Excl LS'!$Z$4:$Z$138,MATCH($A81,'Charges_NonSlice &amp; Excl LS'!$AC$4:$AC$138,0),1)/1000</f>
        <v>1457.6050319745025</v>
      </c>
      <c r="R81" s="107">
        <f ca="1">+SUM(Q$5:Q81)</f>
        <v>25720.668314907034</v>
      </c>
      <c r="T81" s="295" t="str">
        <f ca="1">+INDEX(Charges_NonSlice!$C$4:$C$138,MATCH($A81,Charges_NonSlice!$AC$4:$AC$138,0),1)</f>
        <v>Grays Harbor PUD #1</v>
      </c>
      <c r="U81" s="100">
        <f t="shared" ca="1" si="4"/>
        <v>6.1747116765524579E-2</v>
      </c>
      <c r="V81" s="129">
        <f ca="1">+INDEX(Charges_NonSlice!$AA$4:$AA$138,MATCH($A81,Charges_NonSlice!$AC$4:$AC$138,0),1)</f>
        <v>35.653841549912137</v>
      </c>
      <c r="W81" s="120">
        <f t="shared" ca="1" si="3"/>
        <v>33.580351655229315</v>
      </c>
      <c r="Y81" s="103" t="s">
        <v>29</v>
      </c>
      <c r="Z81" s="104">
        <v>38.058230105763741</v>
      </c>
    </row>
    <row r="82" spans="1:26">
      <c r="A82">
        <f t="shared" si="5"/>
        <v>78</v>
      </c>
      <c r="B82" s="112" t="str">
        <f ca="1">+INDEX('Charges_Including Slice and LS'!$C$4:$C$138,MATCH($A82,'Charges_Including Slice and LS'!$AC$4:$AC$138,0),1)</f>
        <v>Wasco Elec Coop</v>
      </c>
      <c r="C82" s="100">
        <f ca="1">+INDEX('Charges_Including Slice and LS'!$AB$4:$AB$138,MATCH($A82,'Charges_Including Slice and LS'!$AC$4:$AC$138,0),1)</f>
        <v>5.8477752445709186E-3</v>
      </c>
      <c r="D82" s="86">
        <f ca="1">+INDEX('Charges_Including Slice and LS'!$AA$4:$AA$138,MATCH($A82,'Charges_Including Slice and LS'!$AC$4:$AC$138,0),1)</f>
        <v>35.482579107432251</v>
      </c>
      <c r="E82" s="107">
        <f ca="1">+INDEX('Charges_Including Slice and LS'!$Z$4:$Z$138,MATCH($A82,'Charges_Including Slice and LS'!$AC$4:$AC$138,0),1)/1000</f>
        <v>110.4364200062976</v>
      </c>
      <c r="F82" s="107">
        <f ca="1">+SUM(E$5:E82)</f>
        <v>27210.783323687323</v>
      </c>
      <c r="H82" s="295" t="str">
        <f ca="1">+INDEX(Charges_NonSlice!$C$4:$C$138,MATCH($A82,Charges_NonSlice!$AC$4:$AC$138,0),1)</f>
        <v>Richland, City of</v>
      </c>
      <c r="I82" s="100">
        <f ca="1">+INDEX(Charges_NonSlice!$AB$4:$AB$138,MATCH($A82,Charges_NonSlice!$AC$4:$AC$138,0),1)</f>
        <v>1.3871622754169756E-2</v>
      </c>
      <c r="J82" s="129">
        <f ca="1">+INDEX(Charges_NonSlice!$AA$4:$AA$138,MATCH($A82,Charges_NonSlice!$AC$4:$AC$138,0),1)</f>
        <v>37.796098647108487</v>
      </c>
      <c r="K82" s="297">
        <f ca="1">+INDEX(Charges_NonSlice!$Z$4:$Z$138,MATCH($A82,Charges_NonSlice!$AC$4:$AC$138,0),1)/1000</f>
        <v>890.53494896609277</v>
      </c>
      <c r="L82" s="107">
        <f ca="1">+SUM(K$5:K82)</f>
        <v>29020.05618829179</v>
      </c>
      <c r="N82" s="295" t="str">
        <f ca="1">+INDEX('Charges_NonSlice &amp; Excl LS'!$C$4:$C$138,MATCH($A82,'Charges_NonSlice &amp; Excl LS'!$AC$4:$AC$138,0),1)</f>
        <v>Grays Harbor PUD #1</v>
      </c>
      <c r="O82" s="100">
        <f ca="1">+INDEX('Charges_NonSlice &amp; Excl LS'!$AB$4:$AB$138,MATCH($A82,'Charges_NonSlice &amp; Excl LS'!$AC$4:$AC$138,0),1)</f>
        <v>1.1124168296930468E-2</v>
      </c>
      <c r="P82" s="129">
        <f ca="1">+INDEX('Charges_NonSlice &amp; Excl LS'!$AA$4:$AA$138,MATCH($A82,'Charges_NonSlice &amp; Excl LS'!$AC$4:$AC$138,0),1)</f>
        <v>35.293311393709104</v>
      </c>
      <c r="Q82" s="297">
        <f ca="1">+INDEX('Charges_NonSlice &amp; Excl LS'!$Z$4:$Z$138,MATCH($A82,'Charges_NonSlice &amp; Excl LS'!$AC$4:$AC$138,0),1)/1000</f>
        <v>538.17629954457595</v>
      </c>
      <c r="R82" s="107">
        <f ca="1">+SUM(Q$5:Q82)</f>
        <v>26258.844614451609</v>
      </c>
      <c r="T82" s="295" t="str">
        <f ca="1">+INDEX(Charges_NonSlice!$C$4:$C$138,MATCH($A82,Charges_NonSlice!$AC$4:$AC$138,0),1)</f>
        <v>Richland, City of</v>
      </c>
      <c r="U82" s="100">
        <f t="shared" ca="1" si="4"/>
        <v>2.2417051258424303E-2</v>
      </c>
      <c r="V82" s="129">
        <f ca="1">+INDEX(Charges_NonSlice!$AA$4:$AA$138,MATCH($A82,Charges_NonSlice!$AC$4:$AC$138,0),1)</f>
        <v>37.796098647108487</v>
      </c>
      <c r="W82" s="120">
        <f t="shared" ca="1" si="3"/>
        <v>36.967398578288396</v>
      </c>
      <c r="Y82" s="103" t="s">
        <v>44</v>
      </c>
      <c r="Z82" s="104">
        <v>36.636703145404184</v>
      </c>
    </row>
    <row r="83" spans="1:26">
      <c r="A83">
        <f t="shared" si="5"/>
        <v>79</v>
      </c>
      <c r="B83" s="112" t="str">
        <f ca="1">+INDEX('Charges_Including Slice and LS'!$C$4:$C$138,MATCH($A83,'Charges_Including Slice and LS'!$AC$4:$AC$138,0),1)</f>
        <v>Vigilante Elec Coop</v>
      </c>
      <c r="C83" s="100">
        <f ca="1">+INDEX('Charges_Including Slice and LS'!$AB$4:$AB$138,MATCH($A83,'Charges_Including Slice and LS'!$AC$4:$AC$138,0),1)</f>
        <v>5.1895372801926687E-3</v>
      </c>
      <c r="D83" s="86">
        <f ca="1">+INDEX('Charges_Including Slice and LS'!$AA$4:$AA$138,MATCH($A83,'Charges_Including Slice and LS'!$AC$4:$AC$138,0),1)</f>
        <v>32.104400535547974</v>
      </c>
      <c r="E83" s="107">
        <f ca="1">+INDEX('Charges_Including Slice and LS'!$Z$4:$Z$138,MATCH($A83,'Charges_Including Slice and LS'!$AC$4:$AC$138,0),1)/1000</f>
        <v>164.67355629383675</v>
      </c>
      <c r="F83" s="107">
        <f ca="1">+SUM(E$5:E83)</f>
        <v>27375.45687998116</v>
      </c>
      <c r="H83" s="295" t="str">
        <f ca="1">+INDEX(Charges_NonSlice!$C$4:$C$138,MATCH($A83,Charges_NonSlice!$AC$4:$AC$138,0),1)</f>
        <v>Modern Elec Coop</v>
      </c>
      <c r="I83" s="100">
        <f ca="1">+INDEX(Charges_NonSlice!$AB$4:$AB$138,MATCH($A83,Charges_NonSlice!$AC$4:$AC$138,0),1)</f>
        <v>1.3126888563425495E-2</v>
      </c>
      <c r="J83" s="129">
        <f ca="1">+INDEX(Charges_NonSlice!$AA$4:$AA$138,MATCH($A83,Charges_NonSlice!$AC$4:$AC$138,0),1)</f>
        <v>38.363381926896977</v>
      </c>
      <c r="K83" s="297">
        <f ca="1">+INDEX(Charges_NonSlice!$Z$4:$Z$138,MATCH($A83,Charges_NonSlice!$AC$4:$AC$138,0),1)/1000</f>
        <v>223.54490283591679</v>
      </c>
      <c r="L83" s="107">
        <f ca="1">+SUM(K$5:K83)</f>
        <v>29243.601091127708</v>
      </c>
      <c r="N83" s="295" t="str">
        <f ca="1">+INDEX('Charges_NonSlice &amp; Excl LS'!$C$4:$C$138,MATCH($A83,'Charges_NonSlice &amp; Excl LS'!$AC$4:$AC$138,0),1)</f>
        <v>Seattle City Light</v>
      </c>
      <c r="O83" s="100">
        <f ca="1">+INDEX('Charges_NonSlice &amp; Excl LS'!$AB$4:$AB$138,MATCH($A83,'Charges_NonSlice &amp; Excl LS'!$AC$4:$AC$138,0),1)</f>
        <v>1.0831278729281416E-2</v>
      </c>
      <c r="P83" s="129">
        <f ca="1">+INDEX('Charges_NonSlice &amp; Excl LS'!$AA$4:$AA$138,MATCH($A83,'Charges_NonSlice &amp; Excl LS'!$AC$4:$AC$138,0),1)</f>
        <v>35.293311393709104</v>
      </c>
      <c r="Q83" s="297">
        <f ca="1">+INDEX('Charges_NonSlice &amp; Excl LS'!$Z$4:$Z$138,MATCH($A83,'Charges_NonSlice &amp; Excl LS'!$AC$4:$AC$138,0),1)/1000</f>
        <v>4446.7109840609282</v>
      </c>
      <c r="R83" s="107">
        <f ca="1">+SUM(Q$5:Q83)</f>
        <v>30705.555598512539</v>
      </c>
      <c r="T83" s="295" t="str">
        <f ca="1">+INDEX(Charges_NonSlice!$C$4:$C$138,MATCH($A83,Charges_NonSlice!$AC$4:$AC$138,0),1)</f>
        <v>Modern Elec Coop</v>
      </c>
      <c r="U83" s="100">
        <f t="shared" ca="1" si="4"/>
        <v>1.6429493186527422E-2</v>
      </c>
      <c r="V83" s="129">
        <f ca="1">+INDEX(Charges_NonSlice!$AA$4:$AA$138,MATCH($A83,Charges_NonSlice!$AC$4:$AC$138,0),1)</f>
        <v>38.363381926896977</v>
      </c>
      <c r="W83" s="120">
        <f t="shared" ca="1" si="3"/>
        <v>37.743278982024599</v>
      </c>
      <c r="Y83" s="103" t="s">
        <v>28</v>
      </c>
      <c r="Z83" s="104">
        <v>36.811575543258968</v>
      </c>
    </row>
    <row r="84" spans="1:26">
      <c r="A84">
        <f t="shared" si="5"/>
        <v>80</v>
      </c>
      <c r="B84" s="112" t="str">
        <f ca="1">+INDEX('Charges_Including Slice and LS'!$C$4:$C$138,MATCH($A84,'Charges_Including Slice and LS'!$AC$4:$AC$138,0),1)</f>
        <v>Albion, City of</v>
      </c>
      <c r="C84" s="100">
        <f ca="1">+INDEX('Charges_Including Slice and LS'!$AB$4:$AB$138,MATCH($A84,'Charges_Including Slice and LS'!$AC$4:$AC$138,0),1)</f>
        <v>3.607557410777762E-3</v>
      </c>
      <c r="D84" s="86">
        <f ca="1">+INDEX('Charges_Including Slice and LS'!$AA$4:$AA$138,MATCH($A84,'Charges_Including Slice and LS'!$AC$4:$AC$138,0),1)</f>
        <v>40.133402939051649</v>
      </c>
      <c r="E84" s="107">
        <f ca="1">+INDEX('Charges_Including Slice and LS'!$Z$4:$Z$138,MATCH($A84,'Charges_Including Slice and LS'!$AC$4:$AC$138,0),1)/1000</f>
        <v>3.3893415747583999</v>
      </c>
      <c r="F84" s="107">
        <f ca="1">+SUM(E$5:E84)</f>
        <v>27378.846221555919</v>
      </c>
      <c r="H84" s="295" t="str">
        <f ca="1">+INDEX(Charges_NonSlice!$C$4:$C$138,MATCH($A84,Charges_NonSlice!$AC$4:$AC$138,0),1)</f>
        <v>Franklin County PUD #1</v>
      </c>
      <c r="I84" s="100">
        <f ca="1">+INDEX(Charges_NonSlice!$AB$4:$AB$138,MATCH($A84,Charges_NonSlice!$AC$4:$AC$138,0),1)</f>
        <v>1.2295781886493095E-2</v>
      </c>
      <c r="J84" s="129">
        <f ca="1">+INDEX(Charges_NonSlice!$AA$4:$AA$138,MATCH($A84,Charges_NonSlice!$AC$4:$AC$138,0),1)</f>
        <v>33.25532538316088</v>
      </c>
      <c r="K84" s="297">
        <f ca="1">+INDEX(Charges_NonSlice!$Z$4:$Z$138,MATCH($A84,Charges_NonSlice!$AC$4:$AC$138,0),1)/1000</f>
        <v>542.69585076582393</v>
      </c>
      <c r="L84" s="107">
        <f ca="1">+SUM(K$5:K84)</f>
        <v>29786.296941893532</v>
      </c>
      <c r="N84" s="295" t="str">
        <f ca="1">+INDEX('Charges_NonSlice &amp; Excl LS'!$C$4:$C$138,MATCH($A84,'Charges_NonSlice &amp; Excl LS'!$AC$4:$AC$138,0),1)</f>
        <v>PNGC Aggregate</v>
      </c>
      <c r="O84" s="100">
        <f ca="1">+INDEX('Charges_NonSlice &amp; Excl LS'!$AB$4:$AB$138,MATCH($A84,'Charges_NonSlice &amp; Excl LS'!$AC$4:$AC$138,0),1)</f>
        <v>1.0822058835758146E-2</v>
      </c>
      <c r="P84" s="129">
        <f ca="1">+INDEX('Charges_NonSlice &amp; Excl LS'!$AA$4:$AA$138,MATCH($A84,'Charges_NonSlice &amp; Excl LS'!$AC$4:$AC$138,0),1)</f>
        <v>33.939979771590032</v>
      </c>
      <c r="Q84" s="297">
        <f ca="1">+INDEX('Charges_NonSlice &amp; Excl LS'!$Z$4:$Z$138,MATCH($A84,'Charges_NonSlice &amp; Excl LS'!$AC$4:$AC$138,0),1)/1000</f>
        <v>4589.3320226721789</v>
      </c>
      <c r="R84" s="107">
        <f ca="1">+SUM(Q$5:Q84)</f>
        <v>35294.887621184716</v>
      </c>
      <c r="T84" s="295" t="str">
        <f ca="1">+INDEX(Charges_NonSlice!$C$4:$C$138,MATCH($A84,Charges_NonSlice!$AC$4:$AC$138,0),1)</f>
        <v>Franklin County PUD #1</v>
      </c>
      <c r="U84" s="100">
        <f t="shared" ca="1" si="4"/>
        <v>4.7712015114144801E-2</v>
      </c>
      <c r="V84" s="129">
        <f ca="1">+INDEX(Charges_NonSlice!$AA$4:$AA$138,MATCH($A84,Charges_NonSlice!$AC$4:$AC$138,0),1)</f>
        <v>33.25532538316088</v>
      </c>
      <c r="W84" s="120">
        <f t="shared" ca="1" si="3"/>
        <v>31.740902942243935</v>
      </c>
      <c r="Y84" s="103" t="s">
        <v>49</v>
      </c>
      <c r="Z84" s="104">
        <v>33.475356171092209</v>
      </c>
    </row>
    <row r="85" spans="1:26">
      <c r="A85">
        <f t="shared" si="5"/>
        <v>81</v>
      </c>
      <c r="B85" s="112" t="str">
        <f ca="1">+INDEX('Charges_Including Slice and LS'!$C$4:$C$138,MATCH($A85,'Charges_Including Slice and LS'!$AC$4:$AC$138,0),1)</f>
        <v>Missoula Elec Coop</v>
      </c>
      <c r="C85" s="100">
        <f ca="1">+INDEX('Charges_Including Slice and LS'!$AB$4:$AB$138,MATCH($A85,'Charges_Including Slice and LS'!$AC$4:$AC$138,0),1)</f>
        <v>2.7019917545338967E-3</v>
      </c>
      <c r="D85" s="86">
        <f ca="1">+INDEX('Charges_Including Slice and LS'!$AA$4:$AA$138,MATCH($A85,'Charges_Including Slice and LS'!$AC$4:$AC$138,0),1)</f>
        <v>36.502077992360441</v>
      </c>
      <c r="E85" s="107">
        <f ca="1">+INDEX('Charges_Including Slice and LS'!$Z$4:$Z$138,MATCH($A85,'Charges_Including Slice and LS'!$AC$4:$AC$138,0),1)/1000</f>
        <v>235.78891200000001</v>
      </c>
      <c r="F85" s="107">
        <f ca="1">+SUM(E$5:E85)</f>
        <v>27614.635133555919</v>
      </c>
      <c r="H85" s="295" t="str">
        <f ca="1">+INDEX(Charges_NonSlice!$C$4:$C$138,MATCH($A85,Charges_NonSlice!$AC$4:$AC$138,0),1)</f>
        <v>Flathead Elec Coop</v>
      </c>
      <c r="I85" s="100">
        <f ca="1">+INDEX(Charges_NonSlice!$AB$4:$AB$138,MATCH($A85,Charges_NonSlice!$AC$4:$AC$138,0),1)</f>
        <v>1.2203733740683374E-2</v>
      </c>
      <c r="J85" s="129">
        <f ca="1">+INDEX(Charges_NonSlice!$AA$4:$AA$138,MATCH($A85,Charges_NonSlice!$AC$4:$AC$138,0),1)</f>
        <v>39.048676281771691</v>
      </c>
      <c r="K85" s="297">
        <f ca="1">+INDEX(Charges_NonSlice!$Z$4:$Z$138,MATCH($A85,Charges_NonSlice!$AC$4:$AC$138,0),1)/1000</f>
        <v>1457.608176</v>
      </c>
      <c r="L85" s="107">
        <f ca="1">+SUM(K$5:K85)</f>
        <v>31243.905117893533</v>
      </c>
      <c r="N85" s="295" t="str">
        <f ca="1">+INDEX('Charges_NonSlice &amp; Excl LS'!$C$4:$C$138,MATCH($A85,'Charges_NonSlice &amp; Excl LS'!$AC$4:$AC$138,0),1)</f>
        <v>Mission Valley</v>
      </c>
      <c r="O85" s="100">
        <f ca="1">+INDEX('Charges_NonSlice &amp; Excl LS'!$AB$4:$AB$138,MATCH($A85,'Charges_NonSlice &amp; Excl LS'!$AC$4:$AC$138,0),1)</f>
        <v>1.0796453541871649E-2</v>
      </c>
      <c r="P85" s="129">
        <f ca="1">+INDEX('Charges_NonSlice &amp; Excl LS'!$AA$4:$AA$138,MATCH($A85,'Charges_NonSlice &amp; Excl LS'!$AC$4:$AC$138,0),1)</f>
        <v>35.284619955301444</v>
      </c>
      <c r="Q85" s="297">
        <f ca="1">+INDEX('Charges_NonSlice &amp; Excl LS'!$Z$4:$Z$138,MATCH($A85,'Charges_NonSlice &amp; Excl LS'!$AC$4:$AC$138,0),1)/1000</f>
        <v>331.60594691727357</v>
      </c>
      <c r="R85" s="107">
        <f ca="1">+SUM(Q$5:Q85)</f>
        <v>35626.493568101992</v>
      </c>
      <c r="T85" s="295" t="str">
        <f ca="1">+INDEX(Charges_NonSlice!$C$4:$C$138,MATCH($A85,Charges_NonSlice!$AC$4:$AC$138,0),1)</f>
        <v>Flathead Elec Coop</v>
      </c>
      <c r="U85" s="100">
        <f t="shared" ca="1" si="4"/>
        <v>3.3039145790867419E-3</v>
      </c>
      <c r="V85" s="129">
        <f ca="1">+INDEX(Charges_NonSlice!$AA$4:$AA$138,MATCH($A85,Charges_NonSlice!$AC$4:$AC$138,0),1)</f>
        <v>39.048676281771691</v>
      </c>
      <c r="W85" s="120">
        <f t="shared" ca="1" si="3"/>
        <v>38.920087636809107</v>
      </c>
      <c r="Y85" s="103" t="s">
        <v>91</v>
      </c>
      <c r="Z85" s="104">
        <v>37.743278982024599</v>
      </c>
    </row>
    <row r="86" spans="1:26">
      <c r="A86">
        <f t="shared" si="5"/>
        <v>82</v>
      </c>
      <c r="B86" s="112" t="str">
        <f ca="1">+INDEX('Charges_Including Slice and LS'!$C$4:$C$138,MATCH($A86,'Charges_Including Slice and LS'!$AC$4:$AC$138,0),1)</f>
        <v>Ravalli County Elec Coop</v>
      </c>
      <c r="C86" s="100">
        <f ca="1">+INDEX('Charges_Including Slice and LS'!$AB$4:$AB$138,MATCH($A86,'Charges_Including Slice and LS'!$AC$4:$AC$138,0),1)</f>
        <v>2.6046285066589903E-3</v>
      </c>
      <c r="D86" s="86">
        <f ca="1">+INDEX('Charges_Including Slice and LS'!$AA$4:$AA$138,MATCH($A86,'Charges_Including Slice and LS'!$AC$4:$AC$138,0),1)</f>
        <v>35.964108710912214</v>
      </c>
      <c r="E86" s="107">
        <f ca="1">+INDEX('Charges_Including Slice and LS'!$Z$4:$Z$138,MATCH($A86,'Charges_Including Slice and LS'!$AC$4:$AC$138,0),1)/1000</f>
        <v>161.77492800000002</v>
      </c>
      <c r="F86" s="107">
        <f ca="1">+SUM(E$5:E86)</f>
        <v>27776.410061555918</v>
      </c>
      <c r="H86" s="295" t="str">
        <f ca="1">+INDEX(Charges_NonSlice!$C$4:$C$138,MATCH($A86,Charges_NonSlice!$AC$4:$AC$138,0),1)</f>
        <v>Vera Irrigation District</v>
      </c>
      <c r="I86" s="100">
        <f ca="1">+INDEX(Charges_NonSlice!$AB$4:$AB$138,MATCH($A86,Charges_NonSlice!$AC$4:$AC$138,0),1)</f>
        <v>1.1841368979360868E-2</v>
      </c>
      <c r="J86" s="129">
        <f ca="1">+INDEX(Charges_NonSlice!$AA$4:$AA$138,MATCH($A86,Charges_NonSlice!$AC$4:$AC$138,0),1)</f>
        <v>38.31369126024309</v>
      </c>
      <c r="K86" s="297">
        <f ca="1">+INDEX(Charges_NonSlice!$Z$4:$Z$138,MATCH($A86,Charges_NonSlice!$AC$4:$AC$138,0),1)/1000</f>
        <v>237.28219200000001</v>
      </c>
      <c r="L86" s="107">
        <f ca="1">+SUM(K$5:K86)</f>
        <v>31481.187309893532</v>
      </c>
      <c r="N86" s="295" t="str">
        <f ca="1">+INDEX('Charges_NonSlice &amp; Excl LS'!$C$4:$C$138,MATCH($A86,'Charges_NonSlice &amp; Excl LS'!$AC$4:$AC$138,0),1)</f>
        <v>Franklin County PUD #1</v>
      </c>
      <c r="O86" s="100">
        <f ca="1">+INDEX('Charges_NonSlice &amp; Excl LS'!$AB$4:$AB$138,MATCH($A86,'Charges_NonSlice &amp; Excl LS'!$AC$4:$AC$138,0),1)</f>
        <v>1.0600120046780787E-2</v>
      </c>
      <c r="P86" s="129">
        <f ca="1">+INDEX('Charges_NonSlice &amp; Excl LS'!$AA$4:$AA$138,MATCH($A86,'Charges_NonSlice &amp; Excl LS'!$AC$4:$AC$138,0),1)</f>
        <v>33.367788963669739</v>
      </c>
      <c r="Q86" s="297">
        <f ca="1">+INDEX('Charges_NonSlice &amp; Excl LS'!$Z$4:$Z$138,MATCH($A86,'Charges_NonSlice &amp; Excl LS'!$AC$4:$AC$138,0),1)/1000</f>
        <v>544.71685076582401</v>
      </c>
      <c r="R86" s="107">
        <f ca="1">+SUM(Q$5:Q86)</f>
        <v>36171.210418867813</v>
      </c>
      <c r="T86" s="295" t="str">
        <f ca="1">+INDEX(Charges_NonSlice!$C$4:$C$138,MATCH($A86,Charges_NonSlice!$AC$4:$AC$138,0),1)</f>
        <v>Vera Irrigation District</v>
      </c>
      <c r="U86" s="100">
        <f t="shared" ca="1" si="4"/>
        <v>2.4411183429648098E-2</v>
      </c>
      <c r="V86" s="129">
        <f ca="1">+INDEX(Charges_NonSlice!$AA$4:$AA$138,MATCH($A86,Charges_NonSlice!$AC$4:$AC$138,0),1)</f>
        <v>38.31369126024309</v>
      </c>
      <c r="W86" s="120">
        <f t="shared" ca="1" si="3"/>
        <v>37.400696009557279</v>
      </c>
      <c r="Y86" s="103" t="s">
        <v>136</v>
      </c>
      <c r="Z86" s="104">
        <v>36.614789869398741</v>
      </c>
    </row>
    <row r="87" spans="1:26">
      <c r="A87">
        <f t="shared" si="5"/>
        <v>83</v>
      </c>
      <c r="B87" s="112" t="str">
        <f ca="1">+INDEX('Charges_Including Slice and LS'!$C$4:$C$138,MATCH($A87,'Charges_Including Slice and LS'!$AC$4:$AC$138,0),1)</f>
        <v>Elmhurst Mutual P &amp; L</v>
      </c>
      <c r="C87" s="100">
        <f ca="1">+INDEX('Charges_Including Slice and LS'!$AB$4:$AB$138,MATCH($A87,'Charges_Including Slice and LS'!$AC$4:$AC$138,0),1)</f>
        <v>2.2956924844989872E-3</v>
      </c>
      <c r="D87" s="86">
        <f ca="1">+INDEX('Charges_Including Slice and LS'!$AA$4:$AA$138,MATCH($A87,'Charges_Including Slice and LS'!$AC$4:$AC$138,0),1)</f>
        <v>39.041776488620023</v>
      </c>
      <c r="E87" s="107">
        <f ca="1">+INDEX('Charges_Including Slice and LS'!$Z$4:$Z$138,MATCH($A87,'Charges_Including Slice and LS'!$AC$4:$AC$138,0),1)/1000</f>
        <v>281.67652800000002</v>
      </c>
      <c r="F87" s="107">
        <f ca="1">+SUM(E$5:E87)</f>
        <v>28058.086589555918</v>
      </c>
      <c r="H87" s="295" t="str">
        <f ca="1">+INDEX(Charges_NonSlice!$C$4:$C$138,MATCH($A87,Charges_NonSlice!$AC$4:$AC$138,0),1)</f>
        <v>Pend Oreille County PUD  #1</v>
      </c>
      <c r="I87" s="100">
        <f ca="1">+INDEX(Charges_NonSlice!$AB$4:$AB$138,MATCH($A87,Charges_NonSlice!$AC$4:$AC$138,0),1)</f>
        <v>1.1706346790973919E-2</v>
      </c>
      <c r="J87" s="129">
        <f ca="1">+INDEX(Charges_NonSlice!$AA$4:$AA$138,MATCH($A87,Charges_NonSlice!$AC$4:$AC$138,0),1)</f>
        <v>38.061181245453668</v>
      </c>
      <c r="K87" s="297">
        <f ca="1">+INDEX(Charges_NonSlice!$Z$4:$Z$138,MATCH($A87,Charges_NonSlice!$AC$4:$AC$138,0),1)/1000</f>
        <v>194.28422292776958</v>
      </c>
      <c r="L87" s="107">
        <f ca="1">+SUM(K$5:K87)</f>
        <v>31675.471532821302</v>
      </c>
      <c r="N87" s="295" t="str">
        <f ca="1">+INDEX('Charges_NonSlice &amp; Excl LS'!$C$4:$C$138,MATCH($A87,'Charges_NonSlice &amp; Excl LS'!$AC$4:$AC$138,0),1)</f>
        <v>Tanner Elec Coop</v>
      </c>
      <c r="O87" s="100">
        <f ca="1">+INDEX('Charges_NonSlice &amp; Excl LS'!$AB$4:$AB$138,MATCH($A87,'Charges_NonSlice &amp; Excl LS'!$AC$4:$AC$138,0),1)</f>
        <v>9.8099973159161448E-3</v>
      </c>
      <c r="P87" s="129">
        <f ca="1">+INDEX('Charges_NonSlice &amp; Excl LS'!$AA$4:$AA$138,MATCH($A87,'Charges_NonSlice &amp; Excl LS'!$AC$4:$AC$138,0),1)</f>
        <v>35.96570634295518</v>
      </c>
      <c r="Q87" s="297">
        <f ca="1">+INDEX('Charges_NonSlice &amp; Excl LS'!$Z$4:$Z$138,MATCH($A87,'Charges_NonSlice &amp; Excl LS'!$AC$4:$AC$138,0),1)/1000</f>
        <v>96.392916205977585</v>
      </c>
      <c r="R87" s="107">
        <f ca="1">+SUM(Q$5:Q87)</f>
        <v>36267.603335073793</v>
      </c>
      <c r="T87" s="295" t="str">
        <f ca="1">+INDEX(Charges_NonSlice!$C$4:$C$138,MATCH($A87,Charges_NonSlice!$AC$4:$AC$138,0),1)</f>
        <v>Pend Oreille County PUD  #1</v>
      </c>
      <c r="U87" s="100" t="str">
        <f t="shared" ca="1" si="4"/>
        <v/>
      </c>
      <c r="V87" s="129">
        <f ca="1">+INDEX(Charges_NonSlice!$AA$4:$AA$138,MATCH($A87,Charges_NonSlice!$AC$4:$AC$138,0),1)</f>
        <v>38.061181245453668</v>
      </c>
      <c r="W87" s="120">
        <f t="shared" ca="1" si="3"/>
        <v>0</v>
      </c>
      <c r="Y87" s="103" t="s">
        <v>41</v>
      </c>
      <c r="Z87" s="104">
        <v>37.880896874426178</v>
      </c>
    </row>
    <row r="88" spans="1:26">
      <c r="A88">
        <f t="shared" si="5"/>
        <v>84</v>
      </c>
      <c r="B88" s="112" t="str">
        <f ca="1">+INDEX('Charges_Including Slice and LS'!$C$4:$C$138,MATCH($A88,'Charges_Including Slice and LS'!$AC$4:$AC$138,0),1)</f>
        <v>Inland P &amp; L</v>
      </c>
      <c r="C88" s="100">
        <f ca="1">+INDEX('Charges_Including Slice and LS'!$AB$4:$AB$138,MATCH($A88,'Charges_Including Slice and LS'!$AC$4:$AC$138,0),1)</f>
        <v>2.1949266170211822E-3</v>
      </c>
      <c r="D88" s="86">
        <f ca="1">+INDEX('Charges_Including Slice and LS'!$AA$4:$AA$138,MATCH($A88,'Charges_Including Slice and LS'!$AC$4:$AC$138,0),1)</f>
        <v>35.410060047203451</v>
      </c>
      <c r="E88" s="107">
        <f ca="1">+INDEX('Charges_Including Slice and LS'!$Z$4:$Z$138,MATCH($A88,'Charges_Including Slice and LS'!$AC$4:$AC$138,0),1)/1000</f>
        <v>916.4773140490239</v>
      </c>
      <c r="F88" s="107">
        <f ca="1">+SUM(E$5:E88)</f>
        <v>28974.563903604943</v>
      </c>
      <c r="H88" s="295" t="str">
        <f ca="1">+INDEX(Charges_NonSlice!$C$4:$C$138,MATCH($A88,Charges_NonSlice!$AC$4:$AC$138,0),1)</f>
        <v>PNGC Aggregate</v>
      </c>
      <c r="I88" s="100">
        <f ca="1">+INDEX(Charges_NonSlice!$AB$4:$AB$138,MATCH($A88,Charges_NonSlice!$AC$4:$AC$138,0),1)</f>
        <v>9.8265636837094814E-3</v>
      </c>
      <c r="J88" s="129">
        <f ca="1">+INDEX(Charges_NonSlice!$AA$4:$AA$138,MATCH($A88,Charges_NonSlice!$AC$4:$AC$138,0),1)</f>
        <v>33.957523593713105</v>
      </c>
      <c r="K88" s="297">
        <f ca="1">+INDEX(Charges_NonSlice!$Z$4:$Z$138,MATCH($A88,Charges_NonSlice!$AC$4:$AC$138,0),1)/1000</f>
        <v>4632.2951040000007</v>
      </c>
      <c r="L88" s="107">
        <f ca="1">+SUM(K$5:K88)</f>
        <v>36307.766636821303</v>
      </c>
      <c r="N88" s="295" t="str">
        <f ca="1">+INDEX('Charges_NonSlice &amp; Excl LS'!$C$4:$C$138,MATCH($A88,'Charges_NonSlice &amp; Excl LS'!$AC$4:$AC$138,0),1)</f>
        <v>Wells Rural Elec Coop</v>
      </c>
      <c r="O88" s="100">
        <f ca="1">+INDEX('Charges_NonSlice &amp; Excl LS'!$AB$4:$AB$138,MATCH($A88,'Charges_NonSlice &amp; Excl LS'!$AC$4:$AC$138,0),1)</f>
        <v>9.5733310813159323E-3</v>
      </c>
      <c r="P88" s="129">
        <f ca="1">+INDEX('Charges_NonSlice &amp; Excl LS'!$AA$4:$AA$138,MATCH($A88,'Charges_NonSlice &amp; Excl LS'!$AC$4:$AC$138,0),1)</f>
        <v>34.084411044779749</v>
      </c>
      <c r="Q88" s="297">
        <f ca="1">+INDEX('Charges_NonSlice &amp; Excl LS'!$Z$4:$Z$138,MATCH($A88,'Charges_NonSlice &amp; Excl LS'!$AC$4:$AC$138,0),1)/1000</f>
        <v>817.64294663208955</v>
      </c>
      <c r="R88" s="107">
        <f ca="1">+SUM(Q$5:Q88)</f>
        <v>37085.246281705884</v>
      </c>
      <c r="T88" s="295" t="str">
        <f ca="1">+INDEX(Charges_NonSlice!$C$4:$C$138,MATCH($A88,Charges_NonSlice!$AC$4:$AC$138,0),1)</f>
        <v>PNGC Aggregate</v>
      </c>
      <c r="U88" s="100">
        <f t="shared" ca="1" si="4"/>
        <v>7.6699741984519232E-2</v>
      </c>
      <c r="V88" s="129">
        <f ca="1">+INDEX(Charges_NonSlice!$AA$4:$AA$138,MATCH($A88,Charges_NonSlice!$AC$4:$AC$138,0),1)</f>
        <v>33.957523593713105</v>
      </c>
      <c r="W88" s="120">
        <f t="shared" ca="1" si="3"/>
        <v>31.538526730882552</v>
      </c>
      <c r="Y88" s="103" t="s">
        <v>99</v>
      </c>
      <c r="Z88" s="104">
        <v>34.421246123542041</v>
      </c>
    </row>
    <row r="89" spans="1:26">
      <c r="A89">
        <f t="shared" si="5"/>
        <v>85</v>
      </c>
      <c r="B89" s="112" t="str">
        <f ca="1">+INDEX('Charges_Including Slice and LS'!$C$4:$C$138,MATCH($A89,'Charges_Including Slice and LS'!$AC$4:$AC$138,0),1)</f>
        <v>Northern Wasco County PUD</v>
      </c>
      <c r="C89" s="100">
        <f ca="1">+INDEX('Charges_Including Slice and LS'!$AB$4:$AB$138,MATCH($A89,'Charges_Including Slice and LS'!$AC$4:$AC$138,0),1)</f>
        <v>1.9796436631517164E-3</v>
      </c>
      <c r="D89" s="86">
        <f ca="1">+INDEX('Charges_Including Slice and LS'!$AA$4:$AA$138,MATCH($A89,'Charges_Including Slice and LS'!$AC$4:$AC$138,0),1)</f>
        <v>35.607135465619734</v>
      </c>
      <c r="E89" s="107">
        <f ca="1">+INDEX('Charges_Including Slice and LS'!$Z$4:$Z$138,MATCH($A89,'Charges_Including Slice and LS'!$AC$4:$AC$138,0),1)/1000</f>
        <v>565.88284799999997</v>
      </c>
      <c r="F89" s="107">
        <f ca="1">+SUM(E$5:E89)</f>
        <v>29540.446751604944</v>
      </c>
      <c r="H89" s="295" t="str">
        <f ca="1">+INDEX(Charges_NonSlice!$C$4:$C$138,MATCH($A89,Charges_NonSlice!$AC$4:$AC$138,0),1)</f>
        <v>Central Lincoln PUD</v>
      </c>
      <c r="I89" s="100">
        <f ca="1">+INDEX(Charges_NonSlice!$AB$4:$AB$138,MATCH($A89,Charges_NonSlice!$AC$4:$AC$138,0),1)</f>
        <v>9.0206287211075636E-3</v>
      </c>
      <c r="J89" s="129">
        <f ca="1">+INDEX(Charges_NonSlice!$AA$4:$AA$138,MATCH($A89,Charges_NonSlice!$AC$4:$AC$138,0),1)</f>
        <v>36.920424253891781</v>
      </c>
      <c r="K89" s="297">
        <f ca="1">+INDEX(Charges_NonSlice!$Z$4:$Z$138,MATCH($A89,Charges_NonSlice!$AC$4:$AC$138,0),1)/1000</f>
        <v>1340.9077952697342</v>
      </c>
      <c r="L89" s="107">
        <f ca="1">+SUM(K$5:K89)</f>
        <v>37648.674432091037</v>
      </c>
      <c r="N89" s="295" t="str">
        <f ca="1">+INDEX('Charges_NonSlice &amp; Excl LS'!$C$4:$C$138,MATCH($A89,'Charges_NonSlice &amp; Excl LS'!$AC$4:$AC$138,0),1)</f>
        <v>Columbia REA</v>
      </c>
      <c r="O89" s="100">
        <f ca="1">+INDEX('Charges_NonSlice &amp; Excl LS'!$AB$4:$AB$138,MATCH($A89,'Charges_NonSlice &amp; Excl LS'!$AC$4:$AC$138,0),1)</f>
        <v>7.8146148106451475E-3</v>
      </c>
      <c r="P89" s="129">
        <f ca="1">+INDEX('Charges_NonSlice &amp; Excl LS'!$AA$4:$AA$138,MATCH($A89,'Charges_NonSlice &amp; Excl LS'!$AC$4:$AC$138,0),1)</f>
        <v>30.478253521631171</v>
      </c>
      <c r="Q89" s="297">
        <f ca="1">+INDEX('Charges_NonSlice &amp; Excl LS'!$Z$4:$Z$138,MATCH($A89,'Charges_NonSlice &amp; Excl LS'!$AC$4:$AC$138,0),1)/1000</f>
        <v>329.34143531519993</v>
      </c>
      <c r="R89" s="107">
        <f ca="1">+SUM(Q$5:Q89)</f>
        <v>37414.587717021081</v>
      </c>
      <c r="T89" s="295" t="str">
        <f ca="1">+INDEX(Charges_NonSlice!$C$4:$C$138,MATCH($A89,Charges_NonSlice!$AC$4:$AC$138,0),1)</f>
        <v>Central Lincoln PUD</v>
      </c>
      <c r="U89" s="100">
        <f t="shared" ca="1" si="4"/>
        <v>1.0724671104542782E-2</v>
      </c>
      <c r="V89" s="129">
        <f ca="1">+INDEX(Charges_NonSlice!$AA$4:$AA$138,MATCH($A89,Charges_NonSlice!$AC$4:$AC$138,0),1)</f>
        <v>36.920424253891781</v>
      </c>
      <c r="W89" s="120">
        <f t="shared" ca="1" si="3"/>
        <v>36.528666321703916</v>
      </c>
      <c r="Y89" s="103" t="s">
        <v>133</v>
      </c>
      <c r="Z89" s="104">
        <v>35.194744537779599</v>
      </c>
    </row>
    <row r="90" spans="1:26">
      <c r="A90">
        <f t="shared" si="5"/>
        <v>86</v>
      </c>
      <c r="B90" s="112" t="str">
        <f ca="1">+INDEX('Charges_Including Slice and LS'!$C$4:$C$138,MATCH($A90,'Charges_Including Slice and LS'!$AC$4:$AC$138,0),1)</f>
        <v>Glacier Elec  Coop</v>
      </c>
      <c r="C90" s="100">
        <f ca="1">+INDEX('Charges_Including Slice and LS'!$AB$4:$AB$138,MATCH($A90,'Charges_Including Slice and LS'!$AC$4:$AC$138,0),1)</f>
        <v>1.905798154951194E-3</v>
      </c>
      <c r="D90" s="86">
        <f ca="1">+INDEX('Charges_Including Slice and LS'!$AA$4:$AA$138,MATCH($A90,'Charges_Including Slice and LS'!$AC$4:$AC$138,0),1)</f>
        <v>35.307972134791413</v>
      </c>
      <c r="E90" s="107">
        <f ca="1">+INDEX('Charges_Including Slice and LS'!$Z$4:$Z$138,MATCH($A90,'Charges_Including Slice and LS'!$AC$4:$AC$138,0),1)/1000</f>
        <v>157.04806982062081</v>
      </c>
      <c r="F90" s="107">
        <f ca="1">+SUM(E$5:E90)</f>
        <v>29697.494821425564</v>
      </c>
      <c r="H90" s="295" t="str">
        <f ca="1">+INDEX(Charges_NonSlice!$C$4:$C$138,MATCH($A90,Charges_NonSlice!$AC$4:$AC$138,0),1)</f>
        <v>Columbia Power Coop</v>
      </c>
      <c r="I90" s="100">
        <f ca="1">+INDEX(Charges_NonSlice!$AB$4:$AB$138,MATCH($A90,Charges_NonSlice!$AC$4:$AC$138,0),1)</f>
        <v>8.3521563376058056E-3</v>
      </c>
      <c r="J90" s="129">
        <f ca="1">+INDEX(Charges_NonSlice!$AA$4:$AA$138,MATCH($A90,Charges_NonSlice!$AC$4:$AC$138,0),1)</f>
        <v>33.942542137033769</v>
      </c>
      <c r="K90" s="297">
        <f ca="1">+INDEX(Charges_NonSlice!$Z$4:$Z$138,MATCH($A90,Charges_NonSlice!$AC$4:$AC$138,0),1)/1000</f>
        <v>26.755556693708801</v>
      </c>
      <c r="L90" s="107">
        <f ca="1">+SUM(K$5:K90)</f>
        <v>37675.429988784745</v>
      </c>
      <c r="N90" s="295" t="str">
        <f ca="1">+INDEX('Charges_NonSlice &amp; Excl LS'!$C$4:$C$138,MATCH($A90,'Charges_NonSlice &amp; Excl LS'!$AC$4:$AC$138,0),1)</f>
        <v>Central Lincoln PUD</v>
      </c>
      <c r="O90" s="100">
        <f ca="1">+INDEX('Charges_NonSlice &amp; Excl LS'!$AB$4:$AB$138,MATCH($A90,'Charges_NonSlice &amp; Excl LS'!$AC$4:$AC$138,0),1)</f>
        <v>7.3677144674782931E-3</v>
      </c>
      <c r="P90" s="129">
        <f ca="1">+INDEX('Charges_NonSlice &amp; Excl LS'!$AA$4:$AA$138,MATCH($A90,'Charges_NonSlice &amp; Excl LS'!$AC$4:$AC$138,0),1)</f>
        <v>36.564100438344049</v>
      </c>
      <c r="Q90" s="297">
        <f ca="1">+INDEX('Charges_NonSlice &amp; Excl LS'!$Z$4:$Z$138,MATCH($A90,'Charges_NonSlice &amp; Excl LS'!$AC$4:$AC$138,0),1)/1000</f>
        <v>1354.4987952697343</v>
      </c>
      <c r="R90" s="107">
        <f ca="1">+SUM(Q$5:Q90)</f>
        <v>38769.086512290814</v>
      </c>
      <c r="T90" s="295" t="str">
        <f ca="1">+INDEX(Charges_NonSlice!$C$4:$C$138,MATCH($A90,Charges_NonSlice!$AC$4:$AC$138,0),1)</f>
        <v>Columbia Power Coop</v>
      </c>
      <c r="U90" s="100">
        <f t="shared" ca="1" si="4"/>
        <v>1.3956116360757331E-2</v>
      </c>
      <c r="V90" s="129">
        <f ca="1">+INDEX(Charges_NonSlice!$AA$4:$AA$138,MATCH($A90,Charges_NonSlice!$AC$4:$AC$138,0),1)</f>
        <v>33.942542137033769</v>
      </c>
      <c r="W90" s="120">
        <f t="shared" ca="1" si="3"/>
        <v>33.475356171092209</v>
      </c>
      <c r="Y90" s="103" t="s">
        <v>50</v>
      </c>
      <c r="Z90" s="104">
        <v>37.631476143151332</v>
      </c>
    </row>
    <row r="91" spans="1:26">
      <c r="A91">
        <f t="shared" si="5"/>
        <v>87</v>
      </c>
      <c r="B91" s="112" t="str">
        <f ca="1">+INDEX('Charges_Including Slice and LS'!$C$4:$C$138,MATCH($A91,'Charges_Including Slice and LS'!$AC$4:$AC$138,0),1)</f>
        <v>Riverside Elec Coop</v>
      </c>
      <c r="C91" s="100">
        <f ca="1">+INDEX('Charges_Including Slice and LS'!$AB$4:$AB$138,MATCH($A91,'Charges_Including Slice and LS'!$AC$4:$AC$138,0),1)</f>
        <v>1.7181665739947061E-3</v>
      </c>
      <c r="D91" s="86">
        <f ca="1">+INDEX('Charges_Including Slice and LS'!$AA$4:$AA$138,MATCH($A91,'Charges_Including Slice and LS'!$AC$4:$AC$138,0),1)</f>
        <v>32.934081160212095</v>
      </c>
      <c r="E91" s="107">
        <f ca="1">+INDEX('Charges_Including Slice and LS'!$Z$4:$Z$138,MATCH($A91,'Charges_Including Slice and LS'!$AC$4:$AC$138,0),1)/1000</f>
        <v>20.730239999999998</v>
      </c>
      <c r="F91" s="107">
        <f ca="1">+SUM(E$5:E91)</f>
        <v>29718.225061425564</v>
      </c>
      <c r="H91" s="295" t="str">
        <f ca="1">+INDEX(Charges_NonSlice!$C$4:$C$138,MATCH($A91,Charges_NonSlice!$AC$4:$AC$138,0),1)</f>
        <v>Ohop Mutual Light Company</v>
      </c>
      <c r="I91" s="100">
        <f ca="1">+INDEX(Charges_NonSlice!$AB$4:$AB$138,MATCH($A91,Charges_NonSlice!$AC$4:$AC$138,0),1)</f>
        <v>7.4177726239626346E-3</v>
      </c>
      <c r="J91" s="129">
        <f ca="1">+INDEX(Charges_NonSlice!$AA$4:$AA$138,MATCH($A91,Charges_NonSlice!$AC$4:$AC$138,0),1)</f>
        <v>36.387586092128309</v>
      </c>
      <c r="K91" s="297">
        <f ca="1">+INDEX(Charges_NonSlice!$Z$4:$Z$138,MATCH($A91,Charges_NonSlice!$AC$4:$AC$138,0),1)/1000</f>
        <v>85.970594795110401</v>
      </c>
      <c r="L91" s="107">
        <f ca="1">+SUM(K$5:K91)</f>
        <v>37761.400583579853</v>
      </c>
      <c r="N91" s="295" t="str">
        <f ca="1">+INDEX('Charges_NonSlice &amp; Excl LS'!$C$4:$C$138,MATCH($A91,'Charges_NonSlice &amp; Excl LS'!$AC$4:$AC$138,0),1)</f>
        <v>Columbia Power Coop</v>
      </c>
      <c r="O91" s="100">
        <f ca="1">+INDEX('Charges_NonSlice &amp; Excl LS'!$AB$4:$AB$138,MATCH($A91,'Charges_NonSlice &amp; Excl LS'!$AC$4:$AC$138,0),1)</f>
        <v>7.2214370691878445E-3</v>
      </c>
      <c r="P91" s="129">
        <f ca="1">+INDEX('Charges_NonSlice &amp; Excl LS'!$AA$4:$AA$138,MATCH($A91,'Charges_NonSlice &amp; Excl LS'!$AC$4:$AC$138,0),1)</f>
        <v>33.719059253649398</v>
      </c>
      <c r="Q91" s="297">
        <f ca="1">+INDEX('Charges_NonSlice &amp; Excl LS'!$Z$4:$Z$138,MATCH($A91,'Charges_NonSlice &amp; Excl LS'!$AC$4:$AC$138,0),1)/1000</f>
        <v>26.7545566937088</v>
      </c>
      <c r="R91" s="107">
        <f ca="1">+SUM(Q$5:Q91)</f>
        <v>38795.841068984526</v>
      </c>
      <c r="T91" s="295" t="str">
        <f ca="1">+INDEX(Charges_NonSlice!$C$4:$C$138,MATCH($A91,Charges_NonSlice!$AC$4:$AC$138,0),1)</f>
        <v>Ohop Mutual Light Company</v>
      </c>
      <c r="U91" s="100">
        <f t="shared" ca="1" si="4"/>
        <v>9.5624235683922088E-3</v>
      </c>
      <c r="V91" s="129">
        <f ca="1">+INDEX(Charges_NonSlice!$AA$4:$AA$138,MATCH($A91,Charges_NonSlice!$AC$4:$AC$138,0),1)</f>
        <v>36.387586092128309</v>
      </c>
      <c r="W91" s="120">
        <f t="shared" ca="1" si="3"/>
        <v>36.042928344651543</v>
      </c>
      <c r="Y91" s="103" t="s">
        <v>94</v>
      </c>
      <c r="Z91" s="104">
        <v>35.362978570321602</v>
      </c>
    </row>
    <row r="92" spans="1:26">
      <c r="A92">
        <f t="shared" si="5"/>
        <v>88</v>
      </c>
      <c r="B92" s="112" t="str">
        <f ca="1">+INDEX('Charges_Including Slice and LS'!$C$4:$C$138,MATCH($A92,'Charges_Including Slice and LS'!$AC$4:$AC$138,0),1)</f>
        <v>East End Mutual Electric</v>
      </c>
      <c r="C92" s="100">
        <f ca="1">+INDEX('Charges_Including Slice and LS'!$AB$4:$AB$138,MATCH($A92,'Charges_Including Slice and LS'!$AC$4:$AC$138,0),1)</f>
        <v>1.0245165079710732E-3</v>
      </c>
      <c r="D92" s="86">
        <f ca="1">+INDEX('Charges_Including Slice and LS'!$AA$4:$AA$138,MATCH($A92,'Charges_Including Slice and LS'!$AC$4:$AC$138,0),1)</f>
        <v>33.633120545996753</v>
      </c>
      <c r="E92" s="107">
        <f ca="1">+INDEX('Charges_Including Slice and LS'!$Z$4:$Z$138,MATCH($A92,'Charges_Including Slice and LS'!$AC$4:$AC$138,0),1)/1000</f>
        <v>23.479632000000002</v>
      </c>
      <c r="F92" s="107">
        <f ca="1">+SUM(E$5:E92)</f>
        <v>29741.704693425563</v>
      </c>
      <c r="H92" s="295" t="str">
        <f ca="1">+INDEX(Charges_NonSlice!$C$4:$C$138,MATCH($A92,Charges_NonSlice!$AC$4:$AC$138,0),1)</f>
        <v>U.S. DOE Richland Operations Office</v>
      </c>
      <c r="I92" s="100">
        <f ca="1">+INDEX(Charges_NonSlice!$AB$4:$AB$138,MATCH($A92,Charges_NonSlice!$AC$4:$AC$138,0),1)</f>
        <v>7.1268362627351879E-3</v>
      </c>
      <c r="J92" s="129">
        <f ca="1">+INDEX(Charges_NonSlice!$AA$4:$AA$138,MATCH($A92,Charges_NonSlice!$AC$4:$AC$138,0),1)</f>
        <v>35.597154191606116</v>
      </c>
      <c r="K92" s="297">
        <f ca="1">+INDEX(Charges_NonSlice!$Z$4:$Z$138,MATCH($A92,Charges_NonSlice!$AC$4:$AC$138,0),1)/1000</f>
        <v>267.3510342590464</v>
      </c>
      <c r="L92" s="107">
        <f ca="1">+SUM(K$5:K92)</f>
        <v>38028.751617838898</v>
      </c>
      <c r="N92" s="295" t="str">
        <f ca="1">+INDEX('Charges_NonSlice &amp; Excl LS'!$C$4:$C$138,MATCH($A92,'Charges_NonSlice &amp; Excl LS'!$AC$4:$AC$138,0),1)</f>
        <v>Wasco Elec Coop</v>
      </c>
      <c r="O92" s="100">
        <f ca="1">+INDEX('Charges_NonSlice &amp; Excl LS'!$AB$4:$AB$138,MATCH($A92,'Charges_NonSlice &amp; Excl LS'!$AC$4:$AC$138,0),1)</f>
        <v>6.3429471011956142E-3</v>
      </c>
      <c r="P92" s="129">
        <f ca="1">+INDEX('Charges_NonSlice &amp; Excl LS'!$AA$4:$AA$138,MATCH($A92,'Charges_NonSlice &amp; Excl LS'!$AC$4:$AC$138,0),1)</f>
        <v>35.121524669160351</v>
      </c>
      <c r="Q92" s="297">
        <f ca="1">+INDEX('Charges_NonSlice &amp; Excl LS'!$Z$4:$Z$138,MATCH($A92,'Charges_NonSlice &amp; Excl LS'!$AC$4:$AC$138,0),1)/1000</f>
        <v>110.4304200062976</v>
      </c>
      <c r="R92" s="107">
        <f ca="1">+SUM(Q$5:Q92)</f>
        <v>38906.271488990824</v>
      </c>
      <c r="T92" s="295" t="str">
        <f ca="1">+INDEX(Charges_NonSlice!$C$4:$C$138,MATCH($A92,Charges_NonSlice!$AC$4:$AC$138,0),1)</f>
        <v>U.S. DOE Richland Operations Office</v>
      </c>
      <c r="U92" s="100">
        <f t="shared" ca="1" si="4"/>
        <v>1.7971096518552887E-2</v>
      </c>
      <c r="V92" s="129">
        <f ca="1">+INDEX(Charges_NonSlice!$AA$4:$AA$138,MATCH($A92,Charges_NonSlice!$AC$4:$AC$138,0),1)</f>
        <v>35.597154191606116</v>
      </c>
      <c r="W92" s="120">
        <f t="shared" ca="1" si="3"/>
        <v>34.968727809019228</v>
      </c>
      <c r="Y92" s="103" t="s">
        <v>106</v>
      </c>
      <c r="Z92" s="104">
        <v>35.305952944503325</v>
      </c>
    </row>
    <row r="93" spans="1:26">
      <c r="A93">
        <f t="shared" si="5"/>
        <v>89</v>
      </c>
      <c r="B93" s="112" t="str">
        <f ca="1">+INDEX('Charges_Including Slice and LS'!$C$4:$C$138,MATCH($A93,'Charges_Including Slice and LS'!$AC$4:$AC$138,0),1)</f>
        <v>Troy, City of</v>
      </c>
      <c r="C93" s="100">
        <f ca="1">+INDEX('Charges_Including Slice and LS'!$AB$4:$AB$138,MATCH($A93,'Charges_Including Slice and LS'!$AC$4:$AC$138,0),1)</f>
        <v>9.4529240094339245E-4</v>
      </c>
      <c r="D93" s="86">
        <f ca="1">+INDEX('Charges_Including Slice and LS'!$AA$4:$AA$138,MATCH($A93,'Charges_Including Slice and LS'!$AC$4:$AC$138,0),1)</f>
        <v>38.466252577974693</v>
      </c>
      <c r="E93" s="107">
        <f ca="1">+INDEX('Charges_Including Slice and LS'!$Z$4:$Z$138,MATCH($A93,'Charges_Including Slice and LS'!$AC$4:$AC$138,0),1)/1000</f>
        <v>17.664658628710399</v>
      </c>
      <c r="F93" s="107">
        <f ca="1">+SUM(E$5:E93)</f>
        <v>29759.369352054273</v>
      </c>
      <c r="H93" s="295" t="str">
        <f ca="1">+INDEX(Charges_NonSlice!$C$4:$C$138,MATCH($A93,Charges_NonSlice!$AC$4:$AC$138,0),1)</f>
        <v>Mission Valley</v>
      </c>
      <c r="I93" s="100">
        <f ca="1">+INDEX(Charges_NonSlice!$AB$4:$AB$138,MATCH($A93,Charges_NonSlice!$AC$4:$AC$138,0),1)</f>
        <v>6.0490965553304347E-3</v>
      </c>
      <c r="J93" s="129">
        <f ca="1">+INDEX(Charges_NonSlice!$AA$4:$AA$138,MATCH($A93,Charges_NonSlice!$AC$4:$AC$138,0),1)</f>
        <v>36.339843707962423</v>
      </c>
      <c r="K93" s="297">
        <f ca="1">+INDEX(Charges_NonSlice!$Z$4:$Z$138,MATCH($A93,Charges_NonSlice!$AC$4:$AC$138,0),1)/1000</f>
        <v>331.604784</v>
      </c>
      <c r="L93" s="107">
        <f ca="1">+SUM(K$5:K93)</f>
        <v>38360.356401838901</v>
      </c>
      <c r="N93" s="295" t="str">
        <f ca="1">+INDEX('Charges_NonSlice &amp; Excl LS'!$C$4:$C$138,MATCH($A93,'Charges_NonSlice &amp; Excl LS'!$AC$4:$AC$138,0),1)</f>
        <v>Southside Elec Lines</v>
      </c>
      <c r="O93" s="100">
        <f ca="1">+INDEX('Charges_NonSlice &amp; Excl LS'!$AB$4:$AB$138,MATCH($A93,'Charges_NonSlice &amp; Excl LS'!$AC$4:$AC$138,0),1)</f>
        <v>6.1723926271636063E-3</v>
      </c>
      <c r="P93" s="129">
        <f ca="1">+INDEX('Charges_NonSlice &amp; Excl LS'!$AA$4:$AA$138,MATCH($A93,'Charges_NonSlice &amp; Excl LS'!$AC$4:$AC$138,0),1)</f>
        <v>32.292621790790704</v>
      </c>
      <c r="Q93" s="297">
        <f ca="1">+INDEX('Charges_NonSlice &amp; Excl LS'!$Z$4:$Z$138,MATCH($A93,'Charges_NonSlice &amp; Excl LS'!$AC$4:$AC$138,0),1)/1000</f>
        <v>59.105603913523197</v>
      </c>
      <c r="R93" s="107">
        <f ca="1">+SUM(Q$5:Q93)</f>
        <v>38965.377092904346</v>
      </c>
      <c r="T93" s="295" t="str">
        <f ca="1">+INDEX(Charges_NonSlice!$C$4:$C$138,MATCH($A93,Charges_NonSlice!$AC$4:$AC$138,0),1)</f>
        <v>Mission Valley</v>
      </c>
      <c r="U93" s="100">
        <f t="shared" ca="1" si="4"/>
        <v>2.0194138656604466E-2</v>
      </c>
      <c r="V93" s="129">
        <f ca="1">+INDEX(Charges_NonSlice!$AA$4:$AA$138,MATCH($A93,Charges_NonSlice!$AC$4:$AC$138,0),1)</f>
        <v>36.339843707962423</v>
      </c>
      <c r="W93" s="120">
        <f t="shared" ca="1" si="3"/>
        <v>35.620518027887186</v>
      </c>
      <c r="Y93" s="103" t="s">
        <v>63</v>
      </c>
      <c r="Z93" s="104">
        <v>36.602520136645651</v>
      </c>
    </row>
    <row r="94" spans="1:26">
      <c r="A94">
        <f t="shared" si="5"/>
        <v>90</v>
      </c>
      <c r="B94" s="112" t="str">
        <f ca="1">+INDEX('Charges_Including Slice and LS'!$C$4:$C$138,MATCH($A94,'Charges_Including Slice and LS'!$AC$4:$AC$138,0),1)</f>
        <v>Wells Rural Elec Coop</v>
      </c>
      <c r="C94" s="100">
        <f ca="1">+INDEX('Charges_Including Slice and LS'!$AB$4:$AB$138,MATCH($A94,'Charges_Including Slice and LS'!$AC$4:$AC$138,0),1)</f>
        <v>9.1176013540472667E-4</v>
      </c>
      <c r="D94" s="86">
        <f ca="1">+INDEX('Charges_Including Slice and LS'!$AA$4:$AA$138,MATCH($A94,'Charges_Including Slice and LS'!$AC$4:$AC$138,0),1)</f>
        <v>34.20500070418263</v>
      </c>
      <c r="E94" s="107">
        <f ca="1">+INDEX('Charges_Including Slice and LS'!$Z$4:$Z$138,MATCH($A94,'Charges_Including Slice and LS'!$AC$4:$AC$138,0),1)/1000</f>
        <v>808.89094663208959</v>
      </c>
      <c r="F94" s="107">
        <f ca="1">+SUM(E$5:E94)</f>
        <v>30568.260298686364</v>
      </c>
      <c r="H94" s="295" t="str">
        <f ca="1">+INDEX(Charges_NonSlice!$C$4:$C$138,MATCH($A94,Charges_NonSlice!$AC$4:$AC$138,0),1)</f>
        <v>Minidoka, City of</v>
      </c>
      <c r="I94" s="100">
        <f ca="1">+INDEX(Charges_NonSlice!$AB$4:$AB$138,MATCH($A94,Charges_NonSlice!$AC$4:$AC$138,0),1)</f>
        <v>5.9604219589658195E-3</v>
      </c>
      <c r="J94" s="129">
        <f ca="1">+INDEX(Charges_NonSlice!$AA$4:$AA$138,MATCH($A94,Charges_NonSlice!$AC$4:$AC$138,0),1)</f>
        <v>38.822592194416309</v>
      </c>
      <c r="K94" s="297">
        <f ca="1">+INDEX(Charges_NonSlice!$Z$4:$Z$138,MATCH($A94,Charges_NonSlice!$AC$4:$AC$138,0),1)/1000</f>
        <v>0.82382439966719989</v>
      </c>
      <c r="L94" s="107">
        <f ca="1">+SUM(K$5:K94)</f>
        <v>38361.180226238568</v>
      </c>
      <c r="N94" s="295" t="str">
        <f ca="1">+INDEX('Charges_NonSlice &amp; Excl LS'!$C$4:$C$138,MATCH($A94,'Charges_NonSlice &amp; Excl LS'!$AC$4:$AC$138,0),1)</f>
        <v>Pend Oreille County PUD  #1</v>
      </c>
      <c r="O94" s="100">
        <f ca="1">+INDEX('Charges_NonSlice &amp; Excl LS'!$AB$4:$AB$138,MATCH($A94,'Charges_NonSlice &amp; Excl LS'!$AC$4:$AC$138,0),1)</f>
        <v>6.1445830749762096E-3</v>
      </c>
      <c r="P94" s="129">
        <f ca="1">+INDEX('Charges_NonSlice &amp; Excl LS'!$AA$4:$AA$138,MATCH($A94,'Charges_NonSlice &amp; Excl LS'!$AC$4:$AC$138,0),1)</f>
        <v>35.293311393709104</v>
      </c>
      <c r="Q94" s="297">
        <f ca="1">+INDEX('Charges_NonSlice &amp; Excl LS'!$Z$4:$Z$138,MATCH($A94,'Charges_NonSlice &amp; Excl LS'!$AC$4:$AC$138,0),1)/1000</f>
        <v>194.28522292776958</v>
      </c>
      <c r="R94" s="107">
        <f ca="1">+SUM(Q$5:Q94)</f>
        <v>39159.662315832116</v>
      </c>
      <c r="T94" s="295" t="str">
        <f ca="1">+INDEX(Charges_NonSlice!$C$4:$C$138,MATCH($A94,Charges_NonSlice!$AC$4:$AC$138,0),1)</f>
        <v>Minidoka, City of</v>
      </c>
      <c r="U94" s="100">
        <f t="shared" ca="1" si="4"/>
        <v>-3.9556650053973574E-2</v>
      </c>
      <c r="V94" s="129">
        <f ca="1">+INDEX(Charges_NonSlice!$AA$4:$AA$138,MATCH($A94,Charges_NonSlice!$AC$4:$AC$138,0),1)</f>
        <v>38.822592194416309</v>
      </c>
      <c r="W94" s="120">
        <f t="shared" ca="1" si="3"/>
        <v>40.421532614701327</v>
      </c>
      <c r="Y94" s="103" t="s">
        <v>134</v>
      </c>
      <c r="Z94" s="104">
        <v>36.954026069646986</v>
      </c>
    </row>
    <row r="95" spans="1:26">
      <c r="A95">
        <f t="shared" si="5"/>
        <v>91</v>
      </c>
      <c r="B95" s="112" t="str">
        <f ca="1">+INDEX('Charges_Including Slice and LS'!$C$4:$C$138,MATCH($A95,'Charges_Including Slice and LS'!$AC$4:$AC$138,0),1)</f>
        <v>Parkland L &amp; W</v>
      </c>
      <c r="C95" s="100">
        <f ca="1">+INDEX('Charges_Including Slice and LS'!$AB$4:$AB$138,MATCH($A95,'Charges_Including Slice and LS'!$AC$4:$AC$138,0),1)</f>
        <v>8.433844351879127E-4</v>
      </c>
      <c r="D95" s="86">
        <f ca="1">+INDEX('Charges_Including Slice and LS'!$AA$4:$AA$138,MATCH($A95,'Charges_Including Slice and LS'!$AC$4:$AC$138,0),1)</f>
        <v>38.312322380232025</v>
      </c>
      <c r="E95" s="107">
        <f ca="1">+INDEX('Charges_Including Slice and LS'!$Z$4:$Z$138,MATCH($A95,'Charges_Including Slice and LS'!$AC$4:$AC$138,0),1)/1000</f>
        <v>120.09215888599039</v>
      </c>
      <c r="F95" s="107">
        <f ca="1">+SUM(E$5:E95)</f>
        <v>30688.352457572353</v>
      </c>
      <c r="H95" s="295" t="str">
        <f ca="1">+INDEX(Charges_NonSlice!$C$4:$C$138,MATCH($A95,Charges_NonSlice!$AC$4:$AC$138,0),1)</f>
        <v>Wasco Elec Coop</v>
      </c>
      <c r="I95" s="100">
        <f ca="1">+INDEX(Charges_NonSlice!$AB$4:$AB$138,MATCH($A95,Charges_NonSlice!$AC$4:$AC$138,0),1)</f>
        <v>5.8477752445761947E-3</v>
      </c>
      <c r="J95" s="129">
        <f ca="1">+INDEX(Charges_NonSlice!$AA$4:$AA$138,MATCH($A95,Charges_NonSlice!$AC$4:$AC$138,0),1)</f>
        <v>35.482579107432251</v>
      </c>
      <c r="K95" s="297">
        <f ca="1">+INDEX(Charges_NonSlice!$Z$4:$Z$138,MATCH($A95,Charges_NonSlice!$AC$4:$AC$138,0),1)/1000</f>
        <v>110.4364200062976</v>
      </c>
      <c r="L95" s="107">
        <f ca="1">+SUM(K$5:K95)</f>
        <v>38471.616646244867</v>
      </c>
      <c r="N95" s="295" t="str">
        <f ca="1">+INDEX('Charges_NonSlice &amp; Excl LS'!$C$4:$C$138,MATCH($A95,'Charges_NonSlice &amp; Excl LS'!$AC$4:$AC$138,0),1)</f>
        <v>East End Mutual Electric</v>
      </c>
      <c r="O95" s="100">
        <f ca="1">+INDEX('Charges_NonSlice &amp; Excl LS'!$AB$4:$AB$138,MATCH($A95,'Charges_NonSlice &amp; Excl LS'!$AC$4:$AC$138,0),1)</f>
        <v>5.5523378659292797E-3</v>
      </c>
      <c r="P95" s="129">
        <f ca="1">+INDEX('Charges_NonSlice &amp; Excl LS'!$AA$4:$AA$138,MATCH($A95,'Charges_NonSlice &amp; Excl LS'!$AC$4:$AC$138,0),1)</f>
        <v>34.276834272381066</v>
      </c>
      <c r="Q95" s="297">
        <f ca="1">+INDEX('Charges_NonSlice &amp; Excl LS'!$Z$4:$Z$138,MATCH($A95,'Charges_NonSlice &amp; Excl LS'!$AC$4:$AC$138,0),1)/1000</f>
        <v>23.478110751743994</v>
      </c>
      <c r="R95" s="107">
        <f ca="1">+SUM(Q$5:Q95)</f>
        <v>39183.140426583857</v>
      </c>
      <c r="T95" s="295" t="str">
        <f ca="1">+INDEX(Charges_NonSlice!$C$4:$C$138,MATCH($A95,Charges_NonSlice!$AC$4:$AC$138,0),1)</f>
        <v>Wasco Elec Coop</v>
      </c>
      <c r="U95" s="100">
        <f t="shared" ca="1" si="4"/>
        <v>3.0151318953388628E-3</v>
      </c>
      <c r="V95" s="129">
        <f ca="1">+INDEX(Charges_NonSlice!$AA$4:$AA$138,MATCH($A95,Charges_NonSlice!$AC$4:$AC$138,0),1)</f>
        <v>35.482579107432251</v>
      </c>
      <c r="W95" s="120">
        <f t="shared" ca="1" si="3"/>
        <v>35.375916054609171</v>
      </c>
      <c r="Y95" s="103" t="s">
        <v>90</v>
      </c>
      <c r="Z95" s="104">
        <v>35.929484431494579</v>
      </c>
    </row>
    <row r="96" spans="1:26">
      <c r="A96">
        <f t="shared" si="5"/>
        <v>92</v>
      </c>
      <c r="B96" s="112" t="str">
        <f ca="1">+INDEX('Charges_Including Slice and LS'!$C$4:$C$138,MATCH($A96,'Charges_Including Slice and LS'!$AC$4:$AC$138,0),1)</f>
        <v>Declo, City of</v>
      </c>
      <c r="C96" s="100">
        <f ca="1">+INDEX('Charges_Including Slice and LS'!$AB$4:$AB$138,MATCH($A96,'Charges_Including Slice and LS'!$AC$4:$AC$138,0),1)</f>
        <v>7.2499219528888916E-4</v>
      </c>
      <c r="D96" s="86">
        <f ca="1">+INDEX('Charges_Including Slice and LS'!$AA$4:$AA$138,MATCH($A96,'Charges_Including Slice and LS'!$AC$4:$AC$138,0),1)</f>
        <v>38.42446908978247</v>
      </c>
      <c r="E96" s="107">
        <f ca="1">+INDEX('Charges_Including Slice and LS'!$Z$4:$Z$138,MATCH($A96,'Charges_Including Slice and LS'!$AC$4:$AC$138,0),1)/1000</f>
        <v>3.135888</v>
      </c>
      <c r="F96" s="107">
        <f ca="1">+SUM(E$5:E96)</f>
        <v>30691.488345572354</v>
      </c>
      <c r="H96" s="295" t="str">
        <f ca="1">+INDEX(Charges_NonSlice!$C$4:$C$138,MATCH($A96,Charges_NonSlice!$AC$4:$AC$138,0),1)</f>
        <v>Vigilante Elec Coop</v>
      </c>
      <c r="I96" s="100">
        <f ca="1">+INDEX(Charges_NonSlice!$AB$4:$AB$138,MATCH($A96,Charges_NonSlice!$AC$4:$AC$138,0),1)</f>
        <v>5.1895372801993604E-3</v>
      </c>
      <c r="J96" s="129">
        <f ca="1">+INDEX(Charges_NonSlice!$AA$4:$AA$138,MATCH($A96,Charges_NonSlice!$AC$4:$AC$138,0),1)</f>
        <v>32.104400535547974</v>
      </c>
      <c r="K96" s="297">
        <f ca="1">+INDEX(Charges_NonSlice!$Z$4:$Z$138,MATCH($A96,Charges_NonSlice!$AC$4:$AC$138,0),1)/1000</f>
        <v>164.67355629383675</v>
      </c>
      <c r="L96" s="107">
        <f ca="1">+SUM(K$5:K96)</f>
        <v>38636.290202538701</v>
      </c>
      <c r="N96" s="295" t="str">
        <f ca="1">+INDEX('Charges_NonSlice &amp; Excl LS'!$C$4:$C$138,MATCH($A96,'Charges_NonSlice &amp; Excl LS'!$AC$4:$AC$138,0),1)</f>
        <v>Minidoka, City of</v>
      </c>
      <c r="O96" s="100">
        <f ca="1">+INDEX('Charges_NonSlice &amp; Excl LS'!$AB$4:$AB$138,MATCH($A96,'Charges_NonSlice &amp; Excl LS'!$AC$4:$AC$138,0),1)</f>
        <v>5.4152176529729231E-3</v>
      </c>
      <c r="P96" s="129">
        <f ca="1">+INDEX('Charges_NonSlice &amp; Excl LS'!$AA$4:$AA$138,MATCH($A96,'Charges_NonSlice &amp; Excl LS'!$AC$4:$AC$138,0),1)</f>
        <v>37.854350957674939</v>
      </c>
      <c r="Q96" s="297">
        <f ca="1">+INDEX('Charges_NonSlice &amp; Excl LS'!$Z$4:$Z$138,MATCH($A96,'Charges_NonSlice &amp; Excl LS'!$AC$4:$AC$138,0),1)/1000</f>
        <v>0.82682439966719989</v>
      </c>
      <c r="R96" s="107">
        <f ca="1">+SUM(Q$5:Q96)</f>
        <v>39183.967250983522</v>
      </c>
      <c r="T96" s="295" t="str">
        <f ca="1">+INDEX(Charges_NonSlice!$C$4:$C$138,MATCH($A96,Charges_NonSlice!$AC$4:$AC$138,0),1)</f>
        <v>Vigilante Elec Coop</v>
      </c>
      <c r="U96" s="100">
        <f t="shared" ca="1" si="4"/>
        <v>1.2815348382023917E-2</v>
      </c>
      <c r="V96" s="129">
        <f ca="1">+INDEX(Charges_NonSlice!$AA$4:$AA$138,MATCH($A96,Charges_NonSlice!$AC$4:$AC$138,0),1)</f>
        <v>32.104400535547974</v>
      </c>
      <c r="W96" s="120">
        <f t="shared" ca="1" si="3"/>
        <v>31.698177349735928</v>
      </c>
      <c r="Y96" s="103" t="s">
        <v>42</v>
      </c>
      <c r="Z96" s="104">
        <v>36.744387605993474</v>
      </c>
    </row>
    <row r="97" spans="1:26">
      <c r="A97">
        <f t="shared" si="5"/>
        <v>93</v>
      </c>
      <c r="B97" s="112" t="str">
        <f ca="1">+INDEX('Charges_Including Slice and LS'!$C$4:$C$138,MATCH($A97,'Charges_Including Slice and LS'!$AC$4:$AC$138,0),1)</f>
        <v>Yakama Power</v>
      </c>
      <c r="C97" s="100">
        <f ca="1">+INDEX('Charges_Including Slice and LS'!$AB$4:$AB$138,MATCH($A97,'Charges_Including Slice and LS'!$AC$4:$AC$138,0),1)</f>
        <v>2.5119888888114339E-4</v>
      </c>
      <c r="D97" s="86">
        <f ca="1">+INDEX('Charges_Including Slice and LS'!$AA$4:$AA$138,MATCH($A97,'Charges_Including Slice and LS'!$AC$4:$AC$138,0),1)</f>
        <v>34.042414832553213</v>
      </c>
      <c r="E97" s="107">
        <f ca="1">+INDEX('Charges_Including Slice and LS'!$Z$4:$Z$138,MATCH($A97,'Charges_Including Slice and LS'!$AC$4:$AC$138,0),1)/1000</f>
        <v>156.48407721779199</v>
      </c>
      <c r="F97" s="107">
        <f ca="1">+SUM(E$5:E97)</f>
        <v>30847.972422790146</v>
      </c>
      <c r="H97" s="295" t="str">
        <f ca="1">+INDEX(Charges_NonSlice!$C$4:$C$138,MATCH($A97,Charges_NonSlice!$AC$4:$AC$138,0),1)</f>
        <v>Albion, City of</v>
      </c>
      <c r="I97" s="100">
        <f ca="1">+INDEX(Charges_NonSlice!$AB$4:$AB$138,MATCH($A97,Charges_NonSlice!$AC$4:$AC$138,0),1)</f>
        <v>3.6075574107837347E-3</v>
      </c>
      <c r="J97" s="129">
        <f ca="1">+INDEX(Charges_NonSlice!$AA$4:$AA$138,MATCH($A97,Charges_NonSlice!$AC$4:$AC$138,0),1)</f>
        <v>40.133402939051649</v>
      </c>
      <c r="K97" s="297">
        <f ca="1">+INDEX(Charges_NonSlice!$Z$4:$Z$138,MATCH($A97,Charges_NonSlice!$AC$4:$AC$138,0),1)/1000</f>
        <v>3.3893415747583999</v>
      </c>
      <c r="L97" s="107">
        <f ca="1">+SUM(K$5:K97)</f>
        <v>38639.67954411346</v>
      </c>
      <c r="N97" s="295" t="str">
        <f ca="1">+INDEX('Charges_NonSlice &amp; Excl LS'!$C$4:$C$138,MATCH($A97,'Charges_NonSlice &amp; Excl LS'!$AC$4:$AC$138,0),1)</f>
        <v>Riverside Elec Coop</v>
      </c>
      <c r="O97" s="100">
        <f ca="1">+INDEX('Charges_NonSlice &amp; Excl LS'!$AB$4:$AB$138,MATCH($A97,'Charges_NonSlice &amp; Excl LS'!$AC$4:$AC$138,0),1)</f>
        <v>5.1126578555765571E-3</v>
      </c>
      <c r="P97" s="129">
        <f ca="1">+INDEX('Charges_NonSlice &amp; Excl LS'!$AA$4:$AA$138,MATCH($A97,'Charges_NonSlice &amp; Excl LS'!$AC$4:$AC$138,0),1)</f>
        <v>33.30034114929996</v>
      </c>
      <c r="Q97" s="297">
        <f ca="1">+INDEX('Charges_NonSlice &amp; Excl LS'!$Z$4:$Z$138,MATCH($A97,'Charges_NonSlice &amp; Excl LS'!$AC$4:$AC$138,0),1)/1000</f>
        <v>20.732313305087999</v>
      </c>
      <c r="R97" s="107">
        <f ca="1">+SUM(Q$5:Q97)</f>
        <v>39204.69956428861</v>
      </c>
      <c r="T97" s="295" t="str">
        <f ca="1">+INDEX(Charges_NonSlice!$C$4:$C$138,MATCH($A97,Charges_NonSlice!$AC$4:$AC$138,0),1)</f>
        <v>Albion, City of</v>
      </c>
      <c r="U97" s="100">
        <f t="shared" ca="1" si="4"/>
        <v>-6.622665399606209E-3</v>
      </c>
      <c r="V97" s="129">
        <f ca="1">+INDEX(Charges_NonSlice!$AA$4:$AA$138,MATCH($A97,Charges_NonSlice!$AC$4:$AC$138,0),1)</f>
        <v>40.133402939051649</v>
      </c>
      <c r="W97" s="120">
        <f t="shared" ca="1" si="3"/>
        <v>40.400965012148305</v>
      </c>
      <c r="Y97" s="103" t="s">
        <v>22</v>
      </c>
      <c r="Z97" s="104">
        <v>35.54096242504626</v>
      </c>
    </row>
    <row r="98" spans="1:26">
      <c r="A98">
        <f t="shared" si="5"/>
        <v>94</v>
      </c>
      <c r="B98" s="112" t="str">
        <f ca="1">+INDEX('Charges_Including Slice and LS'!$C$4:$C$138,MATCH($A98,'Charges_Including Slice and LS'!$AC$4:$AC$138,0),1)</f>
        <v>Soda Springs, City of</v>
      </c>
      <c r="C98" s="100">
        <f ca="1">+INDEX('Charges_Including Slice and LS'!$AB$4:$AB$138,MATCH($A98,'Charges_Including Slice and LS'!$AC$4:$AC$138,0),1)</f>
        <v>2.0156725291988514E-4</v>
      </c>
      <c r="D98" s="86">
        <f ca="1">+INDEX('Charges_Including Slice and LS'!$AA$4:$AA$138,MATCH($A98,'Charges_Including Slice and LS'!$AC$4:$AC$138,0),1)</f>
        <v>38.07511866608332</v>
      </c>
      <c r="E98" s="107">
        <f ca="1">+INDEX('Charges_Including Slice and LS'!$Z$4:$Z$138,MATCH($A98,'Charges_Including Slice and LS'!$AC$4:$AC$138,0),1)/1000</f>
        <v>26.536463999999999</v>
      </c>
      <c r="F98" s="107">
        <f ca="1">+SUM(E$5:E98)</f>
        <v>30874.508886790147</v>
      </c>
      <c r="H98" s="295" t="str">
        <f ca="1">+INDEX(Charges_NonSlice!$C$4:$C$138,MATCH($A98,Charges_NonSlice!$AC$4:$AC$138,0),1)</f>
        <v>Missoula Elec Coop</v>
      </c>
      <c r="I98" s="100">
        <f ca="1">+INDEX(Charges_NonSlice!$AB$4:$AB$138,MATCH($A98,Charges_NonSlice!$AC$4:$AC$138,0),1)</f>
        <v>2.7019917545331607E-3</v>
      </c>
      <c r="J98" s="129">
        <f ca="1">+INDEX(Charges_NonSlice!$AA$4:$AA$138,MATCH($A98,Charges_NonSlice!$AC$4:$AC$138,0),1)</f>
        <v>36.502077992360441</v>
      </c>
      <c r="K98" s="297">
        <f ca="1">+INDEX(Charges_NonSlice!$Z$4:$Z$138,MATCH($A98,Charges_NonSlice!$AC$4:$AC$138,0),1)/1000</f>
        <v>235.78891200000001</v>
      </c>
      <c r="L98" s="107">
        <f ca="1">+SUM(K$5:K98)</f>
        <v>38875.468456113464</v>
      </c>
      <c r="N98" s="295" t="str">
        <f ca="1">+INDEX('Charges_NonSlice &amp; Excl LS'!$C$4:$C$138,MATCH($A98,'Charges_NonSlice &amp; Excl LS'!$AC$4:$AC$138,0),1)</f>
        <v>Ohop Mutual Light Company</v>
      </c>
      <c r="O98" s="100">
        <f ca="1">+INDEX('Charges_NonSlice &amp; Excl LS'!$AB$4:$AB$138,MATCH($A98,'Charges_NonSlice &amp; Excl LS'!$AC$4:$AC$138,0),1)</f>
        <v>4.9507739847089172E-3</v>
      </c>
      <c r="P98" s="129">
        <f ca="1">+INDEX('Charges_NonSlice &amp; Excl LS'!$AA$4:$AA$138,MATCH($A98,'Charges_NonSlice &amp; Excl LS'!$AC$4:$AC$138,0),1)</f>
        <v>35.568769367581659</v>
      </c>
      <c r="Q98" s="297">
        <f ca="1">+INDEX('Charges_NonSlice &amp; Excl LS'!$Z$4:$Z$138,MATCH($A98,'Charges_NonSlice &amp; Excl LS'!$AC$4:$AC$138,0),1)/1000</f>
        <v>86.310594795110404</v>
      </c>
      <c r="R98" s="107">
        <f ca="1">+SUM(Q$5:Q98)</f>
        <v>39291.010159083722</v>
      </c>
      <c r="T98" s="295" t="str">
        <f ca="1">+INDEX(Charges_NonSlice!$C$4:$C$138,MATCH($A98,Charges_NonSlice!$AC$4:$AC$138,0),1)</f>
        <v>Missoula Elec Coop</v>
      </c>
      <c r="U98" s="100">
        <f t="shared" ca="1" si="4"/>
        <v>1.5936592743422295E-2</v>
      </c>
      <c r="V98" s="129">
        <f ca="1">+INDEX(Charges_NonSlice!$AA$4:$AA$138,MATCH($A98,Charges_NonSlice!$AC$4:$AC$138,0),1)</f>
        <v>36.502077992360441</v>
      </c>
      <c r="W98" s="120">
        <f t="shared" ca="1" si="3"/>
        <v>35.929484431494579</v>
      </c>
      <c r="Y98" s="103" t="s">
        <v>107</v>
      </c>
      <c r="Z98" s="104">
        <v>32.836863672093827</v>
      </c>
    </row>
    <row r="99" spans="1:26">
      <c r="A99">
        <f t="shared" si="5"/>
        <v>95</v>
      </c>
      <c r="B99" s="112" t="str">
        <f ca="1">+INDEX('Charges_Including Slice and LS'!$C$4:$C$138,MATCH($A99,'Charges_Including Slice and LS'!$AC$4:$AC$138,0),1)</f>
        <v>Kootenai Electric Coop</v>
      </c>
      <c r="C99" s="100">
        <f ca="1">+INDEX('Charges_Including Slice and LS'!$AB$4:$AB$138,MATCH($A99,'Charges_Including Slice and LS'!$AC$4:$AC$138,0),1)</f>
        <v>-2.2240910303822119E-5</v>
      </c>
      <c r="D99" s="86">
        <f ca="1">+INDEX('Charges_Including Slice and LS'!$AA$4:$AA$138,MATCH($A99,'Charges_Including Slice and LS'!$AC$4:$AC$138,0),1)</f>
        <v>36.470574590178138</v>
      </c>
      <c r="E99" s="107">
        <f ca="1">+INDEX('Charges_Including Slice and LS'!$Z$4:$Z$138,MATCH($A99,'Charges_Including Slice and LS'!$AC$4:$AC$138,0),1)/1000</f>
        <v>445.60353600000002</v>
      </c>
      <c r="F99" s="107">
        <f ca="1">+SUM(E$5:E99)</f>
        <v>31320.112422790146</v>
      </c>
      <c r="H99" s="295" t="str">
        <f ca="1">+INDEX(Charges_NonSlice!$C$4:$C$138,MATCH($A99,Charges_NonSlice!$AC$4:$AC$138,0),1)</f>
        <v>Ravalli County Elec Coop</v>
      </c>
      <c r="I99" s="100">
        <f ca="1">+INDEX(Charges_NonSlice!$AB$4:$AB$138,MATCH($A99,Charges_NonSlice!$AC$4:$AC$138,0),1)</f>
        <v>2.6046285066632104E-3</v>
      </c>
      <c r="J99" s="129">
        <f ca="1">+INDEX(Charges_NonSlice!$AA$4:$AA$138,MATCH($A99,Charges_NonSlice!$AC$4:$AC$138,0),1)</f>
        <v>35.964108710912214</v>
      </c>
      <c r="K99" s="297">
        <f ca="1">+INDEX(Charges_NonSlice!$Z$4:$Z$138,MATCH($A99,Charges_NonSlice!$AC$4:$AC$138,0),1)/1000</f>
        <v>161.77492800000002</v>
      </c>
      <c r="L99" s="107">
        <f ca="1">+SUM(K$5:K99)</f>
        <v>39037.243384113463</v>
      </c>
      <c r="N99" s="295" t="str">
        <f ca="1">+INDEX('Charges_NonSlice &amp; Excl LS'!$C$4:$C$138,MATCH($A99,'Charges_NonSlice &amp; Excl LS'!$AC$4:$AC$138,0),1)</f>
        <v>Kittitas County PUD #1</v>
      </c>
      <c r="O99" s="100">
        <f ca="1">+INDEX('Charges_NonSlice &amp; Excl LS'!$AB$4:$AB$138,MATCH($A99,'Charges_NonSlice &amp; Excl LS'!$AC$4:$AC$138,0),1)</f>
        <v>4.6333138126292391E-3</v>
      </c>
      <c r="P99" s="129">
        <f ca="1">+INDEX('Charges_NonSlice &amp; Excl LS'!$AA$4:$AA$138,MATCH($A99,'Charges_NonSlice &amp; Excl LS'!$AC$4:$AC$138,0),1)</f>
        <v>36.409078273283157</v>
      </c>
      <c r="Q99" s="297">
        <f ca="1">+INDEX('Charges_NonSlice &amp; Excl LS'!$Z$4:$Z$138,MATCH($A99,'Charges_NonSlice &amp; Excl LS'!$AC$4:$AC$138,0),1)/1000</f>
        <v>84.774182291251179</v>
      </c>
      <c r="R99" s="107">
        <f ca="1">+SUM(Q$5:Q99)</f>
        <v>39375.784341374972</v>
      </c>
      <c r="T99" s="295" t="str">
        <f ca="1">+INDEX(Charges_NonSlice!$C$4:$C$138,MATCH($A99,Charges_NonSlice!$AC$4:$AC$138,0),1)</f>
        <v>Ravalli County Elec Coop</v>
      </c>
      <c r="U99" s="100">
        <f t="shared" ca="1" si="4"/>
        <v>1.8641495598304081E-2</v>
      </c>
      <c r="V99" s="129">
        <f ca="1">+INDEX(Charges_NonSlice!$AA$4:$AA$138,MATCH($A99,Charges_NonSlice!$AC$4:$AC$138,0),1)</f>
        <v>35.964108710912214</v>
      </c>
      <c r="W99" s="120">
        <f t="shared" ca="1" si="3"/>
        <v>35.305952944503325</v>
      </c>
      <c r="Y99" s="103" t="s">
        <v>140</v>
      </c>
      <c r="Z99" s="104">
        <v>31.538526730882552</v>
      </c>
    </row>
    <row r="100" spans="1:26">
      <c r="A100">
        <f t="shared" si="5"/>
        <v>96</v>
      </c>
      <c r="B100" s="112" t="str">
        <f ca="1">+INDEX('Charges_Including Slice and LS'!$C$4:$C$138,MATCH($A100,'Charges_Including Slice and LS'!$AC$4:$AC$138,0),1)</f>
        <v>Chewelah, City of</v>
      </c>
      <c r="C100" s="100">
        <f ca="1">+INDEX('Charges_Including Slice and LS'!$AB$4:$AB$138,MATCH($A100,'Charges_Including Slice and LS'!$AC$4:$AC$138,0),1)</f>
        <v>-6.3951061522836449E-4</v>
      </c>
      <c r="D100" s="86">
        <f ca="1">+INDEX('Charges_Including Slice and LS'!$AA$4:$AA$138,MATCH($A100,'Charges_Including Slice and LS'!$AC$4:$AC$138,0),1)</f>
        <v>37.690811902373312</v>
      </c>
      <c r="E100" s="107">
        <f ca="1">+INDEX('Charges_Including Slice and LS'!$Z$4:$Z$138,MATCH($A100,'Charges_Including Slice and LS'!$AC$4:$AC$138,0),1)/1000</f>
        <v>22.6714950864896</v>
      </c>
      <c r="F100" s="107">
        <f ca="1">+SUM(E$5:E100)</f>
        <v>31342.783917876633</v>
      </c>
      <c r="H100" s="295" t="str">
        <f ca="1">+INDEX(Charges_NonSlice!$C$4:$C$138,MATCH($A100,Charges_NonSlice!$AC$4:$AC$138,0),1)</f>
        <v>Elmhurst Mutual P &amp; L</v>
      </c>
      <c r="I100" s="100">
        <f ca="1">+INDEX(Charges_NonSlice!$AB$4:$AB$138,MATCH($A100,Charges_NonSlice!$AC$4:$AC$138,0),1)</f>
        <v>2.2956924844997994E-3</v>
      </c>
      <c r="J100" s="129">
        <f ca="1">+INDEX(Charges_NonSlice!$AA$4:$AA$138,MATCH($A100,Charges_NonSlice!$AC$4:$AC$138,0),1)</f>
        <v>39.041776488620023</v>
      </c>
      <c r="K100" s="297">
        <f ca="1">+INDEX(Charges_NonSlice!$Z$4:$Z$138,MATCH($A100,Charges_NonSlice!$AC$4:$AC$138,0),1)/1000</f>
        <v>281.67652800000002</v>
      </c>
      <c r="L100" s="107">
        <f ca="1">+SUM(K$5:K100)</f>
        <v>39318.919912113466</v>
      </c>
      <c r="N100" s="295" t="str">
        <f ca="1">+INDEX('Charges_NonSlice &amp; Excl LS'!$C$4:$C$138,MATCH($A100,'Charges_NonSlice &amp; Excl LS'!$AC$4:$AC$138,0),1)</f>
        <v>Albion, City of</v>
      </c>
      <c r="O100" s="100">
        <f ca="1">+INDEX('Charges_NonSlice &amp; Excl LS'!$AB$4:$AB$138,MATCH($A100,'Charges_NonSlice &amp; Excl LS'!$AC$4:$AC$138,0),1)</f>
        <v>2.9262638632089181E-3</v>
      </c>
      <c r="P100" s="129">
        <f ca="1">+INDEX('Charges_NonSlice &amp; Excl LS'!$AA$4:$AA$138,MATCH($A100,'Charges_NonSlice &amp; Excl LS'!$AC$4:$AC$138,0),1)</f>
        <v>39.241063995708146</v>
      </c>
      <c r="Q100" s="297">
        <f ca="1">+INDEX('Charges_NonSlice &amp; Excl LS'!$Z$4:$Z$138,MATCH($A100,'Charges_NonSlice &amp; Excl LS'!$AC$4:$AC$138,0),1)/1000</f>
        <v>3.3813415747583999</v>
      </c>
      <c r="R100" s="107">
        <f ca="1">+SUM(Q$5:Q100)</f>
        <v>39379.16568294973</v>
      </c>
      <c r="T100" s="295" t="str">
        <f ca="1">+INDEX(Charges_NonSlice!$C$4:$C$138,MATCH($A100,Charges_NonSlice!$AC$4:$AC$138,0),1)</f>
        <v>Elmhurst Mutual P &amp; L</v>
      </c>
      <c r="U100" s="100">
        <f t="shared" ca="1" si="4"/>
        <v>1.2439793938709309E-2</v>
      </c>
      <c r="V100" s="129">
        <f ca="1">+INDEX(Charges_NonSlice!$AA$4:$AA$138,MATCH($A100,Charges_NonSlice!$AC$4:$AC$138,0),1)</f>
        <v>39.041776488620023</v>
      </c>
      <c r="W100" s="120">
        <f t="shared" ca="1" si="3"/>
        <v>38.562072255906919</v>
      </c>
      <c r="Y100" s="103" t="s">
        <v>57</v>
      </c>
      <c r="Z100" s="104">
        <v>34.310895412611146</v>
      </c>
    </row>
    <row r="101" spans="1:26">
      <c r="A101">
        <f t="shared" si="5"/>
        <v>97</v>
      </c>
      <c r="B101" s="112" t="str">
        <f ca="1">+INDEX('Charges_Including Slice and LS'!$C$4:$C$138,MATCH($A101,'Charges_Including Slice and LS'!$AC$4:$AC$138,0),1)</f>
        <v>Farmers Elec Coop</v>
      </c>
      <c r="C101" s="100">
        <f ca="1">+INDEX('Charges_Including Slice and LS'!$AB$4:$AB$138,MATCH($A101,'Charges_Including Slice and LS'!$AC$4:$AC$138,0),1)</f>
        <v>-8.2714252798577902E-4</v>
      </c>
      <c r="D101" s="86">
        <f ca="1">+INDEX('Charges_Including Slice and LS'!$AA$4:$AA$138,MATCH($A101,'Charges_Including Slice and LS'!$AC$4:$AC$138,0),1)</f>
        <v>38.614113127218587</v>
      </c>
      <c r="E101" s="107">
        <f ca="1">+INDEX('Charges_Including Slice and LS'!$Z$4:$Z$138,MATCH($A101,'Charges_Including Slice and LS'!$AC$4:$AC$138,0),1)/1000</f>
        <v>4.3675945892864005</v>
      </c>
      <c r="F101" s="107">
        <f ca="1">+SUM(E$5:E101)</f>
        <v>31347.15151246592</v>
      </c>
      <c r="H101" s="295" t="str">
        <f ca="1">+INDEX(Charges_NonSlice!$C$4:$C$138,MATCH($A101,Charges_NonSlice!$AC$4:$AC$138,0),1)</f>
        <v>Inland P &amp; L</v>
      </c>
      <c r="I101" s="100">
        <f ca="1">+INDEX(Charges_NonSlice!$AB$4:$AB$138,MATCH($A101,Charges_NonSlice!$AC$4:$AC$138,0),1)</f>
        <v>2.1949266170132199E-3</v>
      </c>
      <c r="J101" s="129">
        <f ca="1">+INDEX(Charges_NonSlice!$AA$4:$AA$138,MATCH($A101,Charges_NonSlice!$AC$4:$AC$138,0),1)</f>
        <v>35.410060047203451</v>
      </c>
      <c r="K101" s="297">
        <f ca="1">+INDEX(Charges_NonSlice!$Z$4:$Z$138,MATCH($A101,Charges_NonSlice!$AC$4:$AC$138,0),1)/1000</f>
        <v>916.4773140490239</v>
      </c>
      <c r="L101" s="107">
        <f ca="1">+SUM(K$5:K101)</f>
        <v>40235.397226162488</v>
      </c>
      <c r="N101" s="295" t="str">
        <f ca="1">+INDEX('Charges_NonSlice &amp; Excl LS'!$C$4:$C$138,MATCH($A101,'Charges_NonSlice &amp; Excl LS'!$AC$4:$AC$138,0),1)</f>
        <v>Ravalli County Elec Coop</v>
      </c>
      <c r="O101" s="100">
        <f ca="1">+INDEX('Charges_NonSlice &amp; Excl LS'!$AB$4:$AB$138,MATCH($A101,'Charges_NonSlice &amp; Excl LS'!$AC$4:$AC$138,0),1)</f>
        <v>2.6126320521155217E-3</v>
      </c>
      <c r="P101" s="129">
        <f ca="1">+INDEX('Charges_NonSlice &amp; Excl LS'!$AA$4:$AA$138,MATCH($A101,'Charges_NonSlice &amp; Excl LS'!$AC$4:$AC$138,0),1)</f>
        <v>35.499038086721065</v>
      </c>
      <c r="Q101" s="297">
        <f ca="1">+INDEX('Charges_NonSlice &amp; Excl LS'!$Z$4:$Z$138,MATCH($A101,'Charges_NonSlice &amp; Excl LS'!$AC$4:$AC$138,0),1)/1000</f>
        <v>160.59521380700158</v>
      </c>
      <c r="R101" s="107">
        <f ca="1">+SUM(Q$5:Q101)</f>
        <v>39539.760896756728</v>
      </c>
      <c r="T101" s="295" t="str">
        <f ca="1">+INDEX(Charges_NonSlice!$C$4:$C$138,MATCH($A101,Charges_NonSlice!$AC$4:$AC$138,0),1)</f>
        <v>Inland P &amp; L</v>
      </c>
      <c r="U101" s="100">
        <f t="shared" ca="1" si="4"/>
        <v>8.3163851287004764E-3</v>
      </c>
      <c r="V101" s="129">
        <f ca="1">+INDEX(Charges_NonSlice!$AA$4:$AA$138,MATCH($A101,Charges_NonSlice!$AC$4:$AC$138,0),1)</f>
        <v>35.410060047203451</v>
      </c>
      <c r="W101" s="120">
        <f t="shared" ca="1" si="3"/>
        <v>35.118005191082709</v>
      </c>
      <c r="Y101" s="103" t="s">
        <v>10</v>
      </c>
      <c r="Z101" s="104">
        <v>31.878506180887154</v>
      </c>
    </row>
    <row r="102" spans="1:26">
      <c r="A102">
        <f t="shared" si="5"/>
        <v>98</v>
      </c>
      <c r="B102" s="112" t="str">
        <f ca="1">+INDEX('Charges_Including Slice and LS'!$C$4:$C$138,MATCH($A102,'Charges_Including Slice and LS'!$AC$4:$AC$138,0),1)</f>
        <v>Lower Valley Energy</v>
      </c>
      <c r="C102" s="100">
        <f ca="1">+INDEX('Charges_Including Slice and LS'!$AB$4:$AB$138,MATCH($A102,'Charges_Including Slice and LS'!$AC$4:$AC$138,0),1)</f>
        <v>-1.1233507103566727E-3</v>
      </c>
      <c r="D102" s="86">
        <f ca="1">+INDEX('Charges_Including Slice and LS'!$AA$4:$AA$138,MATCH($A102,'Charges_Including Slice and LS'!$AC$4:$AC$138,0),1)</f>
        <v>36.544541848345965</v>
      </c>
      <c r="E102" s="107">
        <f ca="1">+INDEX('Charges_Including Slice and LS'!$Z$4:$Z$138,MATCH($A102,'Charges_Including Slice and LS'!$AC$4:$AC$138,0),1)/1000</f>
        <v>751.7509782436864</v>
      </c>
      <c r="F102" s="107">
        <f ca="1">+SUM(E$5:E102)</f>
        <v>32098.902490709606</v>
      </c>
      <c r="H102" s="295" t="str">
        <f ca="1">+INDEX(Charges_NonSlice!$C$4:$C$138,MATCH($A102,Charges_NonSlice!$AC$4:$AC$138,0),1)</f>
        <v>Northern Wasco County PUD</v>
      </c>
      <c r="I102" s="100">
        <f ca="1">+INDEX(Charges_NonSlice!$AB$4:$AB$138,MATCH($A102,Charges_NonSlice!$AC$4:$AC$138,0),1)</f>
        <v>1.9796436631541346E-3</v>
      </c>
      <c r="J102" s="129">
        <f ca="1">+INDEX(Charges_NonSlice!$AA$4:$AA$138,MATCH($A102,Charges_NonSlice!$AC$4:$AC$138,0),1)</f>
        <v>35.607135465619734</v>
      </c>
      <c r="K102" s="297">
        <f ca="1">+INDEX(Charges_NonSlice!$Z$4:$Z$138,MATCH($A102,Charges_NonSlice!$AC$4:$AC$138,0),1)/1000</f>
        <v>565.88284799999997</v>
      </c>
      <c r="L102" s="107">
        <f ca="1">+SUM(K$5:K102)</f>
        <v>40801.280074162489</v>
      </c>
      <c r="N102" s="295" t="str">
        <f ca="1">+INDEX('Charges_NonSlice &amp; Excl LS'!$C$4:$C$138,MATCH($A102,'Charges_NonSlice &amp; Excl LS'!$AC$4:$AC$138,0),1)</f>
        <v>Glacier Elec  Coop</v>
      </c>
      <c r="O102" s="100">
        <f ca="1">+INDEX('Charges_NonSlice &amp; Excl LS'!$AB$4:$AB$138,MATCH($A102,'Charges_NonSlice &amp; Excl LS'!$AC$4:$AC$138,0),1)</f>
        <v>2.2806653540230785E-3</v>
      </c>
      <c r="P102" s="129">
        <f ca="1">+INDEX('Charges_NonSlice &amp; Excl LS'!$AA$4:$AA$138,MATCH($A102,'Charges_NonSlice &amp; Excl LS'!$AC$4:$AC$138,0),1)</f>
        <v>35.002893476903665</v>
      </c>
      <c r="Q102" s="297">
        <f ca="1">+INDEX('Charges_NonSlice &amp; Excl LS'!$Z$4:$Z$138,MATCH($A102,'Charges_NonSlice &amp; Excl LS'!$AC$4:$AC$138,0),1)/1000</f>
        <v>156.42406982062082</v>
      </c>
      <c r="R102" s="107">
        <f ca="1">+SUM(Q$5:Q102)</f>
        <v>39696.184966577348</v>
      </c>
      <c r="T102" s="295" t="str">
        <f ca="1">+INDEX(Charges_NonSlice!$C$4:$C$138,MATCH($A102,Charges_NonSlice!$AC$4:$AC$138,0),1)</f>
        <v>Northern Wasco County PUD</v>
      </c>
      <c r="U102" s="100">
        <f t="shared" ca="1" si="4"/>
        <v>6.9043079844819388E-3</v>
      </c>
      <c r="V102" s="129">
        <f ca="1">+INDEX(Charges_NonSlice!$AA$4:$AA$138,MATCH($A102,Charges_NonSlice!$AC$4:$AC$138,0),1)</f>
        <v>35.607135465619734</v>
      </c>
      <c r="W102" s="120">
        <f t="shared" ca="1" si="3"/>
        <v>35.362978570321602</v>
      </c>
      <c r="Y102" s="103" t="s">
        <v>78</v>
      </c>
      <c r="Z102" s="104">
        <v>33.260239333102191</v>
      </c>
    </row>
    <row r="103" spans="1:26">
      <c r="A103">
        <f t="shared" si="5"/>
        <v>99</v>
      </c>
      <c r="B103" s="112" t="str">
        <f ca="1">+INDEX('Charges_Including Slice and LS'!$C$4:$C$138,MATCH($A103,'Charges_Including Slice and LS'!$AC$4:$AC$138,0),1)</f>
        <v>Southside Elec Lines</v>
      </c>
      <c r="C103" s="100">
        <f ca="1">+INDEX('Charges_Including Slice and LS'!$AB$4:$AB$138,MATCH($A103,'Charges_Including Slice and LS'!$AC$4:$AC$138,0),1)</f>
        <v>-1.1674858288077683E-3</v>
      </c>
      <c r="D103" s="86">
        <f ca="1">+INDEX('Charges_Including Slice and LS'!$AA$4:$AA$138,MATCH($A103,'Charges_Including Slice and LS'!$AC$4:$AC$138,0),1)</f>
        <v>30.972723209454827</v>
      </c>
      <c r="E103" s="107">
        <f ca="1">+INDEX('Charges_Including Slice and LS'!$Z$4:$Z$138,MATCH($A103,'Charges_Including Slice and LS'!$AC$4:$AC$138,0),1)/1000</f>
        <v>59.107536000000003</v>
      </c>
      <c r="F103" s="107">
        <f ca="1">+SUM(E$5:E103)</f>
        <v>32158.010026709606</v>
      </c>
      <c r="H103" s="295" t="str">
        <f ca="1">+INDEX(Charges_NonSlice!$C$4:$C$138,MATCH($A103,Charges_NonSlice!$AC$4:$AC$138,0),1)</f>
        <v>Glacier Elec  Coop</v>
      </c>
      <c r="I103" s="100">
        <f ca="1">+INDEX(Charges_NonSlice!$AB$4:$AB$138,MATCH($A103,Charges_NonSlice!$AC$4:$AC$138,0),1)</f>
        <v>1.9057981549505671E-3</v>
      </c>
      <c r="J103" s="129">
        <f ca="1">+INDEX(Charges_NonSlice!$AA$4:$AA$138,MATCH($A103,Charges_NonSlice!$AC$4:$AC$138,0),1)</f>
        <v>35.307972134791413</v>
      </c>
      <c r="K103" s="297">
        <f ca="1">+INDEX(Charges_NonSlice!$Z$4:$Z$138,MATCH($A103,Charges_NonSlice!$AC$4:$AC$138,0),1)/1000</f>
        <v>157.04806982062081</v>
      </c>
      <c r="L103" s="107">
        <f ca="1">+SUM(K$5:K103)</f>
        <v>40958.328143983112</v>
      </c>
      <c r="N103" s="295" t="str">
        <f ca="1">+INDEX('Charges_NonSlice &amp; Excl LS'!$C$4:$C$138,MATCH($A103,'Charges_NonSlice &amp; Excl LS'!$AC$4:$AC$138,0),1)</f>
        <v>Missoula Elec Coop</v>
      </c>
      <c r="O103" s="100">
        <f ca="1">+INDEX('Charges_NonSlice &amp; Excl LS'!$AB$4:$AB$138,MATCH($A103,'Charges_NonSlice &amp; Excl LS'!$AC$4:$AC$138,0),1)</f>
        <v>2.0656928630825768E-3</v>
      </c>
      <c r="P103" s="129">
        <f ca="1">+INDEX('Charges_NonSlice &amp; Excl LS'!$AA$4:$AA$138,MATCH($A103,'Charges_NonSlice &amp; Excl LS'!$AC$4:$AC$138,0),1)</f>
        <v>35.976340972587387</v>
      </c>
      <c r="Q103" s="297">
        <f ca="1">+INDEX('Charges_NonSlice &amp; Excl LS'!$Z$4:$Z$138,MATCH($A103,'Charges_NonSlice &amp; Excl LS'!$AC$4:$AC$138,0),1)/1000</f>
        <v>235.78687152599039</v>
      </c>
      <c r="R103" s="107">
        <f ca="1">+SUM(Q$5:Q103)</f>
        <v>39931.971838103338</v>
      </c>
      <c r="T103" s="295" t="str">
        <f ca="1">+INDEX(Charges_NonSlice!$C$4:$C$138,MATCH($A103,Charges_NonSlice!$AC$4:$AC$138,0),1)</f>
        <v>Glacier Elec  Coop</v>
      </c>
      <c r="U103" s="100">
        <f t="shared" ca="1" si="4"/>
        <v>5.0433909826408385E-3</v>
      </c>
      <c r="V103" s="129">
        <f ca="1">+INDEX(Charges_NonSlice!$AA$4:$AA$138,MATCH($A103,Charges_NonSlice!$AC$4:$AC$138,0),1)</f>
        <v>35.307972134791413</v>
      </c>
      <c r="W103" s="120">
        <f t="shared" ca="1" si="3"/>
        <v>35.130793806096733</v>
      </c>
      <c r="Y103" s="103" t="s">
        <v>122</v>
      </c>
      <c r="Z103" s="104">
        <v>32.745443194520838</v>
      </c>
    </row>
    <row r="104" spans="1:26">
      <c r="A104">
        <f t="shared" si="5"/>
        <v>100</v>
      </c>
      <c r="B104" s="112" t="str">
        <f ca="1">+INDEX('Charges_Including Slice and LS'!$C$4:$C$138,MATCH($A104,'Charges_Including Slice and LS'!$AC$4:$AC$138,0),1)</f>
        <v>Weiser, City of</v>
      </c>
      <c r="C104" s="100">
        <f ca="1">+INDEX('Charges_Including Slice and LS'!$AB$4:$AB$138,MATCH($A104,'Charges_Including Slice and LS'!$AC$4:$AC$138,0),1)</f>
        <v>-2.1176413108923153E-3</v>
      </c>
      <c r="D104" s="86">
        <f ca="1">+INDEX('Charges_Including Slice and LS'!$AA$4:$AA$138,MATCH($A104,'Charges_Including Slice and LS'!$AC$4:$AC$138,0),1)</f>
        <v>37.411460869660019</v>
      </c>
      <c r="E104" s="107">
        <f ca="1">+INDEX('Charges_Including Slice and LS'!$Z$4:$Z$138,MATCH($A104,'Charges_Including Slice and LS'!$AC$4:$AC$138,0),1)/1000</f>
        <v>55.295279999999998</v>
      </c>
      <c r="F104" s="107">
        <f ca="1">+SUM(E$5:E104)</f>
        <v>32213.305306709604</v>
      </c>
      <c r="H104" s="295" t="str">
        <f ca="1">+INDEX(Charges_NonSlice!$C$4:$C$138,MATCH($A104,Charges_NonSlice!$AC$4:$AC$138,0),1)</f>
        <v>Riverside Elec Coop</v>
      </c>
      <c r="I104" s="100">
        <f ca="1">+INDEX(Charges_NonSlice!$AB$4:$AB$138,MATCH($A104,Charges_NonSlice!$AC$4:$AC$138,0),1)</f>
        <v>1.7181665740033381E-3</v>
      </c>
      <c r="J104" s="129">
        <f ca="1">+INDEX(Charges_NonSlice!$AA$4:$AA$138,MATCH($A104,Charges_NonSlice!$AC$4:$AC$138,0),1)</f>
        <v>32.934081160212095</v>
      </c>
      <c r="K104" s="297">
        <f ca="1">+INDEX(Charges_NonSlice!$Z$4:$Z$138,MATCH($A104,Charges_NonSlice!$AC$4:$AC$138,0),1)/1000</f>
        <v>20.730239999999998</v>
      </c>
      <c r="L104" s="107">
        <f ca="1">+SUM(K$5:K104)</f>
        <v>40979.058383983109</v>
      </c>
      <c r="N104" s="295" t="str">
        <f ca="1">+INDEX('Charges_NonSlice &amp; Excl LS'!$C$4:$C$138,MATCH($A104,'Charges_NonSlice &amp; Excl LS'!$AC$4:$AC$138,0),1)</f>
        <v>Inland P &amp; L</v>
      </c>
      <c r="O104" s="100">
        <f ca="1">+INDEX('Charges_NonSlice &amp; Excl LS'!$AB$4:$AB$138,MATCH($A104,'Charges_NonSlice &amp; Excl LS'!$AC$4:$AC$138,0),1)</f>
        <v>1.9099805321766924E-3</v>
      </c>
      <c r="P104" s="129">
        <f ca="1">+INDEX('Charges_NonSlice &amp; Excl LS'!$AA$4:$AA$138,MATCH($A104,'Charges_NonSlice &amp; Excl LS'!$AC$4:$AC$138,0),1)</f>
        <v>35.01434123938904</v>
      </c>
      <c r="Q104" s="297">
        <f ca="1">+INDEX('Charges_NonSlice &amp; Excl LS'!$Z$4:$Z$138,MATCH($A104,'Charges_NonSlice &amp; Excl LS'!$AC$4:$AC$138,0),1)/1000</f>
        <v>916.47931404902386</v>
      </c>
      <c r="R104" s="107">
        <f ca="1">+SUM(Q$5:Q104)</f>
        <v>40848.45115215236</v>
      </c>
      <c r="T104" s="295" t="str">
        <f ca="1">+INDEX(Charges_NonSlice!$C$4:$C$138,MATCH($A104,Charges_NonSlice!$AC$4:$AC$138,0),1)</f>
        <v>Riverside Elec Coop</v>
      </c>
      <c r="U104" s="100">
        <f t="shared" ca="1" si="4"/>
        <v>2.9606203896046512E-3</v>
      </c>
      <c r="V104" s="129">
        <f ca="1">+INDEX(Charges_NonSlice!$AA$4:$AA$138,MATCH($A104,Charges_NonSlice!$AC$4:$AC$138,0),1)</f>
        <v>32.934081160212095</v>
      </c>
      <c r="W104" s="120">
        <f t="shared" ca="1" si="3"/>
        <v>32.836863672093827</v>
      </c>
      <c r="Y104" s="103" t="s">
        <v>131</v>
      </c>
      <c r="Z104" s="104">
        <v>33.943446955705518</v>
      </c>
    </row>
    <row r="105" spans="1:26">
      <c r="A105">
        <f t="shared" si="5"/>
        <v>101</v>
      </c>
      <c r="B105" s="112" t="str">
        <f ca="1">+INDEX('Charges_Including Slice and LS'!$C$4:$C$138,MATCH($A105,'Charges_Including Slice and LS'!$AC$4:$AC$138,0),1)</f>
        <v>Columbia Basin Elec Coop</v>
      </c>
      <c r="C105" s="100">
        <f ca="1">+INDEX('Charges_Including Slice and LS'!$AB$4:$AB$138,MATCH($A105,'Charges_Including Slice and LS'!$AC$4:$AC$138,0),1)</f>
        <v>-2.4082329550985273E-3</v>
      </c>
      <c r="D105" s="86">
        <f ca="1">+INDEX('Charges_Including Slice and LS'!$AA$4:$AA$138,MATCH($A105,'Charges_Including Slice and LS'!$AC$4:$AC$138,0),1)</f>
        <v>33.851852502480007</v>
      </c>
      <c r="E105" s="107">
        <f ca="1">+INDEX('Charges_Including Slice and LS'!$Z$4:$Z$138,MATCH($A105,'Charges_Including Slice and LS'!$AC$4:$AC$138,0),1)/1000</f>
        <v>103.659885808128</v>
      </c>
      <c r="F105" s="107">
        <f ca="1">+SUM(E$5:E105)</f>
        <v>32316.965192517731</v>
      </c>
      <c r="H105" s="295" t="str">
        <f ca="1">+INDEX(Charges_NonSlice!$C$4:$C$138,MATCH($A105,Charges_NonSlice!$AC$4:$AC$138,0),1)</f>
        <v>East End Mutual Electric</v>
      </c>
      <c r="I105" s="100">
        <f ca="1">+INDEX(Charges_NonSlice!$AB$4:$AB$138,MATCH($A105,Charges_NonSlice!$AC$4:$AC$138,0),1)</f>
        <v>1.0245165079750004E-3</v>
      </c>
      <c r="J105" s="129">
        <f ca="1">+INDEX(Charges_NonSlice!$AA$4:$AA$138,MATCH($A105,Charges_NonSlice!$AC$4:$AC$138,0),1)</f>
        <v>33.633120545996753</v>
      </c>
      <c r="K105" s="297">
        <f ca="1">+INDEX(Charges_NonSlice!$Z$4:$Z$138,MATCH($A105,Charges_NonSlice!$AC$4:$AC$138,0),1)/1000</f>
        <v>23.479632000000002</v>
      </c>
      <c r="L105" s="107">
        <f ca="1">+SUM(K$5:K105)</f>
        <v>41002.538015983111</v>
      </c>
      <c r="N105" s="295" t="str">
        <f ca="1">+INDEX('Charges_NonSlice &amp; Excl LS'!$C$4:$C$138,MATCH($A105,'Charges_NonSlice &amp; Excl LS'!$AC$4:$AC$138,0),1)</f>
        <v>Vigilante Elec Coop</v>
      </c>
      <c r="O105" s="100">
        <f ca="1">+INDEX('Charges_NonSlice &amp; Excl LS'!$AB$4:$AB$138,MATCH($A105,'Charges_NonSlice &amp; Excl LS'!$AC$4:$AC$138,0),1)</f>
        <v>1.8423173934386749E-3</v>
      </c>
      <c r="P105" s="129">
        <f ca="1">+INDEX('Charges_NonSlice &amp; Excl LS'!$AA$4:$AA$138,MATCH($A105,'Charges_NonSlice &amp; Excl LS'!$AC$4:$AC$138,0),1)</f>
        <v>32.39729342594169</v>
      </c>
      <c r="Q105" s="297">
        <f ca="1">+INDEX('Charges_NonSlice &amp; Excl LS'!$Z$4:$Z$138,MATCH($A105,'Charges_NonSlice &amp; Excl LS'!$AC$4:$AC$138,0),1)/1000</f>
        <v>167.34555629383678</v>
      </c>
      <c r="R105" s="107">
        <f ca="1">+SUM(Q$5:Q105)</f>
        <v>41015.7967084462</v>
      </c>
      <c r="T105" s="295" t="str">
        <f ca="1">+INDEX(Charges_NonSlice!$C$4:$C$138,MATCH($A105,Charges_NonSlice!$AC$4:$AC$138,0),1)</f>
        <v>East End Mutual Electric</v>
      </c>
      <c r="U105" s="100">
        <f t="shared" ca="1" si="4"/>
        <v>-1.9753925348309997E-2</v>
      </c>
      <c r="V105" s="129">
        <f ca="1">+INDEX(Charges_NonSlice!$AA$4:$AA$138,MATCH($A105,Charges_NonSlice!$AC$4:$AC$138,0),1)</f>
        <v>33.633120545996753</v>
      </c>
      <c r="W105" s="120">
        <f t="shared" ca="1" si="3"/>
        <v>34.310895412611146</v>
      </c>
      <c r="Y105" s="103" t="s">
        <v>137</v>
      </c>
      <c r="Z105" s="104">
        <v>36.98944168423499</v>
      </c>
    </row>
    <row r="106" spans="1:26">
      <c r="A106">
        <f t="shared" si="5"/>
        <v>102</v>
      </c>
      <c r="B106" s="112" t="str">
        <f ca="1">+INDEX('Charges_Including Slice and LS'!$C$4:$C$138,MATCH($A106,'Charges_Including Slice and LS'!$AC$4:$AC$138,0),1)</f>
        <v>Tanner Elec Coop</v>
      </c>
      <c r="C106" s="100">
        <f ca="1">+INDEX('Charges_Including Slice and LS'!$AB$4:$AB$138,MATCH($A106,'Charges_Including Slice and LS'!$AC$4:$AC$138,0),1)</f>
        <v>-3.7584658951493877E-3</v>
      </c>
      <c r="D106" s="86">
        <f ca="1">+INDEX('Charges_Including Slice and LS'!$AA$4:$AA$138,MATCH($A106,'Charges_Including Slice and LS'!$AC$4:$AC$138,0),1)</f>
        <v>36.539701513377402</v>
      </c>
      <c r="E106" s="107">
        <f ca="1">+INDEX('Charges_Including Slice and LS'!$Z$4:$Z$138,MATCH($A106,'Charges_Including Slice and LS'!$AC$4:$AC$138,0),1)/1000</f>
        <v>96.39561599999999</v>
      </c>
      <c r="F106" s="107">
        <f ca="1">+SUM(E$5:E106)</f>
        <v>32413.360808517733</v>
      </c>
      <c r="H106" s="295" t="str">
        <f ca="1">+INDEX(Charges_NonSlice!$C$4:$C$138,MATCH($A106,Charges_NonSlice!$AC$4:$AC$138,0),1)</f>
        <v>Troy, City of</v>
      </c>
      <c r="I106" s="100">
        <f ca="1">+INDEX(Charges_NonSlice!$AB$4:$AB$138,MATCH($A106,Charges_NonSlice!$AC$4:$AC$138,0),1)</f>
        <v>9.4529240094381811E-4</v>
      </c>
      <c r="J106" s="129">
        <f ca="1">+INDEX(Charges_NonSlice!$AA$4:$AA$138,MATCH($A106,Charges_NonSlice!$AC$4:$AC$138,0),1)</f>
        <v>38.466252577974693</v>
      </c>
      <c r="K106" s="297">
        <f ca="1">+INDEX(Charges_NonSlice!$Z$4:$Z$138,MATCH($A106,Charges_NonSlice!$AC$4:$AC$138,0),1)/1000</f>
        <v>17.664658628710399</v>
      </c>
      <c r="L106" s="107">
        <f ca="1">+SUM(K$5:K106)</f>
        <v>41020.202674611821</v>
      </c>
      <c r="N106" s="295" t="str">
        <f ca="1">+INDEX('Charges_NonSlice &amp; Excl LS'!$C$4:$C$138,MATCH($A106,'Charges_NonSlice &amp; Excl LS'!$AC$4:$AC$138,0),1)</f>
        <v>Northern Wasco County PUD</v>
      </c>
      <c r="O106" s="100">
        <f ca="1">+INDEX('Charges_NonSlice &amp; Excl LS'!$AB$4:$AB$138,MATCH($A106,'Charges_NonSlice &amp; Excl LS'!$AC$4:$AC$138,0),1)</f>
        <v>1.3020622169826132E-3</v>
      </c>
      <c r="P106" s="129">
        <f ca="1">+INDEX('Charges_NonSlice &amp; Excl LS'!$AA$4:$AA$138,MATCH($A106,'Charges_NonSlice &amp; Excl LS'!$AC$4:$AC$138,0),1)</f>
        <v>35.293311393709104</v>
      </c>
      <c r="Q106" s="297">
        <f ca="1">+INDEX('Charges_NonSlice &amp; Excl LS'!$Z$4:$Z$138,MATCH($A106,'Charges_NonSlice &amp; Excl LS'!$AC$4:$AC$138,0),1)/1000</f>
        <v>565.88108726476798</v>
      </c>
      <c r="R106" s="107">
        <f ca="1">+SUM(Q$5:Q106)</f>
        <v>41581.677795710966</v>
      </c>
      <c r="T106" s="295" t="str">
        <f ca="1">+INDEX(Charges_NonSlice!$C$4:$C$138,MATCH($A106,Charges_NonSlice!$AC$4:$AC$138,0),1)</f>
        <v>Troy, City of</v>
      </c>
      <c r="U106" s="100">
        <f t="shared" ca="1" si="4"/>
        <v>8.5376440393316599E-3</v>
      </c>
      <c r="V106" s="129">
        <f ca="1">+INDEX(Charges_NonSlice!$AA$4:$AA$138,MATCH($A106,Charges_NonSlice!$AC$4:$AC$138,0),1)</f>
        <v>38.466252577974693</v>
      </c>
      <c r="W106" s="120">
        <f t="shared" ca="1" si="3"/>
        <v>38.14062152793035</v>
      </c>
      <c r="Y106" s="103" t="s">
        <v>75</v>
      </c>
      <c r="Z106" s="104">
        <v>32.949123231166283</v>
      </c>
    </row>
    <row r="107" spans="1:26">
      <c r="A107">
        <f t="shared" si="5"/>
        <v>103</v>
      </c>
      <c r="B107" s="112" t="str">
        <f ca="1">+INDEX('Charges_Including Slice and LS'!$C$4:$C$138,MATCH($A107,'Charges_Including Slice and LS'!$AC$4:$AC$138,0),1)</f>
        <v>Asotin County PUD #1</v>
      </c>
      <c r="C107" s="100">
        <f ca="1">+INDEX('Charges_Including Slice and LS'!$AB$4:$AB$138,MATCH($A107,'Charges_Including Slice and LS'!$AC$4:$AC$138,0),1)</f>
        <v>-4.0934677881377737E-3</v>
      </c>
      <c r="D107" s="86">
        <f ca="1">+INDEX('Charges_Including Slice and LS'!$AA$4:$AA$138,MATCH($A107,'Charges_Including Slice and LS'!$AC$4:$AC$138,0),1)</f>
        <v>41.688810818955254</v>
      </c>
      <c r="E107" s="107">
        <f ca="1">+INDEX('Charges_Including Slice and LS'!$Z$4:$Z$138,MATCH($A107,'Charges_Including Slice and LS'!$AC$4:$AC$138,0),1)/1000</f>
        <v>5.0068799999999989</v>
      </c>
      <c r="F107" s="107">
        <f ca="1">+SUM(E$5:E107)</f>
        <v>32418.367688517734</v>
      </c>
      <c r="H107" s="295" t="str">
        <f ca="1">+INDEX(Charges_NonSlice!$C$4:$C$138,MATCH($A107,Charges_NonSlice!$AC$4:$AC$138,0),1)</f>
        <v>Wells Rural Elec Coop</v>
      </c>
      <c r="I107" s="100">
        <f ca="1">+INDEX(Charges_NonSlice!$AB$4:$AB$138,MATCH($A107,Charges_NonSlice!$AC$4:$AC$138,0),1)</f>
        <v>9.1176013540503914E-4</v>
      </c>
      <c r="J107" s="129">
        <f ca="1">+INDEX(Charges_NonSlice!$AA$4:$AA$138,MATCH($A107,Charges_NonSlice!$AC$4:$AC$138,0),1)</f>
        <v>34.20500070418263</v>
      </c>
      <c r="K107" s="297">
        <f ca="1">+INDEX(Charges_NonSlice!$Z$4:$Z$138,MATCH($A107,Charges_NonSlice!$AC$4:$AC$138,0),1)/1000</f>
        <v>808.89094663208959</v>
      </c>
      <c r="L107" s="107">
        <f ca="1">+SUM(K$5:K107)</f>
        <v>41829.093621243912</v>
      </c>
      <c r="N107" s="295" t="str">
        <f ca="1">+INDEX('Charges_NonSlice &amp; Excl LS'!$C$4:$C$138,MATCH($A107,'Charges_NonSlice &amp; Excl LS'!$AC$4:$AC$138,0),1)</f>
        <v>Elmhurst Mutual P &amp; L</v>
      </c>
      <c r="O107" s="100">
        <f ca="1">+INDEX('Charges_NonSlice &amp; Excl LS'!$AB$4:$AB$138,MATCH($A107,'Charges_NonSlice &amp; Excl LS'!$AC$4:$AC$138,0),1)</f>
        <v>4.1343075754394213E-4</v>
      </c>
      <c r="P107" s="129">
        <f ca="1">+INDEX('Charges_NonSlice &amp; Excl LS'!$AA$4:$AA$138,MATCH($A107,'Charges_NonSlice &amp; Excl LS'!$AC$4:$AC$138,0),1)</f>
        <v>38.233729713255187</v>
      </c>
      <c r="Q107" s="297">
        <f ca="1">+INDEX('Charges_NonSlice &amp; Excl LS'!$Z$4:$Z$138,MATCH($A107,'Charges_NonSlice &amp; Excl LS'!$AC$4:$AC$138,0),1)/1000</f>
        <v>281.67562570752</v>
      </c>
      <c r="R107" s="107">
        <f ca="1">+SUM(Q$5:Q107)</f>
        <v>41863.353421418484</v>
      </c>
      <c r="T107" s="295" t="str">
        <f ca="1">+INDEX(Charges_NonSlice!$C$4:$C$138,MATCH($A107,Charges_NonSlice!$AC$4:$AC$138,0),1)</f>
        <v>Wells Rural Elec Coop</v>
      </c>
      <c r="U107" s="100">
        <f t="shared" ca="1" si="4"/>
        <v>7.7055741810319045E-3</v>
      </c>
      <c r="V107" s="129">
        <f ca="1">+INDEX(Charges_NonSlice!$AA$4:$AA$138,MATCH($A107,Charges_NonSlice!$AC$4:$AC$138,0),1)</f>
        <v>34.20500070418263</v>
      </c>
      <c r="W107" s="120">
        <f t="shared" ca="1" si="3"/>
        <v>33.943446955705518</v>
      </c>
      <c r="Y107" s="103" t="s">
        <v>92</v>
      </c>
      <c r="Z107" s="104">
        <v>30.923829405020218</v>
      </c>
    </row>
    <row r="108" spans="1:26">
      <c r="A108">
        <f t="shared" si="5"/>
        <v>104</v>
      </c>
      <c r="B108" s="112" t="str">
        <f ca="1">+INDEX('Charges_Including Slice and LS'!$C$4:$C$138,MATCH($A108,'Charges_Including Slice and LS'!$AC$4:$AC$138,0),1)</f>
        <v>Coulee Dam, City of</v>
      </c>
      <c r="C108" s="100">
        <f ca="1">+INDEX('Charges_Including Slice and LS'!$AB$4:$AB$138,MATCH($A108,'Charges_Including Slice and LS'!$AC$4:$AC$138,0),1)</f>
        <v>-4.1295263243953384E-3</v>
      </c>
      <c r="D108" s="86">
        <f ca="1">+INDEX('Charges_Including Slice and LS'!$AA$4:$AA$138,MATCH($A108,'Charges_Including Slice and LS'!$AC$4:$AC$138,0),1)</f>
        <v>36.979380492238604</v>
      </c>
      <c r="E108" s="107">
        <f ca="1">+INDEX('Charges_Including Slice and LS'!$Z$4:$Z$138,MATCH($A108,'Charges_Including Slice and LS'!$AC$4:$AC$138,0),1)/1000</f>
        <v>16.712427602227201</v>
      </c>
      <c r="F108" s="107">
        <f ca="1">+SUM(E$5:E108)</f>
        <v>32435.08011611996</v>
      </c>
      <c r="H108" s="295" t="str">
        <f ca="1">+INDEX(Charges_NonSlice!$C$4:$C$138,MATCH($A108,Charges_NonSlice!$AC$4:$AC$138,0),1)</f>
        <v>Parkland L &amp; W</v>
      </c>
      <c r="I108" s="100">
        <f ca="1">+INDEX(Charges_NonSlice!$AB$4:$AB$138,MATCH($A108,Charges_NonSlice!$AC$4:$AC$138,0),1)</f>
        <v>8.4338443518880445E-4</v>
      </c>
      <c r="J108" s="129">
        <f ca="1">+INDEX(Charges_NonSlice!$AA$4:$AA$138,MATCH($A108,Charges_NonSlice!$AC$4:$AC$138,0),1)</f>
        <v>38.312322380232025</v>
      </c>
      <c r="K108" s="297">
        <f ca="1">+INDEX(Charges_NonSlice!$Z$4:$Z$138,MATCH($A108,Charges_NonSlice!$AC$4:$AC$138,0),1)/1000</f>
        <v>120.09215888599039</v>
      </c>
      <c r="L108" s="107">
        <f ca="1">+SUM(K$5:K108)</f>
        <v>41949.185780129905</v>
      </c>
      <c r="N108" s="295" t="str">
        <f ca="1">+INDEX('Charges_NonSlice &amp; Excl LS'!$C$4:$C$138,MATCH($A108,'Charges_NonSlice &amp; Excl LS'!$AC$4:$AC$138,0),1)</f>
        <v>Declo, City of</v>
      </c>
      <c r="O108" s="100">
        <f ca="1">+INDEX('Charges_NonSlice &amp; Excl LS'!$AB$4:$AB$138,MATCH($A108,'Charges_NonSlice &amp; Excl LS'!$AC$4:$AC$138,0),1)</f>
        <v>-5.0125032782313936E-4</v>
      </c>
      <c r="P108" s="129">
        <f ca="1">+INDEX('Charges_NonSlice &amp; Excl LS'!$AA$4:$AA$138,MATCH($A108,'Charges_NonSlice &amp; Excl LS'!$AC$4:$AC$138,0),1)</f>
        <v>37.759395348957014</v>
      </c>
      <c r="Q108" s="297">
        <f ca="1">+INDEX('Charges_NonSlice &amp; Excl LS'!$Z$4:$Z$138,MATCH($A108,'Charges_NonSlice &amp; Excl LS'!$AC$4:$AC$138,0),1)/1000</f>
        <v>3.1345283211264001</v>
      </c>
      <c r="R108" s="107">
        <f ca="1">+SUM(Q$5:Q108)</f>
        <v>41866.48794973961</v>
      </c>
      <c r="T108" s="295" t="str">
        <f ca="1">+INDEX(Charges_NonSlice!$C$4:$C$138,MATCH($A108,Charges_NonSlice!$AC$4:$AC$138,0),1)</f>
        <v>Parkland L &amp; W</v>
      </c>
      <c r="U108" s="100">
        <f t="shared" ca="1" si="4"/>
        <v>8.9901157169902657E-3</v>
      </c>
      <c r="V108" s="129">
        <f ca="1">+INDEX(Charges_NonSlice!$AA$4:$AA$138,MATCH($A108,Charges_NonSlice!$AC$4:$AC$138,0),1)</f>
        <v>38.312322380232025</v>
      </c>
      <c r="W108" s="120">
        <f t="shared" ca="1" si="3"/>
        <v>37.97095906435834</v>
      </c>
      <c r="Y108" s="103" t="s">
        <v>128</v>
      </c>
      <c r="Z108" s="104">
        <v>31.698177349735928</v>
      </c>
    </row>
    <row r="109" spans="1:26">
      <c r="A109">
        <f t="shared" si="5"/>
        <v>105</v>
      </c>
      <c r="B109" s="112" t="str">
        <f ca="1">+INDEX('Charges_Including Slice and LS'!$C$4:$C$138,MATCH($A109,'Charges_Including Slice and LS'!$AC$4:$AC$138,0),1)</f>
        <v>Clark County PUD #1</v>
      </c>
      <c r="C109" s="100">
        <f ca="1">+INDEX('Charges_Including Slice and LS'!$AB$4:$AB$138,MATCH($A109,'Charges_Including Slice and LS'!$AC$4:$AC$138,0),1)</f>
        <v>-1.4026280523930677E-2</v>
      </c>
      <c r="D109" s="86">
        <f ca="1">+INDEX('Charges_Including Slice and LS'!$AA$4:$AA$138,MATCH($A109,'Charges_Including Slice and LS'!$AC$4:$AC$138,0),1)</f>
        <v>37.097899080634981</v>
      </c>
      <c r="E109" s="107">
        <f ca="1">+INDEX('Charges_Including Slice and LS'!$Z$4:$Z$138,MATCH($A109,'Charges_Including Slice and LS'!$AC$4:$AC$138,0),1)/1000</f>
        <v>2663.3898654391296</v>
      </c>
      <c r="F109" s="107">
        <f ca="1">+SUM(E$5:E109)</f>
        <v>35098.469981559087</v>
      </c>
      <c r="H109" s="295" t="str">
        <f ca="1">+INDEX(Charges_NonSlice!$C$4:$C$138,MATCH($A109,Charges_NonSlice!$AC$4:$AC$138,0),1)</f>
        <v>Declo, City of</v>
      </c>
      <c r="I109" s="100">
        <f ca="1">+INDEX(Charges_NonSlice!$AB$4:$AB$138,MATCH($A109,Charges_NonSlice!$AC$4:$AC$138,0),1)</f>
        <v>7.2499219529364393E-4</v>
      </c>
      <c r="J109" s="129">
        <f ca="1">+INDEX(Charges_NonSlice!$AA$4:$AA$138,MATCH($A109,Charges_NonSlice!$AC$4:$AC$138,0),1)</f>
        <v>38.42446908978247</v>
      </c>
      <c r="K109" s="297">
        <f ca="1">+INDEX(Charges_NonSlice!$Z$4:$Z$138,MATCH($A109,Charges_NonSlice!$AC$4:$AC$138,0),1)/1000</f>
        <v>3.135888</v>
      </c>
      <c r="L109" s="107">
        <f ca="1">+SUM(K$5:K109)</f>
        <v>41952.321668129902</v>
      </c>
      <c r="N109" s="295" t="str">
        <f ca="1">+INDEX('Charges_NonSlice &amp; Excl LS'!$C$4:$C$138,MATCH($A109,'Charges_NonSlice &amp; Excl LS'!$AC$4:$AC$138,0),1)</f>
        <v>Troy, City of</v>
      </c>
      <c r="O109" s="100">
        <f ca="1">+INDEX('Charges_NonSlice &amp; Excl LS'!$AB$4:$AB$138,MATCH($A109,'Charges_NonSlice &amp; Excl LS'!$AC$4:$AC$138,0),1)</f>
        <v>-7.1548235465256429E-4</v>
      </c>
      <c r="P109" s="129">
        <f ca="1">+INDEX('Charges_NonSlice &amp; Excl LS'!$AA$4:$AA$138,MATCH($A109,'Charges_NonSlice &amp; Excl LS'!$AC$4:$AC$138,0),1)</f>
        <v>37.640173227245313</v>
      </c>
      <c r="Q109" s="297">
        <f ca="1">+INDEX('Charges_NonSlice &amp; Excl LS'!$Z$4:$Z$138,MATCH($A109,'Charges_NonSlice &amp; Excl LS'!$AC$4:$AC$138,0),1)/1000</f>
        <v>17.6656586287104</v>
      </c>
      <c r="R109" s="107">
        <f ca="1">+SUM(Q$5:Q109)</f>
        <v>41884.153608368324</v>
      </c>
      <c r="T109" s="295" t="str">
        <f ca="1">+INDEX(Charges_NonSlice!$C$4:$C$138,MATCH($A109,Charges_NonSlice!$AC$4:$AC$138,0),1)</f>
        <v>Declo, City of</v>
      </c>
      <c r="U109" s="100">
        <f t="shared" ca="1" si="4"/>
        <v>7.4856115575991922E-3</v>
      </c>
      <c r="V109" s="129">
        <f ca="1">+INDEX(Charges_NonSlice!$AA$4:$AA$138,MATCH($A109,Charges_NonSlice!$AC$4:$AC$138,0),1)</f>
        <v>38.42446908978247</v>
      </c>
      <c r="W109" s="120">
        <f t="shared" ca="1" si="3"/>
        <v>38.138975533732172</v>
      </c>
      <c r="Y109" s="103" t="s">
        <v>13</v>
      </c>
      <c r="Z109" s="104">
        <v>36.503601834035891</v>
      </c>
    </row>
    <row r="110" spans="1:26">
      <c r="A110">
        <f t="shared" si="5"/>
        <v>106</v>
      </c>
      <c r="B110" s="112" t="str">
        <f ca="1">+INDEX('Charges_Including Slice and LS'!$C$4:$C$138,MATCH($A110,'Charges_Including Slice and LS'!$AC$4:$AC$138,0),1)</f>
        <v>Emerald PUD</v>
      </c>
      <c r="C110" s="100">
        <f ca="1">+INDEX('Charges_Including Slice and LS'!$AB$4:$AB$138,MATCH($A110,'Charges_Including Slice and LS'!$AC$4:$AC$138,0),1)</f>
        <v>-1.6206460127282711E-2</v>
      </c>
      <c r="D110" s="86">
        <f ca="1">+INDEX('Charges_Including Slice and LS'!$AA$4:$AA$138,MATCH($A110,'Charges_Including Slice and LS'!$AC$4:$AC$138,0),1)</f>
        <v>35.019656259716044</v>
      </c>
      <c r="E110" s="107">
        <f ca="1">+INDEX('Charges_Including Slice and LS'!$Z$4:$Z$138,MATCH($A110,'Charges_Including Slice and LS'!$AC$4:$AC$138,0),1)/1000</f>
        <v>435.54357971087359</v>
      </c>
      <c r="F110" s="107">
        <f ca="1">+SUM(E$5:E110)</f>
        <v>35534.01356126996</v>
      </c>
      <c r="H110" s="295" t="str">
        <f ca="1">+INDEX(Charges_NonSlice!$C$4:$C$138,MATCH($A110,Charges_NonSlice!$AC$4:$AC$138,0),1)</f>
        <v>Yakama Power</v>
      </c>
      <c r="I110" s="100">
        <f ca="1">+INDEX(Charges_NonSlice!$AB$4:$AB$138,MATCH($A110,Charges_NonSlice!$AC$4:$AC$138,0),1)</f>
        <v>2.5119888888747166E-4</v>
      </c>
      <c r="J110" s="129">
        <f ca="1">+INDEX(Charges_NonSlice!$AA$4:$AA$138,MATCH($A110,Charges_NonSlice!$AC$4:$AC$138,0),1)</f>
        <v>34.042414832553213</v>
      </c>
      <c r="K110" s="297">
        <f ca="1">+INDEX(Charges_NonSlice!$Z$4:$Z$138,MATCH($A110,Charges_NonSlice!$AC$4:$AC$138,0),1)/1000</f>
        <v>156.48407721779199</v>
      </c>
      <c r="L110" s="107">
        <f ca="1">+SUM(K$5:K110)</f>
        <v>42108.805745347694</v>
      </c>
      <c r="N110" s="295" t="str">
        <f ca="1">+INDEX('Charges_NonSlice &amp; Excl LS'!$C$4:$C$138,MATCH($A110,'Charges_NonSlice &amp; Excl LS'!$AC$4:$AC$138,0),1)</f>
        <v>Asotin County PUD #1</v>
      </c>
      <c r="O110" s="100">
        <f ca="1">+INDEX('Charges_NonSlice &amp; Excl LS'!$AB$4:$AB$138,MATCH($A110,'Charges_NonSlice &amp; Excl LS'!$AC$4:$AC$138,0),1)</f>
        <v>-8.4192087190589494E-4</v>
      </c>
      <c r="P110" s="129">
        <f ca="1">+INDEX('Charges_NonSlice &amp; Excl LS'!$AA$4:$AA$138,MATCH($A110,'Charges_NonSlice &amp; Excl LS'!$AC$4:$AC$138,0),1)</f>
        <v>43.558481952686328</v>
      </c>
      <c r="Q110" s="297">
        <f ca="1">+INDEX('Charges_NonSlice &amp; Excl LS'!$Z$4:$Z$138,MATCH($A110,'Charges_NonSlice &amp; Excl LS'!$AC$4:$AC$138,0),1)/1000</f>
        <v>5.004138717388801</v>
      </c>
      <c r="R110" s="107">
        <f ca="1">+SUM(Q$5:Q110)</f>
        <v>41889.157747085716</v>
      </c>
      <c r="T110" s="295" t="str">
        <f ca="1">+INDEX(Charges_NonSlice!$C$4:$C$138,MATCH($A110,Charges_NonSlice!$AC$4:$AC$138,0),1)</f>
        <v>Yakama Power</v>
      </c>
      <c r="U110" s="100">
        <f t="shared" ca="1" si="4"/>
        <v>3.9394713393170466E-3</v>
      </c>
      <c r="V110" s="129">
        <f ca="1">+INDEX(Charges_NonSlice!$AA$4:$AA$138,MATCH($A110,Charges_NonSlice!$AC$4:$AC$138,0),1)</f>
        <v>34.042414832553213</v>
      </c>
      <c r="W110" s="120">
        <f t="shared" ca="1" si="3"/>
        <v>33.908831960893558</v>
      </c>
      <c r="Y110" s="103" t="s">
        <v>113</v>
      </c>
      <c r="Z110" s="104">
        <v>30.426760625752355</v>
      </c>
    </row>
    <row r="111" spans="1:26">
      <c r="A111">
        <f t="shared" si="5"/>
        <v>107</v>
      </c>
      <c r="B111" s="112" t="str">
        <f ca="1">+INDEX('Charges_Including Slice and LS'!$C$4:$C$138,MATCH($A111,'Charges_Including Slice and LS'!$AC$4:$AC$138,0),1)</f>
        <v>Tacoma Public Utilities</v>
      </c>
      <c r="C111" s="100">
        <f ca="1">+INDEX('Charges_Including Slice and LS'!$AB$4:$AB$138,MATCH($A111,'Charges_Including Slice and LS'!$AC$4:$AC$138,0),1)</f>
        <v>-1.6332208352690558E-2</v>
      </c>
      <c r="D111" s="86">
        <f ca="1">+INDEX('Charges_Including Slice and LS'!$AA$4:$AA$138,MATCH($A111,'Charges_Including Slice and LS'!$AC$4:$AC$138,0),1)</f>
        <v>37.185557250959903</v>
      </c>
      <c r="E111" s="107">
        <f ca="1">+INDEX('Charges_Including Slice and LS'!$Z$4:$Z$138,MATCH($A111,'Charges_Including Slice and LS'!$AC$4:$AC$138,0),1)/1000</f>
        <v>3361.9339452108802</v>
      </c>
      <c r="F111" s="107">
        <f ca="1">+SUM(E$5:E111)</f>
        <v>38895.947506480843</v>
      </c>
      <c r="H111" s="295" t="str">
        <f ca="1">+INDEX(Charges_NonSlice!$C$4:$C$138,MATCH($A111,Charges_NonSlice!$AC$4:$AC$138,0),1)</f>
        <v>Soda Springs, City of</v>
      </c>
      <c r="I111" s="100">
        <f ca="1">+INDEX(Charges_NonSlice!$AB$4:$AB$138,MATCH($A111,Charges_NonSlice!$AC$4:$AC$138,0),1)</f>
        <v>2.0156725291366998E-4</v>
      </c>
      <c r="J111" s="129">
        <f ca="1">+INDEX(Charges_NonSlice!$AA$4:$AA$138,MATCH($A111,Charges_NonSlice!$AC$4:$AC$138,0),1)</f>
        <v>38.07511866608332</v>
      </c>
      <c r="K111" s="297">
        <f ca="1">+INDEX(Charges_NonSlice!$Z$4:$Z$138,MATCH($A111,Charges_NonSlice!$AC$4:$AC$138,0),1)/1000</f>
        <v>26.536463999999999</v>
      </c>
      <c r="L111" s="107">
        <f ca="1">+SUM(K$5:K111)</f>
        <v>42135.342209347691</v>
      </c>
      <c r="N111" s="295" t="str">
        <f ca="1">+INDEX('Charges_NonSlice &amp; Excl LS'!$C$4:$C$138,MATCH($A111,'Charges_NonSlice &amp; Excl LS'!$AC$4:$AC$138,0),1)</f>
        <v>Farmers Elec Coop</v>
      </c>
      <c r="O111" s="100">
        <f ca="1">+INDEX('Charges_NonSlice &amp; Excl LS'!$AB$4:$AB$138,MATCH($A111,'Charges_NonSlice &amp; Excl LS'!$AC$4:$AC$138,0),1)</f>
        <v>-1.0975659316896586E-3</v>
      </c>
      <c r="P111" s="129">
        <f ca="1">+INDEX('Charges_NonSlice &amp; Excl LS'!$AA$4:$AA$138,MATCH($A111,'Charges_NonSlice &amp; Excl LS'!$AC$4:$AC$138,0),1)</f>
        <v>38.026909065895644</v>
      </c>
      <c r="Q111" s="297">
        <f ca="1">+INDEX('Charges_NonSlice &amp; Excl LS'!$Z$4:$Z$138,MATCH($A111,'Charges_NonSlice &amp; Excl LS'!$AC$4:$AC$138,0),1)/1000</f>
        <v>4.3685945892864</v>
      </c>
      <c r="R111" s="107">
        <f ca="1">+SUM(Q$5:Q111)</f>
        <v>41893.526341675002</v>
      </c>
      <c r="T111" s="295" t="str">
        <f ca="1">+INDEX(Charges_NonSlice!$C$4:$C$138,MATCH($A111,Charges_NonSlice!$AC$4:$AC$138,0),1)</f>
        <v>Soda Springs, City of</v>
      </c>
      <c r="U111" s="100">
        <f t="shared" ca="1" si="4"/>
        <v>5.1271698318278158E-3</v>
      </c>
      <c r="V111" s="129">
        <f ca="1">+INDEX(Charges_NonSlice!$AA$4:$AA$138,MATCH($A111,Charges_NonSlice!$AC$4:$AC$138,0),1)</f>
        <v>38.07511866608332</v>
      </c>
      <c r="W111" s="120">
        <f t="shared" ca="1" si="3"/>
        <v>37.880896874426178</v>
      </c>
      <c r="Y111" s="103" t="s">
        <v>84</v>
      </c>
      <c r="Z111" s="104">
        <v>27.890262467035278</v>
      </c>
    </row>
    <row r="112" spans="1:26">
      <c r="A112">
        <f t="shared" si="5"/>
        <v>108</v>
      </c>
      <c r="B112" s="112" t="str">
        <f ca="1">+INDEX('Charges_Including Slice and LS'!$C$4:$C$138,MATCH($A112,'Charges_Including Slice and LS'!$AC$4:$AC$138,0),1)</f>
        <v>Cowlitz County PUD #1</v>
      </c>
      <c r="C112" s="100">
        <f ca="1">+INDEX('Charges_Including Slice and LS'!$AB$4:$AB$138,MATCH($A112,'Charges_Including Slice and LS'!$AC$4:$AC$138,0),1)</f>
        <v>-1.7273934186871984E-2</v>
      </c>
      <c r="D112" s="86">
        <f ca="1">+INDEX('Charges_Including Slice and LS'!$AA$4:$AA$138,MATCH($A112,'Charges_Including Slice and LS'!$AC$4:$AC$138,0),1)</f>
        <v>37.504153540584156</v>
      </c>
      <c r="E112" s="107">
        <f ca="1">+INDEX('Charges_Including Slice and LS'!$Z$4:$Z$138,MATCH($A112,'Charges_Including Slice and LS'!$AC$4:$AC$138,0),1)/1000</f>
        <v>3666.0621601381376</v>
      </c>
      <c r="F112" s="107">
        <f ca="1">+SUM(E$5:E112)</f>
        <v>42562.009666618978</v>
      </c>
      <c r="H112" s="295" t="str">
        <f ca="1">+INDEX(Charges_NonSlice!$C$4:$C$138,MATCH($A112,Charges_NonSlice!$AC$4:$AC$138,0),1)</f>
        <v>Kootenai Electric Coop</v>
      </c>
      <c r="I112" s="100">
        <f ca="1">+INDEX(Charges_NonSlice!$AB$4:$AB$138,MATCH($A112,Charges_NonSlice!$AC$4:$AC$138,0),1)</f>
        <v>-2.2240910308257383E-5</v>
      </c>
      <c r="J112" s="129">
        <f ca="1">+INDEX(Charges_NonSlice!$AA$4:$AA$138,MATCH($A112,Charges_NonSlice!$AC$4:$AC$138,0),1)</f>
        <v>36.470574590178138</v>
      </c>
      <c r="K112" s="297">
        <f ca="1">+INDEX(Charges_NonSlice!$Z$4:$Z$138,MATCH($A112,Charges_NonSlice!$AC$4:$AC$138,0),1)/1000</f>
        <v>445.60353600000002</v>
      </c>
      <c r="L112" s="107">
        <f ca="1">+SUM(K$5:K112)</f>
        <v>42580.945745347693</v>
      </c>
      <c r="N112" s="295" t="str">
        <f ca="1">+INDEX('Charges_NonSlice &amp; Excl LS'!$C$4:$C$138,MATCH($A112,'Charges_NonSlice &amp; Excl LS'!$AC$4:$AC$138,0),1)</f>
        <v>Kootenai Electric Coop</v>
      </c>
      <c r="O112" s="100">
        <f ca="1">+INDEX('Charges_NonSlice &amp; Excl LS'!$AB$4:$AB$138,MATCH($A112,'Charges_NonSlice &amp; Excl LS'!$AC$4:$AC$138,0),1)</f>
        <v>-1.2322762655073195E-3</v>
      </c>
      <c r="P112" s="129">
        <f ca="1">+INDEX('Charges_NonSlice &amp; Excl LS'!$AA$4:$AA$138,MATCH($A112,'Charges_NonSlice &amp; Excl LS'!$AC$4:$AC$138,0),1)</f>
        <v>35.813520658976095</v>
      </c>
      <c r="Q112" s="297">
        <f ca="1">+INDEX('Charges_NonSlice &amp; Excl LS'!$Z$4:$Z$138,MATCH($A112,'Charges_NonSlice &amp; Excl LS'!$AC$4:$AC$138,0),1)/1000</f>
        <v>445.60281843855358</v>
      </c>
      <c r="R112" s="107">
        <f ca="1">+SUM(Q$5:Q112)</f>
        <v>42339.129160113553</v>
      </c>
      <c r="T112" s="295" t="str">
        <f ca="1">+INDEX(Charges_NonSlice!$C$4:$C$138,MATCH($A112,Charges_NonSlice!$AC$4:$AC$138,0),1)</f>
        <v>Kootenai Electric Coop</v>
      </c>
      <c r="U112" s="100">
        <f t="shared" ca="1" si="4"/>
        <v>2.3143586703481711E-2</v>
      </c>
      <c r="V112" s="129">
        <f ca="1">+INDEX(Charges_NonSlice!$AA$4:$AA$138,MATCH($A112,Charges_NonSlice!$AC$4:$AC$138,0),1)</f>
        <v>36.470574590178138</v>
      </c>
      <c r="W112" s="120">
        <f t="shared" ca="1" si="3"/>
        <v>35.645607385063649</v>
      </c>
      <c r="Y112" s="103" t="s">
        <v>32</v>
      </c>
      <c r="Z112" s="104">
        <v>36.975402352293003</v>
      </c>
    </row>
    <row r="113" spans="1:26">
      <c r="A113">
        <f t="shared" si="5"/>
        <v>109</v>
      </c>
      <c r="B113" s="112" t="str">
        <f ca="1">+INDEX('Charges_Including Slice and LS'!$C$4:$C$138,MATCH($A113,'Charges_Including Slice and LS'!$AC$4:$AC$138,0),1)</f>
        <v>Pacific County PUD #2</v>
      </c>
      <c r="C113" s="100">
        <f ca="1">+INDEX('Charges_Including Slice and LS'!$AB$4:$AB$138,MATCH($A113,'Charges_Including Slice and LS'!$AC$4:$AC$138,0),1)</f>
        <v>-1.8116127827414275E-2</v>
      </c>
      <c r="D113" s="86">
        <f ca="1">+INDEX('Charges_Including Slice and LS'!$AA$4:$AA$138,MATCH($A113,'Charges_Including Slice and LS'!$AC$4:$AC$138,0),1)</f>
        <v>37.370286004891788</v>
      </c>
      <c r="E113" s="107">
        <f ca="1">+INDEX('Charges_Including Slice and LS'!$Z$4:$Z$138,MATCH($A113,'Charges_Including Slice and LS'!$AC$4:$AC$138,0),1)/1000</f>
        <v>307.28777020139518</v>
      </c>
      <c r="F113" s="107">
        <f ca="1">+SUM(E$5:E113)</f>
        <v>42869.297436820372</v>
      </c>
      <c r="H113" s="295" t="str">
        <f ca="1">+INDEX(Charges_NonSlice!$C$4:$C$138,MATCH($A113,Charges_NonSlice!$AC$4:$AC$138,0),1)</f>
        <v>Chewelah, City of</v>
      </c>
      <c r="I113" s="100">
        <f ca="1">+INDEX(Charges_NonSlice!$AB$4:$AB$138,MATCH($A113,Charges_NonSlice!$AC$4:$AC$138,0),1)</f>
        <v>-6.3951061522599236E-4</v>
      </c>
      <c r="J113" s="129">
        <f ca="1">+INDEX(Charges_NonSlice!$AA$4:$AA$138,MATCH($A113,Charges_NonSlice!$AC$4:$AC$138,0),1)</f>
        <v>37.690811902373312</v>
      </c>
      <c r="K113" s="297">
        <f ca="1">+INDEX(Charges_NonSlice!$Z$4:$Z$138,MATCH($A113,Charges_NonSlice!$AC$4:$AC$138,0),1)/1000</f>
        <v>22.6714950864896</v>
      </c>
      <c r="L113" s="107">
        <f ca="1">+SUM(K$5:K113)</f>
        <v>42603.617240434185</v>
      </c>
      <c r="N113" s="295" t="str">
        <f ca="1">+INDEX('Charges_NonSlice &amp; Excl LS'!$C$4:$C$138,MATCH($A113,'Charges_NonSlice &amp; Excl LS'!$AC$4:$AC$138,0),1)</f>
        <v>Modern Elec Coop</v>
      </c>
      <c r="O113" s="100">
        <f ca="1">+INDEX('Charges_NonSlice &amp; Excl LS'!$AB$4:$AB$138,MATCH($A113,'Charges_NonSlice &amp; Excl LS'!$AC$4:$AC$138,0),1)</f>
        <v>-1.2515329668507501E-3</v>
      </c>
      <c r="P113" s="129">
        <f ca="1">+INDEX('Charges_NonSlice &amp; Excl LS'!$AA$4:$AA$138,MATCH($A113,'Charges_NonSlice &amp; Excl LS'!$AC$4:$AC$138,0),1)</f>
        <v>37.287376008199104</v>
      </c>
      <c r="Q113" s="297">
        <f ca="1">+INDEX('Charges_NonSlice &amp; Excl LS'!$Z$4:$Z$138,MATCH($A113,'Charges_NonSlice &amp; Excl LS'!$AC$4:$AC$138,0),1)/1000</f>
        <v>229.6659028359168</v>
      </c>
      <c r="R113" s="107">
        <f ca="1">+SUM(Q$5:Q113)</f>
        <v>42568.795062949466</v>
      </c>
      <c r="T113" s="295" t="str">
        <f ca="1">+INDEX(Charges_NonSlice!$C$4:$C$138,MATCH($A113,Charges_NonSlice!$AC$4:$AC$138,0),1)</f>
        <v>Chewelah, City of</v>
      </c>
      <c r="U113" s="100">
        <f t="shared" ca="1" si="4"/>
        <v>1.2325431915540808E-3</v>
      </c>
      <c r="V113" s="129">
        <f ca="1">+INDEX(Charges_NonSlice!$AA$4:$AA$138,MATCH($A113,Charges_NonSlice!$AC$4:$AC$138,0),1)</f>
        <v>37.690811902373312</v>
      </c>
      <c r="W113" s="120">
        <f t="shared" ca="1" si="3"/>
        <v>37.644413536768525</v>
      </c>
      <c r="Y113" s="103" t="s">
        <v>115</v>
      </c>
      <c r="Z113" s="104">
        <v>29.629441481802971</v>
      </c>
    </row>
    <row r="114" spans="1:26">
      <c r="A114">
        <f t="shared" si="5"/>
        <v>110</v>
      </c>
      <c r="B114" s="112" t="str">
        <f ca="1">+INDEX('Charges_Including Slice and LS'!$C$4:$C$138,MATCH($A114,'Charges_Including Slice and LS'!$AC$4:$AC$138,0),1)</f>
        <v>Jefferson County PUD #1</v>
      </c>
      <c r="C114" s="100">
        <f ca="1">+INDEX('Charges_Including Slice and LS'!$AB$4:$AB$138,MATCH($A114,'Charges_Including Slice and LS'!$AC$4:$AC$138,0),1)</f>
        <v>-1.8408567078613491E-2</v>
      </c>
      <c r="D114" s="86">
        <f ca="1">+INDEX('Charges_Including Slice and LS'!$AA$4:$AA$138,MATCH($A114,'Charges_Including Slice and LS'!$AC$4:$AC$138,0),1)</f>
        <v>37.911595881953758</v>
      </c>
      <c r="E114" s="107">
        <f ca="1">+INDEX('Charges_Including Slice and LS'!$Z$4:$Z$138,MATCH($A114,'Charges_Including Slice and LS'!$AC$4:$AC$138,0),1)/1000</f>
        <v>394.70025599999997</v>
      </c>
      <c r="F114" s="107">
        <f ca="1">+SUM(E$5:E114)</f>
        <v>43263.997692820369</v>
      </c>
      <c r="H114" s="295" t="str">
        <f ca="1">+INDEX(Charges_NonSlice!$C$4:$C$138,MATCH($A114,Charges_NonSlice!$AC$4:$AC$138,0),1)</f>
        <v>Farmers Elec Coop</v>
      </c>
      <c r="I114" s="100">
        <f ca="1">+INDEX(Charges_NonSlice!$AB$4:$AB$138,MATCH($A114,Charges_NonSlice!$AC$4:$AC$138,0),1)</f>
        <v>-8.27142527977417E-4</v>
      </c>
      <c r="J114" s="129">
        <f ca="1">+INDEX(Charges_NonSlice!$AA$4:$AA$138,MATCH($A114,Charges_NonSlice!$AC$4:$AC$138,0),1)</f>
        <v>38.614113127218587</v>
      </c>
      <c r="K114" s="297">
        <f ca="1">+INDEX(Charges_NonSlice!$Z$4:$Z$138,MATCH($A114,Charges_NonSlice!$AC$4:$AC$138,0),1)/1000</f>
        <v>4.3675945892864005</v>
      </c>
      <c r="L114" s="107">
        <f ca="1">+SUM(K$5:K114)</f>
        <v>42607.984835023468</v>
      </c>
      <c r="N114" s="295" t="str">
        <f ca="1">+INDEX('Charges_NonSlice &amp; Excl LS'!$C$4:$C$138,MATCH($A114,'Charges_NonSlice &amp; Excl LS'!$AC$4:$AC$138,0),1)</f>
        <v>Parkland L &amp; W</v>
      </c>
      <c r="O114" s="100">
        <f ca="1">+INDEX('Charges_NonSlice &amp; Excl LS'!$AB$4:$AB$138,MATCH($A114,'Charges_NonSlice &amp; Excl LS'!$AC$4:$AC$138,0),1)</f>
        <v>-1.5785919703073966E-3</v>
      </c>
      <c r="P114" s="129">
        <f ca="1">+INDEX('Charges_NonSlice &amp; Excl LS'!$AA$4:$AA$138,MATCH($A114,'Charges_NonSlice &amp; Excl LS'!$AC$4:$AC$138,0),1)</f>
        <v>37.575412410472111</v>
      </c>
      <c r="Q114" s="297">
        <f ca="1">+INDEX('Charges_NonSlice &amp; Excl LS'!$Z$4:$Z$138,MATCH($A114,'Charges_NonSlice &amp; Excl LS'!$AC$4:$AC$138,0),1)/1000</f>
        <v>120.09315888599039</v>
      </c>
      <c r="R114" s="107">
        <f ca="1">+SUM(Q$5:Q114)</f>
        <v>42688.888221835456</v>
      </c>
      <c r="T114" s="295" t="str">
        <f ca="1">+INDEX(Charges_NonSlice!$C$4:$C$138,MATCH($A114,Charges_NonSlice!$AC$4:$AC$138,0),1)</f>
        <v>Farmers Elec Coop</v>
      </c>
      <c r="U114" s="100">
        <f t="shared" ca="1" si="4"/>
        <v>5.6080038721453285E-3</v>
      </c>
      <c r="V114" s="129">
        <f ca="1">+INDEX(Charges_NonSlice!$AA$4:$AA$138,MATCH($A114,Charges_NonSlice!$AC$4:$AC$138,0),1)</f>
        <v>38.614113127218587</v>
      </c>
      <c r="W114" s="120">
        <f t="shared" ca="1" si="3"/>
        <v>38.398772661447559</v>
      </c>
      <c r="Y114" s="103" t="s">
        <v>30</v>
      </c>
      <c r="Z114" s="104">
        <v>35.685039938364191</v>
      </c>
    </row>
    <row r="115" spans="1:26">
      <c r="A115">
        <f t="shared" si="5"/>
        <v>111</v>
      </c>
      <c r="B115" s="112" t="str">
        <f ca="1">+INDEX('Charges_Including Slice and LS'!$C$4:$C$138,MATCH($A115,'Charges_Including Slice and LS'!$AC$4:$AC$138,0),1)</f>
        <v>Snohomish County PUD #1</v>
      </c>
      <c r="C115" s="100">
        <f ca="1">+INDEX('Charges_Including Slice and LS'!$AB$4:$AB$138,MATCH($A115,'Charges_Including Slice and LS'!$AC$4:$AC$138,0),1)</f>
        <v>-1.8912957133059627E-2</v>
      </c>
      <c r="D115" s="86">
        <f ca="1">+INDEX('Charges_Including Slice and LS'!$AA$4:$AA$138,MATCH($A115,'Charges_Including Slice and LS'!$AC$4:$AC$138,0),1)</f>
        <v>37.172029207418639</v>
      </c>
      <c r="E115" s="107">
        <f ca="1">+INDEX('Charges_Including Slice and LS'!$Z$4:$Z$138,MATCH($A115,'Charges_Including Slice and LS'!$AC$4:$AC$138,0),1)/1000</f>
        <v>6356.576169767116</v>
      </c>
      <c r="F115" s="107">
        <f ca="1">+SUM(E$5:E115)</f>
        <v>49620.573862587487</v>
      </c>
      <c r="H115" s="295" t="str">
        <f ca="1">+INDEX(Charges_NonSlice!$C$4:$C$138,MATCH($A115,Charges_NonSlice!$AC$4:$AC$138,0),1)</f>
        <v>Lower Valley Energy</v>
      </c>
      <c r="I115" s="100">
        <f ca="1">+INDEX(Charges_NonSlice!$AB$4:$AB$138,MATCH($A115,Charges_NonSlice!$AC$4:$AC$138,0),1)</f>
        <v>-1.1233507103545351E-3</v>
      </c>
      <c r="J115" s="129">
        <f ca="1">+INDEX(Charges_NonSlice!$AA$4:$AA$138,MATCH($A115,Charges_NonSlice!$AC$4:$AC$138,0),1)</f>
        <v>36.544541848345965</v>
      </c>
      <c r="K115" s="297">
        <f ca="1">+INDEX(Charges_NonSlice!$Z$4:$Z$138,MATCH($A115,Charges_NonSlice!$AC$4:$AC$138,0),1)/1000</f>
        <v>751.7509782436864</v>
      </c>
      <c r="L115" s="107">
        <f ca="1">+SUM(K$5:K115)</f>
        <v>43359.735813267151</v>
      </c>
      <c r="N115" s="295" t="str">
        <f ca="1">+INDEX('Charges_NonSlice &amp; Excl LS'!$C$4:$C$138,MATCH($A115,'Charges_NonSlice &amp; Excl LS'!$AC$4:$AC$138,0),1)</f>
        <v>Soda Springs, City of</v>
      </c>
      <c r="O115" s="100">
        <f ca="1">+INDEX('Charges_NonSlice &amp; Excl LS'!$AB$4:$AB$138,MATCH($A115,'Charges_NonSlice &amp; Excl LS'!$AC$4:$AC$138,0),1)</f>
        <v>-1.5810733639795604E-3</v>
      </c>
      <c r="P115" s="129">
        <f ca="1">+INDEX('Charges_NonSlice &amp; Excl LS'!$AA$4:$AA$138,MATCH($A115,'Charges_NonSlice &amp; Excl LS'!$AC$4:$AC$138,0),1)</f>
        <v>37.45107934605057</v>
      </c>
      <c r="Q115" s="297">
        <f ca="1">+INDEX('Charges_NonSlice &amp; Excl LS'!$Z$4:$Z$138,MATCH($A115,'Charges_NonSlice &amp; Excl LS'!$AC$4:$AC$138,0),1)/1000</f>
        <v>26.538595096780799</v>
      </c>
      <c r="R115" s="107">
        <f ca="1">+SUM(Q$5:Q115)</f>
        <v>42715.426816932239</v>
      </c>
      <c r="T115" s="295" t="str">
        <f ca="1">+INDEX(Charges_NonSlice!$C$4:$C$138,MATCH($A115,Charges_NonSlice!$AC$4:$AC$138,0),1)</f>
        <v>Lower Valley Energy</v>
      </c>
      <c r="U115" s="100">
        <f t="shared" ca="1" si="4"/>
        <v>1.0685728367517244E-2</v>
      </c>
      <c r="V115" s="129">
        <f ca="1">+INDEX(Charges_NonSlice!$AA$4:$AA$138,MATCH($A115,Charges_NonSlice!$AC$4:$AC$138,0),1)</f>
        <v>36.544541848345965</v>
      </c>
      <c r="W115" s="120">
        <f t="shared" ca="1" si="3"/>
        <v>36.158165513402018</v>
      </c>
      <c r="Y115" s="103" t="s">
        <v>11</v>
      </c>
      <c r="Z115" s="104">
        <v>28.033108864812963</v>
      </c>
    </row>
    <row r="116" spans="1:26">
      <c r="A116">
        <f t="shared" si="5"/>
        <v>112</v>
      </c>
      <c r="B116" s="112" t="str">
        <f ca="1">+INDEX('Charges_Including Slice and LS'!$C$4:$C$138,MATCH($A116,'Charges_Including Slice and LS'!$AC$4:$AC$138,0),1)</f>
        <v>Benton County PUD #1</v>
      </c>
      <c r="C116" s="100">
        <f ca="1">+INDEX('Charges_Including Slice and LS'!$AB$4:$AB$138,MATCH($A116,'Charges_Including Slice and LS'!$AC$4:$AC$138,0),1)</f>
        <v>-1.8934119224651807E-2</v>
      </c>
      <c r="D116" s="86">
        <f ca="1">+INDEX('Charges_Including Slice and LS'!$AA$4:$AA$138,MATCH($A116,'Charges_Including Slice and LS'!$AC$4:$AC$138,0),1)</f>
        <v>34.63451229459956</v>
      </c>
      <c r="E116" s="107">
        <f ca="1">+INDEX('Charges_Including Slice and LS'!$Z$4:$Z$138,MATCH($A116,'Charges_Including Slice and LS'!$AC$4:$AC$138,0),1)/1000</f>
        <v>1755.1271794174975</v>
      </c>
      <c r="F116" s="107">
        <f ca="1">+SUM(E$5:E116)</f>
        <v>51375.701042004985</v>
      </c>
      <c r="H116" s="295" t="str">
        <f ca="1">+INDEX(Charges_NonSlice!$C$4:$C$138,MATCH($A116,Charges_NonSlice!$AC$4:$AC$138,0),1)</f>
        <v>Southside Elec Lines</v>
      </c>
      <c r="I116" s="100">
        <f ca="1">+INDEX(Charges_NonSlice!$AB$4:$AB$138,MATCH($A116,Charges_NonSlice!$AC$4:$AC$138,0),1)</f>
        <v>-1.1674858287984485E-3</v>
      </c>
      <c r="J116" s="129">
        <f ca="1">+INDEX(Charges_NonSlice!$AA$4:$AA$138,MATCH($A116,Charges_NonSlice!$AC$4:$AC$138,0),1)</f>
        <v>30.972723209454827</v>
      </c>
      <c r="K116" s="297">
        <f ca="1">+INDEX(Charges_NonSlice!$Z$4:$Z$138,MATCH($A116,Charges_NonSlice!$AC$4:$AC$138,0),1)/1000</f>
        <v>59.107536000000003</v>
      </c>
      <c r="L116" s="107">
        <f ca="1">+SUM(K$5:K116)</f>
        <v>43418.843349267154</v>
      </c>
      <c r="N116" s="295" t="str">
        <f ca="1">+INDEX('Charges_NonSlice &amp; Excl LS'!$C$4:$C$138,MATCH($A116,'Charges_NonSlice &amp; Excl LS'!$AC$4:$AC$138,0),1)</f>
        <v>Chewelah, City of</v>
      </c>
      <c r="O116" s="100">
        <f ca="1">+INDEX('Charges_NonSlice &amp; Excl LS'!$AB$4:$AB$138,MATCH($A116,'Charges_NonSlice &amp; Excl LS'!$AC$4:$AC$138,0),1)</f>
        <v>-1.6950218720284064E-3</v>
      </c>
      <c r="P116" s="129">
        <f ca="1">+INDEX('Charges_NonSlice &amp; Excl LS'!$AA$4:$AA$138,MATCH($A116,'Charges_NonSlice &amp; Excl LS'!$AC$4:$AC$138,0),1)</f>
        <v>36.957931324601759</v>
      </c>
      <c r="Q116" s="297">
        <f ca="1">+INDEX('Charges_NonSlice &amp; Excl LS'!$Z$4:$Z$138,MATCH($A116,'Charges_NonSlice &amp; Excl LS'!$AC$4:$AC$138,0),1)/1000</f>
        <v>22.441495086489599</v>
      </c>
      <c r="R116" s="107">
        <f ca="1">+SUM(Q$5:Q116)</f>
        <v>42737.868312018727</v>
      </c>
      <c r="T116" s="295" t="str">
        <f ca="1">+INDEX(Charges_NonSlice!$C$4:$C$138,MATCH($A116,Charges_NonSlice!$AC$4:$AC$138,0),1)</f>
        <v>Southside Elec Lines</v>
      </c>
      <c r="U116" s="100">
        <f t="shared" ca="1" si="4"/>
        <v>1.794350014507895E-2</v>
      </c>
      <c r="V116" s="129">
        <f ca="1">+INDEX(Charges_NonSlice!$AA$4:$AA$138,MATCH($A116,Charges_NonSlice!$AC$4:$AC$138,0),1)</f>
        <v>30.972723209454827</v>
      </c>
      <c r="W116" s="120">
        <f t="shared" ca="1" si="3"/>
        <v>30.426760625752355</v>
      </c>
      <c r="Y116" s="103" t="s">
        <v>51</v>
      </c>
      <c r="Z116" s="104">
        <v>28.779592143768031</v>
      </c>
    </row>
    <row r="117" spans="1:26">
      <c r="A117">
        <f t="shared" si="5"/>
        <v>113</v>
      </c>
      <c r="B117" s="112" t="str">
        <f ca="1">+INDEX('Charges_Including Slice and LS'!$C$4:$C$138,MATCH($A117,'Charges_Including Slice and LS'!$AC$4:$AC$138,0),1)</f>
        <v>Eugene Water &amp; Electric Board</v>
      </c>
      <c r="C117" s="100">
        <f ca="1">+INDEX('Charges_Including Slice and LS'!$AB$4:$AB$138,MATCH($A117,'Charges_Including Slice and LS'!$AC$4:$AC$138,0),1)</f>
        <v>-1.9260280569763515E-2</v>
      </c>
      <c r="D117" s="86">
        <f ca="1">+INDEX('Charges_Including Slice and LS'!$AA$4:$AA$138,MATCH($A117,'Charges_Including Slice and LS'!$AC$4:$AC$138,0),1)</f>
        <v>37.21472805193568</v>
      </c>
      <c r="E117" s="107">
        <f ca="1">+INDEX('Charges_Including Slice and LS'!$Z$4:$Z$138,MATCH($A117,'Charges_Including Slice and LS'!$AC$4:$AC$138,0),1)/1000</f>
        <v>2086.8148299522045</v>
      </c>
      <c r="F117" s="107">
        <f ca="1">+SUM(E$5:E117)</f>
        <v>53462.515871957192</v>
      </c>
      <c r="H117" s="295" t="str">
        <f ca="1">+INDEX(Charges_NonSlice!$C$4:$C$138,MATCH($A117,Charges_NonSlice!$AC$4:$AC$138,0),1)</f>
        <v>Weiser, City of</v>
      </c>
      <c r="I117" s="100">
        <f ca="1">+INDEX(Charges_NonSlice!$AB$4:$AB$138,MATCH($A117,Charges_NonSlice!$AC$4:$AC$138,0),1)</f>
        <v>-2.1176413108854025E-3</v>
      </c>
      <c r="J117" s="129">
        <f ca="1">+INDEX(Charges_NonSlice!$AA$4:$AA$138,MATCH($A117,Charges_NonSlice!$AC$4:$AC$138,0),1)</f>
        <v>37.411460869660019</v>
      </c>
      <c r="K117" s="297">
        <f ca="1">+INDEX(Charges_NonSlice!$Z$4:$Z$138,MATCH($A117,Charges_NonSlice!$AC$4:$AC$138,0),1)/1000</f>
        <v>55.295279999999998</v>
      </c>
      <c r="L117" s="107">
        <f ca="1">+SUM(K$5:K117)</f>
        <v>43474.138629267152</v>
      </c>
      <c r="N117" s="295" t="str">
        <f ca="1">+INDEX('Charges_NonSlice &amp; Excl LS'!$C$4:$C$138,MATCH($A117,'Charges_NonSlice &amp; Excl LS'!$AC$4:$AC$138,0),1)</f>
        <v>Port of Seattle - SETAC In'tl. Airport</v>
      </c>
      <c r="O117" s="100">
        <f ca="1">+INDEX('Charges_NonSlice &amp; Excl LS'!$AB$4:$AB$138,MATCH($A117,'Charges_NonSlice &amp; Excl LS'!$AC$4:$AC$138,0),1)</f>
        <v>-2.0048592927646497E-3</v>
      </c>
      <c r="P117" s="129">
        <f ca="1">+INDEX('Charges_NonSlice &amp; Excl LS'!$AA$4:$AA$138,MATCH($A117,'Charges_NonSlice &amp; Excl LS'!$AC$4:$AC$138,0),1)</f>
        <v>36.793021498240655</v>
      </c>
      <c r="Q117" s="297">
        <f ca="1">+INDEX('Charges_NonSlice &amp; Excl LS'!$Z$4:$Z$138,MATCH($A117,'Charges_NonSlice &amp; Excl LS'!$AC$4:$AC$138,0),1)/1000</f>
        <v>150.96949691535357</v>
      </c>
      <c r="R117" s="107">
        <f ca="1">+SUM(Q$5:Q117)</f>
        <v>42888.837808934084</v>
      </c>
      <c r="T117" s="295" t="str">
        <f ca="1">+INDEX(Charges_NonSlice!$C$4:$C$138,MATCH($A117,Charges_NonSlice!$AC$4:$AC$138,0),1)</f>
        <v>Weiser, City of</v>
      </c>
      <c r="U117" s="100">
        <f t="shared" ca="1" si="4"/>
        <v>1.9706938729212808E-2</v>
      </c>
      <c r="V117" s="129">
        <f ca="1">+INDEX(Charges_NonSlice!$AA$4:$AA$138,MATCH($A117,Charges_NonSlice!$AC$4:$AC$138,0),1)</f>
        <v>37.411460869660019</v>
      </c>
      <c r="W117" s="120">
        <f t="shared" ca="1" si="3"/>
        <v>36.688443952615664</v>
      </c>
      <c r="Y117" s="103" t="s">
        <v>52</v>
      </c>
      <c r="Z117" s="104">
        <v>49.543662715832426</v>
      </c>
    </row>
    <row r="118" spans="1:26">
      <c r="A118">
        <f t="shared" si="5"/>
        <v>114</v>
      </c>
      <c r="B118" s="112" t="str">
        <f ca="1">+INDEX('Charges_Including Slice and LS'!$C$4:$C$138,MATCH($A118,'Charges_Including Slice and LS'!$AC$4:$AC$138,0),1)</f>
        <v>Clatskanie PUD</v>
      </c>
      <c r="C118" s="100">
        <f ca="1">+INDEX('Charges_Including Slice and LS'!$AB$4:$AB$138,MATCH($A118,'Charges_Including Slice and LS'!$AC$4:$AC$138,0),1)</f>
        <v>-2.1239932792495454E-2</v>
      </c>
      <c r="D118" s="86">
        <f ca="1">+INDEX('Charges_Including Slice and LS'!$AA$4:$AA$138,MATCH($A118,'Charges_Including Slice and LS'!$AC$4:$AC$138,0),1)</f>
        <v>37.235001703054166</v>
      </c>
      <c r="E118" s="107">
        <f ca="1">+INDEX('Charges_Including Slice and LS'!$Z$4:$Z$138,MATCH($A118,'Charges_Including Slice and LS'!$AC$4:$AC$138,0),1)/1000</f>
        <v>765.18174063155197</v>
      </c>
      <c r="F118" s="107">
        <f ca="1">+SUM(E$5:E118)</f>
        <v>54227.697612588745</v>
      </c>
      <c r="H118" s="295" t="str">
        <f ca="1">+INDEX(Charges_NonSlice!$C$4:$C$138,MATCH($A118,Charges_NonSlice!$AC$4:$AC$138,0),1)</f>
        <v>Columbia Basin Elec Coop</v>
      </c>
      <c r="I118" s="100">
        <f ca="1">+INDEX(Charges_NonSlice!$AB$4:$AB$138,MATCH($A118,Charges_NonSlice!$AC$4:$AC$138,0),1)</f>
        <v>-2.4082329550978326E-3</v>
      </c>
      <c r="J118" s="129">
        <f ca="1">+INDEX(Charges_NonSlice!$AA$4:$AA$138,MATCH($A118,Charges_NonSlice!$AC$4:$AC$138,0),1)</f>
        <v>33.851852502480007</v>
      </c>
      <c r="K118" s="297">
        <f ca="1">+INDEX(Charges_NonSlice!$Z$4:$Z$138,MATCH($A118,Charges_NonSlice!$AC$4:$AC$138,0),1)/1000</f>
        <v>103.659885808128</v>
      </c>
      <c r="L118" s="107">
        <f ca="1">+SUM(K$5:K118)</f>
        <v>43577.798515075279</v>
      </c>
      <c r="N118" s="295" t="str">
        <f ca="1">+INDEX('Charges_NonSlice &amp; Excl LS'!$C$4:$C$138,MATCH($A118,'Charges_NonSlice &amp; Excl LS'!$AC$4:$AC$138,0),1)</f>
        <v>Yakama Power</v>
      </c>
      <c r="O118" s="100">
        <f ca="1">+INDEX('Charges_NonSlice &amp; Excl LS'!$AB$4:$AB$138,MATCH($A118,'Charges_NonSlice &amp; Excl LS'!$AC$4:$AC$138,0),1)</f>
        <v>-2.3202946219850738E-3</v>
      </c>
      <c r="P118" s="129">
        <f ca="1">+INDEX('Charges_NonSlice &amp; Excl LS'!$AA$4:$AA$138,MATCH($A118,'Charges_NonSlice &amp; Excl LS'!$AC$4:$AC$138,0),1)</f>
        <v>34.342487953832666</v>
      </c>
      <c r="Q118" s="297">
        <f ca="1">+INDEX('Charges_NonSlice &amp; Excl LS'!$Z$4:$Z$138,MATCH($A118,'Charges_NonSlice &amp; Excl LS'!$AC$4:$AC$138,0),1)/1000</f>
        <v>163.45207721779198</v>
      </c>
      <c r="R118" s="107">
        <f ca="1">+SUM(Q$5:Q118)</f>
        <v>43052.289886151877</v>
      </c>
      <c r="T118" s="295" t="str">
        <f ca="1">+INDEX(Charges_NonSlice!$C$4:$C$138,MATCH($A118,Charges_NonSlice!$AC$4:$AC$138,0),1)</f>
        <v>Columbia Basin Elec Coop</v>
      </c>
      <c r="U118" s="100">
        <f t="shared" ca="1" si="4"/>
        <v>4.6338368604716962E-3</v>
      </c>
      <c r="V118" s="129">
        <f ca="1">+INDEX(Charges_NonSlice!$AA$4:$AA$138,MATCH($A118,Charges_NonSlice!$AC$4:$AC$138,0),1)</f>
        <v>33.851852502480007</v>
      </c>
      <c r="W118" s="120">
        <f t="shared" ca="1" si="3"/>
        <v>33.695712069850892</v>
      </c>
      <c r="Y118" s="103" t="s">
        <v>72</v>
      </c>
      <c r="Z118" s="104">
        <v>25.845745263111841</v>
      </c>
    </row>
    <row r="119" spans="1:26">
      <c r="A119">
        <f t="shared" si="5"/>
        <v>115</v>
      </c>
      <c r="B119" s="112" t="str">
        <f ca="1">+INDEX('Charges_Including Slice and LS'!$C$4:$C$138,MATCH($A119,'Charges_Including Slice and LS'!$AC$4:$AC$138,0),1)</f>
        <v>Grays Harbor PUD #1</v>
      </c>
      <c r="C119" s="100">
        <f ca="1">+INDEX('Charges_Including Slice and LS'!$AB$4:$AB$138,MATCH($A119,'Charges_Including Slice and LS'!$AC$4:$AC$138,0),1)</f>
        <v>-2.157001862314633E-2</v>
      </c>
      <c r="D119" s="86">
        <f ca="1">+INDEX('Charges_Including Slice and LS'!$AA$4:$AA$138,MATCH($A119,'Charges_Including Slice and LS'!$AC$4:$AC$138,0),1)</f>
        <v>37.163808717061798</v>
      </c>
      <c r="E119" s="107">
        <f ca="1">+INDEX('Charges_Including Slice and LS'!$Z$4:$Z$138,MATCH($A119,'Charges_Including Slice and LS'!$AC$4:$AC$138,0),1)/1000</f>
        <v>1133.1149722802177</v>
      </c>
      <c r="F119" s="107">
        <f ca="1">+SUM(E$5:E119)</f>
        <v>55360.81258486896</v>
      </c>
      <c r="H119" s="295" t="str">
        <f ca="1">+INDEX(Charges_NonSlice!$C$4:$C$138,MATCH($A119,Charges_NonSlice!$AC$4:$AC$138,0),1)</f>
        <v>Tanner Elec Coop</v>
      </c>
      <c r="I119" s="100">
        <f ca="1">+INDEX(Charges_NonSlice!$AB$4:$AB$138,MATCH($A119,Charges_NonSlice!$AC$4:$AC$138,0),1)</f>
        <v>-3.7584658951404525E-3</v>
      </c>
      <c r="J119" s="129">
        <f ca="1">+INDEX(Charges_NonSlice!$AA$4:$AA$138,MATCH($A119,Charges_NonSlice!$AC$4:$AC$138,0),1)</f>
        <v>36.539701513377402</v>
      </c>
      <c r="K119" s="297">
        <f ca="1">+INDEX(Charges_NonSlice!$Z$4:$Z$138,MATCH($A119,Charges_NonSlice!$AC$4:$AC$138,0),1)/1000</f>
        <v>96.39561599999999</v>
      </c>
      <c r="L119" s="107">
        <f ca="1">+SUM(K$5:K119)</f>
        <v>43674.194131075281</v>
      </c>
      <c r="N119" s="295" t="str">
        <f ca="1">+INDEX('Charges_NonSlice &amp; Excl LS'!$C$4:$C$138,MATCH($A119,'Charges_NonSlice &amp; Excl LS'!$AC$4:$AC$138,0),1)</f>
        <v>Lower Valley Energy</v>
      </c>
      <c r="O119" s="100">
        <f ca="1">+INDEX('Charges_NonSlice &amp; Excl LS'!$AB$4:$AB$138,MATCH($A119,'Charges_NonSlice &amp; Excl LS'!$AC$4:$AC$138,0),1)</f>
        <v>-2.4454131204706825E-3</v>
      </c>
      <c r="P119" s="129">
        <f ca="1">+INDEX('Charges_NonSlice &amp; Excl LS'!$AA$4:$AA$138,MATCH($A119,'Charges_NonSlice &amp; Excl LS'!$AC$4:$AC$138,0),1)</f>
        <v>35.51650313264993</v>
      </c>
      <c r="Q119" s="297">
        <f ca="1">+INDEX('Charges_NonSlice &amp; Excl LS'!$Z$4:$Z$138,MATCH($A119,'Charges_NonSlice &amp; Excl LS'!$AC$4:$AC$138,0),1)/1000</f>
        <v>751.74997824368643</v>
      </c>
      <c r="R119" s="107">
        <f ca="1">+SUM(Q$5:Q119)</f>
        <v>43804.039864395563</v>
      </c>
      <c r="T119" s="295" t="str">
        <f ca="1">+INDEX(Charges_NonSlice!$C$4:$C$138,MATCH($A119,Charges_NonSlice!$AC$4:$AC$138,0),1)</f>
        <v>Tanner Elec Coop</v>
      </c>
      <c r="U119" s="100">
        <f t="shared" ca="1" si="4"/>
        <v>-8.3451868424567754E-3</v>
      </c>
      <c r="V119" s="129">
        <f ca="1">+INDEX(Charges_NonSlice!$AA$4:$AA$138,MATCH($A119,Charges_NonSlice!$AC$4:$AC$138,0),1)</f>
        <v>36.539701513377402</v>
      </c>
      <c r="W119" s="120">
        <f t="shared" ca="1" si="3"/>
        <v>36.847198267541081</v>
      </c>
      <c r="Y119" s="103" t="s">
        <v>8</v>
      </c>
      <c r="Z119" s="104">
        <v>41.954063778308331</v>
      </c>
    </row>
    <row r="120" spans="1:26">
      <c r="A120">
        <f t="shared" si="5"/>
        <v>116</v>
      </c>
      <c r="B120" s="112" t="str">
        <f ca="1">+INDEX('Charges_Including Slice and LS'!$C$4:$C$138,MATCH($A120,'Charges_Including Slice and LS'!$AC$4:$AC$138,0),1)</f>
        <v>Idaho Falls Power</v>
      </c>
      <c r="C120" s="100">
        <f ca="1">+INDEX('Charges_Including Slice and LS'!$AB$4:$AB$138,MATCH($A120,'Charges_Including Slice and LS'!$AC$4:$AC$138,0),1)</f>
        <v>-2.2047233997329614E-2</v>
      </c>
      <c r="D120" s="86">
        <f ca="1">+INDEX('Charges_Including Slice and LS'!$AA$4:$AA$138,MATCH($A120,'Charges_Including Slice and LS'!$AC$4:$AC$138,0),1)</f>
        <v>37.400105100355589</v>
      </c>
      <c r="E120" s="107">
        <f ca="1">+INDEX('Charges_Including Slice and LS'!$Z$4:$Z$138,MATCH($A120,'Charges_Including Slice and LS'!$AC$4:$AC$138,0),1)/1000</f>
        <v>549.21836885299194</v>
      </c>
      <c r="F120" s="107">
        <f ca="1">+SUM(E$5:E120)</f>
        <v>55910.030953721951</v>
      </c>
      <c r="H120" s="295" t="str">
        <f ca="1">+INDEX(Charges_NonSlice!$C$4:$C$138,MATCH($A120,Charges_NonSlice!$AC$4:$AC$138,0),1)</f>
        <v>Asotin County PUD #1</v>
      </c>
      <c r="I120" s="100">
        <f ca="1">+INDEX(Charges_NonSlice!$AB$4:$AB$138,MATCH($A120,Charges_NonSlice!$AC$4:$AC$138,0),1)</f>
        <v>-4.0934677881310473E-3</v>
      </c>
      <c r="J120" s="129">
        <f ca="1">+INDEX(Charges_NonSlice!$AA$4:$AA$138,MATCH($A120,Charges_NonSlice!$AC$4:$AC$138,0),1)</f>
        <v>41.688810818955254</v>
      </c>
      <c r="K120" s="297">
        <f ca="1">+INDEX(Charges_NonSlice!$Z$4:$Z$138,MATCH($A120,Charges_NonSlice!$AC$4:$AC$138,0),1)/1000</f>
        <v>5.0068799999999989</v>
      </c>
      <c r="L120" s="107">
        <f ca="1">+SUM(K$5:K120)</f>
        <v>43679.201011075282</v>
      </c>
      <c r="N120" s="295" t="str">
        <f ca="1">+INDEX('Charges_NonSlice &amp; Excl LS'!$C$4:$C$138,MATCH($A120,'Charges_NonSlice &amp; Excl LS'!$AC$4:$AC$138,0),1)</f>
        <v>Weiser, City of</v>
      </c>
      <c r="O120" s="100">
        <f ca="1">+INDEX('Charges_NonSlice &amp; Excl LS'!$AB$4:$AB$138,MATCH($A120,'Charges_NonSlice &amp; Excl LS'!$AC$4:$AC$138,0),1)</f>
        <v>-3.9225038315210039E-3</v>
      </c>
      <c r="P120" s="129">
        <f ca="1">+INDEX('Charges_NonSlice &amp; Excl LS'!$AA$4:$AA$138,MATCH($A120,'Charges_NonSlice &amp; Excl LS'!$AC$4:$AC$138,0),1)</f>
        <v>36.711959278987123</v>
      </c>
      <c r="Q120" s="297">
        <f ca="1">+INDEX('Charges_NonSlice &amp; Excl LS'!$Z$4:$Z$138,MATCH($A120,'Charges_NonSlice &amp; Excl LS'!$AC$4:$AC$138,0),1)/1000</f>
        <v>55.292339144908802</v>
      </c>
      <c r="R120" s="107">
        <f ca="1">+SUM(Q$5:Q120)</f>
        <v>43859.332203540471</v>
      </c>
      <c r="T120" s="295" t="str">
        <f ca="1">+INDEX(Charges_NonSlice!$C$4:$C$138,MATCH($A120,Charges_NonSlice!$AC$4:$AC$138,0),1)</f>
        <v>Asotin County PUD #1</v>
      </c>
      <c r="U120" s="100">
        <f t="shared" ca="1" si="4"/>
        <v>-6.3224616512649323E-3</v>
      </c>
      <c r="V120" s="129">
        <f ca="1">+INDEX(Charges_NonSlice!$AA$4:$AA$138,MATCH($A120,Charges_NonSlice!$AC$4:$AC$138,0),1)</f>
        <v>41.688810818955254</v>
      </c>
      <c r="W120" s="120">
        <f t="shared" ca="1" si="3"/>
        <v>41.954063778308331</v>
      </c>
      <c r="Y120" s="103" t="s">
        <v>135</v>
      </c>
      <c r="Z120" s="104">
        <v>33.908831960893558</v>
      </c>
    </row>
    <row r="121" spans="1:26">
      <c r="A121">
        <f t="shared" si="5"/>
        <v>117</v>
      </c>
      <c r="B121" s="112" t="str">
        <f ca="1">+INDEX('Charges_Including Slice and LS'!$C$4:$C$138,MATCH($A121,'Charges_Including Slice and LS'!$AC$4:$AC$138,0),1)</f>
        <v>Franklin County PUD #1</v>
      </c>
      <c r="C121" s="100">
        <f ca="1">+INDEX('Charges_Including Slice and LS'!$AB$4:$AB$138,MATCH($A121,'Charges_Including Slice and LS'!$AC$4:$AC$138,0),1)</f>
        <v>-2.2725890862890428E-2</v>
      </c>
      <c r="D121" s="86">
        <f ca="1">+INDEX('Charges_Including Slice and LS'!$AA$4:$AA$138,MATCH($A121,'Charges_Including Slice and LS'!$AC$4:$AC$138,0),1)</f>
        <v>35.72690341736407</v>
      </c>
      <c r="E121" s="107">
        <f ca="1">+INDEX('Charges_Including Slice and LS'!$Z$4:$Z$138,MATCH($A121,'Charges_Including Slice and LS'!$AC$4:$AC$138,0),1)/1000</f>
        <v>1023.33381055744</v>
      </c>
      <c r="F121" s="107">
        <f ca="1">+SUM(E$5:E121)</f>
        <v>56933.364764279388</v>
      </c>
      <c r="H121" s="295" t="str">
        <f ca="1">+INDEX(Charges_NonSlice!$C$4:$C$138,MATCH($A121,Charges_NonSlice!$AC$4:$AC$138,0),1)</f>
        <v>Coulee Dam, City of</v>
      </c>
      <c r="I121" s="100">
        <f ca="1">+INDEX(Charges_NonSlice!$AB$4:$AB$138,MATCH($A121,Charges_NonSlice!$AC$4:$AC$138,0),1)</f>
        <v>-4.1295263243903814E-3</v>
      </c>
      <c r="J121" s="129">
        <f ca="1">+INDEX(Charges_NonSlice!$AA$4:$AA$138,MATCH($A121,Charges_NonSlice!$AC$4:$AC$138,0),1)</f>
        <v>36.979380492238604</v>
      </c>
      <c r="K121" s="297">
        <f ca="1">+INDEX(Charges_NonSlice!$Z$4:$Z$138,MATCH($A121,Charges_NonSlice!$AC$4:$AC$138,0),1)/1000</f>
        <v>16.712427602227201</v>
      </c>
      <c r="L121" s="107">
        <f ca="1">+SUM(K$5:K121)</f>
        <v>43695.913438677511</v>
      </c>
      <c r="N121" s="295" t="str">
        <f ca="1">+INDEX('Charges_NonSlice &amp; Excl LS'!$C$4:$C$138,MATCH($A121,'Charges_NonSlice &amp; Excl LS'!$AC$4:$AC$138,0),1)</f>
        <v>Coulee Dam, City of</v>
      </c>
      <c r="O121" s="100">
        <f ca="1">+INDEX('Charges_NonSlice &amp; Excl LS'!$AB$4:$AB$138,MATCH($A121,'Charges_NonSlice &amp; Excl LS'!$AC$4:$AC$138,0),1)</f>
        <v>-6.0676682216376362E-3</v>
      </c>
      <c r="P121" s="129">
        <f ca="1">+INDEX('Charges_NonSlice &amp; Excl LS'!$AA$4:$AA$138,MATCH($A121,'Charges_NonSlice &amp; Excl LS'!$AC$4:$AC$138,0),1)</f>
        <v>35.962660109533111</v>
      </c>
      <c r="Q121" s="297">
        <f ca="1">+INDEX('Charges_NonSlice &amp; Excl LS'!$Z$4:$Z$138,MATCH($A121,'Charges_NonSlice &amp; Excl LS'!$AC$4:$AC$138,0),1)/1000</f>
        <v>16.715427602227201</v>
      </c>
      <c r="R121" s="107">
        <f ca="1">+SUM(Q$5:Q121)</f>
        <v>43876.047631142697</v>
      </c>
      <c r="T121" s="295" t="str">
        <f ca="1">+INDEX(Charges_NonSlice!$C$4:$C$138,MATCH($A121,Charges_NonSlice!$AC$4:$AC$138,0),1)</f>
        <v>Coulee Dam, City of</v>
      </c>
      <c r="U121" s="100">
        <f t="shared" ca="1" si="4"/>
        <v>-3.4332086363597636E-3</v>
      </c>
      <c r="V121" s="129">
        <f ca="1">+INDEX(Charges_NonSlice!$AA$4:$AA$138,MATCH($A121,Charges_NonSlice!$AC$4:$AC$138,0),1)</f>
        <v>36.979380492238604</v>
      </c>
      <c r="W121" s="120">
        <f t="shared" ca="1" si="3"/>
        <v>37.106775795366723</v>
      </c>
      <c r="Y121" s="103" t="s">
        <v>269</v>
      </c>
      <c r="Z121" s="104">
        <v>36.760498145341792</v>
      </c>
    </row>
    <row r="122" spans="1:26">
      <c r="A122">
        <f t="shared" si="5"/>
        <v>118</v>
      </c>
      <c r="B122" s="112" t="str">
        <f ca="1">+INDEX('Charges_Including Slice and LS'!$C$4:$C$138,MATCH($A122,'Charges_Including Slice and LS'!$AC$4:$AC$138,0),1)</f>
        <v>Kalispel Tribe Utility</v>
      </c>
      <c r="C122" s="100">
        <f ca="1">+INDEX('Charges_Including Slice and LS'!$AB$4:$AB$138,MATCH($A122,'Charges_Including Slice and LS'!$AC$4:$AC$138,0),1)</f>
        <v>-2.3082395824111424E-2</v>
      </c>
      <c r="D122" s="86">
        <f ca="1">+INDEX('Charges_Including Slice and LS'!$AA$4:$AA$138,MATCH($A122,'Charges_Including Slice and LS'!$AC$4:$AC$138,0),1)</f>
        <v>36.478195432315879</v>
      </c>
      <c r="E122" s="107">
        <f ca="1">+INDEX('Charges_Including Slice and LS'!$Z$4:$Z$138,MATCH($A122,'Charges_Including Slice and LS'!$AC$4:$AC$138,0),1)/1000</f>
        <v>26.3810841027584</v>
      </c>
      <c r="F122" s="107">
        <f ca="1">+SUM(E$5:E122)</f>
        <v>56959.745848382147</v>
      </c>
      <c r="H122" s="295" t="str">
        <f ca="1">+INDEX(Charges_NonSlice!$C$4:$C$138,MATCH($A122,Charges_NonSlice!$AC$4:$AC$138,0),1)</f>
        <v>Jefferson County PUD #1</v>
      </c>
      <c r="I122" s="100">
        <f ca="1">+INDEX(Charges_NonSlice!$AB$4:$AB$138,MATCH($A122,Charges_NonSlice!$AC$4:$AC$138,0),1)</f>
        <v>-1.8408567078609786E-2</v>
      </c>
      <c r="J122" s="129">
        <f ca="1">+INDEX(Charges_NonSlice!$AA$4:$AA$138,MATCH($A122,Charges_NonSlice!$AC$4:$AC$138,0),1)</f>
        <v>37.911595881953758</v>
      </c>
      <c r="K122" s="297">
        <f ca="1">+INDEX(Charges_NonSlice!$Z$4:$Z$138,MATCH($A122,Charges_NonSlice!$AC$4:$AC$138,0),1)/1000</f>
        <v>394.70025599999997</v>
      </c>
      <c r="L122" s="107">
        <f ca="1">+SUM(K$5:K122)</f>
        <v>44090.613694677508</v>
      </c>
      <c r="N122" s="295" t="str">
        <f ca="1">+INDEX('Charges_NonSlice &amp; Excl LS'!$C$4:$C$138,MATCH($A122,'Charges_NonSlice &amp; Excl LS'!$AC$4:$AC$138,0),1)</f>
        <v>Kalispel Tribe Utility</v>
      </c>
      <c r="O122" s="100">
        <f ca="1">+INDEX('Charges_NonSlice &amp; Excl LS'!$AB$4:$AB$138,MATCH($A122,'Charges_NonSlice &amp; Excl LS'!$AC$4:$AC$138,0),1)</f>
        <v>-1.4321583381865493E-2</v>
      </c>
      <c r="P122" s="129">
        <f ca="1">+INDEX('Charges_NonSlice &amp; Excl LS'!$AA$4:$AA$138,MATCH($A122,'Charges_NonSlice &amp; Excl LS'!$AC$4:$AC$138,0),1)</f>
        <v>36.575317509084272</v>
      </c>
      <c r="Q122" s="297">
        <f ca="1">+INDEX('Charges_NonSlice &amp; Excl LS'!$Z$4:$Z$138,MATCH($A122,'Charges_NonSlice &amp; Excl LS'!$AC$4:$AC$138,0),1)/1000</f>
        <v>26.5200841027584</v>
      </c>
      <c r="R122" s="107">
        <f ca="1">+SUM(Q$5:Q122)</f>
        <v>43902.567715245459</v>
      </c>
      <c r="T122" s="295" t="str">
        <f ca="1">+INDEX(Charges_NonSlice!$C$4:$C$138,MATCH($A122,Charges_NonSlice!$AC$4:$AC$138,0),1)</f>
        <v>Jefferson County PUD #1</v>
      </c>
      <c r="U122" s="100">
        <f t="shared" ca="1" si="4"/>
        <v>-3.5821864607030851E-2</v>
      </c>
      <c r="V122" s="129">
        <f ca="1">+INDEX(Charges_NonSlice!$AA$4:$AA$138,MATCH($A122,Charges_NonSlice!$AC$4:$AC$138,0),1)</f>
        <v>37.911595881953758</v>
      </c>
      <c r="W122" s="120">
        <f t="shared" ca="1" si="3"/>
        <v>39.320115744485499</v>
      </c>
      <c r="Y122" s="103" t="s">
        <v>102</v>
      </c>
      <c r="Z122" s="104">
        <v>0</v>
      </c>
    </row>
    <row r="123" spans="1:26">
      <c r="A123" s="295">
        <f t="shared" si="5"/>
        <v>119</v>
      </c>
      <c r="B123" s="295" t="str">
        <f ca="1">+INDEX('Charges_Including Slice and LS'!$C$4:$C$138,MATCH($A123,'Charges_Including Slice and LS'!$AC$4:$AC$138,0),1)</f>
        <v>Lewis County PUD #1</v>
      </c>
      <c r="C123" s="100">
        <f ca="1">+INDEX('Charges_Including Slice and LS'!$AB$4:$AB$138,MATCH($A123,'Charges_Including Slice and LS'!$AC$4:$AC$138,0),1)</f>
        <v>-2.5069892943208525E-2</v>
      </c>
      <c r="D123" s="129">
        <f ca="1">+INDEX('Charges_Including Slice and LS'!$AA$4:$AA$138,MATCH($A123,'Charges_Including Slice and LS'!$AC$4:$AC$138,0),1)</f>
        <v>35.581233654960499</v>
      </c>
      <c r="E123" s="297">
        <f ca="1">+INDEX('Charges_Including Slice and LS'!$Z$4:$Z$138,MATCH($A123,'Charges_Including Slice and LS'!$AC$4:$AC$138,0),1)/1000</f>
        <v>955.75728689489904</v>
      </c>
      <c r="F123" s="297">
        <f ca="1">+SUM(E$5:E123)</f>
        <v>57915.503135277046</v>
      </c>
      <c r="H123" s="295" t="str">
        <f ca="1">+INDEX(Charges_NonSlice!$C$4:$C$138,MATCH($A123,Charges_NonSlice!$AC$4:$AC$138,0),1)</f>
        <v>Kalispel Tribe Utility</v>
      </c>
      <c r="I123" s="100">
        <f ca="1">+INDEX(Charges_NonSlice!$AB$4:$AB$138,MATCH($A123,Charges_NonSlice!$AC$4:$AC$138,0),1)</f>
        <v>-2.3082395824109217E-2</v>
      </c>
      <c r="J123" s="129">
        <f ca="1">+INDEX(Charges_NonSlice!$AA$4:$AA$138,MATCH($A123,Charges_NonSlice!$AC$4:$AC$138,0),1)</f>
        <v>36.478195432315879</v>
      </c>
      <c r="K123" s="297">
        <f ca="1">+INDEX(Charges_NonSlice!$Z$4:$Z$138,MATCH($A123,Charges_NonSlice!$AC$4:$AC$138,0),1)/1000</f>
        <v>26.3810841027584</v>
      </c>
      <c r="L123" s="297">
        <f ca="1">+SUM(K$5:K123)</f>
        <v>44116.994778780267</v>
      </c>
      <c r="N123" s="295" t="str">
        <f ca="1">+INDEX('Charges_NonSlice &amp; Excl LS'!$C$4:$C$138,MATCH($A123,'Charges_NonSlice &amp; Excl LS'!$AC$4:$AC$138,0),1)</f>
        <v>Jefferson County PUD #1</v>
      </c>
      <c r="O123" s="100">
        <f ca="1">+INDEX('Charges_NonSlice &amp; Excl LS'!$AB$4:$AB$138,MATCH($A123,'Charges_NonSlice &amp; Excl LS'!$AC$4:$AC$138,0),1)</f>
        <v>-2.0195876353023501E-2</v>
      </c>
      <c r="P123" s="129">
        <f ca="1">+INDEX('Charges_NonSlice &amp; Excl LS'!$AA$4:$AA$138,MATCH($A123,'Charges_NonSlice &amp; Excl LS'!$AC$4:$AC$138,0),1)</f>
        <v>37.145819297168607</v>
      </c>
      <c r="Q123" s="297">
        <f ca="1">+INDEX('Charges_NonSlice &amp; Excl LS'!$Z$4:$Z$138,MATCH($A123,'Charges_NonSlice &amp; Excl LS'!$AC$4:$AC$138,0),1)/1000</f>
        <v>390.75474315018243</v>
      </c>
      <c r="R123" s="297">
        <f ca="1">+SUM(Q$5:Q123)</f>
        <v>44293.32245839564</v>
      </c>
      <c r="T123" s="295" t="str">
        <f ca="1">+INDEX(Charges_NonSlice!$C$4:$C$138,MATCH($A123,Charges_NonSlice!$AC$4:$AC$138,0),1)</f>
        <v>Kalispel Tribe Utility</v>
      </c>
      <c r="U123" s="100">
        <f t="shared" ca="1" si="4"/>
        <v>-7.6795127179658529E-3</v>
      </c>
      <c r="V123" s="129">
        <f ca="1">+INDEX(Charges_NonSlice!$AA$4:$AA$138,MATCH($A123,Charges_NonSlice!$AC$4:$AC$138,0),1)</f>
        <v>36.478195432315879</v>
      </c>
      <c r="W123" s="120">
        <f t="shared" ref="W123" ca="1" si="6">+VLOOKUP(T123,Y:Z,2,FALSE)</f>
        <v>36.760498145341792</v>
      </c>
      <c r="Y123" s="103"/>
      <c r="Z123" s="104"/>
    </row>
    <row r="124" spans="1:26">
      <c r="Y124" s="103"/>
      <c r="Z124" s="104"/>
    </row>
    <row r="125" spans="1:26">
      <c r="Y125" s="103"/>
      <c r="Z125" s="104"/>
    </row>
    <row r="126" spans="1:26">
      <c r="C126" s="106"/>
      <c r="I126" s="106"/>
      <c r="O126" s="106"/>
      <c r="U126" s="106"/>
      <c r="Y126" s="103"/>
      <c r="Z126" s="104"/>
    </row>
    <row r="127" spans="1:26">
      <c r="Y127" s="103"/>
      <c r="Z127" s="104"/>
    </row>
    <row r="128" spans="1:26">
      <c r="Y128" s="103"/>
      <c r="Z128" s="104"/>
    </row>
    <row r="129" spans="25:26">
      <c r="Y129" s="103"/>
      <c r="Z129" s="104"/>
    </row>
    <row r="130" spans="25:26">
      <c r="Y130" s="103"/>
      <c r="Z130" s="104"/>
    </row>
    <row r="131" spans="25:26">
      <c r="Y131" s="103"/>
      <c r="Z131" s="104"/>
    </row>
    <row r="132" spans="25:26">
      <c r="Y132" s="103"/>
      <c r="Z132" s="104"/>
    </row>
    <row r="133" spans="25:26">
      <c r="Y133" s="103"/>
      <c r="Z133" s="104"/>
    </row>
    <row r="134" spans="25:26">
      <c r="Y134" s="103"/>
      <c r="Z134" s="104"/>
    </row>
    <row r="135" spans="25:26">
      <c r="Y135" s="103"/>
      <c r="Z135" s="104"/>
    </row>
    <row r="136" spans="25:26">
      <c r="Y136" s="103"/>
      <c r="Z136" s="104"/>
    </row>
    <row r="137" spans="25:26">
      <c r="Y137"/>
      <c r="Z137"/>
    </row>
    <row r="138" spans="25:26">
      <c r="Y138"/>
      <c r="Z138"/>
    </row>
    <row r="139" spans="25:26">
      <c r="Y139"/>
      <c r="Z139"/>
    </row>
    <row r="140" spans="25:26">
      <c r="Y140" s="101"/>
      <c r="Z140" s="101"/>
    </row>
    <row r="141" spans="25:26">
      <c r="Y141" s="101"/>
      <c r="Z141" s="101"/>
    </row>
    <row r="142" spans="25:26">
      <c r="Y142" s="101"/>
      <c r="Z142" s="101"/>
    </row>
    <row r="143" spans="25:26">
      <c r="Y143" s="101"/>
      <c r="Z143" s="101"/>
    </row>
    <row r="144" spans="25:26">
      <c r="Y144" s="101"/>
      <c r="Z144" s="101"/>
    </row>
    <row r="145" spans="25:26">
      <c r="Y145" s="101"/>
      <c r="Z145" s="101"/>
    </row>
    <row r="146" spans="25:26">
      <c r="Y146" s="101"/>
      <c r="Z146" s="101"/>
    </row>
    <row r="147" spans="25:26">
      <c r="Y147" s="101"/>
      <c r="Z147" s="101"/>
    </row>
    <row r="148" spans="25:26">
      <c r="Y148" s="101"/>
      <c r="Z148" s="101"/>
    </row>
    <row r="149" spans="25:26">
      <c r="Y149" s="101"/>
      <c r="Z149" s="101"/>
    </row>
    <row r="150" spans="25:26">
      <c r="Y150" s="101"/>
      <c r="Z150" s="101"/>
    </row>
    <row r="151" spans="25:26">
      <c r="Y151" s="101"/>
      <c r="Z151" s="101"/>
    </row>
    <row r="152" spans="25:26">
      <c r="Y152" s="101"/>
      <c r="Z152" s="101"/>
    </row>
    <row r="153" spans="25:26">
      <c r="Y153" s="101"/>
      <c r="Z153" s="101"/>
    </row>
    <row r="154" spans="25:26">
      <c r="Y154" s="101"/>
      <c r="Z154" s="101"/>
    </row>
    <row r="155" spans="25:26">
      <c r="Y155" s="101"/>
      <c r="Z155" s="101"/>
    </row>
    <row r="156" spans="25:26">
      <c r="Y156" s="101"/>
      <c r="Z156" s="101"/>
    </row>
    <row r="157" spans="25:26">
      <c r="Y157" s="101"/>
      <c r="Z157" s="101"/>
    </row>
    <row r="158" spans="25:26">
      <c r="Y158" s="101"/>
      <c r="Z158" s="101"/>
    </row>
    <row r="159" spans="25:26">
      <c r="Y159" s="101"/>
      <c r="Z159" s="101"/>
    </row>
    <row r="160" spans="25:26">
      <c r="Y160" s="101"/>
      <c r="Z160" s="101"/>
    </row>
    <row r="161" spans="25:26">
      <c r="Y161" s="101"/>
      <c r="Z161" s="101"/>
    </row>
    <row r="162" spans="25:26">
      <c r="Y162" s="101"/>
      <c r="Z162" s="101"/>
    </row>
    <row r="163" spans="25:26">
      <c r="Y163" s="101"/>
      <c r="Z163" s="101"/>
    </row>
    <row r="164" spans="25:26">
      <c r="Y164" s="101"/>
      <c r="Z164" s="101"/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7"/>
  </sheetPr>
  <dimension ref="A2:Q122"/>
  <sheetViews>
    <sheetView workbookViewId="0">
      <pane xSplit="2" ySplit="3" topLeftCell="D4" activePane="bottomRight" state="frozen"/>
      <selection activeCell="B86" sqref="B86"/>
      <selection pane="topRight" activeCell="B86" sqref="B86"/>
      <selection pane="bottomLeft" activeCell="B86" sqref="B86"/>
      <selection pane="bottomRight" activeCell="B4" sqref="B4"/>
    </sheetView>
  </sheetViews>
  <sheetFormatPr defaultRowHeight="15"/>
  <cols>
    <col min="2" max="2" width="35.42578125" customWidth="1"/>
    <col min="3" max="10" width="15.85546875" style="86" customWidth="1"/>
    <col min="11" max="11" width="12.28515625" style="86" customWidth="1"/>
    <col min="12" max="16" width="15.85546875" style="86" customWidth="1"/>
    <col min="17" max="17" width="14.5703125" style="86" customWidth="1"/>
  </cols>
  <sheetData>
    <row r="2" spans="1:17">
      <c r="C2" s="85" t="s">
        <v>232</v>
      </c>
      <c r="D2" s="85"/>
      <c r="E2" s="85"/>
      <c r="L2" s="85" t="s">
        <v>236</v>
      </c>
      <c r="M2" s="85"/>
    </row>
    <row r="3" spans="1:17" ht="69" customHeight="1" thickBot="1">
      <c r="C3" s="87" t="s">
        <v>231</v>
      </c>
      <c r="D3" s="87"/>
      <c r="E3" s="87"/>
      <c r="F3" s="87" t="s">
        <v>239</v>
      </c>
      <c r="G3" s="87"/>
      <c r="H3" s="87" t="s">
        <v>237</v>
      </c>
      <c r="I3" s="87"/>
      <c r="J3" s="87" t="s">
        <v>238</v>
      </c>
      <c r="K3" s="87" t="s">
        <v>241</v>
      </c>
      <c r="L3" s="87" t="s">
        <v>231</v>
      </c>
      <c r="M3" s="87"/>
      <c r="N3" s="87" t="s">
        <v>239</v>
      </c>
      <c r="O3" s="87"/>
      <c r="P3" s="87" t="s">
        <v>238</v>
      </c>
    </row>
    <row r="4" spans="1:17">
      <c r="A4">
        <f>IF(VLOOKUP(B4,TOCA_current!$B$2:$AG$137,32,FALSE)=0,0,1)</f>
        <v>0</v>
      </c>
      <c r="B4" t="s">
        <v>35</v>
      </c>
      <c r="C4" s="86" t="str">
        <f>IF(A4=1,VLOOKUP($B4,Outputs!$B:$F,2,FALSE),"")</f>
        <v/>
      </c>
      <c r="D4" s="86">
        <f ca="1">IF(A4=0,VLOOKUP($B4,Outputs!$B:$F,2,FALSE),"")</f>
        <v>5.9604219589634092E-3</v>
      </c>
      <c r="E4" s="91"/>
      <c r="F4" s="92" t="str">
        <f>IF(A4=1,VLOOKUP($B4,Outputs!$H:$L,2,FALSE),"")</f>
        <v/>
      </c>
      <c r="G4" s="93">
        <f ca="1">IF(A4=0,VLOOKUP($B4,Outputs!$H:$L,2,FALSE),"")</f>
        <v>5.9604219589658195E-3</v>
      </c>
      <c r="J4" s="88">
        <f ca="1">VLOOKUP($B4,Outputs!$N:$R,2,FALSE)</f>
        <v>5.4152176529729231E-3</v>
      </c>
      <c r="K4" s="88">
        <f ca="1">+VLOOKUP(B4,Outputs!T:U,2,FALSE)</f>
        <v>-3.9556650053973574E-2</v>
      </c>
      <c r="L4" s="86" t="str">
        <f>IF($A4=1,VLOOKUP($B4,Outputs!$B:$F,3,FALSE),"")</f>
        <v/>
      </c>
      <c r="M4" s="86">
        <f ca="1">IF($A4=0,VLOOKUP($B4,Outputs!$B:$F,3,FALSE),"")</f>
        <v>38.822592194416309</v>
      </c>
      <c r="N4" s="86" t="str">
        <f>IF($A4=1,VLOOKUP($B4,Outputs!$H:$L,3,FALSE),"")</f>
        <v/>
      </c>
      <c r="O4" s="86">
        <f ca="1">IF($A4=0,VLOOKUP($B4,Outputs!$H:$L,3,FALSE),"")</f>
        <v>38.822592194416309</v>
      </c>
      <c r="P4" s="86" t="str">
        <f>IF($A4=1,VLOOKUP($B4,Outputs!$N:$R,3,FALSE),"")</f>
        <v/>
      </c>
      <c r="Q4" s="86">
        <f ca="1">IF($A4=0,VLOOKUP($B4,Outputs!$N:$R,3,FALSE),"")</f>
        <v>37.854350957674939</v>
      </c>
    </row>
    <row r="5" spans="1:17">
      <c r="A5" s="240">
        <f>IF(VLOOKUP(B5,TOCA_current!$B$2:$AG$137,32,FALSE)=0,0,1)</f>
        <v>0</v>
      </c>
      <c r="B5" t="s">
        <v>52</v>
      </c>
      <c r="C5" s="86" t="str">
        <f>IF(A5=1,VLOOKUP($B5,Outputs!$B:$F,2,FALSE),"")</f>
        <v/>
      </c>
      <c r="D5" s="86">
        <f ca="1">IF(A5=0,VLOOKUP($B5,Outputs!$B:$F,2,FALSE),"")</f>
        <v>2.3689943873145138E-2</v>
      </c>
      <c r="E5" s="94"/>
      <c r="F5" s="95" t="str">
        <f>IF(A5=1,VLOOKUP($B5,Outputs!$H:$L,2,FALSE),"")</f>
        <v/>
      </c>
      <c r="G5" s="96">
        <f ca="1">IF(A5=0,VLOOKUP($B5,Outputs!$H:$L,2,FALSE),"")</f>
        <v>2.3689943873142751E-2</v>
      </c>
      <c r="J5" s="89">
        <f ca="1">VLOOKUP($B5,Outputs!$N:$R,2,FALSE)</f>
        <v>2.4186132943188603E-2</v>
      </c>
      <c r="K5" s="89">
        <f ca="1">+VLOOKUP(B5,Outputs!T:U,2,FALSE)</f>
        <v>-0.23351494359946401</v>
      </c>
      <c r="L5" s="86" t="str">
        <f>IF($A5=1,VLOOKUP($B5,Outputs!$B:$F,3,FALSE),"")</f>
        <v/>
      </c>
      <c r="M5" s="86">
        <f ca="1">IF($A5=0,VLOOKUP($B5,Outputs!$B:$F,3,FALSE),"")</f>
        <v>37.974477111033949</v>
      </c>
      <c r="N5" s="86" t="str">
        <f>IF($A5=1,VLOOKUP($B5,Outputs!$H:$L,3,FALSE),"")</f>
        <v/>
      </c>
      <c r="O5" s="86">
        <f ca="1">IF($A5=0,VLOOKUP($B5,Outputs!$H:$L,3,FALSE),"")</f>
        <v>37.974477111033949</v>
      </c>
      <c r="P5" s="86" t="str">
        <f>IF($A5=1,VLOOKUP($B5,Outputs!$N:$R,3,FALSE),"")</f>
        <v/>
      </c>
      <c r="Q5" s="86">
        <f ca="1">IF($A5=0,VLOOKUP($B5,Outputs!$N:$R,3,FALSE),"")</f>
        <v>38.173457374558339</v>
      </c>
    </row>
    <row r="6" spans="1:17">
      <c r="A6" s="240">
        <f>IF(VLOOKUP(B6,TOCA_current!$B$2:$AG$137,32,FALSE)=0,0,1)</f>
        <v>0</v>
      </c>
      <c r="B6" t="s">
        <v>26</v>
      </c>
      <c r="C6" s="86" t="str">
        <f>IF(A6=1,VLOOKUP($B6,Outputs!$B:$F,2,FALSE),"")</f>
        <v/>
      </c>
      <c r="D6" s="86">
        <f ca="1">IF(A6=0,VLOOKUP($B6,Outputs!$B:$F,2,FALSE),"")</f>
        <v>7.2499219528888916E-4</v>
      </c>
      <c r="E6" s="94"/>
      <c r="F6" s="95" t="str">
        <f>IF(A6=1,VLOOKUP($B6,Outputs!$H:$L,2,FALSE),"")</f>
        <v/>
      </c>
      <c r="G6" s="96">
        <f ca="1">IF(A6=0,VLOOKUP($B6,Outputs!$H:$L,2,FALSE),"")</f>
        <v>7.2499219529364393E-4</v>
      </c>
      <c r="J6" s="89">
        <f ca="1">VLOOKUP($B6,Outputs!$N:$R,2,FALSE)</f>
        <v>-5.0125032782313936E-4</v>
      </c>
      <c r="K6" s="89">
        <f ca="1">+VLOOKUP(B6,Outputs!T:U,2,FALSE)</f>
        <v>7.4856115575991922E-3</v>
      </c>
      <c r="L6" s="86" t="str">
        <f>IF($A6=1,VLOOKUP($B6,Outputs!$B:$F,3,FALSE),"")</f>
        <v/>
      </c>
      <c r="M6" s="86">
        <f ca="1">IF($A6=0,VLOOKUP($B6,Outputs!$B:$F,3,FALSE),"")</f>
        <v>38.42446908978247</v>
      </c>
      <c r="N6" s="86" t="str">
        <f>IF($A6=1,VLOOKUP($B6,Outputs!$H:$L,3,FALSE),"")</f>
        <v/>
      </c>
      <c r="O6" s="86">
        <f ca="1">IF($A6=0,VLOOKUP($B6,Outputs!$H:$L,3,FALSE),"")</f>
        <v>38.42446908978247</v>
      </c>
      <c r="P6" s="86" t="str">
        <f>IF($A6=1,VLOOKUP($B6,Outputs!$N:$R,3,FALSE),"")</f>
        <v/>
      </c>
      <c r="Q6" s="86">
        <f ca="1">IF($A6=0,VLOOKUP($B6,Outputs!$N:$R,3,FALSE),"")</f>
        <v>37.759395348957014</v>
      </c>
    </row>
    <row r="7" spans="1:17">
      <c r="A7" s="240">
        <f>IF(VLOOKUP(B7,TOCA_current!$B$2:$AG$137,32,FALSE)=0,0,1)</f>
        <v>0</v>
      </c>
      <c r="B7" t="s">
        <v>16</v>
      </c>
      <c r="C7" s="86" t="str">
        <f>IF(A7=1,VLOOKUP($B7,Outputs!$B:$F,2,FALSE),"")</f>
        <v/>
      </c>
      <c r="D7" s="86">
        <f ca="1">IF(A7=0,VLOOKUP($B7,Outputs!$B:$F,2,FALSE),"")</f>
        <v>3.607557410777762E-3</v>
      </c>
      <c r="E7" s="94"/>
      <c r="F7" s="95" t="str">
        <f>IF(A7=1,VLOOKUP($B7,Outputs!$H:$L,2,FALSE),"")</f>
        <v/>
      </c>
      <c r="G7" s="96">
        <f ca="1">IF(A7=0,VLOOKUP($B7,Outputs!$H:$L,2,FALSE),"")</f>
        <v>3.6075574107837347E-3</v>
      </c>
      <c r="J7" s="89">
        <f ca="1">VLOOKUP($B7,Outputs!$N:$R,2,FALSE)</f>
        <v>2.9262638632089181E-3</v>
      </c>
      <c r="K7" s="89">
        <f ca="1">+VLOOKUP(B7,Outputs!T:U,2,FALSE)</f>
        <v>-6.622665399606209E-3</v>
      </c>
      <c r="L7" s="86" t="str">
        <f>IF($A7=1,VLOOKUP($B7,Outputs!$B:$F,3,FALSE),"")</f>
        <v/>
      </c>
      <c r="M7" s="86">
        <f ca="1">IF($A7=0,VLOOKUP($B7,Outputs!$B:$F,3,FALSE),"")</f>
        <v>40.133402939051649</v>
      </c>
      <c r="N7" s="86" t="str">
        <f>IF($A7=1,VLOOKUP($B7,Outputs!$H:$L,3,FALSE),"")</f>
        <v/>
      </c>
      <c r="O7" s="86">
        <f ca="1">IF($A7=0,VLOOKUP($B7,Outputs!$H:$L,3,FALSE),"")</f>
        <v>40.133402939051649</v>
      </c>
      <c r="P7" s="86" t="str">
        <f>IF($A7=1,VLOOKUP($B7,Outputs!$N:$R,3,FALSE),"")</f>
        <v/>
      </c>
      <c r="Q7" s="86">
        <f ca="1">IF($A7=0,VLOOKUP($B7,Outputs!$N:$R,3,FALSE),"")</f>
        <v>39.241063995708146</v>
      </c>
    </row>
    <row r="8" spans="1:17">
      <c r="A8" s="240">
        <f>IF(VLOOKUP(B8,TOCA_current!$B$2:$AG$137,32,FALSE)=0,0,1)</f>
        <v>0</v>
      </c>
      <c r="B8" t="s">
        <v>123</v>
      </c>
      <c r="C8" s="86" t="str">
        <f>IF(A8=1,VLOOKUP($B8,Outputs!$B:$F,2,FALSE),"")</f>
        <v/>
      </c>
      <c r="D8" s="86">
        <f ca="1">IF(A8=0,VLOOKUP($B8,Outputs!$B:$F,2,FALSE),"")</f>
        <v>2.219881154814507E-2</v>
      </c>
      <c r="E8" s="94"/>
      <c r="F8" s="95" t="str">
        <f>IF(A8=1,VLOOKUP($B8,Outputs!$H:$L,2,FALSE),"")</f>
        <v/>
      </c>
      <c r="G8" s="96">
        <f ca="1">IF(A8=0,VLOOKUP($B8,Outputs!$H:$L,2,FALSE),"")</f>
        <v>2.2198811548148744E-2</v>
      </c>
      <c r="J8" s="89">
        <f ca="1">VLOOKUP($B8,Outputs!$N:$R,2,FALSE)</f>
        <v>2.1156356159288101E-2</v>
      </c>
      <c r="K8" s="89">
        <f ca="1">+VLOOKUP(B8,Outputs!T:U,2,FALSE)</f>
        <v>1.676925355989578E-2</v>
      </c>
      <c r="L8" s="86" t="str">
        <f>IF($A8=1,VLOOKUP($B8,Outputs!$B:$F,3,FALSE),"")</f>
        <v/>
      </c>
      <c r="M8" s="86">
        <f ca="1">IF($A8=0,VLOOKUP($B8,Outputs!$B:$F,3,FALSE),"")</f>
        <v>38.786221324289386</v>
      </c>
      <c r="N8" s="86" t="str">
        <f>IF($A8=1,VLOOKUP($B8,Outputs!$H:$L,3,FALSE),"")</f>
        <v/>
      </c>
      <c r="O8" s="86">
        <f ca="1">IF($A8=0,VLOOKUP($B8,Outputs!$H:$L,3,FALSE),"")</f>
        <v>38.786221324289386</v>
      </c>
      <c r="P8" s="86" t="str">
        <f>IF($A8=1,VLOOKUP($B8,Outputs!$N:$R,3,FALSE),"")</f>
        <v/>
      </c>
      <c r="Q8" s="86">
        <f ca="1">IF($A8=0,VLOOKUP($B8,Outputs!$N:$R,3,FALSE),"")</f>
        <v>37.83600223569907</v>
      </c>
    </row>
    <row r="9" spans="1:17">
      <c r="A9" s="240">
        <f>IF(VLOOKUP(B9,TOCA_current!$B$2:$AG$137,32,FALSE)=0,0,1)</f>
        <v>0</v>
      </c>
      <c r="B9" t="s">
        <v>65</v>
      </c>
      <c r="C9" s="86" t="str">
        <f>IF(A9=1,VLOOKUP($B9,Outputs!$B:$F,2,FALSE),"")</f>
        <v/>
      </c>
      <c r="D9" s="86">
        <f ca="1">IF(A9=0,VLOOKUP($B9,Outputs!$B:$F,2,FALSE),"")</f>
        <v>-8.2714252798577902E-4</v>
      </c>
      <c r="E9" s="94"/>
      <c r="F9" s="95" t="str">
        <f>IF(A9=1,VLOOKUP($B9,Outputs!$H:$L,2,FALSE),"")</f>
        <v/>
      </c>
      <c r="G9" s="96">
        <f ca="1">IF(A9=0,VLOOKUP($B9,Outputs!$H:$L,2,FALSE),"")</f>
        <v>-8.27142527977417E-4</v>
      </c>
      <c r="J9" s="89">
        <f ca="1">VLOOKUP($B9,Outputs!$N:$R,2,FALSE)</f>
        <v>-1.0975659316896586E-3</v>
      </c>
      <c r="K9" s="89">
        <f ca="1">+VLOOKUP(B9,Outputs!T:U,2,FALSE)</f>
        <v>5.6080038721453285E-3</v>
      </c>
      <c r="L9" s="86" t="str">
        <f>IF($A9=1,VLOOKUP($B9,Outputs!$B:$F,3,FALSE),"")</f>
        <v/>
      </c>
      <c r="M9" s="86">
        <f ca="1">IF($A9=0,VLOOKUP($B9,Outputs!$B:$F,3,FALSE),"")</f>
        <v>38.614113127218587</v>
      </c>
      <c r="N9" s="86" t="str">
        <f>IF($A9=1,VLOOKUP($B9,Outputs!$H:$L,3,FALSE),"")</f>
        <v/>
      </c>
      <c r="O9" s="86">
        <f ca="1">IF($A9=0,VLOOKUP($B9,Outputs!$H:$L,3,FALSE),"")</f>
        <v>38.614113127218587</v>
      </c>
      <c r="P9" s="86" t="str">
        <f>IF($A9=1,VLOOKUP($B9,Outputs!$N:$R,3,FALSE),"")</f>
        <v/>
      </c>
      <c r="Q9" s="86">
        <f ca="1">IF($A9=0,VLOOKUP($B9,Outputs!$N:$R,3,FALSE),"")</f>
        <v>38.026909065895644</v>
      </c>
    </row>
    <row r="10" spans="1:17">
      <c r="A10" s="240">
        <f>IF(VLOOKUP(B10,TOCA_current!$B$2:$AG$137,32,FALSE)=0,0,1)</f>
        <v>0</v>
      </c>
      <c r="B10" t="s">
        <v>7</v>
      </c>
      <c r="C10" s="86" t="str">
        <f>IF(A10=1,VLOOKUP($B10,Outputs!$B:$F,2,FALSE),"")</f>
        <v/>
      </c>
      <c r="D10" s="86">
        <f ca="1">IF(A10=0,VLOOKUP($B10,Outputs!$B:$F,2,FALSE),"")</f>
        <v>2.9064975042657936E-2</v>
      </c>
      <c r="E10" s="94"/>
      <c r="F10" s="95" t="str">
        <f>IF(A10=1,VLOOKUP($B10,Outputs!$H:$L,2,FALSE),"")</f>
        <v/>
      </c>
      <c r="G10" s="96">
        <f ca="1">IF(A10=0,VLOOKUP($B10,Outputs!$H:$L,2,FALSE),"")</f>
        <v>2.9064975042651198E-2</v>
      </c>
      <c r="J10" s="89">
        <f ca="1">VLOOKUP($B10,Outputs!$N:$R,2,FALSE)</f>
        <v>2.7909684792978708E-2</v>
      </c>
      <c r="K10" s="89">
        <f ca="1">+VLOOKUP(B10,Outputs!T:U,2,FALSE)</f>
        <v>2.3534318632400852E-2</v>
      </c>
      <c r="L10" s="86" t="str">
        <f>IF($A10=1,VLOOKUP($B10,Outputs!$B:$F,3,FALSE),"")</f>
        <v/>
      </c>
      <c r="M10" s="86">
        <f ca="1">IF($A10=0,VLOOKUP($B10,Outputs!$B:$F,3,FALSE),"")</f>
        <v>36.629537272511214</v>
      </c>
      <c r="N10" s="86" t="str">
        <f>IF($A10=1,VLOOKUP($B10,Outputs!$H:$L,3,FALSE),"")</f>
        <v/>
      </c>
      <c r="O10" s="86">
        <f ca="1">IF($A10=0,VLOOKUP($B10,Outputs!$H:$L,3,FALSE),"")</f>
        <v>36.629537272511214</v>
      </c>
      <c r="P10" s="86" t="str">
        <f>IF($A10=1,VLOOKUP($B10,Outputs!$N:$R,3,FALSE),"")</f>
        <v/>
      </c>
      <c r="Q10" s="86">
        <f ca="1">IF($A10=0,VLOOKUP($B10,Outputs!$N:$R,3,FALSE),"")</f>
        <v>35.834878239312253</v>
      </c>
    </row>
    <row r="11" spans="1:17">
      <c r="A11" s="240">
        <f>IF(VLOOKUP(B11,TOCA_current!$B$2:$AG$137,32,FALSE)=0,0,1)</f>
        <v>0</v>
      </c>
      <c r="B11" t="s">
        <v>8</v>
      </c>
      <c r="C11" s="86" t="str">
        <f>IF(A11=1,VLOOKUP($B11,Outputs!$B:$F,2,FALSE),"")</f>
        <v/>
      </c>
      <c r="D11" s="86">
        <f ca="1">IF(A11=0,VLOOKUP($B11,Outputs!$B:$F,2,FALSE),"")</f>
        <v>-4.0934677881377737E-3</v>
      </c>
      <c r="E11" s="94"/>
      <c r="F11" s="95" t="str">
        <f>IF(A11=1,VLOOKUP($B11,Outputs!$H:$L,2,FALSE),"")</f>
        <v/>
      </c>
      <c r="G11" s="96">
        <f ca="1">IF(A11=0,VLOOKUP($B11,Outputs!$H:$L,2,FALSE),"")</f>
        <v>-4.0934677881310473E-3</v>
      </c>
      <c r="J11" s="89">
        <f ca="1">VLOOKUP($B11,Outputs!$N:$R,2,FALSE)</f>
        <v>-8.4192087190589494E-4</v>
      </c>
      <c r="K11" s="89">
        <f ca="1">+VLOOKUP(B11,Outputs!T:U,2,FALSE)</f>
        <v>-6.3224616512649323E-3</v>
      </c>
      <c r="L11" s="86" t="str">
        <f>IF($A11=1,VLOOKUP($B11,Outputs!$B:$F,3,FALSE),"")</f>
        <v/>
      </c>
      <c r="M11" s="86">
        <f ca="1">IF($A11=0,VLOOKUP($B11,Outputs!$B:$F,3,FALSE),"")</f>
        <v>41.688810818955254</v>
      </c>
      <c r="N11" s="86" t="str">
        <f>IF($A11=1,VLOOKUP($B11,Outputs!$H:$L,3,FALSE),"")</f>
        <v/>
      </c>
      <c r="O11" s="86">
        <f ca="1">IF($A11=0,VLOOKUP($B11,Outputs!$H:$L,3,FALSE),"")</f>
        <v>41.688810818955254</v>
      </c>
      <c r="P11" s="86" t="str">
        <f>IF($A11=1,VLOOKUP($B11,Outputs!$N:$R,3,FALSE),"")</f>
        <v/>
      </c>
      <c r="Q11" s="86">
        <f ca="1">IF($A11=0,VLOOKUP($B11,Outputs!$N:$R,3,FALSE),"")</f>
        <v>43.558481952686328</v>
      </c>
    </row>
    <row r="12" spans="1:17">
      <c r="A12" s="240">
        <f>IF(VLOOKUP(B12,TOCA_current!$B$2:$AG$137,32,FALSE)=0,0,1)</f>
        <v>0</v>
      </c>
      <c r="B12" t="s">
        <v>124</v>
      </c>
      <c r="C12" s="86" t="str">
        <f>IF(A12=1,VLOOKUP($B12,Outputs!$B:$F,2,FALSE),"")</f>
        <v/>
      </c>
      <c r="D12" s="86">
        <f ca="1">IF(A12=0,VLOOKUP($B12,Outputs!$B:$F,2,FALSE),"")</f>
        <v>1.8016160892768252E-2</v>
      </c>
      <c r="E12" s="94"/>
      <c r="F12" s="95" t="str">
        <f>IF(A12=1,VLOOKUP($B12,Outputs!$H:$L,2,FALSE),"")</f>
        <v/>
      </c>
      <c r="G12" s="96">
        <f ca="1">IF(A12=0,VLOOKUP($B12,Outputs!$H:$L,2,FALSE),"")</f>
        <v>1.8016160892773678E-2</v>
      </c>
      <c r="J12" s="89">
        <f ca="1">VLOOKUP($B12,Outputs!$N:$R,2,FALSE)</f>
        <v>1.935311374498876E-2</v>
      </c>
      <c r="K12" s="89">
        <f ca="1">+VLOOKUP(B12,Outputs!T:U,2,FALSE)</f>
        <v>1.5372414901013043E-2</v>
      </c>
      <c r="L12" s="86" t="str">
        <f>IF($A12=1,VLOOKUP($B12,Outputs!$B:$F,3,FALSE),"")</f>
        <v/>
      </c>
      <c r="M12" s="86">
        <f ca="1">IF($A12=0,VLOOKUP($B12,Outputs!$B:$F,3,FALSE),"")</f>
        <v>37.177767121515458</v>
      </c>
      <c r="N12" s="86" t="str">
        <f>IF($A12=1,VLOOKUP($B12,Outputs!$H:$L,3,FALSE),"")</f>
        <v/>
      </c>
      <c r="O12" s="86">
        <f ca="1">IF($A12=0,VLOOKUP($B12,Outputs!$H:$L,3,FALSE),"")</f>
        <v>37.177767121515458</v>
      </c>
      <c r="P12" s="86" t="str">
        <f>IF($A12=1,VLOOKUP($B12,Outputs!$N:$R,3,FALSE),"")</f>
        <v/>
      </c>
      <c r="Q12" s="86">
        <f ca="1">IF($A12=0,VLOOKUP($B12,Outputs!$N:$R,3,FALSE),"")</f>
        <v>37.364697640893745</v>
      </c>
    </row>
    <row r="13" spans="1:17">
      <c r="A13" s="240">
        <f>IF(VLOOKUP(B13,TOCA_current!$B$2:$AG$137,32,FALSE)=0,0,1)</f>
        <v>0</v>
      </c>
      <c r="B13" t="s">
        <v>27</v>
      </c>
      <c r="C13" s="86" t="str">
        <f>IF(A13=1,VLOOKUP($B13,Outputs!$B:$F,2,FALSE),"")</f>
        <v/>
      </c>
      <c r="D13" s="86">
        <f ca="1">IF(A13=0,VLOOKUP($B13,Outputs!$B:$F,2,FALSE),"")</f>
        <v>3.233533947108698E-2</v>
      </c>
      <c r="E13" s="94"/>
      <c r="F13" s="95" t="str">
        <f>IF(A13=1,VLOOKUP($B13,Outputs!$H:$L,2,FALSE),"")</f>
        <v/>
      </c>
      <c r="G13" s="96">
        <f ca="1">IF(A13=0,VLOOKUP($B13,Outputs!$H:$L,2,FALSE),"")</f>
        <v>3.2335339471080311E-2</v>
      </c>
      <c r="J13" s="89">
        <f ca="1">VLOOKUP($B13,Outputs!$N:$R,2,FALSE)</f>
        <v>3.1355776768618941E-2</v>
      </c>
      <c r="K13" s="89">
        <f ca="1">+VLOOKUP(B13,Outputs!T:U,2,FALSE)</f>
        <v>3.6034666996846321E-2</v>
      </c>
      <c r="L13" s="86" t="str">
        <f>IF($A13=1,VLOOKUP($B13,Outputs!$B:$F,3,FALSE),"")</f>
        <v/>
      </c>
      <c r="M13" s="86">
        <f ca="1">IF($A13=0,VLOOKUP($B13,Outputs!$B:$F,3,FALSE),"")</f>
        <v>37.552116508671041</v>
      </c>
      <c r="N13" s="86" t="str">
        <f>IF($A13=1,VLOOKUP($B13,Outputs!$H:$L,3,FALSE),"")</f>
        <v/>
      </c>
      <c r="O13" s="86">
        <f ca="1">IF($A13=0,VLOOKUP($B13,Outputs!$H:$L,3,FALSE),"")</f>
        <v>37.552116508671041</v>
      </c>
      <c r="P13" s="86" t="str">
        <f>IF($A13=1,VLOOKUP($B13,Outputs!$N:$R,3,FALSE),"")</f>
        <v/>
      </c>
      <c r="Q13" s="86">
        <f ca="1">IF($A13=0,VLOOKUP($B13,Outputs!$N:$R,3,FALSE),"")</f>
        <v>36.848317034050879</v>
      </c>
    </row>
    <row r="14" spans="1:17">
      <c r="A14" s="240">
        <f>IF(VLOOKUP(B14,TOCA_current!$B$2:$AG$137,32,FALSE)=0,0,1)</f>
        <v>0</v>
      </c>
      <c r="B14" t="s">
        <v>119</v>
      </c>
      <c r="C14" s="86" t="str">
        <f>IF(A14=1,VLOOKUP($B14,Outputs!$B:$F,2,FALSE),"")</f>
        <v/>
      </c>
      <c r="D14" s="86">
        <f ca="1">IF(A14=0,VLOOKUP($B14,Outputs!$B:$F,2,FALSE),"")</f>
        <v>-4.1295263243953384E-3</v>
      </c>
      <c r="E14" s="94"/>
      <c r="F14" s="95" t="str">
        <f>IF(A14=1,VLOOKUP($B14,Outputs!$H:$L,2,FALSE),"")</f>
        <v/>
      </c>
      <c r="G14" s="96">
        <f ca="1">IF(A14=0,VLOOKUP($B14,Outputs!$H:$L,2,FALSE),"")</f>
        <v>-4.1295263243903814E-3</v>
      </c>
      <c r="J14" s="89">
        <f ca="1">VLOOKUP($B14,Outputs!$N:$R,2,FALSE)</f>
        <v>-6.0676682216376362E-3</v>
      </c>
      <c r="K14" s="89">
        <f ca="1">+VLOOKUP(B14,Outputs!T:U,2,FALSE)</f>
        <v>-3.4332086363597636E-3</v>
      </c>
      <c r="L14" s="86" t="str">
        <f>IF($A14=1,VLOOKUP($B14,Outputs!$B:$F,3,FALSE),"")</f>
        <v/>
      </c>
      <c r="M14" s="86">
        <f ca="1">IF($A14=0,VLOOKUP($B14,Outputs!$B:$F,3,FALSE),"")</f>
        <v>36.979380492238604</v>
      </c>
      <c r="N14" s="86" t="str">
        <f>IF($A14=1,VLOOKUP($B14,Outputs!$H:$L,3,FALSE),"")</f>
        <v/>
      </c>
      <c r="O14" s="86">
        <f ca="1">IF($A14=0,VLOOKUP($B14,Outputs!$H:$L,3,FALSE),"")</f>
        <v>36.979380492238604</v>
      </c>
      <c r="P14" s="86" t="str">
        <f>IF($A14=1,VLOOKUP($B14,Outputs!$N:$R,3,FALSE),"")</f>
        <v/>
      </c>
      <c r="Q14" s="86">
        <f ca="1">IF($A14=0,VLOOKUP($B14,Outputs!$N:$R,3,FALSE),"")</f>
        <v>35.962660109533111</v>
      </c>
    </row>
    <row r="15" spans="1:17">
      <c r="A15" s="240">
        <f>IF(VLOOKUP(B15,TOCA_current!$B$2:$AG$137,32,FALSE)=0,0,1)</f>
        <v>0</v>
      </c>
      <c r="B15" t="s">
        <v>43</v>
      </c>
      <c r="C15" s="86" t="str">
        <f>IF(A15=1,VLOOKUP($B15,Outputs!$B:$F,2,FALSE),"")</f>
        <v/>
      </c>
      <c r="D15" s="86">
        <f ca="1">IF(A15=0,VLOOKUP($B15,Outputs!$B:$F,2,FALSE),"")</f>
        <v>9.4529240094339245E-4</v>
      </c>
      <c r="E15" s="94"/>
      <c r="F15" s="95" t="str">
        <f>IF(A15=1,VLOOKUP($B15,Outputs!$H:$L,2,FALSE),"")</f>
        <v/>
      </c>
      <c r="G15" s="96">
        <f ca="1">IF(A15=0,VLOOKUP($B15,Outputs!$H:$L,2,FALSE),"")</f>
        <v>9.4529240094381811E-4</v>
      </c>
      <c r="J15" s="89">
        <f ca="1">VLOOKUP($B15,Outputs!$N:$R,2,FALSE)</f>
        <v>-7.1548235465256429E-4</v>
      </c>
      <c r="K15" s="89">
        <f ca="1">+VLOOKUP(B15,Outputs!T:U,2,FALSE)</f>
        <v>8.5376440393316599E-3</v>
      </c>
      <c r="L15" s="86" t="str">
        <f>IF($A15=1,VLOOKUP($B15,Outputs!$B:$F,3,FALSE),"")</f>
        <v/>
      </c>
      <c r="M15" s="86">
        <f ca="1">IF($A15=0,VLOOKUP($B15,Outputs!$B:$F,3,FALSE),"")</f>
        <v>38.466252577974693</v>
      </c>
      <c r="N15" s="86" t="str">
        <f>IF($A15=1,VLOOKUP($B15,Outputs!$H:$L,3,FALSE),"")</f>
        <v/>
      </c>
      <c r="O15" s="86">
        <f ca="1">IF($A15=0,VLOOKUP($B15,Outputs!$H:$L,3,FALSE),"")</f>
        <v>38.466252577974693</v>
      </c>
      <c r="P15" s="86" t="str">
        <f>IF($A15=1,VLOOKUP($B15,Outputs!$N:$R,3,FALSE),"")</f>
        <v/>
      </c>
      <c r="Q15" s="86">
        <f ca="1">IF($A15=0,VLOOKUP($B15,Outputs!$N:$R,3,FALSE),"")</f>
        <v>37.640173227245313</v>
      </c>
    </row>
    <row r="16" spans="1:17">
      <c r="A16" s="240">
        <f>IF(VLOOKUP(B16,TOCA_current!$B$2:$AG$137,32,FALSE)=0,0,1)</f>
        <v>0</v>
      </c>
      <c r="B16" t="s">
        <v>107</v>
      </c>
      <c r="C16" s="86" t="str">
        <f>IF(A16=1,VLOOKUP($B16,Outputs!$B:$F,2,FALSE),"")</f>
        <v/>
      </c>
      <c r="D16" s="86">
        <f ca="1">IF(A16=0,VLOOKUP($B16,Outputs!$B:$F,2,FALSE),"")</f>
        <v>1.7181665739947061E-3</v>
      </c>
      <c r="E16" s="94"/>
      <c r="F16" s="95" t="str">
        <f>IF(A16=1,VLOOKUP($B16,Outputs!$H:$L,2,FALSE),"")</f>
        <v/>
      </c>
      <c r="G16" s="96">
        <f ca="1">IF(A16=0,VLOOKUP($B16,Outputs!$H:$L,2,FALSE),"")</f>
        <v>1.7181665740033381E-3</v>
      </c>
      <c r="J16" s="89">
        <f ca="1">VLOOKUP($B16,Outputs!$N:$R,2,FALSE)</f>
        <v>5.1126578555765571E-3</v>
      </c>
      <c r="K16" s="89">
        <f ca="1">+VLOOKUP(B16,Outputs!T:U,2,FALSE)</f>
        <v>2.9606203896046512E-3</v>
      </c>
      <c r="L16" s="86" t="str">
        <f>IF($A16=1,VLOOKUP($B16,Outputs!$B:$F,3,FALSE),"")</f>
        <v/>
      </c>
      <c r="M16" s="86">
        <f ca="1">IF($A16=0,VLOOKUP($B16,Outputs!$B:$F,3,FALSE),"")</f>
        <v>32.934081160212095</v>
      </c>
      <c r="N16" s="86" t="str">
        <f>IF($A16=1,VLOOKUP($B16,Outputs!$H:$L,3,FALSE),"")</f>
        <v/>
      </c>
      <c r="O16" s="86">
        <f ca="1">IF($A16=0,VLOOKUP($B16,Outputs!$H:$L,3,FALSE),"")</f>
        <v>32.934081160212095</v>
      </c>
      <c r="P16" s="86" t="str">
        <f>IF($A16=1,VLOOKUP($B16,Outputs!$N:$R,3,FALSE),"")</f>
        <v/>
      </c>
      <c r="Q16" s="86">
        <f ca="1">IF($A16=0,VLOOKUP($B16,Outputs!$N:$R,3,FALSE),"")</f>
        <v>33.30034114929996</v>
      </c>
    </row>
    <row r="17" spans="1:17">
      <c r="A17" s="240">
        <f>IF(VLOOKUP(B17,TOCA_current!$B$2:$AG$137,32,FALSE)=0,0,1)</f>
        <v>0</v>
      </c>
      <c r="B17" t="s">
        <v>22</v>
      </c>
      <c r="C17" s="86" t="str">
        <f>IF(A17=1,VLOOKUP($B17,Outputs!$B:$F,2,FALSE),"")</f>
        <v/>
      </c>
      <c r="D17" s="86">
        <f ca="1">IF(A17=0,VLOOKUP($B17,Outputs!$B:$F,2,FALSE),"")</f>
        <v>3.2081630866683426E-2</v>
      </c>
      <c r="E17" s="94"/>
      <c r="F17" s="95" t="str">
        <f>IF(A17=1,VLOOKUP($B17,Outputs!$H:$L,2,FALSE),"")</f>
        <v/>
      </c>
      <c r="G17" s="96">
        <f ca="1">IF(A17=0,VLOOKUP($B17,Outputs!$H:$L,2,FALSE),"")</f>
        <v>3.2081630866684578E-2</v>
      </c>
      <c r="J17" s="89">
        <f ca="1">VLOOKUP($B17,Outputs!$N:$R,2,FALSE)</f>
        <v>3.1256650766619126E-2</v>
      </c>
      <c r="K17" s="89">
        <f ca="1">+VLOOKUP(B17,Outputs!T:U,2,FALSE)</f>
        <v>3.8286426141906027E-2</v>
      </c>
      <c r="L17" s="86" t="str">
        <f>IF($A17=1,VLOOKUP($B17,Outputs!$B:$F,3,FALSE),"")</f>
        <v/>
      </c>
      <c r="M17" s="86">
        <f ca="1">IF($A17=0,VLOOKUP($B17,Outputs!$B:$F,3,FALSE),"")</f>
        <v>36.90169885794505</v>
      </c>
      <c r="N17" s="86" t="str">
        <f>IF($A17=1,VLOOKUP($B17,Outputs!$H:$L,3,FALSE),"")</f>
        <v/>
      </c>
      <c r="O17" s="86">
        <f ca="1">IF($A17=0,VLOOKUP($B17,Outputs!$H:$L,3,FALSE),"")</f>
        <v>36.90169885794505</v>
      </c>
      <c r="P17" s="86" t="str">
        <f>IF($A17=1,VLOOKUP($B17,Outputs!$N:$R,3,FALSE),"")</f>
        <v/>
      </c>
      <c r="Q17" s="86">
        <f ca="1">IF($A17=0,VLOOKUP($B17,Outputs!$N:$R,3,FALSE),"")</f>
        <v>36.226795625736266</v>
      </c>
    </row>
    <row r="18" spans="1:17">
      <c r="A18" s="240">
        <f>IF(VLOOKUP(B18,TOCA_current!$B$2:$AG$137,32,FALSE)=0,0,1)</f>
        <v>0</v>
      </c>
      <c r="B18" t="s">
        <v>61</v>
      </c>
      <c r="C18" s="86" t="str">
        <f>IF(A18=1,VLOOKUP($B18,Outputs!$B:$F,2,FALSE),"")</f>
        <v/>
      </c>
      <c r="D18" s="86">
        <f ca="1">IF(A18=0,VLOOKUP($B18,Outputs!$B:$F,2,FALSE),"")</f>
        <v>2.365445690946924E-2</v>
      </c>
      <c r="E18" s="94"/>
      <c r="F18" s="95" t="str">
        <f>IF(A18=1,VLOOKUP($B18,Outputs!$H:$L,2,FALSE),"")</f>
        <v/>
      </c>
      <c r="G18" s="96">
        <f ca="1">IF(A18=0,VLOOKUP($B18,Outputs!$H:$L,2,FALSE),"")</f>
        <v>2.365445690946226E-2</v>
      </c>
      <c r="J18" s="89">
        <f ca="1">VLOOKUP($B18,Outputs!$N:$R,2,FALSE)</f>
        <v>2.0391243853626641E-2</v>
      </c>
      <c r="K18" s="89">
        <f ca="1">+VLOOKUP(B18,Outputs!T:U,2,FALSE)</f>
        <v>1.3008338962381627E-2</v>
      </c>
      <c r="L18" s="86" t="str">
        <f>IF($A18=1,VLOOKUP($B18,Outputs!$B:$F,3,FALSE),"")</f>
        <v/>
      </c>
      <c r="M18" s="86">
        <f ca="1">IF($A18=0,VLOOKUP($B18,Outputs!$B:$F,3,FALSE),"")</f>
        <v>36.632902192796223</v>
      </c>
      <c r="N18" s="86" t="str">
        <f>IF($A18=1,VLOOKUP($B18,Outputs!$H:$L,3,FALSE),"")</f>
        <v/>
      </c>
      <c r="O18" s="86">
        <f ca="1">IF($A18=0,VLOOKUP($B18,Outputs!$H:$L,3,FALSE),"")</f>
        <v>36.632902192796223</v>
      </c>
      <c r="P18" s="86" t="str">
        <f>IF($A18=1,VLOOKUP($B18,Outputs!$N:$R,3,FALSE),"")</f>
        <v/>
      </c>
      <c r="Q18" s="86">
        <f ca="1">IF($A18=0,VLOOKUP($B18,Outputs!$N:$R,3,FALSE),"")</f>
        <v>36.078217187096946</v>
      </c>
    </row>
    <row r="19" spans="1:17">
      <c r="A19" s="240">
        <f>IF(VLOOKUP(B19,TOCA_current!$B$2:$AG$137,32,FALSE)=0,0,1)</f>
        <v>0</v>
      </c>
      <c r="B19" t="s">
        <v>25</v>
      </c>
      <c r="C19" s="86" t="str">
        <f>IF(A19=1,VLOOKUP($B19,Outputs!$B:$F,2,FALSE),"")</f>
        <v/>
      </c>
      <c r="D19" s="86">
        <f ca="1">IF(A19=0,VLOOKUP($B19,Outputs!$B:$F,2,FALSE),"")</f>
        <v>-6.3951061522836449E-4</v>
      </c>
      <c r="E19" s="94"/>
      <c r="F19" s="95" t="str">
        <f>IF(A19=1,VLOOKUP($B19,Outputs!$H:$L,2,FALSE),"")</f>
        <v/>
      </c>
      <c r="G19" s="96">
        <f ca="1">IF(A19=0,VLOOKUP($B19,Outputs!$H:$L,2,FALSE),"")</f>
        <v>-6.3951061522599236E-4</v>
      </c>
      <c r="J19" s="89">
        <f ca="1">VLOOKUP($B19,Outputs!$N:$R,2,FALSE)</f>
        <v>-1.6950218720284064E-3</v>
      </c>
      <c r="K19" s="89">
        <f ca="1">+VLOOKUP(B19,Outputs!T:U,2,FALSE)</f>
        <v>1.2325431915540808E-3</v>
      </c>
      <c r="L19" s="86" t="str">
        <f>IF($A19=1,VLOOKUP($B19,Outputs!$B:$F,3,FALSE),"")</f>
        <v/>
      </c>
      <c r="M19" s="86">
        <f ca="1">IF($A19=0,VLOOKUP($B19,Outputs!$B:$F,3,FALSE),"")</f>
        <v>37.690811902373312</v>
      </c>
      <c r="N19" s="86" t="str">
        <f>IF($A19=1,VLOOKUP($B19,Outputs!$H:$L,3,FALSE),"")</f>
        <v/>
      </c>
      <c r="O19" s="86">
        <f ca="1">IF($A19=0,VLOOKUP($B19,Outputs!$H:$L,3,FALSE),"")</f>
        <v>37.690811902373312</v>
      </c>
      <c r="P19" s="86" t="str">
        <f>IF($A19=1,VLOOKUP($B19,Outputs!$N:$R,3,FALSE),"")</f>
        <v/>
      </c>
      <c r="Q19" s="86">
        <f ca="1">IF($A19=0,VLOOKUP($B19,Outputs!$N:$R,3,FALSE),"")</f>
        <v>36.957931324601759</v>
      </c>
    </row>
    <row r="20" spans="1:17">
      <c r="A20" s="240">
        <f>IF(VLOOKUP(B20,TOCA_current!$B$2:$AG$137,32,FALSE)=0,0,1)</f>
        <v>0</v>
      </c>
      <c r="B20" t="s">
        <v>57</v>
      </c>
      <c r="C20" s="86" t="str">
        <f>IF(A20=1,VLOOKUP($B20,Outputs!$B:$F,2,FALSE),"")</f>
        <v/>
      </c>
      <c r="D20" s="86">
        <f ca="1">IF(A20=0,VLOOKUP($B20,Outputs!$B:$F,2,FALSE),"")</f>
        <v>1.0245165079710732E-3</v>
      </c>
      <c r="E20" s="94"/>
      <c r="F20" s="95" t="str">
        <f>IF(A20=1,VLOOKUP($B20,Outputs!$H:$L,2,FALSE),"")</f>
        <v/>
      </c>
      <c r="G20" s="96">
        <f ca="1">IF(A20=0,VLOOKUP($B20,Outputs!$H:$L,2,FALSE),"")</f>
        <v>1.0245165079750004E-3</v>
      </c>
      <c r="J20" s="89">
        <f ca="1">VLOOKUP($B20,Outputs!$N:$R,2,FALSE)</f>
        <v>5.5523378659292797E-3</v>
      </c>
      <c r="K20" s="89">
        <f ca="1">+VLOOKUP(B20,Outputs!T:U,2,FALSE)</f>
        <v>-1.9753925348309997E-2</v>
      </c>
      <c r="L20" s="86" t="str">
        <f>IF($A20=1,VLOOKUP($B20,Outputs!$B:$F,3,FALSE),"")</f>
        <v/>
      </c>
      <c r="M20" s="86">
        <f ca="1">IF($A20=0,VLOOKUP($B20,Outputs!$B:$F,3,FALSE),"")</f>
        <v>33.633120545996753</v>
      </c>
      <c r="N20" s="86" t="str">
        <f>IF($A20=1,VLOOKUP($B20,Outputs!$H:$L,3,FALSE),"")</f>
        <v/>
      </c>
      <c r="O20" s="86">
        <f ca="1">IF($A20=0,VLOOKUP($B20,Outputs!$H:$L,3,FALSE),"")</f>
        <v>33.633120545996753</v>
      </c>
      <c r="P20" s="86" t="str">
        <f>IF($A20=1,VLOOKUP($B20,Outputs!$N:$R,3,FALSE),"")</f>
        <v/>
      </c>
      <c r="Q20" s="86">
        <f ca="1">IF($A20=0,VLOOKUP($B20,Outputs!$N:$R,3,FALSE),"")</f>
        <v>34.276834272381066</v>
      </c>
    </row>
    <row r="21" spans="1:17">
      <c r="A21" s="240">
        <f>IF(VLOOKUP(B21,TOCA_current!$B$2:$AG$137,32,FALSE)=0,0,1)</f>
        <v>0</v>
      </c>
      <c r="B21" t="s">
        <v>134</v>
      </c>
      <c r="C21" s="86" t="str">
        <f>IF(A21=1,VLOOKUP($B21,Outputs!$B:$F,2,FALSE),"")</f>
        <v/>
      </c>
      <c r="D21" s="86">
        <f ca="1">IF(A21=0,VLOOKUP($B21,Outputs!$B:$F,2,FALSE),"")</f>
        <v>1.6251388370116748E-2</v>
      </c>
      <c r="E21" s="94"/>
      <c r="F21" s="95" t="str">
        <f>IF(A21=1,VLOOKUP($B21,Outputs!$H:$L,2,FALSE),"")</f>
        <v/>
      </c>
      <c r="G21" s="96">
        <f ca="1">IF(A21=0,VLOOKUP($B21,Outputs!$H:$L,2,FALSE),"")</f>
        <v>1.6251388370118743E-2</v>
      </c>
      <c r="J21" s="89">
        <f ca="1">VLOOKUP($B21,Outputs!$N:$R,2,FALSE)</f>
        <v>1.6881068635987418E-2</v>
      </c>
      <c r="K21" s="89">
        <f ca="1">+VLOOKUP(B21,Outputs!T:U,2,FALSE)</f>
        <v>9.5753474767203972E-3</v>
      </c>
      <c r="L21" s="86" t="str">
        <f>IF($A21=1,VLOOKUP($B21,Outputs!$B:$F,3,FALSE),"")</f>
        <v/>
      </c>
      <c r="M21" s="86">
        <f ca="1">IF($A21=0,VLOOKUP($B21,Outputs!$B:$F,3,FALSE),"")</f>
        <v>37.307873709927641</v>
      </c>
      <c r="N21" s="86" t="str">
        <f>IF($A21=1,VLOOKUP($B21,Outputs!$H:$L,3,FALSE),"")</f>
        <v/>
      </c>
      <c r="O21" s="86">
        <f ca="1">IF($A21=0,VLOOKUP($B21,Outputs!$H:$L,3,FALSE),"")</f>
        <v>37.307873709927641</v>
      </c>
      <c r="P21" s="86" t="str">
        <f>IF($A21=1,VLOOKUP($B21,Outputs!$N:$R,3,FALSE),"")</f>
        <v/>
      </c>
      <c r="Q21" s="86">
        <f ca="1">IF($A21=0,VLOOKUP($B21,Outputs!$N:$R,3,FALSE),"")</f>
        <v>37.36705700745739</v>
      </c>
    </row>
    <row r="22" spans="1:17">
      <c r="A22" s="240">
        <f>IF(VLOOKUP(B22,TOCA_current!$B$2:$AG$137,32,FALSE)=0,0,1)</f>
        <v>0</v>
      </c>
      <c r="B22" t="s">
        <v>269</v>
      </c>
      <c r="C22" s="86" t="str">
        <f>IF(A22=1,VLOOKUP($B22,Outputs!$B:$F,2,FALSE),"")</f>
        <v/>
      </c>
      <c r="D22" s="86">
        <f ca="1">IF(A22=0,VLOOKUP($B22,Outputs!$B:$F,2,FALSE),"")</f>
        <v>-2.3082395824111424E-2</v>
      </c>
      <c r="E22" s="94"/>
      <c r="F22" s="95" t="str">
        <f>IF(A22=1,VLOOKUP($B22,Outputs!$H:$L,2,FALSE),"")</f>
        <v/>
      </c>
      <c r="G22" s="96">
        <f ca="1">IF(A22=0,VLOOKUP($B22,Outputs!$H:$L,2,FALSE),"")</f>
        <v>-2.3082395824109217E-2</v>
      </c>
      <c r="J22" s="89">
        <f ca="1">VLOOKUP($B22,Outputs!$N:$R,2,FALSE)</f>
        <v>-1.4321583381865493E-2</v>
      </c>
      <c r="K22" s="89">
        <f ca="1">+VLOOKUP(B22,Outputs!T:U,2,FALSE)</f>
        <v>-7.6795127179658529E-3</v>
      </c>
      <c r="L22" s="86" t="str">
        <f>IF($A22=1,VLOOKUP($B22,Outputs!$B:$F,3,FALSE),"")</f>
        <v/>
      </c>
      <c r="M22" s="86">
        <f ca="1">IF($A22=0,VLOOKUP($B22,Outputs!$B:$F,3,FALSE),"")</f>
        <v>36.478195432315879</v>
      </c>
      <c r="N22" s="86" t="str">
        <f>IF($A22=1,VLOOKUP($B22,Outputs!$H:$L,3,FALSE),"")</f>
        <v/>
      </c>
      <c r="O22" s="86">
        <f ca="1">IF($A22=0,VLOOKUP($B22,Outputs!$H:$L,3,FALSE),"")</f>
        <v>36.478195432315879</v>
      </c>
      <c r="P22" s="86" t="str">
        <f>IF($A22=1,VLOOKUP($B22,Outputs!$N:$R,3,FALSE),"")</f>
        <v/>
      </c>
      <c r="Q22" s="86">
        <f ca="1">IF($A22=0,VLOOKUP($B22,Outputs!$N:$R,3,FALSE),"")</f>
        <v>36.575317509084272</v>
      </c>
    </row>
    <row r="23" spans="1:17">
      <c r="A23" s="240">
        <f>IF(VLOOKUP(B23,TOCA_current!$B$2:$AG$137,32,FALSE)=0,0,1)</f>
        <v>0</v>
      </c>
      <c r="B23" t="s">
        <v>41</v>
      </c>
      <c r="C23" s="86" t="str">
        <f>IF(A23=1,VLOOKUP($B23,Outputs!$B:$F,2,FALSE),"")</f>
        <v/>
      </c>
      <c r="D23" s="86">
        <f ca="1">IF(A23=0,VLOOKUP($B23,Outputs!$B:$F,2,FALSE),"")</f>
        <v>2.0156725291988514E-4</v>
      </c>
      <c r="E23" s="94"/>
      <c r="F23" s="95" t="str">
        <f>IF(A23=1,VLOOKUP($B23,Outputs!$H:$L,2,FALSE),"")</f>
        <v/>
      </c>
      <c r="G23" s="96">
        <f ca="1">IF(A23=0,VLOOKUP($B23,Outputs!$H:$L,2,FALSE),"")</f>
        <v>2.0156725291366998E-4</v>
      </c>
      <c r="J23" s="89">
        <f ca="1">VLOOKUP($B23,Outputs!$N:$R,2,FALSE)</f>
        <v>-1.5810733639795604E-3</v>
      </c>
      <c r="K23" s="89">
        <f ca="1">+VLOOKUP(B23,Outputs!T:U,2,FALSE)</f>
        <v>5.1271698318278158E-3</v>
      </c>
      <c r="L23" s="86" t="str">
        <f>IF($A23=1,VLOOKUP($B23,Outputs!$B:$F,3,FALSE),"")</f>
        <v/>
      </c>
      <c r="M23" s="86">
        <f ca="1">IF($A23=0,VLOOKUP($B23,Outputs!$B:$F,3,FALSE),"")</f>
        <v>38.07511866608332</v>
      </c>
      <c r="N23" s="86" t="str">
        <f>IF($A23=1,VLOOKUP($B23,Outputs!$H:$L,3,FALSE),"")</f>
        <v/>
      </c>
      <c r="O23" s="86">
        <f ca="1">IF($A23=0,VLOOKUP($B23,Outputs!$H:$L,3,FALSE),"")</f>
        <v>38.07511866608332</v>
      </c>
      <c r="P23" s="86" t="str">
        <f>IF($A23=1,VLOOKUP($B23,Outputs!$N:$R,3,FALSE),"")</f>
        <v/>
      </c>
      <c r="Q23" s="86">
        <f ca="1">IF($A23=0,VLOOKUP($B23,Outputs!$N:$R,3,FALSE),"")</f>
        <v>37.45107934605057</v>
      </c>
    </row>
    <row r="24" spans="1:17">
      <c r="A24" s="240">
        <f>IF(VLOOKUP(B24,TOCA_current!$B$2:$AG$137,32,FALSE)=0,0,1)</f>
        <v>0</v>
      </c>
      <c r="B24" t="s">
        <v>49</v>
      </c>
      <c r="C24" s="86" t="str">
        <f>IF(A24=1,VLOOKUP($B24,Outputs!$B:$F,2,FALSE),"")</f>
        <v/>
      </c>
      <c r="D24" s="86">
        <f ca="1">IF(A24=0,VLOOKUP($B24,Outputs!$B:$F,2,FALSE),"")</f>
        <v>8.3521563376110705E-3</v>
      </c>
      <c r="E24" s="94"/>
      <c r="F24" s="95" t="str">
        <f>IF(A24=1,VLOOKUP($B24,Outputs!$H:$L,2,FALSE),"")</f>
        <v/>
      </c>
      <c r="G24" s="96">
        <f ca="1">IF(A24=0,VLOOKUP($B24,Outputs!$H:$L,2,FALSE),"")</f>
        <v>8.3521563376058056E-3</v>
      </c>
      <c r="J24" s="89">
        <f ca="1">VLOOKUP($B24,Outputs!$N:$R,2,FALSE)</f>
        <v>7.2214370691878445E-3</v>
      </c>
      <c r="K24" s="89">
        <f ca="1">+VLOOKUP(B24,Outputs!T:U,2,FALSE)</f>
        <v>1.3956116360757331E-2</v>
      </c>
      <c r="L24" s="86" t="str">
        <f>IF($A24=1,VLOOKUP($B24,Outputs!$B:$F,3,FALSE),"")</f>
        <v/>
      </c>
      <c r="M24" s="86">
        <f ca="1">IF($A24=0,VLOOKUP($B24,Outputs!$B:$F,3,FALSE),"")</f>
        <v>33.942542137033769</v>
      </c>
      <c r="N24" s="86" t="str">
        <f>IF($A24=1,VLOOKUP($B24,Outputs!$H:$L,3,FALSE),"")</f>
        <v/>
      </c>
      <c r="O24" s="86">
        <f ca="1">IF($A24=0,VLOOKUP($B24,Outputs!$H:$L,3,FALSE),"")</f>
        <v>33.942542137033769</v>
      </c>
      <c r="P24" s="86" t="str">
        <f>IF($A24=1,VLOOKUP($B24,Outputs!$N:$R,3,FALSE),"")</f>
        <v/>
      </c>
      <c r="Q24" s="86">
        <f ca="1">IF($A24=0,VLOOKUP($B24,Outputs!$N:$R,3,FALSE),"")</f>
        <v>33.719059253649398</v>
      </c>
    </row>
    <row r="25" spans="1:17">
      <c r="A25" s="240">
        <f>IF(VLOOKUP(B25,TOCA_current!$B$2:$AG$137,32,FALSE)=0,0,1)</f>
        <v>0</v>
      </c>
      <c r="B25" t="s">
        <v>58</v>
      </c>
      <c r="C25" s="86" t="str">
        <f>IF(A25=1,VLOOKUP($B25,Outputs!$B:$F,2,FALSE),"")</f>
        <v/>
      </c>
      <c r="D25" s="86">
        <f ca="1">IF(A25=0,VLOOKUP($B25,Outputs!$B:$F,2,FALSE),"")</f>
        <v>2.45876020336133E-2</v>
      </c>
      <c r="E25" s="94"/>
      <c r="F25" s="95" t="str">
        <f>IF(A25=1,VLOOKUP($B25,Outputs!$H:$L,2,FALSE),"")</f>
        <v/>
      </c>
      <c r="G25" s="96">
        <f ca="1">IF(A25=0,VLOOKUP($B25,Outputs!$H:$L,2,FALSE),"")</f>
        <v>2.4587602033614535E-2</v>
      </c>
      <c r="J25" s="89">
        <f ca="1">VLOOKUP($B25,Outputs!$N:$R,2,FALSE)</f>
        <v>2.058353731071878E-2</v>
      </c>
      <c r="K25" s="89">
        <f ca="1">+VLOOKUP(B25,Outputs!T:U,2,FALSE)</f>
        <v>5.5827888053434416E-2</v>
      </c>
      <c r="L25" s="86" t="str">
        <f>IF($A25=1,VLOOKUP($B25,Outputs!$B:$F,3,FALSE),"")</f>
        <v/>
      </c>
      <c r="M25" s="86">
        <f ca="1">IF($A25=0,VLOOKUP($B25,Outputs!$B:$F,3,FALSE),"")</f>
        <v>39.833719694865394</v>
      </c>
      <c r="N25" s="86" t="str">
        <f>IF($A25=1,VLOOKUP($B25,Outputs!$H:$L,3,FALSE),"")</f>
        <v/>
      </c>
      <c r="O25" s="86">
        <f ca="1">IF($A25=0,VLOOKUP($B25,Outputs!$H:$L,3,FALSE),"")</f>
        <v>39.833719694865394</v>
      </c>
      <c r="P25" s="86" t="str">
        <f>IF($A25=1,VLOOKUP($B25,Outputs!$N:$R,3,FALSE),"")</f>
        <v/>
      </c>
      <c r="Q25" s="86">
        <f ca="1">IF($A25=0,VLOOKUP($B25,Outputs!$N:$R,3,FALSE),"")</f>
        <v>38.891795179438894</v>
      </c>
    </row>
    <row r="26" spans="1:17">
      <c r="A26" s="240">
        <f>IF(VLOOKUP(B26,TOCA_current!$B$2:$AG$137,32,FALSE)=0,0,1)</f>
        <v>0</v>
      </c>
      <c r="B26" t="s">
        <v>42</v>
      </c>
      <c r="C26" s="86" t="str">
        <f>IF(A26=1,VLOOKUP($B26,Outputs!$B:$F,2,FALSE),"")</f>
        <v/>
      </c>
      <c r="D26" s="86">
        <f ca="1">IF(A26=0,VLOOKUP($B26,Outputs!$B:$F,2,FALSE),"")</f>
        <v>1.9858047668188047E-2</v>
      </c>
      <c r="E26" s="94"/>
      <c r="F26" s="95" t="str">
        <f>IF(A26=1,VLOOKUP($B26,Outputs!$H:$L,2,FALSE),"")</f>
        <v/>
      </c>
      <c r="G26" s="96">
        <f ca="1">IF(A26=0,VLOOKUP($B26,Outputs!$H:$L,2,FALSE),"")</f>
        <v>1.9858047668185625E-2</v>
      </c>
      <c r="J26" s="89">
        <f ca="1">VLOOKUP($B26,Outputs!$N:$R,2,FALSE)</f>
        <v>1.9531869494191004E-2</v>
      </c>
      <c r="K26" s="89">
        <f ca="1">+VLOOKUP(B26,Outputs!T:U,2,FALSE)</f>
        <v>5.083892673087842E-3</v>
      </c>
      <c r="L26" s="86" t="str">
        <f>IF($A26=1,VLOOKUP($B26,Outputs!$B:$F,3,FALSE),"")</f>
        <v/>
      </c>
      <c r="M26" s="86">
        <f ca="1">IF($A26=0,VLOOKUP($B26,Outputs!$B:$F,3,FALSE),"")</f>
        <v>36.931192128920685</v>
      </c>
      <c r="N26" s="86" t="str">
        <f>IF($A26=1,VLOOKUP($B26,Outputs!$H:$L,3,FALSE),"")</f>
        <v/>
      </c>
      <c r="O26" s="86">
        <f ca="1">IF($A26=0,VLOOKUP($B26,Outputs!$H:$L,3,FALSE),"")</f>
        <v>36.931192128920685</v>
      </c>
      <c r="P26" s="86" t="str">
        <f>IF($A26=1,VLOOKUP($B26,Outputs!$N:$R,3,FALSE),"")</f>
        <v/>
      </c>
      <c r="Q26" s="86">
        <f ca="1">IF($A26=0,VLOOKUP($B26,Outputs!$N:$R,3,FALSE),"")</f>
        <v>36.602708266707729</v>
      </c>
    </row>
    <row r="27" spans="1:17">
      <c r="A27" s="240">
        <f>IF(VLOOKUP(B27,TOCA_current!$B$2:$AG$137,32,FALSE)=0,0,1)</f>
        <v>0</v>
      </c>
      <c r="B27" t="s">
        <v>31</v>
      </c>
      <c r="C27" s="86" t="str">
        <f>IF(A27=1,VLOOKUP($B27,Outputs!$B:$F,2,FALSE),"")</f>
        <v/>
      </c>
      <c r="D27" s="86">
        <f ca="1">IF(A27=0,VLOOKUP($B27,Outputs!$B:$F,2,FALSE),"")</f>
        <v>3.0708962421694307E-2</v>
      </c>
      <c r="E27" s="94"/>
      <c r="F27" s="95" t="str">
        <f>IF(A27=1,VLOOKUP($B27,Outputs!$H:$L,2,FALSE),"")</f>
        <v/>
      </c>
      <c r="G27" s="96">
        <f ca="1">IF(A27=0,VLOOKUP($B27,Outputs!$H:$L,2,FALSE),"")</f>
        <v>3.0708962421697381E-2</v>
      </c>
      <c r="J27" s="89">
        <f ca="1">VLOOKUP($B27,Outputs!$N:$R,2,FALSE)</f>
        <v>2.9598583665469691E-2</v>
      </c>
      <c r="K27" s="89">
        <f ca="1">+VLOOKUP(B27,Outputs!T:U,2,FALSE)</f>
        <v>3.959265677024093E-2</v>
      </c>
      <c r="L27" s="86" t="str">
        <f>IF($A27=1,VLOOKUP($B27,Outputs!$B:$F,3,FALSE),"")</f>
        <v/>
      </c>
      <c r="M27" s="86">
        <f ca="1">IF($A27=0,VLOOKUP($B27,Outputs!$B:$F,3,FALSE),"")</f>
        <v>39.604670496687298</v>
      </c>
      <c r="N27" s="86" t="str">
        <f>IF($A27=1,VLOOKUP($B27,Outputs!$H:$L,3,FALSE),"")</f>
        <v/>
      </c>
      <c r="O27" s="86">
        <f ca="1">IF($A27=0,VLOOKUP($B27,Outputs!$H:$L,3,FALSE),"")</f>
        <v>39.604670496687298</v>
      </c>
      <c r="P27" s="86" t="str">
        <f>IF($A27=1,VLOOKUP($B27,Outputs!$N:$R,3,FALSE),"")</f>
        <v/>
      </c>
      <c r="Q27" s="86">
        <f ca="1">IF($A27=0,VLOOKUP($B27,Outputs!$N:$R,3,FALSE),"")</f>
        <v>38.668877066315837</v>
      </c>
    </row>
    <row r="28" spans="1:17">
      <c r="A28" s="240">
        <f>IF(VLOOKUP(B28,TOCA_current!$B$2:$AG$137,32,FALSE)=0,0,1)</f>
        <v>0</v>
      </c>
      <c r="B28" t="s">
        <v>37</v>
      </c>
      <c r="C28" s="86" t="str">
        <f>IF(A28=1,VLOOKUP($B28,Outputs!$B:$F,2,FALSE),"")</f>
        <v/>
      </c>
      <c r="D28" s="86">
        <f ca="1">IF(A28=0,VLOOKUP($B28,Outputs!$B:$F,2,FALSE),"")</f>
        <v>2.403044797444373E-2</v>
      </c>
      <c r="E28" s="94"/>
      <c r="F28" s="95" t="str">
        <f>IF(A28=1,VLOOKUP($B28,Outputs!$H:$L,2,FALSE),"")</f>
        <v/>
      </c>
      <c r="G28" s="96">
        <f ca="1">IF(A28=0,VLOOKUP($B28,Outputs!$H:$L,2,FALSE),"")</f>
        <v>2.4030447974436545E-2</v>
      </c>
      <c r="J28" s="89">
        <f ca="1">VLOOKUP($B28,Outputs!$N:$R,2,FALSE)</f>
        <v>2.2816176111904497E-2</v>
      </c>
      <c r="K28" s="89">
        <f ca="1">+VLOOKUP(B28,Outputs!T:U,2,FALSE)</f>
        <v>3.9838054914967502E-2</v>
      </c>
      <c r="L28" s="86" t="str">
        <f>IF($A28=1,VLOOKUP($B28,Outputs!$B:$F,3,FALSE),"")</f>
        <v/>
      </c>
      <c r="M28" s="86">
        <f ca="1">IF($A28=0,VLOOKUP($B28,Outputs!$B:$F,3,FALSE),"")</f>
        <v>38.520851388725703</v>
      </c>
      <c r="N28" s="86" t="str">
        <f>IF($A28=1,VLOOKUP($B28,Outputs!$H:$L,3,FALSE),"")</f>
        <v/>
      </c>
      <c r="O28" s="86">
        <f ca="1">IF($A28=0,VLOOKUP($B28,Outputs!$H:$L,3,FALSE),"")</f>
        <v>38.520851388725703</v>
      </c>
      <c r="P28" s="86" t="str">
        <f>IF($A28=1,VLOOKUP($B28,Outputs!$N:$R,3,FALSE),"")</f>
        <v/>
      </c>
      <c r="Q28" s="86">
        <f ca="1">IF($A28=0,VLOOKUP($B28,Outputs!$N:$R,3,FALSE),"")</f>
        <v>37.890045145639014</v>
      </c>
    </row>
    <row r="29" spans="1:17">
      <c r="A29" s="240">
        <f>IF(VLOOKUP(B29,TOCA_current!$B$2:$AG$137,32,FALSE)=0,0,1)</f>
        <v>0</v>
      </c>
      <c r="B29" t="s">
        <v>120</v>
      </c>
      <c r="C29" s="86" t="str">
        <f>IF(A29=1,VLOOKUP($B29,Outputs!$B:$F,2,FALSE),"")</f>
        <v/>
      </c>
      <c r="D29" s="86">
        <f ca="1">IF(A29=0,VLOOKUP($B29,Outputs!$B:$F,2,FALSE),"")</f>
        <v>2.5299479104239131E-2</v>
      </c>
      <c r="E29" s="94"/>
      <c r="F29" s="95" t="str">
        <f>IF(A29=1,VLOOKUP($B29,Outputs!$H:$L,2,FALSE),"")</f>
        <v/>
      </c>
      <c r="G29" s="96">
        <f ca="1">IF(A29=0,VLOOKUP($B29,Outputs!$H:$L,2,FALSE),"")</f>
        <v>2.5299479104244016E-2</v>
      </c>
      <c r="J29" s="89">
        <f ca="1">VLOOKUP($B29,Outputs!$N:$R,2,FALSE)</f>
        <v>2.196101871815833E-2</v>
      </c>
      <c r="K29" s="89">
        <f ca="1">+VLOOKUP(B29,Outputs!T:U,2,FALSE)</f>
        <v>1.5634994093722154E-2</v>
      </c>
      <c r="L29" s="86" t="str">
        <f>IF($A29=1,VLOOKUP($B29,Outputs!$B:$F,3,FALSE),"")</f>
        <v/>
      </c>
      <c r="M29" s="86">
        <f ca="1">IF($A29=0,VLOOKUP($B29,Outputs!$B:$F,3,FALSE),"")</f>
        <v>38.774253732027979</v>
      </c>
      <c r="N29" s="86" t="str">
        <f>IF($A29=1,VLOOKUP($B29,Outputs!$H:$L,3,FALSE),"")</f>
        <v/>
      </c>
      <c r="O29" s="86">
        <f ca="1">IF($A29=0,VLOOKUP($B29,Outputs!$H:$L,3,FALSE),"")</f>
        <v>38.774253732027979</v>
      </c>
      <c r="P29" s="86" t="str">
        <f>IF($A29=1,VLOOKUP($B29,Outputs!$N:$R,3,FALSE),"")</f>
        <v/>
      </c>
      <c r="Q29" s="86">
        <f ca="1">IF($A29=0,VLOOKUP($B29,Outputs!$N:$R,3,FALSE),"")</f>
        <v>37.904432378316628</v>
      </c>
    </row>
    <row r="30" spans="1:17">
      <c r="A30" s="240">
        <f>IF(VLOOKUP(B30,TOCA_current!$B$2:$AG$137,32,FALSE)=0,0,1)</f>
        <v>0</v>
      </c>
      <c r="B30" t="s">
        <v>30</v>
      </c>
      <c r="C30" s="86" t="str">
        <f>IF(A30=1,VLOOKUP($B30,Outputs!$B:$F,2,FALSE),"")</f>
        <v/>
      </c>
      <c r="D30" s="86">
        <f ca="1">IF(A30=0,VLOOKUP($B30,Outputs!$B:$F,2,FALSE),"")</f>
        <v>3.0208410988636671E-2</v>
      </c>
      <c r="E30" s="94"/>
      <c r="F30" s="95" t="str">
        <f>IF(A30=1,VLOOKUP($B30,Outputs!$H:$L,2,FALSE),"")</f>
        <v/>
      </c>
      <c r="G30" s="96">
        <f ca="1">IF(A30=0,VLOOKUP($B30,Outputs!$H:$L,2,FALSE),"")</f>
        <v>3.0208410988634176E-2</v>
      </c>
      <c r="J30" s="89">
        <f ca="1">VLOOKUP($B30,Outputs!$N:$R,2,FALSE)</f>
        <v>3.0710186954334574E-2</v>
      </c>
      <c r="K30" s="89">
        <f ca="1">+VLOOKUP(B30,Outputs!T:U,2,FALSE)</f>
        <v>3.9255709386001536E-2</v>
      </c>
      <c r="L30" s="86" t="str">
        <f>IF($A30=1,VLOOKUP($B30,Outputs!$B:$F,3,FALSE),"")</f>
        <v/>
      </c>
      <c r="M30" s="86">
        <f ca="1">IF($A30=0,VLOOKUP($B30,Outputs!$B:$F,3,FALSE),"")</f>
        <v>37.085881495612476</v>
      </c>
      <c r="N30" s="86" t="str">
        <f>IF($A30=1,VLOOKUP($B30,Outputs!$H:$L,3,FALSE),"")</f>
        <v/>
      </c>
      <c r="O30" s="86">
        <f ca="1">IF($A30=0,VLOOKUP($B30,Outputs!$H:$L,3,FALSE),"")</f>
        <v>37.085881495612476</v>
      </c>
      <c r="P30" s="86" t="str">
        <f>IF($A30=1,VLOOKUP($B30,Outputs!$N:$R,3,FALSE),"")</f>
        <v/>
      </c>
      <c r="Q30" s="86">
        <f ca="1">IF($A30=0,VLOOKUP($B30,Outputs!$N:$R,3,FALSE),"")</f>
        <v>36.585447315079875</v>
      </c>
    </row>
    <row r="31" spans="1:17">
      <c r="A31" s="240">
        <f>IF(VLOOKUP(B31,TOCA_current!$B$2:$AG$137,32,FALSE)=0,0,1)</f>
        <v>0</v>
      </c>
      <c r="B31" t="s">
        <v>129</v>
      </c>
      <c r="C31" s="86" t="str">
        <f>IF(A31=1,VLOOKUP($B31,Outputs!$B:$F,2,FALSE),"")</f>
        <v/>
      </c>
      <c r="D31" s="86">
        <f ca="1">IF(A31=0,VLOOKUP($B31,Outputs!$B:$F,2,FALSE),"")</f>
        <v>2.453130085911126E-2</v>
      </c>
      <c r="E31" s="94"/>
      <c r="F31" s="95" t="str">
        <f>IF(A31=1,VLOOKUP($B31,Outputs!$H:$L,2,FALSE),"")</f>
        <v/>
      </c>
      <c r="G31" s="96">
        <f ca="1">IF(A31=0,VLOOKUP($B31,Outputs!$H:$L,2,FALSE),"")</f>
        <v>2.4531300859117353E-2</v>
      </c>
      <c r="J31" s="89">
        <f ca="1">VLOOKUP($B31,Outputs!$N:$R,2,FALSE)</f>
        <v>2.2571689131594318E-2</v>
      </c>
      <c r="K31" s="89">
        <f ca="1">+VLOOKUP(B31,Outputs!T:U,2,FALSE)</f>
        <v>2.8941846339335608E-2</v>
      </c>
      <c r="L31" s="86" t="str">
        <f>IF($A31=1,VLOOKUP($B31,Outputs!$B:$F,3,FALSE),"")</f>
        <v/>
      </c>
      <c r="M31" s="86">
        <f ca="1">IF($A31=0,VLOOKUP($B31,Outputs!$B:$F,3,FALSE),"")</f>
        <v>36.299948770432813</v>
      </c>
      <c r="N31" s="86" t="str">
        <f>IF($A31=1,VLOOKUP($B31,Outputs!$H:$L,3,FALSE),"")</f>
        <v/>
      </c>
      <c r="O31" s="86">
        <f ca="1">IF($A31=0,VLOOKUP($B31,Outputs!$H:$L,3,FALSE),"")</f>
        <v>36.299948770432813</v>
      </c>
      <c r="P31" s="86" t="str">
        <f>IF($A31=1,VLOOKUP($B31,Outputs!$N:$R,3,FALSE),"")</f>
        <v/>
      </c>
      <c r="Q31" s="86">
        <f ca="1">IF($A31=0,VLOOKUP($B31,Outputs!$N:$R,3,FALSE),"")</f>
        <v>35.466900049410853</v>
      </c>
    </row>
    <row r="32" spans="1:17">
      <c r="A32" s="240">
        <f>IF(VLOOKUP(B32,TOCA_current!$B$2:$AG$137,32,FALSE)=0,0,1)</f>
        <v>0</v>
      </c>
      <c r="B32" t="s">
        <v>20</v>
      </c>
      <c r="C32" s="86" t="str">
        <f>IF(A32=1,VLOOKUP($B32,Outputs!$B:$F,2,FALSE),"")</f>
        <v/>
      </c>
      <c r="D32" s="86">
        <f ca="1">IF(A32=0,VLOOKUP($B32,Outputs!$B:$F,2,FALSE),"")</f>
        <v>3.2640688120084339E-2</v>
      </c>
      <c r="E32" s="94"/>
      <c r="F32" s="95" t="str">
        <f>IF(A32=1,VLOOKUP($B32,Outputs!$H:$L,2,FALSE),"")</f>
        <v/>
      </c>
      <c r="G32" s="96">
        <f ca="1">IF(A32=0,VLOOKUP($B32,Outputs!$H:$L,2,FALSE),"")</f>
        <v>3.2640688120083888E-2</v>
      </c>
      <c r="J32" s="89">
        <f ca="1">VLOOKUP($B32,Outputs!$N:$R,2,FALSE)</f>
        <v>2.7596221227031783E-2</v>
      </c>
      <c r="K32" s="89">
        <f ca="1">+VLOOKUP(B32,Outputs!T:U,2,FALSE)</f>
        <v>2.9298603890128838E-3</v>
      </c>
      <c r="L32" s="86" t="str">
        <f>IF($A32=1,VLOOKUP($B32,Outputs!$B:$F,3,FALSE),"")</f>
        <v/>
      </c>
      <c r="M32" s="86">
        <f ca="1">IF($A32=0,VLOOKUP($B32,Outputs!$B:$F,3,FALSE),"")</f>
        <v>39.630313755414576</v>
      </c>
      <c r="N32" s="86" t="str">
        <f>IF($A32=1,VLOOKUP($B32,Outputs!$H:$L,3,FALSE),"")</f>
        <v/>
      </c>
      <c r="O32" s="86">
        <f ca="1">IF($A32=0,VLOOKUP($B32,Outputs!$H:$L,3,FALSE),"")</f>
        <v>39.630313755414576</v>
      </c>
      <c r="P32" s="86" t="str">
        <f>IF($A32=1,VLOOKUP($B32,Outputs!$N:$R,3,FALSE),"")</f>
        <v/>
      </c>
      <c r="Q32" s="86">
        <f ca="1">IF($A32=0,VLOOKUP($B32,Outputs!$N:$R,3,FALSE),"")</f>
        <v>36.964185573501965</v>
      </c>
    </row>
    <row r="33" spans="1:17">
      <c r="A33" s="240">
        <f>IF(VLOOKUP(B33,TOCA_current!$B$2:$AG$137,32,FALSE)=0,0,1)</f>
        <v>0</v>
      </c>
      <c r="B33" t="s">
        <v>63</v>
      </c>
      <c r="C33" s="86" t="str">
        <f>IF(A33=1,VLOOKUP($B33,Outputs!$B:$F,2,FALSE),"")</f>
        <v/>
      </c>
      <c r="D33" s="86">
        <f ca="1">IF(A33=0,VLOOKUP($B33,Outputs!$B:$F,2,FALSE),"")</f>
        <v>3.5074813504639618E-2</v>
      </c>
      <c r="E33" s="94"/>
      <c r="F33" s="95" t="str">
        <f>IF(A33=1,VLOOKUP($B33,Outputs!$H:$L,2,FALSE),"")</f>
        <v/>
      </c>
      <c r="G33" s="96">
        <f ca="1">IF(A33=0,VLOOKUP($B33,Outputs!$H:$L,2,FALSE),"")</f>
        <v>3.5074813504646113E-2</v>
      </c>
      <c r="J33" s="89">
        <f ca="1">VLOOKUP($B33,Outputs!$N:$R,2,FALSE)</f>
        <v>3.4784973970170711E-2</v>
      </c>
      <c r="K33" s="89">
        <f ca="1">+VLOOKUP(B33,Outputs!T:U,2,FALSE)</f>
        <v>4.1285014469130576E-2</v>
      </c>
      <c r="L33" s="86" t="str">
        <f>IF($A33=1,VLOOKUP($B33,Outputs!$B:$F,3,FALSE),"")</f>
        <v/>
      </c>
      <c r="M33" s="86">
        <f ca="1">IF($A33=0,VLOOKUP($B33,Outputs!$B:$F,3,FALSE),"")</f>
        <v>38.11365571009371</v>
      </c>
      <c r="N33" s="86" t="str">
        <f>IF($A33=1,VLOOKUP($B33,Outputs!$H:$L,3,FALSE),"")</f>
        <v/>
      </c>
      <c r="O33" s="86">
        <f ca="1">IF($A33=0,VLOOKUP($B33,Outputs!$H:$L,3,FALSE),"")</f>
        <v>38.11365571009371</v>
      </c>
      <c r="P33" s="86" t="str">
        <f>IF($A33=1,VLOOKUP($B33,Outputs!$N:$R,3,FALSE),"")</f>
        <v/>
      </c>
      <c r="Q33" s="86">
        <f ca="1">IF($A33=0,VLOOKUP($B33,Outputs!$N:$R,3,FALSE),"")</f>
        <v>37.82139909989597</v>
      </c>
    </row>
    <row r="34" spans="1:17">
      <c r="A34" s="240">
        <f>IF(VLOOKUP(B34,TOCA_current!$B$2:$AG$137,32,FALSE)=0,0,1)</f>
        <v>0</v>
      </c>
      <c r="B34" t="s">
        <v>92</v>
      </c>
      <c r="C34" s="86" t="str">
        <f>IF(A34=1,VLOOKUP($B34,Outputs!$B:$F,2,FALSE),"")</f>
        <v/>
      </c>
      <c r="D34" s="86">
        <f ca="1">IF(A34=0,VLOOKUP($B34,Outputs!$B:$F,2,FALSE),"")</f>
        <v>3.7714275196472427E-2</v>
      </c>
      <c r="E34" s="94"/>
      <c r="F34" s="95" t="str">
        <f>IF(A34=1,VLOOKUP($B34,Outputs!$H:$L,2,FALSE),"")</f>
        <v/>
      </c>
      <c r="G34" s="96">
        <f ca="1">IF(A34=0,VLOOKUP($B34,Outputs!$H:$L,2,FALSE),"")</f>
        <v>3.7714275196477111E-2</v>
      </c>
      <c r="J34" s="89">
        <f ca="1">VLOOKUP($B34,Outputs!$N:$R,2,FALSE)</f>
        <v>2.8250579699155731E-2</v>
      </c>
      <c r="K34" s="89">
        <f ca="1">+VLOOKUP(B34,Outputs!T:U,2,FALSE)</f>
        <v>7.2666712820081081E-2</v>
      </c>
      <c r="L34" s="86" t="str">
        <f>IF($A34=1,VLOOKUP($B34,Outputs!$B:$F,3,FALSE),"")</f>
        <v/>
      </c>
      <c r="M34" s="86">
        <f ca="1">IF($A34=0,VLOOKUP($B34,Outputs!$B:$F,3,FALSE),"")</f>
        <v>33.170962435691997</v>
      </c>
      <c r="N34" s="86" t="str">
        <f>IF($A34=1,VLOOKUP($B34,Outputs!$H:$L,3,FALSE),"")</f>
        <v/>
      </c>
      <c r="O34" s="86">
        <f ca="1">IF($A34=0,VLOOKUP($B34,Outputs!$H:$L,3,FALSE),"")</f>
        <v>33.170962435691997</v>
      </c>
      <c r="P34" s="86" t="str">
        <f>IF($A34=1,VLOOKUP($B34,Outputs!$N:$R,3,FALSE),"")</f>
        <v/>
      </c>
      <c r="Q34" s="86">
        <f ca="1">IF($A34=0,VLOOKUP($B34,Outputs!$N:$R,3,FALSE),"")</f>
        <v>33.185028312533532</v>
      </c>
    </row>
    <row r="35" spans="1:17">
      <c r="A35" s="240">
        <f>IF(VLOOKUP(B35,TOCA_current!$B$2:$AG$137,32,FALSE)=0,0,1)</f>
        <v>0</v>
      </c>
      <c r="B35" t="s">
        <v>74</v>
      </c>
      <c r="C35" s="86" t="str">
        <f>IF(A35=1,VLOOKUP($B35,Outputs!$B:$F,2,FALSE),"")</f>
        <v/>
      </c>
      <c r="D35" s="86">
        <f ca="1">IF(A35=0,VLOOKUP($B35,Outputs!$B:$F,2,FALSE),"")</f>
        <v>2.3130384753896619E-2</v>
      </c>
      <c r="E35" s="94"/>
      <c r="F35" s="95" t="str">
        <f>IF(A35=1,VLOOKUP($B35,Outputs!$H:$L,2,FALSE),"")</f>
        <v/>
      </c>
      <c r="G35" s="96">
        <f ca="1">IF(A35=0,VLOOKUP($B35,Outputs!$H:$L,2,FALSE),"")</f>
        <v>2.3130384753898899E-2</v>
      </c>
      <c r="J35" s="89">
        <f ca="1">VLOOKUP($B35,Outputs!$N:$R,2,FALSE)</f>
        <v>2.1784750586435593E-2</v>
      </c>
      <c r="K35" s="89">
        <f ca="1">+VLOOKUP(B35,Outputs!T:U,2,FALSE)</f>
        <v>3.3409381879063504E-2</v>
      </c>
      <c r="L35" s="86" t="str">
        <f>IF($A35=1,VLOOKUP($B35,Outputs!$B:$F,3,FALSE),"")</f>
        <v/>
      </c>
      <c r="M35" s="86">
        <f ca="1">IF($A35=0,VLOOKUP($B35,Outputs!$B:$F,3,FALSE),"")</f>
        <v>36.064673046946197</v>
      </c>
      <c r="N35" s="86" t="str">
        <f>IF($A35=1,VLOOKUP($B35,Outputs!$H:$L,3,FALSE),"")</f>
        <v/>
      </c>
      <c r="O35" s="86">
        <f ca="1">IF($A35=0,VLOOKUP($B35,Outputs!$H:$L,3,FALSE),"")</f>
        <v>36.064673046946197</v>
      </c>
      <c r="P35" s="86" t="str">
        <f>IF($A35=1,VLOOKUP($B35,Outputs!$N:$R,3,FALSE),"")</f>
        <v/>
      </c>
      <c r="Q35" s="86">
        <f ca="1">IF($A35=0,VLOOKUP($B35,Outputs!$N:$R,3,FALSE),"")</f>
        <v>35.277934773609196</v>
      </c>
    </row>
    <row r="36" spans="1:17">
      <c r="A36" s="240">
        <f>IF(VLOOKUP(B36,TOCA_current!$B$2:$AG$137,32,FALSE)=0,0,1)</f>
        <v>0</v>
      </c>
      <c r="B36" t="s">
        <v>138</v>
      </c>
      <c r="C36" s="86" t="str">
        <f>IF(A36=1,VLOOKUP($B36,Outputs!$B:$F,2,FALSE),"")</f>
        <v/>
      </c>
      <c r="D36" s="86">
        <f ca="1">IF(A36=0,VLOOKUP($B36,Outputs!$B:$F,2,FALSE),"")</f>
        <v>-2.1176413108923153E-3</v>
      </c>
      <c r="E36" s="94"/>
      <c r="F36" s="95" t="str">
        <f>IF(A36=1,VLOOKUP($B36,Outputs!$H:$L,2,FALSE),"")</f>
        <v/>
      </c>
      <c r="G36" s="96">
        <f ca="1">IF(A36=0,VLOOKUP($B36,Outputs!$H:$L,2,FALSE),"")</f>
        <v>-2.1176413108854025E-3</v>
      </c>
      <c r="J36" s="89">
        <f ca="1">VLOOKUP($B36,Outputs!$N:$R,2,FALSE)</f>
        <v>-3.9225038315210039E-3</v>
      </c>
      <c r="K36" s="89">
        <f ca="1">+VLOOKUP(B36,Outputs!T:U,2,FALSE)</f>
        <v>1.9706938729212808E-2</v>
      </c>
      <c r="L36" s="86" t="str">
        <f>IF($A36=1,VLOOKUP($B36,Outputs!$B:$F,3,FALSE),"")</f>
        <v/>
      </c>
      <c r="M36" s="86">
        <f ca="1">IF($A36=0,VLOOKUP($B36,Outputs!$B:$F,3,FALSE),"")</f>
        <v>37.411460869660019</v>
      </c>
      <c r="N36" s="86" t="str">
        <f>IF($A36=1,VLOOKUP($B36,Outputs!$H:$L,3,FALSE),"")</f>
        <v/>
      </c>
      <c r="O36" s="86">
        <f ca="1">IF($A36=0,VLOOKUP($B36,Outputs!$H:$L,3,FALSE),"")</f>
        <v>37.411460869660019</v>
      </c>
      <c r="P36" s="86" t="str">
        <f>IF($A36=1,VLOOKUP($B36,Outputs!$N:$R,3,FALSE),"")</f>
        <v/>
      </c>
      <c r="Q36" s="86">
        <f ca="1">IF($A36=0,VLOOKUP($B36,Outputs!$N:$R,3,FALSE),"")</f>
        <v>36.711959278987123</v>
      </c>
    </row>
    <row r="37" spans="1:17">
      <c r="A37" s="240">
        <f>IF(VLOOKUP(B37,TOCA_current!$B$2:$AG$137,32,FALSE)=0,0,1)</f>
        <v>0</v>
      </c>
      <c r="B37" t="s">
        <v>113</v>
      </c>
      <c r="C37" s="86" t="str">
        <f>IF(A37=1,VLOOKUP($B37,Outputs!$B:$F,2,FALSE),"")</f>
        <v/>
      </c>
      <c r="D37" s="86">
        <f ca="1">IF(A37=0,VLOOKUP($B37,Outputs!$B:$F,2,FALSE),"")</f>
        <v>-1.1674858288077683E-3</v>
      </c>
      <c r="E37" s="94"/>
      <c r="F37" s="95" t="str">
        <f>IF(A37=1,VLOOKUP($B37,Outputs!$H:$L,2,FALSE),"")</f>
        <v/>
      </c>
      <c r="G37" s="96">
        <f ca="1">IF(A37=0,VLOOKUP($B37,Outputs!$H:$L,2,FALSE),"")</f>
        <v>-1.1674858287984485E-3</v>
      </c>
      <c r="J37" s="89">
        <f ca="1">VLOOKUP($B37,Outputs!$N:$R,2,FALSE)</f>
        <v>6.1723926271636063E-3</v>
      </c>
      <c r="K37" s="89">
        <f ca="1">+VLOOKUP(B37,Outputs!T:U,2,FALSE)</f>
        <v>1.794350014507895E-2</v>
      </c>
      <c r="L37" s="86" t="str">
        <f>IF($A37=1,VLOOKUP($B37,Outputs!$B:$F,3,FALSE),"")</f>
        <v/>
      </c>
      <c r="M37" s="86">
        <f ca="1">IF($A37=0,VLOOKUP($B37,Outputs!$B:$F,3,FALSE),"")</f>
        <v>30.972723209454827</v>
      </c>
      <c r="N37" s="86" t="str">
        <f>IF($A37=1,VLOOKUP($B37,Outputs!$H:$L,3,FALSE),"")</f>
        <v/>
      </c>
      <c r="O37" s="86">
        <f ca="1">IF($A37=0,VLOOKUP($B37,Outputs!$H:$L,3,FALSE),"")</f>
        <v>30.972723209454827</v>
      </c>
      <c r="P37" s="86" t="str">
        <f>IF($A37=1,VLOOKUP($B37,Outputs!$N:$R,3,FALSE),"")</f>
        <v/>
      </c>
      <c r="Q37" s="86">
        <f ca="1">IF($A37=0,VLOOKUP($B37,Outputs!$N:$R,3,FALSE),"")</f>
        <v>32.292621790790704</v>
      </c>
    </row>
    <row r="38" spans="1:17">
      <c r="A38" s="240">
        <f>IF(VLOOKUP(B38,TOCA_current!$B$2:$AG$137,32,FALSE)=0,0,1)</f>
        <v>0</v>
      </c>
      <c r="B38" t="s">
        <v>33</v>
      </c>
      <c r="C38" s="86" t="str">
        <f>IF(A38=1,VLOOKUP($B38,Outputs!$B:$F,2,FALSE),"")</f>
        <v/>
      </c>
      <c r="D38" s="86">
        <f ca="1">IF(A38=0,VLOOKUP($B38,Outputs!$B:$F,2,FALSE),"")</f>
        <v>2.6089119795720532E-2</v>
      </c>
      <c r="E38" s="94"/>
      <c r="F38" s="95" t="str">
        <f>IF(A38=1,VLOOKUP($B38,Outputs!$H:$L,2,FALSE),"")</f>
        <v/>
      </c>
      <c r="G38" s="96">
        <f ca="1">IF(A38=0,VLOOKUP($B38,Outputs!$H:$L,2,FALSE),"")</f>
        <v>2.6089119795719581E-2</v>
      </c>
      <c r="J38" s="89">
        <f ca="1">VLOOKUP($B38,Outputs!$N:$R,2,FALSE)</f>
        <v>2.4179085797522475E-2</v>
      </c>
      <c r="K38" s="89">
        <f ca="1">+VLOOKUP(B38,Outputs!T:U,2,FALSE)</f>
        <v>2.9441114785144329E-2</v>
      </c>
      <c r="L38" s="86" t="str">
        <f>IF($A38=1,VLOOKUP($B38,Outputs!$B:$F,3,FALSE),"")</f>
        <v/>
      </c>
      <c r="M38" s="86">
        <f ca="1">IF($A38=0,VLOOKUP($B38,Outputs!$B:$F,3,FALSE),"")</f>
        <v>37.715772641054414</v>
      </c>
      <c r="N38" s="86" t="str">
        <f>IF($A38=1,VLOOKUP($B38,Outputs!$H:$L,3,FALSE),"")</f>
        <v/>
      </c>
      <c r="O38" s="86">
        <f ca="1">IF($A38=0,VLOOKUP($B38,Outputs!$H:$L,3,FALSE),"")</f>
        <v>37.715772641054414</v>
      </c>
      <c r="P38" s="86" t="str">
        <f>IF($A38=1,VLOOKUP($B38,Outputs!$N:$R,3,FALSE),"")</f>
        <v/>
      </c>
      <c r="Q38" s="86">
        <f ca="1">IF($A38=0,VLOOKUP($B38,Outputs!$N:$R,3,FALSE),"")</f>
        <v>37.000413948541755</v>
      </c>
    </row>
    <row r="39" spans="1:17">
      <c r="A39" s="240">
        <f>IF(VLOOKUP(B39,TOCA_current!$B$2:$AG$137,32,FALSE)=0,0,1)</f>
        <v>0</v>
      </c>
      <c r="B39" t="s">
        <v>18</v>
      </c>
      <c r="C39" s="86" t="str">
        <f>IF(A39=1,VLOOKUP($B39,Outputs!$B:$F,2,FALSE),"")</f>
        <v/>
      </c>
      <c r="D39" s="86">
        <f ca="1">IF(A39=0,VLOOKUP($B39,Outputs!$B:$F,2,FALSE),"")</f>
        <v>2.2349281981225048E-2</v>
      </c>
      <c r="E39" s="94"/>
      <c r="F39" s="95" t="str">
        <f>IF(A39=1,VLOOKUP($B39,Outputs!$H:$L,2,FALSE),"")</f>
        <v/>
      </c>
      <c r="G39" s="96">
        <f ca="1">IF(A39=0,VLOOKUP($B39,Outputs!$H:$L,2,FALSE),"")</f>
        <v>2.2349281981221127E-2</v>
      </c>
      <c r="J39" s="89">
        <f ca="1">VLOOKUP($B39,Outputs!$N:$R,2,FALSE)</f>
        <v>2.2112315569523727E-2</v>
      </c>
      <c r="K39" s="89">
        <f ca="1">+VLOOKUP(B39,Outputs!T:U,2,FALSE)</f>
        <v>2.8708472525939444E-2</v>
      </c>
      <c r="L39" s="86" t="str">
        <f>IF($A39=1,VLOOKUP($B39,Outputs!$B:$F,3,FALSE),"")</f>
        <v/>
      </c>
      <c r="M39" s="86">
        <f ca="1">IF($A39=0,VLOOKUP($B39,Outputs!$B:$F,3,FALSE),"")</f>
        <v>38.161520825322199</v>
      </c>
      <c r="N39" s="86" t="str">
        <f>IF($A39=1,VLOOKUP($B39,Outputs!$H:$L,3,FALSE),"")</f>
        <v/>
      </c>
      <c r="O39" s="86">
        <f ca="1">IF($A39=0,VLOOKUP($B39,Outputs!$H:$L,3,FALSE),"")</f>
        <v>38.161520825322199</v>
      </c>
      <c r="P39" s="86" t="str">
        <f>IF($A39=1,VLOOKUP($B39,Outputs!$N:$R,3,FALSE),"")</f>
        <v/>
      </c>
      <c r="Q39" s="86">
        <f ca="1">IF($A39=0,VLOOKUP($B39,Outputs!$N:$R,3,FALSE),"")</f>
        <v>37.565647428546754</v>
      </c>
    </row>
    <row r="40" spans="1:17">
      <c r="A40" s="240">
        <f>IF(VLOOKUP(B40,TOCA_current!$B$2:$AG$137,32,FALSE)=0,0,1)</f>
        <v>0</v>
      </c>
      <c r="B40" t="s">
        <v>36</v>
      </c>
      <c r="C40" s="86" t="str">
        <f>IF(A40=1,VLOOKUP($B40,Outputs!$B:$F,2,FALSE),"")</f>
        <v/>
      </c>
      <c r="D40" s="86">
        <f ca="1">IF(A40=0,VLOOKUP($B40,Outputs!$B:$F,2,FALSE),"")</f>
        <v>2.3676917774225325E-2</v>
      </c>
      <c r="E40" s="94"/>
      <c r="F40" s="95" t="str">
        <f>IF(A40=1,VLOOKUP($B40,Outputs!$H:$L,2,FALSE),"")</f>
        <v/>
      </c>
      <c r="G40" s="96">
        <f ca="1">IF(A40=0,VLOOKUP($B40,Outputs!$H:$L,2,FALSE),"")</f>
        <v>2.3676917774226841E-2</v>
      </c>
      <c r="J40" s="89">
        <f ca="1">VLOOKUP($B40,Outputs!$N:$R,2,FALSE)</f>
        <v>2.238562490785698E-2</v>
      </c>
      <c r="K40" s="89">
        <f ca="1">+VLOOKUP(B40,Outputs!T:U,2,FALSE)</f>
        <v>3.4356080514393428E-2</v>
      </c>
      <c r="L40" s="86" t="str">
        <f>IF($A40=1,VLOOKUP($B40,Outputs!$B:$F,3,FALSE),"")</f>
        <v/>
      </c>
      <c r="M40" s="86">
        <f ca="1">IF($A40=0,VLOOKUP($B40,Outputs!$B:$F,3,FALSE),"")</f>
        <v>38.193690305220748</v>
      </c>
      <c r="N40" s="86" t="str">
        <f>IF($A40=1,VLOOKUP($B40,Outputs!$H:$L,3,FALSE),"")</f>
        <v/>
      </c>
      <c r="O40" s="86">
        <f ca="1">IF($A40=0,VLOOKUP($B40,Outputs!$H:$L,3,FALSE),"")</f>
        <v>38.193690305220748</v>
      </c>
      <c r="P40" s="86" t="str">
        <f>IF($A40=1,VLOOKUP($B40,Outputs!$N:$R,3,FALSE),"")</f>
        <v/>
      </c>
      <c r="Q40" s="86">
        <f ca="1">IF($A40=0,VLOOKUP($B40,Outputs!$N:$R,3,FALSE),"")</f>
        <v>37.459114925044425</v>
      </c>
    </row>
    <row r="41" spans="1:17">
      <c r="A41" s="240">
        <f>IF(VLOOKUP(B41,TOCA_current!$B$2:$AG$137,32,FALSE)=0,0,1)</f>
        <v>0</v>
      </c>
      <c r="B41" t="s">
        <v>19</v>
      </c>
      <c r="C41" s="86" t="str">
        <f>IF(A41=1,VLOOKUP($B41,Outputs!$B:$F,2,FALSE),"")</f>
        <v/>
      </c>
      <c r="D41" s="86">
        <f ca="1">IF(A41=0,VLOOKUP($B41,Outputs!$B:$F,2,FALSE),"")</f>
        <v>2.2013678034998988E-2</v>
      </c>
      <c r="E41" s="94"/>
      <c r="F41" s="95" t="str">
        <f>IF(A41=1,VLOOKUP($B41,Outputs!$H:$L,2,FALSE),"")</f>
        <v/>
      </c>
      <c r="G41" s="96">
        <f ca="1">IF(A41=0,VLOOKUP($B41,Outputs!$H:$L,2,FALSE),"")</f>
        <v>2.2013678034998641E-2</v>
      </c>
      <c r="J41" s="89">
        <f ca="1">VLOOKUP($B41,Outputs!$N:$R,2,FALSE)</f>
        <v>2.0942440188659012E-2</v>
      </c>
      <c r="K41" s="89">
        <f ca="1">+VLOOKUP(B41,Outputs!T:U,2,FALSE)</f>
        <v>3.181715530466156E-2</v>
      </c>
      <c r="L41" s="86" t="str">
        <f>IF($A41=1,VLOOKUP($B41,Outputs!$B:$F,3,FALSE),"")</f>
        <v/>
      </c>
      <c r="M41" s="86">
        <f ca="1">IF($A41=0,VLOOKUP($B41,Outputs!$B:$F,3,FALSE),"")</f>
        <v>37.712702671678805</v>
      </c>
      <c r="N41" s="86" t="str">
        <f>IF($A41=1,VLOOKUP($B41,Outputs!$H:$L,3,FALSE),"")</f>
        <v/>
      </c>
      <c r="O41" s="86">
        <f ca="1">IF($A41=0,VLOOKUP($B41,Outputs!$H:$L,3,FALSE),"")</f>
        <v>37.712702671678805</v>
      </c>
      <c r="P41" s="86" t="str">
        <f>IF($A41=1,VLOOKUP($B41,Outputs!$N:$R,3,FALSE),"")</f>
        <v/>
      </c>
      <c r="Q41" s="86">
        <f ca="1">IF($A41=0,VLOOKUP($B41,Outputs!$N:$R,3,FALSE),"")</f>
        <v>37.176057930649463</v>
      </c>
    </row>
    <row r="42" spans="1:17">
      <c r="A42" s="240">
        <f>IF(VLOOKUP(B42,TOCA_current!$B$2:$AG$137,32,FALSE)=0,0,1)</f>
        <v>0</v>
      </c>
      <c r="B42" t="s">
        <v>86</v>
      </c>
      <c r="C42" s="86" t="str">
        <f>IF(A42=1,VLOOKUP($B42,Outputs!$B:$F,2,FALSE),"")</f>
        <v/>
      </c>
      <c r="D42" s="86">
        <f ca="1">IF(A42=0,VLOOKUP($B42,Outputs!$B:$F,2,FALSE),"")</f>
        <v>3.0787719333783947E-2</v>
      </c>
      <c r="E42" s="94"/>
      <c r="F42" s="95" t="str">
        <f>IF(A42=1,VLOOKUP($B42,Outputs!$H:$L,2,FALSE),"")</f>
        <v/>
      </c>
      <c r="G42" s="96">
        <f ca="1">IF(A42=0,VLOOKUP($B42,Outputs!$H:$L,2,FALSE),"")</f>
        <v>3.0787719333790504E-2</v>
      </c>
      <c r="J42" s="89">
        <f ca="1">VLOOKUP($B42,Outputs!$N:$R,2,FALSE)</f>
        <v>2.7973571130742662E-2</v>
      </c>
      <c r="K42" s="89">
        <f ca="1">+VLOOKUP(B42,Outputs!T:U,2,FALSE)</f>
        <v>3.3365533628058719E-2</v>
      </c>
      <c r="L42" s="86" t="str">
        <f>IF($A42=1,VLOOKUP($B42,Outputs!$B:$F,3,FALSE),"")</f>
        <v/>
      </c>
      <c r="M42" s="86">
        <f ca="1">IF($A42=0,VLOOKUP($B42,Outputs!$B:$F,3,FALSE),"")</f>
        <v>35.791547673160707</v>
      </c>
      <c r="N42" s="86" t="str">
        <f>IF($A42=1,VLOOKUP($B42,Outputs!$H:$L,3,FALSE),"")</f>
        <v/>
      </c>
      <c r="O42" s="86">
        <f ca="1">IF($A42=0,VLOOKUP($B42,Outputs!$H:$L,3,FALSE),"")</f>
        <v>35.791547673160707</v>
      </c>
      <c r="P42" s="86" t="str">
        <f>IF($A42=1,VLOOKUP($B42,Outputs!$N:$R,3,FALSE),"")</f>
        <v/>
      </c>
      <c r="Q42" s="86">
        <f ca="1">IF($A42=0,VLOOKUP($B42,Outputs!$N:$R,3,FALSE),"")</f>
        <v>34.953391824458286</v>
      </c>
    </row>
    <row r="43" spans="1:17">
      <c r="A43" s="240">
        <f>IF(VLOOKUP(B43,TOCA_current!$B$2:$AG$137,32,FALSE)=0,0,1)</f>
        <v>0</v>
      </c>
      <c r="B43" t="s">
        <v>66</v>
      </c>
      <c r="C43" s="86" t="str">
        <f>IF(A43=1,VLOOKUP($B43,Outputs!$B:$F,2,FALSE),"")</f>
        <v/>
      </c>
      <c r="D43" s="86">
        <f ca="1">IF(A43=0,VLOOKUP($B43,Outputs!$B:$F,2,FALSE),"")</f>
        <v>2.6898812228672509E-2</v>
      </c>
      <c r="E43" s="94"/>
      <c r="F43" s="95" t="str">
        <f>IF(A43=1,VLOOKUP($B43,Outputs!$H:$L,2,FALSE),"")</f>
        <v/>
      </c>
      <c r="G43" s="96">
        <f ca="1">IF(A43=0,VLOOKUP($B43,Outputs!$H:$L,2,FALSE),"")</f>
        <v>2.6898812228666889E-2</v>
      </c>
      <c r="J43" s="89">
        <f ca="1">VLOOKUP($B43,Outputs!$N:$R,2,FALSE)</f>
        <v>2.1761961254969049E-2</v>
      </c>
      <c r="K43" s="89">
        <f ca="1">+VLOOKUP(B43,Outputs!T:U,2,FALSE)</f>
        <v>2.1144440828488653E-2</v>
      </c>
      <c r="L43" s="86" t="str">
        <f>IF($A43=1,VLOOKUP($B43,Outputs!$B:$F,3,FALSE),"")</f>
        <v/>
      </c>
      <c r="M43" s="86">
        <f ca="1">IF($A43=0,VLOOKUP($B43,Outputs!$B:$F,3,FALSE),"")</f>
        <v>34.247096745502887</v>
      </c>
      <c r="N43" s="86" t="str">
        <f>IF($A43=1,VLOOKUP($B43,Outputs!$H:$L,3,FALSE),"")</f>
        <v/>
      </c>
      <c r="O43" s="86">
        <f ca="1">IF($A43=0,VLOOKUP($B43,Outputs!$H:$L,3,FALSE),"")</f>
        <v>34.247096745502887</v>
      </c>
      <c r="P43" s="86" t="str">
        <f>IF($A43=1,VLOOKUP($B43,Outputs!$N:$R,3,FALSE),"")</f>
        <v/>
      </c>
      <c r="Q43" s="86">
        <f ca="1">IF($A43=0,VLOOKUP($B43,Outputs!$N:$R,3,FALSE),"")</f>
        <v>33.584016742837086</v>
      </c>
    </row>
    <row r="44" spans="1:17">
      <c r="A44" s="240">
        <f>IF(VLOOKUP(B44,TOCA_current!$B$2:$AG$137,32,FALSE)=0,0,1)</f>
        <v>0</v>
      </c>
      <c r="B44" t="s">
        <v>40</v>
      </c>
      <c r="C44" s="86" t="str">
        <f>IF(A44=1,VLOOKUP($B44,Outputs!$B:$F,2,FALSE),"")</f>
        <v/>
      </c>
      <c r="D44" s="86">
        <f ca="1">IF(A44=0,VLOOKUP($B44,Outputs!$B:$F,2,FALSE),"")</f>
        <v>2.3608223463519165E-2</v>
      </c>
      <c r="E44" s="94"/>
      <c r="F44" s="95" t="str">
        <f>IF(A44=1,VLOOKUP($B44,Outputs!$H:$L,2,FALSE),"")</f>
        <v/>
      </c>
      <c r="G44" s="96">
        <f ca="1">IF(A44=0,VLOOKUP($B44,Outputs!$H:$L,2,FALSE),"")</f>
        <v>2.3608223463518582E-2</v>
      </c>
      <c r="J44" s="89">
        <f ca="1">VLOOKUP($B44,Outputs!$N:$R,2,FALSE)</f>
        <v>2.318147842416881E-2</v>
      </c>
      <c r="K44" s="89">
        <f ca="1">+VLOOKUP(B44,Outputs!T:U,2,FALSE)</f>
        <v>3.718381028029194E-2</v>
      </c>
      <c r="L44" s="86" t="str">
        <f>IF($A44=1,VLOOKUP($B44,Outputs!$B:$F,3,FALSE),"")</f>
        <v/>
      </c>
      <c r="M44" s="86">
        <f ca="1">IF($A44=0,VLOOKUP($B44,Outputs!$B:$F,3,FALSE),"")</f>
        <v>38.747138053714785</v>
      </c>
      <c r="N44" s="86" t="str">
        <f>IF($A44=1,VLOOKUP($B44,Outputs!$H:$L,3,FALSE),"")</f>
        <v/>
      </c>
      <c r="O44" s="86">
        <f ca="1">IF($A44=0,VLOOKUP($B44,Outputs!$H:$L,3,FALSE),"")</f>
        <v>38.747138053714785</v>
      </c>
      <c r="P44" s="86" t="str">
        <f>IF($A44=1,VLOOKUP($B44,Outputs!$N:$R,3,FALSE),"")</f>
        <v/>
      </c>
      <c r="Q44" s="86">
        <f ca="1">IF($A44=0,VLOOKUP($B44,Outputs!$N:$R,3,FALSE),"")</f>
        <v>38.102409247758835</v>
      </c>
    </row>
    <row r="45" spans="1:17">
      <c r="A45" s="240">
        <f>IF(VLOOKUP(B45,TOCA_current!$B$2:$AG$137,32,FALSE)=0,0,1)</f>
        <v>0</v>
      </c>
      <c r="B45" t="s">
        <v>84</v>
      </c>
      <c r="C45" s="86" t="str">
        <f>IF(A45=1,VLOOKUP($B45,Outputs!$B:$F,2,FALSE),"")</f>
        <v/>
      </c>
      <c r="D45" s="86">
        <f ca="1">IF(A45=0,VLOOKUP($B45,Outputs!$B:$F,2,FALSE),"")</f>
        <v>2.1234158526744967E-2</v>
      </c>
      <c r="E45" s="94"/>
      <c r="F45" s="95" t="str">
        <f>IF(A45=1,VLOOKUP($B45,Outputs!$H:$L,2,FALSE),"")</f>
        <v/>
      </c>
      <c r="G45" s="96">
        <f ca="1">IF(A45=0,VLOOKUP($B45,Outputs!$H:$L,2,FALSE),"")</f>
        <v>2.1234158526746504E-2</v>
      </c>
      <c r="J45" s="89">
        <f ca="1">VLOOKUP($B45,Outputs!$N:$R,2,FALSE)</f>
        <v>2.9490193687056999E-2</v>
      </c>
      <c r="K45" s="89">
        <f ca="1">+VLOOKUP(B45,Outputs!T:U,2,FALSE)</f>
        <v>4.5290310158897951E-2</v>
      </c>
      <c r="L45" s="86" t="str">
        <f>IF($A45=1,VLOOKUP($B45,Outputs!$B:$F,3,FALSE),"")</f>
        <v/>
      </c>
      <c r="M45" s="86">
        <f ca="1">IF($A45=0,VLOOKUP($B45,Outputs!$B:$F,3,FALSE),"")</f>
        <v>29.153421104580374</v>
      </c>
      <c r="N45" s="86" t="str">
        <f>IF($A45=1,VLOOKUP($B45,Outputs!$H:$L,3,FALSE),"")</f>
        <v/>
      </c>
      <c r="O45" s="86">
        <f ca="1">IF($A45=0,VLOOKUP($B45,Outputs!$H:$L,3,FALSE),"")</f>
        <v>29.153421104580374</v>
      </c>
      <c r="P45" s="86" t="str">
        <f>IF($A45=1,VLOOKUP($B45,Outputs!$N:$R,3,FALSE),"")</f>
        <v/>
      </c>
      <c r="Q45" s="86">
        <f ca="1">IF($A45=0,VLOOKUP($B45,Outputs!$N:$R,3,FALSE),"")</f>
        <v>30.297462848578665</v>
      </c>
    </row>
    <row r="46" spans="1:17">
      <c r="A46" s="240">
        <f>IF(VLOOKUP(B46,TOCA_current!$B$2:$AG$137,32,FALSE)=0,0,1)</f>
        <v>0</v>
      </c>
      <c r="B46" t="s">
        <v>77</v>
      </c>
      <c r="C46" s="86" t="str">
        <f>IF(A46=1,VLOOKUP($B46,Outputs!$B:$F,2,FALSE),"")</f>
        <v/>
      </c>
      <c r="D46" s="86">
        <f ca="1">IF(A46=0,VLOOKUP($B46,Outputs!$B:$F,2,FALSE),"")</f>
        <v>2.584291841509927E-2</v>
      </c>
      <c r="E46" s="94"/>
      <c r="F46" s="95" t="str">
        <f>IF(A46=1,VLOOKUP($B46,Outputs!$H:$L,2,FALSE),"")</f>
        <v/>
      </c>
      <c r="G46" s="96">
        <f ca="1">IF(A46=0,VLOOKUP($B46,Outputs!$H:$L,2,FALSE),"")</f>
        <v>2.5842918415102129E-2</v>
      </c>
      <c r="J46" s="89">
        <f ca="1">VLOOKUP($B46,Outputs!$N:$R,2,FALSE)</f>
        <v>4.6333138126292391E-3</v>
      </c>
      <c r="K46" s="89">
        <f ca="1">+VLOOKUP(B46,Outputs!T:U,2,FALSE)</f>
        <v>5.8171124480449921E-2</v>
      </c>
      <c r="L46" s="86" t="str">
        <f>IF($A46=1,VLOOKUP($B46,Outputs!$B:$F,3,FALSE),"")</f>
        <v/>
      </c>
      <c r="M46" s="86">
        <f ca="1">IF($A46=0,VLOOKUP($B46,Outputs!$B:$F,3,FALSE),"")</f>
        <v>38.016603943284451</v>
      </c>
      <c r="N46" s="86" t="str">
        <f>IF($A46=1,VLOOKUP($B46,Outputs!$H:$L,3,FALSE),"")</f>
        <v/>
      </c>
      <c r="O46" s="86">
        <f ca="1">IF($A46=0,VLOOKUP($B46,Outputs!$H:$L,3,FALSE),"")</f>
        <v>38.016603943284451</v>
      </c>
      <c r="P46" s="86" t="str">
        <f>IF($A46=1,VLOOKUP($B46,Outputs!$N:$R,3,FALSE),"")</f>
        <v/>
      </c>
      <c r="Q46" s="86">
        <f ca="1">IF($A46=0,VLOOKUP($B46,Outputs!$N:$R,3,FALSE),"")</f>
        <v>36.409078273283157</v>
      </c>
    </row>
    <row r="47" spans="1:17">
      <c r="A47" s="240">
        <f>IF(VLOOKUP(B47,TOCA_current!$B$2:$AG$137,32,FALSE)=0,0,1)</f>
        <v>0</v>
      </c>
      <c r="B47" t="s">
        <v>95</v>
      </c>
      <c r="C47" s="86" t="str">
        <f>IF(A47=1,VLOOKUP($B47,Outputs!$B:$F,2,FALSE),"")</f>
        <v/>
      </c>
      <c r="D47" s="86">
        <f ca="1">IF(A47=0,VLOOKUP($B47,Outputs!$B:$F,2,FALSE),"")</f>
        <v>7.4177726239568094E-3</v>
      </c>
      <c r="E47" s="94"/>
      <c r="F47" s="95" t="str">
        <f>IF(A47=1,VLOOKUP($B47,Outputs!$H:$L,2,FALSE),"")</f>
        <v/>
      </c>
      <c r="G47" s="96">
        <f ca="1">IF(A47=0,VLOOKUP($B47,Outputs!$H:$L,2,FALSE),"")</f>
        <v>7.4177726239626346E-3</v>
      </c>
      <c r="J47" s="89">
        <f ca="1">VLOOKUP($B47,Outputs!$N:$R,2,FALSE)</f>
        <v>4.9507739847089172E-3</v>
      </c>
      <c r="K47" s="89">
        <f ca="1">+VLOOKUP(B47,Outputs!T:U,2,FALSE)</f>
        <v>9.5624235683922088E-3</v>
      </c>
      <c r="L47" s="86" t="str">
        <f>IF($A47=1,VLOOKUP($B47,Outputs!$B:$F,3,FALSE),"")</f>
        <v/>
      </c>
      <c r="M47" s="86">
        <f ca="1">IF($A47=0,VLOOKUP($B47,Outputs!$B:$F,3,FALSE),"")</f>
        <v>36.387586092128309</v>
      </c>
      <c r="N47" s="86" t="str">
        <f>IF($A47=1,VLOOKUP($B47,Outputs!$H:$L,3,FALSE),"")</f>
        <v/>
      </c>
      <c r="O47" s="86">
        <f ca="1">IF($A47=0,VLOOKUP($B47,Outputs!$H:$L,3,FALSE),"")</f>
        <v>36.387586092128309</v>
      </c>
      <c r="P47" s="86" t="str">
        <f>IF($A47=1,VLOOKUP($B47,Outputs!$N:$R,3,FALSE),"")</f>
        <v/>
      </c>
      <c r="Q47" s="86">
        <f ca="1">IF($A47=0,VLOOKUP($B47,Outputs!$N:$R,3,FALSE),"")</f>
        <v>35.568769367581659</v>
      </c>
    </row>
    <row r="48" spans="1:17">
      <c r="A48" s="240">
        <f>IF(VLOOKUP(B48,TOCA_current!$B$2:$AG$137,32,FALSE)=0,0,1)</f>
        <v>0</v>
      </c>
      <c r="B48" t="s">
        <v>34</v>
      </c>
      <c r="C48" s="86" t="str">
        <f>IF(A48=1,VLOOKUP($B48,Outputs!$B:$F,2,FALSE),"")</f>
        <v/>
      </c>
      <c r="D48" s="86">
        <f ca="1">IF(A48=0,VLOOKUP($B48,Outputs!$B:$F,2,FALSE),"")</f>
        <v>2.9894245934106934E-2</v>
      </c>
      <c r="E48" s="94"/>
      <c r="F48" s="95" t="str">
        <f>IF(A48=1,VLOOKUP($B48,Outputs!$H:$L,2,FALSE),"")</f>
        <v/>
      </c>
      <c r="G48" s="96">
        <f ca="1">IF(A48=0,VLOOKUP($B48,Outputs!$H:$L,2,FALSE),"")</f>
        <v>2.9894245934101484E-2</v>
      </c>
      <c r="J48" s="89">
        <f ca="1">VLOOKUP($B48,Outputs!$N:$R,2,FALSE)</f>
        <v>1.9249941776888869E-2</v>
      </c>
      <c r="K48" s="89">
        <f ca="1">+VLOOKUP(B48,Outputs!T:U,2,FALSE)</f>
        <v>6.544550438235075E-2</v>
      </c>
      <c r="L48" s="86" t="str">
        <f>IF($A48=1,VLOOKUP($B48,Outputs!$B:$F,3,FALSE),"")</f>
        <v/>
      </c>
      <c r="M48" s="86">
        <f ca="1">IF($A48=0,VLOOKUP($B48,Outputs!$B:$F,3,FALSE),"")</f>
        <v>40.198215339873947</v>
      </c>
      <c r="N48" s="86" t="str">
        <f>IF($A48=1,VLOOKUP($B48,Outputs!$H:$L,3,FALSE),"")</f>
        <v/>
      </c>
      <c r="O48" s="86">
        <f ca="1">IF($A48=0,VLOOKUP($B48,Outputs!$H:$L,3,FALSE),"")</f>
        <v>40.198215339873947</v>
      </c>
      <c r="P48" s="86" t="str">
        <f>IF($A48=1,VLOOKUP($B48,Outputs!$N:$R,3,FALSE),"")</f>
        <v/>
      </c>
      <c r="Q48" s="86">
        <f ca="1">IF($A48=0,VLOOKUP($B48,Outputs!$N:$R,3,FALSE),"")</f>
        <v>38.685134553562392</v>
      </c>
    </row>
    <row r="49" spans="1:17">
      <c r="A49" s="240">
        <f>IF(VLOOKUP(B49,TOCA_current!$B$2:$AG$137,32,FALSE)=0,0,1)</f>
        <v>0</v>
      </c>
      <c r="B49" t="s">
        <v>117</v>
      </c>
      <c r="C49" s="86" t="str">
        <f>IF(A49=1,VLOOKUP($B49,Outputs!$B:$F,2,FALSE),"")</f>
        <v/>
      </c>
      <c r="D49" s="86">
        <f ca="1">IF(A49=0,VLOOKUP($B49,Outputs!$B:$F,2,FALSE),"")</f>
        <v>-3.7584658951493877E-3</v>
      </c>
      <c r="E49" s="94"/>
      <c r="F49" s="95" t="str">
        <f>IF(A49=1,VLOOKUP($B49,Outputs!$H:$L,2,FALSE),"")</f>
        <v/>
      </c>
      <c r="G49" s="96">
        <f ca="1">IF(A49=0,VLOOKUP($B49,Outputs!$H:$L,2,FALSE),"")</f>
        <v>-3.7584658951404525E-3</v>
      </c>
      <c r="J49" s="89">
        <f ca="1">VLOOKUP($B49,Outputs!$N:$R,2,FALSE)</f>
        <v>9.8099973159161448E-3</v>
      </c>
      <c r="K49" s="89">
        <f ca="1">+VLOOKUP(B49,Outputs!T:U,2,FALSE)</f>
        <v>-8.3451868424567754E-3</v>
      </c>
      <c r="L49" s="86" t="str">
        <f>IF($A49=1,VLOOKUP($B49,Outputs!$B:$F,3,FALSE),"")</f>
        <v/>
      </c>
      <c r="M49" s="86">
        <f ca="1">IF($A49=0,VLOOKUP($B49,Outputs!$B:$F,3,FALSE),"")</f>
        <v>36.539701513377402</v>
      </c>
      <c r="N49" s="86" t="str">
        <f>IF($A49=1,VLOOKUP($B49,Outputs!$H:$L,3,FALSE),"")</f>
        <v/>
      </c>
      <c r="O49" s="86">
        <f ca="1">IF($A49=0,VLOOKUP($B49,Outputs!$H:$L,3,FALSE),"")</f>
        <v>36.539701513377402</v>
      </c>
      <c r="P49" s="86" t="str">
        <f>IF($A49=1,VLOOKUP($B49,Outputs!$N:$R,3,FALSE),"")</f>
        <v/>
      </c>
      <c r="Q49" s="86">
        <f ca="1">IF($A49=0,VLOOKUP($B49,Outputs!$N:$R,3,FALSE),"")</f>
        <v>35.96570634295518</v>
      </c>
    </row>
    <row r="50" spans="1:17">
      <c r="A50" s="240">
        <f>IF(VLOOKUP(B50,TOCA_current!$B$2:$AG$137,32,FALSE)=0,0,1)</f>
        <v>0</v>
      </c>
      <c r="B50" t="s">
        <v>48</v>
      </c>
      <c r="C50" s="86" t="str">
        <f>IF(A50=1,VLOOKUP($B50,Outputs!$B:$F,2,FALSE),"")</f>
        <v/>
      </c>
      <c r="D50" s="86">
        <f ca="1">IF(A50=0,VLOOKUP($B50,Outputs!$B:$F,2,FALSE),"")</f>
        <v>-2.4082329550985273E-3</v>
      </c>
      <c r="E50" s="94"/>
      <c r="F50" s="95" t="str">
        <f>IF(A50=1,VLOOKUP($B50,Outputs!$H:$L,2,FALSE),"")</f>
        <v/>
      </c>
      <c r="G50" s="96">
        <f ca="1">IF(A50=0,VLOOKUP($B50,Outputs!$H:$L,2,FALSE),"")</f>
        <v>-2.4082329550978326E-3</v>
      </c>
      <c r="J50" s="89">
        <f ca="1">VLOOKUP($B50,Outputs!$N:$R,2,FALSE)</f>
        <v>1.2156390400534504E-2</v>
      </c>
      <c r="K50" s="89">
        <f ca="1">+VLOOKUP(B50,Outputs!T:U,2,FALSE)</f>
        <v>4.6338368604716962E-3</v>
      </c>
      <c r="L50" s="86" t="str">
        <f>IF($A50=1,VLOOKUP($B50,Outputs!$B:$F,3,FALSE),"")</f>
        <v/>
      </c>
      <c r="M50" s="86">
        <f ca="1">IF($A50=0,VLOOKUP($B50,Outputs!$B:$F,3,FALSE),"")</f>
        <v>33.851852502480007</v>
      </c>
      <c r="N50" s="86" t="str">
        <f>IF($A50=1,VLOOKUP($B50,Outputs!$H:$L,3,FALSE),"")</f>
        <v/>
      </c>
      <c r="O50" s="86">
        <f ca="1">IF($A50=0,VLOOKUP($B50,Outputs!$H:$L,3,FALSE),"")</f>
        <v>33.851852502480007</v>
      </c>
      <c r="P50" s="86" t="str">
        <f>IF($A50=1,VLOOKUP($B50,Outputs!$N:$R,3,FALSE),"")</f>
        <v/>
      </c>
      <c r="Q50" s="86">
        <f ca="1">IF($A50=0,VLOOKUP($B50,Outputs!$N:$R,3,FALSE),"")</f>
        <v>33.985276852528692</v>
      </c>
    </row>
    <row r="51" spans="1:17">
      <c r="A51" s="240">
        <f>IF(VLOOKUP(B51,TOCA_current!$B$2:$AG$137,32,FALSE)=0,0,1)</f>
        <v>0</v>
      </c>
      <c r="B51" t="s">
        <v>109</v>
      </c>
      <c r="C51" s="86" t="str">
        <f>IF(A51=1,VLOOKUP($B51,Outputs!$B:$F,2,FALSE),"")</f>
        <v/>
      </c>
      <c r="D51" s="86">
        <f ca="1">IF(A51=0,VLOOKUP($B51,Outputs!$B:$F,2,FALSE),"")</f>
        <v>1.985352767607429E-2</v>
      </c>
      <c r="E51" s="94"/>
      <c r="F51" s="95" t="str">
        <f>IF(A51=1,VLOOKUP($B51,Outputs!$H:$L,2,FALSE),"")</f>
        <v/>
      </c>
      <c r="G51" s="96">
        <f ca="1">IF(A51=0,VLOOKUP($B51,Outputs!$H:$L,2,FALSE),"")</f>
        <v>1.9853527676081218E-2</v>
      </c>
      <c r="J51" s="89">
        <f ca="1">VLOOKUP($B51,Outputs!$N:$R,2,FALSE)</f>
        <v>2.7785129419949827E-2</v>
      </c>
      <c r="K51" s="89">
        <f ca="1">+VLOOKUP(B51,Outputs!T:U,2,FALSE)</f>
        <v>2.9454298998142781E-2</v>
      </c>
      <c r="L51" s="86" t="str">
        <f>IF($A51=1,VLOOKUP($B51,Outputs!$B:$F,3,FALSE),"")</f>
        <v/>
      </c>
      <c r="M51" s="86">
        <f ca="1">IF($A51=0,VLOOKUP($B51,Outputs!$B:$F,3,FALSE),"")</f>
        <v>31.591761918372757</v>
      </c>
      <c r="N51" s="86" t="str">
        <f>IF($A51=1,VLOOKUP($B51,Outputs!$H:$L,3,FALSE),"")</f>
        <v/>
      </c>
      <c r="O51" s="86">
        <f ca="1">IF($A51=0,VLOOKUP($B51,Outputs!$H:$L,3,FALSE),"")</f>
        <v>31.591761918372757</v>
      </c>
      <c r="P51" s="86" t="str">
        <f>IF($A51=1,VLOOKUP($B51,Outputs!$N:$R,3,FALSE),"")</f>
        <v/>
      </c>
      <c r="Q51" s="86">
        <f ca="1">IF($A51=0,VLOOKUP($B51,Outputs!$N:$R,3,FALSE),"")</f>
        <v>31.722437278847529</v>
      </c>
    </row>
    <row r="52" spans="1:17">
      <c r="A52" s="240">
        <f>IF(VLOOKUP(B52,TOCA_current!$B$2:$AG$137,32,FALSE)=0,0,1)</f>
        <v>0</v>
      </c>
      <c r="B52" t="s">
        <v>136</v>
      </c>
      <c r="C52" s="86" t="str">
        <f>IF(A52=1,VLOOKUP($B52,Outputs!$B:$F,2,FALSE),"")</f>
        <v/>
      </c>
      <c r="D52" s="86">
        <f ca="1">IF(A52=0,VLOOKUP($B52,Outputs!$B:$F,2,FALSE),"")</f>
        <v>2.5382575685902964E-2</v>
      </c>
      <c r="E52" s="94"/>
      <c r="F52" s="95" t="str">
        <f>IF(A52=1,VLOOKUP($B52,Outputs!$H:$L,2,FALSE),"")</f>
        <v/>
      </c>
      <c r="G52" s="96">
        <f ca="1">IF(A52=0,VLOOKUP($B52,Outputs!$H:$L,2,FALSE),"")</f>
        <v>2.5382575685908553E-2</v>
      </c>
      <c r="J52" s="89">
        <f ca="1">VLOOKUP($B52,Outputs!$N:$R,2,FALSE)</f>
        <v>2.4640920223567404E-2</v>
      </c>
      <c r="K52" s="89">
        <f ca="1">+VLOOKUP(B52,Outputs!T:U,2,FALSE)</f>
        <v>3.5130737737932849E-2</v>
      </c>
      <c r="L52" s="86" t="str">
        <f>IF($A52=1,VLOOKUP($B52,Outputs!$B:$F,3,FALSE),"")</f>
        <v/>
      </c>
      <c r="M52" s="86">
        <f ca="1">IF($A52=0,VLOOKUP($B52,Outputs!$B:$F,3,FALSE),"")</f>
        <v>37.901094449630108</v>
      </c>
      <c r="N52" s="86" t="str">
        <f>IF($A52=1,VLOOKUP($B52,Outputs!$H:$L,3,FALSE),"")</f>
        <v/>
      </c>
      <c r="O52" s="86">
        <f ca="1">IF($A52=0,VLOOKUP($B52,Outputs!$H:$L,3,FALSE),"")</f>
        <v>37.901094449630108</v>
      </c>
      <c r="P52" s="86" t="str">
        <f>IF($A52=1,VLOOKUP($B52,Outputs!$N:$R,3,FALSE),"")</f>
        <v/>
      </c>
      <c r="Q52" s="86">
        <f ca="1">IF($A52=0,VLOOKUP($B52,Outputs!$N:$R,3,FALSE),"")</f>
        <v>37.366357097501435</v>
      </c>
    </row>
    <row r="53" spans="1:17">
      <c r="A53" s="240">
        <f>IF(VLOOKUP(B53,TOCA_current!$B$2:$AG$137,32,FALSE)=0,0,1)</f>
        <v>0</v>
      </c>
      <c r="B53" t="s">
        <v>130</v>
      </c>
      <c r="C53" s="86" t="str">
        <f>IF(A53=1,VLOOKUP($B53,Outputs!$B:$F,2,FALSE),"")</f>
        <v/>
      </c>
      <c r="D53" s="86">
        <f ca="1">IF(A53=0,VLOOKUP($B53,Outputs!$B:$F,2,FALSE),"")</f>
        <v>5.8477752445709186E-3</v>
      </c>
      <c r="E53" s="94"/>
      <c r="F53" s="95" t="str">
        <f>IF(A53=1,VLOOKUP($B53,Outputs!$H:$L,2,FALSE),"")</f>
        <v/>
      </c>
      <c r="G53" s="96">
        <f ca="1">IF(A53=0,VLOOKUP($B53,Outputs!$H:$L,2,FALSE),"")</f>
        <v>5.8477752445761947E-3</v>
      </c>
      <c r="J53" s="89">
        <f ca="1">VLOOKUP($B53,Outputs!$N:$R,2,FALSE)</f>
        <v>6.3429471011956142E-3</v>
      </c>
      <c r="K53" s="89">
        <f ca="1">+VLOOKUP(B53,Outputs!T:U,2,FALSE)</f>
        <v>3.0151318953388628E-3</v>
      </c>
      <c r="L53" s="86" t="str">
        <f>IF($A53=1,VLOOKUP($B53,Outputs!$B:$F,3,FALSE),"")</f>
        <v/>
      </c>
      <c r="M53" s="86">
        <f ca="1">IF($A53=0,VLOOKUP($B53,Outputs!$B:$F,3,FALSE),"")</f>
        <v>35.482579107432251</v>
      </c>
      <c r="N53" s="86" t="str">
        <f>IF($A53=1,VLOOKUP($B53,Outputs!$H:$L,3,FALSE),"")</f>
        <v/>
      </c>
      <c r="O53" s="86">
        <f ca="1">IF($A53=0,VLOOKUP($B53,Outputs!$H:$L,3,FALSE),"")</f>
        <v>35.482579107432251</v>
      </c>
      <c r="P53" s="86" t="str">
        <f>IF($A53=1,VLOOKUP($B53,Outputs!$N:$R,3,FALSE),"")</f>
        <v/>
      </c>
      <c r="Q53" s="86">
        <f ca="1">IF($A53=0,VLOOKUP($B53,Outputs!$N:$R,3,FALSE),"")</f>
        <v>35.121524669160351</v>
      </c>
    </row>
    <row r="54" spans="1:17">
      <c r="A54" s="240">
        <f>IF(VLOOKUP(B54,TOCA_current!$B$2:$AG$137,32,FALSE)=0,0,1)</f>
        <v>0</v>
      </c>
      <c r="B54" t="s">
        <v>73</v>
      </c>
      <c r="C54" s="86" t="str">
        <f>IF(A54=1,VLOOKUP($B54,Outputs!$B:$F,2,FALSE),"")</f>
        <v/>
      </c>
      <c r="D54" s="86">
        <f ca="1">IF(A54=0,VLOOKUP($B54,Outputs!$B:$F,2,FALSE),"")</f>
        <v>4.1741234371664812E-2</v>
      </c>
      <c r="E54" s="94"/>
      <c r="F54" s="95" t="str">
        <f>IF(A54=1,VLOOKUP($B54,Outputs!$H:$L,2,FALSE),"")</f>
        <v/>
      </c>
      <c r="G54" s="96">
        <f ca="1">IF(A54=0,VLOOKUP($B54,Outputs!$H:$L,2,FALSE),"")</f>
        <v>4.1741234371665846E-2</v>
      </c>
      <c r="J54" s="89">
        <f ca="1">VLOOKUP($B54,Outputs!$N:$R,2,FALSE)</f>
        <v>2.1334044897713546E-2</v>
      </c>
      <c r="K54" s="89">
        <f ca="1">+VLOOKUP(B54,Outputs!T:U,2,FALSE)</f>
        <v>6.2220449541899869E-2</v>
      </c>
      <c r="L54" s="86" t="str">
        <f>IF($A54=1,VLOOKUP($B54,Outputs!$B:$F,3,FALSE),"")</f>
        <v/>
      </c>
      <c r="M54" s="86">
        <f ca="1">IF($A54=0,VLOOKUP($B54,Outputs!$B:$F,3,FALSE),"")</f>
        <v>39.813547936479452</v>
      </c>
      <c r="N54" s="86" t="str">
        <f>IF($A54=1,VLOOKUP($B54,Outputs!$H:$L,3,FALSE),"")</f>
        <v/>
      </c>
      <c r="O54" s="86">
        <f ca="1">IF($A54=0,VLOOKUP($B54,Outputs!$H:$L,3,FALSE),"")</f>
        <v>39.813547936479452</v>
      </c>
      <c r="P54" s="86" t="str">
        <f>IF($A54=1,VLOOKUP($B54,Outputs!$N:$R,3,FALSE),"")</f>
        <v/>
      </c>
      <c r="Q54" s="86">
        <f ca="1">IF($A54=0,VLOOKUP($B54,Outputs!$N:$R,3,FALSE),"")</f>
        <v>37.972194204451107</v>
      </c>
    </row>
    <row r="55" spans="1:17">
      <c r="A55" s="240">
        <f>IF(VLOOKUP(B55,TOCA_current!$B$2:$AG$137,32,FALSE)=0,0,1)</f>
        <v>0</v>
      </c>
      <c r="B55" t="s">
        <v>101</v>
      </c>
      <c r="C55" s="86" t="str">
        <f>IF(A55=1,VLOOKUP($B55,Outputs!$B:$F,2,FALSE),"")</f>
        <v/>
      </c>
      <c r="D55" s="86">
        <f ca="1">IF(A55=0,VLOOKUP($B55,Outputs!$B:$F,2,FALSE),"")</f>
        <v>8.433844351879127E-4</v>
      </c>
      <c r="E55" s="94"/>
      <c r="F55" s="95" t="str">
        <f>IF(A55=1,VLOOKUP($B55,Outputs!$H:$L,2,FALSE),"")</f>
        <v/>
      </c>
      <c r="G55" s="96">
        <f ca="1">IF(A55=0,VLOOKUP($B55,Outputs!$H:$L,2,FALSE),"")</f>
        <v>8.4338443518880445E-4</v>
      </c>
      <c r="J55" s="89">
        <f ca="1">VLOOKUP($B55,Outputs!$N:$R,2,FALSE)</f>
        <v>-1.5785919703073966E-3</v>
      </c>
      <c r="K55" s="89">
        <f ca="1">+VLOOKUP(B55,Outputs!T:U,2,FALSE)</f>
        <v>8.9901157169902657E-3</v>
      </c>
      <c r="L55" s="86" t="str">
        <f>IF($A55=1,VLOOKUP($B55,Outputs!$B:$F,3,FALSE),"")</f>
        <v/>
      </c>
      <c r="M55" s="86">
        <f ca="1">IF($A55=0,VLOOKUP($B55,Outputs!$B:$F,3,FALSE),"")</f>
        <v>38.312322380232025</v>
      </c>
      <c r="N55" s="86" t="str">
        <f>IF($A55=1,VLOOKUP($B55,Outputs!$H:$L,3,FALSE),"")</f>
        <v/>
      </c>
      <c r="O55" s="86">
        <f ca="1">IF($A55=0,VLOOKUP($B55,Outputs!$H:$L,3,FALSE),"")</f>
        <v>38.312322380232025</v>
      </c>
      <c r="P55" s="86" t="str">
        <f>IF($A55=1,VLOOKUP($B55,Outputs!$N:$R,3,FALSE),"")</f>
        <v/>
      </c>
      <c r="Q55" s="86">
        <f ca="1">IF($A55=0,VLOOKUP($B55,Outputs!$N:$R,3,FALSE),"")</f>
        <v>37.575412410472111</v>
      </c>
    </row>
    <row r="56" spans="1:17">
      <c r="A56" s="240">
        <f>IF(VLOOKUP(B56,TOCA_current!$B$2:$AG$137,32,FALSE)=0,0,1)</f>
        <v>0</v>
      </c>
      <c r="B56" t="s">
        <v>21</v>
      </c>
      <c r="C56" s="86" t="str">
        <f>IF(A56=1,VLOOKUP($B56,Outputs!$B:$F,2,FALSE),"")</f>
        <v/>
      </c>
      <c r="D56" s="86">
        <f ca="1">IF(A56=0,VLOOKUP($B56,Outputs!$B:$F,2,FALSE),"")</f>
        <v>2.3704150743431719E-2</v>
      </c>
      <c r="E56" s="94"/>
      <c r="F56" s="95" t="str">
        <f>IF(A56=1,VLOOKUP($B56,Outputs!$H:$L,2,FALSE),"")</f>
        <v/>
      </c>
      <c r="G56" s="96">
        <f ca="1">IF(A56=0,VLOOKUP($B56,Outputs!$H:$L,2,FALSE),"")</f>
        <v>2.3704150743427306E-2</v>
      </c>
      <c r="J56" s="89">
        <f ca="1">VLOOKUP($B56,Outputs!$N:$R,2,FALSE)</f>
        <v>2.2056830814786616E-2</v>
      </c>
      <c r="K56" s="89">
        <f ca="1">+VLOOKUP(B56,Outputs!T:U,2,FALSE)</f>
        <v>3.6384593828357126E-2</v>
      </c>
      <c r="L56" s="86" t="str">
        <f>IF($A56=1,VLOOKUP($B56,Outputs!$B:$F,3,FALSE),"")</f>
        <v/>
      </c>
      <c r="M56" s="86">
        <f ca="1">IF($A56=0,VLOOKUP($B56,Outputs!$B:$F,3,FALSE),"")</f>
        <v>37.844200732678274</v>
      </c>
      <c r="N56" s="86" t="str">
        <f>IF($A56=1,VLOOKUP($B56,Outputs!$H:$L,3,FALSE),"")</f>
        <v/>
      </c>
      <c r="O56" s="86">
        <f ca="1">IF($A56=0,VLOOKUP($B56,Outputs!$H:$L,3,FALSE),"")</f>
        <v>37.844200732678274</v>
      </c>
      <c r="P56" s="86" t="str">
        <f>IF($A56=1,VLOOKUP($B56,Outputs!$N:$R,3,FALSE),"")</f>
        <v/>
      </c>
      <c r="Q56" s="86">
        <f ca="1">IF($A56=0,VLOOKUP($B56,Outputs!$N:$R,3,FALSE),"")</f>
        <v>37.202526547053125</v>
      </c>
    </row>
    <row r="57" spans="1:17">
      <c r="A57" s="240">
        <f>IF(VLOOKUP(B57,TOCA_current!$B$2:$AG$137,32,FALSE)=0,0,1)</f>
        <v>0</v>
      </c>
      <c r="B57" t="s">
        <v>111</v>
      </c>
      <c r="C57" s="86" t="str">
        <f>IF(A57=1,VLOOKUP($B57,Outputs!$B:$F,2,FALSE),"")</f>
        <v/>
      </c>
      <c r="D57" s="86">
        <f ca="1">IF(A57=0,VLOOKUP($B57,Outputs!$B:$F,2,FALSE),"")</f>
        <v>2.5559845524082636E-2</v>
      </c>
      <c r="E57" s="94"/>
      <c r="F57" s="95" t="str">
        <f>IF(A57=1,VLOOKUP($B57,Outputs!$H:$L,2,FALSE),"")</f>
        <v/>
      </c>
      <c r="G57" s="96">
        <f ca="1">IF(A57=0,VLOOKUP($B57,Outputs!$H:$L,2,FALSE),"")</f>
        <v>2.5559845524092403E-2</v>
      </c>
      <c r="J57" s="89">
        <f ca="1">VLOOKUP($B57,Outputs!$N:$R,2,FALSE)</f>
        <v>2.3759526154174222E-2</v>
      </c>
      <c r="K57" s="89">
        <f ca="1">+VLOOKUP(B57,Outputs!T:U,2,FALSE)</f>
        <v>4.2070069700005375E-2</v>
      </c>
      <c r="L57" s="86" t="str">
        <f>IF($A57=1,VLOOKUP($B57,Outputs!$B:$F,3,FALSE),"")</f>
        <v/>
      </c>
      <c r="M57" s="86">
        <f ca="1">IF($A57=0,VLOOKUP($B57,Outputs!$B:$F,3,FALSE),"")</f>
        <v>36.765759963337793</v>
      </c>
      <c r="N57" s="86" t="str">
        <f>IF($A57=1,VLOOKUP($B57,Outputs!$H:$L,3,FALSE),"")</f>
        <v/>
      </c>
      <c r="O57" s="86">
        <f ca="1">IF($A57=0,VLOOKUP($B57,Outputs!$H:$L,3,FALSE),"")</f>
        <v>36.765759963337793</v>
      </c>
      <c r="P57" s="86" t="str">
        <f>IF($A57=1,VLOOKUP($B57,Outputs!$N:$R,3,FALSE),"")</f>
        <v/>
      </c>
      <c r="Q57" s="86">
        <f ca="1">IF($A57=0,VLOOKUP($B57,Outputs!$N:$R,3,FALSE),"")</f>
        <v>35.957487483384398</v>
      </c>
    </row>
    <row r="58" spans="1:17">
      <c r="A58" s="240">
        <f>IF(VLOOKUP(B58,TOCA_current!$B$2:$AG$137,32,FALSE)=0,0,1)</f>
        <v>0</v>
      </c>
      <c r="B58" t="s">
        <v>24</v>
      </c>
      <c r="C58" s="86" t="str">
        <f>IF(A58=1,VLOOKUP($B58,Outputs!$B:$F,2,FALSE),"")</f>
        <v/>
      </c>
      <c r="D58" s="86">
        <f ca="1">IF(A58=0,VLOOKUP($B58,Outputs!$B:$F,2,FALSE),"")</f>
        <v>1.5729134548600015E-2</v>
      </c>
      <c r="E58" s="94"/>
      <c r="F58" s="95" t="str">
        <f>IF(A58=1,VLOOKUP($B58,Outputs!$H:$L,2,FALSE),"")</f>
        <v/>
      </c>
      <c r="G58" s="96">
        <f ca="1">IF(A58=0,VLOOKUP($B58,Outputs!$H:$L,2,FALSE),"")</f>
        <v>1.5729134548604664E-2</v>
      </c>
      <c r="J58" s="89">
        <f ca="1">VLOOKUP($B58,Outputs!$N:$R,2,FALSE)</f>
        <v>2.1566597294868147E-2</v>
      </c>
      <c r="K58" s="89">
        <f ca="1">+VLOOKUP(B58,Outputs!T:U,2,FALSE)</f>
        <v>5.4006095884682637E-2</v>
      </c>
      <c r="L58" s="86" t="str">
        <f>IF($A58=1,VLOOKUP($B58,Outputs!$B:$F,3,FALSE),"")</f>
        <v/>
      </c>
      <c r="M58" s="86">
        <f ca="1">IF($A58=0,VLOOKUP($B58,Outputs!$B:$F,3,FALSE),"")</f>
        <v>40.648522632553224</v>
      </c>
      <c r="N58" s="86" t="str">
        <f>IF($A58=1,VLOOKUP($B58,Outputs!$H:$L,3,FALSE),"")</f>
        <v/>
      </c>
      <c r="O58" s="86">
        <f ca="1">IF($A58=0,VLOOKUP($B58,Outputs!$H:$L,3,FALSE),"")</f>
        <v>40.648522632553224</v>
      </c>
      <c r="P58" s="86" t="str">
        <f>IF($A58=1,VLOOKUP($B58,Outputs!$N:$R,3,FALSE),"")</f>
        <v/>
      </c>
      <c r="Q58" s="86">
        <f ca="1">IF($A58=0,VLOOKUP($B58,Outputs!$N:$R,3,FALSE),"")</f>
        <v>39.245826510651945</v>
      </c>
    </row>
    <row r="59" spans="1:17">
      <c r="A59" s="240">
        <f>IF(VLOOKUP(B59,TOCA_current!$B$2:$AG$137,32,FALSE)=0,0,1)</f>
        <v>0</v>
      </c>
      <c r="B59" t="s">
        <v>115</v>
      </c>
      <c r="C59" s="86" t="str">
        <f>IF(A59=1,VLOOKUP($B59,Outputs!$B:$F,2,FALSE),"")</f>
        <v/>
      </c>
      <c r="D59" s="86">
        <f ca="1">IF(A59=0,VLOOKUP($B59,Outputs!$B:$F,2,FALSE),"")</f>
        <v>4.585784736921128E-2</v>
      </c>
      <c r="E59" s="94"/>
      <c r="F59" s="95" t="str">
        <f>IF(A59=1,VLOOKUP($B59,Outputs!$H:$L,2,FALSE),"")</f>
        <v/>
      </c>
      <c r="G59" s="96">
        <f ca="1">IF(A59=0,VLOOKUP($B59,Outputs!$H:$L,2,FALSE),"")</f>
        <v>4.5857847369213486E-2</v>
      </c>
      <c r="J59" s="89">
        <f ca="1">VLOOKUP($B59,Outputs!$N:$R,2,FALSE)</f>
        <v>2.2810385955916203E-2</v>
      </c>
      <c r="K59" s="89">
        <f ca="1">+VLOOKUP(B59,Outputs!T:U,2,FALSE)</f>
        <v>4.3091978945020593E-2</v>
      </c>
      <c r="L59" s="86" t="str">
        <f>IF($A59=1,VLOOKUP($B59,Outputs!$B:$F,3,FALSE),"")</f>
        <v/>
      </c>
      <c r="M59" s="86">
        <f ca="1">IF($A59=0,VLOOKUP($B59,Outputs!$B:$F,3,FALSE),"")</f>
        <v>30.906232750289544</v>
      </c>
      <c r="N59" s="86" t="str">
        <f>IF($A59=1,VLOOKUP($B59,Outputs!$H:$L,3,FALSE),"")</f>
        <v/>
      </c>
      <c r="O59" s="86">
        <f ca="1">IF($A59=0,VLOOKUP($B59,Outputs!$H:$L,3,FALSE),"")</f>
        <v>30.906232750289544</v>
      </c>
      <c r="P59" s="86" t="str">
        <f>IF($A59=1,VLOOKUP($B59,Outputs!$N:$R,3,FALSE),"")</f>
        <v/>
      </c>
      <c r="Q59" s="86">
        <f ca="1">IF($A59=0,VLOOKUP($B59,Outputs!$N:$R,3,FALSE),"")</f>
        <v>30.852393835701424</v>
      </c>
    </row>
    <row r="60" spans="1:17">
      <c r="A60" s="240">
        <f>IF(VLOOKUP(B60,TOCA_current!$B$2:$AG$137,32,FALSE)=0,0,1)</f>
        <v>0</v>
      </c>
      <c r="B60" t="s">
        <v>137</v>
      </c>
      <c r="C60" s="86" t="str">
        <f>IF(A60=1,VLOOKUP($B60,Outputs!$B:$F,2,FALSE),"")</f>
        <v/>
      </c>
      <c r="D60" s="86">
        <f ca="1">IF(A60=0,VLOOKUP($B60,Outputs!$B:$F,2,FALSE),"")</f>
        <v>0.10620721619444629</v>
      </c>
      <c r="E60" s="94"/>
      <c r="F60" s="95" t="str">
        <f>IF(A60=1,VLOOKUP($B60,Outputs!$H:$L,2,FALSE),"")</f>
        <v/>
      </c>
      <c r="G60" s="96">
        <f ca="1">IF(A60=0,VLOOKUP($B60,Outputs!$H:$L,2,FALSE),"")</f>
        <v>0.1062072161944561</v>
      </c>
      <c r="J60" s="89">
        <f ca="1">VLOOKUP($B60,Outputs!$N:$R,2,FALSE)</f>
        <v>-2.0048592927646497E-3</v>
      </c>
      <c r="K60" s="89">
        <f ca="1">+VLOOKUP(B60,Outputs!T:U,2,FALSE)</f>
        <v>9.7645106014701E-2</v>
      </c>
      <c r="L60" s="86" t="str">
        <f>IF($A60=1,VLOOKUP($B60,Outputs!$B:$F,3,FALSE),"")</f>
        <v/>
      </c>
      <c r="M60" s="86">
        <f ca="1">IF($A60=0,VLOOKUP($B60,Outputs!$B:$F,3,FALSE),"")</f>
        <v>40.601279638916715</v>
      </c>
      <c r="N60" s="86" t="str">
        <f>IF($A60=1,VLOOKUP($B60,Outputs!$H:$L,3,FALSE),"")</f>
        <v/>
      </c>
      <c r="O60" s="86">
        <f ca="1">IF($A60=0,VLOOKUP($B60,Outputs!$H:$L,3,FALSE),"")</f>
        <v>40.601279638916715</v>
      </c>
      <c r="P60" s="86" t="str">
        <f>IF($A60=1,VLOOKUP($B60,Outputs!$N:$R,3,FALSE),"")</f>
        <v/>
      </c>
      <c r="Q60" s="86">
        <f ca="1">IF($A60=0,VLOOKUP($B60,Outputs!$N:$R,3,FALSE),"")</f>
        <v>36.793021498240655</v>
      </c>
    </row>
    <row r="61" spans="1:17">
      <c r="A61" s="240">
        <f>IF(VLOOKUP(B61,TOCA_current!$B$2:$AG$137,32,FALSE)=0,0,1)</f>
        <v>0</v>
      </c>
      <c r="B61" t="s">
        <v>69</v>
      </c>
      <c r="C61" s="86" t="str">
        <f>IF(A61=1,VLOOKUP($B61,Outputs!$B:$F,2,FALSE),"")</f>
        <v/>
      </c>
      <c r="D61" s="86">
        <f ca="1">IF(A61=0,VLOOKUP($B61,Outputs!$B:$F,2,FALSE),"")</f>
        <v>1.905798154951194E-3</v>
      </c>
      <c r="E61" s="94"/>
      <c r="F61" s="95" t="str">
        <f>IF(A61=1,VLOOKUP($B61,Outputs!$H:$L,2,FALSE),"")</f>
        <v/>
      </c>
      <c r="G61" s="96">
        <f ca="1">IF(A61=0,VLOOKUP($B61,Outputs!$H:$L,2,FALSE),"")</f>
        <v>1.9057981549505671E-3</v>
      </c>
      <c r="J61" s="89">
        <f ca="1">VLOOKUP($B61,Outputs!$N:$R,2,FALSE)</f>
        <v>2.2806653540230785E-3</v>
      </c>
      <c r="K61" s="89">
        <f ca="1">+VLOOKUP(B61,Outputs!T:U,2,FALSE)</f>
        <v>5.0433909826408385E-3</v>
      </c>
      <c r="L61" s="86" t="str">
        <f>IF($A61=1,VLOOKUP($B61,Outputs!$B:$F,3,FALSE),"")</f>
        <v/>
      </c>
      <c r="M61" s="86">
        <f ca="1">IF($A61=0,VLOOKUP($B61,Outputs!$B:$F,3,FALSE),"")</f>
        <v>35.307972134791413</v>
      </c>
      <c r="N61" s="86" t="str">
        <f>IF($A61=1,VLOOKUP($B61,Outputs!$H:$L,3,FALSE),"")</f>
        <v/>
      </c>
      <c r="O61" s="86">
        <f ca="1">IF($A61=0,VLOOKUP($B61,Outputs!$H:$L,3,FALSE),"")</f>
        <v>35.307972134791413</v>
      </c>
      <c r="P61" s="86" t="str">
        <f>IF($A61=1,VLOOKUP($B61,Outputs!$N:$R,3,FALSE),"")</f>
        <v/>
      </c>
      <c r="Q61" s="86">
        <f ca="1">IF($A61=0,VLOOKUP($B61,Outputs!$N:$R,3,FALSE),"")</f>
        <v>35.002893476903665</v>
      </c>
    </row>
    <row r="62" spans="1:17">
      <c r="A62" s="240">
        <f>IF(VLOOKUP(B62,TOCA_current!$B$2:$AG$137,32,FALSE)=0,0,1)</f>
        <v>0</v>
      </c>
      <c r="B62" t="s">
        <v>106</v>
      </c>
      <c r="C62" s="86" t="str">
        <f>IF(A62=1,VLOOKUP($B62,Outputs!$B:$F,2,FALSE),"")</f>
        <v/>
      </c>
      <c r="D62" s="86">
        <f ca="1">IF(A62=0,VLOOKUP($B62,Outputs!$B:$F,2,FALSE),"")</f>
        <v>2.6046285066589903E-3</v>
      </c>
      <c r="E62" s="94"/>
      <c r="F62" s="95" t="str">
        <f>IF(A62=1,VLOOKUP($B62,Outputs!$H:$L,2,FALSE),"")</f>
        <v/>
      </c>
      <c r="G62" s="96">
        <f ca="1">IF(A62=0,VLOOKUP($B62,Outputs!$H:$L,2,FALSE),"")</f>
        <v>2.6046285066632104E-3</v>
      </c>
      <c r="J62" s="89">
        <f ca="1">VLOOKUP($B62,Outputs!$N:$R,2,FALSE)</f>
        <v>2.6126320521155217E-3</v>
      </c>
      <c r="K62" s="89">
        <f ca="1">+VLOOKUP(B62,Outputs!T:U,2,FALSE)</f>
        <v>1.8641495598304081E-2</v>
      </c>
      <c r="L62" s="86" t="str">
        <f>IF($A62=1,VLOOKUP($B62,Outputs!$B:$F,3,FALSE),"")</f>
        <v/>
      </c>
      <c r="M62" s="86">
        <f ca="1">IF($A62=0,VLOOKUP($B62,Outputs!$B:$F,3,FALSE),"")</f>
        <v>35.964108710912214</v>
      </c>
      <c r="N62" s="86" t="str">
        <f>IF($A62=1,VLOOKUP($B62,Outputs!$H:$L,3,FALSE),"")</f>
        <v/>
      </c>
      <c r="O62" s="86">
        <f ca="1">IF($A62=0,VLOOKUP($B62,Outputs!$H:$L,3,FALSE),"")</f>
        <v>35.964108710912214</v>
      </c>
      <c r="P62" s="86" t="str">
        <f>IF($A62=1,VLOOKUP($B62,Outputs!$N:$R,3,FALSE),"")</f>
        <v/>
      </c>
      <c r="Q62" s="86">
        <f ca="1">IF($A62=0,VLOOKUP($B62,Outputs!$N:$R,3,FALSE),"")</f>
        <v>35.499038086721065</v>
      </c>
    </row>
    <row r="63" spans="1:17">
      <c r="A63" s="240">
        <f>IF(VLOOKUP(B63,TOCA_current!$B$2:$AG$137,32,FALSE)=0,0,1)</f>
        <v>0</v>
      </c>
      <c r="B63" t="s">
        <v>135</v>
      </c>
      <c r="C63" s="86" t="str">
        <f>IF(A63=1,VLOOKUP($B63,Outputs!$B:$F,2,FALSE),"")</f>
        <v/>
      </c>
      <c r="D63" s="86">
        <f ca="1">IF(A63=0,VLOOKUP($B63,Outputs!$B:$F,2,FALSE),"")</f>
        <v>2.5119888888114339E-4</v>
      </c>
      <c r="E63" s="94"/>
      <c r="F63" s="95" t="str">
        <f>IF(A63=1,VLOOKUP($B63,Outputs!$H:$L,2,FALSE),"")</f>
        <v/>
      </c>
      <c r="G63" s="96">
        <f ca="1">IF(A63=0,VLOOKUP($B63,Outputs!$H:$L,2,FALSE),"")</f>
        <v>2.5119888888747166E-4</v>
      </c>
      <c r="J63" s="89">
        <f ca="1">VLOOKUP($B63,Outputs!$N:$R,2,FALSE)</f>
        <v>-2.3202946219850738E-3</v>
      </c>
      <c r="K63" s="89">
        <f ca="1">+VLOOKUP(B63,Outputs!T:U,2,FALSE)</f>
        <v>3.9394713393170466E-3</v>
      </c>
      <c r="L63" s="86" t="str">
        <f>IF($A63=1,VLOOKUP($B63,Outputs!$B:$F,3,FALSE),"")</f>
        <v/>
      </c>
      <c r="M63" s="86">
        <f ca="1">IF($A63=0,VLOOKUP($B63,Outputs!$B:$F,3,FALSE),"")</f>
        <v>34.042414832553213</v>
      </c>
      <c r="N63" s="86" t="str">
        <f>IF($A63=1,VLOOKUP($B63,Outputs!$H:$L,3,FALSE),"")</f>
        <v/>
      </c>
      <c r="O63" s="86">
        <f ca="1">IF($A63=0,VLOOKUP($B63,Outputs!$H:$L,3,FALSE),"")</f>
        <v>34.042414832553213</v>
      </c>
      <c r="P63" s="86" t="str">
        <f>IF($A63=1,VLOOKUP($B63,Outputs!$N:$R,3,FALSE),"")</f>
        <v/>
      </c>
      <c r="Q63" s="86">
        <f ca="1">IF($A63=0,VLOOKUP($B63,Outputs!$N:$R,3,FALSE),"")</f>
        <v>34.342487953832666</v>
      </c>
    </row>
    <row r="64" spans="1:17">
      <c r="A64" s="240">
        <f>IF(VLOOKUP(B64,TOCA_current!$B$2:$AG$137,32,FALSE)=0,0,1)</f>
        <v>0</v>
      </c>
      <c r="B64" t="s">
        <v>128</v>
      </c>
      <c r="C64" s="86" t="str">
        <f>IF(A64=1,VLOOKUP($B64,Outputs!$B:$F,2,FALSE),"")</f>
        <v/>
      </c>
      <c r="D64" s="86">
        <f ca="1">IF(A64=0,VLOOKUP($B64,Outputs!$B:$F,2,FALSE),"")</f>
        <v>5.1895372801926687E-3</v>
      </c>
      <c r="E64" s="94"/>
      <c r="F64" s="95" t="str">
        <f>IF(A64=1,VLOOKUP($B64,Outputs!$H:$L,2,FALSE),"")</f>
        <v/>
      </c>
      <c r="G64" s="96">
        <f ca="1">IF(A64=0,VLOOKUP($B64,Outputs!$H:$L,2,FALSE),"")</f>
        <v>5.1895372801993604E-3</v>
      </c>
      <c r="J64" s="89">
        <f ca="1">VLOOKUP($B64,Outputs!$N:$R,2,FALSE)</f>
        <v>1.8423173934386749E-3</v>
      </c>
      <c r="K64" s="89">
        <f ca="1">+VLOOKUP(B64,Outputs!T:U,2,FALSE)</f>
        <v>1.2815348382023917E-2</v>
      </c>
      <c r="L64" s="86" t="str">
        <f>IF($A64=1,VLOOKUP($B64,Outputs!$B:$F,3,FALSE),"")</f>
        <v/>
      </c>
      <c r="M64" s="86">
        <f ca="1">IF($A64=0,VLOOKUP($B64,Outputs!$B:$F,3,FALSE),"")</f>
        <v>32.104400535547974</v>
      </c>
      <c r="N64" s="86" t="str">
        <f>IF($A64=1,VLOOKUP($B64,Outputs!$H:$L,3,FALSE),"")</f>
        <v/>
      </c>
      <c r="O64" s="86">
        <f ca="1">IF($A64=0,VLOOKUP($B64,Outputs!$H:$L,3,FALSE),"")</f>
        <v>32.104400535547974</v>
      </c>
      <c r="P64" s="86" t="str">
        <f>IF($A64=1,VLOOKUP($B64,Outputs!$N:$R,3,FALSE),"")</f>
        <v/>
      </c>
      <c r="Q64" s="86">
        <f ca="1">IF($A64=0,VLOOKUP($B64,Outputs!$N:$R,3,FALSE),"")</f>
        <v>32.39729342594169</v>
      </c>
    </row>
    <row r="65" spans="1:17">
      <c r="A65" s="240">
        <f>IF(VLOOKUP(B65,TOCA_current!$B$2:$AG$137,32,FALSE)=0,0,1)</f>
        <v>0</v>
      </c>
      <c r="B65" t="s">
        <v>125</v>
      </c>
      <c r="C65" s="86" t="str">
        <f>IF(A65=1,VLOOKUP($B65,Outputs!$B:$F,2,FALSE),"")</f>
        <v/>
      </c>
      <c r="D65" s="86">
        <f ca="1">IF(A65=0,VLOOKUP($B65,Outputs!$B:$F,2,FALSE),"")</f>
        <v>2.0593154556973747E-2</v>
      </c>
      <c r="E65" s="94"/>
      <c r="F65" s="95" t="str">
        <f>IF(A65=1,VLOOKUP($B65,Outputs!$H:$L,2,FALSE),"")</f>
        <v/>
      </c>
      <c r="G65" s="96">
        <f ca="1">IF(A65=0,VLOOKUP($B65,Outputs!$H:$L,2,FALSE),"")</f>
        <v>2.0593154556978511E-2</v>
      </c>
      <c r="J65" s="89">
        <f ca="1">VLOOKUP($B65,Outputs!$N:$R,2,FALSE)</f>
        <v>1.9760849049091103E-2</v>
      </c>
      <c r="K65" s="89">
        <f ca="1">+VLOOKUP(B65,Outputs!T:U,2,FALSE)</f>
        <v>1.3874954323668698E-2</v>
      </c>
      <c r="L65" s="86" t="str">
        <f>IF($A65=1,VLOOKUP($B65,Outputs!$B:$F,3,FALSE),"")</f>
        <v/>
      </c>
      <c r="M65" s="86">
        <f ca="1">IF($A65=0,VLOOKUP($B65,Outputs!$B:$F,3,FALSE),"")</f>
        <v>36.158402116324936</v>
      </c>
      <c r="N65" s="86" t="str">
        <f>IF($A65=1,VLOOKUP($B65,Outputs!$H:$L,3,FALSE),"")</f>
        <v/>
      </c>
      <c r="O65" s="86">
        <f ca="1">IF($A65=0,VLOOKUP($B65,Outputs!$H:$L,3,FALSE),"")</f>
        <v>36.158402116324936</v>
      </c>
      <c r="P65" s="86" t="str">
        <f>IF($A65=1,VLOOKUP($B65,Outputs!$N:$R,3,FALSE),"")</f>
        <v/>
      </c>
      <c r="Q65" s="86">
        <f ca="1">IF($A65=0,VLOOKUP($B65,Outputs!$N:$R,3,FALSE),"")</f>
        <v>35.823501791551244</v>
      </c>
    </row>
    <row r="66" spans="1:17">
      <c r="A66" s="240">
        <f>IF(VLOOKUP(B66,TOCA_current!$B$2:$AG$137,32,FALSE)=0,0,1)</f>
        <v>0</v>
      </c>
      <c r="B66" t="s">
        <v>17</v>
      </c>
      <c r="C66" s="86" t="str">
        <f>IF(A66=1,VLOOKUP($B66,Outputs!$B:$F,2,FALSE),"")</f>
        <v/>
      </c>
      <c r="D66" s="86">
        <f ca="1">IF(A66=0,VLOOKUP($B66,Outputs!$B:$F,2,FALSE),"")</f>
        <v>2.7358914502505688E-2</v>
      </c>
      <c r="E66" s="94"/>
      <c r="F66" s="95" t="str">
        <f>IF(A66=1,VLOOKUP($B66,Outputs!$H:$L,2,FALSE),"")</f>
        <v/>
      </c>
      <c r="G66" s="96">
        <f ca="1">IF(A66=0,VLOOKUP($B66,Outputs!$H:$L,2,FALSE),"")</f>
        <v>2.7358914502510566E-2</v>
      </c>
      <c r="J66" s="89">
        <f ca="1">VLOOKUP($B66,Outputs!$N:$R,2,FALSE)</f>
        <v>2.5483161665819421E-2</v>
      </c>
      <c r="K66" s="89">
        <f ca="1">+VLOOKUP(B66,Outputs!T:U,2,FALSE)</f>
        <v>2.2456041679838501E-2</v>
      </c>
      <c r="L66" s="86" t="str">
        <f>IF($A66=1,VLOOKUP($B66,Outputs!$B:$F,3,FALSE),"")</f>
        <v/>
      </c>
      <c r="M66" s="86">
        <f ca="1">IF($A66=0,VLOOKUP($B66,Outputs!$B:$F,3,FALSE),"")</f>
        <v>37.899574243776428</v>
      </c>
      <c r="N66" s="86" t="str">
        <f>IF($A66=1,VLOOKUP($B66,Outputs!$H:$L,3,FALSE),"")</f>
        <v/>
      </c>
      <c r="O66" s="86">
        <f ca="1">IF($A66=0,VLOOKUP($B66,Outputs!$H:$L,3,FALSE),"")</f>
        <v>37.899574243776428</v>
      </c>
      <c r="P66" s="86" t="str">
        <f>IF($A66=1,VLOOKUP($B66,Outputs!$N:$R,3,FALSE),"")</f>
        <v/>
      </c>
      <c r="Q66" s="86">
        <f ca="1">IF($A66=0,VLOOKUP($B66,Outputs!$N:$R,3,FALSE),"")</f>
        <v>37.179799357431619</v>
      </c>
    </row>
    <row r="67" spans="1:17">
      <c r="A67" s="240">
        <f>IF(VLOOKUP(B67,TOCA_current!$B$2:$AG$137,32,FALSE)=0,0,1)</f>
        <v>0</v>
      </c>
      <c r="B67" t="s">
        <v>13</v>
      </c>
      <c r="C67" s="86" t="str">
        <f>IF(A67=1,VLOOKUP($B67,Outputs!$B:$F,2,FALSE),"")</f>
        <v/>
      </c>
      <c r="D67" s="86">
        <f ca="1">IF(A67=0,VLOOKUP($B67,Outputs!$B:$F,2,FALSE),"")</f>
        <v>2.2840073649007087E-2</v>
      </c>
      <c r="E67" s="94"/>
      <c r="F67" s="95" t="str">
        <f>IF(A67=1,VLOOKUP($B67,Outputs!$H:$L,2,FALSE),"")</f>
        <v/>
      </c>
      <c r="G67" s="96">
        <f ca="1">IF(A67=0,VLOOKUP($B67,Outputs!$H:$L,2,FALSE),"")</f>
        <v>2.2840073649008457E-2</v>
      </c>
      <c r="J67" s="89">
        <f ca="1">VLOOKUP($B67,Outputs!$N:$R,2,FALSE)</f>
        <v>2.1405928432200995E-2</v>
      </c>
      <c r="K67" s="89">
        <f ca="1">+VLOOKUP(B67,Outputs!T:U,2,FALSE)</f>
        <v>2.9254463904044181E-2</v>
      </c>
      <c r="L67" s="86" t="str">
        <f>IF($A67=1,VLOOKUP($B67,Outputs!$B:$F,3,FALSE),"")</f>
        <v/>
      </c>
      <c r="M67" s="86">
        <f ca="1">IF($A67=0,VLOOKUP($B67,Outputs!$B:$F,3,FALSE),"")</f>
        <v>37.571495136257298</v>
      </c>
      <c r="N67" s="86" t="str">
        <f>IF($A67=1,VLOOKUP($B67,Outputs!$H:$L,3,FALSE),"")</f>
        <v/>
      </c>
      <c r="O67" s="86">
        <f ca="1">IF($A67=0,VLOOKUP($B67,Outputs!$H:$L,3,FALSE),"")</f>
        <v>37.571495136257298</v>
      </c>
      <c r="P67" s="86" t="str">
        <f>IF($A67=1,VLOOKUP($B67,Outputs!$N:$R,3,FALSE),"")</f>
        <v/>
      </c>
      <c r="Q67" s="86">
        <f ca="1">IF($A67=0,VLOOKUP($B67,Outputs!$N:$R,3,FALSE),"")</f>
        <v>36.912197035991241</v>
      </c>
    </row>
    <row r="68" spans="1:17">
      <c r="A68" s="240">
        <f>IF(VLOOKUP(B68,TOCA_current!$B$2:$AG$137,32,FALSE)=0,0,1)</f>
        <v>0</v>
      </c>
      <c r="B68" t="s">
        <v>72</v>
      </c>
      <c r="C68" s="86" t="str">
        <f>IF(A68=1,VLOOKUP($B68,Outputs!$B:$F,2,FALSE),"")</f>
        <v/>
      </c>
      <c r="D68" s="86">
        <f ca="1">IF(A68=0,VLOOKUP($B68,Outputs!$B:$F,2,FALSE),"")</f>
        <v>1.505501457190815E-2</v>
      </c>
      <c r="E68" s="94"/>
      <c r="F68" s="95" t="str">
        <f>IF(A68=1,VLOOKUP($B68,Outputs!$H:$L,2,FALSE),"")</f>
        <v/>
      </c>
      <c r="G68" s="96">
        <f ca="1">IF(A68=0,VLOOKUP($B68,Outputs!$H:$L,2,FALSE),"")</f>
        <v>1.5055014571912103E-2</v>
      </c>
      <c r="J68" s="89">
        <f ca="1">VLOOKUP($B68,Outputs!$N:$R,2,FALSE)</f>
        <v>2.072773690535025E-2</v>
      </c>
      <c r="K68" s="89">
        <f ca="1">+VLOOKUP(B68,Outputs!T:U,2,FALSE)</f>
        <v>4.4890336739049852E-2</v>
      </c>
      <c r="L68" s="86" t="str">
        <f>IF($A68=1,VLOOKUP($B68,Outputs!$B:$F,3,FALSE),"")</f>
        <v/>
      </c>
      <c r="M68" s="86">
        <f ca="1">IF($A68=0,VLOOKUP($B68,Outputs!$B:$F,3,FALSE),"")</f>
        <v>27.005969471244633</v>
      </c>
      <c r="N68" s="86" t="str">
        <f>IF($A68=1,VLOOKUP($B68,Outputs!$H:$L,3,FALSE),"")</f>
        <v/>
      </c>
      <c r="O68" s="86">
        <f ca="1">IF($A68=0,VLOOKUP($B68,Outputs!$H:$L,3,FALSE),"")</f>
        <v>27.005969471244633</v>
      </c>
      <c r="P68" s="86" t="str">
        <f>IF($A68=1,VLOOKUP($B68,Outputs!$N:$R,3,FALSE),"")</f>
        <v/>
      </c>
      <c r="Q68" s="86">
        <f ca="1">IF($A68=0,VLOOKUP($B68,Outputs!$N:$R,3,FALSE),"")</f>
        <v>29.147453472430453</v>
      </c>
    </row>
    <row r="69" spans="1:17">
      <c r="A69" s="240">
        <f>IF(VLOOKUP(B69,TOCA_current!$B$2:$AG$137,32,FALSE)=0,0,1)</f>
        <v>0</v>
      </c>
      <c r="B69" t="s">
        <v>28</v>
      </c>
      <c r="C69" s="86" t="str">
        <f>IF(A69=1,VLOOKUP($B69,Outputs!$B:$F,2,FALSE),"")</f>
        <v/>
      </c>
      <c r="D69" s="86">
        <f ca="1">IF(A69=0,VLOOKUP($B69,Outputs!$B:$F,2,FALSE),"")</f>
        <v>2.294678721268124E-2</v>
      </c>
      <c r="E69" s="94"/>
      <c r="F69" s="95" t="str">
        <f>IF(A69=1,VLOOKUP($B69,Outputs!$H:$L,2,FALSE),"")</f>
        <v/>
      </c>
      <c r="G69" s="96">
        <f ca="1">IF(A69=0,VLOOKUP($B69,Outputs!$H:$L,2,FALSE),"")</f>
        <v>2.2946787212685577E-2</v>
      </c>
      <c r="J69" s="89">
        <f ca="1">VLOOKUP($B69,Outputs!$N:$R,2,FALSE)</f>
        <v>2.2067613594784468E-2</v>
      </c>
      <c r="K69" s="89">
        <f ca="1">+VLOOKUP(B69,Outputs!T:U,2,FALSE)</f>
        <v>3.936477488791823E-2</v>
      </c>
      <c r="L69" s="86" t="str">
        <f>IF($A69=1,VLOOKUP($B69,Outputs!$B:$F,3,FALSE),"")</f>
        <v/>
      </c>
      <c r="M69" s="86">
        <f ca="1">IF($A69=0,VLOOKUP($B69,Outputs!$B:$F,3,FALSE),"")</f>
        <v>38.260654927788956</v>
      </c>
      <c r="N69" s="86" t="str">
        <f>IF($A69=1,VLOOKUP($B69,Outputs!$H:$L,3,FALSE),"")</f>
        <v/>
      </c>
      <c r="O69" s="86">
        <f ca="1">IF($A69=0,VLOOKUP($B69,Outputs!$H:$L,3,FALSE),"")</f>
        <v>38.260654927788956</v>
      </c>
      <c r="P69" s="86" t="str">
        <f>IF($A69=1,VLOOKUP($B69,Outputs!$N:$R,3,FALSE),"")</f>
        <v/>
      </c>
      <c r="Q69" s="86">
        <f ca="1">IF($A69=0,VLOOKUP($B69,Outputs!$N:$R,3,FALSE),"")</f>
        <v>37.632085026426708</v>
      </c>
    </row>
    <row r="70" spans="1:17">
      <c r="A70" s="240">
        <f>IF(VLOOKUP(B70,TOCA_current!$B$2:$AG$137,32,FALSE)=0,0,1)</f>
        <v>0</v>
      </c>
      <c r="B70" t="s">
        <v>23</v>
      </c>
      <c r="C70" s="86" t="str">
        <f>IF(A70=1,VLOOKUP($B70,Outputs!$B:$F,2,FALSE),"")</f>
        <v/>
      </c>
      <c r="D70" s="86">
        <f ca="1">IF(A70=0,VLOOKUP($B70,Outputs!$B:$F,2,FALSE),"")</f>
        <v>4.5411251950770531E-2</v>
      </c>
      <c r="E70" s="94"/>
      <c r="F70" s="95" t="str">
        <f>IF(A70=1,VLOOKUP($B70,Outputs!$H:$L,2,FALSE),"")</f>
        <v/>
      </c>
      <c r="G70" s="96">
        <f ca="1">IF(A70=0,VLOOKUP($B70,Outputs!$H:$L,2,FALSE),"")</f>
        <v>4.5411251950768956E-2</v>
      </c>
      <c r="J70" s="89">
        <f ca="1">VLOOKUP($B70,Outputs!$N:$R,2,FALSE)</f>
        <v>2.2055660553333377E-2</v>
      </c>
      <c r="K70" s="89">
        <f ca="1">+VLOOKUP(B70,Outputs!T:U,2,FALSE)</f>
        <v>5.4497580288720648E-2</v>
      </c>
      <c r="L70" s="86" t="str">
        <f>IF($A70=1,VLOOKUP($B70,Outputs!$B:$F,3,FALSE),"")</f>
        <v/>
      </c>
      <c r="M70" s="86">
        <f ca="1">IF($A70=0,VLOOKUP($B70,Outputs!$B:$F,3,FALSE),"")</f>
        <v>40.23230360570976</v>
      </c>
      <c r="N70" s="86" t="str">
        <f>IF($A70=1,VLOOKUP($B70,Outputs!$H:$L,3,FALSE),"")</f>
        <v/>
      </c>
      <c r="O70" s="86">
        <f ca="1">IF($A70=0,VLOOKUP($B70,Outputs!$H:$L,3,FALSE),"")</f>
        <v>40.23230360570976</v>
      </c>
      <c r="P70" s="86" t="str">
        <f>IF($A70=1,VLOOKUP($B70,Outputs!$N:$R,3,FALSE),"")</f>
        <v/>
      </c>
      <c r="Q70" s="86">
        <f ca="1">IF($A70=0,VLOOKUP($B70,Outputs!$N:$R,3,FALSE),"")</f>
        <v>38.3590657011529</v>
      </c>
    </row>
    <row r="71" spans="1:17">
      <c r="A71" s="240">
        <f>IF(VLOOKUP(B71,TOCA_current!$B$2:$AG$137,32,FALSE)=0,0,1)</f>
        <v>0</v>
      </c>
      <c r="B71" t="s">
        <v>102</v>
      </c>
      <c r="C71" s="86" t="str">
        <f>IF(A71=1,VLOOKUP($B71,Outputs!$B:$F,2,FALSE),"")</f>
        <v/>
      </c>
      <c r="D71" s="129">
        <f ca="1">IF(A71=0,VLOOKUP($B71,Outputs!$B:$F,2,FALSE),"")</f>
        <v>1.1706346790982404E-2</v>
      </c>
      <c r="E71" s="94"/>
      <c r="F71" s="95" t="str">
        <f>IF(A71=1,VLOOKUP($B71,Outputs!$H:$L,2,FALSE),"")</f>
        <v/>
      </c>
      <c r="G71" s="96">
        <f ca="1">IF(A71=0,VLOOKUP($B71,Outputs!$H:$L,2,FALSE),"")</f>
        <v>1.1706346790973919E-2</v>
      </c>
      <c r="J71" s="89">
        <f ca="1">VLOOKUP($B71,Outputs!$N:$R,2,FALSE)</f>
        <v>6.1445830749762096E-3</v>
      </c>
      <c r="K71" s="89" t="str">
        <f ca="1">+VLOOKUP(B71,Outputs!T:U,2,FALSE)</f>
        <v/>
      </c>
      <c r="L71" s="86" t="str">
        <f>IF($A71=1,VLOOKUP($B71,Outputs!$B:$F,3,FALSE),"")</f>
        <v/>
      </c>
      <c r="M71" s="86">
        <f ca="1">IF($A71=0,VLOOKUP($B71,Outputs!$B:$F,3,FALSE),"")</f>
        <v>38.061181245453668</v>
      </c>
      <c r="N71" s="86" t="str">
        <f>IF($A71=1,VLOOKUP($B71,Outputs!$H:$L,3,FALSE),"")</f>
        <v/>
      </c>
      <c r="O71" s="86">
        <f ca="1">IF($A71=0,VLOOKUP($B71,Outputs!$H:$L,3,FALSE),"")</f>
        <v>38.061181245453668</v>
      </c>
      <c r="P71" s="86" t="str">
        <f>IF($A71=1,VLOOKUP($B71,Outputs!$N:$R,3,FALSE),"")</f>
        <v/>
      </c>
      <c r="Q71" s="86">
        <f ca="1">IF($A71=0,VLOOKUP($B71,Outputs!$N:$R,3,FALSE),"")</f>
        <v>35.293311393709104</v>
      </c>
    </row>
    <row r="72" spans="1:17">
      <c r="A72" s="240">
        <f>IF(VLOOKUP(B72,TOCA_current!$B$2:$AG$137,32,FALSE)=0,0,1)</f>
        <v>0</v>
      </c>
      <c r="B72" t="s">
        <v>91</v>
      </c>
      <c r="C72" s="86" t="str">
        <f>IF(A72=1,VLOOKUP($B72,Outputs!$B:$F,2,FALSE),"")</f>
        <v/>
      </c>
      <c r="D72" s="86">
        <f ca="1">IF(A72=0,VLOOKUP($B72,Outputs!$B:$F,2,FALSE),"")</f>
        <v>1.31268885634327E-2</v>
      </c>
      <c r="E72" s="94"/>
      <c r="F72" s="95" t="str">
        <f>IF(A72=1,VLOOKUP($B72,Outputs!$H:$L,2,FALSE),"")</f>
        <v/>
      </c>
      <c r="G72" s="96">
        <f ca="1">IF(A72=0,VLOOKUP($B72,Outputs!$H:$L,2,FALSE),"")</f>
        <v>1.3126888563425495E-2</v>
      </c>
      <c r="J72" s="89">
        <f ca="1">VLOOKUP($B72,Outputs!$N:$R,2,FALSE)</f>
        <v>-1.2515329668507501E-3</v>
      </c>
      <c r="K72" s="89">
        <f ca="1">+VLOOKUP(B72,Outputs!T:U,2,FALSE)</f>
        <v>1.6429493186527422E-2</v>
      </c>
      <c r="L72" s="86" t="str">
        <f>IF($A72=1,VLOOKUP($B72,Outputs!$B:$F,3,FALSE),"")</f>
        <v/>
      </c>
      <c r="M72" s="86">
        <f ca="1">IF($A72=0,VLOOKUP($B72,Outputs!$B:$F,3,FALSE),"")</f>
        <v>38.363381926896977</v>
      </c>
      <c r="N72" s="86" t="str">
        <f>IF($A72=1,VLOOKUP($B72,Outputs!$H:$L,3,FALSE),"")</f>
        <v/>
      </c>
      <c r="O72" s="86">
        <f ca="1">IF($A72=0,VLOOKUP($B72,Outputs!$H:$L,3,FALSE),"")</f>
        <v>38.363381926896977</v>
      </c>
      <c r="P72" s="86" t="str">
        <f>IF($A72=1,VLOOKUP($B72,Outputs!$N:$R,3,FALSE),"")</f>
        <v/>
      </c>
      <c r="Q72" s="86">
        <f ca="1">IF($A72=0,VLOOKUP($B72,Outputs!$N:$R,3,FALSE),"")</f>
        <v>37.287376008199104</v>
      </c>
    </row>
    <row r="73" spans="1:17">
      <c r="A73" s="240">
        <f>IF(VLOOKUP(B73,TOCA_current!$B$2:$AG$137,32,FALSE)=0,0,1)</f>
        <v>0</v>
      </c>
      <c r="B73" t="s">
        <v>133</v>
      </c>
      <c r="C73" s="86" t="str">
        <f>IF(A73=1,VLOOKUP($B73,Outputs!$B:$F,2,FALSE),"")</f>
        <v/>
      </c>
      <c r="D73" s="86">
        <f ca="1">IF(A73=0,VLOOKUP($B73,Outputs!$B:$F,2,FALSE),"")</f>
        <v>1.9038316078117568E-2</v>
      </c>
      <c r="E73" s="94"/>
      <c r="F73" s="95" t="str">
        <f>IF(A73=1,VLOOKUP($B73,Outputs!$H:$L,2,FALSE),"")</f>
        <v/>
      </c>
      <c r="G73" s="96">
        <f ca="1">IF(A73=0,VLOOKUP($B73,Outputs!$H:$L,2,FALSE),"")</f>
        <v>1.9038316078125214E-2</v>
      </c>
      <c r="J73" s="89">
        <f ca="1">VLOOKUP($B73,Outputs!$N:$R,2,FALSE)</f>
        <v>1.8881947968968832E-2</v>
      </c>
      <c r="K73" s="89">
        <f ca="1">+VLOOKUP(B73,Outputs!T:U,2,FALSE)</f>
        <v>2.3545764738253316E-2</v>
      </c>
      <c r="L73" s="86" t="str">
        <f>IF($A73=1,VLOOKUP($B73,Outputs!$B:$F,3,FALSE),"")</f>
        <v/>
      </c>
      <c r="M73" s="86">
        <f ca="1">IF($A73=0,VLOOKUP($B73,Outputs!$B:$F,3,FALSE),"")</f>
        <v>36.023431712689082</v>
      </c>
      <c r="N73" s="86" t="str">
        <f>IF($A73=1,VLOOKUP($B73,Outputs!$H:$L,3,FALSE),"")</f>
        <v/>
      </c>
      <c r="O73" s="86">
        <f ca="1">IF($A73=0,VLOOKUP($B73,Outputs!$H:$L,3,FALSE),"")</f>
        <v>36.023431712689082</v>
      </c>
      <c r="P73" s="86" t="str">
        <f>IF($A73=1,VLOOKUP($B73,Outputs!$N:$R,3,FALSE),"")</f>
        <v/>
      </c>
      <c r="Q73" s="86">
        <f ca="1">IF($A73=0,VLOOKUP($B73,Outputs!$N:$R,3,FALSE),"")</f>
        <v>36.144804268868086</v>
      </c>
    </row>
    <row r="74" spans="1:17">
      <c r="A74" s="240">
        <f>IF(VLOOKUP(B74,TOCA_current!$B$2:$AG$137,32,FALSE)=0,0,1)</f>
        <v>0</v>
      </c>
      <c r="B74" t="s">
        <v>29</v>
      </c>
      <c r="C74" s="86" t="str">
        <f>IF(A74=1,VLOOKUP($B74,Outputs!$B:$F,2,FALSE),"")</f>
        <v/>
      </c>
      <c r="D74" s="86">
        <f ca="1">IF(A74=0,VLOOKUP($B74,Outputs!$B:$F,2,FALSE),"")</f>
        <v>3.9962240885022073E-2</v>
      </c>
      <c r="E74" s="94"/>
      <c r="F74" s="95" t="str">
        <f>IF(A74=1,VLOOKUP($B74,Outputs!$H:$L,2,FALSE),"")</f>
        <v/>
      </c>
      <c r="G74" s="96">
        <f ca="1">IF(A74=0,VLOOKUP($B74,Outputs!$H:$L,2,FALSE),"")</f>
        <v>3.9962240885026458E-2</v>
      </c>
      <c r="J74" s="89">
        <f ca="1">VLOOKUP($B74,Outputs!$N:$R,2,FALSE)</f>
        <v>1.9541272702450232E-2</v>
      </c>
      <c r="K74" s="89">
        <f ca="1">+VLOOKUP(B74,Outputs!T:U,2,FALSE)</f>
        <v>2.9974155181159645E-2</v>
      </c>
      <c r="L74" s="86" t="str">
        <f>IF($A74=1,VLOOKUP($B74,Outputs!$B:$F,3,FALSE),"")</f>
        <v/>
      </c>
      <c r="M74" s="86">
        <f ca="1">IF($A74=0,VLOOKUP($B74,Outputs!$B:$F,3,FALSE),"")</f>
        <v>39.198993400874187</v>
      </c>
      <c r="N74" s="86" t="str">
        <f>IF($A74=1,VLOOKUP($B74,Outputs!$H:$L,3,FALSE),"")</f>
        <v/>
      </c>
      <c r="O74" s="86">
        <f ca="1">IF($A74=0,VLOOKUP($B74,Outputs!$H:$L,3,FALSE),"")</f>
        <v>39.198993400874187</v>
      </c>
      <c r="P74" s="86" t="str">
        <f>IF($A74=1,VLOOKUP($B74,Outputs!$N:$R,3,FALSE),"")</f>
        <v/>
      </c>
      <c r="Q74" s="86">
        <f ca="1">IF($A74=0,VLOOKUP($B74,Outputs!$N:$R,3,FALSE),"")</f>
        <v>37.75946744482971</v>
      </c>
    </row>
    <row r="75" spans="1:17">
      <c r="A75" s="240">
        <f>IF(VLOOKUP(B75,TOCA_current!$B$2:$AG$137,32,FALSE)=0,0,1)</f>
        <v>0</v>
      </c>
      <c r="B75" t="s">
        <v>90</v>
      </c>
      <c r="C75" s="86" t="str">
        <f>IF(A75=1,VLOOKUP($B75,Outputs!$B:$F,2,FALSE),"")</f>
        <v/>
      </c>
      <c r="D75" s="86">
        <f ca="1">IF(A75=0,VLOOKUP($B75,Outputs!$B:$F,2,FALSE),"")</f>
        <v>2.7019917545338967E-3</v>
      </c>
      <c r="E75" s="94"/>
      <c r="F75" s="95" t="str">
        <f>IF(A75=1,VLOOKUP($B75,Outputs!$H:$L,2,FALSE),"")</f>
        <v/>
      </c>
      <c r="G75" s="96">
        <f ca="1">IF(A75=0,VLOOKUP($B75,Outputs!$H:$L,2,FALSE),"")</f>
        <v>2.7019917545331607E-3</v>
      </c>
      <c r="J75" s="89">
        <f ca="1">VLOOKUP($B75,Outputs!$N:$R,2,FALSE)</f>
        <v>2.0656928630825768E-3</v>
      </c>
      <c r="K75" s="89">
        <f ca="1">+VLOOKUP(B75,Outputs!T:U,2,FALSE)</f>
        <v>1.5936592743422295E-2</v>
      </c>
      <c r="L75" s="86" t="str">
        <f>IF($A75=1,VLOOKUP($B75,Outputs!$B:$F,3,FALSE),"")</f>
        <v/>
      </c>
      <c r="M75" s="86">
        <f ca="1">IF($A75=0,VLOOKUP($B75,Outputs!$B:$F,3,FALSE),"")</f>
        <v>36.502077992360441</v>
      </c>
      <c r="N75" s="86" t="str">
        <f>IF($A75=1,VLOOKUP($B75,Outputs!$H:$L,3,FALSE),"")</f>
        <v/>
      </c>
      <c r="O75" s="86">
        <f ca="1">IF($A75=0,VLOOKUP($B75,Outputs!$H:$L,3,FALSE),"")</f>
        <v>36.502077992360441</v>
      </c>
      <c r="P75" s="86" t="str">
        <f>IF($A75=1,VLOOKUP($B75,Outputs!$N:$R,3,FALSE),"")</f>
        <v/>
      </c>
      <c r="Q75" s="86">
        <f ca="1">IF($A75=0,VLOOKUP($B75,Outputs!$N:$R,3,FALSE),"")</f>
        <v>35.976340972587387</v>
      </c>
    </row>
    <row r="76" spans="1:17">
      <c r="A76" s="240">
        <f>IF(VLOOKUP(B76,TOCA_current!$B$2:$AG$137,32,FALSE)=0,0,1)</f>
        <v>0</v>
      </c>
      <c r="B76" t="s">
        <v>127</v>
      </c>
      <c r="C76" s="86" t="str">
        <f>IF(A76=1,VLOOKUP($B76,Outputs!$B:$F,2,FALSE),"")</f>
        <v/>
      </c>
      <c r="D76" s="86">
        <f ca="1">IF(A76=0,VLOOKUP($B76,Outputs!$B:$F,2,FALSE),"")</f>
        <v>1.1841368979351508E-2</v>
      </c>
      <c r="E76" s="94"/>
      <c r="F76" s="95" t="str">
        <f>IF(A76=1,VLOOKUP($B76,Outputs!$H:$L,2,FALSE),"")</f>
        <v/>
      </c>
      <c r="G76" s="96">
        <f ca="1">IF(A76=0,VLOOKUP($B76,Outputs!$H:$L,2,FALSE),"")</f>
        <v>1.1841368979360868E-2</v>
      </c>
      <c r="J76" s="89">
        <f ca="1">VLOOKUP($B76,Outputs!$N:$R,2,FALSE)</f>
        <v>2.0780261598947157E-2</v>
      </c>
      <c r="K76" s="89">
        <f ca="1">+VLOOKUP(B76,Outputs!T:U,2,FALSE)</f>
        <v>2.4411183429648098E-2</v>
      </c>
      <c r="L76" s="86" t="str">
        <f>IF($A76=1,VLOOKUP($B76,Outputs!$B:$F,3,FALSE),"")</f>
        <v/>
      </c>
      <c r="M76" s="86">
        <f ca="1">IF($A76=0,VLOOKUP($B76,Outputs!$B:$F,3,FALSE),"")</f>
        <v>38.31369126024309</v>
      </c>
      <c r="N76" s="86" t="str">
        <f>IF($A76=1,VLOOKUP($B76,Outputs!$H:$L,3,FALSE),"")</f>
        <v/>
      </c>
      <c r="O76" s="86">
        <f ca="1">IF($A76=0,VLOOKUP($B76,Outputs!$H:$L,3,FALSE),"")</f>
        <v>38.31369126024309</v>
      </c>
      <c r="P76" s="86" t="str">
        <f>IF($A76=1,VLOOKUP($B76,Outputs!$N:$R,3,FALSE),"")</f>
        <v/>
      </c>
      <c r="Q76" s="86">
        <f ca="1">IF($A76=0,VLOOKUP($B76,Outputs!$N:$R,3,FALSE),"")</f>
        <v>37.786763439074726</v>
      </c>
    </row>
    <row r="77" spans="1:17">
      <c r="A77" s="240">
        <f>IF(VLOOKUP(B77,TOCA_current!$B$2:$AG$137,32,FALSE)=0,0,1)</f>
        <v>0</v>
      </c>
      <c r="B77" t="s">
        <v>104</v>
      </c>
      <c r="C77" s="86" t="str">
        <f>IF(A77=1,VLOOKUP($B77,Outputs!$B:$F,2,FALSE),"")</f>
        <v/>
      </c>
      <c r="D77" s="86">
        <f ca="1">IF(A77=0,VLOOKUP($B77,Outputs!$B:$F,2,FALSE),"")</f>
        <v>2.03453168175598E-2</v>
      </c>
      <c r="E77" s="94"/>
      <c r="F77" s="95" t="str">
        <f>IF(A77=1,VLOOKUP($B77,Outputs!$H:$L,2,FALSE),"")</f>
        <v/>
      </c>
      <c r="G77" s="96">
        <f ca="1">IF(A77=0,VLOOKUP($B77,Outputs!$H:$L,2,FALSE),"")</f>
        <v>2.034531681756328E-2</v>
      </c>
      <c r="J77" s="89">
        <f ca="1">VLOOKUP($B77,Outputs!$N:$R,2,FALSE)</f>
        <v>2.1072874014471395E-2</v>
      </c>
      <c r="K77" s="89">
        <f ca="1">+VLOOKUP(B77,Outputs!T:U,2,FALSE)</f>
        <v>5.7887494599530465E-2</v>
      </c>
      <c r="L77" s="86" t="str">
        <f>IF($A77=1,VLOOKUP($B77,Outputs!$B:$F,3,FALSE),"")</f>
        <v/>
      </c>
      <c r="M77" s="86">
        <f ca="1">IF($A77=0,VLOOKUP($B77,Outputs!$B:$F,3,FALSE),"")</f>
        <v>37.903656216395973</v>
      </c>
      <c r="N77" s="86" t="str">
        <f>IF($A77=1,VLOOKUP($B77,Outputs!$H:$L,3,FALSE),"")</f>
        <v/>
      </c>
      <c r="O77" s="86">
        <f ca="1">IF($A77=0,VLOOKUP($B77,Outputs!$H:$L,3,FALSE),"")</f>
        <v>37.903656216395973</v>
      </c>
      <c r="P77" s="86" t="str">
        <f>IF($A77=1,VLOOKUP($B77,Outputs!$N:$R,3,FALSE),"")</f>
        <v/>
      </c>
      <c r="Q77" s="86">
        <f ca="1">IF($A77=0,VLOOKUP($B77,Outputs!$N:$R,3,FALSE),"")</f>
        <v>37.923599279202556</v>
      </c>
    </row>
    <row r="78" spans="1:17">
      <c r="A78" s="240">
        <f>IF(VLOOKUP(B78,TOCA_current!$B$2:$AG$137,32,FALSE)=0,0,1)</f>
        <v>0</v>
      </c>
      <c r="B78" t="s">
        <v>122</v>
      </c>
      <c r="C78" s="86" t="str">
        <f>IF(A78=1,VLOOKUP($B78,Outputs!$B:$F,2,FALSE),"")</f>
        <v/>
      </c>
      <c r="D78" s="86">
        <f ca="1">IF(A78=0,VLOOKUP($B78,Outputs!$B:$F,2,FALSE),"")</f>
        <v>1.8231252817154875E-2</v>
      </c>
      <c r="E78" s="94"/>
      <c r="F78" s="95" t="str">
        <f>IF(A78=1,VLOOKUP($B78,Outputs!$H:$L,2,FALSE),"")</f>
        <v/>
      </c>
      <c r="G78" s="96">
        <f ca="1">IF(A78=0,VLOOKUP($B78,Outputs!$H:$L,2,FALSE),"")</f>
        <v>1.8231252817155558E-2</v>
      </c>
      <c r="J78" s="89">
        <f ca="1">VLOOKUP($B78,Outputs!$N:$R,2,FALSE)</f>
        <v>2.2261075468099644E-2</v>
      </c>
      <c r="K78" s="89">
        <f ca="1">+VLOOKUP(B78,Outputs!T:U,2,FALSE)</f>
        <v>3.3621674341921537E-3</v>
      </c>
      <c r="L78" s="86" t="str">
        <f>IF($A78=1,VLOOKUP($B78,Outputs!$B:$F,3,FALSE),"")</f>
        <v/>
      </c>
      <c r="M78" s="86">
        <f ca="1">IF($A78=0,VLOOKUP($B78,Outputs!$B:$F,3,FALSE),"")</f>
        <v>32.855538857247645</v>
      </c>
      <c r="N78" s="86" t="str">
        <f>IF($A78=1,VLOOKUP($B78,Outputs!$H:$L,3,FALSE),"")</f>
        <v/>
      </c>
      <c r="O78" s="86">
        <f ca="1">IF($A78=0,VLOOKUP($B78,Outputs!$H:$L,3,FALSE),"")</f>
        <v>32.855538857247645</v>
      </c>
      <c r="P78" s="86" t="str">
        <f>IF($A78=1,VLOOKUP($B78,Outputs!$N:$R,3,FALSE),"")</f>
        <v/>
      </c>
      <c r="Q78" s="86">
        <f ca="1">IF($A78=0,VLOOKUP($B78,Outputs!$N:$R,3,FALSE),"")</f>
        <v>33.319461878297687</v>
      </c>
    </row>
    <row r="79" spans="1:17">
      <c r="A79" s="240">
        <f>IF(VLOOKUP(B79,TOCA_current!$B$2:$AG$137,32,FALSE)=0,0,1)</f>
        <v>0</v>
      </c>
      <c r="B79" t="s">
        <v>126</v>
      </c>
      <c r="C79" s="86" t="str">
        <f>IF(A79=1,VLOOKUP($B79,Outputs!$B:$F,2,FALSE),"")</f>
        <v/>
      </c>
      <c r="D79" s="86">
        <f ca="1">IF(A79=0,VLOOKUP($B79,Outputs!$B:$F,2,FALSE),"")</f>
        <v>7.1268362627301407E-3</v>
      </c>
      <c r="E79" s="94"/>
      <c r="F79" s="95" t="str">
        <f>IF(A79=1,VLOOKUP($B79,Outputs!$H:$L,2,FALSE),"")</f>
        <v/>
      </c>
      <c r="G79" s="96">
        <f ca="1">IF(A79=0,VLOOKUP($B79,Outputs!$H:$L,2,FALSE),"")</f>
        <v>7.1268362627351879E-3</v>
      </c>
      <c r="J79" s="89">
        <f ca="1">VLOOKUP($B79,Outputs!$N:$R,2,FALSE)</f>
        <v>2.8011419953814978E-2</v>
      </c>
      <c r="K79" s="89">
        <f ca="1">+VLOOKUP(B79,Outputs!T:U,2,FALSE)</f>
        <v>1.7971096518552887E-2</v>
      </c>
      <c r="L79" s="86" t="str">
        <f>IF($A79=1,VLOOKUP($B79,Outputs!$B:$F,3,FALSE),"")</f>
        <v/>
      </c>
      <c r="M79" s="86">
        <f ca="1">IF($A79=0,VLOOKUP($B79,Outputs!$B:$F,3,FALSE),"")</f>
        <v>35.597154191606116</v>
      </c>
      <c r="N79" s="86" t="str">
        <f>IF($A79=1,VLOOKUP($B79,Outputs!$H:$L,3,FALSE),"")</f>
        <v/>
      </c>
      <c r="O79" s="86">
        <f ca="1">IF($A79=0,VLOOKUP($B79,Outputs!$H:$L,3,FALSE),"")</f>
        <v>35.597154191606116</v>
      </c>
      <c r="P79" s="86" t="str">
        <f>IF($A79=1,VLOOKUP($B79,Outputs!$N:$R,3,FALSE),"")</f>
        <v/>
      </c>
      <c r="Q79" s="86">
        <f ca="1">IF($A79=0,VLOOKUP($B79,Outputs!$N:$R,3,FALSE),"")</f>
        <v>35.293311393709097</v>
      </c>
    </row>
    <row r="80" spans="1:17">
      <c r="A80" s="240">
        <f>IF(VLOOKUP(B80,TOCA_current!$B$2:$AG$137,32,FALSE)=0,0,1)</f>
        <v>0</v>
      </c>
      <c r="B80" t="s">
        <v>38</v>
      </c>
      <c r="C80" s="86" t="str">
        <f>IF(A80=1,VLOOKUP($B80,Outputs!$B:$F,2,FALSE),"")</f>
        <v/>
      </c>
      <c r="D80" s="86">
        <f ca="1">IF(A80=0,VLOOKUP($B80,Outputs!$B:$F,2,FALSE),"")</f>
        <v>4.7763559914407228E-2</v>
      </c>
      <c r="E80" s="94"/>
      <c r="F80" s="95" t="str">
        <f>IF(A80=1,VLOOKUP($B80,Outputs!$H:$L,2,FALSE),"")</f>
        <v/>
      </c>
      <c r="G80" s="96">
        <f ca="1">IF(A80=0,VLOOKUP($B80,Outputs!$H:$L,2,FALSE),"")</f>
        <v>4.7763559914399192E-2</v>
      </c>
      <c r="J80" s="89">
        <f ca="1">VLOOKUP($B80,Outputs!$N:$R,2,FALSE)</f>
        <v>5.0314271194679933E-2</v>
      </c>
      <c r="K80" s="89">
        <f ca="1">+VLOOKUP(B80,Outputs!T:U,2,FALSE)</f>
        <v>4.948215159667102E-2</v>
      </c>
      <c r="L80" s="86" t="str">
        <f>IF($A80=1,VLOOKUP($B80,Outputs!$B:$F,3,FALSE),"")</f>
        <v/>
      </c>
      <c r="M80" s="86">
        <f ca="1">IF($A80=0,VLOOKUP($B80,Outputs!$B:$F,3,FALSE),"")</f>
        <v>35.909950865230471</v>
      </c>
      <c r="N80" s="86" t="str">
        <f>IF($A80=1,VLOOKUP($B80,Outputs!$H:$L,3,FALSE),"")</f>
        <v/>
      </c>
      <c r="O80" s="86">
        <f ca="1">IF($A80=0,VLOOKUP($B80,Outputs!$H:$L,3,FALSE),"")</f>
        <v>35.909950865230471</v>
      </c>
      <c r="P80" s="86" t="str">
        <f>IF($A80=1,VLOOKUP($B80,Outputs!$N:$R,3,FALSE),"")</f>
        <v/>
      </c>
      <c r="Q80" s="86">
        <f ca="1">IF($A80=0,VLOOKUP($B80,Outputs!$N:$R,3,FALSE),"")</f>
        <v>35.398883672633211</v>
      </c>
    </row>
    <row r="81" spans="1:17">
      <c r="A81" s="240">
        <f>IF(VLOOKUP(B81,TOCA_current!$B$2:$AG$137,32,FALSE)=0,0,1)</f>
        <v>0</v>
      </c>
      <c r="B81" t="s">
        <v>80</v>
      </c>
      <c r="C81" s="86" t="str">
        <f>IF(A81=1,VLOOKUP($B81,Outputs!$B:$F,2,FALSE),"")</f>
        <v/>
      </c>
      <c r="D81" s="86">
        <f ca="1">IF(A81=0,VLOOKUP($B81,Outputs!$B:$F,2,FALSE),"")</f>
        <v>2.7412146213747657E-2</v>
      </c>
      <c r="E81" s="94"/>
      <c r="F81" s="95" t="str">
        <f>IF(A81=1,VLOOKUP($B81,Outputs!$H:$L,2,FALSE),"")</f>
        <v/>
      </c>
      <c r="G81" s="96">
        <f ca="1">IF(A81=0,VLOOKUP($B81,Outputs!$H:$L,2,FALSE),"")</f>
        <v>2.7412146213754426E-2</v>
      </c>
      <c r="J81" s="89">
        <f ca="1">VLOOKUP($B81,Outputs!$N:$R,2,FALSE)</f>
        <v>2.5375274082032873E-2</v>
      </c>
      <c r="K81" s="89">
        <f ca="1">+VLOOKUP(B81,Outputs!T:U,2,FALSE)</f>
        <v>2.7019502184043587E-2</v>
      </c>
      <c r="L81" s="86" t="str">
        <f>IF($A81=1,VLOOKUP($B81,Outputs!$B:$F,3,FALSE),"")</f>
        <v/>
      </c>
      <c r="M81" s="86">
        <f ca="1">IF($A81=0,VLOOKUP($B81,Outputs!$B:$F,3,FALSE),"")</f>
        <v>37.771484696529235</v>
      </c>
      <c r="N81" s="86" t="str">
        <f>IF($A81=1,VLOOKUP($B81,Outputs!$H:$L,3,FALSE),"")</f>
        <v/>
      </c>
      <c r="O81" s="86">
        <f ca="1">IF($A81=0,VLOOKUP($B81,Outputs!$H:$L,3,FALSE),"")</f>
        <v>37.771484696529235</v>
      </c>
      <c r="P81" s="86" t="str">
        <f>IF($A81=1,VLOOKUP($B81,Outputs!$N:$R,3,FALSE),"")</f>
        <v/>
      </c>
      <c r="Q81" s="86">
        <f ca="1">IF($A81=0,VLOOKUP($B81,Outputs!$N:$R,3,FALSE),"")</f>
        <v>37.099774264303619</v>
      </c>
    </row>
    <row r="82" spans="1:17">
      <c r="A82" s="240">
        <f>IF(VLOOKUP(B82,TOCA_current!$B$2:$AG$137,32,FALSE)=0,0,1)</f>
        <v>0</v>
      </c>
      <c r="B82" t="s">
        <v>59</v>
      </c>
      <c r="C82" s="86" t="str">
        <f>IF(A82=1,VLOOKUP($B82,Outputs!$B:$F,2,FALSE),"")</f>
        <v/>
      </c>
      <c r="D82" s="86">
        <f ca="1">IF(A82=0,VLOOKUP($B82,Outputs!$B:$F,2,FALSE),"")</f>
        <v>2.2956924844989872E-3</v>
      </c>
      <c r="E82" s="94"/>
      <c r="F82" s="95" t="str">
        <f>IF(A82=1,VLOOKUP($B82,Outputs!$H:$L,2,FALSE),"")</f>
        <v/>
      </c>
      <c r="G82" s="96">
        <f ca="1">IF(A82=0,VLOOKUP($B82,Outputs!$H:$L,2,FALSE),"")</f>
        <v>2.2956924844997994E-3</v>
      </c>
      <c r="J82" s="89">
        <f ca="1">VLOOKUP($B82,Outputs!$N:$R,2,FALSE)</f>
        <v>4.1343075754394213E-4</v>
      </c>
      <c r="K82" s="89">
        <f ca="1">+VLOOKUP(B82,Outputs!T:U,2,FALSE)</f>
        <v>1.2439793938709309E-2</v>
      </c>
      <c r="L82" s="86" t="str">
        <f>IF($A82=1,VLOOKUP($B82,Outputs!$B:$F,3,FALSE),"")</f>
        <v/>
      </c>
      <c r="M82" s="86">
        <f ca="1">IF($A82=0,VLOOKUP($B82,Outputs!$B:$F,3,FALSE),"")</f>
        <v>39.041776488620023</v>
      </c>
      <c r="N82" s="86" t="str">
        <f>IF($A82=1,VLOOKUP($B82,Outputs!$H:$L,3,FALSE),"")</f>
        <v/>
      </c>
      <c r="O82" s="86">
        <f ca="1">IF($A82=0,VLOOKUP($B82,Outputs!$H:$L,3,FALSE),"")</f>
        <v>39.041776488620023</v>
      </c>
      <c r="P82" s="86" t="str">
        <f>IF($A82=1,VLOOKUP($B82,Outputs!$N:$R,3,FALSE),"")</f>
        <v/>
      </c>
      <c r="Q82" s="86">
        <f ca="1">IF($A82=0,VLOOKUP($B82,Outputs!$N:$R,3,FALSE),"")</f>
        <v>38.233729713255187</v>
      </c>
    </row>
    <row r="83" spans="1:17">
      <c r="A83" s="240">
        <f>IF(VLOOKUP(B83,TOCA_current!$B$2:$AG$137,32,FALSE)=0,0,1)</f>
        <v>1</v>
      </c>
      <c r="B83" t="s">
        <v>100</v>
      </c>
      <c r="C83" s="86">
        <f ca="1">IF(A83=1,VLOOKUP($B83,Outputs!$B:$F,2,FALSE),"")</f>
        <v>-1.8116127827414275E-2</v>
      </c>
      <c r="D83" s="86" t="str">
        <f>IF(A83=0,VLOOKUP($B83,Outputs!$B:$F,2,FALSE),"")</f>
        <v/>
      </c>
      <c r="E83" s="94"/>
      <c r="F83" s="95">
        <f ca="1">IF(A83=1,VLOOKUP($B83,Outputs!$H:$L,2,FALSE),"")</f>
        <v>2.0960339193335713E-2</v>
      </c>
      <c r="G83" s="96" t="str">
        <f>IF(A83=0,VLOOKUP($B83,Outputs!$H:$L,2,FALSE),"")</f>
        <v/>
      </c>
      <c r="J83" s="89">
        <f ca="1">VLOOKUP($B83,Outputs!$N:$R,2,FALSE)</f>
        <v>1.6764197064144386E-2</v>
      </c>
      <c r="K83" s="89">
        <f ca="1">+VLOOKUP(B83,Outputs!T:U,2,FALSE)</f>
        <v>8.6557612195184541E-2</v>
      </c>
      <c r="L83" s="86">
        <f ca="1">IF($A83=1,VLOOKUP($B83,Outputs!$B:$F,3,FALSE),"")</f>
        <v>37.370286004891788</v>
      </c>
      <c r="M83" s="86" t="str">
        <f>IF($A83=0,VLOOKUP($B83,Outputs!$B:$F,3,FALSE),"")</f>
        <v/>
      </c>
      <c r="N83" s="86">
        <f ca="1">IF($A83=1,VLOOKUP($B83,Outputs!$H:$L,3,FALSE),"")</f>
        <v>35.877473045639803</v>
      </c>
      <c r="O83" s="86" t="str">
        <f>IF($A83=0,VLOOKUP($B83,Outputs!$H:$L,3,FALSE),"")</f>
        <v/>
      </c>
      <c r="P83" s="86">
        <f ca="1">IF($A83=1,VLOOKUP($B83,Outputs!$N:$R,3,FALSE),"")</f>
        <v>35.293311393709104</v>
      </c>
      <c r="Q83" s="86" t="str">
        <f>IF($A83=0,VLOOKUP($B83,Outputs!$N:$R,3,FALSE),"")</f>
        <v/>
      </c>
    </row>
    <row r="84" spans="1:17">
      <c r="A84" s="240">
        <f>IF(VLOOKUP(B84,TOCA_current!$B$2:$AG$137,32,FALSE)=0,0,1)</f>
        <v>0</v>
      </c>
      <c r="B84" t="s">
        <v>78</v>
      </c>
      <c r="C84" s="86" t="str">
        <f>IF(A84=1,VLOOKUP($B84,Outputs!$B:$F,2,FALSE),"")</f>
        <v/>
      </c>
      <c r="D84" s="86">
        <f ca="1">IF(A84=0,VLOOKUP($B84,Outputs!$B:$F,2,FALSE),"")</f>
        <v>2.5993582771108453E-2</v>
      </c>
      <c r="E84" s="94"/>
      <c r="F84" s="95" t="str">
        <f>IF(A84=1,VLOOKUP($B84,Outputs!$H:$L,2,FALSE),"")</f>
        <v/>
      </c>
      <c r="G84" s="96">
        <f ca="1">IF(A84=0,VLOOKUP($B84,Outputs!$H:$L,2,FALSE),"")</f>
        <v>2.5993582771107599E-2</v>
      </c>
      <c r="J84" s="89">
        <f ca="1">VLOOKUP($B84,Outputs!$N:$R,2,FALSE)</f>
        <v>2.3414342812120507E-2</v>
      </c>
      <c r="K84" s="89">
        <f ca="1">+VLOOKUP(B84,Outputs!T:U,2,FALSE)</f>
        <v>3.3894089764969104E-2</v>
      </c>
      <c r="L84" s="86" t="str">
        <f>IF($A84=1,VLOOKUP($B84,Outputs!$B:$F,3,FALSE),"")</f>
        <v/>
      </c>
      <c r="M84" s="86">
        <f ca="1">IF($A84=0,VLOOKUP($B84,Outputs!$B:$F,3,FALSE),"")</f>
        <v>34.387564870662715</v>
      </c>
      <c r="N84" s="86" t="str">
        <f>IF($A84=1,VLOOKUP($B84,Outputs!$H:$L,3,FALSE),"")</f>
        <v/>
      </c>
      <c r="O84" s="86">
        <f ca="1">IF($A84=0,VLOOKUP($B84,Outputs!$H:$L,3,FALSE),"")</f>
        <v>34.387564870662715</v>
      </c>
      <c r="P84" s="86" t="str">
        <f>IF($A84=1,VLOOKUP($B84,Outputs!$N:$R,3,FALSE),"")</f>
        <v/>
      </c>
      <c r="Q84" s="86">
        <f ca="1">IF($A84=0,VLOOKUP($B84,Outputs!$N:$R,3,FALSE),"")</f>
        <v>33.649609217941773</v>
      </c>
    </row>
    <row r="85" spans="1:17">
      <c r="A85" s="240">
        <f>IF(VLOOKUP(B85,TOCA_current!$B$2:$AG$137,32,FALSE)=0,0,1)</f>
        <v>0</v>
      </c>
      <c r="B85" t="s">
        <v>51</v>
      </c>
      <c r="C85" s="86" t="str">
        <f>IF(A85=1,VLOOKUP($B85,Outputs!$B:$F,2,FALSE),"")</f>
        <v/>
      </c>
      <c r="D85" s="86">
        <f ca="1">IF(A85=0,VLOOKUP($B85,Outputs!$B:$F,2,FALSE),"")</f>
        <v>2.3425898817690194E-2</v>
      </c>
      <c r="E85" s="94"/>
      <c r="F85" s="95" t="str">
        <f>IF(A85=1,VLOOKUP($B85,Outputs!$H:$L,2,FALSE),"")</f>
        <v/>
      </c>
      <c r="G85" s="96">
        <f ca="1">IF(A85=0,VLOOKUP($B85,Outputs!$H:$L,2,FALSE),"")</f>
        <v>2.3425898817692446E-2</v>
      </c>
      <c r="J85" s="89">
        <f ca="1">VLOOKUP($B85,Outputs!$N:$R,2,FALSE)</f>
        <v>7.8146148106451475E-3</v>
      </c>
      <c r="K85" s="89">
        <f ca="1">+VLOOKUP(B85,Outputs!T:U,2,FALSE)</f>
        <v>4.4830765403323092E-2</v>
      </c>
      <c r="L85" s="86" t="str">
        <f>IF($A85=1,VLOOKUP($B85,Outputs!$B:$F,3,FALSE),"")</f>
        <v/>
      </c>
      <c r="M85" s="86">
        <f ca="1">IF($A85=0,VLOOKUP($B85,Outputs!$B:$F,3,FALSE),"")</f>
        <v>30.069803287568615</v>
      </c>
      <c r="N85" s="86" t="str">
        <f>IF($A85=1,VLOOKUP($B85,Outputs!$H:$L,3,FALSE),"")</f>
        <v/>
      </c>
      <c r="O85" s="86">
        <f ca="1">IF($A85=0,VLOOKUP($B85,Outputs!$H:$L,3,FALSE),"")</f>
        <v>30.069803287568615</v>
      </c>
      <c r="P85" s="86" t="str">
        <f>IF($A85=1,VLOOKUP($B85,Outputs!$N:$R,3,FALSE),"")</f>
        <v/>
      </c>
      <c r="Q85" s="86">
        <f ca="1">IF($A85=0,VLOOKUP($B85,Outputs!$N:$R,3,FALSE),"")</f>
        <v>30.478253521631171</v>
      </c>
    </row>
    <row r="86" spans="1:17">
      <c r="A86" s="240">
        <f>IF(VLOOKUP(B86,TOCA_current!$B$2:$AG$137,32,FALSE)=0,0,1)</f>
        <v>0</v>
      </c>
      <c r="B86" t="s">
        <v>89</v>
      </c>
      <c r="C86" s="86" t="str">
        <f>IF(A86=1,VLOOKUP($B86,Outputs!$B:$F,2,FALSE),"")</f>
        <v/>
      </c>
      <c r="D86" s="86">
        <f ca="1">IF(A86=0,VLOOKUP($B86,Outputs!$B:$F,2,FALSE),"")</f>
        <v>6.0490965553259522E-3</v>
      </c>
      <c r="E86" s="94"/>
      <c r="F86" s="95" t="str">
        <f>IF(A86=1,VLOOKUP($B86,Outputs!$H:$L,2,FALSE),"")</f>
        <v/>
      </c>
      <c r="G86" s="96">
        <f ca="1">IF(A86=0,VLOOKUP($B86,Outputs!$H:$L,2,FALSE),"")</f>
        <v>6.0490965553304347E-3</v>
      </c>
      <c r="J86" s="89">
        <f ca="1">VLOOKUP($B86,Outputs!$N:$R,2,FALSE)</f>
        <v>1.0796453541871649E-2</v>
      </c>
      <c r="K86" s="89">
        <f ca="1">+VLOOKUP(B86,Outputs!T:U,2,FALSE)</f>
        <v>2.0194138656604466E-2</v>
      </c>
      <c r="L86" s="86" t="str">
        <f>IF($A86=1,VLOOKUP($B86,Outputs!$B:$F,3,FALSE),"")</f>
        <v/>
      </c>
      <c r="M86" s="86">
        <f ca="1">IF($A86=0,VLOOKUP($B86,Outputs!$B:$F,3,FALSE),"")</f>
        <v>36.339843707962423</v>
      </c>
      <c r="N86" s="86" t="str">
        <f>IF($A86=1,VLOOKUP($B86,Outputs!$H:$L,3,FALSE),"")</f>
        <v/>
      </c>
      <c r="O86" s="86">
        <f ca="1">IF($A86=0,VLOOKUP($B86,Outputs!$H:$L,3,FALSE),"")</f>
        <v>36.339843707962423</v>
      </c>
      <c r="P86" s="86" t="str">
        <f>IF($A86=1,VLOOKUP($B86,Outputs!$N:$R,3,FALSE),"")</f>
        <v/>
      </c>
      <c r="Q86" s="86">
        <f ca="1">IF($A86=0,VLOOKUP($B86,Outputs!$N:$R,3,FALSE),"")</f>
        <v>35.284619955301444</v>
      </c>
    </row>
    <row r="87" spans="1:17">
      <c r="A87" s="240">
        <f>IF(VLOOKUP(B87,TOCA_current!$B$2:$AG$137,32,FALSE)=0,0,1)</f>
        <v>0</v>
      </c>
      <c r="B87" t="s">
        <v>108</v>
      </c>
      <c r="C87" s="86" t="str">
        <f>IF(A87=1,VLOOKUP($B87,Outputs!$B:$F,2,FALSE),"")</f>
        <v/>
      </c>
      <c r="D87" s="86">
        <f ca="1">IF(A87=0,VLOOKUP($B87,Outputs!$B:$F,2,FALSE),"")</f>
        <v>2.8180424817611405E-2</v>
      </c>
      <c r="E87" s="94"/>
      <c r="F87" s="95" t="str">
        <f>IF(A87=1,VLOOKUP($B87,Outputs!$H:$L,2,FALSE),"")</f>
        <v/>
      </c>
      <c r="G87" s="96">
        <f ca="1">IF(A87=0,VLOOKUP($B87,Outputs!$H:$L,2,FALSE),"")</f>
        <v>2.8180424817611748E-2</v>
      </c>
      <c r="J87" s="89">
        <f ca="1">VLOOKUP($B87,Outputs!$N:$R,2,FALSE)</f>
        <v>2.6175919863627828E-2</v>
      </c>
      <c r="K87" s="89">
        <f ca="1">+VLOOKUP(B87,Outputs!T:U,2,FALSE)</f>
        <v>3.2939017759177736E-2</v>
      </c>
      <c r="L87" s="86" t="str">
        <f>IF($A87=1,VLOOKUP($B87,Outputs!$B:$F,3,FALSE),"")</f>
        <v/>
      </c>
      <c r="M87" s="86">
        <f ca="1">IF($A87=0,VLOOKUP($B87,Outputs!$B:$F,3,FALSE),"")</f>
        <v>38.200436274606965</v>
      </c>
      <c r="N87" s="86" t="str">
        <f>IF($A87=1,VLOOKUP($B87,Outputs!$H:$L,3,FALSE),"")</f>
        <v/>
      </c>
      <c r="O87" s="86">
        <f ca="1">IF($A87=0,VLOOKUP($B87,Outputs!$H:$L,3,FALSE),"")</f>
        <v>38.200436274606965</v>
      </c>
      <c r="P87" s="86" t="str">
        <f>IF($A87=1,VLOOKUP($B87,Outputs!$N:$R,3,FALSE),"")</f>
        <v/>
      </c>
      <c r="Q87" s="86">
        <f ca="1">IF($A87=0,VLOOKUP($B87,Outputs!$N:$R,3,FALSE),"")</f>
        <v>37.532792170558295</v>
      </c>
    </row>
    <row r="88" spans="1:17">
      <c r="A88" s="240">
        <f>IF(VLOOKUP(B88,TOCA_current!$B$2:$AG$137,32,FALSE)=0,0,1)</f>
        <v>0</v>
      </c>
      <c r="B88" t="s">
        <v>139</v>
      </c>
      <c r="C88" s="86" t="str">
        <f>IF(A88=1,VLOOKUP($B88,Outputs!$B:$F,2,FALSE),"")</f>
        <v/>
      </c>
      <c r="D88" s="86">
        <f ca="1">IF(A88=0,VLOOKUP($B88,Outputs!$B:$F,2,FALSE),"")</f>
        <v>-1.8408567078613491E-2</v>
      </c>
      <c r="E88" s="94"/>
      <c r="F88" s="95" t="str">
        <f>IF(A88=1,VLOOKUP($B88,Outputs!$H:$L,2,FALSE),"")</f>
        <v/>
      </c>
      <c r="G88" s="96">
        <f ca="1">IF(A88=0,VLOOKUP($B88,Outputs!$H:$L,2,FALSE),"")</f>
        <v>-1.8408567078609786E-2</v>
      </c>
      <c r="J88" s="89">
        <f ca="1">VLOOKUP($B88,Outputs!$N:$R,2,FALSE)</f>
        <v>-2.0195876353023501E-2</v>
      </c>
      <c r="K88" s="89">
        <f ca="1">+VLOOKUP(B88,Outputs!T:U,2,FALSE)</f>
        <v>-3.5821864607030851E-2</v>
      </c>
      <c r="L88" s="86" t="str">
        <f>IF($A88=1,VLOOKUP($B88,Outputs!$B:$F,3,FALSE),"")</f>
        <v/>
      </c>
      <c r="M88" s="86">
        <f ca="1">IF($A88=0,VLOOKUP($B88,Outputs!$B:$F,3,FALSE),"")</f>
        <v>37.911595881953758</v>
      </c>
      <c r="N88" s="86" t="str">
        <f>IF($A88=1,VLOOKUP($B88,Outputs!$H:$L,3,FALSE),"")</f>
        <v/>
      </c>
      <c r="O88" s="86">
        <f ca="1">IF($A88=0,VLOOKUP($B88,Outputs!$H:$L,3,FALSE),"")</f>
        <v>37.911595881953758</v>
      </c>
      <c r="P88" s="86" t="str">
        <f>IF($A88=1,VLOOKUP($B88,Outputs!$N:$R,3,FALSE),"")</f>
        <v/>
      </c>
      <c r="Q88" s="86">
        <f ca="1">IF($A88=0,VLOOKUP($B88,Outputs!$N:$R,3,FALSE),"")</f>
        <v>37.145819297168607</v>
      </c>
    </row>
    <row r="89" spans="1:17">
      <c r="A89" s="240">
        <f>IF(VLOOKUP(B89,TOCA_current!$B$2:$AG$137,32,FALSE)=0,0,1)</f>
        <v>0</v>
      </c>
      <c r="B89" t="s">
        <v>97</v>
      </c>
      <c r="C89" s="86" t="str">
        <f>IF(A89=1,VLOOKUP($B89,Outputs!$B:$F,2,FALSE),"")</f>
        <v/>
      </c>
      <c r="D89" s="86">
        <f ca="1">IF(A89=0,VLOOKUP($B89,Outputs!$B:$F,2,FALSE),"")</f>
        <v>2.1968044616025376E-2</v>
      </c>
      <c r="E89" s="94"/>
      <c r="F89" s="95" t="str">
        <f>IF(A89=1,VLOOKUP($B89,Outputs!$H:$L,2,FALSE),"")</f>
        <v/>
      </c>
      <c r="G89" s="96">
        <f ca="1">IF(A89=0,VLOOKUP($B89,Outputs!$H:$L,2,FALSE),"")</f>
        <v>2.196804461602115E-2</v>
      </c>
      <c r="J89" s="89">
        <f ca="1">VLOOKUP($B89,Outputs!$N:$R,2,FALSE)</f>
        <v>1.868243684741035E-2</v>
      </c>
      <c r="K89" s="89">
        <f ca="1">+VLOOKUP(B89,Outputs!T:U,2,FALSE)</f>
        <v>0.15732955513022073</v>
      </c>
      <c r="L89" s="86" t="str">
        <f>IF($A89=1,VLOOKUP($B89,Outputs!$B:$F,3,FALSE),"")</f>
        <v/>
      </c>
      <c r="M89" s="86">
        <f ca="1">IF($A89=0,VLOOKUP($B89,Outputs!$B:$F,3,FALSE),"")</f>
        <v>34.780899242166313</v>
      </c>
      <c r="N89" s="86" t="str">
        <f>IF($A89=1,VLOOKUP($B89,Outputs!$H:$L,3,FALSE),"")</f>
        <v/>
      </c>
      <c r="O89" s="86">
        <f ca="1">IF($A89=0,VLOOKUP($B89,Outputs!$H:$L,3,FALSE),"")</f>
        <v>34.780899242166313</v>
      </c>
      <c r="P89" s="86" t="str">
        <f>IF($A89=1,VLOOKUP($B89,Outputs!$N:$R,3,FALSE),"")</f>
        <v/>
      </c>
      <c r="Q89" s="86">
        <f ca="1">IF($A89=0,VLOOKUP($B89,Outputs!$N:$R,3,FALSE),"")</f>
        <v>33.758744925648124</v>
      </c>
    </row>
    <row r="90" spans="1:17">
      <c r="A90" s="240">
        <f>IF(VLOOKUP(B90,TOCA_current!$B$2:$AG$137,32,FALSE)=0,0,1)</f>
        <v>0</v>
      </c>
      <c r="B90" t="s">
        <v>88</v>
      </c>
      <c r="C90" s="86" t="str">
        <f>IF(A90=1,VLOOKUP($B90,Outputs!$B:$F,2,FALSE),"")</f>
        <v/>
      </c>
      <c r="D90" s="86">
        <f ca="1">IF(A90=0,VLOOKUP($B90,Outputs!$B:$F,2,FALSE),"")</f>
        <v>2.4605378978967214E-2</v>
      </c>
      <c r="E90" s="94"/>
      <c r="F90" s="95" t="str">
        <f>IF(A90=1,VLOOKUP($B90,Outputs!$H:$L,2,FALSE),"")</f>
        <v/>
      </c>
      <c r="G90" s="96">
        <f ca="1">IF(A90=0,VLOOKUP($B90,Outputs!$H:$L,2,FALSE),"")</f>
        <v>2.4605378978970208E-2</v>
      </c>
      <c r="J90" s="89">
        <f ca="1">VLOOKUP($B90,Outputs!$N:$R,2,FALSE)</f>
        <v>2.4771186297155266E-2</v>
      </c>
      <c r="K90" s="89">
        <f ca="1">+VLOOKUP(B90,Outputs!T:U,2,FALSE)</f>
        <v>2.9177082387893405E-2</v>
      </c>
      <c r="L90" s="86" t="str">
        <f>IF($A90=1,VLOOKUP($B90,Outputs!$B:$F,3,FALSE),"")</f>
        <v/>
      </c>
      <c r="M90" s="86">
        <f ca="1">IF($A90=0,VLOOKUP($B90,Outputs!$B:$F,3,FALSE),"")</f>
        <v>34.629191742648018</v>
      </c>
      <c r="N90" s="86" t="str">
        <f>IF($A90=1,VLOOKUP($B90,Outputs!$H:$L,3,FALSE),"")</f>
        <v/>
      </c>
      <c r="O90" s="86">
        <f ca="1">IF($A90=0,VLOOKUP($B90,Outputs!$H:$L,3,FALSE),"")</f>
        <v>34.629191742648018</v>
      </c>
      <c r="P90" s="86" t="str">
        <f>IF($A90=1,VLOOKUP($B90,Outputs!$N:$R,3,FALSE),"")</f>
        <v/>
      </c>
      <c r="Q90" s="86">
        <f ca="1">IF($A90=0,VLOOKUP($B90,Outputs!$N:$R,3,FALSE),"")</f>
        <v>34.338010148326433</v>
      </c>
    </row>
    <row r="91" spans="1:17" s="112" customFormat="1">
      <c r="A91" s="240">
        <f>IF(VLOOKUP(B91,TOCA_current!$B$2:$AG$137,32,FALSE)=0,0,1)</f>
        <v>1</v>
      </c>
      <c r="B91" s="112" t="s">
        <v>60</v>
      </c>
      <c r="C91" s="86">
        <f ca="1">IF(A91=1,VLOOKUP($B91,Outputs!$B:$F,2,FALSE),"")</f>
        <v>-1.6206460127282711E-2</v>
      </c>
      <c r="D91" s="86" t="str">
        <f>IF(A91=0,VLOOKUP($B91,Outputs!$B:$F,2,FALSE),"")</f>
        <v/>
      </c>
      <c r="E91" s="94"/>
      <c r="F91" s="95">
        <f ca="1">IF(A91=1,VLOOKUP($B91,Outputs!$H:$L,2,FALSE),"")</f>
        <v>2.3380444053685598E-2</v>
      </c>
      <c r="G91" s="96" t="str">
        <f>IF(A91=0,VLOOKUP($B91,Outputs!$H:$L,2,FALSE),"")</f>
        <v/>
      </c>
      <c r="H91" s="86"/>
      <c r="I91" s="86"/>
      <c r="J91" s="89">
        <f ca="1">VLOOKUP($B91,Outputs!$N:$R,2,FALSE)</f>
        <v>1.9951791168357942E-2</v>
      </c>
      <c r="K91" s="89">
        <f ca="1">+VLOOKUP(B91,Outputs!T:U,2,FALSE)</f>
        <v>7.2105886968454991E-2</v>
      </c>
      <c r="L91" s="86">
        <f ca="1">IF($A91=1,VLOOKUP($B91,Outputs!$B:$F,3,FALSE),"")</f>
        <v>35.019656259716044</v>
      </c>
      <c r="M91" s="86" t="str">
        <f>IF($A91=0,VLOOKUP($B91,Outputs!$B:$F,3,FALSE),"")</f>
        <v/>
      </c>
      <c r="N91" s="86">
        <f ca="1">IF($A91=1,VLOOKUP($B91,Outputs!$H:$L,3,FALSE),"")</f>
        <v>33.590666074961831</v>
      </c>
      <c r="O91" s="86" t="str">
        <f>IF($A91=0,VLOOKUP($B91,Outputs!$H:$L,3,FALSE),"")</f>
        <v/>
      </c>
      <c r="P91" s="86">
        <f ca="1">IF($A91=1,VLOOKUP($B91,Outputs!$N:$R,3,FALSE),"")</f>
        <v>33.094006638303917</v>
      </c>
      <c r="Q91" s="86" t="str">
        <f>IF($A91=0,VLOOKUP($B91,Outputs!$N:$R,3,FALSE),"")</f>
        <v/>
      </c>
    </row>
    <row r="92" spans="1:17">
      <c r="A92" s="240">
        <f>IF(VLOOKUP(B92,TOCA_current!$B$2:$AG$137,32,FALSE)=0,0,1)</f>
        <v>0</v>
      </c>
      <c r="B92" t="s">
        <v>79</v>
      </c>
      <c r="C92" s="86" t="str">
        <f>IF(A92=1,VLOOKUP($B92,Outputs!$B:$F,2,FALSE),"")</f>
        <v/>
      </c>
      <c r="D92" s="86">
        <f ca="1">IF(A92=0,VLOOKUP($B92,Outputs!$B:$F,2,FALSE),"")</f>
        <v>-2.2240910303822119E-5</v>
      </c>
      <c r="E92" s="94"/>
      <c r="F92" s="95" t="str">
        <f>IF(A92=1,VLOOKUP($B92,Outputs!$H:$L,2,FALSE),"")</f>
        <v/>
      </c>
      <c r="G92" s="96">
        <f ca="1">IF(A92=0,VLOOKUP($B92,Outputs!$H:$L,2,FALSE),"")</f>
        <v>-2.2240910308257383E-5</v>
      </c>
      <c r="J92" s="89">
        <f ca="1">VLOOKUP($B92,Outputs!$N:$R,2,FALSE)</f>
        <v>-1.2322762655073195E-3</v>
      </c>
      <c r="K92" s="89">
        <f ca="1">+VLOOKUP(B92,Outputs!T:U,2,FALSE)</f>
        <v>2.3143586703481711E-2</v>
      </c>
      <c r="L92" s="86" t="str">
        <f>IF($A92=1,VLOOKUP($B92,Outputs!$B:$F,3,FALSE),"")</f>
        <v/>
      </c>
      <c r="M92" s="86">
        <f ca="1">IF($A92=0,VLOOKUP($B92,Outputs!$B:$F,3,FALSE),"")</f>
        <v>36.470574590178138</v>
      </c>
      <c r="N92" s="86" t="str">
        <f>IF($A92=1,VLOOKUP($B92,Outputs!$H:$L,3,FALSE),"")</f>
        <v/>
      </c>
      <c r="O92" s="86">
        <f ca="1">IF($A92=0,VLOOKUP($B92,Outputs!$H:$L,3,FALSE),"")</f>
        <v>36.470574590178138</v>
      </c>
      <c r="P92" s="86" t="str">
        <f>IF($A92=1,VLOOKUP($B92,Outputs!$N:$R,3,FALSE),"")</f>
        <v/>
      </c>
      <c r="Q92" s="86">
        <f ca="1">IF($A92=0,VLOOKUP($B92,Outputs!$N:$R,3,FALSE),"")</f>
        <v>35.813520658976095</v>
      </c>
    </row>
    <row r="93" spans="1:17">
      <c r="A93" s="240">
        <f>IF(VLOOKUP(B93,TOCA_current!$B$2:$AG$137,32,FALSE)=0,0,1)</f>
        <v>0</v>
      </c>
      <c r="B93" t="s">
        <v>50</v>
      </c>
      <c r="C93" s="86" t="str">
        <f>IF(A93=1,VLOOKUP($B93,Outputs!$B:$F,2,FALSE),"")</f>
        <v/>
      </c>
      <c r="D93" s="86">
        <f ca="1">IF(A93=0,VLOOKUP($B93,Outputs!$B:$F,2,FALSE),"")</f>
        <v>1.6860088850391804E-2</v>
      </c>
      <c r="E93" s="94"/>
      <c r="F93" s="95" t="str">
        <f>IF(A93=1,VLOOKUP($B93,Outputs!$H:$L,2,FALSE),"")</f>
        <v/>
      </c>
      <c r="G93" s="96">
        <f ca="1">IF(A93=0,VLOOKUP($B93,Outputs!$H:$L,2,FALSE),"")</f>
        <v>1.6860088850394184E-2</v>
      </c>
      <c r="J93" s="89">
        <f ca="1">VLOOKUP($B93,Outputs!$N:$R,2,FALSE)</f>
        <v>1.615230121709366E-2</v>
      </c>
      <c r="K93" s="89">
        <f ca="1">+VLOOKUP(B93,Outputs!T:U,2,FALSE)</f>
        <v>1.1971313021736929E-2</v>
      </c>
      <c r="L93" s="86" t="str">
        <f>IF($A93=1,VLOOKUP($B93,Outputs!$B:$F,3,FALSE),"")</f>
        <v/>
      </c>
      <c r="M93" s="86">
        <f ca="1">IF($A93=0,VLOOKUP($B93,Outputs!$B:$F,3,FALSE),"")</f>
        <v>38.081974323531021</v>
      </c>
      <c r="N93" s="86" t="str">
        <f>IF($A93=1,VLOOKUP($B93,Outputs!$H:$L,3,FALSE),"")</f>
        <v/>
      </c>
      <c r="O93" s="86">
        <f ca="1">IF($A93=0,VLOOKUP($B93,Outputs!$H:$L,3,FALSE),"")</f>
        <v>38.081974323531021</v>
      </c>
      <c r="P93" s="86" t="str">
        <f>IF($A93=1,VLOOKUP($B93,Outputs!$N:$R,3,FALSE),"")</f>
        <v/>
      </c>
      <c r="Q93" s="86">
        <f ca="1">IF($A93=0,VLOOKUP($B93,Outputs!$N:$R,3,FALSE),"")</f>
        <v>37.605232352683345</v>
      </c>
    </row>
    <row r="94" spans="1:17">
      <c r="A94" s="240">
        <f>IF(VLOOKUP(B94,TOCA_current!$B$2:$AG$137,32,FALSE)=0,0,1)</f>
        <v>0</v>
      </c>
      <c r="B94" t="s">
        <v>118</v>
      </c>
      <c r="C94" s="86" t="str">
        <f>IF(A94=1,VLOOKUP($B94,Outputs!$B:$F,2,FALSE),"")</f>
        <v/>
      </c>
      <c r="D94" s="86">
        <f ca="1">IF(A94=0,VLOOKUP($B94,Outputs!$B:$F,2,FALSE),"")</f>
        <v>1.4928190524116536E-2</v>
      </c>
      <c r="E94" s="94"/>
      <c r="F94" s="95" t="str">
        <f>IF(A94=1,VLOOKUP($B94,Outputs!$H:$L,2,FALSE),"")</f>
        <v/>
      </c>
      <c r="G94" s="96">
        <f ca="1">IF(A94=0,VLOOKUP($B94,Outputs!$H:$L,2,FALSE),"")</f>
        <v>1.4928190524117851E-2</v>
      </c>
      <c r="J94" s="89">
        <f ca="1">VLOOKUP($B94,Outputs!$N:$R,2,FALSE)</f>
        <v>1.398568457228958E-2</v>
      </c>
      <c r="K94" s="89">
        <f ca="1">+VLOOKUP(B94,Outputs!T:U,2,FALSE)</f>
        <v>1.8767635698398344E-2</v>
      </c>
      <c r="L94" s="86" t="str">
        <f>IF($A94=1,VLOOKUP($B94,Outputs!$B:$F,3,FALSE),"")</f>
        <v/>
      </c>
      <c r="M94" s="86">
        <f ca="1">IF($A94=0,VLOOKUP($B94,Outputs!$B:$F,3,FALSE),"")</f>
        <v>37.691549537861619</v>
      </c>
      <c r="N94" s="86" t="str">
        <f>IF($A94=1,VLOOKUP($B94,Outputs!$H:$L,3,FALSE),"")</f>
        <v/>
      </c>
      <c r="O94" s="86">
        <f ca="1">IF($A94=0,VLOOKUP($B94,Outputs!$H:$L,3,FALSE),"")</f>
        <v>37.691549537861619</v>
      </c>
      <c r="P94" s="86" t="str">
        <f>IF($A94=1,VLOOKUP($B94,Outputs!$N:$R,3,FALSE),"")</f>
        <v/>
      </c>
      <c r="Q94" s="86">
        <f ca="1">IF($A94=0,VLOOKUP($B94,Outputs!$N:$R,3,FALSE),"")</f>
        <v>37.114732640087468</v>
      </c>
    </row>
    <row r="95" spans="1:17">
      <c r="A95" s="240">
        <f>IF(VLOOKUP(B95,TOCA_current!$B$2:$AG$137,32,FALSE)=0,0,1)</f>
        <v>0</v>
      </c>
      <c r="B95" t="s">
        <v>10</v>
      </c>
      <c r="C95" s="86" t="str">
        <f>IF(A95=1,VLOOKUP($B95,Outputs!$B:$F,2,FALSE),"")</f>
        <v/>
      </c>
      <c r="D95" s="86">
        <f ca="1">IF(A95=0,VLOOKUP($B95,Outputs!$B:$F,2,FALSE),"")</f>
        <v>2.4129671377733277E-2</v>
      </c>
      <c r="E95" s="94"/>
      <c r="F95" s="95" t="str">
        <f>IF(A95=1,VLOOKUP($B95,Outputs!$H:$L,2,FALSE),"")</f>
        <v/>
      </c>
      <c r="G95" s="96">
        <f ca="1">IF(A95=0,VLOOKUP($B95,Outputs!$H:$L,2,FALSE),"")</f>
        <v>2.4129671377734328E-2</v>
      </c>
      <c r="J95" s="89">
        <f ca="1">VLOOKUP($B95,Outputs!$N:$R,2,FALSE)</f>
        <v>2.3663424235392055E-2</v>
      </c>
      <c r="K95" s="89">
        <f ca="1">+VLOOKUP(B95,Outputs!T:U,2,FALSE)</f>
        <v>3.3966036696902568E-2</v>
      </c>
      <c r="L95" s="86" t="str">
        <f>IF($A95=1,VLOOKUP($B95,Outputs!$B:$F,3,FALSE),"")</f>
        <v/>
      </c>
      <c r="M95" s="86">
        <f ca="1">IF($A95=0,VLOOKUP($B95,Outputs!$B:$F,3,FALSE),"")</f>
        <v>32.961292691669605</v>
      </c>
      <c r="N95" s="86" t="str">
        <f>IF($A95=1,VLOOKUP($B95,Outputs!$H:$L,3,FALSE),"")</f>
        <v/>
      </c>
      <c r="O95" s="86">
        <f ca="1">IF($A95=0,VLOOKUP($B95,Outputs!$H:$L,3,FALSE),"")</f>
        <v>32.961292691669605</v>
      </c>
      <c r="P95" s="86" t="str">
        <f>IF($A95=1,VLOOKUP($B95,Outputs!$N:$R,3,FALSE),"")</f>
        <v/>
      </c>
      <c r="Q95" s="86">
        <f ca="1">IF($A95=0,VLOOKUP($B95,Outputs!$N:$R,3,FALSE),"")</f>
        <v>33.039100976987449</v>
      </c>
    </row>
    <row r="96" spans="1:17">
      <c r="A96" s="240">
        <f>IF(VLOOKUP(B96,TOCA_current!$B$2:$AG$137,32,FALSE)=0,0,1)</f>
        <v>0</v>
      </c>
      <c r="B96" t="s">
        <v>11</v>
      </c>
      <c r="C96" s="86" t="str">
        <f>IF(A96=1,VLOOKUP($B96,Outputs!$B:$F,2,FALSE),"")</f>
        <v/>
      </c>
      <c r="D96" s="86">
        <f ca="1">IF(A96=0,VLOOKUP($B96,Outputs!$B:$F,2,FALSE),"")</f>
        <v>1.8070681827190991E-2</v>
      </c>
      <c r="E96" s="94"/>
      <c r="F96" s="95" t="str">
        <f>IF(A96=1,VLOOKUP($B96,Outputs!$H:$L,2,FALSE),"")</f>
        <v/>
      </c>
      <c r="G96" s="96">
        <f ca="1">IF(A96=0,VLOOKUP($B96,Outputs!$H:$L,2,FALSE),"")</f>
        <v>1.8070681827188954E-2</v>
      </c>
      <c r="J96" s="89">
        <f ca="1">VLOOKUP($B96,Outputs!$N:$R,2,FALSE)</f>
        <v>2.1241253053791858E-2</v>
      </c>
      <c r="K96" s="89">
        <f ca="1">+VLOOKUP(B96,Outputs!T:U,2,FALSE)</f>
        <v>6.1978380522262899E-2</v>
      </c>
      <c r="L96" s="86" t="str">
        <f>IF($A96=1,VLOOKUP($B96,Outputs!$B:$F,3,FALSE),"")</f>
        <v/>
      </c>
      <c r="M96" s="86">
        <f ca="1">IF($A96=0,VLOOKUP($B96,Outputs!$B:$F,3,FALSE),"")</f>
        <v>29.770555553258362</v>
      </c>
      <c r="N96" s="86" t="str">
        <f>IF($A96=1,VLOOKUP($B96,Outputs!$H:$L,3,FALSE),"")</f>
        <v/>
      </c>
      <c r="O96" s="86">
        <f ca="1">IF($A96=0,VLOOKUP($B96,Outputs!$H:$L,3,FALSE),"")</f>
        <v>29.770555553258362</v>
      </c>
      <c r="P96" s="86" t="str">
        <f>IF($A96=1,VLOOKUP($B96,Outputs!$N:$R,3,FALSE),"")</f>
        <v/>
      </c>
      <c r="Q96" s="86">
        <f ca="1">IF($A96=0,VLOOKUP($B96,Outputs!$N:$R,3,FALSE),"")</f>
        <v>30.937331948419846</v>
      </c>
    </row>
    <row r="97" spans="1:17">
      <c r="A97" s="240">
        <f>IF(VLOOKUP(B97,TOCA_current!$B$2:$AG$137,32,FALSE)=0,0,1)</f>
        <v>1</v>
      </c>
      <c r="B97" t="s">
        <v>75</v>
      </c>
      <c r="C97" s="86">
        <f ca="1">IF(A97=1,VLOOKUP($B97,Outputs!$B:$F,2,FALSE),"")</f>
        <v>-2.2047233997329614E-2</v>
      </c>
      <c r="D97" s="86" t="str">
        <f>IF(A97=0,VLOOKUP($B97,Outputs!$B:$F,2,FALSE),"")</f>
        <v/>
      </c>
      <c r="E97" s="94"/>
      <c r="F97" s="95">
        <f ca="1">IF(A97=1,VLOOKUP($B97,Outputs!$H:$L,2,FALSE),"")</f>
        <v>1.984101639741194E-2</v>
      </c>
      <c r="G97" s="96" t="str">
        <f>IF(A97=0,VLOOKUP($B97,Outputs!$H:$L,2,FALSE),"")</f>
        <v/>
      </c>
      <c r="J97" s="89">
        <f ca="1">VLOOKUP($B97,Outputs!$N:$R,2,FALSE)</f>
        <v>1.6203713743116983E-2</v>
      </c>
      <c r="K97" s="89">
        <f ca="1">+VLOOKUP(B97,Outputs!T:U,2,FALSE)</f>
        <v>8.0516499138989728E-2</v>
      </c>
      <c r="L97" s="86">
        <f ca="1">IF($A97=1,VLOOKUP($B97,Outputs!$B:$F,3,FALSE),"")</f>
        <v>37.400105100355589</v>
      </c>
      <c r="M97" s="86" t="str">
        <f>IF($A97=0,VLOOKUP($B97,Outputs!$B:$F,3,FALSE),"")</f>
        <v/>
      </c>
      <c r="N97" s="86">
        <f ca="1">IF($A97=1,VLOOKUP($B97,Outputs!$H:$L,3,FALSE),"")</f>
        <v>35.602071283438946</v>
      </c>
      <c r="O97" s="86" t="str">
        <f>IF($A97=0,VLOOKUP($B97,Outputs!$H:$L,3,FALSE),"")</f>
        <v/>
      </c>
      <c r="P97" s="86">
        <f ca="1">IF($A97=1,VLOOKUP($B97,Outputs!$N:$R,3,FALSE),"")</f>
        <v>35.293311393709097</v>
      </c>
      <c r="Q97" s="86" t="str">
        <f>IF($A97=0,VLOOKUP($B97,Outputs!$N:$R,3,FALSE),"")</f>
        <v/>
      </c>
    </row>
    <row r="98" spans="1:17">
      <c r="A98" s="240">
        <f>IF(VLOOKUP(B98,TOCA_current!$B$2:$AG$137,32,FALSE)=0,0,1)</f>
        <v>0</v>
      </c>
      <c r="B98" t="s">
        <v>94</v>
      </c>
      <c r="C98" s="86" t="str">
        <f>IF(A98=1,VLOOKUP($B98,Outputs!$B:$F,2,FALSE),"")</f>
        <v/>
      </c>
      <c r="D98" s="86">
        <f ca="1">IF(A98=0,VLOOKUP($B98,Outputs!$B:$F,2,FALSE),"")</f>
        <v>1.9796436631517164E-3</v>
      </c>
      <c r="E98" s="94"/>
      <c r="F98" s="95" t="str">
        <f>IF(A98=1,VLOOKUP($B98,Outputs!$H:$L,2,FALSE),"")</f>
        <v/>
      </c>
      <c r="G98" s="96">
        <f ca="1">IF(A98=0,VLOOKUP($B98,Outputs!$H:$L,2,FALSE),"")</f>
        <v>1.9796436631541346E-3</v>
      </c>
      <c r="J98" s="89">
        <f ca="1">VLOOKUP($B98,Outputs!$N:$R,2,FALSE)</f>
        <v>1.3020622169826132E-3</v>
      </c>
      <c r="K98" s="89">
        <f ca="1">+VLOOKUP(B98,Outputs!T:U,2,FALSE)</f>
        <v>6.9043079844819388E-3</v>
      </c>
      <c r="L98" s="86" t="str">
        <f>IF($A98=1,VLOOKUP($B98,Outputs!$B:$F,3,FALSE),"")</f>
        <v/>
      </c>
      <c r="M98" s="86">
        <f ca="1">IF($A98=0,VLOOKUP($B98,Outputs!$B:$F,3,FALSE),"")</f>
        <v>35.607135465619734</v>
      </c>
      <c r="N98" s="86" t="str">
        <f>IF($A98=1,VLOOKUP($B98,Outputs!$H:$L,3,FALSE),"")</f>
        <v/>
      </c>
      <c r="O98" s="86">
        <f ca="1">IF($A98=0,VLOOKUP($B98,Outputs!$H:$L,3,FALSE),"")</f>
        <v>35.607135465619734</v>
      </c>
      <c r="P98" s="86" t="str">
        <f>IF($A98=1,VLOOKUP($B98,Outputs!$N:$R,3,FALSE),"")</f>
        <v/>
      </c>
      <c r="Q98" s="86">
        <f ca="1">IF($A98=0,VLOOKUP($B98,Outputs!$N:$R,3,FALSE),"")</f>
        <v>35.293311393709104</v>
      </c>
    </row>
    <row r="99" spans="1:17">
      <c r="A99" s="240">
        <f>IF(VLOOKUP(B99,TOCA_current!$B$2:$AG$137,32,FALSE)=0,0,1)</f>
        <v>0</v>
      </c>
      <c r="B99" t="s">
        <v>103</v>
      </c>
      <c r="C99" s="86" t="str">
        <f>IF(A99=1,VLOOKUP($B99,Outputs!$B:$F,2,FALSE),"")</f>
        <v/>
      </c>
      <c r="D99" s="86">
        <f ca="1">IF(A99=0,VLOOKUP($B99,Outputs!$B:$F,2,FALSE),"")</f>
        <v>2.4066474972687324E-2</v>
      </c>
      <c r="E99" s="94"/>
      <c r="F99" s="95" t="str">
        <f>IF(A99=1,VLOOKUP($B99,Outputs!$H:$L,2,FALSE),"")</f>
        <v/>
      </c>
      <c r="G99" s="96">
        <f ca="1">IF(A99=0,VLOOKUP($B99,Outputs!$H:$L,2,FALSE),"")</f>
        <v>2.4066474972693635E-2</v>
      </c>
      <c r="J99" s="89">
        <f ca="1">VLOOKUP($B99,Outputs!$N:$R,2,FALSE)</f>
        <v>2.2077762393359457E-2</v>
      </c>
      <c r="K99" s="89">
        <f ca="1">+VLOOKUP(B99,Outputs!T:U,2,FALSE)</f>
        <v>2.7993928402806789E-2</v>
      </c>
      <c r="L99" s="86" t="str">
        <f>IF($A99=1,VLOOKUP($B99,Outputs!$B:$F,3,FALSE),"")</f>
        <v/>
      </c>
      <c r="M99" s="86">
        <f ca="1">IF($A99=0,VLOOKUP($B99,Outputs!$B:$F,3,FALSE),"")</f>
        <v>39.118762969886298</v>
      </c>
      <c r="N99" s="86" t="str">
        <f>IF($A99=1,VLOOKUP($B99,Outputs!$H:$L,3,FALSE),"")</f>
        <v/>
      </c>
      <c r="O99" s="86">
        <f ca="1">IF($A99=0,VLOOKUP($B99,Outputs!$H:$L,3,FALSE),"")</f>
        <v>39.118762969886298</v>
      </c>
      <c r="P99" s="86" t="str">
        <f>IF($A99=1,VLOOKUP($B99,Outputs!$N:$R,3,FALSE),"")</f>
        <v/>
      </c>
      <c r="Q99" s="86">
        <f ca="1">IF($A99=0,VLOOKUP($B99,Outputs!$N:$R,3,FALSE),"")</f>
        <v>38.329462688468666</v>
      </c>
    </row>
    <row r="100" spans="1:17">
      <c r="A100" s="240">
        <f>IF(VLOOKUP(B100,TOCA_current!$B$2:$AG$137,32,FALSE)=0,0,1)</f>
        <v>0</v>
      </c>
      <c r="B100" t="s">
        <v>44</v>
      </c>
      <c r="C100" s="86" t="str">
        <f>IF(A100=1,VLOOKUP($B100,Outputs!$B:$F,2,FALSE),"")</f>
        <v/>
      </c>
      <c r="D100" s="86">
        <f ca="1">IF(A100=0,VLOOKUP($B100,Outputs!$B:$F,2,FALSE),"")</f>
        <v>3.0518612103085499E-2</v>
      </c>
      <c r="E100" s="94"/>
      <c r="F100" s="95" t="str">
        <f>IF(A100=1,VLOOKUP($B100,Outputs!$H:$L,2,FALSE),"")</f>
        <v/>
      </c>
      <c r="G100" s="96">
        <f ca="1">IF(A100=0,VLOOKUP($B100,Outputs!$H:$L,2,FALSE),"")</f>
        <v>3.0518612103087411E-2</v>
      </c>
      <c r="J100" s="89">
        <f ca="1">VLOOKUP($B100,Outputs!$N:$R,2,FALSE)</f>
        <v>2.9198982606067847E-2</v>
      </c>
      <c r="K100" s="89">
        <f ca="1">+VLOOKUP(B100,Outputs!T:U,2,FALSE)</f>
        <v>3.0294987889338376E-2</v>
      </c>
      <c r="L100" s="86" t="str">
        <f>IF($A100=1,VLOOKUP($B100,Outputs!$B:$F,3,FALSE),"")</f>
        <v/>
      </c>
      <c r="M100" s="86">
        <f ca="1">IF($A100=0,VLOOKUP($B100,Outputs!$B:$F,3,FALSE),"")</f>
        <v>37.74661162349949</v>
      </c>
      <c r="N100" s="86" t="str">
        <f>IF($A100=1,VLOOKUP($B100,Outputs!$H:$L,3,FALSE),"")</f>
        <v/>
      </c>
      <c r="O100" s="86">
        <f ca="1">IF($A100=0,VLOOKUP($B100,Outputs!$H:$L,3,FALSE),"")</f>
        <v>37.74661162349949</v>
      </c>
      <c r="P100" s="86" t="str">
        <f>IF($A100=1,VLOOKUP($B100,Outputs!$N:$R,3,FALSE),"")</f>
        <v/>
      </c>
      <c r="Q100" s="86">
        <f ca="1">IF($A100=0,VLOOKUP($B100,Outputs!$N:$R,3,FALSE),"")</f>
        <v>36.87386834350572</v>
      </c>
    </row>
    <row r="101" spans="1:17">
      <c r="A101" s="240">
        <f>IF(VLOOKUP(B101,TOCA_current!$B$2:$AG$137,32,FALSE)=0,0,1)</f>
        <v>0</v>
      </c>
      <c r="B101" t="s">
        <v>99</v>
      </c>
      <c r="C101" s="86" t="str">
        <f>IF(A101=1,VLOOKUP($B101,Outputs!$B:$F,2,FALSE),"")</f>
        <v/>
      </c>
      <c r="D101" s="86">
        <f ca="1">IF(A101=0,VLOOKUP($B101,Outputs!$B:$F,2,FALSE),"")</f>
        <v>2.4264552775859496E-2</v>
      </c>
      <c r="E101" s="94"/>
      <c r="F101" s="95" t="str">
        <f>IF(A101=1,VLOOKUP($B101,Outputs!$H:$L,2,FALSE),"")</f>
        <v/>
      </c>
      <c r="G101" s="96">
        <f ca="1">IF(A101=0,VLOOKUP($B101,Outputs!$H:$L,2,FALSE),"")</f>
        <v>2.4264552775850795E-2</v>
      </c>
      <c r="J101" s="89">
        <f ca="1">VLOOKUP($B101,Outputs!$N:$R,2,FALSE)</f>
        <v>2.3424908918655743E-2</v>
      </c>
      <c r="K101" s="89">
        <f ca="1">+VLOOKUP(B101,Outputs!T:U,2,FALSE)</f>
        <v>4.9949479076486725E-2</v>
      </c>
      <c r="L101" s="86" t="str">
        <f>IF($A101=1,VLOOKUP($B101,Outputs!$B:$F,3,FALSE),"")</f>
        <v/>
      </c>
      <c r="M101" s="86">
        <f ca="1">IF($A101=0,VLOOKUP($B101,Outputs!$B:$F,3,FALSE),"")</f>
        <v>36.140569436576506</v>
      </c>
      <c r="N101" s="86" t="str">
        <f>IF($A101=1,VLOOKUP($B101,Outputs!$H:$L,3,FALSE),"")</f>
        <v/>
      </c>
      <c r="O101" s="86">
        <f ca="1">IF($A101=0,VLOOKUP($B101,Outputs!$H:$L,3,FALSE),"")</f>
        <v>36.140569436576506</v>
      </c>
      <c r="P101" s="86" t="str">
        <f>IF($A101=1,VLOOKUP($B101,Outputs!$N:$R,3,FALSE),"")</f>
        <v/>
      </c>
      <c r="Q101" s="86">
        <f ca="1">IF($A101=0,VLOOKUP($B101,Outputs!$N:$R,3,FALSE),"")</f>
        <v>35.740969094571469</v>
      </c>
    </row>
    <row r="102" spans="1:17">
      <c r="A102" s="240">
        <f>IF(VLOOKUP(B102,TOCA_current!$B$2:$AG$137,32,FALSE)=0,0,1)</f>
        <v>0</v>
      </c>
      <c r="B102" t="s">
        <v>87</v>
      </c>
      <c r="C102" s="86" t="str">
        <f>IF(A102=1,VLOOKUP($B102,Outputs!$B:$F,2,FALSE),"")</f>
        <v/>
      </c>
      <c r="D102" s="86">
        <f ca="1">IF(A102=0,VLOOKUP($B102,Outputs!$B:$F,2,FALSE),"")</f>
        <v>1.6397327270177869E-2</v>
      </c>
      <c r="E102" s="94"/>
      <c r="F102" s="95" t="str">
        <f>IF(A102=1,VLOOKUP($B102,Outputs!$H:$L,2,FALSE),"")</f>
        <v/>
      </c>
      <c r="G102" s="96">
        <f ca="1">IF(A102=0,VLOOKUP($B102,Outputs!$H:$L,2,FALSE),"")</f>
        <v>1.6397327270184139E-2</v>
      </c>
      <c r="J102" s="89">
        <f ca="1">VLOOKUP($B102,Outputs!$N:$R,2,FALSE)</f>
        <v>2.3069821236385967E-2</v>
      </c>
      <c r="K102" s="89">
        <f ca="1">+VLOOKUP(B102,Outputs!T:U,2,FALSE)</f>
        <v>5.048240491332967E-2</v>
      </c>
      <c r="L102" s="86" t="str">
        <f>IF($A102=1,VLOOKUP($B102,Outputs!$B:$F,3,FALSE),"")</f>
        <v/>
      </c>
      <c r="M102" s="86">
        <f ca="1">IF($A102=0,VLOOKUP($B102,Outputs!$B:$F,3,FALSE),"")</f>
        <v>36.760457326645813</v>
      </c>
      <c r="N102" s="86" t="str">
        <f>IF($A102=1,VLOOKUP($B102,Outputs!$H:$L,3,FALSE),"")</f>
        <v/>
      </c>
      <c r="O102" s="86">
        <f ca="1">IF($A102=0,VLOOKUP($B102,Outputs!$H:$L,3,FALSE),"")</f>
        <v>36.760457326645813</v>
      </c>
      <c r="P102" s="86" t="str">
        <f>IF($A102=1,VLOOKUP($B102,Outputs!$N:$R,3,FALSE),"")</f>
        <v/>
      </c>
      <c r="Q102" s="86">
        <f ca="1">IF($A102=0,VLOOKUP($B102,Outputs!$N:$R,3,FALSE),"")</f>
        <v>35.881374859103481</v>
      </c>
    </row>
    <row r="103" spans="1:17">
      <c r="A103" s="240">
        <f>IF(VLOOKUP(B103,TOCA_current!$B$2:$AG$137,32,FALSE)=0,0,1)</f>
        <v>0</v>
      </c>
      <c r="B103" t="s">
        <v>85</v>
      </c>
      <c r="C103" s="86" t="str">
        <f>IF(A103=1,VLOOKUP($B103,Outputs!$B:$F,2,FALSE),"")</f>
        <v/>
      </c>
      <c r="D103" s="86">
        <f ca="1">IF(A103=0,VLOOKUP($B103,Outputs!$B:$F,2,FALSE),"")</f>
        <v>-1.1233507103566727E-3</v>
      </c>
      <c r="E103" s="94"/>
      <c r="F103" s="95" t="str">
        <f>IF(A103=1,VLOOKUP($B103,Outputs!$H:$L,2,FALSE),"")</f>
        <v/>
      </c>
      <c r="G103" s="96">
        <f ca="1">IF(A103=0,VLOOKUP($B103,Outputs!$H:$L,2,FALSE),"")</f>
        <v>-1.1233507103545351E-3</v>
      </c>
      <c r="J103" s="89">
        <f ca="1">VLOOKUP($B103,Outputs!$N:$R,2,FALSE)</f>
        <v>-2.4454131204706825E-3</v>
      </c>
      <c r="K103" s="89">
        <f ca="1">+VLOOKUP(B103,Outputs!T:U,2,FALSE)</f>
        <v>1.0685728367517244E-2</v>
      </c>
      <c r="L103" s="86" t="str">
        <f>IF($A103=1,VLOOKUP($B103,Outputs!$B:$F,3,FALSE),"")</f>
        <v/>
      </c>
      <c r="M103" s="86">
        <f ca="1">IF($A103=0,VLOOKUP($B103,Outputs!$B:$F,3,FALSE),"")</f>
        <v>36.544541848345965</v>
      </c>
      <c r="N103" s="86" t="str">
        <f>IF($A103=1,VLOOKUP($B103,Outputs!$H:$L,3,FALSE),"")</f>
        <v/>
      </c>
      <c r="O103" s="86">
        <f ca="1">IF($A103=0,VLOOKUP($B103,Outputs!$H:$L,3,FALSE),"")</f>
        <v>36.544541848345965</v>
      </c>
      <c r="P103" s="86" t="str">
        <f>IF($A103=1,VLOOKUP($B103,Outputs!$N:$R,3,FALSE),"")</f>
        <v/>
      </c>
      <c r="Q103" s="86">
        <f ca="1">IF($A103=0,VLOOKUP($B103,Outputs!$N:$R,3,FALSE),"")</f>
        <v>35.51650313264993</v>
      </c>
    </row>
    <row r="104" spans="1:17">
      <c r="A104" s="240">
        <f>IF(VLOOKUP(B104,TOCA_current!$B$2:$AG$137,32,FALSE)=0,0,1)</f>
        <v>0</v>
      </c>
      <c r="B104" t="s">
        <v>32</v>
      </c>
      <c r="C104" s="86" t="str">
        <f>IF(A104=1,VLOOKUP($B104,Outputs!$B:$F,2,FALSE),"")</f>
        <v/>
      </c>
      <c r="D104" s="86">
        <f ca="1">IF(A104=0,VLOOKUP($B104,Outputs!$B:$F,2,FALSE),"")</f>
        <v>1.9333128247220013E-2</v>
      </c>
      <c r="E104" s="94"/>
      <c r="F104" s="95" t="str">
        <f>IF(A104=1,VLOOKUP($B104,Outputs!$H:$L,2,FALSE),"")</f>
        <v/>
      </c>
      <c r="G104" s="96">
        <f ca="1">IF(A104=0,VLOOKUP($B104,Outputs!$H:$L,2,FALSE),"")</f>
        <v>1.9333128247223254E-2</v>
      </c>
      <c r="J104" s="89">
        <f ca="1">VLOOKUP($B104,Outputs!$N:$R,2,FALSE)</f>
        <v>2.0683252116034997E-2</v>
      </c>
      <c r="K104" s="89">
        <f ca="1">+VLOOKUP(B104,Outputs!T:U,2,FALSE)</f>
        <v>4.5180426139344032E-2</v>
      </c>
      <c r="L104" s="86" t="str">
        <f>IF($A104=1,VLOOKUP($B104,Outputs!$B:$F,3,FALSE),"")</f>
        <v/>
      </c>
      <c r="M104" s="86">
        <f ca="1">IF($A104=0,VLOOKUP($B104,Outputs!$B:$F,3,FALSE),"")</f>
        <v>38.645966787243303</v>
      </c>
      <c r="N104" s="86" t="str">
        <f>IF($A104=1,VLOOKUP($B104,Outputs!$H:$L,3,FALSE),"")</f>
        <v/>
      </c>
      <c r="O104" s="86">
        <f ca="1">IF($A104=0,VLOOKUP($B104,Outputs!$H:$L,3,FALSE),"")</f>
        <v>38.645966787243303</v>
      </c>
      <c r="P104" s="86" t="str">
        <f>IF($A104=1,VLOOKUP($B104,Outputs!$N:$R,3,FALSE),"")</f>
        <v/>
      </c>
      <c r="Q104" s="86">
        <f ca="1">IF($A104=0,VLOOKUP($B104,Outputs!$N:$R,3,FALSE),"")</f>
        <v>38.194109800191228</v>
      </c>
    </row>
    <row r="105" spans="1:17">
      <c r="A105" s="240">
        <f>IF(VLOOKUP(B105,TOCA_current!$B$2:$AG$137,32,FALSE)=0,0,1)</f>
        <v>1</v>
      </c>
      <c r="B105" t="s">
        <v>46</v>
      </c>
      <c r="C105" s="86">
        <f ca="1">IF(A105=1,VLOOKUP($B105,Outputs!$B:$F,2,FALSE),"")</f>
        <v>-2.1239932792495454E-2</v>
      </c>
      <c r="D105" s="86" t="str">
        <f>IF(A105=0,VLOOKUP($B105,Outputs!$B:$F,2,FALSE),"")</f>
        <v/>
      </c>
      <c r="E105" s="94"/>
      <c r="F105" s="95">
        <f ca="1">IF(A105=1,VLOOKUP($B105,Outputs!$H:$L,2,FALSE),"")</f>
        <v>1.8318616108992221E-2</v>
      </c>
      <c r="G105" s="96" t="str">
        <f>IF(A105=0,VLOOKUP($B105,Outputs!$H:$L,2,FALSE),"")</f>
        <v/>
      </c>
      <c r="J105" s="89">
        <f ca="1">VLOOKUP($B105,Outputs!$N:$R,2,FALSE)</f>
        <v>1.5101148827137832E-2</v>
      </c>
      <c r="K105" s="89">
        <f ca="1">+VLOOKUP(B105,Outputs!T:U,2,FALSE)</f>
        <v>9.0793082407262249E-2</v>
      </c>
      <c r="L105" s="86">
        <f ca="1">IF($A105=1,VLOOKUP($B105,Outputs!$B:$F,3,FALSE),"")</f>
        <v>37.235001703054166</v>
      </c>
      <c r="M105" s="86" t="str">
        <f>IF($A105=0,VLOOKUP($B105,Outputs!$B:$F,3,FALSE),"")</f>
        <v/>
      </c>
      <c r="N105" s="86">
        <f ca="1">IF($A105=1,VLOOKUP($B105,Outputs!$H:$L,3,FALSE),"")</f>
        <v>35.427705927933403</v>
      </c>
      <c r="O105" s="86" t="str">
        <f>IF($A105=0,VLOOKUP($B105,Outputs!$H:$L,3,FALSE),"")</f>
        <v/>
      </c>
      <c r="P105" s="86">
        <f ca="1">IF($A105=1,VLOOKUP($B105,Outputs!$N:$R,3,FALSE),"")</f>
        <v>35.293311393709097</v>
      </c>
      <c r="Q105" s="86" t="str">
        <f>IF($A105=0,VLOOKUP($B105,Outputs!$N:$R,3,FALSE),"")</f>
        <v/>
      </c>
    </row>
    <row r="106" spans="1:17">
      <c r="A106" s="240">
        <f>IF(VLOOKUP(B106,TOCA_current!$B$2:$AG$137,32,FALSE)=0,0,1)</f>
        <v>0</v>
      </c>
      <c r="B106" t="s">
        <v>131</v>
      </c>
      <c r="C106" s="86" t="str">
        <f>IF(A106=1,VLOOKUP($B106,Outputs!$B:$F,2,FALSE),"")</f>
        <v/>
      </c>
      <c r="D106" s="86">
        <f ca="1">IF(A106=0,VLOOKUP($B106,Outputs!$B:$F,2,FALSE),"")</f>
        <v>9.1176013540472667E-4</v>
      </c>
      <c r="E106" s="94"/>
      <c r="F106" s="95" t="str">
        <f>IF(A106=1,VLOOKUP($B106,Outputs!$H:$L,2,FALSE),"")</f>
        <v/>
      </c>
      <c r="G106" s="96">
        <f ca="1">IF(A106=0,VLOOKUP($B106,Outputs!$H:$L,2,FALSE),"")</f>
        <v>9.1176013540503914E-4</v>
      </c>
      <c r="J106" s="89">
        <f ca="1">VLOOKUP($B106,Outputs!$N:$R,2,FALSE)</f>
        <v>9.5733310813159323E-3</v>
      </c>
      <c r="K106" s="89">
        <f ca="1">+VLOOKUP(B106,Outputs!T:U,2,FALSE)</f>
        <v>7.7055741810319045E-3</v>
      </c>
      <c r="L106" s="86" t="str">
        <f>IF($A106=1,VLOOKUP($B106,Outputs!$B:$F,3,FALSE),"")</f>
        <v/>
      </c>
      <c r="M106" s="86">
        <f ca="1">IF($A106=0,VLOOKUP($B106,Outputs!$B:$F,3,FALSE),"")</f>
        <v>34.20500070418263</v>
      </c>
      <c r="N106" s="86" t="str">
        <f>IF($A106=1,VLOOKUP($B106,Outputs!$H:$L,3,FALSE),"")</f>
        <v/>
      </c>
      <c r="O106" s="86">
        <f ca="1">IF($A106=0,VLOOKUP($B106,Outputs!$H:$L,3,FALSE),"")</f>
        <v>34.20500070418263</v>
      </c>
      <c r="P106" s="86" t="str">
        <f>IF($A106=1,VLOOKUP($B106,Outputs!$N:$R,3,FALSE),"")</f>
        <v/>
      </c>
      <c r="Q106" s="86">
        <f ca="1">IF($A106=0,VLOOKUP($B106,Outputs!$N:$R,3,FALSE),"")</f>
        <v>34.084411044779749</v>
      </c>
    </row>
    <row r="107" spans="1:17">
      <c r="A107" s="240">
        <f>IF(VLOOKUP(B107,TOCA_current!$B$2:$AG$137,32,FALSE)=0,0,1)</f>
        <v>0</v>
      </c>
      <c r="B107" t="s">
        <v>114</v>
      </c>
      <c r="C107" s="86" t="str">
        <f>IF(A107=1,VLOOKUP($B107,Outputs!$B:$F,2,FALSE),"")</f>
        <v/>
      </c>
      <c r="D107" s="86">
        <f ca="1">IF(A107=0,VLOOKUP($B107,Outputs!$B:$F,2,FALSE),"")</f>
        <v>1.7539179260301463E-2</v>
      </c>
      <c r="E107" s="94"/>
      <c r="F107" s="95" t="str">
        <f>IF(A107=1,VLOOKUP($B107,Outputs!$H:$L,2,FALSE),"")</f>
        <v/>
      </c>
      <c r="G107" s="96">
        <f ca="1">IF(A107=0,VLOOKUP($B107,Outputs!$H:$L,2,FALSE),"")</f>
        <v>1.7539179260307559E-2</v>
      </c>
      <c r="J107" s="89">
        <f ca="1">VLOOKUP($B107,Outputs!$N:$R,2,FALSE)</f>
        <v>1.5863554312928199E-2</v>
      </c>
      <c r="K107" s="89">
        <f ca="1">+VLOOKUP(B107,Outputs!T:U,2,FALSE)</f>
        <v>3.8582516696826996E-2</v>
      </c>
      <c r="L107" s="86" t="str">
        <f>IF($A107=1,VLOOKUP($B107,Outputs!$B:$F,3,FALSE),"")</f>
        <v/>
      </c>
      <c r="M107" s="86">
        <f ca="1">IF($A107=0,VLOOKUP($B107,Outputs!$B:$F,3,FALSE),"")</f>
        <v>38.31561025957982</v>
      </c>
      <c r="N107" s="86" t="str">
        <f>IF($A107=1,VLOOKUP($B107,Outputs!$H:$L,3,FALSE),"")</f>
        <v/>
      </c>
      <c r="O107" s="86">
        <f ca="1">IF($A107=0,VLOOKUP($B107,Outputs!$H:$L,3,FALSE),"")</f>
        <v>38.31561025957982</v>
      </c>
      <c r="P107" s="86" t="str">
        <f>IF($A107=1,VLOOKUP($B107,Outputs!$N:$R,3,FALSE),"")</f>
        <v/>
      </c>
      <c r="Q107" s="86">
        <f ca="1">IF($A107=0,VLOOKUP($B107,Outputs!$N:$R,3,FALSE),"")</f>
        <v>37.717265600436448</v>
      </c>
    </row>
    <row r="108" spans="1:17">
      <c r="A108" s="240">
        <f>IF(VLOOKUP(B108,TOCA_current!$B$2:$AG$137,32,FALSE)=0,0,1)</f>
        <v>0</v>
      </c>
      <c r="B108" t="s">
        <v>39</v>
      </c>
      <c r="C108" s="86" t="str">
        <f>IF(A108=1,VLOOKUP($B108,Outputs!$B:$F,2,FALSE),"")</f>
        <v/>
      </c>
      <c r="D108" s="86">
        <f ca="1">IF(A108=0,VLOOKUP($B108,Outputs!$B:$F,2,FALSE),"")</f>
        <v>1.3871622754165206E-2</v>
      </c>
      <c r="E108" s="94"/>
      <c r="F108" s="95" t="str">
        <f>IF(A108=1,VLOOKUP($B108,Outputs!$H:$L,2,FALSE),"")</f>
        <v/>
      </c>
      <c r="G108" s="96">
        <f ca="1">IF(A108=0,VLOOKUP($B108,Outputs!$H:$L,2,FALSE),"")</f>
        <v>1.3871622754169756E-2</v>
      </c>
      <c r="J108" s="89">
        <f ca="1">VLOOKUP($B108,Outputs!$N:$R,2,FALSE)</f>
        <v>1.7425485535472299E-2</v>
      </c>
      <c r="K108" s="89">
        <f ca="1">+VLOOKUP(B108,Outputs!T:U,2,FALSE)</f>
        <v>2.2417051258424303E-2</v>
      </c>
      <c r="L108" s="86" t="str">
        <f>IF($A108=1,VLOOKUP($B108,Outputs!$B:$F,3,FALSE),"")</f>
        <v/>
      </c>
      <c r="M108" s="86">
        <f ca="1">IF($A108=0,VLOOKUP($B108,Outputs!$B:$F,3,FALSE),"")</f>
        <v>37.796098647108487</v>
      </c>
      <c r="N108" s="86" t="str">
        <f>IF($A108=1,VLOOKUP($B108,Outputs!$H:$L,3,FALSE),"")</f>
        <v/>
      </c>
      <c r="O108" s="86">
        <f ca="1">IF($A108=0,VLOOKUP($B108,Outputs!$H:$L,3,FALSE),"")</f>
        <v>37.796098647108487</v>
      </c>
      <c r="P108" s="86" t="str">
        <f>IF($A108=1,VLOOKUP($B108,Outputs!$N:$R,3,FALSE),"")</f>
        <v/>
      </c>
      <c r="Q108" s="86">
        <f ca="1">IF($A108=0,VLOOKUP($B108,Outputs!$N:$R,3,FALSE),"")</f>
        <v>36.997113721287484</v>
      </c>
    </row>
    <row r="109" spans="1:17">
      <c r="A109" s="240">
        <f>IF(VLOOKUP(B109,TOCA_current!$B$2:$AG$137,32,FALSE)=0,0,1)</f>
        <v>0</v>
      </c>
      <c r="B109" t="s">
        <v>76</v>
      </c>
      <c r="C109" s="86" t="str">
        <f>IF(A109=1,VLOOKUP($B109,Outputs!$B:$F,2,FALSE),"")</f>
        <v/>
      </c>
      <c r="D109" s="86">
        <f ca="1">IF(A109=0,VLOOKUP($B109,Outputs!$B:$F,2,FALSE),"")</f>
        <v>2.1949266170211822E-3</v>
      </c>
      <c r="E109" s="94"/>
      <c r="F109" s="95" t="str">
        <f>IF(A109=1,VLOOKUP($B109,Outputs!$H:$L,2,FALSE),"")</f>
        <v/>
      </c>
      <c r="G109" s="96">
        <f ca="1">IF(A109=0,VLOOKUP($B109,Outputs!$H:$L,2,FALSE),"")</f>
        <v>2.1949266170132199E-3</v>
      </c>
      <c r="J109" s="89">
        <f ca="1">VLOOKUP($B109,Outputs!$N:$R,2,FALSE)</f>
        <v>1.9099805321766924E-3</v>
      </c>
      <c r="K109" s="89">
        <f ca="1">+VLOOKUP(B109,Outputs!T:U,2,FALSE)</f>
        <v>8.3163851287004764E-3</v>
      </c>
      <c r="L109" s="86" t="str">
        <f>IF($A109=1,VLOOKUP($B109,Outputs!$B:$F,3,FALSE),"")</f>
        <v/>
      </c>
      <c r="M109" s="86">
        <f ca="1">IF($A109=0,VLOOKUP($B109,Outputs!$B:$F,3,FALSE),"")</f>
        <v>35.410060047203451</v>
      </c>
      <c r="N109" s="86" t="str">
        <f>IF($A109=1,VLOOKUP($B109,Outputs!$H:$L,3,FALSE),"")</f>
        <v/>
      </c>
      <c r="O109" s="86">
        <f ca="1">IF($A109=0,VLOOKUP($B109,Outputs!$H:$L,3,FALSE),"")</f>
        <v>35.410060047203451</v>
      </c>
      <c r="P109" s="86" t="str">
        <f>IF($A109=1,VLOOKUP($B109,Outputs!$N:$R,3,FALSE),"")</f>
        <v/>
      </c>
      <c r="Q109" s="86">
        <f ca="1">IF($A109=0,VLOOKUP($B109,Outputs!$N:$R,3,FALSE),"")</f>
        <v>35.01434123938904</v>
      </c>
    </row>
    <row r="110" spans="1:17">
      <c r="A110" s="240">
        <f>IF(VLOOKUP(B110,TOCA_current!$B$2:$AG$137,32,FALSE)=0,0,1)</f>
        <v>1</v>
      </c>
      <c r="B110" t="s">
        <v>82</v>
      </c>
      <c r="C110" s="86">
        <f ca="1">IF(A110=1,VLOOKUP($B110,Outputs!$B:$F,2,FALSE),"")</f>
        <v>-2.5069892943208525E-2</v>
      </c>
      <c r="D110" s="86" t="str">
        <f>IF(A110=0,VLOOKUP($B110,Outputs!$B:$F,2,FALSE),"")</f>
        <v/>
      </c>
      <c r="E110" s="94"/>
      <c r="F110" s="95">
        <f ca="1">IF(A110=1,VLOOKUP($B110,Outputs!$H:$L,2,FALSE),"")</f>
        <v>1.8416782787384442E-2</v>
      </c>
      <c r="G110" s="96" t="str">
        <f>IF(A110=0,VLOOKUP($B110,Outputs!$H:$L,2,FALSE),"")</f>
        <v/>
      </c>
      <c r="J110" s="89">
        <f ca="1">VLOOKUP($B110,Outputs!$N:$R,2,FALSE)</f>
        <v>1.4872784121763455E-2</v>
      </c>
      <c r="K110" s="89">
        <f ca="1">+VLOOKUP(B110,Outputs!T:U,2,FALSE)</f>
        <v>0.10034110192726464</v>
      </c>
      <c r="L110" s="86">
        <f ca="1">IF($A110=1,VLOOKUP($B110,Outputs!$B:$F,3,FALSE),"")</f>
        <v>35.581233654960499</v>
      </c>
      <c r="M110" s="86" t="str">
        <f>IF($A110=0,VLOOKUP($B110,Outputs!$B:$F,3,FALSE),"")</f>
        <v/>
      </c>
      <c r="N110" s="86">
        <f ca="1">IF($A110=1,VLOOKUP($B110,Outputs!$H:$L,3,FALSE),"")</f>
        <v>33.85452632770162</v>
      </c>
      <c r="O110" s="86" t="str">
        <f>IF($A110=0,VLOOKUP($B110,Outputs!$H:$L,3,FALSE),"")</f>
        <v/>
      </c>
      <c r="P110" s="86">
        <f ca="1">IF($A110=1,VLOOKUP($B110,Outputs!$N:$R,3,FALSE),"")</f>
        <v>33.414879904208924</v>
      </c>
      <c r="Q110" s="86" t="str">
        <f>IF($A110=0,VLOOKUP($B110,Outputs!$N:$R,3,FALSE),"")</f>
        <v/>
      </c>
    </row>
    <row r="111" spans="1:17">
      <c r="A111" s="240">
        <f>IF(VLOOKUP(B111,TOCA_current!$B$2:$AG$137,32,FALSE)=0,0,1)</f>
        <v>1</v>
      </c>
      <c r="B111" t="s">
        <v>68</v>
      </c>
      <c r="C111" s="86">
        <f ca="1">IF(A111=1,VLOOKUP($B111,Outputs!$B:$F,2,FALSE),"")</f>
        <v>-2.2725890862890428E-2</v>
      </c>
      <c r="D111" s="86" t="str">
        <f>IF(A111=0,VLOOKUP($B111,Outputs!$B:$F,2,FALSE),"")</f>
        <v/>
      </c>
      <c r="E111" s="94"/>
      <c r="F111" s="95">
        <f ca="1">IF(A111=1,VLOOKUP($B111,Outputs!$H:$L,2,FALSE),"")</f>
        <v>1.2295781886493095E-2</v>
      </c>
      <c r="G111" s="96" t="str">
        <f>IF(A111=0,VLOOKUP($B111,Outputs!$H:$L,2,FALSE),"")</f>
        <v/>
      </c>
      <c r="J111" s="89">
        <f ca="1">VLOOKUP($B111,Outputs!$N:$R,2,FALSE)</f>
        <v>1.0600120046780787E-2</v>
      </c>
      <c r="K111" s="89">
        <f ca="1">+VLOOKUP(B111,Outputs!T:U,2,FALSE)</f>
        <v>4.7712015114144801E-2</v>
      </c>
      <c r="L111" s="86">
        <f ca="1">IF($A111=1,VLOOKUP($B111,Outputs!$B:$F,3,FALSE),"")</f>
        <v>35.72690341736407</v>
      </c>
      <c r="M111" s="86" t="str">
        <f>IF($A111=0,VLOOKUP($B111,Outputs!$B:$F,3,FALSE),"")</f>
        <v/>
      </c>
      <c r="N111" s="86">
        <f ca="1">IF($A111=1,VLOOKUP($B111,Outputs!$H:$L,3,FALSE),"")</f>
        <v>33.25532538316088</v>
      </c>
      <c r="O111" s="86" t="str">
        <f>IF($A111=0,VLOOKUP($B111,Outputs!$H:$L,3,FALSE),"")</f>
        <v/>
      </c>
      <c r="P111" s="86">
        <f ca="1">IF($A111=1,VLOOKUP($B111,Outputs!$N:$R,3,FALSE),"")</f>
        <v>33.367788963669739</v>
      </c>
      <c r="Q111" s="86" t="str">
        <f>IF($A111=0,VLOOKUP($B111,Outputs!$N:$R,3,FALSE),"")</f>
        <v/>
      </c>
    </row>
    <row r="112" spans="1:17">
      <c r="A112" s="240">
        <f>IF(VLOOKUP(B112,TOCA_current!$B$2:$AG$137,32,FALSE)=0,0,1)</f>
        <v>1</v>
      </c>
      <c r="B112" t="s">
        <v>71</v>
      </c>
      <c r="C112" s="86">
        <f ca="1">IF(A112=1,VLOOKUP($B112,Outputs!$B:$F,2,FALSE),"")</f>
        <v>-2.157001862314633E-2</v>
      </c>
      <c r="D112" s="86" t="str">
        <f>IF(A112=0,VLOOKUP($B112,Outputs!$B:$F,2,FALSE),"")</f>
        <v/>
      </c>
      <c r="E112" s="94"/>
      <c r="F112" s="95">
        <f ca="1">IF(A112=1,VLOOKUP($B112,Outputs!$H:$L,2,FALSE),"")</f>
        <v>1.4161460965822119E-2</v>
      </c>
      <c r="G112" s="96" t="str">
        <f>IF(A112=0,VLOOKUP($B112,Outputs!$H:$L,2,FALSE),"")</f>
        <v/>
      </c>
      <c r="J112" s="89">
        <f ca="1">VLOOKUP($B112,Outputs!$N:$R,2,FALSE)</f>
        <v>1.1124168296930468E-2</v>
      </c>
      <c r="K112" s="89">
        <f ca="1">+VLOOKUP(B112,Outputs!T:U,2,FALSE)</f>
        <v>6.1747116765524579E-2</v>
      </c>
      <c r="L112" s="86">
        <f ca="1">IF($A112=1,VLOOKUP($B112,Outputs!$B:$F,3,FALSE),"")</f>
        <v>37.163808717061798</v>
      </c>
      <c r="M112" s="86" t="str">
        <f>IF($A112=0,VLOOKUP($B112,Outputs!$B:$F,3,FALSE),"")</f>
        <v/>
      </c>
      <c r="N112" s="86">
        <f ca="1">IF($A112=1,VLOOKUP($B112,Outputs!$H:$L,3,FALSE),"")</f>
        <v>35.653841549912137</v>
      </c>
      <c r="O112" s="86" t="str">
        <f>IF($A112=0,VLOOKUP($B112,Outputs!$H:$L,3,FALSE),"")</f>
        <v/>
      </c>
      <c r="P112" s="86">
        <f ca="1">IF($A112=1,VLOOKUP($B112,Outputs!$N:$R,3,FALSE),"")</f>
        <v>35.293311393709104</v>
      </c>
      <c r="Q112" s="86" t="str">
        <f>IF($A112=0,VLOOKUP($B112,Outputs!$N:$R,3,FALSE),"")</f>
        <v/>
      </c>
    </row>
    <row r="113" spans="1:17">
      <c r="A113" s="240">
        <f>IF(VLOOKUP(B113,TOCA_current!$B$2:$AG$137,32,FALSE)=0,0,1)</f>
        <v>0</v>
      </c>
      <c r="B113" t="s">
        <v>15</v>
      </c>
      <c r="C113" s="86" t="str">
        <f>IF(A113=1,VLOOKUP($B113,Outputs!$B:$F,2,FALSE),"")</f>
        <v/>
      </c>
      <c r="D113" s="86">
        <f ca="1">IF(A113=0,VLOOKUP($B113,Outputs!$B:$F,2,FALSE),"")</f>
        <v>9.0206287211080788E-3</v>
      </c>
      <c r="E113" s="94"/>
      <c r="F113" s="95" t="str">
        <f>IF(A113=1,VLOOKUP($B113,Outputs!$H:$L,2,FALSE),"")</f>
        <v/>
      </c>
      <c r="G113" s="96">
        <f ca="1">IF(A113=0,VLOOKUP($B113,Outputs!$H:$L,2,FALSE),"")</f>
        <v>9.0206287211075636E-3</v>
      </c>
      <c r="J113" s="89">
        <f ca="1">VLOOKUP($B113,Outputs!$N:$R,2,FALSE)</f>
        <v>7.3677144674782931E-3</v>
      </c>
      <c r="K113" s="89">
        <f ca="1">+VLOOKUP(B113,Outputs!T:U,2,FALSE)</f>
        <v>1.0724671104542782E-2</v>
      </c>
      <c r="L113" s="86" t="str">
        <f>IF($A113=1,VLOOKUP($B113,Outputs!$B:$F,3,FALSE),"")</f>
        <v/>
      </c>
      <c r="M113" s="86">
        <f ca="1">IF($A113=0,VLOOKUP($B113,Outputs!$B:$F,3,FALSE),"")</f>
        <v>36.920424253891781</v>
      </c>
      <c r="N113" s="86" t="str">
        <f>IF($A113=1,VLOOKUP($B113,Outputs!$H:$L,3,FALSE),"")</f>
        <v/>
      </c>
      <c r="O113" s="86">
        <f ca="1">IF($A113=0,VLOOKUP($B113,Outputs!$H:$L,3,FALSE),"")</f>
        <v>36.920424253891781</v>
      </c>
      <c r="P113" s="86" t="str">
        <f>IF($A113=1,VLOOKUP($B113,Outputs!$N:$R,3,FALSE),"")</f>
        <v/>
      </c>
      <c r="Q113" s="86">
        <f ca="1">IF($A113=0,VLOOKUP($B113,Outputs!$N:$R,3,FALSE),"")</f>
        <v>36.564100438344049</v>
      </c>
    </row>
    <row r="114" spans="1:17">
      <c r="A114" s="240">
        <f>IF(VLOOKUP(B114,TOCA_current!$B$2:$AG$137,32,FALSE)=0,0,1)</f>
        <v>0</v>
      </c>
      <c r="B114" t="s">
        <v>67</v>
      </c>
      <c r="C114" s="86" t="str">
        <f>IF(A114=1,VLOOKUP($B114,Outputs!$B:$F,2,FALSE),"")</f>
        <v/>
      </c>
      <c r="D114" s="86">
        <f ca="1">IF(A114=0,VLOOKUP($B114,Outputs!$B:$F,2,FALSE),"")</f>
        <v>1.2203733740678154E-2</v>
      </c>
      <c r="E114" s="94"/>
      <c r="F114" s="95" t="str">
        <f>IF(A114=1,VLOOKUP($B114,Outputs!$H:$L,2,FALSE),"")</f>
        <v/>
      </c>
      <c r="G114" s="96">
        <f ca="1">IF(A114=0,VLOOKUP($B114,Outputs!$H:$L,2,FALSE),"")</f>
        <v>1.2203733740683374E-2</v>
      </c>
      <c r="J114" s="89">
        <f ca="1">VLOOKUP($B114,Outputs!$N:$R,2,FALSE)</f>
        <v>1.1357341171552677E-2</v>
      </c>
      <c r="K114" s="89">
        <f ca="1">+VLOOKUP(B114,Outputs!T:U,2,FALSE)</f>
        <v>3.3039145790867419E-3</v>
      </c>
      <c r="L114" s="86" t="str">
        <f>IF($A114=1,VLOOKUP($B114,Outputs!$B:$F,3,FALSE),"")</f>
        <v/>
      </c>
      <c r="M114" s="86">
        <f ca="1">IF($A114=0,VLOOKUP($B114,Outputs!$B:$F,3,FALSE),"")</f>
        <v>39.048676281771691</v>
      </c>
      <c r="N114" s="86" t="str">
        <f>IF($A114=1,VLOOKUP($B114,Outputs!$H:$L,3,FALSE),"")</f>
        <v/>
      </c>
      <c r="O114" s="86">
        <f ca="1">IF($A114=0,VLOOKUP($B114,Outputs!$H:$L,3,FALSE),"")</f>
        <v>39.048676281771691</v>
      </c>
      <c r="P114" s="86" t="str">
        <f>IF($A114=1,VLOOKUP($B114,Outputs!$N:$R,3,FALSE),"")</f>
        <v/>
      </c>
      <c r="Q114" s="86">
        <f ca="1">IF($A114=0,VLOOKUP($B114,Outputs!$N:$R,3,FALSE),"")</f>
        <v>38.373238165036639</v>
      </c>
    </row>
    <row r="115" spans="1:17">
      <c r="A115" s="240">
        <f>IF(VLOOKUP(B115,TOCA_current!$B$2:$AG$137,32,FALSE)=0,0,1)</f>
        <v>1</v>
      </c>
      <c r="B115" t="s">
        <v>9</v>
      </c>
      <c r="C115" s="86">
        <f ca="1">IF(A115=1,VLOOKUP($B115,Outputs!$B:$F,2,FALSE),"")</f>
        <v>-1.8934119224651807E-2</v>
      </c>
      <c r="D115" s="86" t="str">
        <f>IF(A115=0,VLOOKUP($B115,Outputs!$B:$F,2,FALSE),"")</f>
        <v/>
      </c>
      <c r="E115" s="94"/>
      <c r="F115" s="95">
        <f ca="1">IF(A115=1,VLOOKUP($B115,Outputs!$H:$L,2,FALSE),"")</f>
        <v>2.060653928477401E-2</v>
      </c>
      <c r="G115" s="96" t="str">
        <f>IF(A115=0,VLOOKUP($B115,Outputs!$H:$L,2,FALSE),"")</f>
        <v/>
      </c>
      <c r="J115" s="89">
        <f ca="1">VLOOKUP($B115,Outputs!$N:$R,2,FALSE)</f>
        <v>2.0709796808526391E-2</v>
      </c>
      <c r="K115" s="89">
        <f ca="1">+VLOOKUP(B115,Outputs!T:U,2,FALSE)</f>
        <v>6.7704036680458879E-2</v>
      </c>
      <c r="L115" s="86">
        <f ca="1">IF($A115=1,VLOOKUP($B115,Outputs!$B:$F,3,FALSE),"")</f>
        <v>34.63451229459956</v>
      </c>
      <c r="M115" s="86" t="str">
        <f>IF($A115=0,VLOOKUP($B115,Outputs!$B:$F,3,FALSE),"")</f>
        <v/>
      </c>
      <c r="N115" s="86">
        <f ca="1">IF($A115=1,VLOOKUP($B115,Outputs!$H:$L,3,FALSE),"")</f>
        <v>31.037083110601301</v>
      </c>
      <c r="O115" s="86" t="str">
        <f>IF($A115=0,VLOOKUP($B115,Outputs!$H:$L,3,FALSE),"")</f>
        <v/>
      </c>
      <c r="P115" s="86">
        <f ca="1">IF($A115=1,VLOOKUP($B115,Outputs!$N:$R,3,FALSE),"")</f>
        <v>31.50053804990878</v>
      </c>
      <c r="Q115" s="86" t="str">
        <f>IF($A115=0,VLOOKUP($B115,Outputs!$N:$R,3,FALSE),"")</f>
        <v/>
      </c>
    </row>
    <row r="116" spans="1:17">
      <c r="A116" s="240">
        <f>IF(VLOOKUP(B116,TOCA_current!$B$2:$AG$137,32,FALSE)=0,0,1)</f>
        <v>1</v>
      </c>
      <c r="B116" t="s">
        <v>62</v>
      </c>
      <c r="C116" s="86">
        <f ca="1">IF(A116=1,VLOOKUP($B116,Outputs!$B:$F,2,FALSE),"")</f>
        <v>-1.9260280569763515E-2</v>
      </c>
      <c r="D116" s="86" t="str">
        <f>IF(A116=0,VLOOKUP($B116,Outputs!$B:$F,2,FALSE),"")</f>
        <v/>
      </c>
      <c r="E116" s="94"/>
      <c r="F116" s="95">
        <f ca="1">IF(A116=1,VLOOKUP($B116,Outputs!$H:$L,2,FALSE),"")</f>
        <v>1.7220597183645284E-2</v>
      </c>
      <c r="G116" s="96" t="str">
        <f>IF(A116=0,VLOOKUP($B116,Outputs!$H:$L,2,FALSE),"")</f>
        <v/>
      </c>
      <c r="J116" s="89">
        <f ca="1">VLOOKUP($B116,Outputs!$N:$R,2,FALSE)</f>
        <v>1.2936351906942305E-2</v>
      </c>
      <c r="K116" s="89">
        <f ca="1">+VLOOKUP(B116,Outputs!T:U,2,FALSE)</f>
        <v>6.5882456567369685E-2</v>
      </c>
      <c r="L116" s="86">
        <f ca="1">IF($A116=1,VLOOKUP($B116,Outputs!$B:$F,3,FALSE),"")</f>
        <v>37.21472805193568</v>
      </c>
      <c r="M116" s="86" t="str">
        <f>IF($A116=0,VLOOKUP($B116,Outputs!$B:$F,3,FALSE),"")</f>
        <v/>
      </c>
      <c r="N116" s="86">
        <f ca="1">IF($A116=1,VLOOKUP($B116,Outputs!$H:$L,3,FALSE),"")</f>
        <v>35.743973731332112</v>
      </c>
      <c r="O116" s="86" t="str">
        <f>IF($A116=0,VLOOKUP($B116,Outputs!$H:$L,3,FALSE),"")</f>
        <v/>
      </c>
      <c r="P116" s="86">
        <f ca="1">IF($A116=1,VLOOKUP($B116,Outputs!$N:$R,3,FALSE),"")</f>
        <v>35.293311393709111</v>
      </c>
      <c r="Q116" s="86" t="str">
        <f>IF($A116=0,VLOOKUP($B116,Outputs!$N:$R,3,FALSE),"")</f>
        <v/>
      </c>
    </row>
    <row r="117" spans="1:17">
      <c r="A117" s="240">
        <f>IF(VLOOKUP(B117,TOCA_current!$B$2:$AG$137,32,FALSE)=0,0,1)</f>
        <v>1</v>
      </c>
      <c r="B117" t="s">
        <v>45</v>
      </c>
      <c r="C117" s="86">
        <f ca="1">IF(A117=1,VLOOKUP($B117,Outputs!$B:$F,2,FALSE),"")</f>
        <v>-1.4026280523930677E-2</v>
      </c>
      <c r="D117" s="86" t="str">
        <f>IF(A117=0,VLOOKUP($B117,Outputs!$B:$F,2,FALSE),"")</f>
        <v/>
      </c>
      <c r="E117" s="94"/>
      <c r="F117" s="95">
        <f ca="1">IF(A117=1,VLOOKUP($B117,Outputs!$H:$L,2,FALSE),"")</f>
        <v>2.0541443642166313E-2</v>
      </c>
      <c r="G117" s="96" t="str">
        <f>IF(A117=0,VLOOKUP($B117,Outputs!$H:$L,2,FALSE),"")</f>
        <v/>
      </c>
      <c r="J117" s="89">
        <f ca="1">VLOOKUP($B117,Outputs!$N:$R,2,FALSE)</f>
        <v>1.782939116871551E-2</v>
      </c>
      <c r="K117" s="89">
        <f ca="1">+VLOOKUP(B117,Outputs!T:U,2,FALSE)</f>
        <v>7.3991902667124965E-2</v>
      </c>
      <c r="L117" s="86">
        <f ca="1">IF($A117=1,VLOOKUP($B117,Outputs!$B:$F,3,FALSE),"")</f>
        <v>37.097899080634981</v>
      </c>
      <c r="M117" s="86" t="str">
        <f>IF($A117=0,VLOOKUP($B117,Outputs!$B:$F,3,FALSE),"")</f>
        <v/>
      </c>
      <c r="N117" s="86">
        <f ca="1">IF($A117=1,VLOOKUP($B117,Outputs!$H:$L,3,FALSE),"")</f>
        <v>35.646365123628257</v>
      </c>
      <c r="O117" s="86" t="str">
        <f>IF($A117=0,VLOOKUP($B117,Outputs!$H:$L,3,FALSE),"")</f>
        <v/>
      </c>
      <c r="P117" s="86">
        <f ca="1">IF($A117=1,VLOOKUP($B117,Outputs!$N:$R,3,FALSE),"")</f>
        <v>35.293311393709104</v>
      </c>
      <c r="Q117" s="86" t="str">
        <f>IF($A117=0,VLOOKUP($B117,Outputs!$N:$R,3,FALSE),"")</f>
        <v/>
      </c>
    </row>
    <row r="118" spans="1:17">
      <c r="A118" s="240">
        <f>IF(VLOOKUP(B118,TOCA_current!$B$2:$AG$137,32,FALSE)=0,0,1)</f>
        <v>1</v>
      </c>
      <c r="B118" t="s">
        <v>116</v>
      </c>
      <c r="C118" s="86">
        <f ca="1">IF(A118=1,VLOOKUP($B118,Outputs!$B:$F,2,FALSE),"")</f>
        <v>-1.6332208352690558E-2</v>
      </c>
      <c r="D118" s="86" t="str">
        <f>IF(A118=0,VLOOKUP($B118,Outputs!$B:$F,2,FALSE),"")</f>
        <v/>
      </c>
      <c r="E118" s="94"/>
      <c r="F118" s="95">
        <f ca="1">IF(A118=1,VLOOKUP($B118,Outputs!$H:$L,2,FALSE),"")</f>
        <v>2.1045264108393223E-2</v>
      </c>
      <c r="G118" s="96" t="str">
        <f>IF(A118=0,VLOOKUP($B118,Outputs!$H:$L,2,FALSE),"")</f>
        <v/>
      </c>
      <c r="J118" s="89">
        <f ca="1">VLOOKUP($B118,Outputs!$N:$R,2,FALSE)</f>
        <v>1.7644828472087329E-2</v>
      </c>
      <c r="K118" s="89">
        <f ca="1">+VLOOKUP(B118,Outputs!T:U,2,FALSE)</f>
        <v>8.3513427617285085E-2</v>
      </c>
      <c r="L118" s="86">
        <f ca="1">IF($A118=1,VLOOKUP($B118,Outputs!$B:$F,3,FALSE),"")</f>
        <v>37.185557250959903</v>
      </c>
      <c r="M118" s="86" t="str">
        <f>IF($A118=0,VLOOKUP($B118,Outputs!$B:$F,3,FALSE),"")</f>
        <v/>
      </c>
      <c r="N118" s="86">
        <f ca="1">IF($A118=1,VLOOKUP($B118,Outputs!$H:$L,3,FALSE),"")</f>
        <v>35.599857597515488</v>
      </c>
      <c r="O118" s="86" t="str">
        <f>IF($A118=0,VLOOKUP($B118,Outputs!$H:$L,3,FALSE),"")</f>
        <v/>
      </c>
      <c r="P118" s="86">
        <f ca="1">IF($A118=1,VLOOKUP($B118,Outputs!$N:$R,3,FALSE),"")</f>
        <v>35.293311393709104</v>
      </c>
      <c r="Q118" s="86" t="str">
        <f>IF($A118=0,VLOOKUP($B118,Outputs!$N:$R,3,FALSE),"")</f>
        <v/>
      </c>
    </row>
    <row r="119" spans="1:17">
      <c r="A119" s="240">
        <f>IF(VLOOKUP(B119,TOCA_current!$B$2:$AG$137,32,FALSE)=0,0,1)</f>
        <v>1</v>
      </c>
      <c r="B119" t="s">
        <v>55</v>
      </c>
      <c r="C119" s="86">
        <f ca="1">IF(A119=1,VLOOKUP($B119,Outputs!$B:$F,2,FALSE),"")</f>
        <v>-1.7273934186871984E-2</v>
      </c>
      <c r="D119" s="86" t="str">
        <f>IF(A119=0,VLOOKUP($B119,Outputs!$B:$F,2,FALSE),"")</f>
        <v/>
      </c>
      <c r="E119" s="94"/>
      <c r="F119" s="95">
        <f ca="1">IF(A119=1,VLOOKUP($B119,Outputs!$H:$L,2,FALSE),"")</f>
        <v>3.0206688657360876E-2</v>
      </c>
      <c r="G119" s="96" t="str">
        <f>IF(A119=0,VLOOKUP($B119,Outputs!$H:$L,2,FALSE),"")</f>
        <v/>
      </c>
      <c r="J119" s="89">
        <f ca="1">VLOOKUP($B119,Outputs!$N:$R,2,FALSE)</f>
        <v>2.5210778212289099E-2</v>
      </c>
      <c r="K119" s="89">
        <f ca="1">+VLOOKUP(B119,Outputs!T:U,2,FALSE)</f>
        <v>6.6414736130322005E-2</v>
      </c>
      <c r="L119" s="86">
        <f ca="1">IF($A119=1,VLOOKUP($B119,Outputs!$B:$F,3,FALSE),"")</f>
        <v>37.504153540584156</v>
      </c>
      <c r="M119" s="86" t="str">
        <f>IF($A119=0,VLOOKUP($B119,Outputs!$B:$F,3,FALSE),"")</f>
        <v/>
      </c>
      <c r="N119" s="86">
        <f ca="1">IF($A119=1,VLOOKUP($B119,Outputs!$H:$L,3,FALSE),"")</f>
        <v>35.434536879259319</v>
      </c>
      <c r="O119" s="86" t="str">
        <f>IF($A119=0,VLOOKUP($B119,Outputs!$H:$L,3,FALSE),"")</f>
        <v/>
      </c>
      <c r="P119" s="86">
        <f ca="1">IF($A119=1,VLOOKUP($B119,Outputs!$N:$R,3,FALSE),"")</f>
        <v>35.293311393709104</v>
      </c>
      <c r="Q119" s="86" t="str">
        <f>IF($A119=0,VLOOKUP($B119,Outputs!$N:$R,3,FALSE),"")</f>
        <v/>
      </c>
    </row>
    <row r="120" spans="1:17">
      <c r="A120" s="240">
        <f>IF(VLOOKUP(B120,TOCA_current!$B$2:$AG$137,32,FALSE)=0,0,1)</f>
        <v>0</v>
      </c>
      <c r="B120" t="s">
        <v>110</v>
      </c>
      <c r="C120" s="86" t="str">
        <f>IF(A120=1,VLOOKUP($B120,Outputs!$B:$F,2,FALSE),"")</f>
        <v/>
      </c>
      <c r="D120" s="86">
        <f ca="1">IF(A120=0,VLOOKUP($B120,Outputs!$B:$F,2,FALSE),"")</f>
        <v>1.9427076608069305E-2</v>
      </c>
      <c r="E120" s="94"/>
      <c r="F120" s="95" t="str">
        <f>IF(A120=1,VLOOKUP($B120,Outputs!$H:$L,2,FALSE),"")</f>
        <v/>
      </c>
      <c r="G120" s="96">
        <f ca="1">IF(A120=0,VLOOKUP($B120,Outputs!$H:$L,2,FALSE),"")</f>
        <v>1.9427076608073399E-2</v>
      </c>
      <c r="J120" s="89">
        <f ca="1">VLOOKUP($B120,Outputs!$N:$R,2,FALSE)</f>
        <v>1.0831278729281416E-2</v>
      </c>
      <c r="K120" s="89">
        <f ca="1">+VLOOKUP(B120,Outputs!T:U,2,FALSE)</f>
        <v>2.5549638839545974E-2</v>
      </c>
      <c r="L120" s="86" t="str">
        <f>IF($A120=1,VLOOKUP($B120,Outputs!$B:$F,3,FALSE),"")</f>
        <v/>
      </c>
      <c r="M120" s="86">
        <f ca="1">IF($A120=0,VLOOKUP($B120,Outputs!$B:$F,3,FALSE),"")</f>
        <v>37.731803299671533</v>
      </c>
      <c r="N120" s="86" t="str">
        <f>IF($A120=1,VLOOKUP($B120,Outputs!$H:$L,3,FALSE),"")</f>
        <v/>
      </c>
      <c r="O120" s="86">
        <f ca="1">IF($A120=0,VLOOKUP($B120,Outputs!$H:$L,3,FALSE),"")</f>
        <v>37.731803299671533</v>
      </c>
      <c r="P120" s="86" t="str">
        <f>IF($A120=1,VLOOKUP($B120,Outputs!$N:$R,3,FALSE),"")</f>
        <v/>
      </c>
      <c r="Q120" s="86">
        <f ca="1">IF($A120=0,VLOOKUP($B120,Outputs!$N:$R,3,FALSE),"")</f>
        <v>35.293311393709104</v>
      </c>
    </row>
    <row r="121" spans="1:17">
      <c r="A121" s="240">
        <f>IF(VLOOKUP(B121,TOCA_current!$B$2:$AG$137,32,FALSE)=0,0,1)</f>
        <v>0</v>
      </c>
      <c r="B121" t="s">
        <v>140</v>
      </c>
      <c r="C121" s="86" t="str">
        <f>IF(A121=1,VLOOKUP($B121,Outputs!$B:$F,2,FALSE),"")</f>
        <v/>
      </c>
      <c r="D121" s="86">
        <f ca="1">IF(A121=0,VLOOKUP($B121,Outputs!$B:$F,2,FALSE),"")</f>
        <v>9.8265636837071568E-3</v>
      </c>
      <c r="E121" s="94"/>
      <c r="F121" s="95" t="str">
        <f>IF(A121=1,VLOOKUP($B121,Outputs!$H:$L,2,FALSE),"")</f>
        <v/>
      </c>
      <c r="G121" s="96">
        <f ca="1">IF(A121=0,VLOOKUP($B121,Outputs!$H:$L,2,FALSE),"")</f>
        <v>9.8265636837094814E-3</v>
      </c>
      <c r="J121" s="89">
        <f ca="1">VLOOKUP($B121,Outputs!$N:$R,2,FALSE)</f>
        <v>1.0822058835758146E-2</v>
      </c>
      <c r="K121" s="89">
        <f ca="1">+VLOOKUP(B121,Outputs!T:U,2,FALSE)</f>
        <v>7.6699741984519232E-2</v>
      </c>
      <c r="L121" s="86" t="str">
        <f>IF($A121=1,VLOOKUP($B121,Outputs!$B:$F,3,FALSE),"")</f>
        <v/>
      </c>
      <c r="M121" s="86">
        <f ca="1">IF($A121=0,VLOOKUP($B121,Outputs!$B:$F,3,FALSE),"")</f>
        <v>33.957523593713105</v>
      </c>
      <c r="N121" s="86" t="str">
        <f>IF($A121=1,VLOOKUP($B121,Outputs!$H:$L,3,FALSE),"")</f>
        <v/>
      </c>
      <c r="O121" s="86">
        <f ca="1">IF($A121=0,VLOOKUP($B121,Outputs!$H:$L,3,FALSE),"")</f>
        <v>33.957523593713105</v>
      </c>
      <c r="P121" s="86" t="str">
        <f>IF($A121=1,VLOOKUP($B121,Outputs!$N:$R,3,FALSE),"")</f>
        <v/>
      </c>
      <c r="Q121" s="86">
        <f ca="1">IF($A121=0,VLOOKUP($B121,Outputs!$N:$R,3,FALSE),"")</f>
        <v>33.939979771590032</v>
      </c>
    </row>
    <row r="122" spans="1:17" ht="15.75" thickBot="1">
      <c r="A122" s="240">
        <f>IF(VLOOKUP(B122,TOCA_current!$B$2:$AG$137,32,FALSE)=0,0,1)</f>
        <v>1</v>
      </c>
      <c r="B122" t="s">
        <v>112</v>
      </c>
      <c r="C122" s="86">
        <f ca="1">IF(A122=1,VLOOKUP($B122,Outputs!$B:$F,2,FALSE),"")</f>
        <v>-1.8912957133059627E-2</v>
      </c>
      <c r="D122" s="86" t="str">
        <f>IF(A122=0,VLOOKUP($B122,Outputs!$B:$F,2,FALSE),"")</f>
        <v/>
      </c>
      <c r="E122" s="97"/>
      <c r="F122" s="98">
        <f ca="1">IF(A122=1,VLOOKUP($B122,Outputs!$H:$L,2,FALSE),"")</f>
        <v>1.7001063117070159E-2</v>
      </c>
      <c r="G122" s="99" t="str">
        <f>IF(A122=0,VLOOKUP($B122,Outputs!$H:$L,2,FALSE),"")</f>
        <v/>
      </c>
      <c r="J122" s="90">
        <f ca="1">VLOOKUP($B122,Outputs!$N:$R,2,FALSE)</f>
        <v>1.3634663298915996E-2</v>
      </c>
      <c r="K122" s="90">
        <f ca="1">+VLOOKUP(B122,Outputs!T:U,2,FALSE)</f>
        <v>5.5382130097337168E-2</v>
      </c>
      <c r="L122" s="86">
        <f ca="1">IF($A122=1,VLOOKUP($B122,Outputs!$B:$F,3,FALSE),"")</f>
        <v>37.172029207418639</v>
      </c>
      <c r="M122" s="86" t="str">
        <f>IF($A122=0,VLOOKUP($B122,Outputs!$B:$F,3,FALSE),"")</f>
        <v/>
      </c>
      <c r="N122" s="86">
        <f ca="1">IF($A122=1,VLOOKUP($B122,Outputs!$H:$L,3,FALSE),"")</f>
        <v>35.668571847849307</v>
      </c>
      <c r="O122" s="86" t="str">
        <f>IF($A122=0,VLOOKUP($B122,Outputs!$H:$L,3,FALSE),"")</f>
        <v/>
      </c>
      <c r="P122" s="86">
        <f ca="1">IF($A122=1,VLOOKUP($B122,Outputs!$N:$R,3,FALSE),"")</f>
        <v>35.293311393709104</v>
      </c>
      <c r="Q122" s="86" t="str">
        <f>IF($A122=0,VLOOKUP($B122,Outputs!$N:$R,3,FALSE),"")</f>
        <v/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4D9FF7095FEB429E1938B66AB06979" ma:contentTypeVersion="0" ma:contentTypeDescription="Create a new document." ma:contentTypeScope="" ma:versionID="341aa132de45be9ec33460de400bff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3E135C-A2B8-4FD7-9DCF-E8C9A355B532}"/>
</file>

<file path=customXml/itemProps2.xml><?xml version="1.0" encoding="utf-8"?>
<ds:datastoreItem xmlns:ds="http://schemas.openxmlformats.org/officeDocument/2006/customXml" ds:itemID="{77FE692A-FD7D-4948-83BE-793E808AA97B}"/>
</file>

<file path=customXml/itemProps3.xml><?xml version="1.0" encoding="utf-8"?>
<ds:datastoreItem xmlns:ds="http://schemas.openxmlformats.org/officeDocument/2006/customXml" ds:itemID="{5BEA1A4C-E878-47CF-827F-E9D457F8F4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20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25" baseType="lpstr">
      <vt:lpstr>Init</vt:lpstr>
      <vt:lpstr>TOCA_previous</vt:lpstr>
      <vt:lpstr>TOCA_current</vt:lpstr>
      <vt:lpstr>LS_previous</vt:lpstr>
      <vt:lpstr>LS_current</vt:lpstr>
      <vt:lpstr>Demand_previous</vt:lpstr>
      <vt:lpstr>Demand_current</vt:lpstr>
      <vt:lpstr>Rates_previous</vt:lpstr>
      <vt:lpstr>Rates_current</vt:lpstr>
      <vt:lpstr>IRD</vt:lpstr>
      <vt:lpstr>REP_previous</vt:lpstr>
      <vt:lpstr>REP_current</vt:lpstr>
      <vt:lpstr>RT1SC</vt:lpstr>
      <vt:lpstr>LS_Demand_Rates_Restatement</vt:lpstr>
      <vt:lpstr>Staging Table</vt:lpstr>
      <vt:lpstr>Charges_Including Slice and LS</vt:lpstr>
      <vt:lpstr>Charges_NonSlice</vt:lpstr>
      <vt:lpstr>Charges_NonSlice &amp; Excl LS</vt:lpstr>
      <vt:lpstr>Outputs</vt:lpstr>
      <vt:lpstr>Restatement</vt:lpstr>
      <vt:lpstr>NonSlice Chart</vt:lpstr>
      <vt:lpstr>NonSlice - Ordered Chart</vt:lpstr>
      <vt:lpstr>CurrentYear</vt:lpstr>
      <vt:lpstr>Rates_current!Print_Area</vt:lpstr>
      <vt:lpstr>YesNo</vt:lpstr>
    </vt:vector>
  </TitlesOfParts>
  <Company>Bonneville Power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Peter Stiffler - PSR6</dc:creator>
  <cp:lastModifiedBy>ETraetow</cp:lastModifiedBy>
  <cp:lastPrinted>2019-07-09T17:43:52Z</cp:lastPrinted>
  <dcterms:created xsi:type="dcterms:W3CDTF">2013-06-26T17:49:16Z</dcterms:created>
  <dcterms:modified xsi:type="dcterms:W3CDTF">2019-07-24T23:42:51Z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0x010100B74D9FF7095FEB429E1938B66AB06979</vt:lpwstr>
  </property>
</Properties>
</file>